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tahsansamin/Desktop/RubisAgentic/backend/"/>
    </mc:Choice>
  </mc:AlternateContent>
  <xr:revisionPtr revIDLastSave="0" documentId="13_ncr:1_{1CA7906B-1809-164E-94AC-B7DE7B02B63A}" xr6:coauthVersionLast="47" xr6:coauthVersionMax="47" xr10:uidLastSave="{00000000-0000-0000-0000-000000000000}"/>
  <bookViews>
    <workbookView xWindow="0" yWindow="760" windowWidth="28160" windowHeight="15620" xr2:uid="{00000000-000D-0000-FFFF-FFFF00000000}"/>
  </bookViews>
  <sheets>
    <sheet name="MOMO,AIRTEL,CARDS" sheetId="1" r:id="rId1"/>
    <sheet name="EXPENSES" sheetId="2" r:id="rId2"/>
    <sheet name="METER" sheetId="3" r:id="rId3"/>
    <sheet name="BALANCING" sheetId="4" r:id="rId4"/>
    <sheet name="P and 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H64" i="5" l="1"/>
  <c r="EI63" i="5"/>
  <c r="LF61" i="5"/>
  <c r="NO60" i="5"/>
  <c r="BO60" i="5"/>
  <c r="BQ57" i="5"/>
  <c r="D52" i="5"/>
  <c r="E52" i="5" s="1"/>
  <c r="F52" i="5" s="1"/>
  <c r="G52" i="5" s="1"/>
  <c r="H52" i="5" s="1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AG52" i="5" s="1"/>
  <c r="AH52" i="5" s="1"/>
  <c r="AI52" i="5" s="1"/>
  <c r="AJ52" i="5" s="1"/>
  <c r="AK52" i="5" s="1"/>
  <c r="AL52" i="5" s="1"/>
  <c r="AM52" i="5" s="1"/>
  <c r="AN52" i="5" s="1"/>
  <c r="AO52" i="5" s="1"/>
  <c r="AP52" i="5" s="1"/>
  <c r="AQ52" i="5" s="1"/>
  <c r="AR52" i="5" s="1"/>
  <c r="AS52" i="5" s="1"/>
  <c r="AT52" i="5" s="1"/>
  <c r="AU52" i="5" s="1"/>
  <c r="AV52" i="5" s="1"/>
  <c r="AW52" i="5" s="1"/>
  <c r="AX52" i="5" s="1"/>
  <c r="AY52" i="5" s="1"/>
  <c r="AZ52" i="5" s="1"/>
  <c r="BA52" i="5" s="1"/>
  <c r="BB52" i="5" s="1"/>
  <c r="BC52" i="5" s="1"/>
  <c r="BD52" i="5" s="1"/>
  <c r="BE52" i="5" s="1"/>
  <c r="BF52" i="5" s="1"/>
  <c r="BG52" i="5" s="1"/>
  <c r="BH52" i="5" s="1"/>
  <c r="BI52" i="5" s="1"/>
  <c r="BJ52" i="5" s="1"/>
  <c r="BK52" i="5" s="1"/>
  <c r="BL52" i="5" s="1"/>
  <c r="BM52" i="5" s="1"/>
  <c r="BN52" i="5" s="1"/>
  <c r="BO52" i="5" s="1"/>
  <c r="BP52" i="5" s="1"/>
  <c r="BQ52" i="5" s="1"/>
  <c r="BR52" i="5" s="1"/>
  <c r="BS52" i="5" s="1"/>
  <c r="BT52" i="5" s="1"/>
  <c r="BU52" i="5" s="1"/>
  <c r="BV52" i="5" s="1"/>
  <c r="BW52" i="5" s="1"/>
  <c r="BX52" i="5" s="1"/>
  <c r="BY52" i="5" s="1"/>
  <c r="BZ52" i="5" s="1"/>
  <c r="CA52" i="5" s="1"/>
  <c r="CB52" i="5" s="1"/>
  <c r="CC52" i="5" s="1"/>
  <c r="CD52" i="5" s="1"/>
  <c r="CE52" i="5" s="1"/>
  <c r="CF52" i="5" s="1"/>
  <c r="CG52" i="5" s="1"/>
  <c r="CH52" i="5" s="1"/>
  <c r="CI52" i="5" s="1"/>
  <c r="CJ52" i="5" s="1"/>
  <c r="CK52" i="5" s="1"/>
  <c r="CL52" i="5" s="1"/>
  <c r="CM52" i="5" s="1"/>
  <c r="CN52" i="5" s="1"/>
  <c r="CO52" i="5" s="1"/>
  <c r="CP52" i="5" s="1"/>
  <c r="CQ52" i="5" s="1"/>
  <c r="CR52" i="5" s="1"/>
  <c r="CT52" i="5" s="1"/>
  <c r="C49" i="5"/>
  <c r="D48" i="5"/>
  <c r="AH47" i="5"/>
  <c r="OI45" i="5"/>
  <c r="C44" i="5"/>
  <c r="ANJ42" i="5"/>
  <c r="ANK42" i="5" s="1"/>
  <c r="ANL42" i="5" s="1"/>
  <c r="ANM42" i="5" s="1"/>
  <c r="ANN42" i="5" s="1"/>
  <c r="ANO42" i="5" s="1"/>
  <c r="ANP42" i="5" s="1"/>
  <c r="ANQ42" i="5" s="1"/>
  <c r="ANR42" i="5" s="1"/>
  <c r="ANS42" i="5" s="1"/>
  <c r="ANT42" i="5" s="1"/>
  <c r="ANU42" i="5" s="1"/>
  <c r="ANV42" i="5" s="1"/>
  <c r="ANW42" i="5" s="1"/>
  <c r="ANX42" i="5" s="1"/>
  <c r="ANY42" i="5" s="1"/>
  <c r="ANZ42" i="5" s="1"/>
  <c r="AOA42" i="5" s="1"/>
  <c r="AOB42" i="5" s="1"/>
  <c r="AOC42" i="5" s="1"/>
  <c r="AGD42" i="5"/>
  <c r="AGE42" i="5" s="1"/>
  <c r="AGF42" i="5" s="1"/>
  <c r="AGG42" i="5" s="1"/>
  <c r="AGH42" i="5" s="1"/>
  <c r="AGI42" i="5" s="1"/>
  <c r="AGJ42" i="5" s="1"/>
  <c r="AGK42" i="5" s="1"/>
  <c r="AGL42" i="5" s="1"/>
  <c r="AGM42" i="5" s="1"/>
  <c r="AGN42" i="5" s="1"/>
  <c r="AGO42" i="5" s="1"/>
  <c r="AGP42" i="5" s="1"/>
  <c r="AGQ42" i="5" s="1"/>
  <c r="AGR42" i="5" s="1"/>
  <c r="AGS42" i="5" s="1"/>
  <c r="AGT42" i="5" s="1"/>
  <c r="AGU42" i="5" s="1"/>
  <c r="AGV42" i="5" s="1"/>
  <c r="AGW42" i="5" s="1"/>
  <c r="AGX42" i="5" s="1"/>
  <c r="AGZ42" i="5" s="1"/>
  <c r="AHA42" i="5" s="1"/>
  <c r="AHB42" i="5" s="1"/>
  <c r="AHC42" i="5" s="1"/>
  <c r="AHD42" i="5" s="1"/>
  <c r="AHE42" i="5" s="1"/>
  <c r="AHF42" i="5" s="1"/>
  <c r="AHG42" i="5" s="1"/>
  <c r="AHH42" i="5" s="1"/>
  <c r="AHI42" i="5" s="1"/>
  <c r="AHJ42" i="5" s="1"/>
  <c r="AHK42" i="5" s="1"/>
  <c r="AHL42" i="5" s="1"/>
  <c r="AHM42" i="5" s="1"/>
  <c r="AHN42" i="5" s="1"/>
  <c r="AHO42" i="5" s="1"/>
  <c r="AHP42" i="5" s="1"/>
  <c r="AHQ42" i="5" s="1"/>
  <c r="AHR42" i="5" s="1"/>
  <c r="AHS42" i="5" s="1"/>
  <c r="AHT42" i="5" s="1"/>
  <c r="AHU42" i="5" s="1"/>
  <c r="AHV42" i="5" s="1"/>
  <c r="AHW42" i="5" s="1"/>
  <c r="AHX42" i="5" s="1"/>
  <c r="AHY42" i="5" s="1"/>
  <c r="AHZ42" i="5" s="1"/>
  <c r="AIA42" i="5" s="1"/>
  <c r="AIB42" i="5" s="1"/>
  <c r="AIC42" i="5" s="1"/>
  <c r="AID42" i="5" s="1"/>
  <c r="AIF42" i="5" s="1"/>
  <c r="AIG42" i="5" s="1"/>
  <c r="AIH42" i="5" s="1"/>
  <c r="AII42" i="5" s="1"/>
  <c r="AIJ42" i="5" s="1"/>
  <c r="AIK42" i="5" s="1"/>
  <c r="AIL42" i="5" s="1"/>
  <c r="AIM42" i="5" s="1"/>
  <c r="AIN42" i="5" s="1"/>
  <c r="AIO42" i="5" s="1"/>
  <c r="AIP42" i="5" s="1"/>
  <c r="AIQ42" i="5" s="1"/>
  <c r="AIR42" i="5" s="1"/>
  <c r="AIS42" i="5" s="1"/>
  <c r="AIT42" i="5" s="1"/>
  <c r="AIU42" i="5" s="1"/>
  <c r="AIV42" i="5" s="1"/>
  <c r="AIW42" i="5" s="1"/>
  <c r="AIX42" i="5" s="1"/>
  <c r="AIY42" i="5" s="1"/>
  <c r="AIZ42" i="5" s="1"/>
  <c r="AJA42" i="5" s="1"/>
  <c r="AJB42" i="5" s="1"/>
  <c r="AJC42" i="5" s="1"/>
  <c r="AJD42" i="5" s="1"/>
  <c r="AJE42" i="5" s="1"/>
  <c r="AJF42" i="5" s="1"/>
  <c r="AJG42" i="5" s="1"/>
  <c r="AJH42" i="5" s="1"/>
  <c r="AJI42" i="5" s="1"/>
  <c r="AJJ42" i="5" s="1"/>
  <c r="AJL42" i="5" s="1"/>
  <c r="AJM42" i="5" s="1"/>
  <c r="AJN42" i="5" s="1"/>
  <c r="AJO42" i="5" s="1"/>
  <c r="AJP42" i="5" s="1"/>
  <c r="AJQ42" i="5" s="1"/>
  <c r="AJR42" i="5" s="1"/>
  <c r="AJS42" i="5" s="1"/>
  <c r="AJT42" i="5" s="1"/>
  <c r="AJU42" i="5" s="1"/>
  <c r="AJV42" i="5" s="1"/>
  <c r="AJW42" i="5" s="1"/>
  <c r="AJX42" i="5" s="1"/>
  <c r="AJY42" i="5" s="1"/>
  <c r="AJZ42" i="5" s="1"/>
  <c r="AKA42" i="5" s="1"/>
  <c r="AKB42" i="5" s="1"/>
  <c r="AKC42" i="5" s="1"/>
  <c r="AKD42" i="5" s="1"/>
  <c r="AKE42" i="5" s="1"/>
  <c r="AKF42" i="5" s="1"/>
  <c r="AKG42" i="5" s="1"/>
  <c r="AKH42" i="5" s="1"/>
  <c r="AKI42" i="5" s="1"/>
  <c r="AKJ42" i="5" s="1"/>
  <c r="AKK42" i="5" s="1"/>
  <c r="AKL42" i="5" s="1"/>
  <c r="AKM42" i="5" s="1"/>
  <c r="AKO42" i="5" s="1"/>
  <c r="AKP42" i="5" s="1"/>
  <c r="AKQ42" i="5" s="1"/>
  <c r="AKR42" i="5" s="1"/>
  <c r="AKS42" i="5" s="1"/>
  <c r="AKT42" i="5" s="1"/>
  <c r="AKU42" i="5" s="1"/>
  <c r="AKV42" i="5" s="1"/>
  <c r="AKW42" i="5" s="1"/>
  <c r="AKX42" i="5" s="1"/>
  <c r="AKY42" i="5" s="1"/>
  <c r="AKZ42" i="5" s="1"/>
  <c r="ALA42" i="5" s="1"/>
  <c r="ALB42" i="5" s="1"/>
  <c r="ALC42" i="5" s="1"/>
  <c r="ALD42" i="5" s="1"/>
  <c r="ALE42" i="5" s="1"/>
  <c r="ALF42" i="5" s="1"/>
  <c r="ALG42" i="5" s="1"/>
  <c r="ALH42" i="5" s="1"/>
  <c r="ALI42" i="5" s="1"/>
  <c r="ALJ42" i="5" s="1"/>
  <c r="ALK42" i="5" s="1"/>
  <c r="ALL42" i="5" s="1"/>
  <c r="ALM42" i="5" s="1"/>
  <c r="ALN42" i="5" s="1"/>
  <c r="ALO42" i="5" s="1"/>
  <c r="ALP42" i="5" s="1"/>
  <c r="ALQ42" i="5" s="1"/>
  <c r="ALR42" i="5" s="1"/>
  <c r="ALS42" i="5" s="1"/>
  <c r="ALU42" i="5" s="1"/>
  <c r="ALV42" i="5" s="1"/>
  <c r="ALW42" i="5" s="1"/>
  <c r="ALX42" i="5" s="1"/>
  <c r="ALY42" i="5" s="1"/>
  <c r="ALZ42" i="5" s="1"/>
  <c r="AMA42" i="5" s="1"/>
  <c r="AMB42" i="5" s="1"/>
  <c r="AMC42" i="5" s="1"/>
  <c r="AMD42" i="5" s="1"/>
  <c r="AME42" i="5" s="1"/>
  <c r="AMF42" i="5" s="1"/>
  <c r="AMG42" i="5" s="1"/>
  <c r="AMH42" i="5" s="1"/>
  <c r="AMI42" i="5" s="1"/>
  <c r="AMJ42" i="5" s="1"/>
  <c r="AMK42" i="5" s="1"/>
  <c r="AML42" i="5" s="1"/>
  <c r="AMM42" i="5" s="1"/>
  <c r="AMN42" i="5" s="1"/>
  <c r="AMO42" i="5" s="1"/>
  <c r="AMP42" i="5" s="1"/>
  <c r="AMQ42" i="5" s="1"/>
  <c r="AMR42" i="5" s="1"/>
  <c r="AMS42" i="5" s="1"/>
  <c r="AMT42" i="5" s="1"/>
  <c r="AMU42" i="5" s="1"/>
  <c r="AMV42" i="5" s="1"/>
  <c r="AMW42" i="5" s="1"/>
  <c r="AMX42" i="5" s="1"/>
  <c r="AMZ42" i="5" s="1"/>
  <c r="ANA42" i="5" s="1"/>
  <c r="ANB42" i="5" s="1"/>
  <c r="ANC42" i="5" s="1"/>
  <c r="AND42" i="5" s="1"/>
  <c r="ANE42" i="5" s="1"/>
  <c r="ANF42" i="5" s="1"/>
  <c r="ANG42" i="5" s="1"/>
  <c r="ANH42" i="5" s="1"/>
  <c r="ZW42" i="5"/>
  <c r="ZX42" i="5" s="1"/>
  <c r="ZY42" i="5" s="1"/>
  <c r="ZZ42" i="5" s="1"/>
  <c r="AAA42" i="5" s="1"/>
  <c r="AAB42" i="5" s="1"/>
  <c r="AAC42" i="5" s="1"/>
  <c r="AAD42" i="5" s="1"/>
  <c r="AAE42" i="5" s="1"/>
  <c r="AAF42" i="5" s="1"/>
  <c r="AAG42" i="5" s="1"/>
  <c r="AAH42" i="5" s="1"/>
  <c r="AAI42" i="5" s="1"/>
  <c r="AAJ42" i="5" s="1"/>
  <c r="AAK42" i="5" s="1"/>
  <c r="AAL42" i="5" s="1"/>
  <c r="AAM42" i="5" s="1"/>
  <c r="AAN42" i="5" s="1"/>
  <c r="AAO42" i="5" s="1"/>
  <c r="AAP42" i="5" s="1"/>
  <c r="AAQ42" i="5" s="1"/>
  <c r="AAR42" i="5" s="1"/>
  <c r="AAS42" i="5" s="1"/>
  <c r="AAT42" i="5" s="1"/>
  <c r="AAU42" i="5" s="1"/>
  <c r="AAV42" i="5" s="1"/>
  <c r="AAX42" i="5" s="1"/>
  <c r="AAY42" i="5" s="1"/>
  <c r="AAZ42" i="5" s="1"/>
  <c r="ABA42" i="5" s="1"/>
  <c r="ABB42" i="5" s="1"/>
  <c r="ABC42" i="5" s="1"/>
  <c r="ABD42" i="5" s="1"/>
  <c r="ABE42" i="5" s="1"/>
  <c r="ABF42" i="5" s="1"/>
  <c r="ABG42" i="5" s="1"/>
  <c r="ABH42" i="5" s="1"/>
  <c r="ABI42" i="5" s="1"/>
  <c r="ABJ42" i="5" s="1"/>
  <c r="ABK42" i="5" s="1"/>
  <c r="ABL42" i="5" s="1"/>
  <c r="ABM42" i="5" s="1"/>
  <c r="ABN42" i="5" s="1"/>
  <c r="ABO42" i="5" s="1"/>
  <c r="ABP42" i="5" s="1"/>
  <c r="ABQ42" i="5" s="1"/>
  <c r="ABR42" i="5" s="1"/>
  <c r="ABS42" i="5" s="1"/>
  <c r="ABT42" i="5" s="1"/>
  <c r="ABU42" i="5" s="1"/>
  <c r="ABV42" i="5" s="1"/>
  <c r="ABW42" i="5" s="1"/>
  <c r="ABX42" i="5" s="1"/>
  <c r="ABY42" i="5" s="1"/>
  <c r="ABZ42" i="5" s="1"/>
  <c r="ACA42" i="5" s="1"/>
  <c r="ACB42" i="5" s="1"/>
  <c r="ACD42" i="5" s="1"/>
  <c r="ACE42" i="5" s="1"/>
  <c r="ACF42" i="5" s="1"/>
  <c r="ACG42" i="5" s="1"/>
  <c r="ACH42" i="5" s="1"/>
  <c r="ACI42" i="5" s="1"/>
  <c r="ACJ42" i="5" s="1"/>
  <c r="ACK42" i="5" s="1"/>
  <c r="ACL42" i="5" s="1"/>
  <c r="ACM42" i="5" s="1"/>
  <c r="ACN42" i="5" s="1"/>
  <c r="ACO42" i="5" s="1"/>
  <c r="ACP42" i="5" s="1"/>
  <c r="ACQ42" i="5" s="1"/>
  <c r="ACR42" i="5" s="1"/>
  <c r="ACS42" i="5" s="1"/>
  <c r="ACT42" i="5" s="1"/>
  <c r="ACU42" i="5" s="1"/>
  <c r="ACV42" i="5" s="1"/>
  <c r="ACW42" i="5" s="1"/>
  <c r="ACX42" i="5" s="1"/>
  <c r="ACY42" i="5" s="1"/>
  <c r="ACZ42" i="5" s="1"/>
  <c r="ADA42" i="5" s="1"/>
  <c r="ADB42" i="5" s="1"/>
  <c r="ADC42" i="5" s="1"/>
  <c r="ADD42" i="5" s="1"/>
  <c r="ADE42" i="5" s="1"/>
  <c r="ADF42" i="5" s="1"/>
  <c r="ADG42" i="5" s="1"/>
  <c r="ADH42" i="5" s="1"/>
  <c r="ADJ42" i="5" s="1"/>
  <c r="ADK42" i="5" s="1"/>
  <c r="ADL42" i="5" s="1"/>
  <c r="ADM42" i="5" s="1"/>
  <c r="ADN42" i="5" s="1"/>
  <c r="ADO42" i="5" s="1"/>
  <c r="ADP42" i="5" s="1"/>
  <c r="ADQ42" i="5" s="1"/>
  <c r="ADR42" i="5" s="1"/>
  <c r="ADS42" i="5" s="1"/>
  <c r="ADT42" i="5" s="1"/>
  <c r="ADU42" i="5" s="1"/>
  <c r="ADV42" i="5" s="1"/>
  <c r="ADW42" i="5" s="1"/>
  <c r="ADX42" i="5" s="1"/>
  <c r="ADY42" i="5" s="1"/>
  <c r="ADZ42" i="5" s="1"/>
  <c r="AEA42" i="5" s="1"/>
  <c r="AEB42" i="5" s="1"/>
  <c r="AEC42" i="5" s="1"/>
  <c r="AED42" i="5" s="1"/>
  <c r="AEE42" i="5" s="1"/>
  <c r="AEF42" i="5" s="1"/>
  <c r="AEG42" i="5" s="1"/>
  <c r="AEH42" i="5" s="1"/>
  <c r="AEI42" i="5" s="1"/>
  <c r="AEJ42" i="5" s="1"/>
  <c r="AEK42" i="5" s="1"/>
  <c r="AEL42" i="5" s="1"/>
  <c r="AEM42" i="5" s="1"/>
  <c r="AEO42" i="5" s="1"/>
  <c r="AEP42" i="5" s="1"/>
  <c r="AEQ42" i="5" s="1"/>
  <c r="AER42" i="5" s="1"/>
  <c r="AES42" i="5" s="1"/>
  <c r="AET42" i="5" s="1"/>
  <c r="AEU42" i="5" s="1"/>
  <c r="AEV42" i="5" s="1"/>
  <c r="AEW42" i="5" s="1"/>
  <c r="AEX42" i="5" s="1"/>
  <c r="AEY42" i="5" s="1"/>
  <c r="AEZ42" i="5" s="1"/>
  <c r="AFA42" i="5" s="1"/>
  <c r="AFB42" i="5" s="1"/>
  <c r="AFC42" i="5" s="1"/>
  <c r="AFD42" i="5" s="1"/>
  <c r="AFE42" i="5" s="1"/>
  <c r="AFF42" i="5" s="1"/>
  <c r="AFG42" i="5" s="1"/>
  <c r="AFH42" i="5" s="1"/>
  <c r="AFI42" i="5" s="1"/>
  <c r="AFJ42" i="5" s="1"/>
  <c r="AFK42" i="5" s="1"/>
  <c r="AFL42" i="5" s="1"/>
  <c r="AFM42" i="5" s="1"/>
  <c r="AFN42" i="5" s="1"/>
  <c r="AFO42" i="5" s="1"/>
  <c r="AFP42" i="5" s="1"/>
  <c r="AFQ42" i="5" s="1"/>
  <c r="AFR42" i="5" s="1"/>
  <c r="AFS42" i="5" s="1"/>
  <c r="AFU42" i="5" s="1"/>
  <c r="AFV42" i="5" s="1"/>
  <c r="AFW42" i="5" s="1"/>
  <c r="AFX42" i="5" s="1"/>
  <c r="AFY42" i="5" s="1"/>
  <c r="AFZ42" i="5" s="1"/>
  <c r="AGA42" i="5" s="1"/>
  <c r="AGB42" i="5" s="1"/>
  <c r="AGC42" i="5" s="1"/>
  <c r="ZV42" i="5"/>
  <c r="IY42" i="5"/>
  <c r="IZ42" i="5" s="1"/>
  <c r="JA42" i="5" s="1"/>
  <c r="JB42" i="5" s="1"/>
  <c r="JC42" i="5" s="1"/>
  <c r="JD42" i="5" s="1"/>
  <c r="JE42" i="5" s="1"/>
  <c r="JF42" i="5" s="1"/>
  <c r="JG42" i="5" s="1"/>
  <c r="JH42" i="5" s="1"/>
  <c r="JI42" i="5" s="1"/>
  <c r="JJ42" i="5" s="1"/>
  <c r="JK42" i="5" s="1"/>
  <c r="JL42" i="5" s="1"/>
  <c r="JM42" i="5" s="1"/>
  <c r="JN42" i="5" s="1"/>
  <c r="JO42" i="5" s="1"/>
  <c r="JP42" i="5" s="1"/>
  <c r="JQ42" i="5" s="1"/>
  <c r="JR42" i="5" s="1"/>
  <c r="JS42" i="5" s="1"/>
  <c r="JT42" i="5" s="1"/>
  <c r="JU42" i="5" s="1"/>
  <c r="JV42" i="5" s="1"/>
  <c r="JW42" i="5" s="1"/>
  <c r="JX42" i="5" s="1"/>
  <c r="JZ42" i="5" s="1"/>
  <c r="IX42" i="5"/>
  <c r="FJ42" i="5"/>
  <c r="E42" i="5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AG42" i="5" s="1"/>
  <c r="D42" i="5"/>
  <c r="D41" i="5"/>
  <c r="E41" i="5" s="1"/>
  <c r="F41" i="5" s="1"/>
  <c r="G41" i="5" s="1"/>
  <c r="H41" i="5" s="1"/>
  <c r="I41" i="5" s="1"/>
  <c r="J41" i="5" s="1"/>
  <c r="K41" i="5" s="1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AG41" i="5" s="1"/>
  <c r="D40" i="5"/>
  <c r="AMZ39" i="5"/>
  <c r="ANA39" i="5" s="1"/>
  <c r="ANB39" i="5" s="1"/>
  <c r="ANC39" i="5" s="1"/>
  <c r="AND39" i="5" s="1"/>
  <c r="ANE39" i="5" s="1"/>
  <c r="ANF39" i="5" s="1"/>
  <c r="ANG39" i="5" s="1"/>
  <c r="ANH39" i="5" s="1"/>
  <c r="ANI39" i="5" s="1"/>
  <c r="ANJ39" i="5" s="1"/>
  <c r="ANK39" i="5" s="1"/>
  <c r="ANL39" i="5" s="1"/>
  <c r="ANM39" i="5" s="1"/>
  <c r="ANN39" i="5" s="1"/>
  <c r="ANO39" i="5" s="1"/>
  <c r="ANP39" i="5" s="1"/>
  <c r="ANQ39" i="5" s="1"/>
  <c r="ANR39" i="5" s="1"/>
  <c r="ANS39" i="5" s="1"/>
  <c r="ANT39" i="5" s="1"/>
  <c r="ANU39" i="5" s="1"/>
  <c r="ANV39" i="5" s="1"/>
  <c r="ANW39" i="5" s="1"/>
  <c r="ANX39" i="5" s="1"/>
  <c r="ANY39" i="5" s="1"/>
  <c r="ANZ39" i="5" s="1"/>
  <c r="AOA39" i="5" s="1"/>
  <c r="AOB39" i="5" s="1"/>
  <c r="AOC39" i="5" s="1"/>
  <c r="ALU39" i="5"/>
  <c r="ALV39" i="5" s="1"/>
  <c r="ALW39" i="5" s="1"/>
  <c r="ALX39" i="5" s="1"/>
  <c r="ALY39" i="5" s="1"/>
  <c r="ALZ39" i="5" s="1"/>
  <c r="AMA39" i="5" s="1"/>
  <c r="AMB39" i="5" s="1"/>
  <c r="AMC39" i="5" s="1"/>
  <c r="AMD39" i="5" s="1"/>
  <c r="AME39" i="5" s="1"/>
  <c r="AMF39" i="5" s="1"/>
  <c r="AMG39" i="5" s="1"/>
  <c r="AMH39" i="5" s="1"/>
  <c r="AMI39" i="5" s="1"/>
  <c r="AMJ39" i="5" s="1"/>
  <c r="AMK39" i="5" s="1"/>
  <c r="AML39" i="5" s="1"/>
  <c r="AMM39" i="5" s="1"/>
  <c r="AMN39" i="5" s="1"/>
  <c r="AMO39" i="5" s="1"/>
  <c r="AMP39" i="5" s="1"/>
  <c r="AMQ39" i="5" s="1"/>
  <c r="AMR39" i="5" s="1"/>
  <c r="AMS39" i="5" s="1"/>
  <c r="AMT39" i="5" s="1"/>
  <c r="AMU39" i="5" s="1"/>
  <c r="AMV39" i="5" s="1"/>
  <c r="AMW39" i="5" s="1"/>
  <c r="AMX39" i="5" s="1"/>
  <c r="AKO39" i="5"/>
  <c r="AKP39" i="5" s="1"/>
  <c r="AKQ39" i="5" s="1"/>
  <c r="AKR39" i="5" s="1"/>
  <c r="AKS39" i="5" s="1"/>
  <c r="AKT39" i="5" s="1"/>
  <c r="AKU39" i="5" s="1"/>
  <c r="AKV39" i="5" s="1"/>
  <c r="AKW39" i="5" s="1"/>
  <c r="AKX39" i="5" s="1"/>
  <c r="AKY39" i="5" s="1"/>
  <c r="AKZ39" i="5" s="1"/>
  <c r="ALA39" i="5" s="1"/>
  <c r="ALB39" i="5" s="1"/>
  <c r="ALC39" i="5" s="1"/>
  <c r="ALD39" i="5" s="1"/>
  <c r="ALE39" i="5" s="1"/>
  <c r="ALF39" i="5" s="1"/>
  <c r="ALG39" i="5" s="1"/>
  <c r="ALH39" i="5" s="1"/>
  <c r="ALI39" i="5" s="1"/>
  <c r="ALJ39" i="5" s="1"/>
  <c r="ALK39" i="5" s="1"/>
  <c r="ALL39" i="5" s="1"/>
  <c r="ALM39" i="5" s="1"/>
  <c r="ALN39" i="5" s="1"/>
  <c r="ALO39" i="5" s="1"/>
  <c r="ALP39" i="5" s="1"/>
  <c r="ALQ39" i="5" s="1"/>
  <c r="ALR39" i="5" s="1"/>
  <c r="ALS39" i="5" s="1"/>
  <c r="AJL39" i="5"/>
  <c r="AJM39" i="5" s="1"/>
  <c r="AJN39" i="5" s="1"/>
  <c r="AJO39" i="5" s="1"/>
  <c r="AJP39" i="5" s="1"/>
  <c r="AJQ39" i="5" s="1"/>
  <c r="AJR39" i="5" s="1"/>
  <c r="AJS39" i="5" s="1"/>
  <c r="AJT39" i="5" s="1"/>
  <c r="AJU39" i="5" s="1"/>
  <c r="AJV39" i="5" s="1"/>
  <c r="AJW39" i="5" s="1"/>
  <c r="AJX39" i="5" s="1"/>
  <c r="AJY39" i="5" s="1"/>
  <c r="AJZ39" i="5" s="1"/>
  <c r="AKA39" i="5" s="1"/>
  <c r="AKB39" i="5" s="1"/>
  <c r="AKC39" i="5" s="1"/>
  <c r="AKD39" i="5" s="1"/>
  <c r="AKE39" i="5" s="1"/>
  <c r="AKF39" i="5" s="1"/>
  <c r="AKG39" i="5" s="1"/>
  <c r="AKH39" i="5" s="1"/>
  <c r="AKI39" i="5" s="1"/>
  <c r="AKJ39" i="5" s="1"/>
  <c r="AKK39" i="5" s="1"/>
  <c r="AKL39" i="5" s="1"/>
  <c r="AKM39" i="5" s="1"/>
  <c r="AIY39" i="5"/>
  <c r="AIZ39" i="5" s="1"/>
  <c r="AJA39" i="5" s="1"/>
  <c r="AJB39" i="5" s="1"/>
  <c r="AJC39" i="5" s="1"/>
  <c r="AJD39" i="5" s="1"/>
  <c r="AJE39" i="5" s="1"/>
  <c r="AJF39" i="5" s="1"/>
  <c r="AJG39" i="5" s="1"/>
  <c r="AJH39" i="5" s="1"/>
  <c r="AJI39" i="5" s="1"/>
  <c r="AJJ39" i="5" s="1"/>
  <c r="AHR39" i="5"/>
  <c r="AHS39" i="5" s="1"/>
  <c r="AHT39" i="5" s="1"/>
  <c r="AHU39" i="5" s="1"/>
  <c r="AHV39" i="5" s="1"/>
  <c r="AHW39" i="5" s="1"/>
  <c r="AHX39" i="5" s="1"/>
  <c r="AHY39" i="5" s="1"/>
  <c r="AHZ39" i="5" s="1"/>
  <c r="AIA39" i="5" s="1"/>
  <c r="AIB39" i="5" s="1"/>
  <c r="AIC39" i="5" s="1"/>
  <c r="AID39" i="5" s="1"/>
  <c r="AIF39" i="5" s="1"/>
  <c r="AIG39" i="5" s="1"/>
  <c r="AIH39" i="5" s="1"/>
  <c r="AII39" i="5" s="1"/>
  <c r="AIJ39" i="5" s="1"/>
  <c r="AIK39" i="5" s="1"/>
  <c r="AIL39" i="5" s="1"/>
  <c r="AIM39" i="5" s="1"/>
  <c r="AIN39" i="5" s="1"/>
  <c r="AIO39" i="5" s="1"/>
  <c r="AIP39" i="5" s="1"/>
  <c r="AIQ39" i="5" s="1"/>
  <c r="AIR39" i="5" s="1"/>
  <c r="AIS39" i="5" s="1"/>
  <c r="AIT39" i="5" s="1"/>
  <c r="AIU39" i="5" s="1"/>
  <c r="AIV39" i="5" s="1"/>
  <c r="AIW39" i="5" s="1"/>
  <c r="AGZ39" i="5"/>
  <c r="AHA39" i="5" s="1"/>
  <c r="AHB39" i="5" s="1"/>
  <c r="AHC39" i="5" s="1"/>
  <c r="AHD39" i="5" s="1"/>
  <c r="AHE39" i="5" s="1"/>
  <c r="AHF39" i="5" s="1"/>
  <c r="AHG39" i="5" s="1"/>
  <c r="AHH39" i="5" s="1"/>
  <c r="AHI39" i="5" s="1"/>
  <c r="AHJ39" i="5" s="1"/>
  <c r="AHK39" i="5" s="1"/>
  <c r="AHL39" i="5" s="1"/>
  <c r="AHM39" i="5" s="1"/>
  <c r="AHN39" i="5" s="1"/>
  <c r="AHO39" i="5" s="1"/>
  <c r="AHP39" i="5" s="1"/>
  <c r="AFU39" i="5"/>
  <c r="AFV39" i="5" s="1"/>
  <c r="AFW39" i="5" s="1"/>
  <c r="AFX39" i="5" s="1"/>
  <c r="AFY39" i="5" s="1"/>
  <c r="AFZ39" i="5" s="1"/>
  <c r="AGA39" i="5" s="1"/>
  <c r="AGB39" i="5" s="1"/>
  <c r="AGC39" i="5" s="1"/>
  <c r="AGD39" i="5" s="1"/>
  <c r="AGE39" i="5" s="1"/>
  <c r="AGF39" i="5" s="1"/>
  <c r="AGG39" i="5" s="1"/>
  <c r="AGH39" i="5" s="1"/>
  <c r="AGI39" i="5" s="1"/>
  <c r="AGJ39" i="5" s="1"/>
  <c r="AGK39" i="5" s="1"/>
  <c r="AGL39" i="5" s="1"/>
  <c r="AGM39" i="5" s="1"/>
  <c r="AGN39" i="5" s="1"/>
  <c r="AGO39" i="5" s="1"/>
  <c r="AGP39" i="5" s="1"/>
  <c r="AGQ39" i="5" s="1"/>
  <c r="AGR39" i="5" s="1"/>
  <c r="AGS39" i="5" s="1"/>
  <c r="AGT39" i="5" s="1"/>
  <c r="AGU39" i="5" s="1"/>
  <c r="AGV39" i="5" s="1"/>
  <c r="AGW39" i="5" s="1"/>
  <c r="AGX39" i="5" s="1"/>
  <c r="AEO39" i="5"/>
  <c r="AEP39" i="5" s="1"/>
  <c r="AEQ39" i="5" s="1"/>
  <c r="AER39" i="5" s="1"/>
  <c r="AES39" i="5" s="1"/>
  <c r="AET39" i="5" s="1"/>
  <c r="AEU39" i="5" s="1"/>
  <c r="AEV39" i="5" s="1"/>
  <c r="AEW39" i="5" s="1"/>
  <c r="AEX39" i="5" s="1"/>
  <c r="AEY39" i="5" s="1"/>
  <c r="AEZ39" i="5" s="1"/>
  <c r="AFA39" i="5" s="1"/>
  <c r="AFB39" i="5" s="1"/>
  <c r="AFC39" i="5" s="1"/>
  <c r="AFD39" i="5" s="1"/>
  <c r="AFE39" i="5" s="1"/>
  <c r="AFF39" i="5" s="1"/>
  <c r="AFG39" i="5" s="1"/>
  <c r="AFH39" i="5" s="1"/>
  <c r="AFI39" i="5" s="1"/>
  <c r="AFJ39" i="5" s="1"/>
  <c r="AFK39" i="5" s="1"/>
  <c r="AFL39" i="5" s="1"/>
  <c r="AFM39" i="5" s="1"/>
  <c r="AFN39" i="5" s="1"/>
  <c r="AFO39" i="5" s="1"/>
  <c r="AFP39" i="5" s="1"/>
  <c r="AFQ39" i="5" s="1"/>
  <c r="AFR39" i="5" s="1"/>
  <c r="AFS39" i="5" s="1"/>
  <c r="ADJ39" i="5"/>
  <c r="ADK39" i="5" s="1"/>
  <c r="ADL39" i="5" s="1"/>
  <c r="ADM39" i="5" s="1"/>
  <c r="ADN39" i="5" s="1"/>
  <c r="ADO39" i="5" s="1"/>
  <c r="ADP39" i="5" s="1"/>
  <c r="ADQ39" i="5" s="1"/>
  <c r="ADR39" i="5" s="1"/>
  <c r="ADS39" i="5" s="1"/>
  <c r="ADT39" i="5" s="1"/>
  <c r="ADU39" i="5" s="1"/>
  <c r="ADV39" i="5" s="1"/>
  <c r="ADW39" i="5" s="1"/>
  <c r="ADX39" i="5" s="1"/>
  <c r="ADY39" i="5" s="1"/>
  <c r="ADZ39" i="5" s="1"/>
  <c r="AEA39" i="5" s="1"/>
  <c r="AEB39" i="5" s="1"/>
  <c r="AEC39" i="5" s="1"/>
  <c r="AED39" i="5" s="1"/>
  <c r="AEE39" i="5" s="1"/>
  <c r="AEF39" i="5" s="1"/>
  <c r="AEG39" i="5" s="1"/>
  <c r="AEH39" i="5" s="1"/>
  <c r="AEI39" i="5" s="1"/>
  <c r="AEJ39" i="5" s="1"/>
  <c r="AEK39" i="5" s="1"/>
  <c r="AEL39" i="5" s="1"/>
  <c r="AEM39" i="5" s="1"/>
  <c r="ACD39" i="5"/>
  <c r="ACE39" i="5" s="1"/>
  <c r="ACF39" i="5" s="1"/>
  <c r="ACG39" i="5" s="1"/>
  <c r="ACH39" i="5" s="1"/>
  <c r="ACI39" i="5" s="1"/>
  <c r="ACJ39" i="5" s="1"/>
  <c r="ACK39" i="5" s="1"/>
  <c r="ACL39" i="5" s="1"/>
  <c r="ACM39" i="5" s="1"/>
  <c r="ACN39" i="5" s="1"/>
  <c r="ACO39" i="5" s="1"/>
  <c r="ACP39" i="5" s="1"/>
  <c r="ACQ39" i="5" s="1"/>
  <c r="ACR39" i="5" s="1"/>
  <c r="ACS39" i="5" s="1"/>
  <c r="ACT39" i="5" s="1"/>
  <c r="ACU39" i="5" s="1"/>
  <c r="ACV39" i="5" s="1"/>
  <c r="ACW39" i="5" s="1"/>
  <c r="ACX39" i="5" s="1"/>
  <c r="ACY39" i="5" s="1"/>
  <c r="ACZ39" i="5" s="1"/>
  <c r="ADA39" i="5" s="1"/>
  <c r="ADB39" i="5" s="1"/>
  <c r="ADC39" i="5" s="1"/>
  <c r="ADD39" i="5" s="1"/>
  <c r="ADE39" i="5" s="1"/>
  <c r="ADF39" i="5" s="1"/>
  <c r="ADG39" i="5" s="1"/>
  <c r="ADH39" i="5" s="1"/>
  <c r="AAX39" i="5"/>
  <c r="AAY39" i="5" s="1"/>
  <c r="AAZ39" i="5" s="1"/>
  <c r="ABA39" i="5" s="1"/>
  <c r="ABB39" i="5" s="1"/>
  <c r="ABC39" i="5" s="1"/>
  <c r="ABD39" i="5" s="1"/>
  <c r="ABE39" i="5" s="1"/>
  <c r="ABF39" i="5" s="1"/>
  <c r="ABG39" i="5" s="1"/>
  <c r="ABH39" i="5" s="1"/>
  <c r="ABI39" i="5" s="1"/>
  <c r="ABJ39" i="5" s="1"/>
  <c r="ABK39" i="5" s="1"/>
  <c r="ABL39" i="5" s="1"/>
  <c r="ABM39" i="5" s="1"/>
  <c r="ABN39" i="5" s="1"/>
  <c r="ABO39" i="5" s="1"/>
  <c r="ABP39" i="5" s="1"/>
  <c r="ABQ39" i="5" s="1"/>
  <c r="ABR39" i="5" s="1"/>
  <c r="ABS39" i="5" s="1"/>
  <c r="ABT39" i="5" s="1"/>
  <c r="ABU39" i="5" s="1"/>
  <c r="ABV39" i="5" s="1"/>
  <c r="ABW39" i="5" s="1"/>
  <c r="ABX39" i="5" s="1"/>
  <c r="ABY39" i="5" s="1"/>
  <c r="ABZ39" i="5" s="1"/>
  <c r="ACA39" i="5" s="1"/>
  <c r="ACB39" i="5" s="1"/>
  <c r="ZV39" i="5"/>
  <c r="ZW39" i="5" s="1"/>
  <c r="ZX39" i="5" s="1"/>
  <c r="ZY39" i="5" s="1"/>
  <c r="ZZ39" i="5" s="1"/>
  <c r="AAA39" i="5" s="1"/>
  <c r="AAB39" i="5" s="1"/>
  <c r="AAC39" i="5" s="1"/>
  <c r="AAD39" i="5" s="1"/>
  <c r="AAE39" i="5" s="1"/>
  <c r="AAF39" i="5" s="1"/>
  <c r="AAG39" i="5" s="1"/>
  <c r="AAH39" i="5" s="1"/>
  <c r="AAI39" i="5" s="1"/>
  <c r="AAJ39" i="5" s="1"/>
  <c r="AAK39" i="5" s="1"/>
  <c r="AAL39" i="5" s="1"/>
  <c r="AAM39" i="5" s="1"/>
  <c r="AAN39" i="5" s="1"/>
  <c r="AAO39" i="5" s="1"/>
  <c r="AAP39" i="5" s="1"/>
  <c r="AAQ39" i="5" s="1"/>
  <c r="AAR39" i="5" s="1"/>
  <c r="AAS39" i="5" s="1"/>
  <c r="AAT39" i="5" s="1"/>
  <c r="AAU39" i="5" s="1"/>
  <c r="AAV39" i="5" s="1"/>
  <c r="YQ39" i="5"/>
  <c r="YR39" i="5" s="1"/>
  <c r="YS39" i="5" s="1"/>
  <c r="YT39" i="5" s="1"/>
  <c r="YU39" i="5" s="1"/>
  <c r="YV39" i="5" s="1"/>
  <c r="YW39" i="5" s="1"/>
  <c r="YX39" i="5" s="1"/>
  <c r="YY39" i="5" s="1"/>
  <c r="YZ39" i="5" s="1"/>
  <c r="ZA39" i="5" s="1"/>
  <c r="ZB39" i="5" s="1"/>
  <c r="ZC39" i="5" s="1"/>
  <c r="ZD39" i="5" s="1"/>
  <c r="ZE39" i="5" s="1"/>
  <c r="ZF39" i="5" s="1"/>
  <c r="ZG39" i="5" s="1"/>
  <c r="ZH39" i="5" s="1"/>
  <c r="ZI39" i="5" s="1"/>
  <c r="ZJ39" i="5" s="1"/>
  <c r="ZK39" i="5" s="1"/>
  <c r="ZL39" i="5" s="1"/>
  <c r="ZM39" i="5" s="1"/>
  <c r="ZN39" i="5" s="1"/>
  <c r="ZO39" i="5" s="1"/>
  <c r="ZP39" i="5" s="1"/>
  <c r="ZQ39" i="5" s="1"/>
  <c r="ZS39" i="5" s="1"/>
  <c r="ZT39" i="5" s="1"/>
  <c r="YM39" i="5"/>
  <c r="YN39" i="5" s="1"/>
  <c r="YO39" i="5" s="1"/>
  <c r="XQ39" i="5"/>
  <c r="XR39" i="5" s="1"/>
  <c r="XS39" i="5" s="1"/>
  <c r="XT39" i="5" s="1"/>
  <c r="XU39" i="5" s="1"/>
  <c r="XV39" i="5" s="1"/>
  <c r="XW39" i="5" s="1"/>
  <c r="XX39" i="5" s="1"/>
  <c r="XY39" i="5" s="1"/>
  <c r="XZ39" i="5" s="1"/>
  <c r="YA39" i="5" s="1"/>
  <c r="YB39" i="5" s="1"/>
  <c r="YC39" i="5" s="1"/>
  <c r="YD39" i="5" s="1"/>
  <c r="YE39" i="5" s="1"/>
  <c r="YF39" i="5" s="1"/>
  <c r="YG39" i="5" s="1"/>
  <c r="YH39" i="5" s="1"/>
  <c r="YI39" i="5" s="1"/>
  <c r="YJ39" i="5" s="1"/>
  <c r="YK39" i="5" s="1"/>
  <c r="WS39" i="5"/>
  <c r="WT39" i="5" s="1"/>
  <c r="WU39" i="5" s="1"/>
  <c r="WV39" i="5" s="1"/>
  <c r="WW39" i="5" s="1"/>
  <c r="WX39" i="5" s="1"/>
  <c r="WY39" i="5" s="1"/>
  <c r="WZ39" i="5" s="1"/>
  <c r="XA39" i="5" s="1"/>
  <c r="XB39" i="5" s="1"/>
  <c r="XC39" i="5" s="1"/>
  <c r="XD39" i="5" s="1"/>
  <c r="XE39" i="5" s="1"/>
  <c r="XF39" i="5" s="1"/>
  <c r="XH39" i="5" s="1"/>
  <c r="XI39" i="5" s="1"/>
  <c r="XJ39" i="5" s="1"/>
  <c r="XK39" i="5" s="1"/>
  <c r="XL39" i="5" s="1"/>
  <c r="XM39" i="5" s="1"/>
  <c r="XN39" i="5" s="1"/>
  <c r="XO39" i="5" s="1"/>
  <c r="WB39" i="5"/>
  <c r="WC39" i="5" s="1"/>
  <c r="WD39" i="5" s="1"/>
  <c r="WE39" i="5" s="1"/>
  <c r="WF39" i="5" s="1"/>
  <c r="WG39" i="5" s="1"/>
  <c r="WH39" i="5" s="1"/>
  <c r="WI39" i="5" s="1"/>
  <c r="WJ39" i="5" s="1"/>
  <c r="WK39" i="5" s="1"/>
  <c r="WL39" i="5" s="1"/>
  <c r="WM39" i="5" s="1"/>
  <c r="WN39" i="5" s="1"/>
  <c r="WO39" i="5" s="1"/>
  <c r="WP39" i="5" s="1"/>
  <c r="WQ39" i="5" s="1"/>
  <c r="UY39" i="5"/>
  <c r="UZ39" i="5" s="1"/>
  <c r="VA39" i="5" s="1"/>
  <c r="VB39" i="5" s="1"/>
  <c r="VC39" i="5" s="1"/>
  <c r="VD39" i="5" s="1"/>
  <c r="VE39" i="5" s="1"/>
  <c r="VF39" i="5" s="1"/>
  <c r="VG39" i="5" s="1"/>
  <c r="VH39" i="5" s="1"/>
  <c r="VI39" i="5" s="1"/>
  <c r="VJ39" i="5" s="1"/>
  <c r="VK39" i="5" s="1"/>
  <c r="VL39" i="5" s="1"/>
  <c r="VM39" i="5" s="1"/>
  <c r="VN39" i="5" s="1"/>
  <c r="VO39" i="5" s="1"/>
  <c r="VP39" i="5" s="1"/>
  <c r="VQ39" i="5" s="1"/>
  <c r="VR39" i="5" s="1"/>
  <c r="VS39" i="5" s="1"/>
  <c r="VT39" i="5" s="1"/>
  <c r="VU39" i="5" s="1"/>
  <c r="VV39" i="5" s="1"/>
  <c r="VW39" i="5" s="1"/>
  <c r="VX39" i="5" s="1"/>
  <c r="VY39" i="5" s="1"/>
  <c r="VZ39" i="5" s="1"/>
  <c r="TS39" i="5"/>
  <c r="TT39" i="5" s="1"/>
  <c r="TU39" i="5" s="1"/>
  <c r="TV39" i="5" s="1"/>
  <c r="TW39" i="5" s="1"/>
  <c r="TX39" i="5" s="1"/>
  <c r="TY39" i="5" s="1"/>
  <c r="TZ39" i="5" s="1"/>
  <c r="UA39" i="5" s="1"/>
  <c r="UB39" i="5" s="1"/>
  <c r="UC39" i="5" s="1"/>
  <c r="UD39" i="5" s="1"/>
  <c r="UE39" i="5" s="1"/>
  <c r="UF39" i="5" s="1"/>
  <c r="UG39" i="5" s="1"/>
  <c r="UH39" i="5" s="1"/>
  <c r="UI39" i="5" s="1"/>
  <c r="UJ39" i="5" s="1"/>
  <c r="UK39" i="5" s="1"/>
  <c r="UL39" i="5" s="1"/>
  <c r="UM39" i="5" s="1"/>
  <c r="UN39" i="5" s="1"/>
  <c r="UO39" i="5" s="1"/>
  <c r="UP39" i="5" s="1"/>
  <c r="UQ39" i="5" s="1"/>
  <c r="UR39" i="5" s="1"/>
  <c r="US39" i="5" s="1"/>
  <c r="UT39" i="5" s="1"/>
  <c r="UU39" i="5" s="1"/>
  <c r="UV39" i="5" s="1"/>
  <c r="UW39" i="5" s="1"/>
  <c r="SM39" i="5"/>
  <c r="SN39" i="5" s="1"/>
  <c r="SO39" i="5" s="1"/>
  <c r="SP39" i="5" s="1"/>
  <c r="SQ39" i="5" s="1"/>
  <c r="SR39" i="5" s="1"/>
  <c r="SS39" i="5" s="1"/>
  <c r="ST39" i="5" s="1"/>
  <c r="SU39" i="5" s="1"/>
  <c r="SV39" i="5" s="1"/>
  <c r="SW39" i="5" s="1"/>
  <c r="SX39" i="5" s="1"/>
  <c r="SY39" i="5" s="1"/>
  <c r="SZ39" i="5" s="1"/>
  <c r="TA39" i="5" s="1"/>
  <c r="TB39" i="5" s="1"/>
  <c r="TC39" i="5" s="1"/>
  <c r="TD39" i="5" s="1"/>
  <c r="TE39" i="5" s="1"/>
  <c r="TF39" i="5" s="1"/>
  <c r="TG39" i="5" s="1"/>
  <c r="TH39" i="5" s="1"/>
  <c r="TI39" i="5" s="1"/>
  <c r="TJ39" i="5" s="1"/>
  <c r="TK39" i="5" s="1"/>
  <c r="TL39" i="5" s="1"/>
  <c r="TM39" i="5" s="1"/>
  <c r="TN39" i="5" s="1"/>
  <c r="TO39" i="5" s="1"/>
  <c r="TP39" i="5" s="1"/>
  <c r="TQ39" i="5" s="1"/>
  <c r="RH39" i="5"/>
  <c r="RI39" i="5" s="1"/>
  <c r="RJ39" i="5" s="1"/>
  <c r="RK39" i="5" s="1"/>
  <c r="RL39" i="5" s="1"/>
  <c r="RM39" i="5" s="1"/>
  <c r="RN39" i="5" s="1"/>
  <c r="RO39" i="5" s="1"/>
  <c r="RP39" i="5" s="1"/>
  <c r="RQ39" i="5" s="1"/>
  <c r="RR39" i="5" s="1"/>
  <c r="RS39" i="5" s="1"/>
  <c r="RT39" i="5" s="1"/>
  <c r="RU39" i="5" s="1"/>
  <c r="RV39" i="5" s="1"/>
  <c r="RW39" i="5" s="1"/>
  <c r="RX39" i="5" s="1"/>
  <c r="RY39" i="5" s="1"/>
  <c r="RZ39" i="5" s="1"/>
  <c r="SA39" i="5" s="1"/>
  <c r="SB39" i="5" s="1"/>
  <c r="SC39" i="5" s="1"/>
  <c r="SD39" i="5" s="1"/>
  <c r="SE39" i="5" s="1"/>
  <c r="SF39" i="5" s="1"/>
  <c r="SG39" i="5" s="1"/>
  <c r="SH39" i="5" s="1"/>
  <c r="SI39" i="5" s="1"/>
  <c r="SJ39" i="5" s="1"/>
  <c r="SK39" i="5" s="1"/>
  <c r="QB39" i="5"/>
  <c r="QC39" i="5" s="1"/>
  <c r="QD39" i="5" s="1"/>
  <c r="QE39" i="5" s="1"/>
  <c r="QF39" i="5" s="1"/>
  <c r="QG39" i="5" s="1"/>
  <c r="QH39" i="5" s="1"/>
  <c r="QI39" i="5" s="1"/>
  <c r="QJ39" i="5" s="1"/>
  <c r="QK39" i="5" s="1"/>
  <c r="QL39" i="5" s="1"/>
  <c r="QM39" i="5" s="1"/>
  <c r="QN39" i="5" s="1"/>
  <c r="QO39" i="5" s="1"/>
  <c r="QP39" i="5" s="1"/>
  <c r="QQ39" i="5" s="1"/>
  <c r="QR39" i="5" s="1"/>
  <c r="QS39" i="5" s="1"/>
  <c r="QT39" i="5" s="1"/>
  <c r="QU39" i="5" s="1"/>
  <c r="QV39" i="5" s="1"/>
  <c r="QW39" i="5" s="1"/>
  <c r="QX39" i="5" s="1"/>
  <c r="QY39" i="5" s="1"/>
  <c r="QZ39" i="5" s="1"/>
  <c r="RA39" i="5" s="1"/>
  <c r="RB39" i="5" s="1"/>
  <c r="RC39" i="5" s="1"/>
  <c r="RD39" i="5" s="1"/>
  <c r="RE39" i="5" s="1"/>
  <c r="RF39" i="5" s="1"/>
  <c r="OW39" i="5"/>
  <c r="OX39" i="5" s="1"/>
  <c r="OY39" i="5" s="1"/>
  <c r="OZ39" i="5" s="1"/>
  <c r="PA39" i="5" s="1"/>
  <c r="PB39" i="5" s="1"/>
  <c r="PC39" i="5" s="1"/>
  <c r="PD39" i="5" s="1"/>
  <c r="PE39" i="5" s="1"/>
  <c r="PF39" i="5" s="1"/>
  <c r="PG39" i="5" s="1"/>
  <c r="PH39" i="5" s="1"/>
  <c r="PI39" i="5" s="1"/>
  <c r="PJ39" i="5" s="1"/>
  <c r="PK39" i="5" s="1"/>
  <c r="PL39" i="5" s="1"/>
  <c r="PM39" i="5" s="1"/>
  <c r="PN39" i="5" s="1"/>
  <c r="PO39" i="5" s="1"/>
  <c r="PP39" i="5" s="1"/>
  <c r="PQ39" i="5" s="1"/>
  <c r="PR39" i="5" s="1"/>
  <c r="PS39" i="5" s="1"/>
  <c r="PT39" i="5" s="1"/>
  <c r="PU39" i="5" s="1"/>
  <c r="PV39" i="5" s="1"/>
  <c r="PW39" i="5" s="1"/>
  <c r="PX39" i="5" s="1"/>
  <c r="PY39" i="5" s="1"/>
  <c r="PZ39" i="5" s="1"/>
  <c r="NQ39" i="5"/>
  <c r="NR39" i="5" s="1"/>
  <c r="NS39" i="5" s="1"/>
  <c r="NT39" i="5" s="1"/>
  <c r="NU39" i="5" s="1"/>
  <c r="NV39" i="5" s="1"/>
  <c r="NW39" i="5" s="1"/>
  <c r="NX39" i="5" s="1"/>
  <c r="NY39" i="5" s="1"/>
  <c r="NZ39" i="5" s="1"/>
  <c r="OA39" i="5" s="1"/>
  <c r="OB39" i="5" s="1"/>
  <c r="OC39" i="5" s="1"/>
  <c r="OD39" i="5" s="1"/>
  <c r="OE39" i="5" s="1"/>
  <c r="OF39" i="5" s="1"/>
  <c r="OG39" i="5" s="1"/>
  <c r="OH39" i="5" s="1"/>
  <c r="OI39" i="5" s="1"/>
  <c r="OJ39" i="5" s="1"/>
  <c r="OK39" i="5" s="1"/>
  <c r="OL39" i="5" s="1"/>
  <c r="OM39" i="5" s="1"/>
  <c r="ON39" i="5" s="1"/>
  <c r="OO39" i="5" s="1"/>
  <c r="OP39" i="5" s="1"/>
  <c r="OQ39" i="5" s="1"/>
  <c r="OR39" i="5" s="1"/>
  <c r="OS39" i="5" s="1"/>
  <c r="OT39" i="5" s="1"/>
  <c r="OU39" i="5" s="1"/>
  <c r="MK39" i="5"/>
  <c r="ML39" i="5" s="1"/>
  <c r="MM39" i="5" s="1"/>
  <c r="MN39" i="5" s="1"/>
  <c r="MO39" i="5" s="1"/>
  <c r="MP39" i="5" s="1"/>
  <c r="MQ39" i="5" s="1"/>
  <c r="MR39" i="5" s="1"/>
  <c r="MS39" i="5" s="1"/>
  <c r="MT39" i="5" s="1"/>
  <c r="MU39" i="5" s="1"/>
  <c r="MV39" i="5" s="1"/>
  <c r="MW39" i="5" s="1"/>
  <c r="MX39" i="5" s="1"/>
  <c r="MY39" i="5" s="1"/>
  <c r="MZ39" i="5" s="1"/>
  <c r="NA39" i="5" s="1"/>
  <c r="NB39" i="5" s="1"/>
  <c r="NC39" i="5" s="1"/>
  <c r="ND39" i="5" s="1"/>
  <c r="NE39" i="5" s="1"/>
  <c r="NF39" i="5" s="1"/>
  <c r="NG39" i="5" s="1"/>
  <c r="NH39" i="5" s="1"/>
  <c r="NI39" i="5" s="1"/>
  <c r="NJ39" i="5" s="1"/>
  <c r="NK39" i="5" s="1"/>
  <c r="NL39" i="5" s="1"/>
  <c r="NM39" i="5" s="1"/>
  <c r="NN39" i="5" s="1"/>
  <c r="NO39" i="5" s="1"/>
  <c r="LS39" i="5"/>
  <c r="LT39" i="5" s="1"/>
  <c r="LU39" i="5" s="1"/>
  <c r="LV39" i="5" s="1"/>
  <c r="LW39" i="5" s="1"/>
  <c r="LX39" i="5" s="1"/>
  <c r="LY39" i="5" s="1"/>
  <c r="LZ39" i="5" s="1"/>
  <c r="MA39" i="5" s="1"/>
  <c r="MB39" i="5" s="1"/>
  <c r="MC39" i="5" s="1"/>
  <c r="MD39" i="5" s="1"/>
  <c r="ME39" i="5" s="1"/>
  <c r="MF39" i="5" s="1"/>
  <c r="MG39" i="5" s="1"/>
  <c r="MH39" i="5" s="1"/>
  <c r="MI39" i="5" s="1"/>
  <c r="GS39" i="5"/>
  <c r="GU39" i="5" s="1"/>
  <c r="GW39" i="5" s="1"/>
  <c r="GY39" i="5" s="1"/>
  <c r="HA39" i="5" s="1"/>
  <c r="GR39" i="5"/>
  <c r="GT39" i="5" s="1"/>
  <c r="GV39" i="5" s="1"/>
  <c r="GX39" i="5" s="1"/>
  <c r="GZ39" i="5" s="1"/>
  <c r="GL39" i="5"/>
  <c r="GN39" i="5" s="1"/>
  <c r="GP39" i="5" s="1"/>
  <c r="FK39" i="5"/>
  <c r="FM39" i="5" s="1"/>
  <c r="FO39" i="5" s="1"/>
  <c r="FQ39" i="5" s="1"/>
  <c r="FS39" i="5" s="1"/>
  <c r="FU39" i="5" s="1"/>
  <c r="FW39" i="5" s="1"/>
  <c r="FY39" i="5" s="1"/>
  <c r="GA39" i="5" s="1"/>
  <c r="GC39" i="5" s="1"/>
  <c r="GE39" i="5" s="1"/>
  <c r="GG39" i="5" s="1"/>
  <c r="GI39" i="5" s="1"/>
  <c r="GK39" i="5" s="1"/>
  <c r="GM39" i="5" s="1"/>
  <c r="GO39" i="5" s="1"/>
  <c r="FJ39" i="5"/>
  <c r="FL39" i="5" s="1"/>
  <c r="FN39" i="5" s="1"/>
  <c r="FP39" i="5" s="1"/>
  <c r="FR39" i="5" s="1"/>
  <c r="FT39" i="5" s="1"/>
  <c r="FV39" i="5" s="1"/>
  <c r="FX39" i="5" s="1"/>
  <c r="FZ39" i="5" s="1"/>
  <c r="GB39" i="5" s="1"/>
  <c r="GD39" i="5" s="1"/>
  <c r="GF39" i="5" s="1"/>
  <c r="GH39" i="5" s="1"/>
  <c r="DC39" i="5"/>
  <c r="DB39" i="5"/>
  <c r="DD39" i="5" s="1"/>
  <c r="BS39" i="5"/>
  <c r="BU39" i="5" s="1"/>
  <c r="BW39" i="5" s="1"/>
  <c r="BY39" i="5" s="1"/>
  <c r="CA39" i="5" s="1"/>
  <c r="CC39" i="5" s="1"/>
  <c r="CE39" i="5" s="1"/>
  <c r="CG39" i="5" s="1"/>
  <c r="CI39" i="5" s="1"/>
  <c r="CK39" i="5" s="1"/>
  <c r="CM39" i="5" s="1"/>
  <c r="CO39" i="5" s="1"/>
  <c r="CQ39" i="5" s="1"/>
  <c r="BR39" i="5"/>
  <c r="BT39" i="5" s="1"/>
  <c r="BV39" i="5" s="1"/>
  <c r="BX39" i="5" s="1"/>
  <c r="BZ39" i="5" s="1"/>
  <c r="CB39" i="5" s="1"/>
  <c r="CD39" i="5" s="1"/>
  <c r="CF39" i="5" s="1"/>
  <c r="CH39" i="5" s="1"/>
  <c r="CJ39" i="5" s="1"/>
  <c r="CL39" i="5" s="1"/>
  <c r="CN39" i="5" s="1"/>
  <c r="CP39" i="5" s="1"/>
  <c r="CR39" i="5" s="1"/>
  <c r="CT39" i="5" s="1"/>
  <c r="BO39" i="5"/>
  <c r="AV39" i="5"/>
  <c r="AX39" i="5" s="1"/>
  <c r="AZ39" i="5" s="1"/>
  <c r="BB39" i="5" s="1"/>
  <c r="BD39" i="5" s="1"/>
  <c r="BF39" i="5" s="1"/>
  <c r="BH39" i="5" s="1"/>
  <c r="BJ39" i="5" s="1"/>
  <c r="BL39" i="5" s="1"/>
  <c r="BN39" i="5" s="1"/>
  <c r="BP39" i="5" s="1"/>
  <c r="AU39" i="5"/>
  <c r="AW39" i="5" s="1"/>
  <c r="AY39" i="5" s="1"/>
  <c r="BA39" i="5" s="1"/>
  <c r="BC39" i="5" s="1"/>
  <c r="BE39" i="5" s="1"/>
  <c r="BG39" i="5" s="1"/>
  <c r="BI39" i="5" s="1"/>
  <c r="BK39" i="5" s="1"/>
  <c r="T39" i="5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D39" i="5"/>
  <c r="F38" i="5"/>
  <c r="G38" i="5" s="1"/>
  <c r="E38" i="5"/>
  <c r="D38" i="5"/>
  <c r="ANA36" i="5"/>
  <c r="ANC36" i="5" s="1"/>
  <c r="ANE36" i="5" s="1"/>
  <c r="ANG36" i="5" s="1"/>
  <c r="ANI36" i="5" s="1"/>
  <c r="ANK36" i="5" s="1"/>
  <c r="ANM36" i="5" s="1"/>
  <c r="ANO36" i="5" s="1"/>
  <c r="ANQ36" i="5" s="1"/>
  <c r="ANS36" i="5" s="1"/>
  <c r="ANU36" i="5" s="1"/>
  <c r="ANW36" i="5" s="1"/>
  <c r="ANY36" i="5" s="1"/>
  <c r="AOA36" i="5" s="1"/>
  <c r="AOC36" i="5" s="1"/>
  <c r="ALV36" i="5"/>
  <c r="ALX36" i="5" s="1"/>
  <c r="ALZ36" i="5" s="1"/>
  <c r="AMB36" i="5" s="1"/>
  <c r="AMD36" i="5" s="1"/>
  <c r="AMF36" i="5" s="1"/>
  <c r="AMH36" i="5" s="1"/>
  <c r="AMJ36" i="5" s="1"/>
  <c r="AML36" i="5" s="1"/>
  <c r="AMN36" i="5" s="1"/>
  <c r="AMP36" i="5" s="1"/>
  <c r="AMR36" i="5" s="1"/>
  <c r="AMT36" i="5" s="1"/>
  <c r="AMV36" i="5" s="1"/>
  <c r="AMX36" i="5" s="1"/>
  <c r="AMZ36" i="5" s="1"/>
  <c r="ANB36" i="5" s="1"/>
  <c r="AND36" i="5" s="1"/>
  <c r="ANF36" i="5" s="1"/>
  <c r="ANH36" i="5" s="1"/>
  <c r="ANJ36" i="5" s="1"/>
  <c r="ANL36" i="5" s="1"/>
  <c r="ANN36" i="5" s="1"/>
  <c r="ANP36" i="5" s="1"/>
  <c r="ANR36" i="5" s="1"/>
  <c r="ANT36" i="5" s="1"/>
  <c r="ANV36" i="5" s="1"/>
  <c r="ANX36" i="5" s="1"/>
  <c r="ANZ36" i="5" s="1"/>
  <c r="AOB36" i="5" s="1"/>
  <c r="AKP36" i="5"/>
  <c r="AKR36" i="5" s="1"/>
  <c r="AKT36" i="5" s="1"/>
  <c r="AKV36" i="5" s="1"/>
  <c r="AKX36" i="5" s="1"/>
  <c r="AKZ36" i="5" s="1"/>
  <c r="ALB36" i="5" s="1"/>
  <c r="ALD36" i="5" s="1"/>
  <c r="ALF36" i="5" s="1"/>
  <c r="ALH36" i="5" s="1"/>
  <c r="ALJ36" i="5" s="1"/>
  <c r="ALL36" i="5" s="1"/>
  <c r="ALN36" i="5" s="1"/>
  <c r="ALP36" i="5" s="1"/>
  <c r="ALR36" i="5" s="1"/>
  <c r="AJM36" i="5"/>
  <c r="AJO36" i="5" s="1"/>
  <c r="AJQ36" i="5" s="1"/>
  <c r="AJS36" i="5" s="1"/>
  <c r="AJU36" i="5" s="1"/>
  <c r="AJW36" i="5" s="1"/>
  <c r="AJY36" i="5" s="1"/>
  <c r="AKA36" i="5" s="1"/>
  <c r="AKC36" i="5" s="1"/>
  <c r="AKE36" i="5" s="1"/>
  <c r="AKG36" i="5" s="1"/>
  <c r="AKI36" i="5" s="1"/>
  <c r="AKK36" i="5" s="1"/>
  <c r="AKM36" i="5" s="1"/>
  <c r="AKO36" i="5" s="1"/>
  <c r="AKQ36" i="5" s="1"/>
  <c r="AKS36" i="5" s="1"/>
  <c r="AKU36" i="5" s="1"/>
  <c r="AKW36" i="5" s="1"/>
  <c r="AKY36" i="5" s="1"/>
  <c r="ALA36" i="5" s="1"/>
  <c r="ALC36" i="5" s="1"/>
  <c r="ALE36" i="5" s="1"/>
  <c r="ALG36" i="5" s="1"/>
  <c r="ALI36" i="5" s="1"/>
  <c r="ALK36" i="5" s="1"/>
  <c r="ALM36" i="5" s="1"/>
  <c r="ALO36" i="5" s="1"/>
  <c r="ALQ36" i="5" s="1"/>
  <c r="ALS36" i="5" s="1"/>
  <c r="ALU36" i="5" s="1"/>
  <c r="ALW36" i="5" s="1"/>
  <c r="ALY36" i="5" s="1"/>
  <c r="AMA36" i="5" s="1"/>
  <c r="AMC36" i="5" s="1"/>
  <c r="AME36" i="5" s="1"/>
  <c r="AMG36" i="5" s="1"/>
  <c r="AMI36" i="5" s="1"/>
  <c r="AMK36" i="5" s="1"/>
  <c r="AMM36" i="5" s="1"/>
  <c r="AMO36" i="5" s="1"/>
  <c r="AMQ36" i="5" s="1"/>
  <c r="AMS36" i="5" s="1"/>
  <c r="AMU36" i="5" s="1"/>
  <c r="AMW36" i="5" s="1"/>
  <c r="AIG36" i="5"/>
  <c r="AII36" i="5" s="1"/>
  <c r="AIK36" i="5" s="1"/>
  <c r="AIM36" i="5" s="1"/>
  <c r="AIO36" i="5" s="1"/>
  <c r="AIQ36" i="5" s="1"/>
  <c r="AIS36" i="5" s="1"/>
  <c r="AIU36" i="5" s="1"/>
  <c r="AIW36" i="5" s="1"/>
  <c r="AIY36" i="5" s="1"/>
  <c r="AJA36" i="5" s="1"/>
  <c r="AJC36" i="5" s="1"/>
  <c r="AJE36" i="5" s="1"/>
  <c r="AJG36" i="5" s="1"/>
  <c r="AJI36" i="5" s="1"/>
  <c r="AHA36" i="5"/>
  <c r="AHC36" i="5" s="1"/>
  <c r="AHE36" i="5" s="1"/>
  <c r="AHG36" i="5" s="1"/>
  <c r="AHI36" i="5" s="1"/>
  <c r="AHK36" i="5" s="1"/>
  <c r="AHM36" i="5" s="1"/>
  <c r="AHO36" i="5" s="1"/>
  <c r="AHQ36" i="5" s="1"/>
  <c r="AHS36" i="5" s="1"/>
  <c r="AHU36" i="5" s="1"/>
  <c r="AHW36" i="5" s="1"/>
  <c r="AHY36" i="5" s="1"/>
  <c r="AIA36" i="5" s="1"/>
  <c r="AIC36" i="5" s="1"/>
  <c r="AFV36" i="5"/>
  <c r="AFX36" i="5" s="1"/>
  <c r="AFZ36" i="5" s="1"/>
  <c r="AGB36" i="5" s="1"/>
  <c r="AGD36" i="5" s="1"/>
  <c r="AGF36" i="5" s="1"/>
  <c r="AGH36" i="5" s="1"/>
  <c r="AGJ36" i="5" s="1"/>
  <c r="AGL36" i="5" s="1"/>
  <c r="AGN36" i="5" s="1"/>
  <c r="AGP36" i="5" s="1"/>
  <c r="AGR36" i="5" s="1"/>
  <c r="AGT36" i="5" s="1"/>
  <c r="AGV36" i="5" s="1"/>
  <c r="AGX36" i="5" s="1"/>
  <c r="AGZ36" i="5" s="1"/>
  <c r="AHB36" i="5" s="1"/>
  <c r="AHD36" i="5" s="1"/>
  <c r="AHF36" i="5" s="1"/>
  <c r="AHH36" i="5" s="1"/>
  <c r="AHJ36" i="5" s="1"/>
  <c r="AHL36" i="5" s="1"/>
  <c r="AHN36" i="5" s="1"/>
  <c r="AHP36" i="5" s="1"/>
  <c r="AHR36" i="5" s="1"/>
  <c r="AHT36" i="5" s="1"/>
  <c r="AHV36" i="5" s="1"/>
  <c r="AHX36" i="5" s="1"/>
  <c r="AHZ36" i="5" s="1"/>
  <c r="AIB36" i="5" s="1"/>
  <c r="AID36" i="5" s="1"/>
  <c r="AIF36" i="5" s="1"/>
  <c r="AIH36" i="5" s="1"/>
  <c r="AIJ36" i="5" s="1"/>
  <c r="AIL36" i="5" s="1"/>
  <c r="AIN36" i="5" s="1"/>
  <c r="AIP36" i="5" s="1"/>
  <c r="AIR36" i="5" s="1"/>
  <c r="AIT36" i="5" s="1"/>
  <c r="AIV36" i="5" s="1"/>
  <c r="AIX36" i="5" s="1"/>
  <c r="AIZ36" i="5" s="1"/>
  <c r="AJB36" i="5" s="1"/>
  <c r="AJD36" i="5" s="1"/>
  <c r="AJF36" i="5" s="1"/>
  <c r="AJH36" i="5" s="1"/>
  <c r="AJJ36" i="5" s="1"/>
  <c r="AJL36" i="5" s="1"/>
  <c r="AJN36" i="5" s="1"/>
  <c r="AJP36" i="5" s="1"/>
  <c r="AJR36" i="5" s="1"/>
  <c r="AJT36" i="5" s="1"/>
  <c r="AJV36" i="5" s="1"/>
  <c r="AJX36" i="5" s="1"/>
  <c r="AJZ36" i="5" s="1"/>
  <c r="AKB36" i="5" s="1"/>
  <c r="AKD36" i="5" s="1"/>
  <c r="AKF36" i="5" s="1"/>
  <c r="AKH36" i="5" s="1"/>
  <c r="AKJ36" i="5" s="1"/>
  <c r="AKL36" i="5" s="1"/>
  <c r="AEP36" i="5"/>
  <c r="AER36" i="5" s="1"/>
  <c r="AET36" i="5" s="1"/>
  <c r="AEV36" i="5" s="1"/>
  <c r="AEX36" i="5" s="1"/>
  <c r="AEZ36" i="5" s="1"/>
  <c r="AFB36" i="5" s="1"/>
  <c r="AFD36" i="5" s="1"/>
  <c r="AFF36" i="5" s="1"/>
  <c r="AFH36" i="5" s="1"/>
  <c r="AFJ36" i="5" s="1"/>
  <c r="AFL36" i="5" s="1"/>
  <c r="AFN36" i="5" s="1"/>
  <c r="AFP36" i="5" s="1"/>
  <c r="AFR36" i="5" s="1"/>
  <c r="ADK36" i="5"/>
  <c r="ADM36" i="5" s="1"/>
  <c r="ADO36" i="5" s="1"/>
  <c r="ADQ36" i="5" s="1"/>
  <c r="ADS36" i="5" s="1"/>
  <c r="ADU36" i="5" s="1"/>
  <c r="ADW36" i="5" s="1"/>
  <c r="ADY36" i="5" s="1"/>
  <c r="AEA36" i="5" s="1"/>
  <c r="AEC36" i="5" s="1"/>
  <c r="AEE36" i="5" s="1"/>
  <c r="AEG36" i="5" s="1"/>
  <c r="AEI36" i="5" s="1"/>
  <c r="AEK36" i="5" s="1"/>
  <c r="AEM36" i="5" s="1"/>
  <c r="AEO36" i="5" s="1"/>
  <c r="AEQ36" i="5" s="1"/>
  <c r="AES36" i="5" s="1"/>
  <c r="AEU36" i="5" s="1"/>
  <c r="AEW36" i="5" s="1"/>
  <c r="AEY36" i="5" s="1"/>
  <c r="AFA36" i="5" s="1"/>
  <c r="AFC36" i="5" s="1"/>
  <c r="AFE36" i="5" s="1"/>
  <c r="AFG36" i="5" s="1"/>
  <c r="AFI36" i="5" s="1"/>
  <c r="AFK36" i="5" s="1"/>
  <c r="AFM36" i="5" s="1"/>
  <c r="AFO36" i="5" s="1"/>
  <c r="AFQ36" i="5" s="1"/>
  <c r="AFS36" i="5" s="1"/>
  <c r="AFU36" i="5" s="1"/>
  <c r="AFW36" i="5" s="1"/>
  <c r="AFY36" i="5" s="1"/>
  <c r="AGA36" i="5" s="1"/>
  <c r="AGC36" i="5" s="1"/>
  <c r="AGE36" i="5" s="1"/>
  <c r="AGG36" i="5" s="1"/>
  <c r="AGI36" i="5" s="1"/>
  <c r="AGK36" i="5" s="1"/>
  <c r="AGM36" i="5" s="1"/>
  <c r="AGO36" i="5" s="1"/>
  <c r="AGQ36" i="5" s="1"/>
  <c r="AGS36" i="5" s="1"/>
  <c r="AGU36" i="5" s="1"/>
  <c r="AGW36" i="5" s="1"/>
  <c r="ACE36" i="5"/>
  <c r="ACG36" i="5" s="1"/>
  <c r="ACI36" i="5" s="1"/>
  <c r="ACK36" i="5" s="1"/>
  <c r="ACM36" i="5" s="1"/>
  <c r="ACO36" i="5" s="1"/>
  <c r="ACQ36" i="5" s="1"/>
  <c r="ACS36" i="5" s="1"/>
  <c r="ACU36" i="5" s="1"/>
  <c r="ACW36" i="5" s="1"/>
  <c r="ACY36" i="5" s="1"/>
  <c r="ADA36" i="5" s="1"/>
  <c r="ADC36" i="5" s="1"/>
  <c r="ADE36" i="5" s="1"/>
  <c r="ADG36" i="5" s="1"/>
  <c r="AAY36" i="5"/>
  <c r="ABA36" i="5" s="1"/>
  <c r="ABC36" i="5" s="1"/>
  <c r="ABE36" i="5" s="1"/>
  <c r="ABG36" i="5" s="1"/>
  <c r="ABI36" i="5" s="1"/>
  <c r="ABK36" i="5" s="1"/>
  <c r="ABM36" i="5" s="1"/>
  <c r="ABO36" i="5" s="1"/>
  <c r="ABQ36" i="5" s="1"/>
  <c r="ABS36" i="5" s="1"/>
  <c r="ABU36" i="5" s="1"/>
  <c r="ABW36" i="5" s="1"/>
  <c r="ABY36" i="5" s="1"/>
  <c r="ACA36" i="5" s="1"/>
  <c r="ZT36" i="5"/>
  <c r="ZV36" i="5" s="1"/>
  <c r="ZX36" i="5" s="1"/>
  <c r="ZZ36" i="5" s="1"/>
  <c r="AAB36" i="5" s="1"/>
  <c r="AAD36" i="5" s="1"/>
  <c r="AAF36" i="5" s="1"/>
  <c r="AAH36" i="5" s="1"/>
  <c r="AAJ36" i="5" s="1"/>
  <c r="AAL36" i="5" s="1"/>
  <c r="AAN36" i="5" s="1"/>
  <c r="AAP36" i="5" s="1"/>
  <c r="AAR36" i="5" s="1"/>
  <c r="AAT36" i="5" s="1"/>
  <c r="AAV36" i="5" s="1"/>
  <c r="AAX36" i="5" s="1"/>
  <c r="AAZ36" i="5" s="1"/>
  <c r="ABB36" i="5" s="1"/>
  <c r="ABD36" i="5" s="1"/>
  <c r="ABF36" i="5" s="1"/>
  <c r="ABH36" i="5" s="1"/>
  <c r="ABJ36" i="5" s="1"/>
  <c r="ABL36" i="5" s="1"/>
  <c r="ABN36" i="5" s="1"/>
  <c r="ABP36" i="5" s="1"/>
  <c r="ABR36" i="5" s="1"/>
  <c r="ABT36" i="5" s="1"/>
  <c r="ABV36" i="5" s="1"/>
  <c r="ABX36" i="5" s="1"/>
  <c r="ABZ36" i="5" s="1"/>
  <c r="ACB36" i="5" s="1"/>
  <c r="ACD36" i="5" s="1"/>
  <c r="ACF36" i="5" s="1"/>
  <c r="ACH36" i="5" s="1"/>
  <c r="ACJ36" i="5" s="1"/>
  <c r="ACL36" i="5" s="1"/>
  <c r="ACN36" i="5" s="1"/>
  <c r="ACP36" i="5" s="1"/>
  <c r="ACR36" i="5" s="1"/>
  <c r="ACT36" i="5" s="1"/>
  <c r="ACV36" i="5" s="1"/>
  <c r="ACX36" i="5" s="1"/>
  <c r="ACZ36" i="5" s="1"/>
  <c r="ADB36" i="5" s="1"/>
  <c r="ADD36" i="5" s="1"/>
  <c r="ADF36" i="5" s="1"/>
  <c r="ADH36" i="5" s="1"/>
  <c r="ADJ36" i="5" s="1"/>
  <c r="ADL36" i="5" s="1"/>
  <c r="ADN36" i="5" s="1"/>
  <c r="ADP36" i="5" s="1"/>
  <c r="ADR36" i="5" s="1"/>
  <c r="ADT36" i="5" s="1"/>
  <c r="ADV36" i="5" s="1"/>
  <c r="ADX36" i="5" s="1"/>
  <c r="ADZ36" i="5" s="1"/>
  <c r="AEB36" i="5" s="1"/>
  <c r="AED36" i="5" s="1"/>
  <c r="AEF36" i="5" s="1"/>
  <c r="AEH36" i="5" s="1"/>
  <c r="AEJ36" i="5" s="1"/>
  <c r="AEL36" i="5" s="1"/>
  <c r="YN36" i="5"/>
  <c r="YP36" i="5" s="1"/>
  <c r="YR36" i="5" s="1"/>
  <c r="YT36" i="5" s="1"/>
  <c r="YV36" i="5" s="1"/>
  <c r="YX36" i="5" s="1"/>
  <c r="YZ36" i="5" s="1"/>
  <c r="ZB36" i="5" s="1"/>
  <c r="ZD36" i="5" s="1"/>
  <c r="ZF36" i="5" s="1"/>
  <c r="ZH36" i="5" s="1"/>
  <c r="ZJ36" i="5" s="1"/>
  <c r="ZL36" i="5" s="1"/>
  <c r="ZN36" i="5" s="1"/>
  <c r="ZP36" i="5" s="1"/>
  <c r="XI36" i="5"/>
  <c r="XK36" i="5" s="1"/>
  <c r="XM36" i="5" s="1"/>
  <c r="XO36" i="5" s="1"/>
  <c r="XQ36" i="5" s="1"/>
  <c r="XS36" i="5" s="1"/>
  <c r="XU36" i="5" s="1"/>
  <c r="XW36" i="5" s="1"/>
  <c r="XY36" i="5" s="1"/>
  <c r="YA36" i="5" s="1"/>
  <c r="YC36" i="5" s="1"/>
  <c r="YE36" i="5" s="1"/>
  <c r="YG36" i="5" s="1"/>
  <c r="YI36" i="5" s="1"/>
  <c r="YK36" i="5" s="1"/>
  <c r="YM36" i="5" s="1"/>
  <c r="YO36" i="5" s="1"/>
  <c r="YQ36" i="5" s="1"/>
  <c r="YS36" i="5" s="1"/>
  <c r="YU36" i="5" s="1"/>
  <c r="YW36" i="5" s="1"/>
  <c r="YY36" i="5" s="1"/>
  <c r="ZA36" i="5" s="1"/>
  <c r="ZC36" i="5" s="1"/>
  <c r="ZE36" i="5" s="1"/>
  <c r="ZG36" i="5" s="1"/>
  <c r="ZI36" i="5" s="1"/>
  <c r="ZK36" i="5" s="1"/>
  <c r="ZM36" i="5" s="1"/>
  <c r="ZO36" i="5" s="1"/>
  <c r="ZQ36" i="5" s="1"/>
  <c r="ZS36" i="5" s="1"/>
  <c r="ZU36" i="5" s="1"/>
  <c r="ZW36" i="5" s="1"/>
  <c r="ZY36" i="5" s="1"/>
  <c r="AAA36" i="5" s="1"/>
  <c r="AAC36" i="5" s="1"/>
  <c r="AAE36" i="5" s="1"/>
  <c r="AAG36" i="5" s="1"/>
  <c r="AAI36" i="5" s="1"/>
  <c r="AAK36" i="5" s="1"/>
  <c r="AAM36" i="5" s="1"/>
  <c r="AAO36" i="5" s="1"/>
  <c r="AAQ36" i="5" s="1"/>
  <c r="AAS36" i="5" s="1"/>
  <c r="AAU36" i="5" s="1"/>
  <c r="WC36" i="5"/>
  <c r="WE36" i="5" s="1"/>
  <c r="WG36" i="5" s="1"/>
  <c r="WI36" i="5" s="1"/>
  <c r="WK36" i="5" s="1"/>
  <c r="WM36" i="5" s="1"/>
  <c r="WO36" i="5" s="1"/>
  <c r="WQ36" i="5" s="1"/>
  <c r="WS36" i="5" s="1"/>
  <c r="WU36" i="5" s="1"/>
  <c r="WW36" i="5" s="1"/>
  <c r="WY36" i="5" s="1"/>
  <c r="XA36" i="5" s="1"/>
  <c r="XC36" i="5" s="1"/>
  <c r="XE36" i="5" s="1"/>
  <c r="VH36" i="5"/>
  <c r="VJ36" i="5" s="1"/>
  <c r="VL36" i="5" s="1"/>
  <c r="VN36" i="5" s="1"/>
  <c r="VP36" i="5" s="1"/>
  <c r="VR36" i="5" s="1"/>
  <c r="VT36" i="5" s="1"/>
  <c r="VV36" i="5" s="1"/>
  <c r="VX36" i="5" s="1"/>
  <c r="VZ36" i="5" s="1"/>
  <c r="WB36" i="5" s="1"/>
  <c r="WD36" i="5" s="1"/>
  <c r="WF36" i="5" s="1"/>
  <c r="WH36" i="5" s="1"/>
  <c r="WJ36" i="5" s="1"/>
  <c r="WL36" i="5" s="1"/>
  <c r="WN36" i="5" s="1"/>
  <c r="WP36" i="5" s="1"/>
  <c r="WR36" i="5" s="1"/>
  <c r="WT36" i="5" s="1"/>
  <c r="WV36" i="5" s="1"/>
  <c r="WX36" i="5" s="1"/>
  <c r="WZ36" i="5" s="1"/>
  <c r="XB36" i="5" s="1"/>
  <c r="XD36" i="5" s="1"/>
  <c r="XF36" i="5" s="1"/>
  <c r="XH36" i="5" s="1"/>
  <c r="XJ36" i="5" s="1"/>
  <c r="XL36" i="5" s="1"/>
  <c r="XN36" i="5" s="1"/>
  <c r="XP36" i="5" s="1"/>
  <c r="XR36" i="5" s="1"/>
  <c r="XT36" i="5" s="1"/>
  <c r="XV36" i="5" s="1"/>
  <c r="XX36" i="5" s="1"/>
  <c r="XZ36" i="5" s="1"/>
  <c r="YB36" i="5" s="1"/>
  <c r="YD36" i="5" s="1"/>
  <c r="YF36" i="5" s="1"/>
  <c r="YH36" i="5" s="1"/>
  <c r="YJ36" i="5" s="1"/>
  <c r="VG36" i="5"/>
  <c r="VI36" i="5" s="1"/>
  <c r="VK36" i="5" s="1"/>
  <c r="VM36" i="5" s="1"/>
  <c r="VO36" i="5" s="1"/>
  <c r="VQ36" i="5" s="1"/>
  <c r="VS36" i="5" s="1"/>
  <c r="VU36" i="5" s="1"/>
  <c r="VW36" i="5" s="1"/>
  <c r="VY36" i="5" s="1"/>
  <c r="S36" i="5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AG36" i="5" s="1"/>
  <c r="F36" i="5"/>
  <c r="G36" i="5" s="1"/>
  <c r="H36" i="5" s="1"/>
  <c r="I36" i="5" s="1"/>
  <c r="J36" i="5" s="1"/>
  <c r="K36" i="5" s="1"/>
  <c r="L36" i="5" s="1"/>
  <c r="M36" i="5" s="1"/>
  <c r="N36" i="5" s="1"/>
  <c r="O36" i="5" s="1"/>
  <c r="P36" i="5" s="1"/>
  <c r="Q36" i="5" s="1"/>
  <c r="ANM35" i="5"/>
  <c r="ANN35" i="5" s="1"/>
  <c r="ANO35" i="5" s="1"/>
  <c r="ANP35" i="5" s="1"/>
  <c r="ANQ35" i="5" s="1"/>
  <c r="ANR35" i="5" s="1"/>
  <c r="ANS35" i="5" s="1"/>
  <c r="ANT35" i="5" s="1"/>
  <c r="ANU35" i="5" s="1"/>
  <c r="ANV35" i="5" s="1"/>
  <c r="ANW35" i="5" s="1"/>
  <c r="ANX35" i="5" s="1"/>
  <c r="ANY35" i="5" s="1"/>
  <c r="ANZ35" i="5" s="1"/>
  <c r="AOA35" i="5" s="1"/>
  <c r="AOB35" i="5" s="1"/>
  <c r="AOC35" i="5" s="1"/>
  <c r="AMH35" i="5"/>
  <c r="AMI35" i="5" s="1"/>
  <c r="AMJ35" i="5" s="1"/>
  <c r="AMK35" i="5" s="1"/>
  <c r="AML35" i="5" s="1"/>
  <c r="AMM35" i="5" s="1"/>
  <c r="AMN35" i="5" s="1"/>
  <c r="AMO35" i="5" s="1"/>
  <c r="AMP35" i="5" s="1"/>
  <c r="AMQ35" i="5" s="1"/>
  <c r="AMR35" i="5" s="1"/>
  <c r="AMS35" i="5" s="1"/>
  <c r="AMT35" i="5" s="1"/>
  <c r="AMU35" i="5" s="1"/>
  <c r="AMV35" i="5" s="1"/>
  <c r="AMW35" i="5" s="1"/>
  <c r="AMX35" i="5" s="1"/>
  <c r="AMZ35" i="5" s="1"/>
  <c r="ANA35" i="5" s="1"/>
  <c r="ANB35" i="5" s="1"/>
  <c r="ANC35" i="5" s="1"/>
  <c r="AND35" i="5" s="1"/>
  <c r="ANE35" i="5" s="1"/>
  <c r="ANF35" i="5" s="1"/>
  <c r="ANG35" i="5" s="1"/>
  <c r="ANH35" i="5" s="1"/>
  <c r="ANI35" i="5" s="1"/>
  <c r="ANJ35" i="5" s="1"/>
  <c r="ANK35" i="5" s="1"/>
  <c r="XA35" i="5"/>
  <c r="XB35" i="5" s="1"/>
  <c r="XC35" i="5" s="1"/>
  <c r="XD35" i="5" s="1"/>
  <c r="XE35" i="5" s="1"/>
  <c r="XF35" i="5" s="1"/>
  <c r="WB35" i="5"/>
  <c r="WC35" i="5" s="1"/>
  <c r="WD35" i="5" s="1"/>
  <c r="WE35" i="5" s="1"/>
  <c r="WF35" i="5" s="1"/>
  <c r="WG35" i="5" s="1"/>
  <c r="WH35" i="5" s="1"/>
  <c r="WI35" i="5" s="1"/>
  <c r="WJ35" i="5" s="1"/>
  <c r="WK35" i="5" s="1"/>
  <c r="WL35" i="5" s="1"/>
  <c r="WM35" i="5" s="1"/>
  <c r="WN35" i="5" s="1"/>
  <c r="WO35" i="5" s="1"/>
  <c r="WP35" i="5" s="1"/>
  <c r="WQ35" i="5" s="1"/>
  <c r="WR35" i="5" s="1"/>
  <c r="WS35" i="5" s="1"/>
  <c r="WT35" i="5" s="1"/>
  <c r="WU35" i="5" s="1"/>
  <c r="WV35" i="5" s="1"/>
  <c r="WW35" i="5" s="1"/>
  <c r="WX35" i="5" s="1"/>
  <c r="WY35" i="5" s="1"/>
  <c r="UY35" i="5"/>
  <c r="UZ35" i="5" s="1"/>
  <c r="VA35" i="5" s="1"/>
  <c r="VB35" i="5" s="1"/>
  <c r="VC35" i="5" s="1"/>
  <c r="VD35" i="5" s="1"/>
  <c r="VE35" i="5" s="1"/>
  <c r="VF35" i="5" s="1"/>
  <c r="VG35" i="5" s="1"/>
  <c r="VH35" i="5" s="1"/>
  <c r="VI35" i="5" s="1"/>
  <c r="VJ35" i="5" s="1"/>
  <c r="VK35" i="5" s="1"/>
  <c r="VL35" i="5" s="1"/>
  <c r="VM35" i="5" s="1"/>
  <c r="VN35" i="5" s="1"/>
  <c r="VO35" i="5" s="1"/>
  <c r="VP35" i="5" s="1"/>
  <c r="VQ35" i="5" s="1"/>
  <c r="VR35" i="5" s="1"/>
  <c r="VS35" i="5" s="1"/>
  <c r="VT35" i="5" s="1"/>
  <c r="VU35" i="5" s="1"/>
  <c r="VV35" i="5" s="1"/>
  <c r="VW35" i="5" s="1"/>
  <c r="VX35" i="5" s="1"/>
  <c r="VY35" i="5" s="1"/>
  <c r="VZ35" i="5" s="1"/>
  <c r="TS35" i="5"/>
  <c r="TT35" i="5" s="1"/>
  <c r="TU35" i="5" s="1"/>
  <c r="TV35" i="5" s="1"/>
  <c r="TW35" i="5" s="1"/>
  <c r="TX35" i="5" s="1"/>
  <c r="TY35" i="5" s="1"/>
  <c r="TZ35" i="5" s="1"/>
  <c r="UA35" i="5" s="1"/>
  <c r="UB35" i="5" s="1"/>
  <c r="UC35" i="5" s="1"/>
  <c r="UD35" i="5" s="1"/>
  <c r="UE35" i="5" s="1"/>
  <c r="UF35" i="5" s="1"/>
  <c r="UG35" i="5" s="1"/>
  <c r="UH35" i="5" s="1"/>
  <c r="UI35" i="5" s="1"/>
  <c r="UJ35" i="5" s="1"/>
  <c r="UK35" i="5" s="1"/>
  <c r="UL35" i="5" s="1"/>
  <c r="UM35" i="5" s="1"/>
  <c r="UN35" i="5" s="1"/>
  <c r="UO35" i="5" s="1"/>
  <c r="UP35" i="5" s="1"/>
  <c r="UQ35" i="5" s="1"/>
  <c r="UR35" i="5" s="1"/>
  <c r="US35" i="5" s="1"/>
  <c r="UT35" i="5" s="1"/>
  <c r="UU35" i="5" s="1"/>
  <c r="UV35" i="5" s="1"/>
  <c r="UW35" i="5" s="1"/>
  <c r="SO35" i="5"/>
  <c r="SP35" i="5" s="1"/>
  <c r="SQ35" i="5" s="1"/>
  <c r="SR35" i="5" s="1"/>
  <c r="SS35" i="5" s="1"/>
  <c r="ST35" i="5" s="1"/>
  <c r="SU35" i="5" s="1"/>
  <c r="SV35" i="5" s="1"/>
  <c r="SW35" i="5" s="1"/>
  <c r="SX35" i="5" s="1"/>
  <c r="SY35" i="5" s="1"/>
  <c r="SZ35" i="5" s="1"/>
  <c r="TA35" i="5" s="1"/>
  <c r="TB35" i="5" s="1"/>
  <c r="TC35" i="5" s="1"/>
  <c r="TD35" i="5" s="1"/>
  <c r="TE35" i="5" s="1"/>
  <c r="TF35" i="5" s="1"/>
  <c r="TG35" i="5" s="1"/>
  <c r="TH35" i="5" s="1"/>
  <c r="TI35" i="5" s="1"/>
  <c r="TJ35" i="5" s="1"/>
  <c r="TK35" i="5" s="1"/>
  <c r="TL35" i="5" s="1"/>
  <c r="TM35" i="5" s="1"/>
  <c r="TN35" i="5" s="1"/>
  <c r="TO35" i="5" s="1"/>
  <c r="TP35" i="5" s="1"/>
  <c r="TQ35" i="5" s="1"/>
  <c r="RI35" i="5"/>
  <c r="RK35" i="5" s="1"/>
  <c r="RM35" i="5" s="1"/>
  <c r="RO35" i="5" s="1"/>
  <c r="RQ35" i="5" s="1"/>
  <c r="RS35" i="5" s="1"/>
  <c r="RU35" i="5" s="1"/>
  <c r="RW35" i="5" s="1"/>
  <c r="RY35" i="5" s="1"/>
  <c r="SA35" i="5" s="1"/>
  <c r="SC35" i="5" s="1"/>
  <c r="SE35" i="5" s="1"/>
  <c r="SG35" i="5" s="1"/>
  <c r="SI35" i="5" s="1"/>
  <c r="SK35" i="5" s="1"/>
  <c r="SM35" i="5" s="1"/>
  <c r="QC35" i="5"/>
  <c r="QE35" i="5" s="1"/>
  <c r="QG35" i="5" s="1"/>
  <c r="QI35" i="5" s="1"/>
  <c r="QK35" i="5" s="1"/>
  <c r="QM35" i="5" s="1"/>
  <c r="QO35" i="5" s="1"/>
  <c r="QQ35" i="5" s="1"/>
  <c r="QS35" i="5" s="1"/>
  <c r="QU35" i="5" s="1"/>
  <c r="QW35" i="5" s="1"/>
  <c r="QY35" i="5" s="1"/>
  <c r="RA35" i="5" s="1"/>
  <c r="RC35" i="5" s="1"/>
  <c r="RE35" i="5" s="1"/>
  <c r="OX35" i="5"/>
  <c r="OZ35" i="5" s="1"/>
  <c r="PB35" i="5" s="1"/>
  <c r="PD35" i="5" s="1"/>
  <c r="PF35" i="5" s="1"/>
  <c r="PH35" i="5" s="1"/>
  <c r="PJ35" i="5" s="1"/>
  <c r="PL35" i="5" s="1"/>
  <c r="PN35" i="5" s="1"/>
  <c r="PP35" i="5" s="1"/>
  <c r="PR35" i="5" s="1"/>
  <c r="PT35" i="5" s="1"/>
  <c r="PV35" i="5" s="1"/>
  <c r="PX35" i="5" s="1"/>
  <c r="PZ35" i="5" s="1"/>
  <c r="QB35" i="5" s="1"/>
  <c r="QD35" i="5" s="1"/>
  <c r="QF35" i="5" s="1"/>
  <c r="QH35" i="5" s="1"/>
  <c r="QJ35" i="5" s="1"/>
  <c r="QL35" i="5" s="1"/>
  <c r="QN35" i="5" s="1"/>
  <c r="QP35" i="5" s="1"/>
  <c r="QR35" i="5" s="1"/>
  <c r="QT35" i="5" s="1"/>
  <c r="QV35" i="5" s="1"/>
  <c r="QX35" i="5" s="1"/>
  <c r="QZ35" i="5" s="1"/>
  <c r="RB35" i="5" s="1"/>
  <c r="RD35" i="5" s="1"/>
  <c r="RF35" i="5" s="1"/>
  <c r="RH35" i="5" s="1"/>
  <c r="RJ35" i="5" s="1"/>
  <c r="RL35" i="5" s="1"/>
  <c r="RN35" i="5" s="1"/>
  <c r="RP35" i="5" s="1"/>
  <c r="RR35" i="5" s="1"/>
  <c r="RT35" i="5" s="1"/>
  <c r="RV35" i="5" s="1"/>
  <c r="RX35" i="5" s="1"/>
  <c r="RZ35" i="5" s="1"/>
  <c r="SB35" i="5" s="1"/>
  <c r="SD35" i="5" s="1"/>
  <c r="SF35" i="5" s="1"/>
  <c r="SH35" i="5" s="1"/>
  <c r="SJ35" i="5" s="1"/>
  <c r="NR35" i="5"/>
  <c r="NT35" i="5" s="1"/>
  <c r="NV35" i="5" s="1"/>
  <c r="NX35" i="5" s="1"/>
  <c r="NZ35" i="5" s="1"/>
  <c r="OB35" i="5" s="1"/>
  <c r="OD35" i="5" s="1"/>
  <c r="OF35" i="5" s="1"/>
  <c r="OH35" i="5" s="1"/>
  <c r="OJ35" i="5" s="1"/>
  <c r="OL35" i="5" s="1"/>
  <c r="ON35" i="5" s="1"/>
  <c r="OP35" i="5" s="1"/>
  <c r="OR35" i="5" s="1"/>
  <c r="OT35" i="5" s="1"/>
  <c r="ML35" i="5"/>
  <c r="MN35" i="5" s="1"/>
  <c r="MP35" i="5" s="1"/>
  <c r="MR35" i="5" s="1"/>
  <c r="MT35" i="5" s="1"/>
  <c r="MV35" i="5" s="1"/>
  <c r="MX35" i="5" s="1"/>
  <c r="MZ35" i="5" s="1"/>
  <c r="NB35" i="5" s="1"/>
  <c r="ND35" i="5" s="1"/>
  <c r="NF35" i="5" s="1"/>
  <c r="NH35" i="5" s="1"/>
  <c r="NJ35" i="5" s="1"/>
  <c r="NL35" i="5" s="1"/>
  <c r="NN35" i="5" s="1"/>
  <c r="LG35" i="5"/>
  <c r="LI35" i="5" s="1"/>
  <c r="LK35" i="5" s="1"/>
  <c r="LM35" i="5" s="1"/>
  <c r="LO35" i="5" s="1"/>
  <c r="LQ35" i="5" s="1"/>
  <c r="LS35" i="5" s="1"/>
  <c r="LU35" i="5" s="1"/>
  <c r="LW35" i="5" s="1"/>
  <c r="LY35" i="5" s="1"/>
  <c r="MA35" i="5" s="1"/>
  <c r="MC35" i="5" s="1"/>
  <c r="ME35" i="5" s="1"/>
  <c r="MG35" i="5" s="1"/>
  <c r="MI35" i="5" s="1"/>
  <c r="MK35" i="5" s="1"/>
  <c r="MM35" i="5" s="1"/>
  <c r="MO35" i="5" s="1"/>
  <c r="MQ35" i="5" s="1"/>
  <c r="MS35" i="5" s="1"/>
  <c r="MU35" i="5" s="1"/>
  <c r="MW35" i="5" s="1"/>
  <c r="MY35" i="5" s="1"/>
  <c r="NA35" i="5" s="1"/>
  <c r="NC35" i="5" s="1"/>
  <c r="NE35" i="5" s="1"/>
  <c r="NG35" i="5" s="1"/>
  <c r="NI35" i="5" s="1"/>
  <c r="NK35" i="5" s="1"/>
  <c r="NM35" i="5" s="1"/>
  <c r="NO35" i="5" s="1"/>
  <c r="NQ35" i="5" s="1"/>
  <c r="NS35" i="5" s="1"/>
  <c r="NU35" i="5" s="1"/>
  <c r="NW35" i="5" s="1"/>
  <c r="NY35" i="5" s="1"/>
  <c r="OA35" i="5" s="1"/>
  <c r="OC35" i="5" s="1"/>
  <c r="OE35" i="5" s="1"/>
  <c r="OG35" i="5" s="1"/>
  <c r="OI35" i="5" s="1"/>
  <c r="OK35" i="5" s="1"/>
  <c r="OM35" i="5" s="1"/>
  <c r="OO35" i="5" s="1"/>
  <c r="OQ35" i="5" s="1"/>
  <c r="OS35" i="5" s="1"/>
  <c r="OU35" i="5" s="1"/>
  <c r="OW35" i="5" s="1"/>
  <c r="OY35" i="5" s="1"/>
  <c r="PA35" i="5" s="1"/>
  <c r="PC35" i="5" s="1"/>
  <c r="PE35" i="5" s="1"/>
  <c r="PG35" i="5" s="1"/>
  <c r="PI35" i="5" s="1"/>
  <c r="PK35" i="5" s="1"/>
  <c r="PM35" i="5" s="1"/>
  <c r="PO35" i="5" s="1"/>
  <c r="PQ35" i="5" s="1"/>
  <c r="PS35" i="5" s="1"/>
  <c r="PU35" i="5" s="1"/>
  <c r="PW35" i="5" s="1"/>
  <c r="PY35" i="5" s="1"/>
  <c r="LD35" i="5"/>
  <c r="LF35" i="5" s="1"/>
  <c r="LH35" i="5" s="1"/>
  <c r="LJ35" i="5" s="1"/>
  <c r="LL35" i="5" s="1"/>
  <c r="LN35" i="5" s="1"/>
  <c r="LP35" i="5" s="1"/>
  <c r="LR35" i="5" s="1"/>
  <c r="LT35" i="5" s="1"/>
  <c r="LV35" i="5" s="1"/>
  <c r="LX35" i="5" s="1"/>
  <c r="LZ35" i="5" s="1"/>
  <c r="MB35" i="5" s="1"/>
  <c r="MD35" i="5" s="1"/>
  <c r="MF35" i="5" s="1"/>
  <c r="MH35" i="5" s="1"/>
  <c r="LC35" i="5"/>
  <c r="HE35" i="5"/>
  <c r="HF35" i="5" s="1"/>
  <c r="HG35" i="5" s="1"/>
  <c r="HH35" i="5" s="1"/>
  <c r="HI35" i="5" s="1"/>
  <c r="HJ35" i="5" s="1"/>
  <c r="HK35" i="5" s="1"/>
  <c r="HL35" i="5" s="1"/>
  <c r="HM35" i="5" s="1"/>
  <c r="HO35" i="5" s="1"/>
  <c r="HP35" i="5" s="1"/>
  <c r="AMZ34" i="5"/>
  <c r="ANA34" i="5" s="1"/>
  <c r="ANB34" i="5" s="1"/>
  <c r="ANC34" i="5" s="1"/>
  <c r="AND34" i="5" s="1"/>
  <c r="ANE34" i="5" s="1"/>
  <c r="ANF34" i="5" s="1"/>
  <c r="ANG34" i="5" s="1"/>
  <c r="ANH34" i="5" s="1"/>
  <c r="ANI34" i="5" s="1"/>
  <c r="ANJ34" i="5" s="1"/>
  <c r="ANK34" i="5" s="1"/>
  <c r="ANL34" i="5" s="1"/>
  <c r="ANM34" i="5" s="1"/>
  <c r="ANN34" i="5" s="1"/>
  <c r="ANO34" i="5" s="1"/>
  <c r="ANP34" i="5" s="1"/>
  <c r="ANQ34" i="5" s="1"/>
  <c r="ANR34" i="5" s="1"/>
  <c r="ANS34" i="5" s="1"/>
  <c r="ANT34" i="5" s="1"/>
  <c r="ANU34" i="5" s="1"/>
  <c r="ANV34" i="5" s="1"/>
  <c r="ANW34" i="5" s="1"/>
  <c r="ANX34" i="5" s="1"/>
  <c r="ANY34" i="5" s="1"/>
  <c r="ANZ34" i="5" s="1"/>
  <c r="AOA34" i="5" s="1"/>
  <c r="AOB34" i="5" s="1"/>
  <c r="AOC34" i="5" s="1"/>
  <c r="ALU34" i="5"/>
  <c r="ALV34" i="5" s="1"/>
  <c r="ALW34" i="5" s="1"/>
  <c r="ALX34" i="5" s="1"/>
  <c r="ALY34" i="5" s="1"/>
  <c r="ALZ34" i="5" s="1"/>
  <c r="AMA34" i="5" s="1"/>
  <c r="AMB34" i="5" s="1"/>
  <c r="AMC34" i="5" s="1"/>
  <c r="AMD34" i="5" s="1"/>
  <c r="AME34" i="5" s="1"/>
  <c r="AMF34" i="5" s="1"/>
  <c r="AMG34" i="5" s="1"/>
  <c r="AMH34" i="5" s="1"/>
  <c r="AMI34" i="5" s="1"/>
  <c r="AMJ34" i="5" s="1"/>
  <c r="AMK34" i="5" s="1"/>
  <c r="AML34" i="5" s="1"/>
  <c r="AMM34" i="5" s="1"/>
  <c r="AMN34" i="5" s="1"/>
  <c r="AMO34" i="5" s="1"/>
  <c r="AMP34" i="5" s="1"/>
  <c r="AMQ34" i="5" s="1"/>
  <c r="AMR34" i="5" s="1"/>
  <c r="AMS34" i="5" s="1"/>
  <c r="AMT34" i="5" s="1"/>
  <c r="AMU34" i="5" s="1"/>
  <c r="AMV34" i="5" s="1"/>
  <c r="AMW34" i="5" s="1"/>
  <c r="AMX34" i="5" s="1"/>
  <c r="AKO34" i="5"/>
  <c r="AKP34" i="5" s="1"/>
  <c r="AKQ34" i="5" s="1"/>
  <c r="AKR34" i="5" s="1"/>
  <c r="AKS34" i="5" s="1"/>
  <c r="AKT34" i="5" s="1"/>
  <c r="AKU34" i="5" s="1"/>
  <c r="AKV34" i="5" s="1"/>
  <c r="AKW34" i="5" s="1"/>
  <c r="AKX34" i="5" s="1"/>
  <c r="AKY34" i="5" s="1"/>
  <c r="AKZ34" i="5" s="1"/>
  <c r="ALA34" i="5" s="1"/>
  <c r="ALB34" i="5" s="1"/>
  <c r="ALC34" i="5" s="1"/>
  <c r="ALD34" i="5" s="1"/>
  <c r="ALE34" i="5" s="1"/>
  <c r="ALF34" i="5" s="1"/>
  <c r="ALG34" i="5" s="1"/>
  <c r="ALH34" i="5" s="1"/>
  <c r="ALI34" i="5" s="1"/>
  <c r="ALJ34" i="5" s="1"/>
  <c r="ALK34" i="5" s="1"/>
  <c r="ALL34" i="5" s="1"/>
  <c r="ALM34" i="5" s="1"/>
  <c r="ALN34" i="5" s="1"/>
  <c r="ALO34" i="5" s="1"/>
  <c r="ALP34" i="5" s="1"/>
  <c r="ALQ34" i="5" s="1"/>
  <c r="ALR34" i="5" s="1"/>
  <c r="ALS34" i="5" s="1"/>
  <c r="AJL34" i="5"/>
  <c r="AJM34" i="5" s="1"/>
  <c r="AJN34" i="5" s="1"/>
  <c r="AJO34" i="5" s="1"/>
  <c r="AJP34" i="5" s="1"/>
  <c r="AJQ34" i="5" s="1"/>
  <c r="AJR34" i="5" s="1"/>
  <c r="AJS34" i="5" s="1"/>
  <c r="AJT34" i="5" s="1"/>
  <c r="AJU34" i="5" s="1"/>
  <c r="AJV34" i="5" s="1"/>
  <c r="AJW34" i="5" s="1"/>
  <c r="AJX34" i="5" s="1"/>
  <c r="AJY34" i="5" s="1"/>
  <c r="AJZ34" i="5" s="1"/>
  <c r="AKA34" i="5" s="1"/>
  <c r="AKB34" i="5" s="1"/>
  <c r="AKC34" i="5" s="1"/>
  <c r="AKD34" i="5" s="1"/>
  <c r="AKE34" i="5" s="1"/>
  <c r="AKF34" i="5" s="1"/>
  <c r="AKG34" i="5" s="1"/>
  <c r="AKH34" i="5" s="1"/>
  <c r="AKI34" i="5" s="1"/>
  <c r="AKJ34" i="5" s="1"/>
  <c r="AKK34" i="5" s="1"/>
  <c r="AKL34" i="5" s="1"/>
  <c r="AKM34" i="5" s="1"/>
  <c r="AIF34" i="5"/>
  <c r="AIG34" i="5" s="1"/>
  <c r="AIH34" i="5" s="1"/>
  <c r="AII34" i="5" s="1"/>
  <c r="AIJ34" i="5" s="1"/>
  <c r="AIK34" i="5" s="1"/>
  <c r="AIL34" i="5" s="1"/>
  <c r="AIM34" i="5" s="1"/>
  <c r="AIN34" i="5" s="1"/>
  <c r="AIO34" i="5" s="1"/>
  <c r="AIP34" i="5" s="1"/>
  <c r="AIQ34" i="5" s="1"/>
  <c r="AIR34" i="5" s="1"/>
  <c r="AIS34" i="5" s="1"/>
  <c r="AIT34" i="5" s="1"/>
  <c r="AIU34" i="5" s="1"/>
  <c r="AIV34" i="5" s="1"/>
  <c r="AIW34" i="5" s="1"/>
  <c r="AIX34" i="5" s="1"/>
  <c r="AIY34" i="5" s="1"/>
  <c r="AIZ34" i="5" s="1"/>
  <c r="AJA34" i="5" s="1"/>
  <c r="AJB34" i="5" s="1"/>
  <c r="AJC34" i="5" s="1"/>
  <c r="AJD34" i="5" s="1"/>
  <c r="AJE34" i="5" s="1"/>
  <c r="AJF34" i="5" s="1"/>
  <c r="AJG34" i="5" s="1"/>
  <c r="AJH34" i="5" s="1"/>
  <c r="AJI34" i="5" s="1"/>
  <c r="AJJ34" i="5" s="1"/>
  <c r="AGZ34" i="5"/>
  <c r="AHA34" i="5" s="1"/>
  <c r="AHB34" i="5" s="1"/>
  <c r="AHC34" i="5" s="1"/>
  <c r="AHD34" i="5" s="1"/>
  <c r="AHE34" i="5" s="1"/>
  <c r="AHF34" i="5" s="1"/>
  <c r="AHG34" i="5" s="1"/>
  <c r="AHH34" i="5" s="1"/>
  <c r="AHI34" i="5" s="1"/>
  <c r="AHJ34" i="5" s="1"/>
  <c r="AHK34" i="5" s="1"/>
  <c r="AHL34" i="5" s="1"/>
  <c r="AHM34" i="5" s="1"/>
  <c r="AHN34" i="5" s="1"/>
  <c r="AHO34" i="5" s="1"/>
  <c r="AHP34" i="5" s="1"/>
  <c r="AHQ34" i="5" s="1"/>
  <c r="AHR34" i="5" s="1"/>
  <c r="AHS34" i="5" s="1"/>
  <c r="AHT34" i="5" s="1"/>
  <c r="AHU34" i="5" s="1"/>
  <c r="AHV34" i="5" s="1"/>
  <c r="AHW34" i="5" s="1"/>
  <c r="AHX34" i="5" s="1"/>
  <c r="AHY34" i="5" s="1"/>
  <c r="AHZ34" i="5" s="1"/>
  <c r="AIA34" i="5" s="1"/>
  <c r="AIB34" i="5" s="1"/>
  <c r="AIC34" i="5" s="1"/>
  <c r="AID34" i="5" s="1"/>
  <c r="AFU34" i="5"/>
  <c r="AFV34" i="5" s="1"/>
  <c r="AFW34" i="5" s="1"/>
  <c r="AFX34" i="5" s="1"/>
  <c r="AFY34" i="5" s="1"/>
  <c r="AFZ34" i="5" s="1"/>
  <c r="AGA34" i="5" s="1"/>
  <c r="AGB34" i="5" s="1"/>
  <c r="AGC34" i="5" s="1"/>
  <c r="AGD34" i="5" s="1"/>
  <c r="AGE34" i="5" s="1"/>
  <c r="AGF34" i="5" s="1"/>
  <c r="AGG34" i="5" s="1"/>
  <c r="AGH34" i="5" s="1"/>
  <c r="AGI34" i="5" s="1"/>
  <c r="AGJ34" i="5" s="1"/>
  <c r="AGK34" i="5" s="1"/>
  <c r="AGL34" i="5" s="1"/>
  <c r="AGM34" i="5" s="1"/>
  <c r="AGN34" i="5" s="1"/>
  <c r="AGO34" i="5" s="1"/>
  <c r="AGP34" i="5" s="1"/>
  <c r="AGQ34" i="5" s="1"/>
  <c r="AGR34" i="5" s="1"/>
  <c r="AGS34" i="5" s="1"/>
  <c r="AGT34" i="5" s="1"/>
  <c r="AGU34" i="5" s="1"/>
  <c r="AGV34" i="5" s="1"/>
  <c r="AGW34" i="5" s="1"/>
  <c r="AGX34" i="5" s="1"/>
  <c r="AEO34" i="5"/>
  <c r="AEP34" i="5" s="1"/>
  <c r="AEQ34" i="5" s="1"/>
  <c r="AER34" i="5" s="1"/>
  <c r="AES34" i="5" s="1"/>
  <c r="AET34" i="5" s="1"/>
  <c r="AEU34" i="5" s="1"/>
  <c r="AEV34" i="5" s="1"/>
  <c r="AEW34" i="5" s="1"/>
  <c r="AEX34" i="5" s="1"/>
  <c r="AEY34" i="5" s="1"/>
  <c r="AEZ34" i="5" s="1"/>
  <c r="AFA34" i="5" s="1"/>
  <c r="AFB34" i="5" s="1"/>
  <c r="AFC34" i="5" s="1"/>
  <c r="AFD34" i="5" s="1"/>
  <c r="AFE34" i="5" s="1"/>
  <c r="AFF34" i="5" s="1"/>
  <c r="AFG34" i="5" s="1"/>
  <c r="AFH34" i="5" s="1"/>
  <c r="AFI34" i="5" s="1"/>
  <c r="AFJ34" i="5" s="1"/>
  <c r="AFK34" i="5" s="1"/>
  <c r="AFL34" i="5" s="1"/>
  <c r="AFM34" i="5" s="1"/>
  <c r="AFN34" i="5" s="1"/>
  <c r="AFO34" i="5" s="1"/>
  <c r="AFP34" i="5" s="1"/>
  <c r="AFQ34" i="5" s="1"/>
  <c r="AFR34" i="5" s="1"/>
  <c r="AFS34" i="5" s="1"/>
  <c r="ADJ34" i="5"/>
  <c r="ADK34" i="5" s="1"/>
  <c r="ADL34" i="5" s="1"/>
  <c r="ADM34" i="5" s="1"/>
  <c r="ADN34" i="5" s="1"/>
  <c r="ADO34" i="5" s="1"/>
  <c r="ADP34" i="5" s="1"/>
  <c r="ADQ34" i="5" s="1"/>
  <c r="ADR34" i="5" s="1"/>
  <c r="ADS34" i="5" s="1"/>
  <c r="ADT34" i="5" s="1"/>
  <c r="ADU34" i="5" s="1"/>
  <c r="ADV34" i="5" s="1"/>
  <c r="ADW34" i="5" s="1"/>
  <c r="ADX34" i="5" s="1"/>
  <c r="ADY34" i="5" s="1"/>
  <c r="ADZ34" i="5" s="1"/>
  <c r="AEA34" i="5" s="1"/>
  <c r="AEB34" i="5" s="1"/>
  <c r="AEC34" i="5" s="1"/>
  <c r="AED34" i="5" s="1"/>
  <c r="AEE34" i="5" s="1"/>
  <c r="AEF34" i="5" s="1"/>
  <c r="AEG34" i="5" s="1"/>
  <c r="AEH34" i="5" s="1"/>
  <c r="AEI34" i="5" s="1"/>
  <c r="AEJ34" i="5" s="1"/>
  <c r="AEK34" i="5" s="1"/>
  <c r="AEL34" i="5" s="1"/>
  <c r="AEM34" i="5" s="1"/>
  <c r="ACD34" i="5"/>
  <c r="ACE34" i="5" s="1"/>
  <c r="ACF34" i="5" s="1"/>
  <c r="ACG34" i="5" s="1"/>
  <c r="ACH34" i="5" s="1"/>
  <c r="ACI34" i="5" s="1"/>
  <c r="ACJ34" i="5" s="1"/>
  <c r="ACK34" i="5" s="1"/>
  <c r="ACL34" i="5" s="1"/>
  <c r="ACM34" i="5" s="1"/>
  <c r="ACN34" i="5" s="1"/>
  <c r="ACO34" i="5" s="1"/>
  <c r="ACP34" i="5" s="1"/>
  <c r="ACQ34" i="5" s="1"/>
  <c r="ACR34" i="5" s="1"/>
  <c r="ACS34" i="5" s="1"/>
  <c r="ACT34" i="5" s="1"/>
  <c r="ACU34" i="5" s="1"/>
  <c r="ACV34" i="5" s="1"/>
  <c r="ACW34" i="5" s="1"/>
  <c r="ACX34" i="5" s="1"/>
  <c r="ACY34" i="5" s="1"/>
  <c r="ACZ34" i="5" s="1"/>
  <c r="ADA34" i="5" s="1"/>
  <c r="ADB34" i="5" s="1"/>
  <c r="ADC34" i="5" s="1"/>
  <c r="ADD34" i="5" s="1"/>
  <c r="ADE34" i="5" s="1"/>
  <c r="ADF34" i="5" s="1"/>
  <c r="ADG34" i="5" s="1"/>
  <c r="ADH34" i="5" s="1"/>
  <c r="AAX34" i="5"/>
  <c r="AAY34" i="5" s="1"/>
  <c r="AAZ34" i="5" s="1"/>
  <c r="ABA34" i="5" s="1"/>
  <c r="ABB34" i="5" s="1"/>
  <c r="ABC34" i="5" s="1"/>
  <c r="ABD34" i="5" s="1"/>
  <c r="ABE34" i="5" s="1"/>
  <c r="ABF34" i="5" s="1"/>
  <c r="ABG34" i="5" s="1"/>
  <c r="ABH34" i="5" s="1"/>
  <c r="ABI34" i="5" s="1"/>
  <c r="ABJ34" i="5" s="1"/>
  <c r="ABK34" i="5" s="1"/>
  <c r="ABL34" i="5" s="1"/>
  <c r="ABM34" i="5" s="1"/>
  <c r="ABN34" i="5" s="1"/>
  <c r="ABO34" i="5" s="1"/>
  <c r="ABP34" i="5" s="1"/>
  <c r="ABQ34" i="5" s="1"/>
  <c r="ABR34" i="5" s="1"/>
  <c r="ABS34" i="5" s="1"/>
  <c r="ABT34" i="5" s="1"/>
  <c r="ABU34" i="5" s="1"/>
  <c r="ABV34" i="5" s="1"/>
  <c r="ABW34" i="5" s="1"/>
  <c r="ABX34" i="5" s="1"/>
  <c r="ABY34" i="5" s="1"/>
  <c r="ABZ34" i="5" s="1"/>
  <c r="ACA34" i="5" s="1"/>
  <c r="ACB34" i="5" s="1"/>
  <c r="ZS34" i="5"/>
  <c r="ZT34" i="5" s="1"/>
  <c r="ZU34" i="5" s="1"/>
  <c r="ZV34" i="5" s="1"/>
  <c r="ZW34" i="5" s="1"/>
  <c r="ZX34" i="5" s="1"/>
  <c r="ZY34" i="5" s="1"/>
  <c r="ZZ34" i="5" s="1"/>
  <c r="AAA34" i="5" s="1"/>
  <c r="AAB34" i="5" s="1"/>
  <c r="AAC34" i="5" s="1"/>
  <c r="AAD34" i="5" s="1"/>
  <c r="AAE34" i="5" s="1"/>
  <c r="AAF34" i="5" s="1"/>
  <c r="AAG34" i="5" s="1"/>
  <c r="AAH34" i="5" s="1"/>
  <c r="AAI34" i="5" s="1"/>
  <c r="AAJ34" i="5" s="1"/>
  <c r="AAK34" i="5" s="1"/>
  <c r="AAL34" i="5" s="1"/>
  <c r="AAM34" i="5" s="1"/>
  <c r="AAN34" i="5" s="1"/>
  <c r="AAO34" i="5" s="1"/>
  <c r="AAP34" i="5" s="1"/>
  <c r="AAQ34" i="5" s="1"/>
  <c r="AAR34" i="5" s="1"/>
  <c r="AAS34" i="5" s="1"/>
  <c r="AAT34" i="5" s="1"/>
  <c r="AAU34" i="5" s="1"/>
  <c r="AAV34" i="5" s="1"/>
  <c r="YM34" i="5"/>
  <c r="YN34" i="5" s="1"/>
  <c r="YO34" i="5" s="1"/>
  <c r="YP34" i="5" s="1"/>
  <c r="YQ34" i="5" s="1"/>
  <c r="YR34" i="5" s="1"/>
  <c r="YS34" i="5" s="1"/>
  <c r="YT34" i="5" s="1"/>
  <c r="YU34" i="5" s="1"/>
  <c r="YV34" i="5" s="1"/>
  <c r="YW34" i="5" s="1"/>
  <c r="YX34" i="5" s="1"/>
  <c r="YY34" i="5" s="1"/>
  <c r="YZ34" i="5" s="1"/>
  <c r="ZA34" i="5" s="1"/>
  <c r="ZB34" i="5" s="1"/>
  <c r="ZC34" i="5" s="1"/>
  <c r="ZD34" i="5" s="1"/>
  <c r="ZE34" i="5" s="1"/>
  <c r="ZF34" i="5" s="1"/>
  <c r="ZG34" i="5" s="1"/>
  <c r="ZH34" i="5" s="1"/>
  <c r="ZI34" i="5" s="1"/>
  <c r="ZJ34" i="5" s="1"/>
  <c r="ZK34" i="5" s="1"/>
  <c r="ZL34" i="5" s="1"/>
  <c r="ZM34" i="5" s="1"/>
  <c r="ZN34" i="5" s="1"/>
  <c r="ZO34" i="5" s="1"/>
  <c r="ZP34" i="5" s="1"/>
  <c r="ZQ34" i="5" s="1"/>
  <c r="XH34" i="5"/>
  <c r="XI34" i="5" s="1"/>
  <c r="XJ34" i="5" s="1"/>
  <c r="XK34" i="5" s="1"/>
  <c r="XL34" i="5" s="1"/>
  <c r="XM34" i="5" s="1"/>
  <c r="XN34" i="5" s="1"/>
  <c r="XO34" i="5" s="1"/>
  <c r="XP34" i="5" s="1"/>
  <c r="XQ34" i="5" s="1"/>
  <c r="XR34" i="5" s="1"/>
  <c r="XS34" i="5" s="1"/>
  <c r="XT34" i="5" s="1"/>
  <c r="XU34" i="5" s="1"/>
  <c r="XV34" i="5" s="1"/>
  <c r="XW34" i="5" s="1"/>
  <c r="XX34" i="5" s="1"/>
  <c r="XY34" i="5" s="1"/>
  <c r="XZ34" i="5" s="1"/>
  <c r="YA34" i="5" s="1"/>
  <c r="YB34" i="5" s="1"/>
  <c r="YC34" i="5" s="1"/>
  <c r="YD34" i="5" s="1"/>
  <c r="YE34" i="5" s="1"/>
  <c r="YF34" i="5" s="1"/>
  <c r="YG34" i="5" s="1"/>
  <c r="YH34" i="5" s="1"/>
  <c r="YI34" i="5" s="1"/>
  <c r="YJ34" i="5" s="1"/>
  <c r="YK34" i="5" s="1"/>
  <c r="WB34" i="5"/>
  <c r="WC34" i="5" s="1"/>
  <c r="WD34" i="5" s="1"/>
  <c r="WE34" i="5" s="1"/>
  <c r="WF34" i="5" s="1"/>
  <c r="WG34" i="5" s="1"/>
  <c r="WH34" i="5" s="1"/>
  <c r="WI34" i="5" s="1"/>
  <c r="WJ34" i="5" s="1"/>
  <c r="WK34" i="5" s="1"/>
  <c r="WL34" i="5" s="1"/>
  <c r="WM34" i="5" s="1"/>
  <c r="WN34" i="5" s="1"/>
  <c r="WO34" i="5" s="1"/>
  <c r="WP34" i="5" s="1"/>
  <c r="WQ34" i="5" s="1"/>
  <c r="WR34" i="5" s="1"/>
  <c r="WS34" i="5" s="1"/>
  <c r="WT34" i="5" s="1"/>
  <c r="WU34" i="5" s="1"/>
  <c r="WV34" i="5" s="1"/>
  <c r="WW34" i="5" s="1"/>
  <c r="WX34" i="5" s="1"/>
  <c r="WY34" i="5" s="1"/>
  <c r="WZ34" i="5" s="1"/>
  <c r="XA34" i="5" s="1"/>
  <c r="XB34" i="5" s="1"/>
  <c r="XC34" i="5" s="1"/>
  <c r="XD34" i="5" s="1"/>
  <c r="XE34" i="5" s="1"/>
  <c r="XF34" i="5" s="1"/>
  <c r="UY34" i="5"/>
  <c r="UZ34" i="5" s="1"/>
  <c r="VA34" i="5" s="1"/>
  <c r="VB34" i="5" s="1"/>
  <c r="VC34" i="5" s="1"/>
  <c r="VD34" i="5" s="1"/>
  <c r="VE34" i="5" s="1"/>
  <c r="VF34" i="5" s="1"/>
  <c r="VG34" i="5" s="1"/>
  <c r="VH34" i="5" s="1"/>
  <c r="VI34" i="5" s="1"/>
  <c r="VJ34" i="5" s="1"/>
  <c r="VK34" i="5" s="1"/>
  <c r="VL34" i="5" s="1"/>
  <c r="VM34" i="5" s="1"/>
  <c r="VN34" i="5" s="1"/>
  <c r="VO34" i="5" s="1"/>
  <c r="VP34" i="5" s="1"/>
  <c r="VQ34" i="5" s="1"/>
  <c r="VR34" i="5" s="1"/>
  <c r="VS34" i="5" s="1"/>
  <c r="VT34" i="5" s="1"/>
  <c r="VU34" i="5" s="1"/>
  <c r="VV34" i="5" s="1"/>
  <c r="VW34" i="5" s="1"/>
  <c r="VX34" i="5" s="1"/>
  <c r="VY34" i="5" s="1"/>
  <c r="VZ34" i="5" s="1"/>
  <c r="TZ34" i="5"/>
  <c r="UA34" i="5" s="1"/>
  <c r="UB34" i="5" s="1"/>
  <c r="UC34" i="5" s="1"/>
  <c r="UD34" i="5" s="1"/>
  <c r="UE34" i="5" s="1"/>
  <c r="UF34" i="5" s="1"/>
  <c r="UG34" i="5" s="1"/>
  <c r="UH34" i="5" s="1"/>
  <c r="UI34" i="5" s="1"/>
  <c r="UJ34" i="5" s="1"/>
  <c r="UK34" i="5" s="1"/>
  <c r="UL34" i="5" s="1"/>
  <c r="UM34" i="5" s="1"/>
  <c r="UN34" i="5" s="1"/>
  <c r="UO34" i="5" s="1"/>
  <c r="UP34" i="5" s="1"/>
  <c r="UQ34" i="5" s="1"/>
  <c r="UR34" i="5" s="1"/>
  <c r="US34" i="5" s="1"/>
  <c r="UT34" i="5" s="1"/>
  <c r="UU34" i="5" s="1"/>
  <c r="UV34" i="5" s="1"/>
  <c r="UW34" i="5" s="1"/>
  <c r="SH34" i="5"/>
  <c r="SJ34" i="5" s="1"/>
  <c r="SG34" i="5"/>
  <c r="SI34" i="5" s="1"/>
  <c r="SK34" i="5" s="1"/>
  <c r="SM34" i="5" s="1"/>
  <c r="SN34" i="5" s="1"/>
  <c r="SO34" i="5" s="1"/>
  <c r="SP34" i="5" s="1"/>
  <c r="SQ34" i="5" s="1"/>
  <c r="SR34" i="5" s="1"/>
  <c r="SS34" i="5" s="1"/>
  <c r="ST34" i="5" s="1"/>
  <c r="SU34" i="5" s="1"/>
  <c r="SV34" i="5" s="1"/>
  <c r="SW34" i="5" s="1"/>
  <c r="SX34" i="5" s="1"/>
  <c r="SY34" i="5" s="1"/>
  <c r="SZ34" i="5" s="1"/>
  <c r="TA34" i="5" s="1"/>
  <c r="TB34" i="5" s="1"/>
  <c r="TC34" i="5" s="1"/>
  <c r="TD34" i="5" s="1"/>
  <c r="TE34" i="5" s="1"/>
  <c r="TF34" i="5" s="1"/>
  <c r="TG34" i="5" s="1"/>
  <c r="TH34" i="5" s="1"/>
  <c r="TI34" i="5" s="1"/>
  <c r="TJ34" i="5" s="1"/>
  <c r="TK34" i="5" s="1"/>
  <c r="TL34" i="5" s="1"/>
  <c r="TM34" i="5" s="1"/>
  <c r="TN34" i="5" s="1"/>
  <c r="TO34" i="5" s="1"/>
  <c r="TP34" i="5" s="1"/>
  <c r="TQ34" i="5" s="1"/>
  <c r="TS34" i="5" s="1"/>
  <c r="TT34" i="5" s="1"/>
  <c r="TU34" i="5" s="1"/>
  <c r="TV34" i="5" s="1"/>
  <c r="TW34" i="5" s="1"/>
  <c r="TX34" i="5" s="1"/>
  <c r="RI34" i="5"/>
  <c r="RK34" i="5" s="1"/>
  <c r="RM34" i="5" s="1"/>
  <c r="RO34" i="5" s="1"/>
  <c r="RQ34" i="5" s="1"/>
  <c r="RS34" i="5" s="1"/>
  <c r="RU34" i="5" s="1"/>
  <c r="RW34" i="5" s="1"/>
  <c r="RY34" i="5" s="1"/>
  <c r="SA34" i="5" s="1"/>
  <c r="SC34" i="5" s="1"/>
  <c r="SE34" i="5" s="1"/>
  <c r="QC34" i="5"/>
  <c r="QE34" i="5" s="1"/>
  <c r="QG34" i="5" s="1"/>
  <c r="QI34" i="5" s="1"/>
  <c r="QK34" i="5" s="1"/>
  <c r="QM34" i="5" s="1"/>
  <c r="QO34" i="5" s="1"/>
  <c r="QQ34" i="5" s="1"/>
  <c r="QS34" i="5" s="1"/>
  <c r="QU34" i="5" s="1"/>
  <c r="QW34" i="5" s="1"/>
  <c r="QY34" i="5" s="1"/>
  <c r="RA34" i="5" s="1"/>
  <c r="RC34" i="5" s="1"/>
  <c r="RE34" i="5" s="1"/>
  <c r="PF34" i="5"/>
  <c r="PH34" i="5" s="1"/>
  <c r="PJ34" i="5" s="1"/>
  <c r="PL34" i="5" s="1"/>
  <c r="PN34" i="5" s="1"/>
  <c r="PP34" i="5" s="1"/>
  <c r="PR34" i="5" s="1"/>
  <c r="PT34" i="5" s="1"/>
  <c r="PV34" i="5" s="1"/>
  <c r="PX34" i="5" s="1"/>
  <c r="PZ34" i="5" s="1"/>
  <c r="QB34" i="5" s="1"/>
  <c r="QD34" i="5" s="1"/>
  <c r="QF34" i="5" s="1"/>
  <c r="QH34" i="5" s="1"/>
  <c r="QJ34" i="5" s="1"/>
  <c r="QL34" i="5" s="1"/>
  <c r="QN34" i="5" s="1"/>
  <c r="QP34" i="5" s="1"/>
  <c r="QR34" i="5" s="1"/>
  <c r="QT34" i="5" s="1"/>
  <c r="QV34" i="5" s="1"/>
  <c r="QX34" i="5" s="1"/>
  <c r="QZ34" i="5" s="1"/>
  <c r="RB34" i="5" s="1"/>
  <c r="RD34" i="5" s="1"/>
  <c r="RF34" i="5" s="1"/>
  <c r="RH34" i="5" s="1"/>
  <c r="RJ34" i="5" s="1"/>
  <c r="RL34" i="5" s="1"/>
  <c r="RN34" i="5" s="1"/>
  <c r="RP34" i="5" s="1"/>
  <c r="RR34" i="5" s="1"/>
  <c r="RT34" i="5" s="1"/>
  <c r="RV34" i="5" s="1"/>
  <c r="RX34" i="5" s="1"/>
  <c r="RZ34" i="5" s="1"/>
  <c r="SB34" i="5" s="1"/>
  <c r="SD34" i="5" s="1"/>
  <c r="PE34" i="5"/>
  <c r="PG34" i="5" s="1"/>
  <c r="PI34" i="5" s="1"/>
  <c r="PK34" i="5" s="1"/>
  <c r="PM34" i="5" s="1"/>
  <c r="PO34" i="5" s="1"/>
  <c r="PQ34" i="5" s="1"/>
  <c r="PS34" i="5" s="1"/>
  <c r="PU34" i="5" s="1"/>
  <c r="PW34" i="5" s="1"/>
  <c r="PY34" i="5" s="1"/>
  <c r="PB34" i="5"/>
  <c r="PA34" i="5"/>
  <c r="OX34" i="5"/>
  <c r="NR34" i="5"/>
  <c r="NT34" i="5" s="1"/>
  <c r="NV34" i="5" s="1"/>
  <c r="NX34" i="5" s="1"/>
  <c r="NZ34" i="5" s="1"/>
  <c r="OB34" i="5" s="1"/>
  <c r="OD34" i="5" s="1"/>
  <c r="OF34" i="5" s="1"/>
  <c r="OH34" i="5" s="1"/>
  <c r="OJ34" i="5" s="1"/>
  <c r="OL34" i="5" s="1"/>
  <c r="ON34" i="5" s="1"/>
  <c r="OP34" i="5" s="1"/>
  <c r="OR34" i="5" s="1"/>
  <c r="OT34" i="5" s="1"/>
  <c r="ML34" i="5"/>
  <c r="MN34" i="5" s="1"/>
  <c r="MP34" i="5" s="1"/>
  <c r="MR34" i="5" s="1"/>
  <c r="MT34" i="5" s="1"/>
  <c r="MV34" i="5" s="1"/>
  <c r="MX34" i="5" s="1"/>
  <c r="MZ34" i="5" s="1"/>
  <c r="NB34" i="5" s="1"/>
  <c r="ND34" i="5" s="1"/>
  <c r="NF34" i="5" s="1"/>
  <c r="NH34" i="5" s="1"/>
  <c r="NJ34" i="5" s="1"/>
  <c r="NL34" i="5" s="1"/>
  <c r="NN34" i="5" s="1"/>
  <c r="LG34" i="5"/>
  <c r="LI34" i="5" s="1"/>
  <c r="LK34" i="5" s="1"/>
  <c r="LM34" i="5" s="1"/>
  <c r="LO34" i="5" s="1"/>
  <c r="LQ34" i="5" s="1"/>
  <c r="LS34" i="5" s="1"/>
  <c r="LU34" i="5" s="1"/>
  <c r="LW34" i="5" s="1"/>
  <c r="LY34" i="5" s="1"/>
  <c r="MA34" i="5" s="1"/>
  <c r="MC34" i="5" s="1"/>
  <c r="ME34" i="5" s="1"/>
  <c r="MG34" i="5" s="1"/>
  <c r="MI34" i="5" s="1"/>
  <c r="MK34" i="5" s="1"/>
  <c r="MM34" i="5" s="1"/>
  <c r="MO34" i="5" s="1"/>
  <c r="MQ34" i="5" s="1"/>
  <c r="MS34" i="5" s="1"/>
  <c r="MU34" i="5" s="1"/>
  <c r="MW34" i="5" s="1"/>
  <c r="MY34" i="5" s="1"/>
  <c r="NA34" i="5" s="1"/>
  <c r="NC34" i="5" s="1"/>
  <c r="NE34" i="5" s="1"/>
  <c r="NG34" i="5" s="1"/>
  <c r="NI34" i="5" s="1"/>
  <c r="NK34" i="5" s="1"/>
  <c r="NM34" i="5" s="1"/>
  <c r="NO34" i="5" s="1"/>
  <c r="NQ34" i="5" s="1"/>
  <c r="NS34" i="5" s="1"/>
  <c r="NU34" i="5" s="1"/>
  <c r="NW34" i="5" s="1"/>
  <c r="NY34" i="5" s="1"/>
  <c r="OA34" i="5" s="1"/>
  <c r="OC34" i="5" s="1"/>
  <c r="OE34" i="5" s="1"/>
  <c r="OG34" i="5" s="1"/>
  <c r="OI34" i="5" s="1"/>
  <c r="OK34" i="5" s="1"/>
  <c r="OM34" i="5" s="1"/>
  <c r="OO34" i="5" s="1"/>
  <c r="OQ34" i="5" s="1"/>
  <c r="OS34" i="5" s="1"/>
  <c r="OU34" i="5" s="1"/>
  <c r="OW34" i="5" s="1"/>
  <c r="OY34" i="5" s="1"/>
  <c r="LD34" i="5"/>
  <c r="LF34" i="5" s="1"/>
  <c r="LH34" i="5" s="1"/>
  <c r="LJ34" i="5" s="1"/>
  <c r="LL34" i="5" s="1"/>
  <c r="LN34" i="5" s="1"/>
  <c r="LP34" i="5" s="1"/>
  <c r="LR34" i="5" s="1"/>
  <c r="LT34" i="5" s="1"/>
  <c r="LV34" i="5" s="1"/>
  <c r="LX34" i="5" s="1"/>
  <c r="LZ34" i="5" s="1"/>
  <c r="MB34" i="5" s="1"/>
  <c r="MD34" i="5" s="1"/>
  <c r="MF34" i="5" s="1"/>
  <c r="MH34" i="5" s="1"/>
  <c r="LC34" i="5"/>
  <c r="HE34" i="5"/>
  <c r="HF34" i="5" s="1"/>
  <c r="HG34" i="5" s="1"/>
  <c r="HH34" i="5" s="1"/>
  <c r="HI34" i="5" s="1"/>
  <c r="HJ34" i="5" s="1"/>
  <c r="HK34" i="5" s="1"/>
  <c r="HL34" i="5" s="1"/>
  <c r="HM34" i="5" s="1"/>
  <c r="HO34" i="5" s="1"/>
  <c r="HP34" i="5" s="1"/>
  <c r="AMZ33" i="5"/>
  <c r="ANA33" i="5" s="1"/>
  <c r="ANB33" i="5" s="1"/>
  <c r="ANC33" i="5" s="1"/>
  <c r="AND33" i="5" s="1"/>
  <c r="ANE33" i="5" s="1"/>
  <c r="ANF33" i="5" s="1"/>
  <c r="ANG33" i="5" s="1"/>
  <c r="ANH33" i="5" s="1"/>
  <c r="ANI33" i="5" s="1"/>
  <c r="ANJ33" i="5" s="1"/>
  <c r="ANK33" i="5" s="1"/>
  <c r="ANL33" i="5" s="1"/>
  <c r="ANM33" i="5" s="1"/>
  <c r="ANN33" i="5" s="1"/>
  <c r="ANO33" i="5" s="1"/>
  <c r="ANP33" i="5" s="1"/>
  <c r="ANQ33" i="5" s="1"/>
  <c r="ANR33" i="5" s="1"/>
  <c r="ANS33" i="5" s="1"/>
  <c r="ANT33" i="5" s="1"/>
  <c r="ANU33" i="5" s="1"/>
  <c r="ANV33" i="5" s="1"/>
  <c r="ANW33" i="5" s="1"/>
  <c r="ANX33" i="5" s="1"/>
  <c r="ANY33" i="5" s="1"/>
  <c r="ANZ33" i="5" s="1"/>
  <c r="AOA33" i="5" s="1"/>
  <c r="AOB33" i="5" s="1"/>
  <c r="AOC33" i="5" s="1"/>
  <c r="ALU33" i="5"/>
  <c r="ALV33" i="5" s="1"/>
  <c r="ALW33" i="5" s="1"/>
  <c r="ALX33" i="5" s="1"/>
  <c r="ALY33" i="5" s="1"/>
  <c r="ALZ33" i="5" s="1"/>
  <c r="AMA33" i="5" s="1"/>
  <c r="AMB33" i="5" s="1"/>
  <c r="AMC33" i="5" s="1"/>
  <c r="AMD33" i="5" s="1"/>
  <c r="AME33" i="5" s="1"/>
  <c r="AMF33" i="5" s="1"/>
  <c r="AMG33" i="5" s="1"/>
  <c r="AMH33" i="5" s="1"/>
  <c r="AMI33" i="5" s="1"/>
  <c r="AMJ33" i="5" s="1"/>
  <c r="AMK33" i="5" s="1"/>
  <c r="AML33" i="5" s="1"/>
  <c r="AMM33" i="5" s="1"/>
  <c r="AMN33" i="5" s="1"/>
  <c r="AMO33" i="5" s="1"/>
  <c r="AMP33" i="5" s="1"/>
  <c r="AMQ33" i="5" s="1"/>
  <c r="AMR33" i="5" s="1"/>
  <c r="AMS33" i="5" s="1"/>
  <c r="AMT33" i="5" s="1"/>
  <c r="AMU33" i="5" s="1"/>
  <c r="AMV33" i="5" s="1"/>
  <c r="AMW33" i="5" s="1"/>
  <c r="AMX33" i="5" s="1"/>
  <c r="AKO33" i="5"/>
  <c r="AKP33" i="5" s="1"/>
  <c r="AKQ33" i="5" s="1"/>
  <c r="AKR33" i="5" s="1"/>
  <c r="AKS33" i="5" s="1"/>
  <c r="AKT33" i="5" s="1"/>
  <c r="AKU33" i="5" s="1"/>
  <c r="AKV33" i="5" s="1"/>
  <c r="AKW33" i="5" s="1"/>
  <c r="AKX33" i="5" s="1"/>
  <c r="AKY33" i="5" s="1"/>
  <c r="AKZ33" i="5" s="1"/>
  <c r="ALA33" i="5" s="1"/>
  <c r="ALB33" i="5" s="1"/>
  <c r="ALC33" i="5" s="1"/>
  <c r="ALD33" i="5" s="1"/>
  <c r="ALE33" i="5" s="1"/>
  <c r="ALF33" i="5" s="1"/>
  <c r="ALG33" i="5" s="1"/>
  <c r="ALH33" i="5" s="1"/>
  <c r="ALI33" i="5" s="1"/>
  <c r="ALJ33" i="5" s="1"/>
  <c r="ALK33" i="5" s="1"/>
  <c r="ALL33" i="5" s="1"/>
  <c r="ALM33" i="5" s="1"/>
  <c r="ALN33" i="5" s="1"/>
  <c r="ALO33" i="5" s="1"/>
  <c r="ALP33" i="5" s="1"/>
  <c r="ALQ33" i="5" s="1"/>
  <c r="ALR33" i="5" s="1"/>
  <c r="ALS33" i="5" s="1"/>
  <c r="AJL33" i="5"/>
  <c r="AJM33" i="5" s="1"/>
  <c r="AJN33" i="5" s="1"/>
  <c r="AJO33" i="5" s="1"/>
  <c r="AJP33" i="5" s="1"/>
  <c r="AJQ33" i="5" s="1"/>
  <c r="AJR33" i="5" s="1"/>
  <c r="AJS33" i="5" s="1"/>
  <c r="AJT33" i="5" s="1"/>
  <c r="AJU33" i="5" s="1"/>
  <c r="AJV33" i="5" s="1"/>
  <c r="AJW33" i="5" s="1"/>
  <c r="AJX33" i="5" s="1"/>
  <c r="AJY33" i="5" s="1"/>
  <c r="AJZ33" i="5" s="1"/>
  <c r="AKA33" i="5" s="1"/>
  <c r="AKB33" i="5" s="1"/>
  <c r="AKC33" i="5" s="1"/>
  <c r="AKD33" i="5" s="1"/>
  <c r="AKE33" i="5" s="1"/>
  <c r="AKF33" i="5" s="1"/>
  <c r="AKG33" i="5" s="1"/>
  <c r="AKH33" i="5" s="1"/>
  <c r="AKI33" i="5" s="1"/>
  <c r="AKJ33" i="5" s="1"/>
  <c r="AKK33" i="5" s="1"/>
  <c r="AKL33" i="5" s="1"/>
  <c r="AKM33" i="5" s="1"/>
  <c r="AIF33" i="5"/>
  <c r="AIG33" i="5" s="1"/>
  <c r="AIH33" i="5" s="1"/>
  <c r="AII33" i="5" s="1"/>
  <c r="AIJ33" i="5" s="1"/>
  <c r="AIK33" i="5" s="1"/>
  <c r="AIL33" i="5" s="1"/>
  <c r="AIM33" i="5" s="1"/>
  <c r="AIN33" i="5" s="1"/>
  <c r="AIO33" i="5" s="1"/>
  <c r="AIP33" i="5" s="1"/>
  <c r="AIQ33" i="5" s="1"/>
  <c r="AIR33" i="5" s="1"/>
  <c r="AIS33" i="5" s="1"/>
  <c r="AIT33" i="5" s="1"/>
  <c r="AIU33" i="5" s="1"/>
  <c r="AIV33" i="5" s="1"/>
  <c r="AIW33" i="5" s="1"/>
  <c r="AIX33" i="5" s="1"/>
  <c r="AIY33" i="5" s="1"/>
  <c r="AIZ33" i="5" s="1"/>
  <c r="AJA33" i="5" s="1"/>
  <c r="AJB33" i="5" s="1"/>
  <c r="AJC33" i="5" s="1"/>
  <c r="AJD33" i="5" s="1"/>
  <c r="AJE33" i="5" s="1"/>
  <c r="AJF33" i="5" s="1"/>
  <c r="AJG33" i="5" s="1"/>
  <c r="AJH33" i="5" s="1"/>
  <c r="AJI33" i="5" s="1"/>
  <c r="AJJ33" i="5" s="1"/>
  <c r="AGZ33" i="5"/>
  <c r="AHA33" i="5" s="1"/>
  <c r="AHB33" i="5" s="1"/>
  <c r="AHC33" i="5" s="1"/>
  <c r="AHD33" i="5" s="1"/>
  <c r="AHE33" i="5" s="1"/>
  <c r="AHF33" i="5" s="1"/>
  <c r="AHG33" i="5" s="1"/>
  <c r="AHH33" i="5" s="1"/>
  <c r="AHI33" i="5" s="1"/>
  <c r="AHJ33" i="5" s="1"/>
  <c r="AHK33" i="5" s="1"/>
  <c r="AHL33" i="5" s="1"/>
  <c r="AHM33" i="5" s="1"/>
  <c r="AHN33" i="5" s="1"/>
  <c r="AHO33" i="5" s="1"/>
  <c r="AHP33" i="5" s="1"/>
  <c r="AHQ33" i="5" s="1"/>
  <c r="AHR33" i="5" s="1"/>
  <c r="AHS33" i="5" s="1"/>
  <c r="AHT33" i="5" s="1"/>
  <c r="AHU33" i="5" s="1"/>
  <c r="AHV33" i="5" s="1"/>
  <c r="AHW33" i="5" s="1"/>
  <c r="AHX33" i="5" s="1"/>
  <c r="AHY33" i="5" s="1"/>
  <c r="AHZ33" i="5" s="1"/>
  <c r="AIA33" i="5" s="1"/>
  <c r="AIB33" i="5" s="1"/>
  <c r="AIC33" i="5" s="1"/>
  <c r="AID33" i="5" s="1"/>
  <c r="AFU33" i="5"/>
  <c r="AFV33" i="5" s="1"/>
  <c r="AFW33" i="5" s="1"/>
  <c r="AFX33" i="5" s="1"/>
  <c r="AFY33" i="5" s="1"/>
  <c r="AFZ33" i="5" s="1"/>
  <c r="AGA33" i="5" s="1"/>
  <c r="AGB33" i="5" s="1"/>
  <c r="AGC33" i="5" s="1"/>
  <c r="AGD33" i="5" s="1"/>
  <c r="AGE33" i="5" s="1"/>
  <c r="AGF33" i="5" s="1"/>
  <c r="AGG33" i="5" s="1"/>
  <c r="AGH33" i="5" s="1"/>
  <c r="AGI33" i="5" s="1"/>
  <c r="AGJ33" i="5" s="1"/>
  <c r="AGK33" i="5" s="1"/>
  <c r="AGL33" i="5" s="1"/>
  <c r="AGM33" i="5" s="1"/>
  <c r="AGN33" i="5" s="1"/>
  <c r="AGO33" i="5" s="1"/>
  <c r="AGP33" i="5" s="1"/>
  <c r="AGQ33" i="5" s="1"/>
  <c r="AGR33" i="5" s="1"/>
  <c r="AGS33" i="5" s="1"/>
  <c r="AGT33" i="5" s="1"/>
  <c r="AGU33" i="5" s="1"/>
  <c r="AGV33" i="5" s="1"/>
  <c r="AGW33" i="5" s="1"/>
  <c r="AGX33" i="5" s="1"/>
  <c r="AEO33" i="5"/>
  <c r="AEP33" i="5" s="1"/>
  <c r="AEQ33" i="5" s="1"/>
  <c r="AER33" i="5" s="1"/>
  <c r="AES33" i="5" s="1"/>
  <c r="AET33" i="5" s="1"/>
  <c r="AEU33" i="5" s="1"/>
  <c r="AEV33" i="5" s="1"/>
  <c r="AEW33" i="5" s="1"/>
  <c r="AEX33" i="5" s="1"/>
  <c r="AEY33" i="5" s="1"/>
  <c r="AEZ33" i="5" s="1"/>
  <c r="AFA33" i="5" s="1"/>
  <c r="AFB33" i="5" s="1"/>
  <c r="AFC33" i="5" s="1"/>
  <c r="AFD33" i="5" s="1"/>
  <c r="AFE33" i="5" s="1"/>
  <c r="AFF33" i="5" s="1"/>
  <c r="AFG33" i="5" s="1"/>
  <c r="AFH33" i="5" s="1"/>
  <c r="AFI33" i="5" s="1"/>
  <c r="AFJ33" i="5" s="1"/>
  <c r="AFK33" i="5" s="1"/>
  <c r="AFL33" i="5" s="1"/>
  <c r="AFM33" i="5" s="1"/>
  <c r="AFN33" i="5" s="1"/>
  <c r="AFO33" i="5" s="1"/>
  <c r="AFP33" i="5" s="1"/>
  <c r="AFQ33" i="5" s="1"/>
  <c r="AFR33" i="5" s="1"/>
  <c r="AFS33" i="5" s="1"/>
  <c r="ADJ33" i="5"/>
  <c r="ADK33" i="5" s="1"/>
  <c r="ADL33" i="5" s="1"/>
  <c r="ADM33" i="5" s="1"/>
  <c r="ADN33" i="5" s="1"/>
  <c r="ADO33" i="5" s="1"/>
  <c r="ADP33" i="5" s="1"/>
  <c r="ADQ33" i="5" s="1"/>
  <c r="ADR33" i="5" s="1"/>
  <c r="ADS33" i="5" s="1"/>
  <c r="ADT33" i="5" s="1"/>
  <c r="ADU33" i="5" s="1"/>
  <c r="ADV33" i="5" s="1"/>
  <c r="ADW33" i="5" s="1"/>
  <c r="ADX33" i="5" s="1"/>
  <c r="ADY33" i="5" s="1"/>
  <c r="ADZ33" i="5" s="1"/>
  <c r="AEA33" i="5" s="1"/>
  <c r="AEB33" i="5" s="1"/>
  <c r="AEC33" i="5" s="1"/>
  <c r="AED33" i="5" s="1"/>
  <c r="AEE33" i="5" s="1"/>
  <c r="AEF33" i="5" s="1"/>
  <c r="AEG33" i="5" s="1"/>
  <c r="AEH33" i="5" s="1"/>
  <c r="AEI33" i="5" s="1"/>
  <c r="AEJ33" i="5" s="1"/>
  <c r="AEK33" i="5" s="1"/>
  <c r="AEL33" i="5" s="1"/>
  <c r="AEM33" i="5" s="1"/>
  <c r="ACD33" i="5"/>
  <c r="ACE33" i="5" s="1"/>
  <c r="ACF33" i="5" s="1"/>
  <c r="ACG33" i="5" s="1"/>
  <c r="ACH33" i="5" s="1"/>
  <c r="ACI33" i="5" s="1"/>
  <c r="ACJ33" i="5" s="1"/>
  <c r="ACK33" i="5" s="1"/>
  <c r="ACL33" i="5" s="1"/>
  <c r="ACM33" i="5" s="1"/>
  <c r="ACN33" i="5" s="1"/>
  <c r="ACO33" i="5" s="1"/>
  <c r="ACP33" i="5" s="1"/>
  <c r="ACQ33" i="5" s="1"/>
  <c r="ACR33" i="5" s="1"/>
  <c r="ACS33" i="5" s="1"/>
  <c r="ACT33" i="5" s="1"/>
  <c r="ACU33" i="5" s="1"/>
  <c r="ACV33" i="5" s="1"/>
  <c r="ACW33" i="5" s="1"/>
  <c r="ACX33" i="5" s="1"/>
  <c r="ACY33" i="5" s="1"/>
  <c r="ACZ33" i="5" s="1"/>
  <c r="ADA33" i="5" s="1"/>
  <c r="ADB33" i="5" s="1"/>
  <c r="ADC33" i="5" s="1"/>
  <c r="ADD33" i="5" s="1"/>
  <c r="ADE33" i="5" s="1"/>
  <c r="ADF33" i="5" s="1"/>
  <c r="ADG33" i="5" s="1"/>
  <c r="ADH33" i="5" s="1"/>
  <c r="AAX33" i="5"/>
  <c r="AAY33" i="5" s="1"/>
  <c r="AAZ33" i="5" s="1"/>
  <c r="ABA33" i="5" s="1"/>
  <c r="ABB33" i="5" s="1"/>
  <c r="ABC33" i="5" s="1"/>
  <c r="ABD33" i="5" s="1"/>
  <c r="ABE33" i="5" s="1"/>
  <c r="ABF33" i="5" s="1"/>
  <c r="ABG33" i="5" s="1"/>
  <c r="ABH33" i="5" s="1"/>
  <c r="ABI33" i="5" s="1"/>
  <c r="ABJ33" i="5" s="1"/>
  <c r="ABK33" i="5" s="1"/>
  <c r="ABL33" i="5" s="1"/>
  <c r="ABM33" i="5" s="1"/>
  <c r="ABN33" i="5" s="1"/>
  <c r="ABO33" i="5" s="1"/>
  <c r="ABP33" i="5" s="1"/>
  <c r="ABQ33" i="5" s="1"/>
  <c r="ABR33" i="5" s="1"/>
  <c r="ABS33" i="5" s="1"/>
  <c r="ABT33" i="5" s="1"/>
  <c r="ABU33" i="5" s="1"/>
  <c r="ABV33" i="5" s="1"/>
  <c r="ABW33" i="5" s="1"/>
  <c r="ABX33" i="5" s="1"/>
  <c r="ABY33" i="5" s="1"/>
  <c r="ABZ33" i="5" s="1"/>
  <c r="ACA33" i="5" s="1"/>
  <c r="ACB33" i="5" s="1"/>
  <c r="ZS33" i="5"/>
  <c r="ZT33" i="5" s="1"/>
  <c r="ZU33" i="5" s="1"/>
  <c r="ZV33" i="5" s="1"/>
  <c r="ZW33" i="5" s="1"/>
  <c r="ZX33" i="5" s="1"/>
  <c r="ZY33" i="5" s="1"/>
  <c r="ZZ33" i="5" s="1"/>
  <c r="AAA33" i="5" s="1"/>
  <c r="AAB33" i="5" s="1"/>
  <c r="AAC33" i="5" s="1"/>
  <c r="AAD33" i="5" s="1"/>
  <c r="AAE33" i="5" s="1"/>
  <c r="AAF33" i="5" s="1"/>
  <c r="AAG33" i="5" s="1"/>
  <c r="AAH33" i="5" s="1"/>
  <c r="AAI33" i="5" s="1"/>
  <c r="AAJ33" i="5" s="1"/>
  <c r="AAK33" i="5" s="1"/>
  <c r="AAL33" i="5" s="1"/>
  <c r="AAM33" i="5" s="1"/>
  <c r="AAN33" i="5" s="1"/>
  <c r="AAO33" i="5" s="1"/>
  <c r="AAP33" i="5" s="1"/>
  <c r="AAQ33" i="5" s="1"/>
  <c r="AAR33" i="5" s="1"/>
  <c r="AAS33" i="5" s="1"/>
  <c r="AAT33" i="5" s="1"/>
  <c r="AAU33" i="5" s="1"/>
  <c r="AAV33" i="5" s="1"/>
  <c r="YM33" i="5"/>
  <c r="YN33" i="5" s="1"/>
  <c r="YO33" i="5" s="1"/>
  <c r="YP33" i="5" s="1"/>
  <c r="YQ33" i="5" s="1"/>
  <c r="YR33" i="5" s="1"/>
  <c r="YS33" i="5" s="1"/>
  <c r="YT33" i="5" s="1"/>
  <c r="YU33" i="5" s="1"/>
  <c r="YV33" i="5" s="1"/>
  <c r="YW33" i="5" s="1"/>
  <c r="YX33" i="5" s="1"/>
  <c r="YY33" i="5" s="1"/>
  <c r="YZ33" i="5" s="1"/>
  <c r="ZA33" i="5" s="1"/>
  <c r="ZB33" i="5" s="1"/>
  <c r="ZC33" i="5" s="1"/>
  <c r="ZD33" i="5" s="1"/>
  <c r="ZE33" i="5" s="1"/>
  <c r="ZF33" i="5" s="1"/>
  <c r="ZG33" i="5" s="1"/>
  <c r="ZH33" i="5" s="1"/>
  <c r="ZI33" i="5" s="1"/>
  <c r="ZJ33" i="5" s="1"/>
  <c r="ZK33" i="5" s="1"/>
  <c r="ZL33" i="5" s="1"/>
  <c r="ZM33" i="5" s="1"/>
  <c r="ZN33" i="5" s="1"/>
  <c r="ZO33" i="5" s="1"/>
  <c r="ZP33" i="5" s="1"/>
  <c r="ZQ33" i="5" s="1"/>
  <c r="XH33" i="5"/>
  <c r="XI33" i="5" s="1"/>
  <c r="XJ33" i="5" s="1"/>
  <c r="XK33" i="5" s="1"/>
  <c r="XL33" i="5" s="1"/>
  <c r="XM33" i="5" s="1"/>
  <c r="XN33" i="5" s="1"/>
  <c r="XO33" i="5" s="1"/>
  <c r="XP33" i="5" s="1"/>
  <c r="XQ33" i="5" s="1"/>
  <c r="XR33" i="5" s="1"/>
  <c r="XS33" i="5" s="1"/>
  <c r="XT33" i="5" s="1"/>
  <c r="XU33" i="5" s="1"/>
  <c r="XV33" i="5" s="1"/>
  <c r="XW33" i="5" s="1"/>
  <c r="XX33" i="5" s="1"/>
  <c r="XY33" i="5" s="1"/>
  <c r="XZ33" i="5" s="1"/>
  <c r="YA33" i="5" s="1"/>
  <c r="YB33" i="5" s="1"/>
  <c r="YC33" i="5" s="1"/>
  <c r="YD33" i="5" s="1"/>
  <c r="YE33" i="5" s="1"/>
  <c r="YF33" i="5" s="1"/>
  <c r="YG33" i="5" s="1"/>
  <c r="YH33" i="5" s="1"/>
  <c r="YI33" i="5" s="1"/>
  <c r="YJ33" i="5" s="1"/>
  <c r="YK33" i="5" s="1"/>
  <c r="WB33" i="5"/>
  <c r="WC33" i="5" s="1"/>
  <c r="WD33" i="5" s="1"/>
  <c r="WE33" i="5" s="1"/>
  <c r="WF33" i="5" s="1"/>
  <c r="WG33" i="5" s="1"/>
  <c r="WH33" i="5" s="1"/>
  <c r="WI33" i="5" s="1"/>
  <c r="WJ33" i="5" s="1"/>
  <c r="WK33" i="5" s="1"/>
  <c r="WL33" i="5" s="1"/>
  <c r="WM33" i="5" s="1"/>
  <c r="WN33" i="5" s="1"/>
  <c r="WO33" i="5" s="1"/>
  <c r="WP33" i="5" s="1"/>
  <c r="WQ33" i="5" s="1"/>
  <c r="WR33" i="5" s="1"/>
  <c r="WS33" i="5" s="1"/>
  <c r="WT33" i="5" s="1"/>
  <c r="WU33" i="5" s="1"/>
  <c r="WV33" i="5" s="1"/>
  <c r="WW33" i="5" s="1"/>
  <c r="WX33" i="5" s="1"/>
  <c r="WY33" i="5" s="1"/>
  <c r="WZ33" i="5" s="1"/>
  <c r="XA33" i="5" s="1"/>
  <c r="XB33" i="5" s="1"/>
  <c r="XC33" i="5" s="1"/>
  <c r="XD33" i="5" s="1"/>
  <c r="XE33" i="5" s="1"/>
  <c r="XF33" i="5" s="1"/>
  <c r="UY33" i="5"/>
  <c r="UZ33" i="5" s="1"/>
  <c r="VA33" i="5" s="1"/>
  <c r="VB33" i="5" s="1"/>
  <c r="VC33" i="5" s="1"/>
  <c r="VD33" i="5" s="1"/>
  <c r="VE33" i="5" s="1"/>
  <c r="VF33" i="5" s="1"/>
  <c r="VG33" i="5" s="1"/>
  <c r="VH33" i="5" s="1"/>
  <c r="VI33" i="5" s="1"/>
  <c r="VJ33" i="5" s="1"/>
  <c r="VK33" i="5" s="1"/>
  <c r="VL33" i="5" s="1"/>
  <c r="VM33" i="5" s="1"/>
  <c r="VN33" i="5" s="1"/>
  <c r="VO33" i="5" s="1"/>
  <c r="VP33" i="5" s="1"/>
  <c r="VQ33" i="5" s="1"/>
  <c r="VR33" i="5" s="1"/>
  <c r="VS33" i="5" s="1"/>
  <c r="VT33" i="5" s="1"/>
  <c r="VU33" i="5" s="1"/>
  <c r="VV33" i="5" s="1"/>
  <c r="VW33" i="5" s="1"/>
  <c r="VX33" i="5" s="1"/>
  <c r="VY33" i="5" s="1"/>
  <c r="VZ33" i="5" s="1"/>
  <c r="TS33" i="5"/>
  <c r="TT33" i="5" s="1"/>
  <c r="TU33" i="5" s="1"/>
  <c r="TV33" i="5" s="1"/>
  <c r="TW33" i="5" s="1"/>
  <c r="TX33" i="5" s="1"/>
  <c r="TY33" i="5" s="1"/>
  <c r="TZ33" i="5" s="1"/>
  <c r="UA33" i="5" s="1"/>
  <c r="UB33" i="5" s="1"/>
  <c r="UC33" i="5" s="1"/>
  <c r="UD33" i="5" s="1"/>
  <c r="UE33" i="5" s="1"/>
  <c r="UF33" i="5" s="1"/>
  <c r="UG33" i="5" s="1"/>
  <c r="UH33" i="5" s="1"/>
  <c r="UI33" i="5" s="1"/>
  <c r="UJ33" i="5" s="1"/>
  <c r="UK33" i="5" s="1"/>
  <c r="UL33" i="5" s="1"/>
  <c r="UM33" i="5" s="1"/>
  <c r="UN33" i="5" s="1"/>
  <c r="UO33" i="5" s="1"/>
  <c r="UP33" i="5" s="1"/>
  <c r="UQ33" i="5" s="1"/>
  <c r="UR33" i="5" s="1"/>
  <c r="US33" i="5" s="1"/>
  <c r="UT33" i="5" s="1"/>
  <c r="UU33" i="5" s="1"/>
  <c r="UV33" i="5" s="1"/>
  <c r="UW33" i="5" s="1"/>
  <c r="SM33" i="5"/>
  <c r="SN33" i="5" s="1"/>
  <c r="SO33" i="5" s="1"/>
  <c r="SP33" i="5" s="1"/>
  <c r="SQ33" i="5" s="1"/>
  <c r="SR33" i="5" s="1"/>
  <c r="SS33" i="5" s="1"/>
  <c r="ST33" i="5" s="1"/>
  <c r="SU33" i="5" s="1"/>
  <c r="SV33" i="5" s="1"/>
  <c r="SW33" i="5" s="1"/>
  <c r="SX33" i="5" s="1"/>
  <c r="SY33" i="5" s="1"/>
  <c r="SZ33" i="5" s="1"/>
  <c r="TA33" i="5" s="1"/>
  <c r="TB33" i="5" s="1"/>
  <c r="TC33" i="5" s="1"/>
  <c r="TD33" i="5" s="1"/>
  <c r="TE33" i="5" s="1"/>
  <c r="TF33" i="5" s="1"/>
  <c r="TG33" i="5" s="1"/>
  <c r="TH33" i="5" s="1"/>
  <c r="TI33" i="5" s="1"/>
  <c r="TJ33" i="5" s="1"/>
  <c r="TK33" i="5" s="1"/>
  <c r="TL33" i="5" s="1"/>
  <c r="TM33" i="5" s="1"/>
  <c r="TN33" i="5" s="1"/>
  <c r="TO33" i="5" s="1"/>
  <c r="TP33" i="5" s="1"/>
  <c r="TQ33" i="5" s="1"/>
  <c r="RH33" i="5"/>
  <c r="RI33" i="5" s="1"/>
  <c r="RJ33" i="5" s="1"/>
  <c r="RK33" i="5" s="1"/>
  <c r="RL33" i="5" s="1"/>
  <c r="RM33" i="5" s="1"/>
  <c r="RN33" i="5" s="1"/>
  <c r="RO33" i="5" s="1"/>
  <c r="RP33" i="5" s="1"/>
  <c r="RQ33" i="5" s="1"/>
  <c r="RR33" i="5" s="1"/>
  <c r="RS33" i="5" s="1"/>
  <c r="RT33" i="5" s="1"/>
  <c r="RU33" i="5" s="1"/>
  <c r="RV33" i="5" s="1"/>
  <c r="RW33" i="5" s="1"/>
  <c r="RX33" i="5" s="1"/>
  <c r="RY33" i="5" s="1"/>
  <c r="RZ33" i="5" s="1"/>
  <c r="SA33" i="5" s="1"/>
  <c r="SB33" i="5" s="1"/>
  <c r="SC33" i="5" s="1"/>
  <c r="SD33" i="5" s="1"/>
  <c r="SE33" i="5" s="1"/>
  <c r="SF33" i="5" s="1"/>
  <c r="SG33" i="5" s="1"/>
  <c r="SH33" i="5" s="1"/>
  <c r="SI33" i="5" s="1"/>
  <c r="SJ33" i="5" s="1"/>
  <c r="SK33" i="5" s="1"/>
  <c r="QB33" i="5"/>
  <c r="QC33" i="5" s="1"/>
  <c r="QD33" i="5" s="1"/>
  <c r="QE33" i="5" s="1"/>
  <c r="QF33" i="5" s="1"/>
  <c r="QG33" i="5" s="1"/>
  <c r="QH33" i="5" s="1"/>
  <c r="QI33" i="5" s="1"/>
  <c r="QJ33" i="5" s="1"/>
  <c r="QK33" i="5" s="1"/>
  <c r="QL33" i="5" s="1"/>
  <c r="QM33" i="5" s="1"/>
  <c r="QN33" i="5" s="1"/>
  <c r="QO33" i="5" s="1"/>
  <c r="QP33" i="5" s="1"/>
  <c r="QQ33" i="5" s="1"/>
  <c r="QR33" i="5" s="1"/>
  <c r="QS33" i="5" s="1"/>
  <c r="QT33" i="5" s="1"/>
  <c r="QU33" i="5" s="1"/>
  <c r="QV33" i="5" s="1"/>
  <c r="QW33" i="5" s="1"/>
  <c r="QX33" i="5" s="1"/>
  <c r="QY33" i="5" s="1"/>
  <c r="QZ33" i="5" s="1"/>
  <c r="RA33" i="5" s="1"/>
  <c r="RB33" i="5" s="1"/>
  <c r="RC33" i="5" s="1"/>
  <c r="RD33" i="5" s="1"/>
  <c r="RE33" i="5" s="1"/>
  <c r="RF33" i="5" s="1"/>
  <c r="OW33" i="5"/>
  <c r="OX33" i="5" s="1"/>
  <c r="OY33" i="5" s="1"/>
  <c r="OZ33" i="5" s="1"/>
  <c r="PA33" i="5" s="1"/>
  <c r="PB33" i="5" s="1"/>
  <c r="PC33" i="5" s="1"/>
  <c r="PD33" i="5" s="1"/>
  <c r="PE33" i="5" s="1"/>
  <c r="PF33" i="5" s="1"/>
  <c r="PG33" i="5" s="1"/>
  <c r="PH33" i="5" s="1"/>
  <c r="PI33" i="5" s="1"/>
  <c r="PJ33" i="5" s="1"/>
  <c r="PK33" i="5" s="1"/>
  <c r="PL33" i="5" s="1"/>
  <c r="PM33" i="5" s="1"/>
  <c r="PN33" i="5" s="1"/>
  <c r="PO33" i="5" s="1"/>
  <c r="PP33" i="5" s="1"/>
  <c r="PQ33" i="5" s="1"/>
  <c r="PR33" i="5" s="1"/>
  <c r="PS33" i="5" s="1"/>
  <c r="PT33" i="5" s="1"/>
  <c r="PU33" i="5" s="1"/>
  <c r="PV33" i="5" s="1"/>
  <c r="PW33" i="5" s="1"/>
  <c r="PX33" i="5" s="1"/>
  <c r="PY33" i="5" s="1"/>
  <c r="PZ33" i="5" s="1"/>
  <c r="NQ33" i="5"/>
  <c r="NR33" i="5" s="1"/>
  <c r="NS33" i="5" s="1"/>
  <c r="NT33" i="5" s="1"/>
  <c r="NU33" i="5" s="1"/>
  <c r="NV33" i="5" s="1"/>
  <c r="NW33" i="5" s="1"/>
  <c r="NX33" i="5" s="1"/>
  <c r="NY33" i="5" s="1"/>
  <c r="NZ33" i="5" s="1"/>
  <c r="OA33" i="5" s="1"/>
  <c r="OB33" i="5" s="1"/>
  <c r="OC33" i="5" s="1"/>
  <c r="OD33" i="5" s="1"/>
  <c r="OE33" i="5" s="1"/>
  <c r="OF33" i="5" s="1"/>
  <c r="OG33" i="5" s="1"/>
  <c r="OH33" i="5" s="1"/>
  <c r="OI33" i="5" s="1"/>
  <c r="OJ33" i="5" s="1"/>
  <c r="OK33" i="5" s="1"/>
  <c r="OL33" i="5" s="1"/>
  <c r="OM33" i="5" s="1"/>
  <c r="ON33" i="5" s="1"/>
  <c r="OO33" i="5" s="1"/>
  <c r="OP33" i="5" s="1"/>
  <c r="OQ33" i="5" s="1"/>
  <c r="OR33" i="5" s="1"/>
  <c r="OS33" i="5" s="1"/>
  <c r="OT33" i="5" s="1"/>
  <c r="OU33" i="5" s="1"/>
  <c r="MK33" i="5"/>
  <c r="ML33" i="5" s="1"/>
  <c r="MM33" i="5" s="1"/>
  <c r="MN33" i="5" s="1"/>
  <c r="MO33" i="5" s="1"/>
  <c r="MP33" i="5" s="1"/>
  <c r="MQ33" i="5" s="1"/>
  <c r="MR33" i="5" s="1"/>
  <c r="MS33" i="5" s="1"/>
  <c r="MT33" i="5" s="1"/>
  <c r="MU33" i="5" s="1"/>
  <c r="MV33" i="5" s="1"/>
  <c r="MW33" i="5" s="1"/>
  <c r="MX33" i="5" s="1"/>
  <c r="MY33" i="5" s="1"/>
  <c r="MZ33" i="5" s="1"/>
  <c r="NA33" i="5" s="1"/>
  <c r="NB33" i="5" s="1"/>
  <c r="NC33" i="5" s="1"/>
  <c r="ND33" i="5" s="1"/>
  <c r="NE33" i="5" s="1"/>
  <c r="NF33" i="5" s="1"/>
  <c r="NG33" i="5" s="1"/>
  <c r="NH33" i="5" s="1"/>
  <c r="NI33" i="5" s="1"/>
  <c r="NJ33" i="5" s="1"/>
  <c r="NK33" i="5" s="1"/>
  <c r="NL33" i="5" s="1"/>
  <c r="NM33" i="5" s="1"/>
  <c r="NN33" i="5" s="1"/>
  <c r="NO33" i="5" s="1"/>
  <c r="LM33" i="5"/>
  <c r="LN33" i="5" s="1"/>
  <c r="LO33" i="5" s="1"/>
  <c r="LP33" i="5" s="1"/>
  <c r="LQ33" i="5" s="1"/>
  <c r="LR33" i="5" s="1"/>
  <c r="LS33" i="5" s="1"/>
  <c r="LT33" i="5" s="1"/>
  <c r="LU33" i="5" s="1"/>
  <c r="LV33" i="5" s="1"/>
  <c r="LW33" i="5" s="1"/>
  <c r="LX33" i="5" s="1"/>
  <c r="LY33" i="5" s="1"/>
  <c r="LZ33" i="5" s="1"/>
  <c r="MA33" i="5" s="1"/>
  <c r="MB33" i="5" s="1"/>
  <c r="MC33" i="5" s="1"/>
  <c r="MD33" i="5" s="1"/>
  <c r="ME33" i="5" s="1"/>
  <c r="MF33" i="5" s="1"/>
  <c r="MG33" i="5" s="1"/>
  <c r="MH33" i="5" s="1"/>
  <c r="MI33" i="5" s="1"/>
  <c r="KV33" i="5"/>
  <c r="KW33" i="5" s="1"/>
  <c r="KX33" i="5" s="1"/>
  <c r="KY33" i="5" s="1"/>
  <c r="KZ33" i="5" s="1"/>
  <c r="LA33" i="5" s="1"/>
  <c r="LB33" i="5" s="1"/>
  <c r="LC33" i="5" s="1"/>
  <c r="LD33" i="5" s="1"/>
  <c r="LF33" i="5" s="1"/>
  <c r="LG33" i="5" s="1"/>
  <c r="LH33" i="5" s="1"/>
  <c r="LI33" i="5" s="1"/>
  <c r="LJ33" i="5" s="1"/>
  <c r="LK33" i="5" s="1"/>
  <c r="KI33" i="5"/>
  <c r="KJ33" i="5" s="1"/>
  <c r="KK33" i="5" s="1"/>
  <c r="KL33" i="5" s="1"/>
  <c r="KM33" i="5" s="1"/>
  <c r="KN33" i="5" s="1"/>
  <c r="KO33" i="5" s="1"/>
  <c r="KP33" i="5" s="1"/>
  <c r="KQ33" i="5" s="1"/>
  <c r="KR33" i="5" s="1"/>
  <c r="KS33" i="5" s="1"/>
  <c r="KT33" i="5" s="1"/>
  <c r="JZ33" i="5"/>
  <c r="KA33" i="5" s="1"/>
  <c r="KB33" i="5" s="1"/>
  <c r="KC33" i="5" s="1"/>
  <c r="KD33" i="5" s="1"/>
  <c r="KE33" i="5" s="1"/>
  <c r="KF33" i="5" s="1"/>
  <c r="KG33" i="5" s="1"/>
  <c r="HX33" i="5"/>
  <c r="HZ33" i="5" s="1"/>
  <c r="IB33" i="5" s="1"/>
  <c r="ID33" i="5" s="1"/>
  <c r="IF33" i="5" s="1"/>
  <c r="IH33" i="5" s="1"/>
  <c r="IJ33" i="5" s="1"/>
  <c r="IL33" i="5" s="1"/>
  <c r="IN33" i="5" s="1"/>
  <c r="IP33" i="5" s="1"/>
  <c r="IR33" i="5" s="1"/>
  <c r="HW33" i="5"/>
  <c r="HY33" i="5" s="1"/>
  <c r="IA33" i="5" s="1"/>
  <c r="IC33" i="5" s="1"/>
  <c r="IE33" i="5" s="1"/>
  <c r="IG33" i="5" s="1"/>
  <c r="II33" i="5" s="1"/>
  <c r="IK33" i="5" s="1"/>
  <c r="IM33" i="5" s="1"/>
  <c r="IO33" i="5" s="1"/>
  <c r="IQ33" i="5" s="1"/>
  <c r="IS33" i="5" s="1"/>
  <c r="IU33" i="5" s="1"/>
  <c r="IV33" i="5" s="1"/>
  <c r="IW33" i="5" s="1"/>
  <c r="IX33" i="5" s="1"/>
  <c r="IY33" i="5" s="1"/>
  <c r="IZ33" i="5" s="1"/>
  <c r="JA33" i="5" s="1"/>
  <c r="JB33" i="5" s="1"/>
  <c r="JC33" i="5" s="1"/>
  <c r="JD33" i="5" s="1"/>
  <c r="JE33" i="5" s="1"/>
  <c r="JF33" i="5" s="1"/>
  <c r="JG33" i="5" s="1"/>
  <c r="JH33" i="5" s="1"/>
  <c r="JI33" i="5" s="1"/>
  <c r="JJ33" i="5" s="1"/>
  <c r="JK33" i="5" s="1"/>
  <c r="JL33" i="5" s="1"/>
  <c r="JM33" i="5" s="1"/>
  <c r="JN33" i="5" s="1"/>
  <c r="JO33" i="5" s="1"/>
  <c r="JP33" i="5" s="1"/>
  <c r="JQ33" i="5" s="1"/>
  <c r="JR33" i="5" s="1"/>
  <c r="JS33" i="5" s="1"/>
  <c r="JT33" i="5" s="1"/>
  <c r="JU33" i="5" s="1"/>
  <c r="JV33" i="5" s="1"/>
  <c r="JW33" i="5" s="1"/>
  <c r="JX33" i="5" s="1"/>
  <c r="GV33" i="5"/>
  <c r="GW33" i="5" s="1"/>
  <c r="GX33" i="5" s="1"/>
  <c r="GY33" i="5" s="1"/>
  <c r="GZ33" i="5" s="1"/>
  <c r="HA33" i="5" s="1"/>
  <c r="HB33" i="5" s="1"/>
  <c r="HC33" i="5" s="1"/>
  <c r="HD33" i="5" s="1"/>
  <c r="HE33" i="5" s="1"/>
  <c r="HF33" i="5" s="1"/>
  <c r="HG33" i="5" s="1"/>
  <c r="HH33" i="5" s="1"/>
  <c r="HI33" i="5" s="1"/>
  <c r="HJ33" i="5" s="1"/>
  <c r="HK33" i="5" s="1"/>
  <c r="HL33" i="5" s="1"/>
  <c r="HM33" i="5" s="1"/>
  <c r="HO33" i="5" s="1"/>
  <c r="MR32" i="5"/>
  <c r="MS32" i="5" s="1"/>
  <c r="MT32" i="5" s="1"/>
  <c r="MU32" i="5" s="1"/>
  <c r="MV32" i="5" s="1"/>
  <c r="MW32" i="5" s="1"/>
  <c r="MX32" i="5" s="1"/>
  <c r="MY32" i="5" s="1"/>
  <c r="MZ32" i="5" s="1"/>
  <c r="NA32" i="5" s="1"/>
  <c r="NB32" i="5" s="1"/>
  <c r="NC32" i="5" s="1"/>
  <c r="ND32" i="5" s="1"/>
  <c r="NE32" i="5" s="1"/>
  <c r="NF32" i="5" s="1"/>
  <c r="NG32" i="5" s="1"/>
  <c r="NH32" i="5" s="1"/>
  <c r="NI32" i="5" s="1"/>
  <c r="NJ32" i="5" s="1"/>
  <c r="NK32" i="5" s="1"/>
  <c r="NL32" i="5" s="1"/>
  <c r="NM32" i="5" s="1"/>
  <c r="NN32" i="5" s="1"/>
  <c r="NO32" i="5" s="1"/>
  <c r="NQ32" i="5" s="1"/>
  <c r="MQ32" i="5"/>
  <c r="MP32" i="5"/>
  <c r="MO32" i="5"/>
  <c r="MN32" i="5"/>
  <c r="MM32" i="5"/>
  <c r="ML32" i="5"/>
  <c r="MK32" i="5"/>
  <c r="MF32" i="5"/>
  <c r="MG32" i="5" s="1"/>
  <c r="MH32" i="5" s="1"/>
  <c r="MI32" i="5" s="1"/>
  <c r="LD32" i="5"/>
  <c r="LF32" i="5" s="1"/>
  <c r="LG32" i="5" s="1"/>
  <c r="LH32" i="5" s="1"/>
  <c r="LI32" i="5" s="1"/>
  <c r="LJ32" i="5" s="1"/>
  <c r="LK32" i="5" s="1"/>
  <c r="LL32" i="5" s="1"/>
  <c r="LM32" i="5" s="1"/>
  <c r="LN32" i="5" s="1"/>
  <c r="LO32" i="5" s="1"/>
  <c r="LP32" i="5" s="1"/>
  <c r="LQ32" i="5" s="1"/>
  <c r="LR32" i="5" s="1"/>
  <c r="LS32" i="5" s="1"/>
  <c r="LT32" i="5" s="1"/>
  <c r="LU32" i="5" s="1"/>
  <c r="LV32" i="5" s="1"/>
  <c r="LW32" i="5" s="1"/>
  <c r="LX32" i="5" s="1"/>
  <c r="LY32" i="5" s="1"/>
  <c r="LZ32" i="5" s="1"/>
  <c r="MA32" i="5" s="1"/>
  <c r="MB32" i="5" s="1"/>
  <c r="MC32" i="5" s="1"/>
  <c r="MD32" i="5" s="1"/>
  <c r="KF32" i="5"/>
  <c r="KG32" i="5" s="1"/>
  <c r="KH32" i="5" s="1"/>
  <c r="KI32" i="5" s="1"/>
  <c r="KJ32" i="5" s="1"/>
  <c r="KK32" i="5" s="1"/>
  <c r="KL32" i="5" s="1"/>
  <c r="KM32" i="5" s="1"/>
  <c r="KN32" i="5" s="1"/>
  <c r="KO32" i="5" s="1"/>
  <c r="KP32" i="5" s="1"/>
  <c r="KQ32" i="5" s="1"/>
  <c r="KR32" i="5" s="1"/>
  <c r="KS32" i="5" s="1"/>
  <c r="KT32" i="5" s="1"/>
  <c r="KU32" i="5" s="1"/>
  <c r="KV32" i="5" s="1"/>
  <c r="KW32" i="5" s="1"/>
  <c r="KX32" i="5" s="1"/>
  <c r="KY32" i="5" s="1"/>
  <c r="KZ32" i="5" s="1"/>
  <c r="LA32" i="5" s="1"/>
  <c r="LB32" i="5" s="1"/>
  <c r="HU32" i="5"/>
  <c r="HW32" i="5" s="1"/>
  <c r="HY32" i="5" s="1"/>
  <c r="IA32" i="5" s="1"/>
  <c r="IC32" i="5" s="1"/>
  <c r="IE32" i="5" s="1"/>
  <c r="IG32" i="5" s="1"/>
  <c r="II32" i="5" s="1"/>
  <c r="IK32" i="5" s="1"/>
  <c r="IM32" i="5" s="1"/>
  <c r="IO32" i="5" s="1"/>
  <c r="IQ32" i="5" s="1"/>
  <c r="IS32" i="5" s="1"/>
  <c r="IU32" i="5" s="1"/>
  <c r="IV32" i="5" s="1"/>
  <c r="IW32" i="5" s="1"/>
  <c r="IX32" i="5" s="1"/>
  <c r="IY32" i="5" s="1"/>
  <c r="IZ32" i="5" s="1"/>
  <c r="JA32" i="5" s="1"/>
  <c r="JB32" i="5" s="1"/>
  <c r="JC32" i="5" s="1"/>
  <c r="JD32" i="5" s="1"/>
  <c r="JE32" i="5" s="1"/>
  <c r="JF32" i="5" s="1"/>
  <c r="JG32" i="5" s="1"/>
  <c r="JH32" i="5" s="1"/>
  <c r="JI32" i="5" s="1"/>
  <c r="JJ32" i="5" s="1"/>
  <c r="JK32" i="5" s="1"/>
  <c r="JL32" i="5" s="1"/>
  <c r="JM32" i="5" s="1"/>
  <c r="JN32" i="5" s="1"/>
  <c r="JO32" i="5" s="1"/>
  <c r="JP32" i="5" s="1"/>
  <c r="JQ32" i="5" s="1"/>
  <c r="JR32" i="5" s="1"/>
  <c r="JS32" i="5" s="1"/>
  <c r="JT32" i="5" s="1"/>
  <c r="JU32" i="5" s="1"/>
  <c r="JV32" i="5" s="1"/>
  <c r="JW32" i="5" s="1"/>
  <c r="HM32" i="5"/>
  <c r="HO32" i="5" s="1"/>
  <c r="AMZ31" i="5"/>
  <c r="ANA31" i="5" s="1"/>
  <c r="ANB31" i="5" s="1"/>
  <c r="ANC31" i="5" s="1"/>
  <c r="AND31" i="5" s="1"/>
  <c r="ANE31" i="5" s="1"/>
  <c r="ANF31" i="5" s="1"/>
  <c r="ANG31" i="5" s="1"/>
  <c r="ANH31" i="5" s="1"/>
  <c r="ANI31" i="5" s="1"/>
  <c r="ANJ31" i="5" s="1"/>
  <c r="ANK31" i="5" s="1"/>
  <c r="ANL31" i="5" s="1"/>
  <c r="ANM31" i="5" s="1"/>
  <c r="ANN31" i="5" s="1"/>
  <c r="ANO31" i="5" s="1"/>
  <c r="ANP31" i="5" s="1"/>
  <c r="ANQ31" i="5" s="1"/>
  <c r="ANR31" i="5" s="1"/>
  <c r="ANS31" i="5" s="1"/>
  <c r="ANT31" i="5" s="1"/>
  <c r="ANU31" i="5" s="1"/>
  <c r="ANV31" i="5" s="1"/>
  <c r="ANW31" i="5" s="1"/>
  <c r="ANX31" i="5" s="1"/>
  <c r="ANY31" i="5" s="1"/>
  <c r="ANZ31" i="5" s="1"/>
  <c r="AOA31" i="5" s="1"/>
  <c r="AOB31" i="5" s="1"/>
  <c r="AOC31" i="5" s="1"/>
  <c r="ALU31" i="5"/>
  <c r="ALV31" i="5" s="1"/>
  <c r="ALW31" i="5" s="1"/>
  <c r="ALX31" i="5" s="1"/>
  <c r="ALY31" i="5" s="1"/>
  <c r="ALZ31" i="5" s="1"/>
  <c r="AMA31" i="5" s="1"/>
  <c r="AMB31" i="5" s="1"/>
  <c r="AMC31" i="5" s="1"/>
  <c r="AMD31" i="5" s="1"/>
  <c r="AME31" i="5" s="1"/>
  <c r="AMF31" i="5" s="1"/>
  <c r="AMG31" i="5" s="1"/>
  <c r="AMH31" i="5" s="1"/>
  <c r="AMI31" i="5" s="1"/>
  <c r="AMJ31" i="5" s="1"/>
  <c r="AMK31" i="5" s="1"/>
  <c r="AML31" i="5" s="1"/>
  <c r="AMM31" i="5" s="1"/>
  <c r="AMN31" i="5" s="1"/>
  <c r="AMO31" i="5" s="1"/>
  <c r="AMP31" i="5" s="1"/>
  <c r="AMQ31" i="5" s="1"/>
  <c r="AMR31" i="5" s="1"/>
  <c r="AMS31" i="5" s="1"/>
  <c r="AMT31" i="5" s="1"/>
  <c r="AMU31" i="5" s="1"/>
  <c r="AMV31" i="5" s="1"/>
  <c r="AMW31" i="5" s="1"/>
  <c r="AMX31" i="5" s="1"/>
  <c r="AKO31" i="5"/>
  <c r="AKP31" i="5" s="1"/>
  <c r="AKQ31" i="5" s="1"/>
  <c r="AKR31" i="5" s="1"/>
  <c r="AKS31" i="5" s="1"/>
  <c r="AKT31" i="5" s="1"/>
  <c r="AKU31" i="5" s="1"/>
  <c r="AKV31" i="5" s="1"/>
  <c r="AKW31" i="5" s="1"/>
  <c r="AKX31" i="5" s="1"/>
  <c r="AKY31" i="5" s="1"/>
  <c r="AKZ31" i="5" s="1"/>
  <c r="ALA31" i="5" s="1"/>
  <c r="ALB31" i="5" s="1"/>
  <c r="ALC31" i="5" s="1"/>
  <c r="ALD31" i="5" s="1"/>
  <c r="ALE31" i="5" s="1"/>
  <c r="ALF31" i="5" s="1"/>
  <c r="ALG31" i="5" s="1"/>
  <c r="ALH31" i="5" s="1"/>
  <c r="ALI31" i="5" s="1"/>
  <c r="ALJ31" i="5" s="1"/>
  <c r="ALK31" i="5" s="1"/>
  <c r="ALL31" i="5" s="1"/>
  <c r="ALM31" i="5" s="1"/>
  <c r="ALN31" i="5" s="1"/>
  <c r="ALO31" i="5" s="1"/>
  <c r="ALP31" i="5" s="1"/>
  <c r="ALQ31" i="5" s="1"/>
  <c r="ALR31" i="5" s="1"/>
  <c r="ALS31" i="5" s="1"/>
  <c r="AJL31" i="5"/>
  <c r="AJM31" i="5" s="1"/>
  <c r="AJN31" i="5" s="1"/>
  <c r="AJO31" i="5" s="1"/>
  <c r="AJP31" i="5" s="1"/>
  <c r="AJQ31" i="5" s="1"/>
  <c r="AJR31" i="5" s="1"/>
  <c r="AJS31" i="5" s="1"/>
  <c r="AJT31" i="5" s="1"/>
  <c r="AJU31" i="5" s="1"/>
  <c r="AJV31" i="5" s="1"/>
  <c r="AJW31" i="5" s="1"/>
  <c r="AJX31" i="5" s="1"/>
  <c r="AJY31" i="5" s="1"/>
  <c r="AJZ31" i="5" s="1"/>
  <c r="AKA31" i="5" s="1"/>
  <c r="AKB31" i="5" s="1"/>
  <c r="AKC31" i="5" s="1"/>
  <c r="AKD31" i="5" s="1"/>
  <c r="AKE31" i="5" s="1"/>
  <c r="AKF31" i="5" s="1"/>
  <c r="AKG31" i="5" s="1"/>
  <c r="AKH31" i="5" s="1"/>
  <c r="AKI31" i="5" s="1"/>
  <c r="AKJ31" i="5" s="1"/>
  <c r="AKK31" i="5" s="1"/>
  <c r="AKL31" i="5" s="1"/>
  <c r="AKM31" i="5" s="1"/>
  <c r="AIF31" i="5"/>
  <c r="AIG31" i="5" s="1"/>
  <c r="AIH31" i="5" s="1"/>
  <c r="AII31" i="5" s="1"/>
  <c r="AIJ31" i="5" s="1"/>
  <c r="AIK31" i="5" s="1"/>
  <c r="AIL31" i="5" s="1"/>
  <c r="AIM31" i="5" s="1"/>
  <c r="AIN31" i="5" s="1"/>
  <c r="AIO31" i="5" s="1"/>
  <c r="AIP31" i="5" s="1"/>
  <c r="AIQ31" i="5" s="1"/>
  <c r="AIR31" i="5" s="1"/>
  <c r="AIS31" i="5" s="1"/>
  <c r="AIT31" i="5" s="1"/>
  <c r="AIU31" i="5" s="1"/>
  <c r="AIV31" i="5" s="1"/>
  <c r="AIW31" i="5" s="1"/>
  <c r="AIX31" i="5" s="1"/>
  <c r="AIY31" i="5" s="1"/>
  <c r="AIZ31" i="5" s="1"/>
  <c r="AJA31" i="5" s="1"/>
  <c r="AJB31" i="5" s="1"/>
  <c r="AJC31" i="5" s="1"/>
  <c r="AJD31" i="5" s="1"/>
  <c r="AJE31" i="5" s="1"/>
  <c r="AJF31" i="5" s="1"/>
  <c r="AJG31" i="5" s="1"/>
  <c r="AJH31" i="5" s="1"/>
  <c r="AJI31" i="5" s="1"/>
  <c r="AJJ31" i="5" s="1"/>
  <c r="AGZ31" i="5"/>
  <c r="AHA31" i="5" s="1"/>
  <c r="AHB31" i="5" s="1"/>
  <c r="AHC31" i="5" s="1"/>
  <c r="AHD31" i="5" s="1"/>
  <c r="AHE31" i="5" s="1"/>
  <c r="AHF31" i="5" s="1"/>
  <c r="AHG31" i="5" s="1"/>
  <c r="AHH31" i="5" s="1"/>
  <c r="AHI31" i="5" s="1"/>
  <c r="AHJ31" i="5" s="1"/>
  <c r="AHK31" i="5" s="1"/>
  <c r="AHL31" i="5" s="1"/>
  <c r="AHM31" i="5" s="1"/>
  <c r="AHN31" i="5" s="1"/>
  <c r="AHO31" i="5" s="1"/>
  <c r="AHP31" i="5" s="1"/>
  <c r="AHQ31" i="5" s="1"/>
  <c r="AHR31" i="5" s="1"/>
  <c r="AHS31" i="5" s="1"/>
  <c r="AHT31" i="5" s="1"/>
  <c r="AHU31" i="5" s="1"/>
  <c r="AHV31" i="5" s="1"/>
  <c r="AHW31" i="5" s="1"/>
  <c r="AHX31" i="5" s="1"/>
  <c r="AHY31" i="5" s="1"/>
  <c r="AHZ31" i="5" s="1"/>
  <c r="AIA31" i="5" s="1"/>
  <c r="AIB31" i="5" s="1"/>
  <c r="AIC31" i="5" s="1"/>
  <c r="AID31" i="5" s="1"/>
  <c r="AFU31" i="5"/>
  <c r="AFV31" i="5" s="1"/>
  <c r="AFW31" i="5" s="1"/>
  <c r="AFX31" i="5" s="1"/>
  <c r="AFY31" i="5" s="1"/>
  <c r="AFZ31" i="5" s="1"/>
  <c r="AGA31" i="5" s="1"/>
  <c r="AGB31" i="5" s="1"/>
  <c r="AGC31" i="5" s="1"/>
  <c r="AGD31" i="5" s="1"/>
  <c r="AGE31" i="5" s="1"/>
  <c r="AGF31" i="5" s="1"/>
  <c r="AGG31" i="5" s="1"/>
  <c r="AGH31" i="5" s="1"/>
  <c r="AGI31" i="5" s="1"/>
  <c r="AGJ31" i="5" s="1"/>
  <c r="AGK31" i="5" s="1"/>
  <c r="AGL31" i="5" s="1"/>
  <c r="AGM31" i="5" s="1"/>
  <c r="AGN31" i="5" s="1"/>
  <c r="AGO31" i="5" s="1"/>
  <c r="AGP31" i="5" s="1"/>
  <c r="AGQ31" i="5" s="1"/>
  <c r="AGR31" i="5" s="1"/>
  <c r="AGS31" i="5" s="1"/>
  <c r="AGT31" i="5" s="1"/>
  <c r="AGU31" i="5" s="1"/>
  <c r="AGV31" i="5" s="1"/>
  <c r="AGW31" i="5" s="1"/>
  <c r="AGX31" i="5" s="1"/>
  <c r="AEO31" i="5"/>
  <c r="AEP31" i="5" s="1"/>
  <c r="AEQ31" i="5" s="1"/>
  <c r="AER31" i="5" s="1"/>
  <c r="AES31" i="5" s="1"/>
  <c r="AET31" i="5" s="1"/>
  <c r="AEU31" i="5" s="1"/>
  <c r="AEV31" i="5" s="1"/>
  <c r="AEW31" i="5" s="1"/>
  <c r="AEX31" i="5" s="1"/>
  <c r="AEY31" i="5" s="1"/>
  <c r="AEZ31" i="5" s="1"/>
  <c r="AFA31" i="5" s="1"/>
  <c r="AFB31" i="5" s="1"/>
  <c r="AFC31" i="5" s="1"/>
  <c r="AFD31" i="5" s="1"/>
  <c r="AFE31" i="5" s="1"/>
  <c r="AFF31" i="5" s="1"/>
  <c r="AFG31" i="5" s="1"/>
  <c r="AFH31" i="5" s="1"/>
  <c r="AFI31" i="5" s="1"/>
  <c r="AFJ31" i="5" s="1"/>
  <c r="AFK31" i="5" s="1"/>
  <c r="AFL31" i="5" s="1"/>
  <c r="AFM31" i="5" s="1"/>
  <c r="AFN31" i="5" s="1"/>
  <c r="AFO31" i="5" s="1"/>
  <c r="AFP31" i="5" s="1"/>
  <c r="AFQ31" i="5" s="1"/>
  <c r="AFR31" i="5" s="1"/>
  <c r="AFS31" i="5" s="1"/>
  <c r="ADJ31" i="5"/>
  <c r="ADK31" i="5" s="1"/>
  <c r="ADL31" i="5" s="1"/>
  <c r="ADM31" i="5" s="1"/>
  <c r="ADN31" i="5" s="1"/>
  <c r="ADO31" i="5" s="1"/>
  <c r="ADP31" i="5" s="1"/>
  <c r="ADQ31" i="5" s="1"/>
  <c r="ADR31" i="5" s="1"/>
  <c r="ADS31" i="5" s="1"/>
  <c r="ADT31" i="5" s="1"/>
  <c r="ADU31" i="5" s="1"/>
  <c r="ADV31" i="5" s="1"/>
  <c r="ADW31" i="5" s="1"/>
  <c r="ADX31" i="5" s="1"/>
  <c r="ADY31" i="5" s="1"/>
  <c r="ADZ31" i="5" s="1"/>
  <c r="AEA31" i="5" s="1"/>
  <c r="AEB31" i="5" s="1"/>
  <c r="AEC31" i="5" s="1"/>
  <c r="AED31" i="5" s="1"/>
  <c r="AEE31" i="5" s="1"/>
  <c r="AEF31" i="5" s="1"/>
  <c r="AEG31" i="5" s="1"/>
  <c r="AEH31" i="5" s="1"/>
  <c r="AEI31" i="5" s="1"/>
  <c r="AEJ31" i="5" s="1"/>
  <c r="AEK31" i="5" s="1"/>
  <c r="AEL31" i="5" s="1"/>
  <c r="AEM31" i="5" s="1"/>
  <c r="ACD31" i="5"/>
  <c r="ACE31" i="5" s="1"/>
  <c r="ACF31" i="5" s="1"/>
  <c r="ACG31" i="5" s="1"/>
  <c r="ACH31" i="5" s="1"/>
  <c r="ACI31" i="5" s="1"/>
  <c r="ACJ31" i="5" s="1"/>
  <c r="ACK31" i="5" s="1"/>
  <c r="ACL31" i="5" s="1"/>
  <c r="ACM31" i="5" s="1"/>
  <c r="ACN31" i="5" s="1"/>
  <c r="ACO31" i="5" s="1"/>
  <c r="ACP31" i="5" s="1"/>
  <c r="ACQ31" i="5" s="1"/>
  <c r="ACR31" i="5" s="1"/>
  <c r="ACS31" i="5" s="1"/>
  <c r="ACT31" i="5" s="1"/>
  <c r="ACU31" i="5" s="1"/>
  <c r="ACV31" i="5" s="1"/>
  <c r="ACW31" i="5" s="1"/>
  <c r="ACX31" i="5" s="1"/>
  <c r="ACY31" i="5" s="1"/>
  <c r="ACZ31" i="5" s="1"/>
  <c r="ADA31" i="5" s="1"/>
  <c r="ADB31" i="5" s="1"/>
  <c r="ADC31" i="5" s="1"/>
  <c r="ADD31" i="5" s="1"/>
  <c r="ADE31" i="5" s="1"/>
  <c r="ADF31" i="5" s="1"/>
  <c r="ADG31" i="5" s="1"/>
  <c r="ADH31" i="5" s="1"/>
  <c r="AAX31" i="5"/>
  <c r="AAY31" i="5" s="1"/>
  <c r="AAZ31" i="5" s="1"/>
  <c r="ABA31" i="5" s="1"/>
  <c r="ABB31" i="5" s="1"/>
  <c r="ABC31" i="5" s="1"/>
  <c r="ABD31" i="5" s="1"/>
  <c r="ABE31" i="5" s="1"/>
  <c r="ABF31" i="5" s="1"/>
  <c r="ABG31" i="5" s="1"/>
  <c r="ABH31" i="5" s="1"/>
  <c r="ABI31" i="5" s="1"/>
  <c r="ABJ31" i="5" s="1"/>
  <c r="ABK31" i="5" s="1"/>
  <c r="ABL31" i="5" s="1"/>
  <c r="ABM31" i="5" s="1"/>
  <c r="ABN31" i="5" s="1"/>
  <c r="ABO31" i="5" s="1"/>
  <c r="ABP31" i="5" s="1"/>
  <c r="ABQ31" i="5" s="1"/>
  <c r="ABR31" i="5" s="1"/>
  <c r="ABS31" i="5" s="1"/>
  <c r="ABT31" i="5" s="1"/>
  <c r="ABU31" i="5" s="1"/>
  <c r="ABV31" i="5" s="1"/>
  <c r="ABW31" i="5" s="1"/>
  <c r="ABX31" i="5" s="1"/>
  <c r="ABY31" i="5" s="1"/>
  <c r="ABZ31" i="5" s="1"/>
  <c r="ACA31" i="5" s="1"/>
  <c r="ACB31" i="5" s="1"/>
  <c r="AAQ31" i="5"/>
  <c r="AAR31" i="5" s="1"/>
  <c r="AAS31" i="5" s="1"/>
  <c r="AAT31" i="5" s="1"/>
  <c r="AAU31" i="5" s="1"/>
  <c r="AAV31" i="5" s="1"/>
  <c r="FE31" i="5"/>
  <c r="FF31" i="5" s="1"/>
  <c r="FG31" i="5" s="1"/>
  <c r="FH31" i="5" s="1"/>
  <c r="FI31" i="5" s="1"/>
  <c r="FJ31" i="5" s="1"/>
  <c r="FK31" i="5" s="1"/>
  <c r="FL31" i="5" s="1"/>
  <c r="FM31" i="5" s="1"/>
  <c r="FN31" i="5" s="1"/>
  <c r="FO31" i="5" s="1"/>
  <c r="FP31" i="5" s="1"/>
  <c r="FQ31" i="5" s="1"/>
  <c r="FR31" i="5" s="1"/>
  <c r="FS31" i="5" s="1"/>
  <c r="FT31" i="5" s="1"/>
  <c r="FU31" i="5" s="1"/>
  <c r="FV31" i="5" s="1"/>
  <c r="FW31" i="5" s="1"/>
  <c r="FX31" i="5" s="1"/>
  <c r="FY31" i="5" s="1"/>
  <c r="FZ31" i="5" s="1"/>
  <c r="GA31" i="5" s="1"/>
  <c r="GB31" i="5" s="1"/>
  <c r="GC31" i="5" s="1"/>
  <c r="GD31" i="5" s="1"/>
  <c r="GE31" i="5" s="1"/>
  <c r="GF31" i="5" s="1"/>
  <c r="GG31" i="5" s="1"/>
  <c r="GH31" i="5" s="1"/>
  <c r="GI31" i="5" s="1"/>
  <c r="GK31" i="5" s="1"/>
  <c r="EH31" i="5"/>
  <c r="EI31" i="5" s="1"/>
  <c r="EJ31" i="5" s="1"/>
  <c r="EK31" i="5" s="1"/>
  <c r="EL31" i="5" s="1"/>
  <c r="EM31" i="5" s="1"/>
  <c r="EN31" i="5" s="1"/>
  <c r="EO31" i="5" s="1"/>
  <c r="EP31" i="5" s="1"/>
  <c r="EQ31" i="5" s="1"/>
  <c r="ER31" i="5" s="1"/>
  <c r="ES31" i="5" s="1"/>
  <c r="ET31" i="5" s="1"/>
  <c r="EU31" i="5" s="1"/>
  <c r="EV31" i="5" s="1"/>
  <c r="EW31" i="5" s="1"/>
  <c r="EX31" i="5" s="1"/>
  <c r="EY31" i="5" s="1"/>
  <c r="EZ31" i="5" s="1"/>
  <c r="FA31" i="5" s="1"/>
  <c r="FB31" i="5" s="1"/>
  <c r="FC31" i="5" s="1"/>
  <c r="AMZ30" i="5"/>
  <c r="ANA30" i="5" s="1"/>
  <c r="ANB30" i="5" s="1"/>
  <c r="ANC30" i="5" s="1"/>
  <c r="AND30" i="5" s="1"/>
  <c r="ANE30" i="5" s="1"/>
  <c r="ANF30" i="5" s="1"/>
  <c r="ANG30" i="5" s="1"/>
  <c r="ANH30" i="5" s="1"/>
  <c r="ANI30" i="5" s="1"/>
  <c r="ANJ30" i="5" s="1"/>
  <c r="ANK30" i="5" s="1"/>
  <c r="ANL30" i="5" s="1"/>
  <c r="ANM30" i="5" s="1"/>
  <c r="ANN30" i="5" s="1"/>
  <c r="ANO30" i="5" s="1"/>
  <c r="ANP30" i="5" s="1"/>
  <c r="ANQ30" i="5" s="1"/>
  <c r="ANR30" i="5" s="1"/>
  <c r="ANS30" i="5" s="1"/>
  <c r="ANT30" i="5" s="1"/>
  <c r="ANU30" i="5" s="1"/>
  <c r="ANV30" i="5" s="1"/>
  <c r="ANW30" i="5" s="1"/>
  <c r="ANX30" i="5" s="1"/>
  <c r="ANY30" i="5" s="1"/>
  <c r="ANZ30" i="5" s="1"/>
  <c r="AOA30" i="5" s="1"/>
  <c r="AOB30" i="5" s="1"/>
  <c r="AOC30" i="5" s="1"/>
  <c r="ALU30" i="5"/>
  <c r="ALV30" i="5" s="1"/>
  <c r="ALW30" i="5" s="1"/>
  <c r="ALX30" i="5" s="1"/>
  <c r="ALY30" i="5" s="1"/>
  <c r="ALZ30" i="5" s="1"/>
  <c r="AMA30" i="5" s="1"/>
  <c r="AMB30" i="5" s="1"/>
  <c r="AMC30" i="5" s="1"/>
  <c r="AMD30" i="5" s="1"/>
  <c r="AME30" i="5" s="1"/>
  <c r="AMF30" i="5" s="1"/>
  <c r="AMG30" i="5" s="1"/>
  <c r="AMH30" i="5" s="1"/>
  <c r="AMI30" i="5" s="1"/>
  <c r="AMJ30" i="5" s="1"/>
  <c r="AMK30" i="5" s="1"/>
  <c r="AML30" i="5" s="1"/>
  <c r="AMM30" i="5" s="1"/>
  <c r="AMN30" i="5" s="1"/>
  <c r="AMO30" i="5" s="1"/>
  <c r="AMP30" i="5" s="1"/>
  <c r="AMQ30" i="5" s="1"/>
  <c r="AMR30" i="5" s="1"/>
  <c r="AMS30" i="5" s="1"/>
  <c r="AMT30" i="5" s="1"/>
  <c r="AMU30" i="5" s="1"/>
  <c r="AMV30" i="5" s="1"/>
  <c r="AMW30" i="5" s="1"/>
  <c r="AMX30" i="5" s="1"/>
  <c r="AKO30" i="5"/>
  <c r="AKP30" i="5" s="1"/>
  <c r="AKQ30" i="5" s="1"/>
  <c r="AKR30" i="5" s="1"/>
  <c r="AKS30" i="5" s="1"/>
  <c r="AKT30" i="5" s="1"/>
  <c r="AKU30" i="5" s="1"/>
  <c r="AKV30" i="5" s="1"/>
  <c r="AKW30" i="5" s="1"/>
  <c r="AKX30" i="5" s="1"/>
  <c r="AKY30" i="5" s="1"/>
  <c r="AKZ30" i="5" s="1"/>
  <c r="ALA30" i="5" s="1"/>
  <c r="ALB30" i="5" s="1"/>
  <c r="ALC30" i="5" s="1"/>
  <c r="ALD30" i="5" s="1"/>
  <c r="ALE30" i="5" s="1"/>
  <c r="ALF30" i="5" s="1"/>
  <c r="ALG30" i="5" s="1"/>
  <c r="ALH30" i="5" s="1"/>
  <c r="ALI30" i="5" s="1"/>
  <c r="ALJ30" i="5" s="1"/>
  <c r="ALK30" i="5" s="1"/>
  <c r="ALL30" i="5" s="1"/>
  <c r="ALM30" i="5" s="1"/>
  <c r="ALN30" i="5" s="1"/>
  <c r="ALO30" i="5" s="1"/>
  <c r="ALP30" i="5" s="1"/>
  <c r="ALQ30" i="5" s="1"/>
  <c r="ALR30" i="5" s="1"/>
  <c r="ALS30" i="5" s="1"/>
  <c r="AJL30" i="5"/>
  <c r="AJM30" i="5" s="1"/>
  <c r="AJN30" i="5" s="1"/>
  <c r="AJO30" i="5" s="1"/>
  <c r="AJP30" i="5" s="1"/>
  <c r="AJQ30" i="5" s="1"/>
  <c r="AJR30" i="5" s="1"/>
  <c r="AJS30" i="5" s="1"/>
  <c r="AJT30" i="5" s="1"/>
  <c r="AJU30" i="5" s="1"/>
  <c r="AJV30" i="5" s="1"/>
  <c r="AJW30" i="5" s="1"/>
  <c r="AJX30" i="5" s="1"/>
  <c r="AJY30" i="5" s="1"/>
  <c r="AJZ30" i="5" s="1"/>
  <c r="AKA30" i="5" s="1"/>
  <c r="AKB30" i="5" s="1"/>
  <c r="AKC30" i="5" s="1"/>
  <c r="AKD30" i="5" s="1"/>
  <c r="AKE30" i="5" s="1"/>
  <c r="AKF30" i="5" s="1"/>
  <c r="AKG30" i="5" s="1"/>
  <c r="AKH30" i="5" s="1"/>
  <c r="AKI30" i="5" s="1"/>
  <c r="AKJ30" i="5" s="1"/>
  <c r="AKK30" i="5" s="1"/>
  <c r="AKL30" i="5" s="1"/>
  <c r="AKM30" i="5" s="1"/>
  <c r="AIF30" i="5"/>
  <c r="AIG30" i="5" s="1"/>
  <c r="AIH30" i="5" s="1"/>
  <c r="AII30" i="5" s="1"/>
  <c r="AIJ30" i="5" s="1"/>
  <c r="AIK30" i="5" s="1"/>
  <c r="AIL30" i="5" s="1"/>
  <c r="AIM30" i="5" s="1"/>
  <c r="AIN30" i="5" s="1"/>
  <c r="AIO30" i="5" s="1"/>
  <c r="AIP30" i="5" s="1"/>
  <c r="AIQ30" i="5" s="1"/>
  <c r="AIR30" i="5" s="1"/>
  <c r="AIS30" i="5" s="1"/>
  <c r="AIT30" i="5" s="1"/>
  <c r="AIU30" i="5" s="1"/>
  <c r="AIV30" i="5" s="1"/>
  <c r="AIW30" i="5" s="1"/>
  <c r="AIX30" i="5" s="1"/>
  <c r="AIY30" i="5" s="1"/>
  <c r="AIZ30" i="5" s="1"/>
  <c r="AJA30" i="5" s="1"/>
  <c r="AJB30" i="5" s="1"/>
  <c r="AJC30" i="5" s="1"/>
  <c r="AJD30" i="5" s="1"/>
  <c r="AJE30" i="5" s="1"/>
  <c r="AJF30" i="5" s="1"/>
  <c r="AJG30" i="5" s="1"/>
  <c r="AJH30" i="5" s="1"/>
  <c r="AJI30" i="5" s="1"/>
  <c r="AJJ30" i="5" s="1"/>
  <c r="AGZ30" i="5"/>
  <c r="AHA30" i="5" s="1"/>
  <c r="AHB30" i="5" s="1"/>
  <c r="AHC30" i="5" s="1"/>
  <c r="AHD30" i="5" s="1"/>
  <c r="AHE30" i="5" s="1"/>
  <c r="AHF30" i="5" s="1"/>
  <c r="AHG30" i="5" s="1"/>
  <c r="AHH30" i="5" s="1"/>
  <c r="AHI30" i="5" s="1"/>
  <c r="AHJ30" i="5" s="1"/>
  <c r="AHK30" i="5" s="1"/>
  <c r="AHL30" i="5" s="1"/>
  <c r="AHM30" i="5" s="1"/>
  <c r="AHN30" i="5" s="1"/>
  <c r="AHO30" i="5" s="1"/>
  <c r="AHP30" i="5" s="1"/>
  <c r="AHQ30" i="5" s="1"/>
  <c r="AHR30" i="5" s="1"/>
  <c r="AHS30" i="5" s="1"/>
  <c r="AHT30" i="5" s="1"/>
  <c r="AHU30" i="5" s="1"/>
  <c r="AHV30" i="5" s="1"/>
  <c r="AHW30" i="5" s="1"/>
  <c r="AHX30" i="5" s="1"/>
  <c r="AHY30" i="5" s="1"/>
  <c r="AHZ30" i="5" s="1"/>
  <c r="AIA30" i="5" s="1"/>
  <c r="AIB30" i="5" s="1"/>
  <c r="AIC30" i="5" s="1"/>
  <c r="AID30" i="5" s="1"/>
  <c r="AFU30" i="5"/>
  <c r="AFV30" i="5" s="1"/>
  <c r="AFW30" i="5" s="1"/>
  <c r="AFX30" i="5" s="1"/>
  <c r="AFY30" i="5" s="1"/>
  <c r="AFZ30" i="5" s="1"/>
  <c r="AGA30" i="5" s="1"/>
  <c r="AGB30" i="5" s="1"/>
  <c r="AGC30" i="5" s="1"/>
  <c r="AGD30" i="5" s="1"/>
  <c r="AGE30" i="5" s="1"/>
  <c r="AGF30" i="5" s="1"/>
  <c r="AGG30" i="5" s="1"/>
  <c r="AGH30" i="5" s="1"/>
  <c r="AGI30" i="5" s="1"/>
  <c r="AGJ30" i="5" s="1"/>
  <c r="AGK30" i="5" s="1"/>
  <c r="AGL30" i="5" s="1"/>
  <c r="AGM30" i="5" s="1"/>
  <c r="AGN30" i="5" s="1"/>
  <c r="AGO30" i="5" s="1"/>
  <c r="AGP30" i="5" s="1"/>
  <c r="AGQ30" i="5" s="1"/>
  <c r="AGR30" i="5" s="1"/>
  <c r="AGS30" i="5" s="1"/>
  <c r="AGT30" i="5" s="1"/>
  <c r="AGU30" i="5" s="1"/>
  <c r="AGV30" i="5" s="1"/>
  <c r="AGW30" i="5" s="1"/>
  <c r="AGX30" i="5" s="1"/>
  <c r="AEO30" i="5"/>
  <c r="AEP30" i="5" s="1"/>
  <c r="AEQ30" i="5" s="1"/>
  <c r="AER30" i="5" s="1"/>
  <c r="AES30" i="5" s="1"/>
  <c r="AET30" i="5" s="1"/>
  <c r="AEU30" i="5" s="1"/>
  <c r="AEV30" i="5" s="1"/>
  <c r="AEW30" i="5" s="1"/>
  <c r="AEX30" i="5" s="1"/>
  <c r="AEY30" i="5" s="1"/>
  <c r="AEZ30" i="5" s="1"/>
  <c r="AFA30" i="5" s="1"/>
  <c r="AFB30" i="5" s="1"/>
  <c r="AFC30" i="5" s="1"/>
  <c r="AFD30" i="5" s="1"/>
  <c r="AFE30" i="5" s="1"/>
  <c r="AFF30" i="5" s="1"/>
  <c r="AFG30" i="5" s="1"/>
  <c r="AFH30" i="5" s="1"/>
  <c r="AFI30" i="5" s="1"/>
  <c r="AFJ30" i="5" s="1"/>
  <c r="AFK30" i="5" s="1"/>
  <c r="AFL30" i="5" s="1"/>
  <c r="AFM30" i="5" s="1"/>
  <c r="AFN30" i="5" s="1"/>
  <c r="AFO30" i="5" s="1"/>
  <c r="AFP30" i="5" s="1"/>
  <c r="AFQ30" i="5" s="1"/>
  <c r="AFR30" i="5" s="1"/>
  <c r="AFS30" i="5" s="1"/>
  <c r="ADJ30" i="5"/>
  <c r="ADK30" i="5" s="1"/>
  <c r="ADL30" i="5" s="1"/>
  <c r="ADM30" i="5" s="1"/>
  <c r="ADN30" i="5" s="1"/>
  <c r="ADO30" i="5" s="1"/>
  <c r="ADP30" i="5" s="1"/>
  <c r="ADQ30" i="5" s="1"/>
  <c r="ADR30" i="5" s="1"/>
  <c r="ADS30" i="5" s="1"/>
  <c r="ADT30" i="5" s="1"/>
  <c r="ADU30" i="5" s="1"/>
  <c r="ADV30" i="5" s="1"/>
  <c r="ADW30" i="5" s="1"/>
  <c r="ADX30" i="5" s="1"/>
  <c r="ADY30" i="5" s="1"/>
  <c r="ADZ30" i="5" s="1"/>
  <c r="AEA30" i="5" s="1"/>
  <c r="AEB30" i="5" s="1"/>
  <c r="AEC30" i="5" s="1"/>
  <c r="AED30" i="5" s="1"/>
  <c r="AEE30" i="5" s="1"/>
  <c r="AEF30" i="5" s="1"/>
  <c r="AEG30" i="5" s="1"/>
  <c r="AEH30" i="5" s="1"/>
  <c r="AEI30" i="5" s="1"/>
  <c r="AEJ30" i="5" s="1"/>
  <c r="AEK30" i="5" s="1"/>
  <c r="AEL30" i="5" s="1"/>
  <c r="AEM30" i="5" s="1"/>
  <c r="ACD30" i="5"/>
  <c r="ACE30" i="5" s="1"/>
  <c r="ACF30" i="5" s="1"/>
  <c r="ACG30" i="5" s="1"/>
  <c r="ACH30" i="5" s="1"/>
  <c r="ACI30" i="5" s="1"/>
  <c r="ACJ30" i="5" s="1"/>
  <c r="ACK30" i="5" s="1"/>
  <c r="ACL30" i="5" s="1"/>
  <c r="ACM30" i="5" s="1"/>
  <c r="ACN30" i="5" s="1"/>
  <c r="ACO30" i="5" s="1"/>
  <c r="ACP30" i="5" s="1"/>
  <c r="ACQ30" i="5" s="1"/>
  <c r="ACR30" i="5" s="1"/>
  <c r="ACS30" i="5" s="1"/>
  <c r="ACT30" i="5" s="1"/>
  <c r="ACU30" i="5" s="1"/>
  <c r="ACV30" i="5" s="1"/>
  <c r="ACW30" i="5" s="1"/>
  <c r="ACX30" i="5" s="1"/>
  <c r="ACY30" i="5" s="1"/>
  <c r="ACZ30" i="5" s="1"/>
  <c r="ADA30" i="5" s="1"/>
  <c r="ADB30" i="5" s="1"/>
  <c r="ADC30" i="5" s="1"/>
  <c r="ADD30" i="5" s="1"/>
  <c r="ADE30" i="5" s="1"/>
  <c r="ADF30" i="5" s="1"/>
  <c r="ADG30" i="5" s="1"/>
  <c r="ADH30" i="5" s="1"/>
  <c r="AAX30" i="5"/>
  <c r="AAY30" i="5" s="1"/>
  <c r="AAZ30" i="5" s="1"/>
  <c r="ABA30" i="5" s="1"/>
  <c r="ABB30" i="5" s="1"/>
  <c r="ABC30" i="5" s="1"/>
  <c r="ABD30" i="5" s="1"/>
  <c r="ABE30" i="5" s="1"/>
  <c r="ABF30" i="5" s="1"/>
  <c r="ABG30" i="5" s="1"/>
  <c r="ABH30" i="5" s="1"/>
  <c r="ABI30" i="5" s="1"/>
  <c r="ABJ30" i="5" s="1"/>
  <c r="ABK30" i="5" s="1"/>
  <c r="ABL30" i="5" s="1"/>
  <c r="ABM30" i="5" s="1"/>
  <c r="ABN30" i="5" s="1"/>
  <c r="ABO30" i="5" s="1"/>
  <c r="ABP30" i="5" s="1"/>
  <c r="ABQ30" i="5" s="1"/>
  <c r="ABR30" i="5" s="1"/>
  <c r="ABS30" i="5" s="1"/>
  <c r="ABT30" i="5" s="1"/>
  <c r="ABU30" i="5" s="1"/>
  <c r="ABV30" i="5" s="1"/>
  <c r="ABW30" i="5" s="1"/>
  <c r="ABX30" i="5" s="1"/>
  <c r="ABY30" i="5" s="1"/>
  <c r="ABZ30" i="5" s="1"/>
  <c r="ACA30" i="5" s="1"/>
  <c r="ACB30" i="5" s="1"/>
  <c r="ZS30" i="5"/>
  <c r="ZT30" i="5" s="1"/>
  <c r="ZU30" i="5" s="1"/>
  <c r="ZV30" i="5" s="1"/>
  <c r="ZW30" i="5" s="1"/>
  <c r="ZX30" i="5" s="1"/>
  <c r="ZY30" i="5" s="1"/>
  <c r="ZZ30" i="5" s="1"/>
  <c r="AAA30" i="5" s="1"/>
  <c r="AAB30" i="5" s="1"/>
  <c r="AAC30" i="5" s="1"/>
  <c r="AAD30" i="5" s="1"/>
  <c r="AAE30" i="5" s="1"/>
  <c r="AAF30" i="5" s="1"/>
  <c r="AAG30" i="5" s="1"/>
  <c r="AAH30" i="5" s="1"/>
  <c r="AAI30" i="5" s="1"/>
  <c r="AAJ30" i="5" s="1"/>
  <c r="AAK30" i="5" s="1"/>
  <c r="AAL30" i="5" s="1"/>
  <c r="AAM30" i="5" s="1"/>
  <c r="AAN30" i="5" s="1"/>
  <c r="AAO30" i="5" s="1"/>
  <c r="AAP30" i="5" s="1"/>
  <c r="AAQ30" i="5" s="1"/>
  <c r="AAR30" i="5" s="1"/>
  <c r="AAS30" i="5" s="1"/>
  <c r="AAT30" i="5" s="1"/>
  <c r="AAU30" i="5" s="1"/>
  <c r="AAV30" i="5" s="1"/>
  <c r="YM30" i="5"/>
  <c r="YN30" i="5" s="1"/>
  <c r="XH30" i="5"/>
  <c r="XI30" i="5" s="1"/>
  <c r="XJ30" i="5" s="1"/>
  <c r="XK30" i="5" s="1"/>
  <c r="XL30" i="5" s="1"/>
  <c r="XM30" i="5" s="1"/>
  <c r="XN30" i="5" s="1"/>
  <c r="XO30" i="5" s="1"/>
  <c r="XP30" i="5" s="1"/>
  <c r="XQ30" i="5" s="1"/>
  <c r="XR30" i="5" s="1"/>
  <c r="XS30" i="5" s="1"/>
  <c r="XT30" i="5" s="1"/>
  <c r="XU30" i="5" s="1"/>
  <c r="XV30" i="5" s="1"/>
  <c r="XW30" i="5" s="1"/>
  <c r="XX30" i="5" s="1"/>
  <c r="XY30" i="5" s="1"/>
  <c r="XZ30" i="5" s="1"/>
  <c r="YA30" i="5" s="1"/>
  <c r="YB30" i="5" s="1"/>
  <c r="YC30" i="5" s="1"/>
  <c r="YD30" i="5" s="1"/>
  <c r="YE30" i="5" s="1"/>
  <c r="YF30" i="5" s="1"/>
  <c r="YG30" i="5" s="1"/>
  <c r="YH30" i="5" s="1"/>
  <c r="YI30" i="5" s="1"/>
  <c r="YJ30" i="5" s="1"/>
  <c r="YK30" i="5" s="1"/>
  <c r="WB30" i="5"/>
  <c r="UY30" i="5"/>
  <c r="TS30" i="5"/>
  <c r="SM30" i="5"/>
  <c r="RH30" i="5"/>
  <c r="QB30" i="5"/>
  <c r="OW30" i="5"/>
  <c r="NQ30" i="5"/>
  <c r="MK30" i="5"/>
  <c r="ML30" i="5" s="1"/>
  <c r="MM30" i="5" s="1"/>
  <c r="MN30" i="5" s="1"/>
  <c r="MO30" i="5" s="1"/>
  <c r="MP30" i="5" s="1"/>
  <c r="MQ30" i="5" s="1"/>
  <c r="MR30" i="5" s="1"/>
  <c r="MS30" i="5" s="1"/>
  <c r="MT30" i="5" s="1"/>
  <c r="MU30" i="5" s="1"/>
  <c r="MV30" i="5" s="1"/>
  <c r="MW30" i="5" s="1"/>
  <c r="MX30" i="5" s="1"/>
  <c r="MY30" i="5" s="1"/>
  <c r="MZ30" i="5" s="1"/>
  <c r="NA30" i="5" s="1"/>
  <c r="NB30" i="5" s="1"/>
  <c r="NC30" i="5" s="1"/>
  <c r="ND30" i="5" s="1"/>
  <c r="NE30" i="5" s="1"/>
  <c r="NF30" i="5" s="1"/>
  <c r="NG30" i="5" s="1"/>
  <c r="LF30" i="5"/>
  <c r="LG30" i="5" s="1"/>
  <c r="LH30" i="5" s="1"/>
  <c r="LI30" i="5" s="1"/>
  <c r="LJ30" i="5" s="1"/>
  <c r="LK30" i="5" s="1"/>
  <c r="LL30" i="5" s="1"/>
  <c r="LM30" i="5" s="1"/>
  <c r="LN30" i="5" s="1"/>
  <c r="LO30" i="5" s="1"/>
  <c r="LP30" i="5" s="1"/>
  <c r="LQ30" i="5" s="1"/>
  <c r="LR30" i="5" s="1"/>
  <c r="LS30" i="5" s="1"/>
  <c r="LT30" i="5" s="1"/>
  <c r="LU30" i="5" s="1"/>
  <c r="LV30" i="5" s="1"/>
  <c r="LW30" i="5" s="1"/>
  <c r="LX30" i="5" s="1"/>
  <c r="LY30" i="5" s="1"/>
  <c r="LZ30" i="5" s="1"/>
  <c r="MA30" i="5" s="1"/>
  <c r="MB30" i="5" s="1"/>
  <c r="MC30" i="5" s="1"/>
  <c r="MD30" i="5" s="1"/>
  <c r="ME30" i="5" s="1"/>
  <c r="MF30" i="5" s="1"/>
  <c r="MG30" i="5" s="1"/>
  <c r="MH30" i="5" s="1"/>
  <c r="MI30" i="5" s="1"/>
  <c r="MK18" i="5" s="1"/>
  <c r="ML18" i="5" s="1"/>
  <c r="MM18" i="5" s="1"/>
  <c r="MN18" i="5" s="1"/>
  <c r="MO18" i="5" s="1"/>
  <c r="MP18" i="5" s="1"/>
  <c r="MQ18" i="5" s="1"/>
  <c r="MR18" i="5" s="1"/>
  <c r="MS18" i="5" s="1"/>
  <c r="MT18" i="5" s="1"/>
  <c r="MU18" i="5" s="1"/>
  <c r="MV18" i="5" s="1"/>
  <c r="MW18" i="5" s="1"/>
  <c r="MX18" i="5" s="1"/>
  <c r="MY18" i="5" s="1"/>
  <c r="MZ18" i="5" s="1"/>
  <c r="NA18" i="5" s="1"/>
  <c r="NB18" i="5" s="1"/>
  <c r="NC18" i="5" s="1"/>
  <c r="ND18" i="5" s="1"/>
  <c r="NE18" i="5" s="1"/>
  <c r="NF18" i="5" s="1"/>
  <c r="NG18" i="5" s="1"/>
  <c r="JZ30" i="5"/>
  <c r="KA30" i="5" s="1"/>
  <c r="KB30" i="5" s="1"/>
  <c r="KC30" i="5" s="1"/>
  <c r="KD30" i="5" s="1"/>
  <c r="KE30" i="5" s="1"/>
  <c r="KF30" i="5" s="1"/>
  <c r="KG30" i="5" s="1"/>
  <c r="KH30" i="5" s="1"/>
  <c r="KI30" i="5" s="1"/>
  <c r="KJ30" i="5" s="1"/>
  <c r="KK30" i="5" s="1"/>
  <c r="KL30" i="5" s="1"/>
  <c r="KM30" i="5" s="1"/>
  <c r="KN30" i="5" s="1"/>
  <c r="KO30" i="5" s="1"/>
  <c r="KP30" i="5" s="1"/>
  <c r="KQ30" i="5" s="1"/>
  <c r="KR30" i="5" s="1"/>
  <c r="KS30" i="5" s="1"/>
  <c r="KT30" i="5" s="1"/>
  <c r="KU30" i="5" s="1"/>
  <c r="KV30" i="5" s="1"/>
  <c r="KW30" i="5" s="1"/>
  <c r="KX30" i="5" s="1"/>
  <c r="KY30" i="5" s="1"/>
  <c r="KZ30" i="5" s="1"/>
  <c r="LA30" i="5" s="1"/>
  <c r="LB30" i="5" s="1"/>
  <c r="LC30" i="5" s="1"/>
  <c r="LD30" i="5" s="1"/>
  <c r="LF18" i="5" s="1"/>
  <c r="LG18" i="5" s="1"/>
  <c r="LH18" i="5" s="1"/>
  <c r="LI18" i="5" s="1"/>
  <c r="LJ18" i="5" s="1"/>
  <c r="LK18" i="5" s="1"/>
  <c r="LL18" i="5" s="1"/>
  <c r="LM18" i="5" s="1"/>
  <c r="LN18" i="5" s="1"/>
  <c r="LO18" i="5" s="1"/>
  <c r="LP18" i="5" s="1"/>
  <c r="LQ18" i="5" s="1"/>
  <c r="IU30" i="5"/>
  <c r="IV30" i="5" s="1"/>
  <c r="IW30" i="5" s="1"/>
  <c r="IX30" i="5" s="1"/>
  <c r="IY30" i="5" s="1"/>
  <c r="IZ30" i="5" s="1"/>
  <c r="JA30" i="5" s="1"/>
  <c r="JB30" i="5" s="1"/>
  <c r="JC30" i="5" s="1"/>
  <c r="JD30" i="5" s="1"/>
  <c r="JE30" i="5" s="1"/>
  <c r="JF30" i="5" s="1"/>
  <c r="JG30" i="5" s="1"/>
  <c r="JH30" i="5" s="1"/>
  <c r="JI30" i="5" s="1"/>
  <c r="JJ30" i="5" s="1"/>
  <c r="JK30" i="5" s="1"/>
  <c r="JL30" i="5" s="1"/>
  <c r="JM30" i="5" s="1"/>
  <c r="JN30" i="5" s="1"/>
  <c r="JO30" i="5" s="1"/>
  <c r="JP30" i="5" s="1"/>
  <c r="JQ30" i="5" s="1"/>
  <c r="JR30" i="5" s="1"/>
  <c r="JS30" i="5" s="1"/>
  <c r="JT30" i="5" s="1"/>
  <c r="JU30" i="5" s="1"/>
  <c r="JV30" i="5" s="1"/>
  <c r="JW30" i="5" s="1"/>
  <c r="JX30" i="5" s="1"/>
  <c r="JZ18" i="5" s="1"/>
  <c r="KA18" i="5" s="1"/>
  <c r="KB18" i="5" s="1"/>
  <c r="KC18" i="5" s="1"/>
  <c r="KD18" i="5" s="1"/>
  <c r="KE18" i="5" s="1"/>
  <c r="KF18" i="5" s="1"/>
  <c r="HO30" i="5"/>
  <c r="HP30" i="5" s="1"/>
  <c r="HQ30" i="5" s="1"/>
  <c r="HR30" i="5" s="1"/>
  <c r="HS30" i="5" s="1"/>
  <c r="HT30" i="5" s="1"/>
  <c r="HU30" i="5" s="1"/>
  <c r="HV30" i="5" s="1"/>
  <c r="HW30" i="5" s="1"/>
  <c r="HX30" i="5" s="1"/>
  <c r="HY30" i="5" s="1"/>
  <c r="HZ30" i="5" s="1"/>
  <c r="IA30" i="5" s="1"/>
  <c r="IB30" i="5" s="1"/>
  <c r="IC30" i="5" s="1"/>
  <c r="ID30" i="5" s="1"/>
  <c r="IE30" i="5" s="1"/>
  <c r="IF30" i="5" s="1"/>
  <c r="IG30" i="5" s="1"/>
  <c r="IH30" i="5" s="1"/>
  <c r="II30" i="5" s="1"/>
  <c r="IJ30" i="5" s="1"/>
  <c r="IK30" i="5" s="1"/>
  <c r="IL30" i="5" s="1"/>
  <c r="IM30" i="5" s="1"/>
  <c r="IN30" i="5" s="1"/>
  <c r="IO30" i="5" s="1"/>
  <c r="IP30" i="5" s="1"/>
  <c r="IQ30" i="5" s="1"/>
  <c r="IR30" i="5" s="1"/>
  <c r="IS30" i="5" s="1"/>
  <c r="IU18" i="5" s="1"/>
  <c r="IV18" i="5" s="1"/>
  <c r="HF30" i="5"/>
  <c r="HG30" i="5" s="1"/>
  <c r="HH30" i="5" s="1"/>
  <c r="HI30" i="5" s="1"/>
  <c r="HJ30" i="5" s="1"/>
  <c r="HK30" i="5" s="1"/>
  <c r="HL30" i="5" s="1"/>
  <c r="HM30" i="5" s="1"/>
  <c r="FE30" i="5"/>
  <c r="DY30" i="5"/>
  <c r="DZ30" i="5" s="1"/>
  <c r="EA30" i="5" s="1"/>
  <c r="EB30" i="5" s="1"/>
  <c r="EC30" i="5" s="1"/>
  <c r="ED30" i="5" s="1"/>
  <c r="EE30" i="5" s="1"/>
  <c r="EF30" i="5" s="1"/>
  <c r="EG30" i="5" s="1"/>
  <c r="EH30" i="5" s="1"/>
  <c r="CT30" i="5"/>
  <c r="CU30" i="5" s="1"/>
  <c r="CV30" i="5" s="1"/>
  <c r="CW30" i="5" s="1"/>
  <c r="CX30" i="5" s="1"/>
  <c r="CY30" i="5" s="1"/>
  <c r="CZ30" i="5" s="1"/>
  <c r="DA30" i="5" s="1"/>
  <c r="DB30" i="5" s="1"/>
  <c r="DC30" i="5" s="1"/>
  <c r="DD30" i="5" s="1"/>
  <c r="DE30" i="5" s="1"/>
  <c r="DF30" i="5" s="1"/>
  <c r="DG30" i="5" s="1"/>
  <c r="DH30" i="5" s="1"/>
  <c r="DI30" i="5" s="1"/>
  <c r="DJ30" i="5" s="1"/>
  <c r="DK30" i="5" s="1"/>
  <c r="DL30" i="5" s="1"/>
  <c r="DM30" i="5" s="1"/>
  <c r="DN30" i="5" s="1"/>
  <c r="DO30" i="5" s="1"/>
  <c r="DP30" i="5" s="1"/>
  <c r="DQ30" i="5" s="1"/>
  <c r="DR30" i="5" s="1"/>
  <c r="DS30" i="5" s="1"/>
  <c r="DT30" i="5" s="1"/>
  <c r="DU30" i="5" s="1"/>
  <c r="DV30" i="5" s="1"/>
  <c r="DW30" i="5" s="1"/>
  <c r="DY18" i="5" s="1"/>
  <c r="DZ18" i="5" s="1"/>
  <c r="EA18" i="5" s="1"/>
  <c r="EB18" i="5" s="1"/>
  <c r="EC18" i="5" s="1"/>
  <c r="ED18" i="5" s="1"/>
  <c r="EE18" i="5" s="1"/>
  <c r="EF18" i="5" s="1"/>
  <c r="EG18" i="5" s="1"/>
  <c r="EH18" i="5" s="1"/>
  <c r="BN30" i="5"/>
  <c r="BO30" i="5" s="1"/>
  <c r="BP30" i="5" s="1"/>
  <c r="BQ30" i="5" s="1"/>
  <c r="BR30" i="5" s="1"/>
  <c r="BS30" i="5" s="1"/>
  <c r="BT30" i="5" s="1"/>
  <c r="BU30" i="5" s="1"/>
  <c r="BV30" i="5" s="1"/>
  <c r="BW30" i="5" s="1"/>
  <c r="BX30" i="5" s="1"/>
  <c r="BY30" i="5" s="1"/>
  <c r="BZ30" i="5" s="1"/>
  <c r="CA30" i="5" s="1"/>
  <c r="CB30" i="5" s="1"/>
  <c r="CC30" i="5" s="1"/>
  <c r="CD30" i="5" s="1"/>
  <c r="CE30" i="5" s="1"/>
  <c r="CF30" i="5" s="1"/>
  <c r="CG30" i="5" s="1"/>
  <c r="CH30" i="5" s="1"/>
  <c r="CI30" i="5" s="1"/>
  <c r="CJ30" i="5" s="1"/>
  <c r="CK30" i="5" s="1"/>
  <c r="CL30" i="5" s="1"/>
  <c r="CM30" i="5" s="1"/>
  <c r="CN30" i="5" s="1"/>
  <c r="CO30" i="5" s="1"/>
  <c r="CP30" i="5" s="1"/>
  <c r="CQ30" i="5" s="1"/>
  <c r="CR30" i="5" s="1"/>
  <c r="CT18" i="5" s="1"/>
  <c r="AI30" i="5"/>
  <c r="AJ30" i="5" s="1"/>
  <c r="AK30" i="5" s="1"/>
  <c r="AL30" i="5" s="1"/>
  <c r="AM30" i="5" s="1"/>
  <c r="AN30" i="5" s="1"/>
  <c r="AO30" i="5" s="1"/>
  <c r="AP30" i="5" s="1"/>
  <c r="AQ30" i="5" s="1"/>
  <c r="AR30" i="5" s="1"/>
  <c r="AS30" i="5" s="1"/>
  <c r="AT30" i="5" s="1"/>
  <c r="AU30" i="5" s="1"/>
  <c r="AV30" i="5" s="1"/>
  <c r="AW30" i="5" s="1"/>
  <c r="AX30" i="5" s="1"/>
  <c r="AY30" i="5" s="1"/>
  <c r="AZ30" i="5" s="1"/>
  <c r="BA30" i="5" s="1"/>
  <c r="BB30" i="5" s="1"/>
  <c r="BC30" i="5" s="1"/>
  <c r="BD30" i="5" s="1"/>
  <c r="BE30" i="5" s="1"/>
  <c r="BF30" i="5" s="1"/>
  <c r="BG30" i="5" s="1"/>
  <c r="BH30" i="5" s="1"/>
  <c r="BI30" i="5" s="1"/>
  <c r="BJ30" i="5" s="1"/>
  <c r="BK30" i="5" s="1"/>
  <c r="BL30" i="5" s="1"/>
  <c r="BM18" i="5" s="1"/>
  <c r="BN18" i="5" s="1"/>
  <c r="BO18" i="5" s="1"/>
  <c r="BP18" i="5" s="1"/>
  <c r="BQ18" i="5" s="1"/>
  <c r="BR18" i="5" s="1"/>
  <c r="BS18" i="5" s="1"/>
  <c r="BT18" i="5" s="1"/>
  <c r="BU18" i="5" s="1"/>
  <c r="BV18" i="5" s="1"/>
  <c r="BW18" i="5" s="1"/>
  <c r="BX18" i="5" s="1"/>
  <c r="BY18" i="5" s="1"/>
  <c r="BZ18" i="5" s="1"/>
  <c r="D30" i="5"/>
  <c r="E30" i="5" s="1"/>
  <c r="F30" i="5" s="1"/>
  <c r="G30" i="5" s="1"/>
  <c r="H30" i="5" s="1"/>
  <c r="I30" i="5" s="1"/>
  <c r="J30" i="5" s="1"/>
  <c r="K30" i="5" s="1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AG30" i="5" s="1"/>
  <c r="C30" i="5"/>
  <c r="AMZ29" i="5"/>
  <c r="ANA29" i="5" s="1"/>
  <c r="ANB29" i="5" s="1"/>
  <c r="ANC29" i="5" s="1"/>
  <c r="AND29" i="5" s="1"/>
  <c r="ANE29" i="5" s="1"/>
  <c r="ANF29" i="5" s="1"/>
  <c r="ANG29" i="5" s="1"/>
  <c r="ANH29" i="5" s="1"/>
  <c r="ANI29" i="5" s="1"/>
  <c r="ANJ29" i="5" s="1"/>
  <c r="ANK29" i="5" s="1"/>
  <c r="ANL29" i="5" s="1"/>
  <c r="ANM29" i="5" s="1"/>
  <c r="ANN29" i="5" s="1"/>
  <c r="ANO29" i="5" s="1"/>
  <c r="ANP29" i="5" s="1"/>
  <c r="ANQ29" i="5" s="1"/>
  <c r="ANR29" i="5" s="1"/>
  <c r="ANS29" i="5" s="1"/>
  <c r="ANT29" i="5" s="1"/>
  <c r="ANU29" i="5" s="1"/>
  <c r="ANV29" i="5" s="1"/>
  <c r="ANW29" i="5" s="1"/>
  <c r="ANX29" i="5" s="1"/>
  <c r="ANY29" i="5" s="1"/>
  <c r="ANZ29" i="5" s="1"/>
  <c r="AOA29" i="5" s="1"/>
  <c r="AOB29" i="5" s="1"/>
  <c r="AOC29" i="5" s="1"/>
  <c r="ALU29" i="5"/>
  <c r="ALV29" i="5" s="1"/>
  <c r="ALW29" i="5" s="1"/>
  <c r="ALX29" i="5" s="1"/>
  <c r="ALY29" i="5" s="1"/>
  <c r="ALZ29" i="5" s="1"/>
  <c r="AMA29" i="5" s="1"/>
  <c r="AMB29" i="5" s="1"/>
  <c r="AMC29" i="5" s="1"/>
  <c r="AMD29" i="5" s="1"/>
  <c r="AME29" i="5" s="1"/>
  <c r="AMF29" i="5" s="1"/>
  <c r="AMG29" i="5" s="1"/>
  <c r="AMH29" i="5" s="1"/>
  <c r="AMI29" i="5" s="1"/>
  <c r="AMJ29" i="5" s="1"/>
  <c r="AMK29" i="5" s="1"/>
  <c r="AML29" i="5" s="1"/>
  <c r="AMM29" i="5" s="1"/>
  <c r="AMN29" i="5" s="1"/>
  <c r="AMO29" i="5" s="1"/>
  <c r="AMP29" i="5" s="1"/>
  <c r="AMQ29" i="5" s="1"/>
  <c r="AMR29" i="5" s="1"/>
  <c r="AMS29" i="5" s="1"/>
  <c r="AMT29" i="5" s="1"/>
  <c r="AMU29" i="5" s="1"/>
  <c r="AMV29" i="5" s="1"/>
  <c r="AMW29" i="5" s="1"/>
  <c r="AMX29" i="5" s="1"/>
  <c r="AMZ16" i="5" s="1"/>
  <c r="ANA16" i="5" s="1"/>
  <c r="ANB16" i="5" s="1"/>
  <c r="ANC16" i="5" s="1"/>
  <c r="AND16" i="5" s="1"/>
  <c r="ANE16" i="5" s="1"/>
  <c r="ANF16" i="5" s="1"/>
  <c r="ANG16" i="5" s="1"/>
  <c r="ANH16" i="5" s="1"/>
  <c r="ANI16" i="5" s="1"/>
  <c r="ANJ16" i="5" s="1"/>
  <c r="ANK16" i="5" s="1"/>
  <c r="AKO29" i="5"/>
  <c r="AKP29" i="5" s="1"/>
  <c r="AKQ29" i="5" s="1"/>
  <c r="AKR29" i="5" s="1"/>
  <c r="AKS29" i="5" s="1"/>
  <c r="AKT29" i="5" s="1"/>
  <c r="AKU29" i="5" s="1"/>
  <c r="AKV29" i="5" s="1"/>
  <c r="AKW29" i="5" s="1"/>
  <c r="AKX29" i="5" s="1"/>
  <c r="AKY29" i="5" s="1"/>
  <c r="AKZ29" i="5" s="1"/>
  <c r="ALA29" i="5" s="1"/>
  <c r="ALB29" i="5" s="1"/>
  <c r="ALC29" i="5" s="1"/>
  <c r="ALD29" i="5" s="1"/>
  <c r="ALE29" i="5" s="1"/>
  <c r="ALF29" i="5" s="1"/>
  <c r="ALG29" i="5" s="1"/>
  <c r="ALH29" i="5" s="1"/>
  <c r="ALI29" i="5" s="1"/>
  <c r="ALJ29" i="5" s="1"/>
  <c r="ALK29" i="5" s="1"/>
  <c r="ALL29" i="5" s="1"/>
  <c r="ALM29" i="5" s="1"/>
  <c r="ALN29" i="5" s="1"/>
  <c r="ALO29" i="5" s="1"/>
  <c r="ALP29" i="5" s="1"/>
  <c r="ALQ29" i="5" s="1"/>
  <c r="ALR29" i="5" s="1"/>
  <c r="ALS29" i="5" s="1"/>
  <c r="AJL29" i="5"/>
  <c r="AJM29" i="5" s="1"/>
  <c r="AJN29" i="5" s="1"/>
  <c r="AJO29" i="5" s="1"/>
  <c r="AJP29" i="5" s="1"/>
  <c r="AJQ29" i="5" s="1"/>
  <c r="AJR29" i="5" s="1"/>
  <c r="AJS29" i="5" s="1"/>
  <c r="AJT29" i="5" s="1"/>
  <c r="AJU29" i="5" s="1"/>
  <c r="AJV29" i="5" s="1"/>
  <c r="AJW29" i="5" s="1"/>
  <c r="AJX29" i="5" s="1"/>
  <c r="AJY29" i="5" s="1"/>
  <c r="AJZ29" i="5" s="1"/>
  <c r="AKA29" i="5" s="1"/>
  <c r="AKB29" i="5" s="1"/>
  <c r="AKC29" i="5" s="1"/>
  <c r="AKD29" i="5" s="1"/>
  <c r="AKE29" i="5" s="1"/>
  <c r="AKF29" i="5" s="1"/>
  <c r="AKG29" i="5" s="1"/>
  <c r="AKH29" i="5" s="1"/>
  <c r="AKI29" i="5" s="1"/>
  <c r="AKJ29" i="5" s="1"/>
  <c r="AKK29" i="5" s="1"/>
  <c r="AKL29" i="5" s="1"/>
  <c r="AKM29" i="5" s="1"/>
  <c r="AIF29" i="5"/>
  <c r="AIG29" i="5" s="1"/>
  <c r="AIH29" i="5" s="1"/>
  <c r="AII29" i="5" s="1"/>
  <c r="AIJ29" i="5" s="1"/>
  <c r="AIK29" i="5" s="1"/>
  <c r="AIL29" i="5" s="1"/>
  <c r="AIM29" i="5" s="1"/>
  <c r="AIN29" i="5" s="1"/>
  <c r="AIO29" i="5" s="1"/>
  <c r="AIP29" i="5" s="1"/>
  <c r="AIQ29" i="5" s="1"/>
  <c r="AIR29" i="5" s="1"/>
  <c r="AIS29" i="5" s="1"/>
  <c r="AIT29" i="5" s="1"/>
  <c r="AIU29" i="5" s="1"/>
  <c r="AIV29" i="5" s="1"/>
  <c r="AIW29" i="5" s="1"/>
  <c r="AIX29" i="5" s="1"/>
  <c r="AIY29" i="5" s="1"/>
  <c r="AIZ29" i="5" s="1"/>
  <c r="AJA29" i="5" s="1"/>
  <c r="AJB29" i="5" s="1"/>
  <c r="AJC29" i="5" s="1"/>
  <c r="AJD29" i="5" s="1"/>
  <c r="AJE29" i="5" s="1"/>
  <c r="AJF29" i="5" s="1"/>
  <c r="AJG29" i="5" s="1"/>
  <c r="AJH29" i="5" s="1"/>
  <c r="AJI29" i="5" s="1"/>
  <c r="AJJ29" i="5" s="1"/>
  <c r="AJL17" i="5" s="1"/>
  <c r="AJM17" i="5" s="1"/>
  <c r="AJN17" i="5" s="1"/>
  <c r="AJO17" i="5" s="1"/>
  <c r="AJP17" i="5" s="1"/>
  <c r="AJQ17" i="5" s="1"/>
  <c r="AJR17" i="5" s="1"/>
  <c r="AJS17" i="5" s="1"/>
  <c r="AJT17" i="5" s="1"/>
  <c r="AJU17" i="5" s="1"/>
  <c r="AJV17" i="5" s="1"/>
  <c r="AJW17" i="5" s="1"/>
  <c r="AJX17" i="5" s="1"/>
  <c r="AJY17" i="5" s="1"/>
  <c r="AJZ17" i="5" s="1"/>
  <c r="AKA17" i="5" s="1"/>
  <c r="AKB17" i="5" s="1"/>
  <c r="AKC17" i="5" s="1"/>
  <c r="AKD17" i="5" s="1"/>
  <c r="AKE17" i="5" s="1"/>
  <c r="AKF17" i="5" s="1"/>
  <c r="AKG17" i="5" s="1"/>
  <c r="AKH17" i="5" s="1"/>
  <c r="AKI17" i="5" s="1"/>
  <c r="AKJ17" i="5" s="1"/>
  <c r="AKK17" i="5" s="1"/>
  <c r="AGZ29" i="5"/>
  <c r="AHA29" i="5" s="1"/>
  <c r="AHB29" i="5" s="1"/>
  <c r="AHC29" i="5" s="1"/>
  <c r="AHD29" i="5" s="1"/>
  <c r="AHE29" i="5" s="1"/>
  <c r="AHF29" i="5" s="1"/>
  <c r="AHG29" i="5" s="1"/>
  <c r="AHH29" i="5" s="1"/>
  <c r="AHI29" i="5" s="1"/>
  <c r="AHJ29" i="5" s="1"/>
  <c r="AHK29" i="5" s="1"/>
  <c r="AHL29" i="5" s="1"/>
  <c r="AHM29" i="5" s="1"/>
  <c r="AHN29" i="5" s="1"/>
  <c r="AHO29" i="5" s="1"/>
  <c r="AHP29" i="5" s="1"/>
  <c r="AHQ29" i="5" s="1"/>
  <c r="AHR29" i="5" s="1"/>
  <c r="AHS29" i="5" s="1"/>
  <c r="AHT29" i="5" s="1"/>
  <c r="AHU29" i="5" s="1"/>
  <c r="AHV29" i="5" s="1"/>
  <c r="AHW29" i="5" s="1"/>
  <c r="AHX29" i="5" s="1"/>
  <c r="AHY29" i="5" s="1"/>
  <c r="AHZ29" i="5" s="1"/>
  <c r="AIA29" i="5" s="1"/>
  <c r="AIB29" i="5" s="1"/>
  <c r="AIC29" i="5" s="1"/>
  <c r="AID29" i="5" s="1"/>
  <c r="AFU29" i="5"/>
  <c r="AFV29" i="5" s="1"/>
  <c r="AFW29" i="5" s="1"/>
  <c r="AFX29" i="5" s="1"/>
  <c r="AFY29" i="5" s="1"/>
  <c r="AFZ29" i="5" s="1"/>
  <c r="AGA29" i="5" s="1"/>
  <c r="AGB29" i="5" s="1"/>
  <c r="AGC29" i="5" s="1"/>
  <c r="AGD29" i="5" s="1"/>
  <c r="AGE29" i="5" s="1"/>
  <c r="AGF29" i="5" s="1"/>
  <c r="AGG29" i="5" s="1"/>
  <c r="AGH29" i="5" s="1"/>
  <c r="AGI29" i="5" s="1"/>
  <c r="AGJ29" i="5" s="1"/>
  <c r="AGK29" i="5" s="1"/>
  <c r="AGL29" i="5" s="1"/>
  <c r="AGM29" i="5" s="1"/>
  <c r="AGN29" i="5" s="1"/>
  <c r="AGO29" i="5" s="1"/>
  <c r="AGP29" i="5" s="1"/>
  <c r="AGQ29" i="5" s="1"/>
  <c r="AGR29" i="5" s="1"/>
  <c r="AGS29" i="5" s="1"/>
  <c r="AGT29" i="5" s="1"/>
  <c r="AGU29" i="5" s="1"/>
  <c r="AGV29" i="5" s="1"/>
  <c r="AGW29" i="5" s="1"/>
  <c r="AGX29" i="5" s="1"/>
  <c r="AEO29" i="5"/>
  <c r="AEP29" i="5" s="1"/>
  <c r="AEQ29" i="5" s="1"/>
  <c r="AER29" i="5" s="1"/>
  <c r="AES29" i="5" s="1"/>
  <c r="AET29" i="5" s="1"/>
  <c r="AEU29" i="5" s="1"/>
  <c r="AEV29" i="5" s="1"/>
  <c r="AEW29" i="5" s="1"/>
  <c r="AEX29" i="5" s="1"/>
  <c r="AEY29" i="5" s="1"/>
  <c r="AEZ29" i="5" s="1"/>
  <c r="AFA29" i="5" s="1"/>
  <c r="AFB29" i="5" s="1"/>
  <c r="AFC29" i="5" s="1"/>
  <c r="AFD29" i="5" s="1"/>
  <c r="AFE29" i="5" s="1"/>
  <c r="AFF29" i="5" s="1"/>
  <c r="AFG29" i="5" s="1"/>
  <c r="AFH29" i="5" s="1"/>
  <c r="AFI29" i="5" s="1"/>
  <c r="AFJ29" i="5" s="1"/>
  <c r="AFK29" i="5" s="1"/>
  <c r="AFL29" i="5" s="1"/>
  <c r="AFM29" i="5" s="1"/>
  <c r="AFN29" i="5" s="1"/>
  <c r="AFO29" i="5" s="1"/>
  <c r="AFP29" i="5" s="1"/>
  <c r="AFQ29" i="5" s="1"/>
  <c r="AFR29" i="5" s="1"/>
  <c r="AFS29" i="5" s="1"/>
  <c r="ADJ29" i="5"/>
  <c r="ADK29" i="5" s="1"/>
  <c r="ADL29" i="5" s="1"/>
  <c r="ADM29" i="5" s="1"/>
  <c r="ADN29" i="5" s="1"/>
  <c r="ADO29" i="5" s="1"/>
  <c r="ADP29" i="5" s="1"/>
  <c r="ADQ29" i="5" s="1"/>
  <c r="ADR29" i="5" s="1"/>
  <c r="ADS29" i="5" s="1"/>
  <c r="ADT29" i="5" s="1"/>
  <c r="ADU29" i="5" s="1"/>
  <c r="ADV29" i="5" s="1"/>
  <c r="ADW29" i="5" s="1"/>
  <c r="ADX29" i="5" s="1"/>
  <c r="ADY29" i="5" s="1"/>
  <c r="ADZ29" i="5" s="1"/>
  <c r="AEA29" i="5" s="1"/>
  <c r="AEB29" i="5" s="1"/>
  <c r="AEC29" i="5" s="1"/>
  <c r="AED29" i="5" s="1"/>
  <c r="AEE29" i="5" s="1"/>
  <c r="AEF29" i="5" s="1"/>
  <c r="AEG29" i="5" s="1"/>
  <c r="AEH29" i="5" s="1"/>
  <c r="AEI29" i="5" s="1"/>
  <c r="AEJ29" i="5" s="1"/>
  <c r="AEK29" i="5" s="1"/>
  <c r="AEL29" i="5" s="1"/>
  <c r="AEM29" i="5" s="1"/>
  <c r="ACD29" i="5"/>
  <c r="ACE29" i="5" s="1"/>
  <c r="ACF29" i="5" s="1"/>
  <c r="ACG29" i="5" s="1"/>
  <c r="ACH29" i="5" s="1"/>
  <c r="ACI29" i="5" s="1"/>
  <c r="ACJ29" i="5" s="1"/>
  <c r="ACK29" i="5" s="1"/>
  <c r="ACL29" i="5" s="1"/>
  <c r="ACM29" i="5" s="1"/>
  <c r="ACN29" i="5" s="1"/>
  <c r="ACO29" i="5" s="1"/>
  <c r="ACP29" i="5" s="1"/>
  <c r="ACQ29" i="5" s="1"/>
  <c r="ACR29" i="5" s="1"/>
  <c r="ACS29" i="5" s="1"/>
  <c r="ACT29" i="5" s="1"/>
  <c r="ACU29" i="5" s="1"/>
  <c r="ACV29" i="5" s="1"/>
  <c r="ACW29" i="5" s="1"/>
  <c r="ACX29" i="5" s="1"/>
  <c r="ACY29" i="5" s="1"/>
  <c r="ACZ29" i="5" s="1"/>
  <c r="ADA29" i="5" s="1"/>
  <c r="ADB29" i="5" s="1"/>
  <c r="ADC29" i="5" s="1"/>
  <c r="ADD29" i="5" s="1"/>
  <c r="ADE29" i="5" s="1"/>
  <c r="ADF29" i="5" s="1"/>
  <c r="ADG29" i="5" s="1"/>
  <c r="ADH29" i="5" s="1"/>
  <c r="ADJ17" i="5" s="1"/>
  <c r="ADK17" i="5" s="1"/>
  <c r="ADL17" i="5" s="1"/>
  <c r="ADM17" i="5" s="1"/>
  <c r="ADN17" i="5" s="1"/>
  <c r="ADO17" i="5" s="1"/>
  <c r="ADP17" i="5" s="1"/>
  <c r="ADQ17" i="5" s="1"/>
  <c r="ADR17" i="5" s="1"/>
  <c r="ADS17" i="5" s="1"/>
  <c r="ADT17" i="5" s="1"/>
  <c r="ADU17" i="5" s="1"/>
  <c r="ADV17" i="5" s="1"/>
  <c r="AAX29" i="5"/>
  <c r="AAY29" i="5" s="1"/>
  <c r="AAZ29" i="5" s="1"/>
  <c r="ABA29" i="5" s="1"/>
  <c r="ABB29" i="5" s="1"/>
  <c r="ABC29" i="5" s="1"/>
  <c r="ABD29" i="5" s="1"/>
  <c r="ABE29" i="5" s="1"/>
  <c r="ABF29" i="5" s="1"/>
  <c r="ABG29" i="5" s="1"/>
  <c r="ABH29" i="5" s="1"/>
  <c r="ABI29" i="5" s="1"/>
  <c r="ABJ29" i="5" s="1"/>
  <c r="ABK29" i="5" s="1"/>
  <c r="ABL29" i="5" s="1"/>
  <c r="ABM29" i="5" s="1"/>
  <c r="ABN29" i="5" s="1"/>
  <c r="ABO29" i="5" s="1"/>
  <c r="ABP29" i="5" s="1"/>
  <c r="ABQ29" i="5" s="1"/>
  <c r="ABR29" i="5" s="1"/>
  <c r="ABS29" i="5" s="1"/>
  <c r="ABT29" i="5" s="1"/>
  <c r="ABU29" i="5" s="1"/>
  <c r="ABV29" i="5" s="1"/>
  <c r="ABW29" i="5" s="1"/>
  <c r="ABX29" i="5" s="1"/>
  <c r="ABY29" i="5" s="1"/>
  <c r="ABZ29" i="5" s="1"/>
  <c r="ACA29" i="5" s="1"/>
  <c r="ACB29" i="5" s="1"/>
  <c r="ACD17" i="5" s="1"/>
  <c r="ACE17" i="5" s="1"/>
  <c r="ACF17" i="5" s="1"/>
  <c r="ACG17" i="5" s="1"/>
  <c r="ACH17" i="5" s="1"/>
  <c r="ZS29" i="5"/>
  <c r="ZT29" i="5" s="1"/>
  <c r="ZU29" i="5" s="1"/>
  <c r="ZV29" i="5" s="1"/>
  <c r="ZW29" i="5" s="1"/>
  <c r="ZX29" i="5" s="1"/>
  <c r="ZY29" i="5" s="1"/>
  <c r="ZZ29" i="5" s="1"/>
  <c r="AAA29" i="5" s="1"/>
  <c r="AAB29" i="5" s="1"/>
  <c r="AAC29" i="5" s="1"/>
  <c r="AAD29" i="5" s="1"/>
  <c r="AAE29" i="5" s="1"/>
  <c r="AAF29" i="5" s="1"/>
  <c r="AAG29" i="5" s="1"/>
  <c r="AAH29" i="5" s="1"/>
  <c r="AAI29" i="5" s="1"/>
  <c r="AAJ29" i="5" s="1"/>
  <c r="AAK29" i="5" s="1"/>
  <c r="AAL29" i="5" s="1"/>
  <c r="AAM29" i="5" s="1"/>
  <c r="AAN29" i="5" s="1"/>
  <c r="AAO29" i="5" s="1"/>
  <c r="AAP29" i="5" s="1"/>
  <c r="AAQ29" i="5" s="1"/>
  <c r="AAR29" i="5" s="1"/>
  <c r="AAS29" i="5" s="1"/>
  <c r="AAT29" i="5" s="1"/>
  <c r="AAU29" i="5" s="1"/>
  <c r="AAV29" i="5" s="1"/>
  <c r="AAX17" i="5" s="1"/>
  <c r="AAY17" i="5" s="1"/>
  <c r="AAZ17" i="5" s="1"/>
  <c r="ABA17" i="5" s="1"/>
  <c r="ABB17" i="5" s="1"/>
  <c r="ABC17" i="5" s="1"/>
  <c r="ABD17" i="5" s="1"/>
  <c r="ABE17" i="5" s="1"/>
  <c r="ABF17" i="5" s="1"/>
  <c r="ABG17" i="5" s="1"/>
  <c r="ABH17" i="5" s="1"/>
  <c r="ABI17" i="5" s="1"/>
  <c r="ABJ17" i="5" s="1"/>
  <c r="ABK17" i="5" s="1"/>
  <c r="ABL17" i="5" s="1"/>
  <c r="ABM17" i="5" s="1"/>
  <c r="YM29" i="5"/>
  <c r="YN29" i="5" s="1"/>
  <c r="YO29" i="5" s="1"/>
  <c r="YP29" i="5" s="1"/>
  <c r="YQ29" i="5" s="1"/>
  <c r="YR29" i="5" s="1"/>
  <c r="YS29" i="5" s="1"/>
  <c r="YT29" i="5" s="1"/>
  <c r="YU29" i="5" s="1"/>
  <c r="YV29" i="5" s="1"/>
  <c r="YW29" i="5" s="1"/>
  <c r="YX29" i="5" s="1"/>
  <c r="YY29" i="5" s="1"/>
  <c r="YZ29" i="5" s="1"/>
  <c r="ZA29" i="5" s="1"/>
  <c r="ZB29" i="5" s="1"/>
  <c r="ZC29" i="5" s="1"/>
  <c r="ZD29" i="5" s="1"/>
  <c r="ZE29" i="5" s="1"/>
  <c r="ZF29" i="5" s="1"/>
  <c r="ZG29" i="5" s="1"/>
  <c r="ZH29" i="5" s="1"/>
  <c r="ZI29" i="5" s="1"/>
  <c r="ZJ29" i="5" s="1"/>
  <c r="ZK29" i="5" s="1"/>
  <c r="ZL29" i="5" s="1"/>
  <c r="ZM29" i="5" s="1"/>
  <c r="ZN29" i="5" s="1"/>
  <c r="ZO29" i="5" s="1"/>
  <c r="ZP29" i="5" s="1"/>
  <c r="ZQ29" i="5" s="1"/>
  <c r="XH29" i="5"/>
  <c r="XI29" i="5" s="1"/>
  <c r="XJ29" i="5" s="1"/>
  <c r="XK29" i="5" s="1"/>
  <c r="XL29" i="5" s="1"/>
  <c r="XM29" i="5" s="1"/>
  <c r="XN29" i="5" s="1"/>
  <c r="XO29" i="5" s="1"/>
  <c r="XP29" i="5" s="1"/>
  <c r="XQ29" i="5" s="1"/>
  <c r="XR29" i="5" s="1"/>
  <c r="XS29" i="5" s="1"/>
  <c r="XT29" i="5" s="1"/>
  <c r="XU29" i="5" s="1"/>
  <c r="XV29" i="5" s="1"/>
  <c r="XW29" i="5" s="1"/>
  <c r="XX29" i="5" s="1"/>
  <c r="XY29" i="5" s="1"/>
  <c r="XZ29" i="5" s="1"/>
  <c r="YA29" i="5" s="1"/>
  <c r="YB29" i="5" s="1"/>
  <c r="YC29" i="5" s="1"/>
  <c r="YD29" i="5" s="1"/>
  <c r="YE29" i="5" s="1"/>
  <c r="YF29" i="5" s="1"/>
  <c r="YG29" i="5" s="1"/>
  <c r="YH29" i="5" s="1"/>
  <c r="YI29" i="5" s="1"/>
  <c r="YJ29" i="5" s="1"/>
  <c r="YK29" i="5" s="1"/>
  <c r="YM17" i="5" s="1"/>
  <c r="YN17" i="5" s="1"/>
  <c r="YO17" i="5" s="1"/>
  <c r="YP17" i="5" s="1"/>
  <c r="YQ17" i="5" s="1"/>
  <c r="YR17" i="5" s="1"/>
  <c r="YS17" i="5" s="1"/>
  <c r="YT17" i="5" s="1"/>
  <c r="YU17" i="5" s="1"/>
  <c r="YV17" i="5" s="1"/>
  <c r="WB29" i="5"/>
  <c r="WC29" i="5" s="1"/>
  <c r="WD29" i="5" s="1"/>
  <c r="WE29" i="5" s="1"/>
  <c r="WF29" i="5" s="1"/>
  <c r="WG29" i="5" s="1"/>
  <c r="WH29" i="5" s="1"/>
  <c r="WI29" i="5" s="1"/>
  <c r="WJ29" i="5" s="1"/>
  <c r="WK29" i="5" s="1"/>
  <c r="WL29" i="5" s="1"/>
  <c r="WM29" i="5" s="1"/>
  <c r="WN29" i="5" s="1"/>
  <c r="WO29" i="5" s="1"/>
  <c r="WP29" i="5" s="1"/>
  <c r="WQ29" i="5" s="1"/>
  <c r="WR29" i="5" s="1"/>
  <c r="WS29" i="5" s="1"/>
  <c r="WT29" i="5" s="1"/>
  <c r="WU29" i="5" s="1"/>
  <c r="WV29" i="5" s="1"/>
  <c r="WW29" i="5" s="1"/>
  <c r="WX29" i="5" s="1"/>
  <c r="WY29" i="5" s="1"/>
  <c r="WZ29" i="5" s="1"/>
  <c r="XA29" i="5" s="1"/>
  <c r="XB29" i="5" s="1"/>
  <c r="XC29" i="5" s="1"/>
  <c r="XD29" i="5" s="1"/>
  <c r="XE29" i="5" s="1"/>
  <c r="XF29" i="5" s="1"/>
  <c r="XH17" i="5" s="1"/>
  <c r="XI17" i="5" s="1"/>
  <c r="XJ17" i="5" s="1"/>
  <c r="XK17" i="5" s="1"/>
  <c r="XL17" i="5" s="1"/>
  <c r="XM17" i="5" s="1"/>
  <c r="XN17" i="5" s="1"/>
  <c r="XO17" i="5" s="1"/>
  <c r="UY29" i="5"/>
  <c r="UZ29" i="5" s="1"/>
  <c r="VA29" i="5" s="1"/>
  <c r="VB29" i="5" s="1"/>
  <c r="VC29" i="5" s="1"/>
  <c r="VD29" i="5" s="1"/>
  <c r="VE29" i="5" s="1"/>
  <c r="VF29" i="5" s="1"/>
  <c r="VG29" i="5" s="1"/>
  <c r="VH29" i="5" s="1"/>
  <c r="VI29" i="5" s="1"/>
  <c r="VJ29" i="5" s="1"/>
  <c r="VK29" i="5" s="1"/>
  <c r="VL29" i="5" s="1"/>
  <c r="VM29" i="5" s="1"/>
  <c r="VN29" i="5" s="1"/>
  <c r="VO29" i="5" s="1"/>
  <c r="VP29" i="5" s="1"/>
  <c r="VQ29" i="5" s="1"/>
  <c r="VR29" i="5" s="1"/>
  <c r="VS29" i="5" s="1"/>
  <c r="VT29" i="5" s="1"/>
  <c r="VU29" i="5" s="1"/>
  <c r="VV29" i="5" s="1"/>
  <c r="VW29" i="5" s="1"/>
  <c r="VX29" i="5" s="1"/>
  <c r="VY29" i="5" s="1"/>
  <c r="VZ29" i="5" s="1"/>
  <c r="TS29" i="5"/>
  <c r="TT29" i="5" s="1"/>
  <c r="TU29" i="5" s="1"/>
  <c r="TV29" i="5" s="1"/>
  <c r="TW29" i="5" s="1"/>
  <c r="TX29" i="5" s="1"/>
  <c r="TY29" i="5" s="1"/>
  <c r="TZ29" i="5" s="1"/>
  <c r="UA29" i="5" s="1"/>
  <c r="UB29" i="5" s="1"/>
  <c r="UC29" i="5" s="1"/>
  <c r="UD29" i="5" s="1"/>
  <c r="UE29" i="5" s="1"/>
  <c r="UF29" i="5" s="1"/>
  <c r="UG29" i="5" s="1"/>
  <c r="UH29" i="5" s="1"/>
  <c r="UI29" i="5" s="1"/>
  <c r="UJ29" i="5" s="1"/>
  <c r="UK29" i="5" s="1"/>
  <c r="UL29" i="5" s="1"/>
  <c r="UM29" i="5" s="1"/>
  <c r="UN29" i="5" s="1"/>
  <c r="UO29" i="5" s="1"/>
  <c r="UP29" i="5" s="1"/>
  <c r="UQ29" i="5" s="1"/>
  <c r="UR29" i="5" s="1"/>
  <c r="US29" i="5" s="1"/>
  <c r="UT29" i="5" s="1"/>
  <c r="UU29" i="5" s="1"/>
  <c r="UV29" i="5" s="1"/>
  <c r="UW29" i="5" s="1"/>
  <c r="UY17" i="5" s="1"/>
  <c r="UZ17" i="5" s="1"/>
  <c r="VA17" i="5" s="1"/>
  <c r="VB17" i="5" s="1"/>
  <c r="VC17" i="5" s="1"/>
  <c r="VD17" i="5" s="1"/>
  <c r="SM29" i="5"/>
  <c r="SN29" i="5" s="1"/>
  <c r="SO29" i="5" s="1"/>
  <c r="SP29" i="5" s="1"/>
  <c r="SQ29" i="5" s="1"/>
  <c r="SR29" i="5" s="1"/>
  <c r="SS29" i="5" s="1"/>
  <c r="ST29" i="5" s="1"/>
  <c r="SU29" i="5" s="1"/>
  <c r="SV29" i="5" s="1"/>
  <c r="SW29" i="5" s="1"/>
  <c r="SX29" i="5" s="1"/>
  <c r="SY29" i="5" s="1"/>
  <c r="SZ29" i="5" s="1"/>
  <c r="TA29" i="5" s="1"/>
  <c r="TB29" i="5" s="1"/>
  <c r="TC29" i="5" s="1"/>
  <c r="TD29" i="5" s="1"/>
  <c r="TE29" i="5" s="1"/>
  <c r="TF29" i="5" s="1"/>
  <c r="TG29" i="5" s="1"/>
  <c r="TH29" i="5" s="1"/>
  <c r="TI29" i="5" s="1"/>
  <c r="TJ29" i="5" s="1"/>
  <c r="TK29" i="5" s="1"/>
  <c r="TL29" i="5" s="1"/>
  <c r="TM29" i="5" s="1"/>
  <c r="TN29" i="5" s="1"/>
  <c r="TO29" i="5" s="1"/>
  <c r="TP29" i="5" s="1"/>
  <c r="TQ29" i="5" s="1"/>
  <c r="TS17" i="5" s="1"/>
  <c r="TT17" i="5" s="1"/>
  <c r="TU17" i="5" s="1"/>
  <c r="TV17" i="5" s="1"/>
  <c r="TW17" i="5" s="1"/>
  <c r="TX17" i="5" s="1"/>
  <c r="RH29" i="5"/>
  <c r="RI29" i="5" s="1"/>
  <c r="RJ29" i="5" s="1"/>
  <c r="RK29" i="5" s="1"/>
  <c r="RL29" i="5" s="1"/>
  <c r="RM29" i="5" s="1"/>
  <c r="RN29" i="5" s="1"/>
  <c r="RO29" i="5" s="1"/>
  <c r="RP29" i="5" s="1"/>
  <c r="RQ29" i="5" s="1"/>
  <c r="RR29" i="5" s="1"/>
  <c r="RS29" i="5" s="1"/>
  <c r="RT29" i="5" s="1"/>
  <c r="RU29" i="5" s="1"/>
  <c r="RV29" i="5" s="1"/>
  <c r="RW29" i="5" s="1"/>
  <c r="RX29" i="5" s="1"/>
  <c r="RY29" i="5" s="1"/>
  <c r="RZ29" i="5" s="1"/>
  <c r="SA29" i="5" s="1"/>
  <c r="SB29" i="5" s="1"/>
  <c r="SC29" i="5" s="1"/>
  <c r="SD29" i="5" s="1"/>
  <c r="SE29" i="5" s="1"/>
  <c r="SF29" i="5" s="1"/>
  <c r="SG29" i="5" s="1"/>
  <c r="SH29" i="5" s="1"/>
  <c r="SI29" i="5" s="1"/>
  <c r="SJ29" i="5" s="1"/>
  <c r="SK29" i="5" s="1"/>
  <c r="SM17" i="5" s="1"/>
  <c r="SN17" i="5" s="1"/>
  <c r="SO17" i="5" s="1"/>
  <c r="SP17" i="5" s="1"/>
  <c r="SQ17" i="5" s="1"/>
  <c r="QB29" i="5"/>
  <c r="QC29" i="5" s="1"/>
  <c r="QD29" i="5" s="1"/>
  <c r="QE29" i="5" s="1"/>
  <c r="QF29" i="5" s="1"/>
  <c r="QG29" i="5" s="1"/>
  <c r="QH29" i="5" s="1"/>
  <c r="QI29" i="5" s="1"/>
  <c r="QJ29" i="5" s="1"/>
  <c r="QK29" i="5" s="1"/>
  <c r="QL29" i="5" s="1"/>
  <c r="QM29" i="5" s="1"/>
  <c r="QN29" i="5" s="1"/>
  <c r="QO29" i="5" s="1"/>
  <c r="QP29" i="5" s="1"/>
  <c r="QQ29" i="5" s="1"/>
  <c r="QR29" i="5" s="1"/>
  <c r="QS29" i="5" s="1"/>
  <c r="QT29" i="5" s="1"/>
  <c r="QU29" i="5" s="1"/>
  <c r="QV29" i="5" s="1"/>
  <c r="QW29" i="5" s="1"/>
  <c r="QX29" i="5" s="1"/>
  <c r="QY29" i="5" s="1"/>
  <c r="QZ29" i="5" s="1"/>
  <c r="RA29" i="5" s="1"/>
  <c r="RB29" i="5" s="1"/>
  <c r="RC29" i="5" s="1"/>
  <c r="RD29" i="5" s="1"/>
  <c r="RE29" i="5" s="1"/>
  <c r="RF29" i="5" s="1"/>
  <c r="RH17" i="5" s="1"/>
  <c r="RI17" i="5" s="1"/>
  <c r="RJ17" i="5" s="1"/>
  <c r="RK17" i="5" s="1"/>
  <c r="RL17" i="5" s="1"/>
  <c r="RM17" i="5" s="1"/>
  <c r="RN17" i="5" s="1"/>
  <c r="RO17" i="5" s="1"/>
  <c r="RP17" i="5" s="1"/>
  <c r="RQ17" i="5" s="1"/>
  <c r="OW29" i="5"/>
  <c r="OX29" i="5" s="1"/>
  <c r="OY29" i="5" s="1"/>
  <c r="OZ29" i="5" s="1"/>
  <c r="PA29" i="5" s="1"/>
  <c r="PB29" i="5" s="1"/>
  <c r="NQ29" i="5"/>
  <c r="NR29" i="5" s="1"/>
  <c r="NS29" i="5" s="1"/>
  <c r="NT29" i="5" s="1"/>
  <c r="NU29" i="5" s="1"/>
  <c r="NV29" i="5" s="1"/>
  <c r="NW29" i="5" s="1"/>
  <c r="NX29" i="5" s="1"/>
  <c r="NY29" i="5" s="1"/>
  <c r="NZ29" i="5" s="1"/>
  <c r="OA29" i="5" s="1"/>
  <c r="OB29" i="5" s="1"/>
  <c r="OC29" i="5" s="1"/>
  <c r="OD29" i="5" s="1"/>
  <c r="OE29" i="5" s="1"/>
  <c r="OF29" i="5" s="1"/>
  <c r="OG29" i="5" s="1"/>
  <c r="OH29" i="5" s="1"/>
  <c r="OI29" i="5" s="1"/>
  <c r="OJ29" i="5" s="1"/>
  <c r="OK29" i="5" s="1"/>
  <c r="OL29" i="5" s="1"/>
  <c r="OM29" i="5" s="1"/>
  <c r="ON29" i="5" s="1"/>
  <c r="OO29" i="5" s="1"/>
  <c r="OP29" i="5" s="1"/>
  <c r="OQ29" i="5" s="1"/>
  <c r="OR29" i="5" s="1"/>
  <c r="OS29" i="5" s="1"/>
  <c r="OT29" i="5" s="1"/>
  <c r="OU29" i="5" s="1"/>
  <c r="OW17" i="5" s="1"/>
  <c r="OX17" i="5" s="1"/>
  <c r="OY17" i="5" s="1"/>
  <c r="OZ17" i="5" s="1"/>
  <c r="PA17" i="5" s="1"/>
  <c r="PB17" i="5" s="1"/>
  <c r="PC17" i="5" s="1"/>
  <c r="PD17" i="5" s="1"/>
  <c r="PE17" i="5" s="1"/>
  <c r="PF17" i="5" s="1"/>
  <c r="PG17" i="5" s="1"/>
  <c r="MK29" i="5"/>
  <c r="ML29" i="5" s="1"/>
  <c r="MM29" i="5" s="1"/>
  <c r="MN29" i="5" s="1"/>
  <c r="MO29" i="5" s="1"/>
  <c r="MP29" i="5" s="1"/>
  <c r="MQ29" i="5" s="1"/>
  <c r="MR29" i="5" s="1"/>
  <c r="MS29" i="5" s="1"/>
  <c r="MT29" i="5" s="1"/>
  <c r="MU29" i="5" s="1"/>
  <c r="MV29" i="5" s="1"/>
  <c r="MW29" i="5" s="1"/>
  <c r="MX29" i="5" s="1"/>
  <c r="MY29" i="5" s="1"/>
  <c r="MZ29" i="5" s="1"/>
  <c r="NA29" i="5" s="1"/>
  <c r="NB29" i="5" s="1"/>
  <c r="NC29" i="5" s="1"/>
  <c r="ND29" i="5" s="1"/>
  <c r="NE29" i="5" s="1"/>
  <c r="NF29" i="5" s="1"/>
  <c r="NG29" i="5" s="1"/>
  <c r="NH29" i="5" s="1"/>
  <c r="NI29" i="5" s="1"/>
  <c r="NJ29" i="5" s="1"/>
  <c r="NK29" i="5" s="1"/>
  <c r="NL29" i="5" s="1"/>
  <c r="NM29" i="5" s="1"/>
  <c r="NN29" i="5" s="1"/>
  <c r="NO29" i="5" s="1"/>
  <c r="LF29" i="5"/>
  <c r="LG29" i="5" s="1"/>
  <c r="LH29" i="5" s="1"/>
  <c r="LI29" i="5" s="1"/>
  <c r="LJ29" i="5" s="1"/>
  <c r="LK29" i="5" s="1"/>
  <c r="LL29" i="5" s="1"/>
  <c r="LM29" i="5" s="1"/>
  <c r="LN29" i="5" s="1"/>
  <c r="LO29" i="5" s="1"/>
  <c r="LP29" i="5" s="1"/>
  <c r="LQ29" i="5" s="1"/>
  <c r="LR29" i="5" s="1"/>
  <c r="LS29" i="5" s="1"/>
  <c r="LT29" i="5" s="1"/>
  <c r="LU29" i="5" s="1"/>
  <c r="LV29" i="5" s="1"/>
  <c r="LW29" i="5" s="1"/>
  <c r="LX29" i="5" s="1"/>
  <c r="LY29" i="5" s="1"/>
  <c r="LZ29" i="5" s="1"/>
  <c r="MA29" i="5" s="1"/>
  <c r="MB29" i="5" s="1"/>
  <c r="MC29" i="5" s="1"/>
  <c r="MD29" i="5" s="1"/>
  <c r="ME29" i="5" s="1"/>
  <c r="MF29" i="5" s="1"/>
  <c r="MG29" i="5" s="1"/>
  <c r="MH29" i="5" s="1"/>
  <c r="MI29" i="5" s="1"/>
  <c r="MK17" i="5" s="1"/>
  <c r="ML17" i="5" s="1"/>
  <c r="MM17" i="5" s="1"/>
  <c r="MN17" i="5" s="1"/>
  <c r="MO17" i="5" s="1"/>
  <c r="MP17" i="5" s="1"/>
  <c r="MQ17" i="5" s="1"/>
  <c r="MR17" i="5" s="1"/>
  <c r="MS17" i="5" s="1"/>
  <c r="MT17" i="5" s="1"/>
  <c r="MU17" i="5" s="1"/>
  <c r="MV17" i="5" s="1"/>
  <c r="MW17" i="5" s="1"/>
  <c r="MX17" i="5" s="1"/>
  <c r="MY17" i="5" s="1"/>
  <c r="MZ17" i="5" s="1"/>
  <c r="NA17" i="5" s="1"/>
  <c r="NB17" i="5" s="1"/>
  <c r="NC17" i="5" s="1"/>
  <c r="ND17" i="5" s="1"/>
  <c r="NE17" i="5" s="1"/>
  <c r="NF17" i="5" s="1"/>
  <c r="NG17" i="5" s="1"/>
  <c r="JZ29" i="5"/>
  <c r="KA29" i="5" s="1"/>
  <c r="KB29" i="5" s="1"/>
  <c r="KC29" i="5" s="1"/>
  <c r="KD29" i="5" s="1"/>
  <c r="KE29" i="5" s="1"/>
  <c r="KF29" i="5" s="1"/>
  <c r="KG29" i="5" s="1"/>
  <c r="KH29" i="5" s="1"/>
  <c r="KI29" i="5" s="1"/>
  <c r="KJ29" i="5" s="1"/>
  <c r="KK29" i="5" s="1"/>
  <c r="KL29" i="5" s="1"/>
  <c r="KM29" i="5" s="1"/>
  <c r="KN29" i="5" s="1"/>
  <c r="KO29" i="5" s="1"/>
  <c r="KP29" i="5" s="1"/>
  <c r="KQ29" i="5" s="1"/>
  <c r="KR29" i="5" s="1"/>
  <c r="KS29" i="5" s="1"/>
  <c r="KT29" i="5" s="1"/>
  <c r="KU29" i="5" s="1"/>
  <c r="KV29" i="5" s="1"/>
  <c r="KW29" i="5" s="1"/>
  <c r="KX29" i="5" s="1"/>
  <c r="KY29" i="5" s="1"/>
  <c r="KZ29" i="5" s="1"/>
  <c r="LA29" i="5" s="1"/>
  <c r="LB29" i="5" s="1"/>
  <c r="LC29" i="5" s="1"/>
  <c r="LD29" i="5" s="1"/>
  <c r="LF17" i="5" s="1"/>
  <c r="LG17" i="5" s="1"/>
  <c r="LH17" i="5" s="1"/>
  <c r="LI17" i="5" s="1"/>
  <c r="LJ17" i="5" s="1"/>
  <c r="LK17" i="5" s="1"/>
  <c r="LL17" i="5" s="1"/>
  <c r="LM17" i="5" s="1"/>
  <c r="LN17" i="5" s="1"/>
  <c r="LO17" i="5" s="1"/>
  <c r="LP17" i="5" s="1"/>
  <c r="LQ17" i="5" s="1"/>
  <c r="IU29" i="5"/>
  <c r="IV29" i="5" s="1"/>
  <c r="IW29" i="5" s="1"/>
  <c r="IX29" i="5" s="1"/>
  <c r="IY29" i="5" s="1"/>
  <c r="IZ29" i="5" s="1"/>
  <c r="JA29" i="5" s="1"/>
  <c r="JB29" i="5" s="1"/>
  <c r="JC29" i="5" s="1"/>
  <c r="JD29" i="5" s="1"/>
  <c r="JE29" i="5" s="1"/>
  <c r="JF29" i="5" s="1"/>
  <c r="JG29" i="5" s="1"/>
  <c r="JH29" i="5" s="1"/>
  <c r="JI29" i="5" s="1"/>
  <c r="JJ29" i="5" s="1"/>
  <c r="JK29" i="5" s="1"/>
  <c r="JL29" i="5" s="1"/>
  <c r="JM29" i="5" s="1"/>
  <c r="JN29" i="5" s="1"/>
  <c r="JO29" i="5" s="1"/>
  <c r="JP29" i="5" s="1"/>
  <c r="JQ29" i="5" s="1"/>
  <c r="JR29" i="5" s="1"/>
  <c r="JS29" i="5" s="1"/>
  <c r="JT29" i="5" s="1"/>
  <c r="JU29" i="5" s="1"/>
  <c r="JV29" i="5" s="1"/>
  <c r="JW29" i="5" s="1"/>
  <c r="JX29" i="5" s="1"/>
  <c r="JZ17" i="5" s="1"/>
  <c r="KA17" i="5" s="1"/>
  <c r="KB17" i="5" s="1"/>
  <c r="KC17" i="5" s="1"/>
  <c r="KD17" i="5" s="1"/>
  <c r="KE17" i="5" s="1"/>
  <c r="KF17" i="5" s="1"/>
  <c r="HO29" i="5"/>
  <c r="HP29" i="5" s="1"/>
  <c r="HQ29" i="5" s="1"/>
  <c r="HR29" i="5" s="1"/>
  <c r="HS29" i="5" s="1"/>
  <c r="HT29" i="5" s="1"/>
  <c r="HU29" i="5" s="1"/>
  <c r="HV29" i="5" s="1"/>
  <c r="HW29" i="5" s="1"/>
  <c r="HX29" i="5" s="1"/>
  <c r="HY29" i="5" s="1"/>
  <c r="HZ29" i="5" s="1"/>
  <c r="IA29" i="5" s="1"/>
  <c r="IB29" i="5" s="1"/>
  <c r="IC29" i="5" s="1"/>
  <c r="ID29" i="5" s="1"/>
  <c r="IE29" i="5" s="1"/>
  <c r="IF29" i="5" s="1"/>
  <c r="IG29" i="5" s="1"/>
  <c r="IH29" i="5" s="1"/>
  <c r="II29" i="5" s="1"/>
  <c r="IJ29" i="5" s="1"/>
  <c r="IK29" i="5" s="1"/>
  <c r="IL29" i="5" s="1"/>
  <c r="IM29" i="5" s="1"/>
  <c r="IN29" i="5" s="1"/>
  <c r="IO29" i="5" s="1"/>
  <c r="IP29" i="5" s="1"/>
  <c r="IQ29" i="5" s="1"/>
  <c r="IR29" i="5" s="1"/>
  <c r="IS29" i="5" s="1"/>
  <c r="IU17" i="5" s="1"/>
  <c r="IV17" i="5" s="1"/>
  <c r="GK29" i="5"/>
  <c r="GL29" i="5" s="1"/>
  <c r="GM29" i="5" s="1"/>
  <c r="GN29" i="5" s="1"/>
  <c r="GO29" i="5" s="1"/>
  <c r="GP29" i="5" s="1"/>
  <c r="GQ29" i="5" s="1"/>
  <c r="GR29" i="5" s="1"/>
  <c r="GS29" i="5" s="1"/>
  <c r="GT29" i="5" s="1"/>
  <c r="GU29" i="5" s="1"/>
  <c r="GV29" i="5" s="1"/>
  <c r="GW29" i="5" s="1"/>
  <c r="GX29" i="5" s="1"/>
  <c r="GY29" i="5" s="1"/>
  <c r="GZ29" i="5" s="1"/>
  <c r="HA29" i="5" s="1"/>
  <c r="HB29" i="5" s="1"/>
  <c r="HC29" i="5" s="1"/>
  <c r="HD29" i="5" s="1"/>
  <c r="HE29" i="5" s="1"/>
  <c r="HF29" i="5" s="1"/>
  <c r="HG29" i="5" s="1"/>
  <c r="HH29" i="5" s="1"/>
  <c r="HI29" i="5" s="1"/>
  <c r="HJ29" i="5" s="1"/>
  <c r="HK29" i="5" s="1"/>
  <c r="HL29" i="5" s="1"/>
  <c r="HM29" i="5" s="1"/>
  <c r="FE29" i="5"/>
  <c r="FF29" i="5" s="1"/>
  <c r="FG29" i="5" s="1"/>
  <c r="FH29" i="5" s="1"/>
  <c r="FI29" i="5" s="1"/>
  <c r="FJ29" i="5" s="1"/>
  <c r="FK29" i="5" s="1"/>
  <c r="FL29" i="5" s="1"/>
  <c r="FM29" i="5" s="1"/>
  <c r="FN29" i="5" s="1"/>
  <c r="FO29" i="5" s="1"/>
  <c r="FP29" i="5" s="1"/>
  <c r="FQ29" i="5" s="1"/>
  <c r="FR29" i="5" s="1"/>
  <c r="FS29" i="5" s="1"/>
  <c r="FT29" i="5" s="1"/>
  <c r="FU29" i="5" s="1"/>
  <c r="FV29" i="5" s="1"/>
  <c r="FW29" i="5" s="1"/>
  <c r="FX29" i="5" s="1"/>
  <c r="FY29" i="5" s="1"/>
  <c r="FZ29" i="5" s="1"/>
  <c r="GA29" i="5" s="1"/>
  <c r="GB29" i="5" s="1"/>
  <c r="GC29" i="5" s="1"/>
  <c r="GD29" i="5" s="1"/>
  <c r="GE29" i="5" s="1"/>
  <c r="GF29" i="5" s="1"/>
  <c r="GG29" i="5" s="1"/>
  <c r="GH29" i="5" s="1"/>
  <c r="GI29" i="5" s="1"/>
  <c r="DY29" i="5"/>
  <c r="DZ29" i="5" s="1"/>
  <c r="EA29" i="5" s="1"/>
  <c r="EB29" i="5" s="1"/>
  <c r="EC29" i="5" s="1"/>
  <c r="ED29" i="5" s="1"/>
  <c r="EE29" i="5" s="1"/>
  <c r="EF29" i="5" s="1"/>
  <c r="EG29" i="5" s="1"/>
  <c r="EH29" i="5" s="1"/>
  <c r="EI29" i="5" s="1"/>
  <c r="EJ29" i="5" s="1"/>
  <c r="EK29" i="5" s="1"/>
  <c r="EL29" i="5" s="1"/>
  <c r="EM29" i="5" s="1"/>
  <c r="EN29" i="5" s="1"/>
  <c r="EO29" i="5" s="1"/>
  <c r="EP29" i="5" s="1"/>
  <c r="EQ29" i="5" s="1"/>
  <c r="ER29" i="5" s="1"/>
  <c r="ES29" i="5" s="1"/>
  <c r="ET29" i="5" s="1"/>
  <c r="EU29" i="5" s="1"/>
  <c r="EV29" i="5" s="1"/>
  <c r="EW29" i="5" s="1"/>
  <c r="EX29" i="5" s="1"/>
  <c r="EY29" i="5" s="1"/>
  <c r="EZ29" i="5" s="1"/>
  <c r="FA29" i="5" s="1"/>
  <c r="FB29" i="5" s="1"/>
  <c r="FC29" i="5" s="1"/>
  <c r="CT29" i="5"/>
  <c r="CU29" i="5" s="1"/>
  <c r="CV29" i="5" s="1"/>
  <c r="CW29" i="5" s="1"/>
  <c r="CX29" i="5" s="1"/>
  <c r="CY29" i="5" s="1"/>
  <c r="CZ29" i="5" s="1"/>
  <c r="DA29" i="5" s="1"/>
  <c r="DB29" i="5" s="1"/>
  <c r="DC29" i="5" s="1"/>
  <c r="DD29" i="5" s="1"/>
  <c r="DE29" i="5" s="1"/>
  <c r="DF29" i="5" s="1"/>
  <c r="DG29" i="5" s="1"/>
  <c r="DH29" i="5" s="1"/>
  <c r="DI29" i="5" s="1"/>
  <c r="DJ29" i="5" s="1"/>
  <c r="DK29" i="5" s="1"/>
  <c r="DL29" i="5" s="1"/>
  <c r="DM29" i="5" s="1"/>
  <c r="DN29" i="5" s="1"/>
  <c r="DO29" i="5" s="1"/>
  <c r="DP29" i="5" s="1"/>
  <c r="DQ29" i="5" s="1"/>
  <c r="DR29" i="5" s="1"/>
  <c r="DS29" i="5" s="1"/>
  <c r="DT29" i="5" s="1"/>
  <c r="DU29" i="5" s="1"/>
  <c r="DV29" i="5" s="1"/>
  <c r="DW29" i="5" s="1"/>
  <c r="D25" i="5"/>
  <c r="E25" i="5" s="1"/>
  <c r="F25" i="5" s="1"/>
  <c r="G25" i="5" s="1"/>
  <c r="H25" i="5" s="1"/>
  <c r="I25" i="5" s="1"/>
  <c r="J25" i="5" s="1"/>
  <c r="K25" i="5" s="1"/>
  <c r="L25" i="5" s="1"/>
  <c r="M25" i="5" s="1"/>
  <c r="N25" i="5" s="1"/>
  <c r="O25" i="5" s="1"/>
  <c r="P25" i="5" s="1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AG25" i="5" s="1"/>
  <c r="D24" i="5"/>
  <c r="E24" i="5" s="1"/>
  <c r="F24" i="5" s="1"/>
  <c r="G24" i="5" s="1"/>
  <c r="H24" i="5" s="1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AG24" i="5" s="1"/>
  <c r="D23" i="5"/>
  <c r="E23" i="5" s="1"/>
  <c r="F23" i="5" s="1"/>
  <c r="G23" i="5" s="1"/>
  <c r="H23" i="5" s="1"/>
  <c r="I23" i="5" s="1"/>
  <c r="J23" i="5" s="1"/>
  <c r="K23" i="5" s="1"/>
  <c r="L23" i="5" s="1"/>
  <c r="M23" i="5" s="1"/>
  <c r="N23" i="5" s="1"/>
  <c r="O23" i="5" s="1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AG23" i="5" s="1"/>
  <c r="AMH22" i="5"/>
  <c r="AMI22" i="5" s="1"/>
  <c r="AMJ22" i="5" s="1"/>
  <c r="AMK22" i="5" s="1"/>
  <c r="AML22" i="5" s="1"/>
  <c r="AMM22" i="5" s="1"/>
  <c r="AMN22" i="5" s="1"/>
  <c r="AMO22" i="5" s="1"/>
  <c r="AMP22" i="5" s="1"/>
  <c r="AMQ22" i="5" s="1"/>
  <c r="AMR22" i="5" s="1"/>
  <c r="AMS22" i="5" s="1"/>
  <c r="AMT22" i="5" s="1"/>
  <c r="AMU22" i="5" s="1"/>
  <c r="AMV22" i="5" s="1"/>
  <c r="AMW22" i="5" s="1"/>
  <c r="AMX22" i="5" s="1"/>
  <c r="AMZ22" i="5" s="1"/>
  <c r="ANA22" i="5" s="1"/>
  <c r="ANB22" i="5" s="1"/>
  <c r="ANC22" i="5" s="1"/>
  <c r="AND22" i="5" s="1"/>
  <c r="ANE22" i="5" s="1"/>
  <c r="ANF22" i="5" s="1"/>
  <c r="ANG22" i="5" s="1"/>
  <c r="ANH22" i="5" s="1"/>
  <c r="ANI22" i="5" s="1"/>
  <c r="ANJ22" i="5" s="1"/>
  <c r="ANK22" i="5" s="1"/>
  <c r="ANL22" i="5" s="1"/>
  <c r="ANM22" i="5" s="1"/>
  <c r="ANN22" i="5" s="1"/>
  <c r="ANO22" i="5" s="1"/>
  <c r="ANP22" i="5" s="1"/>
  <c r="ANQ22" i="5" s="1"/>
  <c r="ANR22" i="5" s="1"/>
  <c r="ANS22" i="5" s="1"/>
  <c r="ANT22" i="5" s="1"/>
  <c r="ANU22" i="5" s="1"/>
  <c r="ANV22" i="5" s="1"/>
  <c r="ANW22" i="5" s="1"/>
  <c r="ANX22" i="5" s="1"/>
  <c r="ANY22" i="5" s="1"/>
  <c r="ANZ22" i="5" s="1"/>
  <c r="AOA22" i="5" s="1"/>
  <c r="AOB22" i="5" s="1"/>
  <c r="AOC22" i="5" s="1"/>
  <c r="ALU22" i="5"/>
  <c r="ALV22" i="5" s="1"/>
  <c r="ALW22" i="5" s="1"/>
  <c r="ALX22" i="5" s="1"/>
  <c r="ALY22" i="5" s="1"/>
  <c r="ALZ22" i="5" s="1"/>
  <c r="AMA22" i="5" s="1"/>
  <c r="AMB22" i="5" s="1"/>
  <c r="AMC22" i="5" s="1"/>
  <c r="AMD22" i="5" s="1"/>
  <c r="AME22" i="5" s="1"/>
  <c r="AMF22" i="5" s="1"/>
  <c r="AKO22" i="5"/>
  <c r="AKP22" i="5" s="1"/>
  <c r="AKQ22" i="5" s="1"/>
  <c r="AKR22" i="5" s="1"/>
  <c r="AKS22" i="5" s="1"/>
  <c r="AKT22" i="5" s="1"/>
  <c r="AKU22" i="5" s="1"/>
  <c r="AKV22" i="5" s="1"/>
  <c r="AKW22" i="5" s="1"/>
  <c r="AKX22" i="5" s="1"/>
  <c r="AKY22" i="5" s="1"/>
  <c r="AKZ22" i="5" s="1"/>
  <c r="ALA22" i="5" s="1"/>
  <c r="ALB22" i="5" s="1"/>
  <c r="ALC22" i="5" s="1"/>
  <c r="ALD22" i="5" s="1"/>
  <c r="ALE22" i="5" s="1"/>
  <c r="ALF22" i="5" s="1"/>
  <c r="ALG22" i="5" s="1"/>
  <c r="ALH22" i="5" s="1"/>
  <c r="ALI22" i="5" s="1"/>
  <c r="ALJ22" i="5" s="1"/>
  <c r="ALK22" i="5" s="1"/>
  <c r="ALL22" i="5" s="1"/>
  <c r="ALM22" i="5" s="1"/>
  <c r="ALN22" i="5" s="1"/>
  <c r="ALO22" i="5" s="1"/>
  <c r="ALP22" i="5" s="1"/>
  <c r="ALQ22" i="5" s="1"/>
  <c r="ALR22" i="5" s="1"/>
  <c r="ALS22" i="5" s="1"/>
  <c r="AJL22" i="5"/>
  <c r="AJM22" i="5" s="1"/>
  <c r="AJN22" i="5" s="1"/>
  <c r="AJO22" i="5" s="1"/>
  <c r="AJP22" i="5" s="1"/>
  <c r="AJQ22" i="5" s="1"/>
  <c r="AJR22" i="5" s="1"/>
  <c r="AJS22" i="5" s="1"/>
  <c r="AJT22" i="5" s="1"/>
  <c r="AJU22" i="5" s="1"/>
  <c r="AJV22" i="5" s="1"/>
  <c r="AJW22" i="5" s="1"/>
  <c r="AJX22" i="5" s="1"/>
  <c r="AJY22" i="5" s="1"/>
  <c r="AJZ22" i="5" s="1"/>
  <c r="AKA22" i="5" s="1"/>
  <c r="AKB22" i="5" s="1"/>
  <c r="AKC22" i="5" s="1"/>
  <c r="AKD22" i="5" s="1"/>
  <c r="AKE22" i="5" s="1"/>
  <c r="AKF22" i="5" s="1"/>
  <c r="AKG22" i="5" s="1"/>
  <c r="AKH22" i="5" s="1"/>
  <c r="AKI22" i="5" s="1"/>
  <c r="AKJ22" i="5" s="1"/>
  <c r="AKK22" i="5" s="1"/>
  <c r="AKL22" i="5" s="1"/>
  <c r="AKM22" i="5" s="1"/>
  <c r="AIY22" i="5"/>
  <c r="AIZ22" i="5" s="1"/>
  <c r="AJA22" i="5" s="1"/>
  <c r="AJB22" i="5" s="1"/>
  <c r="AJC22" i="5" s="1"/>
  <c r="AJD22" i="5" s="1"/>
  <c r="AJE22" i="5" s="1"/>
  <c r="AJF22" i="5" s="1"/>
  <c r="AJG22" i="5" s="1"/>
  <c r="AJH22" i="5" s="1"/>
  <c r="AJI22" i="5" s="1"/>
  <c r="AJJ22" i="5" s="1"/>
  <c r="YE22" i="5"/>
  <c r="YF22" i="5" s="1"/>
  <c r="YG22" i="5" s="1"/>
  <c r="YH22" i="5" s="1"/>
  <c r="YI22" i="5" s="1"/>
  <c r="YJ22" i="5" s="1"/>
  <c r="YK22" i="5" s="1"/>
  <c r="YM22" i="5" s="1"/>
  <c r="YN22" i="5" s="1"/>
  <c r="YO22" i="5" s="1"/>
  <c r="YP22" i="5" s="1"/>
  <c r="YQ22" i="5" s="1"/>
  <c r="YR22" i="5" s="1"/>
  <c r="YS22" i="5" s="1"/>
  <c r="YT22" i="5" s="1"/>
  <c r="YU22" i="5" s="1"/>
  <c r="YV22" i="5" s="1"/>
  <c r="YW22" i="5" s="1"/>
  <c r="YX22" i="5" s="1"/>
  <c r="YY22" i="5" s="1"/>
  <c r="YZ22" i="5" s="1"/>
  <c r="ZA22" i="5" s="1"/>
  <c r="ZB22" i="5" s="1"/>
  <c r="ZC22" i="5" s="1"/>
  <c r="ZD22" i="5" s="1"/>
  <c r="ZE22" i="5" s="1"/>
  <c r="ZF22" i="5" s="1"/>
  <c r="ZG22" i="5" s="1"/>
  <c r="ZH22" i="5" s="1"/>
  <c r="ZI22" i="5" s="1"/>
  <c r="ZJ22" i="5" s="1"/>
  <c r="ZK22" i="5" s="1"/>
  <c r="ZL22" i="5" s="1"/>
  <c r="ZM22" i="5" s="1"/>
  <c r="ZN22" i="5" s="1"/>
  <c r="ZO22" i="5" s="1"/>
  <c r="ZP22" i="5" s="1"/>
  <c r="ZQ22" i="5" s="1"/>
  <c r="ZS22" i="5" s="1"/>
  <c r="ZT22" i="5" s="1"/>
  <c r="ZU22" i="5" s="1"/>
  <c r="ZV22" i="5" s="1"/>
  <c r="ZW22" i="5" s="1"/>
  <c r="ZX22" i="5" s="1"/>
  <c r="ZY22" i="5" s="1"/>
  <c r="ZZ22" i="5" s="1"/>
  <c r="AAA22" i="5" s="1"/>
  <c r="AAB22" i="5" s="1"/>
  <c r="AAC22" i="5" s="1"/>
  <c r="AAD22" i="5" s="1"/>
  <c r="AAE22" i="5" s="1"/>
  <c r="AAF22" i="5" s="1"/>
  <c r="AAG22" i="5" s="1"/>
  <c r="AAH22" i="5" s="1"/>
  <c r="AAI22" i="5" s="1"/>
  <c r="AAJ22" i="5" s="1"/>
  <c r="AAK22" i="5" s="1"/>
  <c r="AAL22" i="5" s="1"/>
  <c r="AAM22" i="5" s="1"/>
  <c r="AAN22" i="5" s="1"/>
  <c r="AAO22" i="5" s="1"/>
  <c r="AAP22" i="5" s="1"/>
  <c r="AAQ22" i="5" s="1"/>
  <c r="AAR22" i="5" s="1"/>
  <c r="AAS22" i="5" s="1"/>
  <c r="AAT22" i="5" s="1"/>
  <c r="AAU22" i="5" s="1"/>
  <c r="AAV22" i="5" s="1"/>
  <c r="AAX22" i="5" s="1"/>
  <c r="AAY22" i="5" s="1"/>
  <c r="AAZ22" i="5" s="1"/>
  <c r="ABA22" i="5" s="1"/>
  <c r="ABB22" i="5" s="1"/>
  <c r="ABC22" i="5" s="1"/>
  <c r="ABD22" i="5" s="1"/>
  <c r="ABE22" i="5" s="1"/>
  <c r="ABF22" i="5" s="1"/>
  <c r="ABG22" i="5" s="1"/>
  <c r="ABH22" i="5" s="1"/>
  <c r="ABI22" i="5" s="1"/>
  <c r="ABJ22" i="5" s="1"/>
  <c r="ABK22" i="5" s="1"/>
  <c r="ABL22" i="5" s="1"/>
  <c r="ABM22" i="5" s="1"/>
  <c r="ABN22" i="5" s="1"/>
  <c r="ABO22" i="5" s="1"/>
  <c r="ABP22" i="5" s="1"/>
  <c r="ABQ22" i="5" s="1"/>
  <c r="ABR22" i="5" s="1"/>
  <c r="ABS22" i="5" s="1"/>
  <c r="ABT22" i="5" s="1"/>
  <c r="ABU22" i="5" s="1"/>
  <c r="ABV22" i="5" s="1"/>
  <c r="ABW22" i="5" s="1"/>
  <c r="ABX22" i="5" s="1"/>
  <c r="ABY22" i="5" s="1"/>
  <c r="ABZ22" i="5" s="1"/>
  <c r="ACA22" i="5" s="1"/>
  <c r="ACB22" i="5" s="1"/>
  <c r="ACD22" i="5" s="1"/>
  <c r="ACE22" i="5" s="1"/>
  <c r="ACF22" i="5" s="1"/>
  <c r="ACG22" i="5" s="1"/>
  <c r="ACH22" i="5" s="1"/>
  <c r="ACI22" i="5" s="1"/>
  <c r="ACJ22" i="5" s="1"/>
  <c r="ACK22" i="5" s="1"/>
  <c r="ACL22" i="5" s="1"/>
  <c r="ACM22" i="5" s="1"/>
  <c r="ACN22" i="5" s="1"/>
  <c r="ACO22" i="5" s="1"/>
  <c r="ACP22" i="5" s="1"/>
  <c r="ACQ22" i="5" s="1"/>
  <c r="ACR22" i="5" s="1"/>
  <c r="ACS22" i="5" s="1"/>
  <c r="ACT22" i="5" s="1"/>
  <c r="ACU22" i="5" s="1"/>
  <c r="ACV22" i="5" s="1"/>
  <c r="ACW22" i="5" s="1"/>
  <c r="ACX22" i="5" s="1"/>
  <c r="ACY22" i="5" s="1"/>
  <c r="ACZ22" i="5" s="1"/>
  <c r="ADA22" i="5" s="1"/>
  <c r="ADB22" i="5" s="1"/>
  <c r="ADC22" i="5" s="1"/>
  <c r="ADD22" i="5" s="1"/>
  <c r="ADE22" i="5" s="1"/>
  <c r="ADF22" i="5" s="1"/>
  <c r="ADG22" i="5" s="1"/>
  <c r="ADH22" i="5" s="1"/>
  <c r="ADJ22" i="5" s="1"/>
  <c r="ADK22" i="5" s="1"/>
  <c r="ADL22" i="5" s="1"/>
  <c r="ADM22" i="5" s="1"/>
  <c r="ADN22" i="5" s="1"/>
  <c r="ADO22" i="5" s="1"/>
  <c r="ADP22" i="5" s="1"/>
  <c r="ADQ22" i="5" s="1"/>
  <c r="ADR22" i="5" s="1"/>
  <c r="ADS22" i="5" s="1"/>
  <c r="ADT22" i="5" s="1"/>
  <c r="ADU22" i="5" s="1"/>
  <c r="ADV22" i="5" s="1"/>
  <c r="ADW22" i="5" s="1"/>
  <c r="ADX22" i="5" s="1"/>
  <c r="ADY22" i="5" s="1"/>
  <c r="ADZ22" i="5" s="1"/>
  <c r="AEA22" i="5" s="1"/>
  <c r="AEB22" i="5" s="1"/>
  <c r="AEC22" i="5" s="1"/>
  <c r="AED22" i="5" s="1"/>
  <c r="AEE22" i="5" s="1"/>
  <c r="AEF22" i="5" s="1"/>
  <c r="AEG22" i="5" s="1"/>
  <c r="AEH22" i="5" s="1"/>
  <c r="AEI22" i="5" s="1"/>
  <c r="AEJ22" i="5" s="1"/>
  <c r="AEK22" i="5" s="1"/>
  <c r="AEL22" i="5" s="1"/>
  <c r="AEM22" i="5" s="1"/>
  <c r="AEO22" i="5" s="1"/>
  <c r="AEP22" i="5" s="1"/>
  <c r="AEQ22" i="5" s="1"/>
  <c r="AER22" i="5" s="1"/>
  <c r="AES22" i="5" s="1"/>
  <c r="AET22" i="5" s="1"/>
  <c r="AEU22" i="5" s="1"/>
  <c r="AEV22" i="5" s="1"/>
  <c r="AEW22" i="5" s="1"/>
  <c r="AEX22" i="5" s="1"/>
  <c r="AEY22" i="5" s="1"/>
  <c r="AEZ22" i="5" s="1"/>
  <c r="AFA22" i="5" s="1"/>
  <c r="AFB22" i="5" s="1"/>
  <c r="AFC22" i="5" s="1"/>
  <c r="AFD22" i="5" s="1"/>
  <c r="AFE22" i="5" s="1"/>
  <c r="AFF22" i="5" s="1"/>
  <c r="AFG22" i="5" s="1"/>
  <c r="AFH22" i="5" s="1"/>
  <c r="AFI22" i="5" s="1"/>
  <c r="AFJ22" i="5" s="1"/>
  <c r="AFK22" i="5" s="1"/>
  <c r="AFL22" i="5" s="1"/>
  <c r="AFM22" i="5" s="1"/>
  <c r="AFN22" i="5" s="1"/>
  <c r="AFO22" i="5" s="1"/>
  <c r="AFP22" i="5" s="1"/>
  <c r="AFQ22" i="5" s="1"/>
  <c r="AFR22" i="5" s="1"/>
  <c r="AFS22" i="5" s="1"/>
  <c r="AFU22" i="5" s="1"/>
  <c r="AFV22" i="5" s="1"/>
  <c r="AFW22" i="5" s="1"/>
  <c r="AFX22" i="5" s="1"/>
  <c r="AFY22" i="5" s="1"/>
  <c r="AFZ22" i="5" s="1"/>
  <c r="AGA22" i="5" s="1"/>
  <c r="AGB22" i="5" s="1"/>
  <c r="AGC22" i="5" s="1"/>
  <c r="AGD22" i="5" s="1"/>
  <c r="AGE22" i="5" s="1"/>
  <c r="AGF22" i="5" s="1"/>
  <c r="AGG22" i="5" s="1"/>
  <c r="AGH22" i="5" s="1"/>
  <c r="AGI22" i="5" s="1"/>
  <c r="AGJ22" i="5" s="1"/>
  <c r="AGK22" i="5" s="1"/>
  <c r="AGL22" i="5" s="1"/>
  <c r="AGM22" i="5" s="1"/>
  <c r="AGN22" i="5" s="1"/>
  <c r="AGO22" i="5" s="1"/>
  <c r="AGP22" i="5" s="1"/>
  <c r="AGQ22" i="5" s="1"/>
  <c r="AGR22" i="5" s="1"/>
  <c r="AGS22" i="5" s="1"/>
  <c r="AGT22" i="5" s="1"/>
  <c r="AGU22" i="5" s="1"/>
  <c r="AGV22" i="5" s="1"/>
  <c r="AGW22" i="5" s="1"/>
  <c r="AGX22" i="5" s="1"/>
  <c r="AGZ22" i="5" s="1"/>
  <c r="AHA22" i="5" s="1"/>
  <c r="AHB22" i="5" s="1"/>
  <c r="AHC22" i="5" s="1"/>
  <c r="AHD22" i="5" s="1"/>
  <c r="AHE22" i="5" s="1"/>
  <c r="AHF22" i="5" s="1"/>
  <c r="AHG22" i="5" s="1"/>
  <c r="AHH22" i="5" s="1"/>
  <c r="AHI22" i="5" s="1"/>
  <c r="AHJ22" i="5" s="1"/>
  <c r="AHK22" i="5" s="1"/>
  <c r="AHL22" i="5" s="1"/>
  <c r="AHM22" i="5" s="1"/>
  <c r="AHN22" i="5" s="1"/>
  <c r="AHO22" i="5" s="1"/>
  <c r="AHP22" i="5" s="1"/>
  <c r="AHQ22" i="5" s="1"/>
  <c r="AHR22" i="5" s="1"/>
  <c r="AHS22" i="5" s="1"/>
  <c r="AHT22" i="5" s="1"/>
  <c r="AHU22" i="5" s="1"/>
  <c r="AHV22" i="5" s="1"/>
  <c r="AHW22" i="5" s="1"/>
  <c r="AHX22" i="5" s="1"/>
  <c r="AHY22" i="5" s="1"/>
  <c r="AHZ22" i="5" s="1"/>
  <c r="AIA22" i="5" s="1"/>
  <c r="AIB22" i="5" s="1"/>
  <c r="AIC22" i="5" s="1"/>
  <c r="AID22" i="5" s="1"/>
  <c r="AIF22" i="5" s="1"/>
  <c r="AIG22" i="5" s="1"/>
  <c r="AIH22" i="5" s="1"/>
  <c r="AII22" i="5" s="1"/>
  <c r="AIJ22" i="5" s="1"/>
  <c r="AIK22" i="5" s="1"/>
  <c r="AIL22" i="5" s="1"/>
  <c r="AIM22" i="5" s="1"/>
  <c r="AIN22" i="5" s="1"/>
  <c r="AIO22" i="5" s="1"/>
  <c r="AIP22" i="5" s="1"/>
  <c r="AIQ22" i="5" s="1"/>
  <c r="AIR22" i="5" s="1"/>
  <c r="AIS22" i="5" s="1"/>
  <c r="AIT22" i="5" s="1"/>
  <c r="AIU22" i="5" s="1"/>
  <c r="AIV22" i="5" s="1"/>
  <c r="AIW22" i="5" s="1"/>
  <c r="XL22" i="5"/>
  <c r="XM22" i="5" s="1"/>
  <c r="XN22" i="5" s="1"/>
  <c r="XO22" i="5" s="1"/>
  <c r="XP22" i="5" s="1"/>
  <c r="XQ22" i="5" s="1"/>
  <c r="XR22" i="5" s="1"/>
  <c r="XS22" i="5" s="1"/>
  <c r="XT22" i="5" s="1"/>
  <c r="XU22" i="5" s="1"/>
  <c r="XV22" i="5" s="1"/>
  <c r="XW22" i="5" s="1"/>
  <c r="XX22" i="5" s="1"/>
  <c r="XY22" i="5" s="1"/>
  <c r="XZ22" i="5" s="1"/>
  <c r="YA22" i="5" s="1"/>
  <c r="YB22" i="5" s="1"/>
  <c r="YC22" i="5" s="1"/>
  <c r="TH22" i="5"/>
  <c r="TJ22" i="5" s="1"/>
  <c r="TL22" i="5" s="1"/>
  <c r="TN22" i="5" s="1"/>
  <c r="TP22" i="5" s="1"/>
  <c r="TG22" i="5"/>
  <c r="TI22" i="5" s="1"/>
  <c r="TK22" i="5" s="1"/>
  <c r="TM22" i="5" s="1"/>
  <c r="TO22" i="5" s="1"/>
  <c r="TQ22" i="5" s="1"/>
  <c r="TS22" i="5" s="1"/>
  <c r="TT22" i="5" s="1"/>
  <c r="TU22" i="5" s="1"/>
  <c r="TV22" i="5" s="1"/>
  <c r="TW22" i="5" s="1"/>
  <c r="TX22" i="5" s="1"/>
  <c r="TY22" i="5" s="1"/>
  <c r="TZ22" i="5" s="1"/>
  <c r="UA22" i="5" s="1"/>
  <c r="UB22" i="5" s="1"/>
  <c r="UC22" i="5" s="1"/>
  <c r="UD22" i="5" s="1"/>
  <c r="UE22" i="5" s="1"/>
  <c r="UF22" i="5" s="1"/>
  <c r="UG22" i="5" s="1"/>
  <c r="UH22" i="5" s="1"/>
  <c r="UI22" i="5" s="1"/>
  <c r="UJ22" i="5" s="1"/>
  <c r="UK22" i="5" s="1"/>
  <c r="UL22" i="5" s="1"/>
  <c r="UM22" i="5" s="1"/>
  <c r="UN22" i="5" s="1"/>
  <c r="UO22" i="5" s="1"/>
  <c r="UP22" i="5" s="1"/>
  <c r="UQ22" i="5" s="1"/>
  <c r="UR22" i="5" s="1"/>
  <c r="US22" i="5" s="1"/>
  <c r="UT22" i="5" s="1"/>
  <c r="UU22" i="5" s="1"/>
  <c r="UV22" i="5" s="1"/>
  <c r="UW22" i="5" s="1"/>
  <c r="UY22" i="5" s="1"/>
  <c r="SN22" i="5"/>
  <c r="SP22" i="5" s="1"/>
  <c r="SR22" i="5" s="1"/>
  <c r="ST22" i="5" s="1"/>
  <c r="SV22" i="5" s="1"/>
  <c r="SX22" i="5" s="1"/>
  <c r="SZ22" i="5" s="1"/>
  <c r="TB22" i="5" s="1"/>
  <c r="TD22" i="5" s="1"/>
  <c r="RI22" i="5"/>
  <c r="RK22" i="5" s="1"/>
  <c r="RM22" i="5" s="1"/>
  <c r="RO22" i="5" s="1"/>
  <c r="RQ22" i="5" s="1"/>
  <c r="RS22" i="5" s="1"/>
  <c r="RU22" i="5" s="1"/>
  <c r="RW22" i="5" s="1"/>
  <c r="RY22" i="5" s="1"/>
  <c r="SA22" i="5" s="1"/>
  <c r="SC22" i="5" s="1"/>
  <c r="SE22" i="5" s="1"/>
  <c r="SG22" i="5" s="1"/>
  <c r="SI22" i="5" s="1"/>
  <c r="SK22" i="5" s="1"/>
  <c r="SM22" i="5" s="1"/>
  <c r="SO22" i="5" s="1"/>
  <c r="SQ22" i="5" s="1"/>
  <c r="SS22" i="5" s="1"/>
  <c r="SU22" i="5" s="1"/>
  <c r="SW22" i="5" s="1"/>
  <c r="SY22" i="5" s="1"/>
  <c r="TA22" i="5" s="1"/>
  <c r="TC22" i="5" s="1"/>
  <c r="QF22" i="5"/>
  <c r="QH22" i="5" s="1"/>
  <c r="QJ22" i="5" s="1"/>
  <c r="QL22" i="5" s="1"/>
  <c r="QN22" i="5" s="1"/>
  <c r="QP22" i="5" s="1"/>
  <c r="QR22" i="5" s="1"/>
  <c r="QT22" i="5" s="1"/>
  <c r="QV22" i="5" s="1"/>
  <c r="QX22" i="5" s="1"/>
  <c r="QZ22" i="5" s="1"/>
  <c r="RB22" i="5" s="1"/>
  <c r="RD22" i="5" s="1"/>
  <c r="RF22" i="5" s="1"/>
  <c r="RH22" i="5" s="1"/>
  <c r="RJ22" i="5" s="1"/>
  <c r="RL22" i="5" s="1"/>
  <c r="RN22" i="5" s="1"/>
  <c r="RP22" i="5" s="1"/>
  <c r="RR22" i="5" s="1"/>
  <c r="RT22" i="5" s="1"/>
  <c r="RV22" i="5" s="1"/>
  <c r="RX22" i="5" s="1"/>
  <c r="RZ22" i="5" s="1"/>
  <c r="SB22" i="5" s="1"/>
  <c r="SD22" i="5" s="1"/>
  <c r="SF22" i="5" s="1"/>
  <c r="SH22" i="5" s="1"/>
  <c r="SJ22" i="5" s="1"/>
  <c r="QC22" i="5"/>
  <c r="QE22" i="5" s="1"/>
  <c r="QG22" i="5" s="1"/>
  <c r="QI22" i="5" s="1"/>
  <c r="QK22" i="5" s="1"/>
  <c r="QM22" i="5" s="1"/>
  <c r="QO22" i="5" s="1"/>
  <c r="QQ22" i="5" s="1"/>
  <c r="QS22" i="5" s="1"/>
  <c r="QU22" i="5" s="1"/>
  <c r="QW22" i="5" s="1"/>
  <c r="QY22" i="5" s="1"/>
  <c r="RA22" i="5" s="1"/>
  <c r="RC22" i="5" s="1"/>
  <c r="RE22" i="5" s="1"/>
  <c r="MM22" i="5"/>
  <c r="MN22" i="5" s="1"/>
  <c r="MO22" i="5" s="1"/>
  <c r="MP22" i="5" s="1"/>
  <c r="MQ22" i="5" s="1"/>
  <c r="MR22" i="5" s="1"/>
  <c r="MS22" i="5" s="1"/>
  <c r="MT22" i="5" s="1"/>
  <c r="MU22" i="5" s="1"/>
  <c r="MV22" i="5" s="1"/>
  <c r="MW22" i="5" s="1"/>
  <c r="MX22" i="5" s="1"/>
  <c r="MY22" i="5" s="1"/>
  <c r="MZ22" i="5" s="1"/>
  <c r="NA22" i="5" s="1"/>
  <c r="NB22" i="5" s="1"/>
  <c r="NC22" i="5" s="1"/>
  <c r="ND22" i="5" s="1"/>
  <c r="NE22" i="5" s="1"/>
  <c r="NF22" i="5" s="1"/>
  <c r="NG22" i="5" s="1"/>
  <c r="NH22" i="5" s="1"/>
  <c r="NI22" i="5" s="1"/>
  <c r="NJ22" i="5" s="1"/>
  <c r="NK22" i="5" s="1"/>
  <c r="NL22" i="5" s="1"/>
  <c r="NM22" i="5" s="1"/>
  <c r="NN22" i="5" s="1"/>
  <c r="NO22" i="5" s="1"/>
  <c r="NQ22" i="5" s="1"/>
  <c r="NR22" i="5" s="1"/>
  <c r="MK22" i="5"/>
  <c r="LF22" i="5"/>
  <c r="LG22" i="5" s="1"/>
  <c r="LH22" i="5" s="1"/>
  <c r="LI22" i="5" s="1"/>
  <c r="LJ22" i="5" s="1"/>
  <c r="LK22" i="5" s="1"/>
  <c r="LL22" i="5" s="1"/>
  <c r="LM22" i="5" s="1"/>
  <c r="LN22" i="5" s="1"/>
  <c r="LO22" i="5" s="1"/>
  <c r="LP22" i="5" s="1"/>
  <c r="LQ22" i="5" s="1"/>
  <c r="LR22" i="5" s="1"/>
  <c r="LS22" i="5" s="1"/>
  <c r="LT22" i="5" s="1"/>
  <c r="LU22" i="5" s="1"/>
  <c r="LV22" i="5" s="1"/>
  <c r="LW22" i="5" s="1"/>
  <c r="LX22" i="5" s="1"/>
  <c r="LY22" i="5" s="1"/>
  <c r="LZ22" i="5" s="1"/>
  <c r="MA22" i="5" s="1"/>
  <c r="MB22" i="5" s="1"/>
  <c r="MC22" i="5" s="1"/>
  <c r="MD22" i="5" s="1"/>
  <c r="ME22" i="5" s="1"/>
  <c r="MF22" i="5" s="1"/>
  <c r="MG22" i="5" s="1"/>
  <c r="MH22" i="5" s="1"/>
  <c r="MI22" i="5" s="1"/>
  <c r="JZ22" i="5"/>
  <c r="KA22" i="5" s="1"/>
  <c r="KB22" i="5" s="1"/>
  <c r="KC22" i="5" s="1"/>
  <c r="KD22" i="5" s="1"/>
  <c r="KE22" i="5" s="1"/>
  <c r="KF22" i="5" s="1"/>
  <c r="KG22" i="5" s="1"/>
  <c r="KH22" i="5" s="1"/>
  <c r="KI22" i="5" s="1"/>
  <c r="KJ22" i="5" s="1"/>
  <c r="KK22" i="5" s="1"/>
  <c r="KL22" i="5" s="1"/>
  <c r="KM22" i="5" s="1"/>
  <c r="KN22" i="5" s="1"/>
  <c r="KO22" i="5" s="1"/>
  <c r="KP22" i="5" s="1"/>
  <c r="KQ22" i="5" s="1"/>
  <c r="KR22" i="5" s="1"/>
  <c r="KS22" i="5" s="1"/>
  <c r="KT22" i="5" s="1"/>
  <c r="KU22" i="5" s="1"/>
  <c r="KV22" i="5" s="1"/>
  <c r="KW22" i="5" s="1"/>
  <c r="KX22" i="5" s="1"/>
  <c r="KY22" i="5" s="1"/>
  <c r="KZ22" i="5" s="1"/>
  <c r="LA22" i="5" s="1"/>
  <c r="LB22" i="5" s="1"/>
  <c r="LC22" i="5" s="1"/>
  <c r="LD22" i="5" s="1"/>
  <c r="IU22" i="5"/>
  <c r="IV22" i="5" s="1"/>
  <c r="IW22" i="5" s="1"/>
  <c r="IX22" i="5" s="1"/>
  <c r="IY22" i="5" s="1"/>
  <c r="IZ22" i="5" s="1"/>
  <c r="JA22" i="5" s="1"/>
  <c r="JB22" i="5" s="1"/>
  <c r="JC22" i="5" s="1"/>
  <c r="JD22" i="5" s="1"/>
  <c r="JE22" i="5" s="1"/>
  <c r="JF22" i="5" s="1"/>
  <c r="JG22" i="5" s="1"/>
  <c r="JH22" i="5" s="1"/>
  <c r="JI22" i="5" s="1"/>
  <c r="JJ22" i="5" s="1"/>
  <c r="JK22" i="5" s="1"/>
  <c r="JL22" i="5" s="1"/>
  <c r="JM22" i="5" s="1"/>
  <c r="JN22" i="5" s="1"/>
  <c r="JO22" i="5" s="1"/>
  <c r="JP22" i="5" s="1"/>
  <c r="JQ22" i="5" s="1"/>
  <c r="JR22" i="5" s="1"/>
  <c r="JS22" i="5" s="1"/>
  <c r="JT22" i="5" s="1"/>
  <c r="JU22" i="5" s="1"/>
  <c r="JV22" i="5" s="1"/>
  <c r="JW22" i="5" s="1"/>
  <c r="JX22" i="5" s="1"/>
  <c r="HO22" i="5"/>
  <c r="HP22" i="5" s="1"/>
  <c r="HQ22" i="5" s="1"/>
  <c r="HR22" i="5" s="1"/>
  <c r="HS22" i="5" s="1"/>
  <c r="HT22" i="5" s="1"/>
  <c r="HU22" i="5" s="1"/>
  <c r="HV22" i="5" s="1"/>
  <c r="HW22" i="5" s="1"/>
  <c r="HX22" i="5" s="1"/>
  <c r="HY22" i="5" s="1"/>
  <c r="HZ22" i="5" s="1"/>
  <c r="IA22" i="5" s="1"/>
  <c r="IB22" i="5" s="1"/>
  <c r="IC22" i="5" s="1"/>
  <c r="ID22" i="5" s="1"/>
  <c r="IE22" i="5" s="1"/>
  <c r="IF22" i="5" s="1"/>
  <c r="IG22" i="5" s="1"/>
  <c r="IH22" i="5" s="1"/>
  <c r="II22" i="5" s="1"/>
  <c r="IJ22" i="5" s="1"/>
  <c r="IK22" i="5" s="1"/>
  <c r="IL22" i="5" s="1"/>
  <c r="IM22" i="5" s="1"/>
  <c r="IN22" i="5" s="1"/>
  <c r="IO22" i="5" s="1"/>
  <c r="IP22" i="5" s="1"/>
  <c r="IQ22" i="5" s="1"/>
  <c r="IR22" i="5" s="1"/>
  <c r="IS22" i="5" s="1"/>
  <c r="GK22" i="5"/>
  <c r="GL22" i="5" s="1"/>
  <c r="GM22" i="5" s="1"/>
  <c r="GN22" i="5" s="1"/>
  <c r="GO22" i="5" s="1"/>
  <c r="GP22" i="5" s="1"/>
  <c r="GQ22" i="5" s="1"/>
  <c r="GR22" i="5" s="1"/>
  <c r="GS22" i="5" s="1"/>
  <c r="GT22" i="5" s="1"/>
  <c r="GU22" i="5" s="1"/>
  <c r="GV22" i="5" s="1"/>
  <c r="GW22" i="5" s="1"/>
  <c r="GX22" i="5" s="1"/>
  <c r="GY22" i="5" s="1"/>
  <c r="GZ22" i="5" s="1"/>
  <c r="HA22" i="5" s="1"/>
  <c r="HB22" i="5" s="1"/>
  <c r="HC22" i="5" s="1"/>
  <c r="HD22" i="5" s="1"/>
  <c r="HE22" i="5" s="1"/>
  <c r="HF22" i="5" s="1"/>
  <c r="HG22" i="5" s="1"/>
  <c r="HH22" i="5" s="1"/>
  <c r="HI22" i="5" s="1"/>
  <c r="HJ22" i="5" s="1"/>
  <c r="HK22" i="5" s="1"/>
  <c r="HL22" i="5" s="1"/>
  <c r="HM22" i="5" s="1"/>
  <c r="AO22" i="5"/>
  <c r="AP22" i="5" s="1"/>
  <c r="AQ22" i="5" s="1"/>
  <c r="AR22" i="5" s="1"/>
  <c r="AS22" i="5" s="1"/>
  <c r="AT22" i="5" s="1"/>
  <c r="AU22" i="5" s="1"/>
  <c r="AV22" i="5" s="1"/>
  <c r="AW22" i="5" s="1"/>
  <c r="AX22" i="5" s="1"/>
  <c r="AY22" i="5" s="1"/>
  <c r="AZ22" i="5" s="1"/>
  <c r="BA22" i="5" s="1"/>
  <c r="BB22" i="5" s="1"/>
  <c r="BC22" i="5" s="1"/>
  <c r="BD22" i="5" s="1"/>
  <c r="BE22" i="5" s="1"/>
  <c r="BF22" i="5" s="1"/>
  <c r="BG22" i="5" s="1"/>
  <c r="BH22" i="5" s="1"/>
  <c r="BI22" i="5" s="1"/>
  <c r="BJ22" i="5" s="1"/>
  <c r="BK22" i="5" s="1"/>
  <c r="BL22" i="5" s="1"/>
  <c r="BM22" i="5" s="1"/>
  <c r="BN22" i="5" s="1"/>
  <c r="BO22" i="5" s="1"/>
  <c r="BP22" i="5" s="1"/>
  <c r="BQ22" i="5" s="1"/>
  <c r="BR22" i="5" s="1"/>
  <c r="BS22" i="5" s="1"/>
  <c r="BT22" i="5" s="1"/>
  <c r="BU22" i="5" s="1"/>
  <c r="BV22" i="5" s="1"/>
  <c r="BW22" i="5" s="1"/>
  <c r="BX22" i="5" s="1"/>
  <c r="BY22" i="5" s="1"/>
  <c r="BZ22" i="5" s="1"/>
  <c r="CA22" i="5" s="1"/>
  <c r="CB22" i="5" s="1"/>
  <c r="CC22" i="5" s="1"/>
  <c r="CD22" i="5" s="1"/>
  <c r="CE22" i="5" s="1"/>
  <c r="CF22" i="5" s="1"/>
  <c r="CG22" i="5" s="1"/>
  <c r="CH22" i="5" s="1"/>
  <c r="CI22" i="5" s="1"/>
  <c r="CJ22" i="5" s="1"/>
  <c r="CK22" i="5" s="1"/>
  <c r="CL22" i="5" s="1"/>
  <c r="CM22" i="5" s="1"/>
  <c r="CN22" i="5" s="1"/>
  <c r="CO22" i="5" s="1"/>
  <c r="CP22" i="5" s="1"/>
  <c r="CQ22" i="5" s="1"/>
  <c r="CR22" i="5" s="1"/>
  <c r="CT22" i="5" s="1"/>
  <c r="D22" i="5"/>
  <c r="AMZ21" i="5"/>
  <c r="ANA21" i="5" s="1"/>
  <c r="ANB21" i="5" s="1"/>
  <c r="ANC21" i="5" s="1"/>
  <c r="AND21" i="5" s="1"/>
  <c r="ANE21" i="5" s="1"/>
  <c r="ANF21" i="5" s="1"/>
  <c r="ANG21" i="5" s="1"/>
  <c r="ANH21" i="5" s="1"/>
  <c r="ANI21" i="5" s="1"/>
  <c r="ANJ21" i="5" s="1"/>
  <c r="ANK21" i="5" s="1"/>
  <c r="ANL21" i="5" s="1"/>
  <c r="ANM21" i="5" s="1"/>
  <c r="ANN21" i="5" s="1"/>
  <c r="ANO21" i="5" s="1"/>
  <c r="ANP21" i="5" s="1"/>
  <c r="ANQ21" i="5" s="1"/>
  <c r="ANR21" i="5" s="1"/>
  <c r="ANS21" i="5" s="1"/>
  <c r="ANT21" i="5" s="1"/>
  <c r="ANU21" i="5" s="1"/>
  <c r="ANV21" i="5" s="1"/>
  <c r="ANW21" i="5" s="1"/>
  <c r="ANX21" i="5" s="1"/>
  <c r="ANY21" i="5" s="1"/>
  <c r="ANZ21" i="5" s="1"/>
  <c r="AOA21" i="5" s="1"/>
  <c r="AOB21" i="5" s="1"/>
  <c r="AOC21" i="5" s="1"/>
  <c r="ALU21" i="5"/>
  <c r="ALV21" i="5" s="1"/>
  <c r="ALW21" i="5" s="1"/>
  <c r="ALX21" i="5" s="1"/>
  <c r="ALY21" i="5" s="1"/>
  <c r="ALZ21" i="5" s="1"/>
  <c r="AMA21" i="5" s="1"/>
  <c r="AMB21" i="5" s="1"/>
  <c r="AMC21" i="5" s="1"/>
  <c r="AMD21" i="5" s="1"/>
  <c r="AME21" i="5" s="1"/>
  <c r="AMF21" i="5" s="1"/>
  <c r="AMG21" i="5" s="1"/>
  <c r="AMH21" i="5" s="1"/>
  <c r="AMI21" i="5" s="1"/>
  <c r="AMJ21" i="5" s="1"/>
  <c r="AMK21" i="5" s="1"/>
  <c r="AML21" i="5" s="1"/>
  <c r="AMM21" i="5" s="1"/>
  <c r="AMN21" i="5" s="1"/>
  <c r="AMO21" i="5" s="1"/>
  <c r="AMP21" i="5" s="1"/>
  <c r="AMQ21" i="5" s="1"/>
  <c r="AMR21" i="5" s="1"/>
  <c r="AMS21" i="5" s="1"/>
  <c r="AMT21" i="5" s="1"/>
  <c r="AMU21" i="5" s="1"/>
  <c r="AMV21" i="5" s="1"/>
  <c r="AMW21" i="5" s="1"/>
  <c r="AMX21" i="5" s="1"/>
  <c r="AKO21" i="5"/>
  <c r="AKP21" i="5" s="1"/>
  <c r="AKQ21" i="5" s="1"/>
  <c r="AKR21" i="5" s="1"/>
  <c r="AKS21" i="5" s="1"/>
  <c r="AKT21" i="5" s="1"/>
  <c r="AKU21" i="5" s="1"/>
  <c r="AKV21" i="5" s="1"/>
  <c r="AKW21" i="5" s="1"/>
  <c r="AKX21" i="5" s="1"/>
  <c r="AKY21" i="5" s="1"/>
  <c r="AKZ21" i="5" s="1"/>
  <c r="ALA21" i="5" s="1"/>
  <c r="ALB21" i="5" s="1"/>
  <c r="ALC21" i="5" s="1"/>
  <c r="ALD21" i="5" s="1"/>
  <c r="ALE21" i="5" s="1"/>
  <c r="ALF21" i="5" s="1"/>
  <c r="ALG21" i="5" s="1"/>
  <c r="ALH21" i="5" s="1"/>
  <c r="ALI21" i="5" s="1"/>
  <c r="ALJ21" i="5" s="1"/>
  <c r="ALK21" i="5" s="1"/>
  <c r="ALL21" i="5" s="1"/>
  <c r="ALM21" i="5" s="1"/>
  <c r="ALN21" i="5" s="1"/>
  <c r="ALO21" i="5" s="1"/>
  <c r="ALP21" i="5" s="1"/>
  <c r="ALQ21" i="5" s="1"/>
  <c r="ALR21" i="5" s="1"/>
  <c r="ALS21" i="5" s="1"/>
  <c r="AJL21" i="5"/>
  <c r="AJM21" i="5" s="1"/>
  <c r="AJN21" i="5" s="1"/>
  <c r="AJO21" i="5" s="1"/>
  <c r="AJP21" i="5" s="1"/>
  <c r="AJQ21" i="5" s="1"/>
  <c r="AJR21" i="5" s="1"/>
  <c r="AJS21" i="5" s="1"/>
  <c r="AJT21" i="5" s="1"/>
  <c r="AJU21" i="5" s="1"/>
  <c r="AJV21" i="5" s="1"/>
  <c r="AJW21" i="5" s="1"/>
  <c r="AJX21" i="5" s="1"/>
  <c r="AJY21" i="5" s="1"/>
  <c r="AJZ21" i="5" s="1"/>
  <c r="AKA21" i="5" s="1"/>
  <c r="AKB21" i="5" s="1"/>
  <c r="AKC21" i="5" s="1"/>
  <c r="AKD21" i="5" s="1"/>
  <c r="AKE21" i="5" s="1"/>
  <c r="AKF21" i="5" s="1"/>
  <c r="AKG21" i="5" s="1"/>
  <c r="AKH21" i="5" s="1"/>
  <c r="AKI21" i="5" s="1"/>
  <c r="AKJ21" i="5" s="1"/>
  <c r="AKK21" i="5" s="1"/>
  <c r="AKL21" i="5" s="1"/>
  <c r="AKM21" i="5" s="1"/>
  <c r="AIF21" i="5"/>
  <c r="AIG21" i="5" s="1"/>
  <c r="AIH21" i="5" s="1"/>
  <c r="AII21" i="5" s="1"/>
  <c r="AIJ21" i="5" s="1"/>
  <c r="AIK21" i="5" s="1"/>
  <c r="AIL21" i="5" s="1"/>
  <c r="AIM21" i="5" s="1"/>
  <c r="AIN21" i="5" s="1"/>
  <c r="AIO21" i="5" s="1"/>
  <c r="AIP21" i="5" s="1"/>
  <c r="AIQ21" i="5" s="1"/>
  <c r="AIR21" i="5" s="1"/>
  <c r="AIS21" i="5" s="1"/>
  <c r="AIT21" i="5" s="1"/>
  <c r="AIU21" i="5" s="1"/>
  <c r="AIV21" i="5" s="1"/>
  <c r="AIW21" i="5" s="1"/>
  <c r="AIX21" i="5" s="1"/>
  <c r="AIY21" i="5" s="1"/>
  <c r="AIZ21" i="5" s="1"/>
  <c r="AJA21" i="5" s="1"/>
  <c r="AJB21" i="5" s="1"/>
  <c r="AJC21" i="5" s="1"/>
  <c r="AJD21" i="5" s="1"/>
  <c r="AJE21" i="5" s="1"/>
  <c r="AJF21" i="5" s="1"/>
  <c r="AJG21" i="5" s="1"/>
  <c r="AJH21" i="5" s="1"/>
  <c r="AJI21" i="5" s="1"/>
  <c r="AJJ21" i="5" s="1"/>
  <c r="AGZ21" i="5"/>
  <c r="AHA21" i="5" s="1"/>
  <c r="AHB21" i="5" s="1"/>
  <c r="AHC21" i="5" s="1"/>
  <c r="AHD21" i="5" s="1"/>
  <c r="AHE21" i="5" s="1"/>
  <c r="AHF21" i="5" s="1"/>
  <c r="AHG21" i="5" s="1"/>
  <c r="AHH21" i="5" s="1"/>
  <c r="AHI21" i="5" s="1"/>
  <c r="AHJ21" i="5" s="1"/>
  <c r="AHK21" i="5" s="1"/>
  <c r="AHL21" i="5" s="1"/>
  <c r="AHM21" i="5" s="1"/>
  <c r="AHN21" i="5" s="1"/>
  <c r="AHO21" i="5" s="1"/>
  <c r="AHP21" i="5" s="1"/>
  <c r="AHQ21" i="5" s="1"/>
  <c r="AHR21" i="5" s="1"/>
  <c r="AHS21" i="5" s="1"/>
  <c r="AHT21" i="5" s="1"/>
  <c r="AHU21" i="5" s="1"/>
  <c r="AHV21" i="5" s="1"/>
  <c r="AHW21" i="5" s="1"/>
  <c r="AHX21" i="5" s="1"/>
  <c r="AHY21" i="5" s="1"/>
  <c r="AHZ21" i="5" s="1"/>
  <c r="AIA21" i="5" s="1"/>
  <c r="AIB21" i="5" s="1"/>
  <c r="AIC21" i="5" s="1"/>
  <c r="AID21" i="5" s="1"/>
  <c r="AFU21" i="5"/>
  <c r="AFV21" i="5" s="1"/>
  <c r="AFW21" i="5" s="1"/>
  <c r="AFX21" i="5" s="1"/>
  <c r="AFY21" i="5" s="1"/>
  <c r="AFZ21" i="5" s="1"/>
  <c r="AGA21" i="5" s="1"/>
  <c r="AGB21" i="5" s="1"/>
  <c r="AGC21" i="5" s="1"/>
  <c r="AGD21" i="5" s="1"/>
  <c r="AGE21" i="5" s="1"/>
  <c r="AGF21" i="5" s="1"/>
  <c r="AGG21" i="5" s="1"/>
  <c r="AGH21" i="5" s="1"/>
  <c r="AGI21" i="5" s="1"/>
  <c r="AGJ21" i="5" s="1"/>
  <c r="AGK21" i="5" s="1"/>
  <c r="AGL21" i="5" s="1"/>
  <c r="AGM21" i="5" s="1"/>
  <c r="AGN21" i="5" s="1"/>
  <c r="AGO21" i="5" s="1"/>
  <c r="AGP21" i="5" s="1"/>
  <c r="AGQ21" i="5" s="1"/>
  <c r="AGR21" i="5" s="1"/>
  <c r="AGS21" i="5" s="1"/>
  <c r="AGT21" i="5" s="1"/>
  <c r="AGU21" i="5" s="1"/>
  <c r="AGV21" i="5" s="1"/>
  <c r="AGW21" i="5" s="1"/>
  <c r="AGX21" i="5" s="1"/>
  <c r="AEO21" i="5"/>
  <c r="AEP21" i="5" s="1"/>
  <c r="AEQ21" i="5" s="1"/>
  <c r="AER21" i="5" s="1"/>
  <c r="AES21" i="5" s="1"/>
  <c r="AET21" i="5" s="1"/>
  <c r="AEU21" i="5" s="1"/>
  <c r="AEV21" i="5" s="1"/>
  <c r="AEW21" i="5" s="1"/>
  <c r="AEX21" i="5" s="1"/>
  <c r="AEY21" i="5" s="1"/>
  <c r="AEZ21" i="5" s="1"/>
  <c r="AFA21" i="5" s="1"/>
  <c r="AFB21" i="5" s="1"/>
  <c r="AFC21" i="5" s="1"/>
  <c r="AFD21" i="5" s="1"/>
  <c r="AFE21" i="5" s="1"/>
  <c r="AFF21" i="5" s="1"/>
  <c r="AFG21" i="5" s="1"/>
  <c r="AFH21" i="5" s="1"/>
  <c r="AFI21" i="5" s="1"/>
  <c r="AFJ21" i="5" s="1"/>
  <c r="AFK21" i="5" s="1"/>
  <c r="AFL21" i="5" s="1"/>
  <c r="AFM21" i="5" s="1"/>
  <c r="AFN21" i="5" s="1"/>
  <c r="AFO21" i="5" s="1"/>
  <c r="AFP21" i="5" s="1"/>
  <c r="AFQ21" i="5" s="1"/>
  <c r="AFR21" i="5" s="1"/>
  <c r="AFS21" i="5" s="1"/>
  <c r="ADJ21" i="5"/>
  <c r="ADK21" i="5" s="1"/>
  <c r="ADL21" i="5" s="1"/>
  <c r="ADM21" i="5" s="1"/>
  <c r="ADN21" i="5" s="1"/>
  <c r="ADO21" i="5" s="1"/>
  <c r="ADP21" i="5" s="1"/>
  <c r="ADQ21" i="5" s="1"/>
  <c r="ADR21" i="5" s="1"/>
  <c r="ADS21" i="5" s="1"/>
  <c r="ADT21" i="5" s="1"/>
  <c r="ADU21" i="5" s="1"/>
  <c r="ADV21" i="5" s="1"/>
  <c r="ADW21" i="5" s="1"/>
  <c r="ADX21" i="5" s="1"/>
  <c r="ADY21" i="5" s="1"/>
  <c r="ADZ21" i="5" s="1"/>
  <c r="AEA21" i="5" s="1"/>
  <c r="AEB21" i="5" s="1"/>
  <c r="AEC21" i="5" s="1"/>
  <c r="AED21" i="5" s="1"/>
  <c r="AEE21" i="5" s="1"/>
  <c r="AEF21" i="5" s="1"/>
  <c r="AEG21" i="5" s="1"/>
  <c r="AEH21" i="5" s="1"/>
  <c r="AEI21" i="5" s="1"/>
  <c r="AEJ21" i="5" s="1"/>
  <c r="AEK21" i="5" s="1"/>
  <c r="AEL21" i="5" s="1"/>
  <c r="AEM21" i="5" s="1"/>
  <c r="ACD21" i="5"/>
  <c r="ACE21" i="5" s="1"/>
  <c r="ACF21" i="5" s="1"/>
  <c r="ACG21" i="5" s="1"/>
  <c r="ACH21" i="5" s="1"/>
  <c r="ACI21" i="5" s="1"/>
  <c r="ACJ21" i="5" s="1"/>
  <c r="ACK21" i="5" s="1"/>
  <c r="ACL21" i="5" s="1"/>
  <c r="ACM21" i="5" s="1"/>
  <c r="ACN21" i="5" s="1"/>
  <c r="ACO21" i="5" s="1"/>
  <c r="ACP21" i="5" s="1"/>
  <c r="ACQ21" i="5" s="1"/>
  <c r="ACR21" i="5" s="1"/>
  <c r="ACS21" i="5" s="1"/>
  <c r="ACT21" i="5" s="1"/>
  <c r="ACU21" i="5" s="1"/>
  <c r="ACV21" i="5" s="1"/>
  <c r="ACW21" i="5" s="1"/>
  <c r="ACX21" i="5" s="1"/>
  <c r="ACY21" i="5" s="1"/>
  <c r="ACZ21" i="5" s="1"/>
  <c r="ADA21" i="5" s="1"/>
  <c r="ADB21" i="5" s="1"/>
  <c r="ADC21" i="5" s="1"/>
  <c r="ADD21" i="5" s="1"/>
  <c r="ADE21" i="5" s="1"/>
  <c r="ADF21" i="5" s="1"/>
  <c r="ADG21" i="5" s="1"/>
  <c r="ADH21" i="5" s="1"/>
  <c r="AAX21" i="5"/>
  <c r="AAY21" i="5" s="1"/>
  <c r="AAZ21" i="5" s="1"/>
  <c r="ABA21" i="5" s="1"/>
  <c r="ABB21" i="5" s="1"/>
  <c r="ABC21" i="5" s="1"/>
  <c r="ABD21" i="5" s="1"/>
  <c r="ABE21" i="5" s="1"/>
  <c r="ABF21" i="5" s="1"/>
  <c r="ABG21" i="5" s="1"/>
  <c r="ABH21" i="5" s="1"/>
  <c r="ABI21" i="5" s="1"/>
  <c r="ABJ21" i="5" s="1"/>
  <c r="ABK21" i="5" s="1"/>
  <c r="ABL21" i="5" s="1"/>
  <c r="ABM21" i="5" s="1"/>
  <c r="ABN21" i="5" s="1"/>
  <c r="ABO21" i="5" s="1"/>
  <c r="ABP21" i="5" s="1"/>
  <c r="ABQ21" i="5" s="1"/>
  <c r="ABR21" i="5" s="1"/>
  <c r="ABS21" i="5" s="1"/>
  <c r="ABT21" i="5" s="1"/>
  <c r="ABU21" i="5" s="1"/>
  <c r="ABV21" i="5" s="1"/>
  <c r="ABW21" i="5" s="1"/>
  <c r="ABX21" i="5" s="1"/>
  <c r="ABY21" i="5" s="1"/>
  <c r="ABZ21" i="5" s="1"/>
  <c r="ACA21" i="5" s="1"/>
  <c r="ACB21" i="5" s="1"/>
  <c r="ZS21" i="5"/>
  <c r="ZT21" i="5" s="1"/>
  <c r="ZU21" i="5" s="1"/>
  <c r="ZV21" i="5" s="1"/>
  <c r="ZW21" i="5" s="1"/>
  <c r="ZX21" i="5" s="1"/>
  <c r="ZY21" i="5" s="1"/>
  <c r="ZZ21" i="5" s="1"/>
  <c r="AAA21" i="5" s="1"/>
  <c r="AAB21" i="5" s="1"/>
  <c r="AAC21" i="5" s="1"/>
  <c r="AAD21" i="5" s="1"/>
  <c r="AAE21" i="5" s="1"/>
  <c r="AAF21" i="5" s="1"/>
  <c r="AAG21" i="5" s="1"/>
  <c r="AAH21" i="5" s="1"/>
  <c r="AAI21" i="5" s="1"/>
  <c r="AAJ21" i="5" s="1"/>
  <c r="AAK21" i="5" s="1"/>
  <c r="AAL21" i="5" s="1"/>
  <c r="AAM21" i="5" s="1"/>
  <c r="AAN21" i="5" s="1"/>
  <c r="AAO21" i="5" s="1"/>
  <c r="AAP21" i="5" s="1"/>
  <c r="AAQ21" i="5" s="1"/>
  <c r="AAR21" i="5" s="1"/>
  <c r="AAS21" i="5" s="1"/>
  <c r="AAT21" i="5" s="1"/>
  <c r="AAU21" i="5" s="1"/>
  <c r="AAV21" i="5" s="1"/>
  <c r="YM21" i="5"/>
  <c r="YN21" i="5" s="1"/>
  <c r="YO21" i="5" s="1"/>
  <c r="YP21" i="5" s="1"/>
  <c r="YQ21" i="5" s="1"/>
  <c r="YR21" i="5" s="1"/>
  <c r="YS21" i="5" s="1"/>
  <c r="YT21" i="5" s="1"/>
  <c r="YU21" i="5" s="1"/>
  <c r="YV21" i="5" s="1"/>
  <c r="YW21" i="5" s="1"/>
  <c r="YX21" i="5" s="1"/>
  <c r="YY21" i="5" s="1"/>
  <c r="YZ21" i="5" s="1"/>
  <c r="ZA21" i="5" s="1"/>
  <c r="ZB21" i="5" s="1"/>
  <c r="ZC21" i="5" s="1"/>
  <c r="ZD21" i="5" s="1"/>
  <c r="ZE21" i="5" s="1"/>
  <c r="ZF21" i="5" s="1"/>
  <c r="ZG21" i="5" s="1"/>
  <c r="ZH21" i="5" s="1"/>
  <c r="ZI21" i="5" s="1"/>
  <c r="ZJ21" i="5" s="1"/>
  <c r="ZK21" i="5" s="1"/>
  <c r="ZL21" i="5" s="1"/>
  <c r="ZM21" i="5" s="1"/>
  <c r="ZN21" i="5" s="1"/>
  <c r="ZO21" i="5" s="1"/>
  <c r="ZP21" i="5" s="1"/>
  <c r="ZQ21" i="5" s="1"/>
  <c r="XH21" i="5"/>
  <c r="XI21" i="5" s="1"/>
  <c r="XJ21" i="5" s="1"/>
  <c r="XK21" i="5" s="1"/>
  <c r="XL21" i="5" s="1"/>
  <c r="XM21" i="5" s="1"/>
  <c r="XN21" i="5" s="1"/>
  <c r="XO21" i="5" s="1"/>
  <c r="XP21" i="5" s="1"/>
  <c r="XQ21" i="5" s="1"/>
  <c r="XR21" i="5" s="1"/>
  <c r="XS21" i="5" s="1"/>
  <c r="XT21" i="5" s="1"/>
  <c r="XU21" i="5" s="1"/>
  <c r="XV21" i="5" s="1"/>
  <c r="XW21" i="5" s="1"/>
  <c r="XX21" i="5" s="1"/>
  <c r="XY21" i="5" s="1"/>
  <c r="XZ21" i="5" s="1"/>
  <c r="YA21" i="5" s="1"/>
  <c r="YB21" i="5" s="1"/>
  <c r="YC21" i="5" s="1"/>
  <c r="YD21" i="5" s="1"/>
  <c r="YE21" i="5" s="1"/>
  <c r="YF21" i="5" s="1"/>
  <c r="YG21" i="5" s="1"/>
  <c r="YH21" i="5" s="1"/>
  <c r="YI21" i="5" s="1"/>
  <c r="YJ21" i="5" s="1"/>
  <c r="YK21" i="5" s="1"/>
  <c r="WB21" i="5"/>
  <c r="WC21" i="5" s="1"/>
  <c r="WD21" i="5" s="1"/>
  <c r="WE21" i="5" s="1"/>
  <c r="WF21" i="5" s="1"/>
  <c r="WG21" i="5" s="1"/>
  <c r="WH21" i="5" s="1"/>
  <c r="WI21" i="5" s="1"/>
  <c r="WJ21" i="5" s="1"/>
  <c r="WK21" i="5" s="1"/>
  <c r="WL21" i="5" s="1"/>
  <c r="WM21" i="5" s="1"/>
  <c r="WN21" i="5" s="1"/>
  <c r="WO21" i="5" s="1"/>
  <c r="WP21" i="5" s="1"/>
  <c r="WQ21" i="5" s="1"/>
  <c r="WR21" i="5" s="1"/>
  <c r="WS21" i="5" s="1"/>
  <c r="WT21" i="5" s="1"/>
  <c r="WU21" i="5" s="1"/>
  <c r="WV21" i="5" s="1"/>
  <c r="WW21" i="5" s="1"/>
  <c r="WX21" i="5" s="1"/>
  <c r="WY21" i="5" s="1"/>
  <c r="WZ21" i="5" s="1"/>
  <c r="XA21" i="5" s="1"/>
  <c r="XB21" i="5" s="1"/>
  <c r="XC21" i="5" s="1"/>
  <c r="XD21" i="5" s="1"/>
  <c r="XE21" i="5" s="1"/>
  <c r="XF21" i="5" s="1"/>
  <c r="UY21" i="5"/>
  <c r="UZ21" i="5" s="1"/>
  <c r="VA21" i="5" s="1"/>
  <c r="VB21" i="5" s="1"/>
  <c r="VC21" i="5" s="1"/>
  <c r="VD21" i="5" s="1"/>
  <c r="VE21" i="5" s="1"/>
  <c r="VF21" i="5" s="1"/>
  <c r="VG21" i="5" s="1"/>
  <c r="VH21" i="5" s="1"/>
  <c r="VI21" i="5" s="1"/>
  <c r="VJ21" i="5" s="1"/>
  <c r="VK21" i="5" s="1"/>
  <c r="VL21" i="5" s="1"/>
  <c r="VM21" i="5" s="1"/>
  <c r="VN21" i="5" s="1"/>
  <c r="VO21" i="5" s="1"/>
  <c r="VP21" i="5" s="1"/>
  <c r="VQ21" i="5" s="1"/>
  <c r="VR21" i="5" s="1"/>
  <c r="VS21" i="5" s="1"/>
  <c r="VT21" i="5" s="1"/>
  <c r="VU21" i="5" s="1"/>
  <c r="VV21" i="5" s="1"/>
  <c r="VW21" i="5" s="1"/>
  <c r="VX21" i="5" s="1"/>
  <c r="VY21" i="5" s="1"/>
  <c r="VZ21" i="5" s="1"/>
  <c r="TS21" i="5"/>
  <c r="TT21" i="5" s="1"/>
  <c r="TU21" i="5" s="1"/>
  <c r="TV21" i="5" s="1"/>
  <c r="TW21" i="5" s="1"/>
  <c r="TX21" i="5" s="1"/>
  <c r="TY21" i="5" s="1"/>
  <c r="TZ21" i="5" s="1"/>
  <c r="UA21" i="5" s="1"/>
  <c r="UB21" i="5" s="1"/>
  <c r="UC21" i="5" s="1"/>
  <c r="UD21" i="5" s="1"/>
  <c r="UE21" i="5" s="1"/>
  <c r="UF21" i="5" s="1"/>
  <c r="UG21" i="5" s="1"/>
  <c r="UH21" i="5" s="1"/>
  <c r="UI21" i="5" s="1"/>
  <c r="UJ21" i="5" s="1"/>
  <c r="UK21" i="5" s="1"/>
  <c r="UL21" i="5" s="1"/>
  <c r="UM21" i="5" s="1"/>
  <c r="UN21" i="5" s="1"/>
  <c r="UO21" i="5" s="1"/>
  <c r="UP21" i="5" s="1"/>
  <c r="UQ21" i="5" s="1"/>
  <c r="UR21" i="5" s="1"/>
  <c r="US21" i="5" s="1"/>
  <c r="UT21" i="5" s="1"/>
  <c r="UU21" i="5" s="1"/>
  <c r="UV21" i="5" s="1"/>
  <c r="UW21" i="5" s="1"/>
  <c r="SM21" i="5"/>
  <c r="SN21" i="5" s="1"/>
  <c r="SO21" i="5" s="1"/>
  <c r="SP21" i="5" s="1"/>
  <c r="SQ21" i="5" s="1"/>
  <c r="SR21" i="5" s="1"/>
  <c r="SS21" i="5" s="1"/>
  <c r="ST21" i="5" s="1"/>
  <c r="SU21" i="5" s="1"/>
  <c r="SV21" i="5" s="1"/>
  <c r="SW21" i="5" s="1"/>
  <c r="SX21" i="5" s="1"/>
  <c r="SY21" i="5" s="1"/>
  <c r="SZ21" i="5" s="1"/>
  <c r="TA21" i="5" s="1"/>
  <c r="TB21" i="5" s="1"/>
  <c r="TC21" i="5" s="1"/>
  <c r="TD21" i="5" s="1"/>
  <c r="TE21" i="5" s="1"/>
  <c r="TF21" i="5" s="1"/>
  <c r="TG21" i="5" s="1"/>
  <c r="TH21" i="5" s="1"/>
  <c r="TI21" i="5" s="1"/>
  <c r="TJ21" i="5" s="1"/>
  <c r="TK21" i="5" s="1"/>
  <c r="TL21" i="5" s="1"/>
  <c r="TM21" i="5" s="1"/>
  <c r="TN21" i="5" s="1"/>
  <c r="TO21" i="5" s="1"/>
  <c r="TP21" i="5" s="1"/>
  <c r="TQ21" i="5" s="1"/>
  <c r="RH21" i="5"/>
  <c r="RI21" i="5" s="1"/>
  <c r="RJ21" i="5" s="1"/>
  <c r="RK21" i="5" s="1"/>
  <c r="RL21" i="5" s="1"/>
  <c r="RM21" i="5" s="1"/>
  <c r="RN21" i="5" s="1"/>
  <c r="RO21" i="5" s="1"/>
  <c r="RP21" i="5" s="1"/>
  <c r="RQ21" i="5" s="1"/>
  <c r="RR21" i="5" s="1"/>
  <c r="RS21" i="5" s="1"/>
  <c r="RT21" i="5" s="1"/>
  <c r="RU21" i="5" s="1"/>
  <c r="RV21" i="5" s="1"/>
  <c r="RW21" i="5" s="1"/>
  <c r="RX21" i="5" s="1"/>
  <c r="RY21" i="5" s="1"/>
  <c r="RZ21" i="5" s="1"/>
  <c r="SA21" i="5" s="1"/>
  <c r="SB21" i="5" s="1"/>
  <c r="SC21" i="5" s="1"/>
  <c r="SD21" i="5" s="1"/>
  <c r="SE21" i="5" s="1"/>
  <c r="SF21" i="5" s="1"/>
  <c r="SG21" i="5" s="1"/>
  <c r="SH21" i="5" s="1"/>
  <c r="SI21" i="5" s="1"/>
  <c r="SJ21" i="5" s="1"/>
  <c r="SK21" i="5" s="1"/>
  <c r="QB21" i="5"/>
  <c r="QC21" i="5" s="1"/>
  <c r="QD21" i="5" s="1"/>
  <c r="QE21" i="5" s="1"/>
  <c r="QF21" i="5" s="1"/>
  <c r="QG21" i="5" s="1"/>
  <c r="QH21" i="5" s="1"/>
  <c r="QI21" i="5" s="1"/>
  <c r="QJ21" i="5" s="1"/>
  <c r="QK21" i="5" s="1"/>
  <c r="QL21" i="5" s="1"/>
  <c r="QM21" i="5" s="1"/>
  <c r="QN21" i="5" s="1"/>
  <c r="QO21" i="5" s="1"/>
  <c r="QP21" i="5" s="1"/>
  <c r="QQ21" i="5" s="1"/>
  <c r="QR21" i="5" s="1"/>
  <c r="QS21" i="5" s="1"/>
  <c r="QT21" i="5" s="1"/>
  <c r="QU21" i="5" s="1"/>
  <c r="QV21" i="5" s="1"/>
  <c r="QW21" i="5" s="1"/>
  <c r="QX21" i="5" s="1"/>
  <c r="QY21" i="5" s="1"/>
  <c r="QZ21" i="5" s="1"/>
  <c r="RA21" i="5" s="1"/>
  <c r="RB21" i="5" s="1"/>
  <c r="RC21" i="5" s="1"/>
  <c r="RD21" i="5" s="1"/>
  <c r="RE21" i="5" s="1"/>
  <c r="RF21" i="5" s="1"/>
  <c r="OW21" i="5"/>
  <c r="OX21" i="5" s="1"/>
  <c r="OY21" i="5" s="1"/>
  <c r="OZ21" i="5" s="1"/>
  <c r="PA21" i="5" s="1"/>
  <c r="PB21" i="5" s="1"/>
  <c r="PC21" i="5" s="1"/>
  <c r="PD21" i="5" s="1"/>
  <c r="PE21" i="5" s="1"/>
  <c r="PF21" i="5" s="1"/>
  <c r="PG21" i="5" s="1"/>
  <c r="PH21" i="5" s="1"/>
  <c r="PI21" i="5" s="1"/>
  <c r="PJ21" i="5" s="1"/>
  <c r="PK21" i="5" s="1"/>
  <c r="PL21" i="5" s="1"/>
  <c r="PM21" i="5" s="1"/>
  <c r="PN21" i="5" s="1"/>
  <c r="PO21" i="5" s="1"/>
  <c r="PP21" i="5" s="1"/>
  <c r="PQ21" i="5" s="1"/>
  <c r="PR21" i="5" s="1"/>
  <c r="PS21" i="5" s="1"/>
  <c r="PT21" i="5" s="1"/>
  <c r="PU21" i="5" s="1"/>
  <c r="PV21" i="5" s="1"/>
  <c r="PW21" i="5" s="1"/>
  <c r="PX21" i="5" s="1"/>
  <c r="PY21" i="5" s="1"/>
  <c r="PZ21" i="5" s="1"/>
  <c r="NQ21" i="5"/>
  <c r="NR21" i="5" s="1"/>
  <c r="NS21" i="5" s="1"/>
  <c r="NT21" i="5" s="1"/>
  <c r="NU21" i="5" s="1"/>
  <c r="NV21" i="5" s="1"/>
  <c r="NW21" i="5" s="1"/>
  <c r="NX21" i="5" s="1"/>
  <c r="NY21" i="5" s="1"/>
  <c r="NZ21" i="5" s="1"/>
  <c r="OA21" i="5" s="1"/>
  <c r="OB21" i="5" s="1"/>
  <c r="OC21" i="5" s="1"/>
  <c r="OD21" i="5" s="1"/>
  <c r="OE21" i="5" s="1"/>
  <c r="OF21" i="5" s="1"/>
  <c r="OG21" i="5" s="1"/>
  <c r="OH21" i="5" s="1"/>
  <c r="OI21" i="5" s="1"/>
  <c r="OJ21" i="5" s="1"/>
  <c r="OK21" i="5" s="1"/>
  <c r="OL21" i="5" s="1"/>
  <c r="OM21" i="5" s="1"/>
  <c r="ON21" i="5" s="1"/>
  <c r="OO21" i="5" s="1"/>
  <c r="OP21" i="5" s="1"/>
  <c r="OQ21" i="5" s="1"/>
  <c r="OR21" i="5" s="1"/>
  <c r="OS21" i="5" s="1"/>
  <c r="OT21" i="5" s="1"/>
  <c r="OU21" i="5" s="1"/>
  <c r="MK21" i="5"/>
  <c r="ML21" i="5" s="1"/>
  <c r="MM21" i="5" s="1"/>
  <c r="MN21" i="5" s="1"/>
  <c r="MO21" i="5" s="1"/>
  <c r="MP21" i="5" s="1"/>
  <c r="MQ21" i="5" s="1"/>
  <c r="MR21" i="5" s="1"/>
  <c r="MS21" i="5" s="1"/>
  <c r="MT21" i="5" s="1"/>
  <c r="MU21" i="5" s="1"/>
  <c r="MV21" i="5" s="1"/>
  <c r="MW21" i="5" s="1"/>
  <c r="MX21" i="5" s="1"/>
  <c r="MY21" i="5" s="1"/>
  <c r="MZ21" i="5" s="1"/>
  <c r="NA21" i="5" s="1"/>
  <c r="NB21" i="5" s="1"/>
  <c r="NC21" i="5" s="1"/>
  <c r="ND21" i="5" s="1"/>
  <c r="NE21" i="5" s="1"/>
  <c r="NF21" i="5" s="1"/>
  <c r="NG21" i="5" s="1"/>
  <c r="NH21" i="5" s="1"/>
  <c r="NI21" i="5" s="1"/>
  <c r="NJ21" i="5" s="1"/>
  <c r="NK21" i="5" s="1"/>
  <c r="NL21" i="5" s="1"/>
  <c r="NM21" i="5" s="1"/>
  <c r="NN21" i="5" s="1"/>
  <c r="NO21" i="5" s="1"/>
  <c r="LS21" i="5"/>
  <c r="LT21" i="5" s="1"/>
  <c r="LU21" i="5" s="1"/>
  <c r="LV21" i="5" s="1"/>
  <c r="LW21" i="5" s="1"/>
  <c r="LX21" i="5" s="1"/>
  <c r="LY21" i="5" s="1"/>
  <c r="LZ21" i="5" s="1"/>
  <c r="MA21" i="5" s="1"/>
  <c r="MB21" i="5" s="1"/>
  <c r="MC21" i="5" s="1"/>
  <c r="MD21" i="5" s="1"/>
  <c r="ME21" i="5" s="1"/>
  <c r="MF21" i="5" s="1"/>
  <c r="MG21" i="5" s="1"/>
  <c r="MH21" i="5" s="1"/>
  <c r="MI21" i="5" s="1"/>
  <c r="CA21" i="5"/>
  <c r="CB21" i="5" s="1"/>
  <c r="CC21" i="5" s="1"/>
  <c r="CD21" i="5" s="1"/>
  <c r="CE21" i="5" s="1"/>
  <c r="CF21" i="5" s="1"/>
  <c r="CG21" i="5" s="1"/>
  <c r="CH21" i="5" s="1"/>
  <c r="CI21" i="5" s="1"/>
  <c r="CJ21" i="5" s="1"/>
  <c r="CK21" i="5" s="1"/>
  <c r="CL21" i="5" s="1"/>
  <c r="CM21" i="5" s="1"/>
  <c r="CN21" i="5" s="1"/>
  <c r="CO21" i="5" s="1"/>
  <c r="CP21" i="5" s="1"/>
  <c r="CQ21" i="5" s="1"/>
  <c r="CR21" i="5" s="1"/>
  <c r="CT21" i="5" s="1"/>
  <c r="D20" i="5"/>
  <c r="E20" i="5" s="1"/>
  <c r="AMH19" i="5"/>
  <c r="AMI19" i="5" s="1"/>
  <c r="AMJ19" i="5" s="1"/>
  <c r="AMK19" i="5" s="1"/>
  <c r="AML19" i="5" s="1"/>
  <c r="AMM19" i="5" s="1"/>
  <c r="AMN19" i="5" s="1"/>
  <c r="AMO19" i="5" s="1"/>
  <c r="AMP19" i="5" s="1"/>
  <c r="AMQ19" i="5" s="1"/>
  <c r="AMR19" i="5" s="1"/>
  <c r="AMS19" i="5" s="1"/>
  <c r="AMT19" i="5" s="1"/>
  <c r="AMU19" i="5" s="1"/>
  <c r="AMV19" i="5" s="1"/>
  <c r="AMW19" i="5" s="1"/>
  <c r="AMX19" i="5" s="1"/>
  <c r="AMZ19" i="5" s="1"/>
  <c r="ANA19" i="5" s="1"/>
  <c r="ANB19" i="5" s="1"/>
  <c r="ANC19" i="5" s="1"/>
  <c r="AND19" i="5" s="1"/>
  <c r="ANE19" i="5" s="1"/>
  <c r="ANF19" i="5" s="1"/>
  <c r="ANG19" i="5" s="1"/>
  <c r="ANH19" i="5" s="1"/>
  <c r="ANI19" i="5" s="1"/>
  <c r="ANJ19" i="5" s="1"/>
  <c r="ANK19" i="5" s="1"/>
  <c r="ANL19" i="5" s="1"/>
  <c r="ANM19" i="5" s="1"/>
  <c r="ANN19" i="5" s="1"/>
  <c r="ANO19" i="5" s="1"/>
  <c r="ANP19" i="5" s="1"/>
  <c r="ANQ19" i="5" s="1"/>
  <c r="ANR19" i="5" s="1"/>
  <c r="ANS19" i="5" s="1"/>
  <c r="ANT19" i="5" s="1"/>
  <c r="ANU19" i="5" s="1"/>
  <c r="ANV19" i="5" s="1"/>
  <c r="ANW19" i="5" s="1"/>
  <c r="ANX19" i="5" s="1"/>
  <c r="ANY19" i="5" s="1"/>
  <c r="ANZ19" i="5" s="1"/>
  <c r="AOA19" i="5" s="1"/>
  <c r="AOB19" i="5" s="1"/>
  <c r="AOC19" i="5" s="1"/>
  <c r="ALU19" i="5"/>
  <c r="ALV19" i="5" s="1"/>
  <c r="ALW19" i="5" s="1"/>
  <c r="ALX19" i="5" s="1"/>
  <c r="ALY19" i="5" s="1"/>
  <c r="ALZ19" i="5" s="1"/>
  <c r="AMA19" i="5" s="1"/>
  <c r="AMB19" i="5" s="1"/>
  <c r="AMC19" i="5" s="1"/>
  <c r="AMD19" i="5" s="1"/>
  <c r="AME19" i="5" s="1"/>
  <c r="AMF19" i="5" s="1"/>
  <c r="AKO19" i="5"/>
  <c r="AKP19" i="5" s="1"/>
  <c r="AKQ19" i="5" s="1"/>
  <c r="AKR19" i="5" s="1"/>
  <c r="AKS19" i="5" s="1"/>
  <c r="AKT19" i="5" s="1"/>
  <c r="AKU19" i="5" s="1"/>
  <c r="AKV19" i="5" s="1"/>
  <c r="AKW19" i="5" s="1"/>
  <c r="AKX19" i="5" s="1"/>
  <c r="AKY19" i="5" s="1"/>
  <c r="AKZ19" i="5" s="1"/>
  <c r="ALA19" i="5" s="1"/>
  <c r="ALB19" i="5" s="1"/>
  <c r="ALC19" i="5" s="1"/>
  <c r="ALD19" i="5" s="1"/>
  <c r="ALE19" i="5" s="1"/>
  <c r="ALF19" i="5" s="1"/>
  <c r="ALG19" i="5" s="1"/>
  <c r="ALH19" i="5" s="1"/>
  <c r="ALI19" i="5" s="1"/>
  <c r="ALJ19" i="5" s="1"/>
  <c r="ALK19" i="5" s="1"/>
  <c r="ALL19" i="5" s="1"/>
  <c r="ALM19" i="5" s="1"/>
  <c r="ALN19" i="5" s="1"/>
  <c r="ALO19" i="5" s="1"/>
  <c r="ALP19" i="5" s="1"/>
  <c r="ALQ19" i="5" s="1"/>
  <c r="ALR19" i="5" s="1"/>
  <c r="ALS19" i="5" s="1"/>
  <c r="AJL19" i="5"/>
  <c r="AJM19" i="5" s="1"/>
  <c r="AJN19" i="5" s="1"/>
  <c r="AJO19" i="5" s="1"/>
  <c r="AJP19" i="5" s="1"/>
  <c r="AJQ19" i="5" s="1"/>
  <c r="AJR19" i="5" s="1"/>
  <c r="AJS19" i="5" s="1"/>
  <c r="AJT19" i="5" s="1"/>
  <c r="AJU19" i="5" s="1"/>
  <c r="AJV19" i="5" s="1"/>
  <c r="AJW19" i="5" s="1"/>
  <c r="AJX19" i="5" s="1"/>
  <c r="AJY19" i="5" s="1"/>
  <c r="AJZ19" i="5" s="1"/>
  <c r="AKA19" i="5" s="1"/>
  <c r="AKB19" i="5" s="1"/>
  <c r="AKC19" i="5" s="1"/>
  <c r="AKD19" i="5" s="1"/>
  <c r="AKE19" i="5" s="1"/>
  <c r="AKF19" i="5" s="1"/>
  <c r="AKG19" i="5" s="1"/>
  <c r="AKH19" i="5" s="1"/>
  <c r="AKI19" i="5" s="1"/>
  <c r="AKJ19" i="5" s="1"/>
  <c r="AKK19" i="5" s="1"/>
  <c r="AKL19" i="5" s="1"/>
  <c r="AKM19" i="5" s="1"/>
  <c r="AIF19" i="5"/>
  <c r="AIG19" i="5" s="1"/>
  <c r="AIH19" i="5" s="1"/>
  <c r="AII19" i="5" s="1"/>
  <c r="AIJ19" i="5" s="1"/>
  <c r="AIK19" i="5" s="1"/>
  <c r="AIL19" i="5" s="1"/>
  <c r="AIM19" i="5" s="1"/>
  <c r="AIN19" i="5" s="1"/>
  <c r="AIO19" i="5" s="1"/>
  <c r="AIP19" i="5" s="1"/>
  <c r="AIQ19" i="5" s="1"/>
  <c r="AIR19" i="5" s="1"/>
  <c r="AIS19" i="5" s="1"/>
  <c r="AIT19" i="5" s="1"/>
  <c r="AIU19" i="5" s="1"/>
  <c r="AIV19" i="5" s="1"/>
  <c r="AIW19" i="5" s="1"/>
  <c r="AIX19" i="5" s="1"/>
  <c r="AIY19" i="5" s="1"/>
  <c r="AIZ19" i="5" s="1"/>
  <c r="AJA19" i="5" s="1"/>
  <c r="AJB19" i="5" s="1"/>
  <c r="AJC19" i="5" s="1"/>
  <c r="AJD19" i="5" s="1"/>
  <c r="AJE19" i="5" s="1"/>
  <c r="AJF19" i="5" s="1"/>
  <c r="AJG19" i="5" s="1"/>
  <c r="AJH19" i="5" s="1"/>
  <c r="AJI19" i="5" s="1"/>
  <c r="AJJ19" i="5" s="1"/>
  <c r="AGZ19" i="5"/>
  <c r="AHA19" i="5" s="1"/>
  <c r="AHB19" i="5" s="1"/>
  <c r="AHC19" i="5" s="1"/>
  <c r="AHD19" i="5" s="1"/>
  <c r="AHE19" i="5" s="1"/>
  <c r="AHF19" i="5" s="1"/>
  <c r="AHG19" i="5" s="1"/>
  <c r="AHH19" i="5" s="1"/>
  <c r="AHI19" i="5" s="1"/>
  <c r="AHJ19" i="5" s="1"/>
  <c r="AHK19" i="5" s="1"/>
  <c r="AHL19" i="5" s="1"/>
  <c r="AHM19" i="5" s="1"/>
  <c r="AHN19" i="5" s="1"/>
  <c r="AHO19" i="5" s="1"/>
  <c r="AHP19" i="5" s="1"/>
  <c r="AHQ19" i="5" s="1"/>
  <c r="AHR19" i="5" s="1"/>
  <c r="AHS19" i="5" s="1"/>
  <c r="AHT19" i="5" s="1"/>
  <c r="AHU19" i="5" s="1"/>
  <c r="AHV19" i="5" s="1"/>
  <c r="AHW19" i="5" s="1"/>
  <c r="AHX19" i="5" s="1"/>
  <c r="AHY19" i="5" s="1"/>
  <c r="AHZ19" i="5" s="1"/>
  <c r="AIA19" i="5" s="1"/>
  <c r="AIB19" i="5" s="1"/>
  <c r="AIC19" i="5" s="1"/>
  <c r="AID19" i="5" s="1"/>
  <c r="AGE19" i="5"/>
  <c r="AGF19" i="5" s="1"/>
  <c r="AGG19" i="5" s="1"/>
  <c r="AGH19" i="5" s="1"/>
  <c r="AGI19" i="5" s="1"/>
  <c r="AGJ19" i="5" s="1"/>
  <c r="AGK19" i="5" s="1"/>
  <c r="AGL19" i="5" s="1"/>
  <c r="AGM19" i="5" s="1"/>
  <c r="AGN19" i="5" s="1"/>
  <c r="AGO19" i="5" s="1"/>
  <c r="AGP19" i="5" s="1"/>
  <c r="AGQ19" i="5" s="1"/>
  <c r="AGR19" i="5" s="1"/>
  <c r="AGS19" i="5" s="1"/>
  <c r="AGT19" i="5" s="1"/>
  <c r="AGU19" i="5" s="1"/>
  <c r="AGV19" i="5" s="1"/>
  <c r="AGW19" i="5" s="1"/>
  <c r="AGX19" i="5" s="1"/>
  <c r="AD19" i="5"/>
  <c r="AE19" i="5" s="1"/>
  <c r="AF19" i="5" s="1"/>
  <c r="AG19" i="5" s="1"/>
  <c r="AMZ18" i="5"/>
  <c r="ANA18" i="5" s="1"/>
  <c r="ANB18" i="5" s="1"/>
  <c r="ANC18" i="5" s="1"/>
  <c r="AND18" i="5" s="1"/>
  <c r="ANE18" i="5" s="1"/>
  <c r="ANF18" i="5" s="1"/>
  <c r="ANG18" i="5" s="1"/>
  <c r="ANH18" i="5" s="1"/>
  <c r="ANI18" i="5" s="1"/>
  <c r="ANJ18" i="5" s="1"/>
  <c r="ANK18" i="5" s="1"/>
  <c r="ANL18" i="5" s="1"/>
  <c r="ANM18" i="5" s="1"/>
  <c r="ANN18" i="5" s="1"/>
  <c r="ANO18" i="5" s="1"/>
  <c r="ANP18" i="5" s="1"/>
  <c r="ANQ18" i="5" s="1"/>
  <c r="ANR18" i="5" s="1"/>
  <c r="ANS18" i="5" s="1"/>
  <c r="ANT18" i="5" s="1"/>
  <c r="ANU18" i="5" s="1"/>
  <c r="ANV18" i="5" s="1"/>
  <c r="ANW18" i="5" s="1"/>
  <c r="ANX18" i="5" s="1"/>
  <c r="ANY18" i="5" s="1"/>
  <c r="ANZ18" i="5" s="1"/>
  <c r="AOA18" i="5" s="1"/>
  <c r="AOB18" i="5" s="1"/>
  <c r="AOC18" i="5" s="1"/>
  <c r="ALU18" i="5"/>
  <c r="ALV18" i="5" s="1"/>
  <c r="ALW18" i="5" s="1"/>
  <c r="ALX18" i="5" s="1"/>
  <c r="ALY18" i="5" s="1"/>
  <c r="ALZ18" i="5" s="1"/>
  <c r="AMA18" i="5" s="1"/>
  <c r="AMB18" i="5" s="1"/>
  <c r="AMC18" i="5" s="1"/>
  <c r="AMD18" i="5" s="1"/>
  <c r="AME18" i="5" s="1"/>
  <c r="AMF18" i="5" s="1"/>
  <c r="AMG18" i="5" s="1"/>
  <c r="AMH18" i="5" s="1"/>
  <c r="AMI18" i="5" s="1"/>
  <c r="AMJ18" i="5" s="1"/>
  <c r="AMK18" i="5" s="1"/>
  <c r="AML18" i="5" s="1"/>
  <c r="AMM18" i="5" s="1"/>
  <c r="AMN18" i="5" s="1"/>
  <c r="AMO18" i="5" s="1"/>
  <c r="AMP18" i="5" s="1"/>
  <c r="AMQ18" i="5" s="1"/>
  <c r="AMR18" i="5" s="1"/>
  <c r="AMS18" i="5" s="1"/>
  <c r="AMT18" i="5" s="1"/>
  <c r="AMU18" i="5" s="1"/>
  <c r="AMV18" i="5" s="1"/>
  <c r="AMW18" i="5" s="1"/>
  <c r="AMX18" i="5" s="1"/>
  <c r="AKO18" i="5"/>
  <c r="AKP18" i="5" s="1"/>
  <c r="AKQ18" i="5" s="1"/>
  <c r="AKR18" i="5" s="1"/>
  <c r="AKS18" i="5" s="1"/>
  <c r="AKT18" i="5" s="1"/>
  <c r="AKU18" i="5" s="1"/>
  <c r="AKV18" i="5" s="1"/>
  <c r="AKW18" i="5" s="1"/>
  <c r="AKX18" i="5" s="1"/>
  <c r="AKY18" i="5" s="1"/>
  <c r="AKZ18" i="5" s="1"/>
  <c r="ALA18" i="5" s="1"/>
  <c r="ALB18" i="5" s="1"/>
  <c r="ALC18" i="5" s="1"/>
  <c r="ALD18" i="5" s="1"/>
  <c r="ALE18" i="5" s="1"/>
  <c r="ALF18" i="5" s="1"/>
  <c r="ALG18" i="5" s="1"/>
  <c r="ALH18" i="5" s="1"/>
  <c r="ALI18" i="5" s="1"/>
  <c r="ALJ18" i="5" s="1"/>
  <c r="ALK18" i="5" s="1"/>
  <c r="ALL18" i="5" s="1"/>
  <c r="ALM18" i="5" s="1"/>
  <c r="ALN18" i="5" s="1"/>
  <c r="ALO18" i="5" s="1"/>
  <c r="ALP18" i="5" s="1"/>
  <c r="ALQ18" i="5" s="1"/>
  <c r="ALR18" i="5" s="1"/>
  <c r="ALS18" i="5" s="1"/>
  <c r="AJL18" i="5"/>
  <c r="AJM18" i="5" s="1"/>
  <c r="AJN18" i="5" s="1"/>
  <c r="AJO18" i="5" s="1"/>
  <c r="AJP18" i="5" s="1"/>
  <c r="AJQ18" i="5" s="1"/>
  <c r="AJR18" i="5" s="1"/>
  <c r="AJS18" i="5" s="1"/>
  <c r="AJT18" i="5" s="1"/>
  <c r="AJU18" i="5" s="1"/>
  <c r="AJV18" i="5" s="1"/>
  <c r="AJW18" i="5" s="1"/>
  <c r="AJX18" i="5" s="1"/>
  <c r="AJY18" i="5" s="1"/>
  <c r="AJZ18" i="5" s="1"/>
  <c r="AKA18" i="5" s="1"/>
  <c r="AKB18" i="5" s="1"/>
  <c r="AKC18" i="5" s="1"/>
  <c r="AKD18" i="5" s="1"/>
  <c r="AKE18" i="5" s="1"/>
  <c r="AKF18" i="5" s="1"/>
  <c r="AKG18" i="5" s="1"/>
  <c r="AKH18" i="5" s="1"/>
  <c r="AKI18" i="5" s="1"/>
  <c r="AKJ18" i="5" s="1"/>
  <c r="AKK18" i="5" s="1"/>
  <c r="AKL18" i="5" s="1"/>
  <c r="AKM18" i="5" s="1"/>
  <c r="AIF18" i="5"/>
  <c r="AIG18" i="5" s="1"/>
  <c r="AIH18" i="5" s="1"/>
  <c r="AII18" i="5" s="1"/>
  <c r="AIJ18" i="5" s="1"/>
  <c r="AIK18" i="5" s="1"/>
  <c r="AIL18" i="5" s="1"/>
  <c r="AIM18" i="5" s="1"/>
  <c r="AIN18" i="5" s="1"/>
  <c r="AIO18" i="5" s="1"/>
  <c r="AIP18" i="5" s="1"/>
  <c r="AIQ18" i="5" s="1"/>
  <c r="AIR18" i="5" s="1"/>
  <c r="AIS18" i="5" s="1"/>
  <c r="AIT18" i="5" s="1"/>
  <c r="AIU18" i="5" s="1"/>
  <c r="AIV18" i="5" s="1"/>
  <c r="AIW18" i="5" s="1"/>
  <c r="AIX18" i="5" s="1"/>
  <c r="AIY18" i="5" s="1"/>
  <c r="AIZ18" i="5" s="1"/>
  <c r="AJA18" i="5" s="1"/>
  <c r="AJB18" i="5" s="1"/>
  <c r="AJC18" i="5" s="1"/>
  <c r="AJD18" i="5" s="1"/>
  <c r="AJE18" i="5" s="1"/>
  <c r="AJF18" i="5" s="1"/>
  <c r="AJG18" i="5" s="1"/>
  <c r="AJH18" i="5" s="1"/>
  <c r="AJI18" i="5" s="1"/>
  <c r="AJJ18" i="5" s="1"/>
  <c r="AGZ18" i="5"/>
  <c r="AHA18" i="5" s="1"/>
  <c r="AHB18" i="5" s="1"/>
  <c r="AHC18" i="5" s="1"/>
  <c r="AHD18" i="5" s="1"/>
  <c r="AHE18" i="5" s="1"/>
  <c r="AHF18" i="5" s="1"/>
  <c r="AHG18" i="5" s="1"/>
  <c r="AHH18" i="5" s="1"/>
  <c r="AHI18" i="5" s="1"/>
  <c r="AHJ18" i="5" s="1"/>
  <c r="AHK18" i="5" s="1"/>
  <c r="AFU18" i="5"/>
  <c r="AFV18" i="5" s="1"/>
  <c r="AFW18" i="5" s="1"/>
  <c r="AFX18" i="5" s="1"/>
  <c r="AFY18" i="5" s="1"/>
  <c r="AFZ18" i="5" s="1"/>
  <c r="AGA18" i="5" s="1"/>
  <c r="AGB18" i="5" s="1"/>
  <c r="AGC18" i="5" s="1"/>
  <c r="AGD18" i="5" s="1"/>
  <c r="AEO18" i="5"/>
  <c r="AEP18" i="5" s="1"/>
  <c r="AEQ18" i="5" s="1"/>
  <c r="AER18" i="5" s="1"/>
  <c r="AES18" i="5" s="1"/>
  <c r="AET18" i="5" s="1"/>
  <c r="AEU18" i="5" s="1"/>
  <c r="ADJ18" i="5"/>
  <c r="ADK18" i="5" s="1"/>
  <c r="ADL18" i="5" s="1"/>
  <c r="ADM18" i="5" s="1"/>
  <c r="ADN18" i="5" s="1"/>
  <c r="ADO18" i="5" s="1"/>
  <c r="ADP18" i="5" s="1"/>
  <c r="ADQ18" i="5" s="1"/>
  <c r="ADR18" i="5" s="1"/>
  <c r="ADS18" i="5" s="1"/>
  <c r="ADT18" i="5" s="1"/>
  <c r="ADU18" i="5" s="1"/>
  <c r="ADV18" i="5" s="1"/>
  <c r="ADW18" i="5" s="1"/>
  <c r="ADX18" i="5" s="1"/>
  <c r="ADY18" i="5" s="1"/>
  <c r="ADZ18" i="5" s="1"/>
  <c r="AEA18" i="5" s="1"/>
  <c r="AEB18" i="5" s="1"/>
  <c r="AEC18" i="5" s="1"/>
  <c r="AED18" i="5" s="1"/>
  <c r="AEE18" i="5" s="1"/>
  <c r="AEF18" i="5" s="1"/>
  <c r="AEG18" i="5" s="1"/>
  <c r="AEH18" i="5" s="1"/>
  <c r="AEI18" i="5" s="1"/>
  <c r="AEJ18" i="5" s="1"/>
  <c r="AEK18" i="5" s="1"/>
  <c r="AEL18" i="5" s="1"/>
  <c r="AEM18" i="5" s="1"/>
  <c r="ACD18" i="5"/>
  <c r="ACE18" i="5" s="1"/>
  <c r="ACF18" i="5" s="1"/>
  <c r="ACG18" i="5" s="1"/>
  <c r="ACH18" i="5" s="1"/>
  <c r="ACI18" i="5" s="1"/>
  <c r="AAX18" i="5"/>
  <c r="AAY18" i="5" s="1"/>
  <c r="AAZ18" i="5" s="1"/>
  <c r="ABA18" i="5" s="1"/>
  <c r="ABB18" i="5" s="1"/>
  <c r="ABC18" i="5" s="1"/>
  <c r="ABD18" i="5" s="1"/>
  <c r="ABE18" i="5" s="1"/>
  <c r="ABF18" i="5" s="1"/>
  <c r="ABG18" i="5" s="1"/>
  <c r="ABH18" i="5" s="1"/>
  <c r="ABI18" i="5" s="1"/>
  <c r="ABJ18" i="5" s="1"/>
  <c r="ABK18" i="5" s="1"/>
  <c r="ABL18" i="5" s="1"/>
  <c r="ABM18" i="5" s="1"/>
  <c r="ABN18" i="5" s="1"/>
  <c r="ZS18" i="5"/>
  <c r="ZT18" i="5" s="1"/>
  <c r="ZU18" i="5" s="1"/>
  <c r="YM18" i="5"/>
  <c r="YN18" i="5" s="1"/>
  <c r="YO18" i="5" s="1"/>
  <c r="YP18" i="5" s="1"/>
  <c r="YQ18" i="5" s="1"/>
  <c r="YR18" i="5" s="1"/>
  <c r="YS18" i="5" s="1"/>
  <c r="YT18" i="5" s="1"/>
  <c r="YU18" i="5" s="1"/>
  <c r="YV18" i="5" s="1"/>
  <c r="YW18" i="5" s="1"/>
  <c r="XQ18" i="5"/>
  <c r="XR18" i="5" s="1"/>
  <c r="XS18" i="5" s="1"/>
  <c r="XT18" i="5" s="1"/>
  <c r="XU18" i="5" s="1"/>
  <c r="XV18" i="5" s="1"/>
  <c r="XW18" i="5" s="1"/>
  <c r="XX18" i="5" s="1"/>
  <c r="XY18" i="5" s="1"/>
  <c r="XZ18" i="5" s="1"/>
  <c r="YA18" i="5" s="1"/>
  <c r="YB18" i="5" s="1"/>
  <c r="YC18" i="5" s="1"/>
  <c r="YD18" i="5" s="1"/>
  <c r="YE18" i="5" s="1"/>
  <c r="YF18" i="5" s="1"/>
  <c r="YG18" i="5" s="1"/>
  <c r="YH18" i="5" s="1"/>
  <c r="YI18" i="5" s="1"/>
  <c r="YJ18" i="5" s="1"/>
  <c r="YK18" i="5" s="1"/>
  <c r="WC18" i="5"/>
  <c r="UZ18" i="5"/>
  <c r="TT18" i="5"/>
  <c r="SN18" i="5"/>
  <c r="RI18" i="5"/>
  <c r="QC18" i="5"/>
  <c r="OX18" i="5"/>
  <c r="NR18" i="5"/>
  <c r="LS18" i="5"/>
  <c r="IX18" i="5"/>
  <c r="FF18" i="5"/>
  <c r="CY18" i="5"/>
  <c r="DA18" i="5" s="1"/>
  <c r="DC18" i="5" s="1"/>
  <c r="DE18" i="5" s="1"/>
  <c r="DG18" i="5" s="1"/>
  <c r="DI18" i="5" s="1"/>
  <c r="DK18" i="5" s="1"/>
  <c r="DM18" i="5" s="1"/>
  <c r="DO18" i="5" s="1"/>
  <c r="DQ18" i="5" s="1"/>
  <c r="DS18" i="5" s="1"/>
  <c r="DU18" i="5" s="1"/>
  <c r="DW18" i="5" s="1"/>
  <c r="CX18" i="5"/>
  <c r="CZ18" i="5" s="1"/>
  <c r="DB18" i="5" s="1"/>
  <c r="DD18" i="5" s="1"/>
  <c r="DF18" i="5" s="1"/>
  <c r="DH18" i="5" s="1"/>
  <c r="DJ18" i="5" s="1"/>
  <c r="DL18" i="5" s="1"/>
  <c r="DN18" i="5" s="1"/>
  <c r="DP18" i="5" s="1"/>
  <c r="DR18" i="5" s="1"/>
  <c r="DT18" i="5" s="1"/>
  <c r="DV18" i="5" s="1"/>
  <c r="CB18" i="5"/>
  <c r="CC18" i="5" s="1"/>
  <c r="CD18" i="5" s="1"/>
  <c r="CE18" i="5" s="1"/>
  <c r="CF18" i="5" s="1"/>
  <c r="CG18" i="5" s="1"/>
  <c r="CH18" i="5" s="1"/>
  <c r="CI18" i="5" s="1"/>
  <c r="CJ18" i="5" s="1"/>
  <c r="CK18" i="5" s="1"/>
  <c r="CL18" i="5" s="1"/>
  <c r="CM18" i="5" s="1"/>
  <c r="CN18" i="5" s="1"/>
  <c r="CO18" i="5" s="1"/>
  <c r="CP18" i="5" s="1"/>
  <c r="CQ18" i="5" s="1"/>
  <c r="CR18" i="5" s="1"/>
  <c r="D18" i="5"/>
  <c r="AMI17" i="5"/>
  <c r="AMJ17" i="5" s="1"/>
  <c r="AMK17" i="5" s="1"/>
  <c r="AML17" i="5" s="1"/>
  <c r="AMM17" i="5" s="1"/>
  <c r="AMN17" i="5" s="1"/>
  <c r="AMO17" i="5" s="1"/>
  <c r="AMP17" i="5" s="1"/>
  <c r="AMQ17" i="5" s="1"/>
  <c r="AMR17" i="5" s="1"/>
  <c r="AMS17" i="5" s="1"/>
  <c r="AMT17" i="5" s="1"/>
  <c r="AMU17" i="5" s="1"/>
  <c r="AMV17" i="5" s="1"/>
  <c r="AMW17" i="5" s="1"/>
  <c r="AMX17" i="5" s="1"/>
  <c r="AMZ17" i="5" s="1"/>
  <c r="ANA17" i="5" s="1"/>
  <c r="ANB17" i="5" s="1"/>
  <c r="ANC17" i="5" s="1"/>
  <c r="AND17" i="5" s="1"/>
  <c r="ANE17" i="5" s="1"/>
  <c r="ANF17" i="5" s="1"/>
  <c r="ANG17" i="5" s="1"/>
  <c r="ANH17" i="5" s="1"/>
  <c r="ANI17" i="5" s="1"/>
  <c r="ANJ17" i="5" s="1"/>
  <c r="ANK17" i="5" s="1"/>
  <c r="ANL17" i="5" s="1"/>
  <c r="AKZ17" i="5"/>
  <c r="ALA17" i="5" s="1"/>
  <c r="ALB17" i="5" s="1"/>
  <c r="ALC17" i="5" s="1"/>
  <c r="ALD17" i="5" s="1"/>
  <c r="ALE17" i="5" s="1"/>
  <c r="ALF17" i="5" s="1"/>
  <c r="ALG17" i="5" s="1"/>
  <c r="ALH17" i="5" s="1"/>
  <c r="ALI17" i="5" s="1"/>
  <c r="ALJ17" i="5" s="1"/>
  <c r="ALK17" i="5" s="1"/>
  <c r="ALL17" i="5" s="1"/>
  <c r="ALM17" i="5" s="1"/>
  <c r="ALN17" i="5" s="1"/>
  <c r="ALO17" i="5" s="1"/>
  <c r="ALP17" i="5" s="1"/>
  <c r="ALQ17" i="5" s="1"/>
  <c r="ALR17" i="5" s="1"/>
  <c r="ALS17" i="5" s="1"/>
  <c r="ALU17" i="5" s="1"/>
  <c r="ALV17" i="5" s="1"/>
  <c r="ALW17" i="5" s="1"/>
  <c r="ALX17" i="5" s="1"/>
  <c r="ALY17" i="5" s="1"/>
  <c r="ALZ17" i="5" s="1"/>
  <c r="AMA17" i="5" s="1"/>
  <c r="AMB17" i="5" s="1"/>
  <c r="AMC17" i="5" s="1"/>
  <c r="AMD17" i="5" s="1"/>
  <c r="AME17" i="5" s="1"/>
  <c r="AMF17" i="5" s="1"/>
  <c r="AMG17" i="5" s="1"/>
  <c r="AKM17" i="5"/>
  <c r="AKO17" i="5" s="1"/>
  <c r="AKP17" i="5" s="1"/>
  <c r="AKQ17" i="5" s="1"/>
  <c r="AKR17" i="5" s="1"/>
  <c r="AKS17" i="5" s="1"/>
  <c r="AKT17" i="5" s="1"/>
  <c r="AKU17" i="5" s="1"/>
  <c r="AKV17" i="5" s="1"/>
  <c r="AKW17" i="5" s="1"/>
  <c r="AKX17" i="5" s="1"/>
  <c r="AIY17" i="5"/>
  <c r="AIZ17" i="5" s="1"/>
  <c r="AJA17" i="5" s="1"/>
  <c r="AJB17" i="5" s="1"/>
  <c r="AJC17" i="5" s="1"/>
  <c r="AJD17" i="5" s="1"/>
  <c r="AJE17" i="5" s="1"/>
  <c r="AJF17" i="5" s="1"/>
  <c r="AJG17" i="5" s="1"/>
  <c r="AJH17" i="5" s="1"/>
  <c r="AJI17" i="5" s="1"/>
  <c r="AJJ17" i="5" s="1"/>
  <c r="AHL17" i="5"/>
  <c r="AHM17" i="5" s="1"/>
  <c r="AHN17" i="5" s="1"/>
  <c r="AHO17" i="5" s="1"/>
  <c r="AHP17" i="5" s="1"/>
  <c r="AHQ17" i="5" s="1"/>
  <c r="AHR17" i="5" s="1"/>
  <c r="AHS17" i="5" s="1"/>
  <c r="AHT17" i="5" s="1"/>
  <c r="AHU17" i="5" s="1"/>
  <c r="AHV17" i="5" s="1"/>
  <c r="AHW17" i="5" s="1"/>
  <c r="AHX17" i="5" s="1"/>
  <c r="AHY17" i="5" s="1"/>
  <c r="AHZ17" i="5" s="1"/>
  <c r="AIA17" i="5" s="1"/>
  <c r="AIB17" i="5" s="1"/>
  <c r="AIC17" i="5" s="1"/>
  <c r="AID17" i="5" s="1"/>
  <c r="AIF17" i="5" s="1"/>
  <c r="AIG17" i="5" s="1"/>
  <c r="AIH17" i="5" s="1"/>
  <c r="AII17" i="5" s="1"/>
  <c r="AIJ17" i="5" s="1"/>
  <c r="AIK17" i="5" s="1"/>
  <c r="AIL17" i="5" s="1"/>
  <c r="AIM17" i="5" s="1"/>
  <c r="AIN17" i="5" s="1"/>
  <c r="AIO17" i="5" s="1"/>
  <c r="AIP17" i="5" s="1"/>
  <c r="AIQ17" i="5" s="1"/>
  <c r="AIR17" i="5" s="1"/>
  <c r="AIS17" i="5" s="1"/>
  <c r="AIT17" i="5" s="1"/>
  <c r="AIU17" i="5" s="1"/>
  <c r="AIV17" i="5" s="1"/>
  <c r="AIW17" i="5" s="1"/>
  <c r="AGE17" i="5"/>
  <c r="AEV17" i="5"/>
  <c r="ADW17" i="5"/>
  <c r="ACJ17" i="5"/>
  <c r="ABO17" i="5"/>
  <c r="ZV17" i="5"/>
  <c r="ZI17" i="5"/>
  <c r="ZJ17" i="5" s="1"/>
  <c r="ZK17" i="5" s="1"/>
  <c r="ZL17" i="5" s="1"/>
  <c r="ZM17" i="5" s="1"/>
  <c r="ZN17" i="5" s="1"/>
  <c r="ZO17" i="5" s="1"/>
  <c r="ZP17" i="5" s="1"/>
  <c r="ZQ17" i="5" s="1"/>
  <c r="YX17" i="5"/>
  <c r="XQ17" i="5"/>
  <c r="VG17" i="5"/>
  <c r="VH17" i="5" s="1"/>
  <c r="VI17" i="5" s="1"/>
  <c r="VJ17" i="5" s="1"/>
  <c r="VK17" i="5" s="1"/>
  <c r="VL17" i="5" s="1"/>
  <c r="VM17" i="5" s="1"/>
  <c r="VN17" i="5" s="1"/>
  <c r="VO17" i="5" s="1"/>
  <c r="VP17" i="5" s="1"/>
  <c r="VQ17" i="5" s="1"/>
  <c r="VR17" i="5" s="1"/>
  <c r="VS17" i="5" s="1"/>
  <c r="VT17" i="5" s="1"/>
  <c r="VU17" i="5" s="1"/>
  <c r="VV17" i="5" s="1"/>
  <c r="VW17" i="5" s="1"/>
  <c r="VX17" i="5" s="1"/>
  <c r="VY17" i="5" s="1"/>
  <c r="VZ17" i="5" s="1"/>
  <c r="WB17" i="5" s="1"/>
  <c r="WC17" i="5" s="1"/>
  <c r="WD17" i="5" s="1"/>
  <c r="WE17" i="5" s="1"/>
  <c r="WF17" i="5" s="1"/>
  <c r="WG17" i="5" s="1"/>
  <c r="WH17" i="5" s="1"/>
  <c r="WI17" i="5" s="1"/>
  <c r="TZ17" i="5"/>
  <c r="SS17" i="5"/>
  <c r="RS17" i="5"/>
  <c r="RT17" i="5" s="1"/>
  <c r="RU17" i="5" s="1"/>
  <c r="RV17" i="5" s="1"/>
  <c r="RW17" i="5" s="1"/>
  <c r="RX17" i="5" s="1"/>
  <c r="RY17" i="5" s="1"/>
  <c r="RZ17" i="5" s="1"/>
  <c r="SA17" i="5" s="1"/>
  <c r="SB17" i="5" s="1"/>
  <c r="SC17" i="5" s="1"/>
  <c r="SD17" i="5" s="1"/>
  <c r="SE17" i="5" s="1"/>
  <c r="SF17" i="5" s="1"/>
  <c r="SG17" i="5" s="1"/>
  <c r="SH17" i="5" s="1"/>
  <c r="SI17" i="5" s="1"/>
  <c r="SJ17" i="5" s="1"/>
  <c r="SK17" i="5" s="1"/>
  <c r="QI17" i="5"/>
  <c r="QJ17" i="5" s="1"/>
  <c r="QK17" i="5" s="1"/>
  <c r="QL17" i="5" s="1"/>
  <c r="QM17" i="5" s="1"/>
  <c r="QN17" i="5" s="1"/>
  <c r="QO17" i="5" s="1"/>
  <c r="QP17" i="5" s="1"/>
  <c r="QQ17" i="5" s="1"/>
  <c r="QR17" i="5" s="1"/>
  <c r="QS17" i="5" s="1"/>
  <c r="QT17" i="5" s="1"/>
  <c r="QU17" i="5" s="1"/>
  <c r="QV17" i="5" s="1"/>
  <c r="QW17" i="5" s="1"/>
  <c r="QX17" i="5" s="1"/>
  <c r="QY17" i="5" s="1"/>
  <c r="QZ17" i="5" s="1"/>
  <c r="RA17" i="5" s="1"/>
  <c r="RB17" i="5" s="1"/>
  <c r="RC17" i="5" s="1"/>
  <c r="RD17" i="5" s="1"/>
  <c r="RE17" i="5" s="1"/>
  <c r="RF17" i="5" s="1"/>
  <c r="PI17" i="5"/>
  <c r="PJ17" i="5" s="1"/>
  <c r="PK17" i="5" s="1"/>
  <c r="PL17" i="5" s="1"/>
  <c r="PM17" i="5" s="1"/>
  <c r="PN17" i="5" s="1"/>
  <c r="PO17" i="5" s="1"/>
  <c r="PP17" i="5" s="1"/>
  <c r="PQ17" i="5" s="1"/>
  <c r="PR17" i="5" s="1"/>
  <c r="PS17" i="5" s="1"/>
  <c r="PT17" i="5" s="1"/>
  <c r="PU17" i="5" s="1"/>
  <c r="PV17" i="5" s="1"/>
  <c r="PW17" i="5" s="1"/>
  <c r="PX17" i="5" s="1"/>
  <c r="PY17" i="5" s="1"/>
  <c r="PZ17" i="5" s="1"/>
  <c r="NI17" i="5"/>
  <c r="NJ17" i="5" s="1"/>
  <c r="NK17" i="5" s="1"/>
  <c r="NL17" i="5" s="1"/>
  <c r="NM17" i="5" s="1"/>
  <c r="NN17" i="5" s="1"/>
  <c r="NO17" i="5" s="1"/>
  <c r="NQ17" i="5" s="1"/>
  <c r="LS17" i="5"/>
  <c r="LT17" i="5" s="1"/>
  <c r="LU17" i="5" s="1"/>
  <c r="LV17" i="5" s="1"/>
  <c r="LW17" i="5" s="1"/>
  <c r="LX17" i="5" s="1"/>
  <c r="LY17" i="5" s="1"/>
  <c r="LZ17" i="5" s="1"/>
  <c r="MA17" i="5" s="1"/>
  <c r="MB17" i="5" s="1"/>
  <c r="MC17" i="5" s="1"/>
  <c r="MD17" i="5" s="1"/>
  <c r="ME17" i="5" s="1"/>
  <c r="MF17" i="5" s="1"/>
  <c r="MG17" i="5" s="1"/>
  <c r="MH17" i="5" s="1"/>
  <c r="MI17" i="5" s="1"/>
  <c r="IX17" i="5"/>
  <c r="IY17" i="5" s="1"/>
  <c r="IZ17" i="5" s="1"/>
  <c r="JA17" i="5" s="1"/>
  <c r="JB17" i="5" s="1"/>
  <c r="JC17" i="5" s="1"/>
  <c r="JD17" i="5" s="1"/>
  <c r="JE17" i="5" s="1"/>
  <c r="JF17" i="5" s="1"/>
  <c r="JG17" i="5" s="1"/>
  <c r="JH17" i="5" s="1"/>
  <c r="JI17" i="5" s="1"/>
  <c r="JJ17" i="5" s="1"/>
  <c r="JK17" i="5" s="1"/>
  <c r="JL17" i="5" s="1"/>
  <c r="JM17" i="5" s="1"/>
  <c r="JN17" i="5" s="1"/>
  <c r="JO17" i="5" s="1"/>
  <c r="JP17" i="5" s="1"/>
  <c r="JQ17" i="5" s="1"/>
  <c r="JR17" i="5" s="1"/>
  <c r="JS17" i="5" s="1"/>
  <c r="JT17" i="5" s="1"/>
  <c r="JU17" i="5" s="1"/>
  <c r="JV17" i="5" s="1"/>
  <c r="JW17" i="5" s="1"/>
  <c r="JX17" i="5" s="1"/>
  <c r="EJ17" i="5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EV17" i="5" s="1"/>
  <c r="EW17" i="5" s="1"/>
  <c r="EX17" i="5" s="1"/>
  <c r="EY17" i="5" s="1"/>
  <c r="EZ17" i="5" s="1"/>
  <c r="FA17" i="5" s="1"/>
  <c r="FB17" i="5" s="1"/>
  <c r="FC17" i="5" s="1"/>
  <c r="FE17" i="5" s="1"/>
  <c r="CY17" i="5"/>
  <c r="DA17" i="5" s="1"/>
  <c r="DC17" i="5" s="1"/>
  <c r="DE17" i="5" s="1"/>
  <c r="DG17" i="5" s="1"/>
  <c r="DI17" i="5" s="1"/>
  <c r="DK17" i="5" s="1"/>
  <c r="DM17" i="5" s="1"/>
  <c r="DO17" i="5" s="1"/>
  <c r="DQ17" i="5" s="1"/>
  <c r="DS17" i="5" s="1"/>
  <c r="DU17" i="5" s="1"/>
  <c r="DW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CX17" i="5"/>
  <c r="CZ17" i="5" s="1"/>
  <c r="DB17" i="5" s="1"/>
  <c r="DD17" i="5" s="1"/>
  <c r="DF17" i="5" s="1"/>
  <c r="DH17" i="5" s="1"/>
  <c r="DJ17" i="5" s="1"/>
  <c r="DL17" i="5" s="1"/>
  <c r="DN17" i="5" s="1"/>
  <c r="DP17" i="5" s="1"/>
  <c r="DR17" i="5" s="1"/>
  <c r="DT17" i="5" s="1"/>
  <c r="DV17" i="5" s="1"/>
  <c r="CB17" i="5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D17" i="5"/>
  <c r="ANM16" i="5"/>
  <c r="ANN16" i="5" s="1"/>
  <c r="ANO16" i="5" s="1"/>
  <c r="ANP16" i="5" s="1"/>
  <c r="ANQ16" i="5" s="1"/>
  <c r="ANR16" i="5" s="1"/>
  <c r="ANS16" i="5" s="1"/>
  <c r="ANT16" i="5" s="1"/>
  <c r="ANU16" i="5" s="1"/>
  <c r="ANV16" i="5" s="1"/>
  <c r="ANW16" i="5" s="1"/>
  <c r="ANX16" i="5" s="1"/>
  <c r="ANY16" i="5" s="1"/>
  <c r="ANZ16" i="5" s="1"/>
  <c r="AOA16" i="5" s="1"/>
  <c r="AOB16" i="5" s="1"/>
  <c r="AOC16" i="5" s="1"/>
  <c r="AMI16" i="5"/>
  <c r="AMJ16" i="5" s="1"/>
  <c r="AMK16" i="5" s="1"/>
  <c r="AML16" i="5" s="1"/>
  <c r="AMM16" i="5" s="1"/>
  <c r="AMN16" i="5" s="1"/>
  <c r="AMO16" i="5" s="1"/>
  <c r="AMP16" i="5" s="1"/>
  <c r="AMQ16" i="5" s="1"/>
  <c r="AMR16" i="5" s="1"/>
  <c r="AMS16" i="5" s="1"/>
  <c r="AMT16" i="5" s="1"/>
  <c r="AMU16" i="5" s="1"/>
  <c r="AMV16" i="5" s="1"/>
  <c r="AMW16" i="5" s="1"/>
  <c r="AMX16" i="5" s="1"/>
  <c r="AKZ16" i="5"/>
  <c r="ALA16" i="5" s="1"/>
  <c r="ALB16" i="5" s="1"/>
  <c r="ALC16" i="5" s="1"/>
  <c r="ALD16" i="5" s="1"/>
  <c r="ALE16" i="5" s="1"/>
  <c r="ALF16" i="5" s="1"/>
  <c r="ALG16" i="5" s="1"/>
  <c r="ALH16" i="5" s="1"/>
  <c r="ALI16" i="5" s="1"/>
  <c r="ALJ16" i="5" s="1"/>
  <c r="ALK16" i="5" s="1"/>
  <c r="ALL16" i="5" s="1"/>
  <c r="ALM16" i="5" s="1"/>
  <c r="ALN16" i="5" s="1"/>
  <c r="ALO16" i="5" s="1"/>
  <c r="ALP16" i="5" s="1"/>
  <c r="ALQ16" i="5" s="1"/>
  <c r="ALR16" i="5" s="1"/>
  <c r="ALS16" i="5" s="1"/>
  <c r="AKM16" i="5"/>
  <c r="AIY16" i="5"/>
  <c r="AIZ16" i="5" s="1"/>
  <c r="AJA16" i="5" s="1"/>
  <c r="AJB16" i="5" s="1"/>
  <c r="AJC16" i="5" s="1"/>
  <c r="AJD16" i="5" s="1"/>
  <c r="AJE16" i="5" s="1"/>
  <c r="AJF16" i="5" s="1"/>
  <c r="AJG16" i="5" s="1"/>
  <c r="AJH16" i="5" s="1"/>
  <c r="AJI16" i="5" s="1"/>
  <c r="AJJ16" i="5" s="1"/>
  <c r="AHK16" i="5"/>
  <c r="AHL16" i="5" s="1"/>
  <c r="AGE16" i="5"/>
  <c r="AGF16" i="5" s="1"/>
  <c r="AGG16" i="5" s="1"/>
  <c r="AGH16" i="5" s="1"/>
  <c r="AGI16" i="5" s="1"/>
  <c r="AGJ16" i="5" s="1"/>
  <c r="AGK16" i="5" s="1"/>
  <c r="AGL16" i="5" s="1"/>
  <c r="AGM16" i="5" s="1"/>
  <c r="AGN16" i="5" s="1"/>
  <c r="AGO16" i="5" s="1"/>
  <c r="AGP16" i="5" s="1"/>
  <c r="AGQ16" i="5" s="1"/>
  <c r="AGR16" i="5" s="1"/>
  <c r="AGS16" i="5" s="1"/>
  <c r="AGT16" i="5" s="1"/>
  <c r="AGU16" i="5" s="1"/>
  <c r="AGV16" i="5" s="1"/>
  <c r="AGW16" i="5" s="1"/>
  <c r="AGX16" i="5" s="1"/>
  <c r="AEV16" i="5"/>
  <c r="AEW16" i="5" s="1"/>
  <c r="AEX16" i="5" s="1"/>
  <c r="AEY16" i="5" s="1"/>
  <c r="AEZ16" i="5" s="1"/>
  <c r="AFA16" i="5" s="1"/>
  <c r="AFB16" i="5" s="1"/>
  <c r="AFC16" i="5" s="1"/>
  <c r="AFD16" i="5" s="1"/>
  <c r="AFE16" i="5" s="1"/>
  <c r="AFF16" i="5" s="1"/>
  <c r="AFG16" i="5" s="1"/>
  <c r="AFH16" i="5" s="1"/>
  <c r="AFI16" i="5" s="1"/>
  <c r="AFJ16" i="5" s="1"/>
  <c r="AFK16" i="5" s="1"/>
  <c r="AFL16" i="5" s="1"/>
  <c r="AFM16" i="5" s="1"/>
  <c r="AFN16" i="5" s="1"/>
  <c r="AFO16" i="5" s="1"/>
  <c r="AFP16" i="5" s="1"/>
  <c r="AFQ16" i="5" s="1"/>
  <c r="AFR16" i="5" s="1"/>
  <c r="AFS16" i="5" s="1"/>
  <c r="ADX16" i="5"/>
  <c r="ADY16" i="5" s="1"/>
  <c r="ADZ16" i="5" s="1"/>
  <c r="AEA16" i="5" s="1"/>
  <c r="AEB16" i="5" s="1"/>
  <c r="AEC16" i="5" s="1"/>
  <c r="AED16" i="5" s="1"/>
  <c r="AEE16" i="5" s="1"/>
  <c r="AEF16" i="5" s="1"/>
  <c r="AEG16" i="5" s="1"/>
  <c r="AEH16" i="5" s="1"/>
  <c r="AEI16" i="5" s="1"/>
  <c r="AEJ16" i="5" s="1"/>
  <c r="AEK16" i="5" s="1"/>
  <c r="AEL16" i="5" s="1"/>
  <c r="AEM16" i="5" s="1"/>
  <c r="ACJ16" i="5"/>
  <c r="ACK16" i="5" s="1"/>
  <c r="ACL16" i="5" s="1"/>
  <c r="ACM16" i="5" s="1"/>
  <c r="ACN16" i="5" s="1"/>
  <c r="ACO16" i="5" s="1"/>
  <c r="ACP16" i="5" s="1"/>
  <c r="ACQ16" i="5" s="1"/>
  <c r="ACR16" i="5" s="1"/>
  <c r="ACS16" i="5" s="1"/>
  <c r="ACT16" i="5" s="1"/>
  <c r="ACU16" i="5" s="1"/>
  <c r="ACV16" i="5" s="1"/>
  <c r="ACW16" i="5" s="1"/>
  <c r="ACX16" i="5" s="1"/>
  <c r="ACY16" i="5" s="1"/>
  <c r="ACZ16" i="5" s="1"/>
  <c r="ADA16" i="5" s="1"/>
  <c r="ADB16" i="5" s="1"/>
  <c r="ADC16" i="5" s="1"/>
  <c r="ADD16" i="5" s="1"/>
  <c r="ADE16" i="5" s="1"/>
  <c r="ADF16" i="5" s="1"/>
  <c r="ADG16" i="5" s="1"/>
  <c r="ADH16" i="5" s="1"/>
  <c r="ABO16" i="5"/>
  <c r="ABP16" i="5" s="1"/>
  <c r="ABQ16" i="5" s="1"/>
  <c r="ABR16" i="5" s="1"/>
  <c r="ABS16" i="5" s="1"/>
  <c r="ABT16" i="5" s="1"/>
  <c r="ABU16" i="5" s="1"/>
  <c r="ABV16" i="5" s="1"/>
  <c r="ABW16" i="5" s="1"/>
  <c r="ABX16" i="5" s="1"/>
  <c r="ABY16" i="5" s="1"/>
  <c r="ABZ16" i="5" s="1"/>
  <c r="ACA16" i="5" s="1"/>
  <c r="ACB16" i="5" s="1"/>
  <c r="ZV16" i="5"/>
  <c r="ZW16" i="5" s="1"/>
  <c r="ZX16" i="5" s="1"/>
  <c r="ZY16" i="5" s="1"/>
  <c r="ZZ16" i="5" s="1"/>
  <c r="AAA16" i="5" s="1"/>
  <c r="AAB16" i="5" s="1"/>
  <c r="AAC16" i="5" s="1"/>
  <c r="AAD16" i="5" s="1"/>
  <c r="AAE16" i="5" s="1"/>
  <c r="AAF16" i="5" s="1"/>
  <c r="AAG16" i="5" s="1"/>
  <c r="AAH16" i="5" s="1"/>
  <c r="AAI16" i="5" s="1"/>
  <c r="AAJ16" i="5" s="1"/>
  <c r="AAK16" i="5" s="1"/>
  <c r="AAL16" i="5" s="1"/>
  <c r="AAM16" i="5" s="1"/>
  <c r="AAN16" i="5" s="1"/>
  <c r="AAO16" i="5" s="1"/>
  <c r="AAP16" i="5" s="1"/>
  <c r="AAQ16" i="5" s="1"/>
  <c r="AAR16" i="5" s="1"/>
  <c r="AAS16" i="5" s="1"/>
  <c r="AAT16" i="5" s="1"/>
  <c r="AAU16" i="5" s="1"/>
  <c r="AAV16" i="5" s="1"/>
  <c r="YX16" i="5"/>
  <c r="YY16" i="5" s="1"/>
  <c r="YZ16" i="5" s="1"/>
  <c r="ZA16" i="5" s="1"/>
  <c r="ZB16" i="5" s="1"/>
  <c r="ZC16" i="5" s="1"/>
  <c r="ZD16" i="5" s="1"/>
  <c r="ZE16" i="5" s="1"/>
  <c r="ZF16" i="5" s="1"/>
  <c r="ZG16" i="5" s="1"/>
  <c r="ZH16" i="5" s="1"/>
  <c r="ZI16" i="5" s="1"/>
  <c r="ZJ16" i="5" s="1"/>
  <c r="ZK16" i="5" s="1"/>
  <c r="ZL16" i="5" s="1"/>
  <c r="ZM16" i="5" s="1"/>
  <c r="ZN16" i="5" s="1"/>
  <c r="ZO16" i="5" s="1"/>
  <c r="ZP16" i="5" s="1"/>
  <c r="ZQ16" i="5" s="1"/>
  <c r="XQ16" i="5"/>
  <c r="XR16" i="5" s="1"/>
  <c r="XS16" i="5" s="1"/>
  <c r="XT16" i="5" s="1"/>
  <c r="XU16" i="5" s="1"/>
  <c r="XV16" i="5" s="1"/>
  <c r="XW16" i="5" s="1"/>
  <c r="XX16" i="5" s="1"/>
  <c r="XY16" i="5" s="1"/>
  <c r="XZ16" i="5" s="1"/>
  <c r="YA16" i="5" s="1"/>
  <c r="YB16" i="5" s="1"/>
  <c r="YC16" i="5" s="1"/>
  <c r="YD16" i="5" s="1"/>
  <c r="YE16" i="5" s="1"/>
  <c r="YF16" i="5" s="1"/>
  <c r="YG16" i="5" s="1"/>
  <c r="YH16" i="5" s="1"/>
  <c r="YI16" i="5" s="1"/>
  <c r="YJ16" i="5" s="1"/>
  <c r="YK16" i="5" s="1"/>
  <c r="WK16" i="5"/>
  <c r="WL16" i="5" s="1"/>
  <c r="VG16" i="5"/>
  <c r="VH16" i="5" s="1"/>
  <c r="VI16" i="5" s="1"/>
  <c r="VJ16" i="5" s="1"/>
  <c r="VK16" i="5" s="1"/>
  <c r="VL16" i="5" s="1"/>
  <c r="VM16" i="5" s="1"/>
  <c r="VN16" i="5" s="1"/>
  <c r="VO16" i="5" s="1"/>
  <c r="VP16" i="5" s="1"/>
  <c r="VQ16" i="5" s="1"/>
  <c r="VR16" i="5" s="1"/>
  <c r="VS16" i="5" s="1"/>
  <c r="VT16" i="5" s="1"/>
  <c r="VU16" i="5" s="1"/>
  <c r="VV16" i="5" s="1"/>
  <c r="VW16" i="5" s="1"/>
  <c r="VX16" i="5" s="1"/>
  <c r="VY16" i="5" s="1"/>
  <c r="VZ16" i="5" s="1"/>
  <c r="TZ16" i="5"/>
  <c r="UA16" i="5" s="1"/>
  <c r="UB16" i="5" s="1"/>
  <c r="UC16" i="5" s="1"/>
  <c r="UD16" i="5" s="1"/>
  <c r="UE16" i="5" s="1"/>
  <c r="UF16" i="5" s="1"/>
  <c r="UG16" i="5" s="1"/>
  <c r="UH16" i="5" s="1"/>
  <c r="UI16" i="5" s="1"/>
  <c r="UJ16" i="5" s="1"/>
  <c r="UK16" i="5" s="1"/>
  <c r="UL16" i="5" s="1"/>
  <c r="UM16" i="5" s="1"/>
  <c r="UN16" i="5" s="1"/>
  <c r="UO16" i="5" s="1"/>
  <c r="UP16" i="5" s="1"/>
  <c r="UQ16" i="5" s="1"/>
  <c r="UR16" i="5" s="1"/>
  <c r="US16" i="5" s="1"/>
  <c r="UT16" i="5" s="1"/>
  <c r="UU16" i="5" s="1"/>
  <c r="UV16" i="5" s="1"/>
  <c r="UW16" i="5" s="1"/>
  <c r="UY16" i="5" s="1"/>
  <c r="UZ16" i="5" s="1"/>
  <c r="VA16" i="5" s="1"/>
  <c r="VB16" i="5" s="1"/>
  <c r="VC16" i="5" s="1"/>
  <c r="VD16" i="5" s="1"/>
  <c r="SS16" i="5"/>
  <c r="ST16" i="5" s="1"/>
  <c r="SU16" i="5" s="1"/>
  <c r="SV16" i="5" s="1"/>
  <c r="SW16" i="5" s="1"/>
  <c r="SX16" i="5" s="1"/>
  <c r="SY16" i="5" s="1"/>
  <c r="SZ16" i="5" s="1"/>
  <c r="TA16" i="5" s="1"/>
  <c r="TB16" i="5" s="1"/>
  <c r="TC16" i="5" s="1"/>
  <c r="TD16" i="5" s="1"/>
  <c r="TE16" i="5" s="1"/>
  <c r="TF16" i="5" s="1"/>
  <c r="TG16" i="5" s="1"/>
  <c r="TH16" i="5" s="1"/>
  <c r="TI16" i="5" s="1"/>
  <c r="TJ16" i="5" s="1"/>
  <c r="TK16" i="5" s="1"/>
  <c r="TL16" i="5" s="1"/>
  <c r="TM16" i="5" s="1"/>
  <c r="TN16" i="5" s="1"/>
  <c r="TO16" i="5" s="1"/>
  <c r="TP16" i="5" s="1"/>
  <c r="TQ16" i="5" s="1"/>
  <c r="RS16" i="5"/>
  <c r="RT16" i="5" s="1"/>
  <c r="RU16" i="5" s="1"/>
  <c r="RV16" i="5" s="1"/>
  <c r="RW16" i="5" s="1"/>
  <c r="RX16" i="5" s="1"/>
  <c r="RY16" i="5" s="1"/>
  <c r="RZ16" i="5" s="1"/>
  <c r="SA16" i="5" s="1"/>
  <c r="SB16" i="5" s="1"/>
  <c r="SC16" i="5" s="1"/>
  <c r="SD16" i="5" s="1"/>
  <c r="SE16" i="5" s="1"/>
  <c r="SF16" i="5" s="1"/>
  <c r="SG16" i="5" s="1"/>
  <c r="SH16" i="5" s="1"/>
  <c r="SI16" i="5" s="1"/>
  <c r="SJ16" i="5" s="1"/>
  <c r="SK16" i="5" s="1"/>
  <c r="QI16" i="5"/>
  <c r="QJ16" i="5" s="1"/>
  <c r="QK16" i="5" s="1"/>
  <c r="QL16" i="5" s="1"/>
  <c r="QM16" i="5" s="1"/>
  <c r="QN16" i="5" s="1"/>
  <c r="QO16" i="5" s="1"/>
  <c r="QP16" i="5" s="1"/>
  <c r="QQ16" i="5" s="1"/>
  <c r="QR16" i="5" s="1"/>
  <c r="QS16" i="5" s="1"/>
  <c r="QT16" i="5" s="1"/>
  <c r="QU16" i="5" s="1"/>
  <c r="QV16" i="5" s="1"/>
  <c r="QW16" i="5" s="1"/>
  <c r="QX16" i="5" s="1"/>
  <c r="QY16" i="5" s="1"/>
  <c r="QZ16" i="5" s="1"/>
  <c r="RA16" i="5" s="1"/>
  <c r="RB16" i="5" s="1"/>
  <c r="RC16" i="5" s="1"/>
  <c r="RD16" i="5" s="1"/>
  <c r="RE16" i="5" s="1"/>
  <c r="RF16" i="5" s="1"/>
  <c r="RH16" i="5" s="1"/>
  <c r="RI16" i="5" s="1"/>
  <c r="RJ16" i="5" s="1"/>
  <c r="RK16" i="5" s="1"/>
  <c r="RL16" i="5" s="1"/>
  <c r="RM16" i="5" s="1"/>
  <c r="RN16" i="5" s="1"/>
  <c r="RO16" i="5" s="1"/>
  <c r="RP16" i="5" s="1"/>
  <c r="RQ16" i="5" s="1"/>
  <c r="PI16" i="5"/>
  <c r="PJ16" i="5" s="1"/>
  <c r="PK16" i="5" s="1"/>
  <c r="PL16" i="5" s="1"/>
  <c r="PM16" i="5" s="1"/>
  <c r="PN16" i="5" s="1"/>
  <c r="PO16" i="5" s="1"/>
  <c r="PP16" i="5" s="1"/>
  <c r="PQ16" i="5" s="1"/>
  <c r="PR16" i="5" s="1"/>
  <c r="PS16" i="5" s="1"/>
  <c r="PT16" i="5" s="1"/>
  <c r="PU16" i="5" s="1"/>
  <c r="PV16" i="5" s="1"/>
  <c r="PW16" i="5" s="1"/>
  <c r="PX16" i="5" s="1"/>
  <c r="PY16" i="5" s="1"/>
  <c r="PZ16" i="5" s="1"/>
  <c r="NI16" i="5"/>
  <c r="NJ16" i="5" s="1"/>
  <c r="NK16" i="5" s="1"/>
  <c r="NL16" i="5" s="1"/>
  <c r="NM16" i="5" s="1"/>
  <c r="NN16" i="5" s="1"/>
  <c r="NO16" i="5" s="1"/>
  <c r="NQ16" i="5" s="1"/>
  <c r="NR16" i="5" s="1"/>
  <c r="NS16" i="5" s="1"/>
  <c r="NT16" i="5" s="1"/>
  <c r="NU16" i="5" s="1"/>
  <c r="LS16" i="5"/>
  <c r="LT16" i="5" s="1"/>
  <c r="LU16" i="5" s="1"/>
  <c r="LV16" i="5" s="1"/>
  <c r="LW16" i="5" s="1"/>
  <c r="LX16" i="5" s="1"/>
  <c r="LY16" i="5" s="1"/>
  <c r="LZ16" i="5" s="1"/>
  <c r="MA16" i="5" s="1"/>
  <c r="MB16" i="5" s="1"/>
  <c r="MC16" i="5" s="1"/>
  <c r="MD16" i="5" s="1"/>
  <c r="ME16" i="5" s="1"/>
  <c r="MF16" i="5" s="1"/>
  <c r="MG16" i="5" s="1"/>
  <c r="MH16" i="5" s="1"/>
  <c r="MI16" i="5" s="1"/>
  <c r="KH16" i="5"/>
  <c r="KI16" i="5" s="1"/>
  <c r="KJ16" i="5" s="1"/>
  <c r="KK16" i="5" s="1"/>
  <c r="KL16" i="5" s="1"/>
  <c r="KM16" i="5" s="1"/>
  <c r="KN16" i="5" s="1"/>
  <c r="KO16" i="5" s="1"/>
  <c r="KP16" i="5" s="1"/>
  <c r="KQ16" i="5" s="1"/>
  <c r="KR16" i="5" s="1"/>
  <c r="KS16" i="5" s="1"/>
  <c r="KT16" i="5" s="1"/>
  <c r="KU16" i="5" s="1"/>
  <c r="KV16" i="5" s="1"/>
  <c r="KW16" i="5" s="1"/>
  <c r="KX16" i="5" s="1"/>
  <c r="KY16" i="5" s="1"/>
  <c r="KZ16" i="5" s="1"/>
  <c r="LA16" i="5" s="1"/>
  <c r="LB16" i="5" s="1"/>
  <c r="LC16" i="5" s="1"/>
  <c r="LD16" i="5" s="1"/>
  <c r="LF16" i="5" s="1"/>
  <c r="LG16" i="5" s="1"/>
  <c r="LH16" i="5" s="1"/>
  <c r="LI16" i="5" s="1"/>
  <c r="LJ16" i="5" s="1"/>
  <c r="LK16" i="5" s="1"/>
  <c r="LL16" i="5" s="1"/>
  <c r="LM16" i="5" s="1"/>
  <c r="LN16" i="5" s="1"/>
  <c r="LO16" i="5" s="1"/>
  <c r="LP16" i="5" s="1"/>
  <c r="LQ16" i="5" s="1"/>
  <c r="IX16" i="5"/>
  <c r="IY16" i="5" s="1"/>
  <c r="IZ16" i="5" s="1"/>
  <c r="JA16" i="5" s="1"/>
  <c r="JB16" i="5" s="1"/>
  <c r="JC16" i="5" s="1"/>
  <c r="JD16" i="5" s="1"/>
  <c r="JE16" i="5" s="1"/>
  <c r="JF16" i="5" s="1"/>
  <c r="JG16" i="5" s="1"/>
  <c r="JH16" i="5" s="1"/>
  <c r="JI16" i="5" s="1"/>
  <c r="JJ16" i="5" s="1"/>
  <c r="JK16" i="5" s="1"/>
  <c r="JL16" i="5" s="1"/>
  <c r="JM16" i="5" s="1"/>
  <c r="JN16" i="5" s="1"/>
  <c r="JO16" i="5" s="1"/>
  <c r="JP16" i="5" s="1"/>
  <c r="JQ16" i="5" s="1"/>
  <c r="JR16" i="5" s="1"/>
  <c r="JS16" i="5" s="1"/>
  <c r="JT16" i="5" s="1"/>
  <c r="JU16" i="5" s="1"/>
  <c r="JV16" i="5" s="1"/>
  <c r="JW16" i="5" s="1"/>
  <c r="JX16" i="5" s="1"/>
  <c r="HV16" i="5"/>
  <c r="HW16" i="5" s="1"/>
  <c r="GV16" i="5"/>
  <c r="GW16" i="5" s="1"/>
  <c r="GX16" i="5" s="1"/>
  <c r="GY16" i="5" s="1"/>
  <c r="GZ16" i="5" s="1"/>
  <c r="HA16" i="5" s="1"/>
  <c r="HB16" i="5" s="1"/>
  <c r="HC16" i="5" s="1"/>
  <c r="HD16" i="5" s="1"/>
  <c r="HE16" i="5" s="1"/>
  <c r="HF16" i="5" s="1"/>
  <c r="HG16" i="5" s="1"/>
  <c r="HH16" i="5" s="1"/>
  <c r="HI16" i="5" s="1"/>
  <c r="HJ16" i="5" s="1"/>
  <c r="HK16" i="5" s="1"/>
  <c r="FI16" i="5"/>
  <c r="FJ16" i="5" s="1"/>
  <c r="EJ16" i="5"/>
  <c r="EK16" i="5" s="1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EY16" i="5" s="1"/>
  <c r="EZ16" i="5" s="1"/>
  <c r="FA16" i="5" s="1"/>
  <c r="FB16" i="5" s="1"/>
  <c r="FC16" i="5" s="1"/>
  <c r="CW16" i="5"/>
  <c r="CA16" i="5"/>
  <c r="CB16" i="5" s="1"/>
  <c r="AT16" i="5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D16" i="5"/>
  <c r="ANM15" i="5"/>
  <c r="ANN15" i="5" s="1"/>
  <c r="ALU15" i="5"/>
  <c r="ALV15" i="5" s="1"/>
  <c r="ALW15" i="5" s="1"/>
  <c r="ALX15" i="5" s="1"/>
  <c r="ALY15" i="5" s="1"/>
  <c r="ALZ15" i="5" s="1"/>
  <c r="AMA15" i="5" s="1"/>
  <c r="AMB15" i="5" s="1"/>
  <c r="AMC15" i="5" s="1"/>
  <c r="AMD15" i="5" s="1"/>
  <c r="AME15" i="5" s="1"/>
  <c r="AMF15" i="5" s="1"/>
  <c r="AMG15" i="5" s="1"/>
  <c r="AMH15" i="5" s="1"/>
  <c r="AMI15" i="5" s="1"/>
  <c r="AMJ15" i="5" s="1"/>
  <c r="AMK15" i="5" s="1"/>
  <c r="AML15" i="5" s="1"/>
  <c r="AMM15" i="5" s="1"/>
  <c r="AMN15" i="5" s="1"/>
  <c r="AMO15" i="5" s="1"/>
  <c r="AMP15" i="5" s="1"/>
  <c r="AMQ15" i="5" s="1"/>
  <c r="AMR15" i="5" s="1"/>
  <c r="AMS15" i="5" s="1"/>
  <c r="AMT15" i="5" s="1"/>
  <c r="AMU15" i="5" s="1"/>
  <c r="AMV15" i="5" s="1"/>
  <c r="AMW15" i="5" s="1"/>
  <c r="AMX15" i="5" s="1"/>
  <c r="ALG15" i="5"/>
  <c r="ALH15" i="5" s="1"/>
  <c r="ALI15" i="5" s="1"/>
  <c r="ALJ15" i="5" s="1"/>
  <c r="ALK15" i="5" s="1"/>
  <c r="ALL15" i="5" s="1"/>
  <c r="ALM15" i="5" s="1"/>
  <c r="ALN15" i="5" s="1"/>
  <c r="ALO15" i="5" s="1"/>
  <c r="ALP15" i="5" s="1"/>
  <c r="ALQ15" i="5" s="1"/>
  <c r="ALR15" i="5" s="1"/>
  <c r="ALS15" i="5" s="1"/>
  <c r="ALE15" i="5"/>
  <c r="AKO15" i="5"/>
  <c r="AKP15" i="5" s="1"/>
  <c r="AKQ15" i="5" s="1"/>
  <c r="AKR15" i="5" s="1"/>
  <c r="AKS15" i="5" s="1"/>
  <c r="AKT15" i="5" s="1"/>
  <c r="AKU15" i="5" s="1"/>
  <c r="AJL15" i="5"/>
  <c r="AJM15" i="5" s="1"/>
  <c r="AJN15" i="5" s="1"/>
  <c r="AJO15" i="5" s="1"/>
  <c r="AJP15" i="5" s="1"/>
  <c r="AJQ15" i="5" s="1"/>
  <c r="AJR15" i="5" s="1"/>
  <c r="AJS15" i="5" s="1"/>
  <c r="AJT15" i="5" s="1"/>
  <c r="AJU15" i="5" s="1"/>
  <c r="AJV15" i="5" s="1"/>
  <c r="AJW15" i="5" s="1"/>
  <c r="AJX15" i="5" s="1"/>
  <c r="AJY15" i="5" s="1"/>
  <c r="AJZ15" i="5" s="1"/>
  <c r="AKA15" i="5" s="1"/>
  <c r="AKB15" i="5" s="1"/>
  <c r="AKC15" i="5" s="1"/>
  <c r="AKD15" i="5" s="1"/>
  <c r="AKE15" i="5" s="1"/>
  <c r="AKF15" i="5" s="1"/>
  <c r="AKG15" i="5" s="1"/>
  <c r="AKH15" i="5" s="1"/>
  <c r="AKI15" i="5" s="1"/>
  <c r="AKJ15" i="5" s="1"/>
  <c r="AKK15" i="5" s="1"/>
  <c r="AKL15" i="5" s="1"/>
  <c r="AKM15" i="5" s="1"/>
  <c r="AIF15" i="5"/>
  <c r="AIG15" i="5" s="1"/>
  <c r="AIH15" i="5" s="1"/>
  <c r="AII15" i="5" s="1"/>
  <c r="AIJ15" i="5" s="1"/>
  <c r="AIK15" i="5" s="1"/>
  <c r="AIL15" i="5" s="1"/>
  <c r="AIM15" i="5" s="1"/>
  <c r="AIN15" i="5" s="1"/>
  <c r="AIO15" i="5" s="1"/>
  <c r="AIP15" i="5" s="1"/>
  <c r="AIQ15" i="5" s="1"/>
  <c r="AIR15" i="5" s="1"/>
  <c r="AIS15" i="5" s="1"/>
  <c r="AIT15" i="5" s="1"/>
  <c r="AIU15" i="5" s="1"/>
  <c r="AIV15" i="5" s="1"/>
  <c r="AIW15" i="5" s="1"/>
  <c r="AIX15" i="5" s="1"/>
  <c r="AIY15" i="5" s="1"/>
  <c r="AIZ15" i="5" s="1"/>
  <c r="AJA15" i="5" s="1"/>
  <c r="AJB15" i="5" s="1"/>
  <c r="AJC15" i="5" s="1"/>
  <c r="AJD15" i="5" s="1"/>
  <c r="AJE15" i="5" s="1"/>
  <c r="AJF15" i="5" s="1"/>
  <c r="AJG15" i="5" s="1"/>
  <c r="AJH15" i="5" s="1"/>
  <c r="AJI15" i="5" s="1"/>
  <c r="AJJ15" i="5" s="1"/>
  <c r="AHL15" i="5"/>
  <c r="AHM15" i="5" s="1"/>
  <c r="AHN15" i="5" s="1"/>
  <c r="AHO15" i="5" s="1"/>
  <c r="AHP15" i="5" s="1"/>
  <c r="AHQ15" i="5" s="1"/>
  <c r="AHR15" i="5" s="1"/>
  <c r="AHS15" i="5" s="1"/>
  <c r="AHT15" i="5" s="1"/>
  <c r="AHU15" i="5" s="1"/>
  <c r="AHV15" i="5" s="1"/>
  <c r="AHW15" i="5" s="1"/>
  <c r="AHX15" i="5" s="1"/>
  <c r="AHY15" i="5" s="1"/>
  <c r="AHZ15" i="5" s="1"/>
  <c r="AIA15" i="5" s="1"/>
  <c r="AIB15" i="5" s="1"/>
  <c r="AIC15" i="5" s="1"/>
  <c r="AID15" i="5" s="1"/>
  <c r="AGE15" i="5"/>
  <c r="AGF15" i="5" s="1"/>
  <c r="AGG15" i="5" s="1"/>
  <c r="AGH15" i="5" s="1"/>
  <c r="AGI15" i="5" s="1"/>
  <c r="AGJ15" i="5" s="1"/>
  <c r="AGK15" i="5" s="1"/>
  <c r="AGL15" i="5" s="1"/>
  <c r="AGM15" i="5" s="1"/>
  <c r="AGN15" i="5" s="1"/>
  <c r="AGO15" i="5" s="1"/>
  <c r="AGP15" i="5" s="1"/>
  <c r="AGQ15" i="5" s="1"/>
  <c r="AGR15" i="5" s="1"/>
  <c r="AGS15" i="5" s="1"/>
  <c r="AGT15" i="5" s="1"/>
  <c r="AGU15" i="5" s="1"/>
  <c r="AGV15" i="5" s="1"/>
  <c r="AGW15" i="5" s="1"/>
  <c r="AGX15" i="5" s="1"/>
  <c r="AEV15" i="5"/>
  <c r="AEW15" i="5" s="1"/>
  <c r="AEX15" i="5" s="1"/>
  <c r="AEY15" i="5" s="1"/>
  <c r="AEZ15" i="5" s="1"/>
  <c r="AFA15" i="5" s="1"/>
  <c r="AFB15" i="5" s="1"/>
  <c r="AFC15" i="5" s="1"/>
  <c r="AFD15" i="5" s="1"/>
  <c r="AFE15" i="5" s="1"/>
  <c r="AFF15" i="5" s="1"/>
  <c r="AFG15" i="5" s="1"/>
  <c r="AFH15" i="5" s="1"/>
  <c r="AFI15" i="5" s="1"/>
  <c r="AFJ15" i="5" s="1"/>
  <c r="AFK15" i="5" s="1"/>
  <c r="AFL15" i="5" s="1"/>
  <c r="AFM15" i="5" s="1"/>
  <c r="AFN15" i="5" s="1"/>
  <c r="AFO15" i="5" s="1"/>
  <c r="AFP15" i="5" s="1"/>
  <c r="AFQ15" i="5" s="1"/>
  <c r="AFR15" i="5" s="1"/>
  <c r="AFS15" i="5" s="1"/>
  <c r="AEI15" i="5"/>
  <c r="AEJ15" i="5" s="1"/>
  <c r="AEK15" i="5" s="1"/>
  <c r="AEL15" i="5" s="1"/>
  <c r="AEM15" i="5" s="1"/>
  <c r="ADX15" i="5"/>
  <c r="ADY15" i="5" s="1"/>
  <c r="ADZ15" i="5" s="1"/>
  <c r="AEA15" i="5" s="1"/>
  <c r="AEB15" i="5" s="1"/>
  <c r="AEC15" i="5" s="1"/>
  <c r="AED15" i="5" s="1"/>
  <c r="AEE15" i="5" s="1"/>
  <c r="AEF15" i="5" s="1"/>
  <c r="AEG15" i="5" s="1"/>
  <c r="ACJ15" i="5"/>
  <c r="ACK15" i="5" s="1"/>
  <c r="ACL15" i="5" s="1"/>
  <c r="ACM15" i="5" s="1"/>
  <c r="ACN15" i="5" s="1"/>
  <c r="ACO15" i="5" s="1"/>
  <c r="ACP15" i="5" s="1"/>
  <c r="ACQ15" i="5" s="1"/>
  <c r="ACR15" i="5" s="1"/>
  <c r="ACS15" i="5" s="1"/>
  <c r="ACT15" i="5" s="1"/>
  <c r="ACU15" i="5" s="1"/>
  <c r="ACV15" i="5" s="1"/>
  <c r="ACW15" i="5" s="1"/>
  <c r="ACX15" i="5" s="1"/>
  <c r="ACY15" i="5" s="1"/>
  <c r="ACZ15" i="5" s="1"/>
  <c r="ADA15" i="5" s="1"/>
  <c r="ADB15" i="5" s="1"/>
  <c r="ADC15" i="5" s="1"/>
  <c r="ADD15" i="5" s="1"/>
  <c r="ADE15" i="5" s="1"/>
  <c r="ADF15" i="5" s="1"/>
  <c r="ADG15" i="5" s="1"/>
  <c r="ADH15" i="5" s="1"/>
  <c r="ABO15" i="5"/>
  <c r="ABP15" i="5" s="1"/>
  <c r="ABQ15" i="5" s="1"/>
  <c r="ABR15" i="5" s="1"/>
  <c r="ABS15" i="5" s="1"/>
  <c r="ABT15" i="5" s="1"/>
  <c r="ABU15" i="5" s="1"/>
  <c r="ABV15" i="5" s="1"/>
  <c r="ABW15" i="5" s="1"/>
  <c r="ABX15" i="5" s="1"/>
  <c r="ABY15" i="5" s="1"/>
  <c r="ABZ15" i="5" s="1"/>
  <c r="ACA15" i="5" s="1"/>
  <c r="ACB15" i="5" s="1"/>
  <c r="ZV15" i="5"/>
  <c r="ZW15" i="5" s="1"/>
  <c r="ZX15" i="5" s="1"/>
  <c r="ZY15" i="5" s="1"/>
  <c r="ZZ15" i="5" s="1"/>
  <c r="AAA15" i="5" s="1"/>
  <c r="AAB15" i="5" s="1"/>
  <c r="AAC15" i="5" s="1"/>
  <c r="AAD15" i="5" s="1"/>
  <c r="AAE15" i="5" s="1"/>
  <c r="AAF15" i="5" s="1"/>
  <c r="AAG15" i="5" s="1"/>
  <c r="AAH15" i="5" s="1"/>
  <c r="AAI15" i="5" s="1"/>
  <c r="AAJ15" i="5" s="1"/>
  <c r="AAK15" i="5" s="1"/>
  <c r="AAL15" i="5" s="1"/>
  <c r="AAM15" i="5" s="1"/>
  <c r="AAN15" i="5" s="1"/>
  <c r="AAO15" i="5" s="1"/>
  <c r="AAP15" i="5" s="1"/>
  <c r="AAQ15" i="5" s="1"/>
  <c r="AAR15" i="5" s="1"/>
  <c r="AAS15" i="5" s="1"/>
  <c r="AAT15" i="5" s="1"/>
  <c r="AAU15" i="5" s="1"/>
  <c r="AAV15" i="5" s="1"/>
  <c r="YX15" i="5"/>
  <c r="YY15" i="5" s="1"/>
  <c r="YZ15" i="5" s="1"/>
  <c r="ZA15" i="5" s="1"/>
  <c r="ZB15" i="5" s="1"/>
  <c r="ZC15" i="5" s="1"/>
  <c r="ZD15" i="5" s="1"/>
  <c r="ZE15" i="5" s="1"/>
  <c r="ZF15" i="5" s="1"/>
  <c r="ZG15" i="5" s="1"/>
  <c r="ZH15" i="5" s="1"/>
  <c r="ZI15" i="5" s="1"/>
  <c r="ZJ15" i="5" s="1"/>
  <c r="ZK15" i="5" s="1"/>
  <c r="ZL15" i="5" s="1"/>
  <c r="ZM15" i="5" s="1"/>
  <c r="ZN15" i="5" s="1"/>
  <c r="ZO15" i="5" s="1"/>
  <c r="ZP15" i="5" s="1"/>
  <c r="ZQ15" i="5" s="1"/>
  <c r="XQ15" i="5"/>
  <c r="XR15" i="5" s="1"/>
  <c r="XS15" i="5" s="1"/>
  <c r="XT15" i="5" s="1"/>
  <c r="XU15" i="5" s="1"/>
  <c r="XV15" i="5" s="1"/>
  <c r="XW15" i="5" s="1"/>
  <c r="XX15" i="5" s="1"/>
  <c r="XY15" i="5" s="1"/>
  <c r="XZ15" i="5" s="1"/>
  <c r="YA15" i="5" s="1"/>
  <c r="YB15" i="5" s="1"/>
  <c r="YC15" i="5" s="1"/>
  <c r="YD15" i="5" s="1"/>
  <c r="YE15" i="5" s="1"/>
  <c r="YF15" i="5" s="1"/>
  <c r="YG15" i="5" s="1"/>
  <c r="YH15" i="5" s="1"/>
  <c r="YI15" i="5" s="1"/>
  <c r="YJ15" i="5" s="1"/>
  <c r="YK15" i="5" s="1"/>
  <c r="UY15" i="5"/>
  <c r="UZ15" i="5" s="1"/>
  <c r="VA15" i="5" s="1"/>
  <c r="VB15" i="5" s="1"/>
  <c r="VC15" i="5" s="1"/>
  <c r="VD15" i="5" s="1"/>
  <c r="VE15" i="5" s="1"/>
  <c r="TZ15" i="5"/>
  <c r="UA15" i="5" s="1"/>
  <c r="UB15" i="5" s="1"/>
  <c r="UC15" i="5" s="1"/>
  <c r="UD15" i="5" s="1"/>
  <c r="UE15" i="5" s="1"/>
  <c r="UF15" i="5" s="1"/>
  <c r="UG15" i="5" s="1"/>
  <c r="UH15" i="5" s="1"/>
  <c r="UI15" i="5" s="1"/>
  <c r="UJ15" i="5" s="1"/>
  <c r="UK15" i="5" s="1"/>
  <c r="UL15" i="5" s="1"/>
  <c r="UM15" i="5" s="1"/>
  <c r="UN15" i="5" s="1"/>
  <c r="UO15" i="5" s="1"/>
  <c r="UP15" i="5" s="1"/>
  <c r="UQ15" i="5" s="1"/>
  <c r="UR15" i="5" s="1"/>
  <c r="US15" i="5" s="1"/>
  <c r="UT15" i="5" s="1"/>
  <c r="UU15" i="5" s="1"/>
  <c r="UV15" i="5" s="1"/>
  <c r="UW15" i="5" s="1"/>
  <c r="SS15" i="5"/>
  <c r="ST15" i="5" s="1"/>
  <c r="SU15" i="5" s="1"/>
  <c r="SV15" i="5" s="1"/>
  <c r="SW15" i="5" s="1"/>
  <c r="SX15" i="5" s="1"/>
  <c r="SY15" i="5" s="1"/>
  <c r="SZ15" i="5" s="1"/>
  <c r="TA15" i="5" s="1"/>
  <c r="TB15" i="5" s="1"/>
  <c r="TC15" i="5" s="1"/>
  <c r="TD15" i="5" s="1"/>
  <c r="TE15" i="5" s="1"/>
  <c r="TF15" i="5" s="1"/>
  <c r="TG15" i="5" s="1"/>
  <c r="TH15" i="5" s="1"/>
  <c r="TI15" i="5" s="1"/>
  <c r="TJ15" i="5" s="1"/>
  <c r="TK15" i="5" s="1"/>
  <c r="TL15" i="5" s="1"/>
  <c r="TM15" i="5" s="1"/>
  <c r="TN15" i="5" s="1"/>
  <c r="TO15" i="5" s="1"/>
  <c r="TP15" i="5" s="1"/>
  <c r="TQ15" i="5" s="1"/>
  <c r="RF15" i="5"/>
  <c r="RH15" i="5" s="1"/>
  <c r="RI15" i="5" s="1"/>
  <c r="RJ15" i="5" s="1"/>
  <c r="RK15" i="5" s="1"/>
  <c r="RL15" i="5" s="1"/>
  <c r="RM15" i="5" s="1"/>
  <c r="RN15" i="5" s="1"/>
  <c r="RO15" i="5" s="1"/>
  <c r="RP15" i="5" s="1"/>
  <c r="RQ15" i="5" s="1"/>
  <c r="RR15" i="5" s="1"/>
  <c r="QI15" i="5"/>
  <c r="QJ15" i="5" s="1"/>
  <c r="QK15" i="5" s="1"/>
  <c r="QL15" i="5" s="1"/>
  <c r="QM15" i="5" s="1"/>
  <c r="QN15" i="5" s="1"/>
  <c r="QO15" i="5" s="1"/>
  <c r="QP15" i="5" s="1"/>
  <c r="QQ15" i="5" s="1"/>
  <c r="QR15" i="5" s="1"/>
  <c r="QS15" i="5" s="1"/>
  <c r="QT15" i="5" s="1"/>
  <c r="QU15" i="5" s="1"/>
  <c r="QV15" i="5" s="1"/>
  <c r="QW15" i="5" s="1"/>
  <c r="QX15" i="5" s="1"/>
  <c r="QY15" i="5" s="1"/>
  <c r="QZ15" i="5" s="1"/>
  <c r="RA15" i="5" s="1"/>
  <c r="RB15" i="5" s="1"/>
  <c r="RC15" i="5" s="1"/>
  <c r="RD15" i="5" s="1"/>
  <c r="PT15" i="5"/>
  <c r="LY15" i="5"/>
  <c r="LZ15" i="5" s="1"/>
  <c r="MA15" i="5" s="1"/>
  <c r="MB15" i="5" s="1"/>
  <c r="MC15" i="5" s="1"/>
  <c r="MD15" i="5" s="1"/>
  <c r="ME15" i="5" s="1"/>
  <c r="MF15" i="5" s="1"/>
  <c r="MG15" i="5" s="1"/>
  <c r="MH15" i="5" s="1"/>
  <c r="MI15" i="5" s="1"/>
  <c r="LS15" i="5"/>
  <c r="LT15" i="5" s="1"/>
  <c r="LU15" i="5" s="1"/>
  <c r="LV15" i="5" s="1"/>
  <c r="LW15" i="5" s="1"/>
  <c r="IX15" i="5"/>
  <c r="IY15" i="5" s="1"/>
  <c r="IZ15" i="5" s="1"/>
  <c r="JA15" i="5" s="1"/>
  <c r="JB15" i="5" s="1"/>
  <c r="JC15" i="5" s="1"/>
  <c r="JD15" i="5" s="1"/>
  <c r="JE15" i="5" s="1"/>
  <c r="JF15" i="5" s="1"/>
  <c r="JG15" i="5" s="1"/>
  <c r="JH15" i="5" s="1"/>
  <c r="JI15" i="5" s="1"/>
  <c r="JJ15" i="5" s="1"/>
  <c r="JK15" i="5" s="1"/>
  <c r="JL15" i="5" s="1"/>
  <c r="JM15" i="5" s="1"/>
  <c r="JN15" i="5" s="1"/>
  <c r="JO15" i="5" s="1"/>
  <c r="JP15" i="5" s="1"/>
  <c r="JQ15" i="5" s="1"/>
  <c r="JR15" i="5" s="1"/>
  <c r="JS15" i="5" s="1"/>
  <c r="JT15" i="5" s="1"/>
  <c r="JU15" i="5" s="1"/>
  <c r="JV15" i="5" s="1"/>
  <c r="JW15" i="5" s="1"/>
  <c r="JX15" i="5" s="1"/>
  <c r="CY15" i="5"/>
  <c r="DA15" i="5" s="1"/>
  <c r="DC15" i="5" s="1"/>
  <c r="DE15" i="5" s="1"/>
  <c r="DG15" i="5" s="1"/>
  <c r="DI15" i="5" s="1"/>
  <c r="DK15" i="5" s="1"/>
  <c r="DM15" i="5" s="1"/>
  <c r="DO15" i="5" s="1"/>
  <c r="DQ15" i="5" s="1"/>
  <c r="DS15" i="5" s="1"/>
  <c r="DU15" i="5" s="1"/>
  <c r="DW15" i="5" s="1"/>
  <c r="CX15" i="5"/>
  <c r="CZ15" i="5" s="1"/>
  <c r="DB15" i="5" s="1"/>
  <c r="DD15" i="5" s="1"/>
  <c r="DF15" i="5" s="1"/>
  <c r="DH15" i="5" s="1"/>
  <c r="DJ15" i="5" s="1"/>
  <c r="DL15" i="5" s="1"/>
  <c r="DN15" i="5" s="1"/>
  <c r="DP15" i="5" s="1"/>
  <c r="DR15" i="5" s="1"/>
  <c r="DT15" i="5" s="1"/>
  <c r="DV15" i="5" s="1"/>
  <c r="CB15" i="5"/>
  <c r="CC15" i="5" s="1"/>
  <c r="CD15" i="5" s="1"/>
  <c r="CE15" i="5" s="1"/>
  <c r="CF15" i="5" s="1"/>
  <c r="CG15" i="5" s="1"/>
  <c r="CH15" i="5" s="1"/>
  <c r="CI15" i="5" s="1"/>
  <c r="CJ15" i="5" s="1"/>
  <c r="CK15" i="5" s="1"/>
  <c r="CL15" i="5" s="1"/>
  <c r="CM15" i="5" s="1"/>
  <c r="CN15" i="5" s="1"/>
  <c r="CO15" i="5" s="1"/>
  <c r="CP15" i="5" s="1"/>
  <c r="CQ15" i="5" s="1"/>
  <c r="CR15" i="5" s="1"/>
  <c r="D15" i="5"/>
  <c r="ALU14" i="5"/>
  <c r="ALV14" i="5" s="1"/>
  <c r="AKV14" i="5"/>
  <c r="AKW14" i="5" s="1"/>
  <c r="AKO14" i="5"/>
  <c r="AKP14" i="5" s="1"/>
  <c r="AJL14" i="5"/>
  <c r="AJM14" i="5" s="1"/>
  <c r="AIF14" i="5"/>
  <c r="AIG14" i="5" s="1"/>
  <c r="AHL14" i="5"/>
  <c r="AHM14" i="5" s="1"/>
  <c r="AGE14" i="5"/>
  <c r="AGF14" i="5" s="1"/>
  <c r="AEV14" i="5"/>
  <c r="AEW14" i="5" s="1"/>
  <c r="ADX14" i="5"/>
  <c r="ADY14" i="5" s="1"/>
  <c r="ACJ14" i="5"/>
  <c r="ACK14" i="5" s="1"/>
  <c r="ABO14" i="5"/>
  <c r="ABP14" i="5" s="1"/>
  <c r="ZV14" i="5"/>
  <c r="ZW14" i="5" s="1"/>
  <c r="YX14" i="5"/>
  <c r="YY14" i="5" s="1"/>
  <c r="XQ14" i="5"/>
  <c r="XR14" i="5" s="1"/>
  <c r="TZ14" i="5"/>
  <c r="UA14" i="5" s="1"/>
  <c r="SS14" i="5"/>
  <c r="ST14" i="5" s="1"/>
  <c r="RS14" i="5"/>
  <c r="RT14" i="5" s="1"/>
  <c r="QI14" i="5"/>
  <c r="QJ14" i="5" s="1"/>
  <c r="PI14" i="5"/>
  <c r="PJ14" i="5" s="1"/>
  <c r="NW14" i="5"/>
  <c r="NX14" i="5" s="1"/>
  <c r="NI14" i="5"/>
  <c r="NJ14" i="5" s="1"/>
  <c r="LS14" i="5"/>
  <c r="LT14" i="5" s="1"/>
  <c r="KH14" i="5"/>
  <c r="KI14" i="5" s="1"/>
  <c r="IX14" i="5"/>
  <c r="IY14" i="5" s="1"/>
  <c r="GV14" i="5"/>
  <c r="GW14" i="5" s="1"/>
  <c r="EJ14" i="5"/>
  <c r="EK14" i="5" s="1"/>
  <c r="CY14" i="5"/>
  <c r="DA14" i="5" s="1"/>
  <c r="CX14" i="5"/>
  <c r="CZ14" i="5" s="1"/>
  <c r="CB14" i="5"/>
  <c r="CC14" i="5" s="1"/>
  <c r="AT14" i="5"/>
  <c r="AU14" i="5" s="1"/>
  <c r="F14" i="5"/>
  <c r="G14" i="5" s="1"/>
  <c r="D14" i="5"/>
  <c r="DI12" i="5"/>
  <c r="DI13" i="5" s="1"/>
  <c r="DF12" i="5"/>
  <c r="DF13" i="5" s="1"/>
  <c r="CE12" i="5"/>
  <c r="CE13" i="5" s="1"/>
  <c r="BM12" i="5"/>
  <c r="AH12" i="5"/>
  <c r="F12" i="5"/>
  <c r="F13" i="5" s="1"/>
  <c r="CE11" i="5"/>
  <c r="BM11" i="5"/>
  <c r="AH11" i="5"/>
  <c r="I11" i="5"/>
  <c r="F11" i="5"/>
  <c r="AOC8" i="5"/>
  <c r="AOC9" i="5" s="1"/>
  <c r="AOC10" i="5" s="1"/>
  <c r="AOC13" i="5" s="1"/>
  <c r="AOB8" i="5"/>
  <c r="AOB9" i="5" s="1"/>
  <c r="AOB10" i="5" s="1"/>
  <c r="AOB13" i="5" s="1"/>
  <c r="AOA8" i="5"/>
  <c r="AOA9" i="5" s="1"/>
  <c r="AOA10" i="5" s="1"/>
  <c r="AOA13" i="5" s="1"/>
  <c r="ANZ8" i="5"/>
  <c r="ANZ9" i="5" s="1"/>
  <c r="ANZ10" i="5" s="1"/>
  <c r="ANZ13" i="5" s="1"/>
  <c r="ANY8" i="5"/>
  <c r="ANY9" i="5" s="1"/>
  <c r="ANY10" i="5" s="1"/>
  <c r="ANY13" i="5" s="1"/>
  <c r="ANX8" i="5"/>
  <c r="ANX9" i="5" s="1"/>
  <c r="ANX10" i="5" s="1"/>
  <c r="ANX13" i="5" s="1"/>
  <c r="ANW8" i="5"/>
  <c r="ANW9" i="5" s="1"/>
  <c r="ANW10" i="5" s="1"/>
  <c r="ANW13" i="5" s="1"/>
  <c r="ANV8" i="5"/>
  <c r="ANV9" i="5" s="1"/>
  <c r="ANV10" i="5" s="1"/>
  <c r="ANV13" i="5" s="1"/>
  <c r="ANU8" i="5"/>
  <c r="ANU9" i="5" s="1"/>
  <c r="ANU10" i="5" s="1"/>
  <c r="ANU13" i="5" s="1"/>
  <c r="ANT8" i="5"/>
  <c r="ANT9" i="5" s="1"/>
  <c r="ANT10" i="5" s="1"/>
  <c r="ANT13" i="5" s="1"/>
  <c r="ANS8" i="5"/>
  <c r="ANS9" i="5" s="1"/>
  <c r="ANS10" i="5" s="1"/>
  <c r="ANS13" i="5" s="1"/>
  <c r="ANR8" i="5"/>
  <c r="ANR9" i="5" s="1"/>
  <c r="ANR10" i="5" s="1"/>
  <c r="ANR13" i="5" s="1"/>
  <c r="ANQ8" i="5"/>
  <c r="ANQ9" i="5" s="1"/>
  <c r="ANQ10" i="5" s="1"/>
  <c r="ANQ13" i="5" s="1"/>
  <c r="ANP8" i="5"/>
  <c r="ANP9" i="5" s="1"/>
  <c r="ANP10" i="5" s="1"/>
  <c r="ANP13" i="5" s="1"/>
  <c r="ANO8" i="5"/>
  <c r="ANO9" i="5" s="1"/>
  <c r="ANO10" i="5" s="1"/>
  <c r="ANO13" i="5" s="1"/>
  <c r="ANN8" i="5"/>
  <c r="ANN9" i="5" s="1"/>
  <c r="ANN10" i="5" s="1"/>
  <c r="ANN13" i="5" s="1"/>
  <c r="ANM8" i="5"/>
  <c r="ANM9" i="5" s="1"/>
  <c r="ANM10" i="5" s="1"/>
  <c r="ANM13" i="5" s="1"/>
  <c r="ANL8" i="5"/>
  <c r="ANL9" i="5" s="1"/>
  <c r="ANL10" i="5" s="1"/>
  <c r="ANL13" i="5" s="1"/>
  <c r="ANK8" i="5"/>
  <c r="ANK9" i="5" s="1"/>
  <c r="ANK10" i="5" s="1"/>
  <c r="ANK13" i="5" s="1"/>
  <c r="ANJ8" i="5"/>
  <c r="ANJ9" i="5" s="1"/>
  <c r="ANJ10" i="5" s="1"/>
  <c r="ANJ13" i="5" s="1"/>
  <c r="ANI8" i="5"/>
  <c r="ANI9" i="5" s="1"/>
  <c r="ANI10" i="5" s="1"/>
  <c r="ANI13" i="5" s="1"/>
  <c r="ANH8" i="5"/>
  <c r="ANH9" i="5" s="1"/>
  <c r="ANH10" i="5" s="1"/>
  <c r="ANH13" i="5" s="1"/>
  <c r="ANG8" i="5"/>
  <c r="ANG9" i="5" s="1"/>
  <c r="ANG10" i="5" s="1"/>
  <c r="ANG13" i="5" s="1"/>
  <c r="ANF8" i="5"/>
  <c r="ANF9" i="5" s="1"/>
  <c r="ANF10" i="5" s="1"/>
  <c r="ANF13" i="5" s="1"/>
  <c r="ANE8" i="5"/>
  <c r="ANE9" i="5" s="1"/>
  <c r="ANE10" i="5" s="1"/>
  <c r="ANE13" i="5" s="1"/>
  <c r="AND8" i="5"/>
  <c r="AND9" i="5" s="1"/>
  <c r="AND10" i="5" s="1"/>
  <c r="AND13" i="5" s="1"/>
  <c r="ANC8" i="5"/>
  <c r="ANC9" i="5" s="1"/>
  <c r="ANC10" i="5" s="1"/>
  <c r="ANC13" i="5" s="1"/>
  <c r="ANB8" i="5"/>
  <c r="ANB9" i="5" s="1"/>
  <c r="ANB10" i="5" s="1"/>
  <c r="ANB13" i="5" s="1"/>
  <c r="ANA8" i="5"/>
  <c r="ANA9" i="5" s="1"/>
  <c r="ANA10" i="5" s="1"/>
  <c r="ANA13" i="5" s="1"/>
  <c r="AMZ8" i="5"/>
  <c r="AMZ9" i="5" s="1"/>
  <c r="AMZ10" i="5" s="1"/>
  <c r="AMZ13" i="5" s="1"/>
  <c r="AMX8" i="5"/>
  <c r="AMX9" i="5" s="1"/>
  <c r="AMX10" i="5" s="1"/>
  <c r="AMX13" i="5" s="1"/>
  <c r="AMW8" i="5"/>
  <c r="AMW9" i="5" s="1"/>
  <c r="AMW10" i="5" s="1"/>
  <c r="AMW13" i="5" s="1"/>
  <c r="AMV8" i="5"/>
  <c r="AMV9" i="5" s="1"/>
  <c r="AMV10" i="5" s="1"/>
  <c r="AMV13" i="5" s="1"/>
  <c r="AMU8" i="5"/>
  <c r="AMU9" i="5" s="1"/>
  <c r="AMU10" i="5" s="1"/>
  <c r="AMU13" i="5" s="1"/>
  <c r="AMT8" i="5"/>
  <c r="AMT9" i="5" s="1"/>
  <c r="AMT10" i="5" s="1"/>
  <c r="AMT13" i="5" s="1"/>
  <c r="AMS8" i="5"/>
  <c r="AMS9" i="5" s="1"/>
  <c r="AMS10" i="5" s="1"/>
  <c r="AMS13" i="5" s="1"/>
  <c r="AMR8" i="5"/>
  <c r="AMR9" i="5" s="1"/>
  <c r="AMR10" i="5" s="1"/>
  <c r="AMR13" i="5" s="1"/>
  <c r="AMQ8" i="5"/>
  <c r="AMQ9" i="5" s="1"/>
  <c r="AMQ10" i="5" s="1"/>
  <c r="AMQ13" i="5" s="1"/>
  <c r="AMP8" i="5"/>
  <c r="AMP9" i="5" s="1"/>
  <c r="AMP10" i="5" s="1"/>
  <c r="AMP13" i="5" s="1"/>
  <c r="AMO8" i="5"/>
  <c r="AMO9" i="5" s="1"/>
  <c r="AMO10" i="5" s="1"/>
  <c r="AMO13" i="5" s="1"/>
  <c r="AMN8" i="5"/>
  <c r="AMN9" i="5" s="1"/>
  <c r="AMN10" i="5" s="1"/>
  <c r="AMN13" i="5" s="1"/>
  <c r="AMM8" i="5"/>
  <c r="AMM9" i="5" s="1"/>
  <c r="AMM10" i="5" s="1"/>
  <c r="AMM13" i="5" s="1"/>
  <c r="AML8" i="5"/>
  <c r="AML9" i="5" s="1"/>
  <c r="AML10" i="5" s="1"/>
  <c r="AML13" i="5" s="1"/>
  <c r="AMK8" i="5"/>
  <c r="AMK9" i="5" s="1"/>
  <c r="AMK10" i="5" s="1"/>
  <c r="AMK13" i="5" s="1"/>
  <c r="AMJ8" i="5"/>
  <c r="AMJ9" i="5" s="1"/>
  <c r="AMJ10" i="5" s="1"/>
  <c r="AMJ13" i="5" s="1"/>
  <c r="AMI8" i="5"/>
  <c r="AMI9" i="5" s="1"/>
  <c r="AMI10" i="5" s="1"/>
  <c r="AMI13" i="5" s="1"/>
  <c r="AMH8" i="5"/>
  <c r="AMH9" i="5" s="1"/>
  <c r="AMH10" i="5" s="1"/>
  <c r="AMH13" i="5" s="1"/>
  <c r="AMG8" i="5"/>
  <c r="AMG9" i="5" s="1"/>
  <c r="AMG10" i="5" s="1"/>
  <c r="AMG13" i="5" s="1"/>
  <c r="AMF8" i="5"/>
  <c r="AMF9" i="5" s="1"/>
  <c r="AMF10" i="5" s="1"/>
  <c r="AMF13" i="5" s="1"/>
  <c r="AME8" i="5"/>
  <c r="AME9" i="5" s="1"/>
  <c r="AME10" i="5" s="1"/>
  <c r="AME13" i="5" s="1"/>
  <c r="AMD8" i="5"/>
  <c r="AMD9" i="5" s="1"/>
  <c r="AMD10" i="5" s="1"/>
  <c r="AMD13" i="5" s="1"/>
  <c r="AMC8" i="5"/>
  <c r="AMC9" i="5" s="1"/>
  <c r="AMC10" i="5" s="1"/>
  <c r="AMC13" i="5" s="1"/>
  <c r="AMB8" i="5"/>
  <c r="AMB9" i="5" s="1"/>
  <c r="AMB10" i="5" s="1"/>
  <c r="AMB13" i="5" s="1"/>
  <c r="AMA8" i="5"/>
  <c r="AMA9" i="5" s="1"/>
  <c r="AMA10" i="5" s="1"/>
  <c r="AMA13" i="5" s="1"/>
  <c r="ALY8" i="5"/>
  <c r="ALY9" i="5" s="1"/>
  <c r="ALY10" i="5" s="1"/>
  <c r="ALY13" i="5" s="1"/>
  <c r="ALX8" i="5"/>
  <c r="ALX9" i="5" s="1"/>
  <c r="ALX10" i="5" s="1"/>
  <c r="ALX13" i="5" s="1"/>
  <c r="ALW8" i="5"/>
  <c r="ALW9" i="5" s="1"/>
  <c r="ALW10" i="5" s="1"/>
  <c r="ALW13" i="5" s="1"/>
  <c r="ALV8" i="5"/>
  <c r="ALV9" i="5" s="1"/>
  <c r="ALV10" i="5" s="1"/>
  <c r="ALV13" i="5" s="1"/>
  <c r="ALU8" i="5"/>
  <c r="ALU9" i="5" s="1"/>
  <c r="ALU10" i="5" s="1"/>
  <c r="ALU13" i="5" s="1"/>
  <c r="ALS8" i="5"/>
  <c r="ALS9" i="5" s="1"/>
  <c r="ALS10" i="5" s="1"/>
  <c r="ALS13" i="5" s="1"/>
  <c r="ALQ8" i="5"/>
  <c r="ALQ9" i="5" s="1"/>
  <c r="ALQ10" i="5" s="1"/>
  <c r="ALQ13" i="5" s="1"/>
  <c r="ALP8" i="5"/>
  <c r="ALP9" i="5" s="1"/>
  <c r="ALP10" i="5" s="1"/>
  <c r="ALP13" i="5" s="1"/>
  <c r="ALO8" i="5"/>
  <c r="ALO9" i="5" s="1"/>
  <c r="ALO10" i="5" s="1"/>
  <c r="ALO13" i="5" s="1"/>
  <c r="ALN8" i="5"/>
  <c r="ALN9" i="5" s="1"/>
  <c r="ALN10" i="5" s="1"/>
  <c r="ALN13" i="5" s="1"/>
  <c r="ALM8" i="5"/>
  <c r="ALM9" i="5" s="1"/>
  <c r="ALM10" i="5" s="1"/>
  <c r="ALM13" i="5" s="1"/>
  <c r="ALL8" i="5"/>
  <c r="ALL9" i="5" s="1"/>
  <c r="ALL10" i="5" s="1"/>
  <c r="ALL13" i="5" s="1"/>
  <c r="ALK8" i="5"/>
  <c r="ALK9" i="5" s="1"/>
  <c r="ALK10" i="5" s="1"/>
  <c r="ALK13" i="5" s="1"/>
  <c r="ALJ8" i="5"/>
  <c r="ALJ9" i="5" s="1"/>
  <c r="ALJ10" i="5" s="1"/>
  <c r="ALJ13" i="5" s="1"/>
  <c r="ALI8" i="5"/>
  <c r="ALI9" i="5" s="1"/>
  <c r="ALI10" i="5" s="1"/>
  <c r="ALI13" i="5" s="1"/>
  <c r="ALH8" i="5"/>
  <c r="ALH9" i="5" s="1"/>
  <c r="ALH10" i="5" s="1"/>
  <c r="ALH13" i="5" s="1"/>
  <c r="ALG8" i="5"/>
  <c r="ALG9" i="5" s="1"/>
  <c r="ALG10" i="5" s="1"/>
  <c r="ALG13" i="5" s="1"/>
  <c r="ALF8" i="5"/>
  <c r="ALF9" i="5" s="1"/>
  <c r="ALF10" i="5" s="1"/>
  <c r="ALF13" i="5" s="1"/>
  <c r="ALE8" i="5"/>
  <c r="ALE9" i="5" s="1"/>
  <c r="ALE10" i="5" s="1"/>
  <c r="ALE13" i="5" s="1"/>
  <c r="ALD8" i="5"/>
  <c r="ALD9" i="5" s="1"/>
  <c r="ALD10" i="5" s="1"/>
  <c r="ALD13" i="5" s="1"/>
  <c r="ALC8" i="5"/>
  <c r="ALC9" i="5" s="1"/>
  <c r="ALC10" i="5" s="1"/>
  <c r="ALC13" i="5" s="1"/>
  <c r="ALB8" i="5"/>
  <c r="ALB9" i="5" s="1"/>
  <c r="ALB10" i="5" s="1"/>
  <c r="ALB13" i="5" s="1"/>
  <c r="ALA8" i="5"/>
  <c r="ALA9" i="5" s="1"/>
  <c r="ALA10" i="5" s="1"/>
  <c r="ALA13" i="5" s="1"/>
  <c r="AKZ8" i="5"/>
  <c r="AKZ9" i="5" s="1"/>
  <c r="AKZ10" i="5" s="1"/>
  <c r="AKZ13" i="5" s="1"/>
  <c r="AKY8" i="5"/>
  <c r="AKY9" i="5" s="1"/>
  <c r="AKY10" i="5" s="1"/>
  <c r="AKY13" i="5" s="1"/>
  <c r="AKX8" i="5"/>
  <c r="AKX9" i="5" s="1"/>
  <c r="AKX10" i="5" s="1"/>
  <c r="AKX13" i="5" s="1"/>
  <c r="AKW8" i="5"/>
  <c r="AKW9" i="5" s="1"/>
  <c r="AKW10" i="5" s="1"/>
  <c r="AKW13" i="5" s="1"/>
  <c r="AKV8" i="5"/>
  <c r="AKV9" i="5" s="1"/>
  <c r="AKV10" i="5" s="1"/>
  <c r="AKV13" i="5" s="1"/>
  <c r="AKU8" i="5"/>
  <c r="AKU9" i="5" s="1"/>
  <c r="AKU10" i="5" s="1"/>
  <c r="AKU13" i="5" s="1"/>
  <c r="AKT8" i="5"/>
  <c r="AKT9" i="5" s="1"/>
  <c r="AKT10" i="5" s="1"/>
  <c r="AKT13" i="5" s="1"/>
  <c r="AKS8" i="5"/>
  <c r="AKS9" i="5" s="1"/>
  <c r="AKS10" i="5" s="1"/>
  <c r="AKS13" i="5" s="1"/>
  <c r="AKR8" i="5"/>
  <c r="AKR9" i="5" s="1"/>
  <c r="AKR10" i="5" s="1"/>
  <c r="AKR13" i="5" s="1"/>
  <c r="AKQ8" i="5"/>
  <c r="AKQ9" i="5" s="1"/>
  <c r="AKQ10" i="5" s="1"/>
  <c r="AKQ13" i="5" s="1"/>
  <c r="AKP8" i="5"/>
  <c r="AKP9" i="5" s="1"/>
  <c r="AKP10" i="5" s="1"/>
  <c r="AKP13" i="5" s="1"/>
  <c r="AKO8" i="5"/>
  <c r="AKO9" i="5" s="1"/>
  <c r="AKO10" i="5" s="1"/>
  <c r="AKO13" i="5" s="1"/>
  <c r="AKM8" i="5"/>
  <c r="AKM9" i="5" s="1"/>
  <c r="AKM10" i="5" s="1"/>
  <c r="AKM13" i="5" s="1"/>
  <c r="AKL8" i="5"/>
  <c r="AKL9" i="5" s="1"/>
  <c r="AKL10" i="5" s="1"/>
  <c r="AKL13" i="5" s="1"/>
  <c r="AKK8" i="5"/>
  <c r="AKK9" i="5" s="1"/>
  <c r="AKK10" i="5" s="1"/>
  <c r="AKK13" i="5" s="1"/>
  <c r="AKJ8" i="5"/>
  <c r="AKJ9" i="5" s="1"/>
  <c r="AKJ10" i="5" s="1"/>
  <c r="AKJ13" i="5" s="1"/>
  <c r="AKI8" i="5"/>
  <c r="AKI9" i="5" s="1"/>
  <c r="AKI10" i="5" s="1"/>
  <c r="AKI13" i="5" s="1"/>
  <c r="AKH8" i="5"/>
  <c r="AKH9" i="5" s="1"/>
  <c r="AKH10" i="5" s="1"/>
  <c r="AKH13" i="5" s="1"/>
  <c r="AKG8" i="5"/>
  <c r="AKG9" i="5" s="1"/>
  <c r="AKG10" i="5" s="1"/>
  <c r="AKG13" i="5" s="1"/>
  <c r="AKF8" i="5"/>
  <c r="AKF9" i="5" s="1"/>
  <c r="AKF10" i="5" s="1"/>
  <c r="AKF13" i="5" s="1"/>
  <c r="AKE8" i="5"/>
  <c r="AKE9" i="5" s="1"/>
  <c r="AKE10" i="5" s="1"/>
  <c r="AKE13" i="5" s="1"/>
  <c r="AKD8" i="5"/>
  <c r="AKD9" i="5" s="1"/>
  <c r="AKD10" i="5" s="1"/>
  <c r="AKD13" i="5" s="1"/>
  <c r="AKC8" i="5"/>
  <c r="AKC9" i="5" s="1"/>
  <c r="AKC10" i="5" s="1"/>
  <c r="AKC13" i="5" s="1"/>
  <c r="AKB8" i="5"/>
  <c r="AKB9" i="5" s="1"/>
  <c r="AKB10" i="5" s="1"/>
  <c r="AKB13" i="5" s="1"/>
  <c r="AKA8" i="5"/>
  <c r="AKA9" i="5" s="1"/>
  <c r="AKA10" i="5" s="1"/>
  <c r="AKA13" i="5" s="1"/>
  <c r="AJZ8" i="5"/>
  <c r="AJZ9" i="5" s="1"/>
  <c r="AJZ10" i="5" s="1"/>
  <c r="AJZ13" i="5" s="1"/>
  <c r="AJY8" i="5"/>
  <c r="AJY9" i="5" s="1"/>
  <c r="AJY10" i="5" s="1"/>
  <c r="AJY13" i="5" s="1"/>
  <c r="AJX8" i="5"/>
  <c r="AJX9" i="5" s="1"/>
  <c r="AJX10" i="5" s="1"/>
  <c r="AJX13" i="5" s="1"/>
  <c r="AJW8" i="5"/>
  <c r="AJW9" i="5" s="1"/>
  <c r="AJW10" i="5" s="1"/>
  <c r="AJW13" i="5" s="1"/>
  <c r="AJV8" i="5"/>
  <c r="AJV9" i="5" s="1"/>
  <c r="AJV10" i="5" s="1"/>
  <c r="AJV13" i="5" s="1"/>
  <c r="AJU8" i="5"/>
  <c r="AJU9" i="5" s="1"/>
  <c r="AJU10" i="5" s="1"/>
  <c r="AJU13" i="5" s="1"/>
  <c r="AJT8" i="5"/>
  <c r="AJT9" i="5" s="1"/>
  <c r="AJT10" i="5" s="1"/>
  <c r="AJT13" i="5" s="1"/>
  <c r="AJS8" i="5"/>
  <c r="AJS9" i="5" s="1"/>
  <c r="AJS10" i="5" s="1"/>
  <c r="AJS13" i="5" s="1"/>
  <c r="AJR8" i="5"/>
  <c r="AJR9" i="5" s="1"/>
  <c r="AJR10" i="5" s="1"/>
  <c r="AJR13" i="5" s="1"/>
  <c r="AJQ8" i="5"/>
  <c r="AJQ9" i="5" s="1"/>
  <c r="AJQ10" i="5" s="1"/>
  <c r="AJQ13" i="5" s="1"/>
  <c r="AJP8" i="5"/>
  <c r="AJP9" i="5" s="1"/>
  <c r="AJP10" i="5" s="1"/>
  <c r="AJP13" i="5" s="1"/>
  <c r="AJO8" i="5"/>
  <c r="AJO9" i="5" s="1"/>
  <c r="AJO10" i="5" s="1"/>
  <c r="AJO13" i="5" s="1"/>
  <c r="AJN8" i="5"/>
  <c r="AJN9" i="5" s="1"/>
  <c r="AJN10" i="5" s="1"/>
  <c r="AJN13" i="5" s="1"/>
  <c r="AJM8" i="5"/>
  <c r="AJM9" i="5" s="1"/>
  <c r="AJM10" i="5" s="1"/>
  <c r="AJM13" i="5" s="1"/>
  <c r="AJL8" i="5"/>
  <c r="AJL9" i="5" s="1"/>
  <c r="AJL10" i="5" s="1"/>
  <c r="AJL13" i="5" s="1"/>
  <c r="AJJ8" i="5"/>
  <c r="AJJ9" i="5" s="1"/>
  <c r="AJJ10" i="5" s="1"/>
  <c r="AJJ13" i="5" s="1"/>
  <c r="AJI8" i="5"/>
  <c r="AJI9" i="5" s="1"/>
  <c r="AJI10" i="5" s="1"/>
  <c r="AJI13" i="5" s="1"/>
  <c r="AJH8" i="5"/>
  <c r="AJH9" i="5" s="1"/>
  <c r="AJH10" i="5" s="1"/>
  <c r="AJH13" i="5" s="1"/>
  <c r="AJG8" i="5"/>
  <c r="AJG9" i="5" s="1"/>
  <c r="AJG10" i="5" s="1"/>
  <c r="AJG13" i="5" s="1"/>
  <c r="AJF8" i="5"/>
  <c r="AJF9" i="5" s="1"/>
  <c r="AJF10" i="5" s="1"/>
  <c r="AJF13" i="5" s="1"/>
  <c r="AJE8" i="5"/>
  <c r="AJE9" i="5" s="1"/>
  <c r="AJE10" i="5" s="1"/>
  <c r="AJE13" i="5" s="1"/>
  <c r="AJD8" i="5"/>
  <c r="AJD9" i="5" s="1"/>
  <c r="AJD10" i="5" s="1"/>
  <c r="AJD13" i="5" s="1"/>
  <c r="AJC8" i="5"/>
  <c r="AJC9" i="5" s="1"/>
  <c r="AJC10" i="5" s="1"/>
  <c r="AJC13" i="5" s="1"/>
  <c r="AJB8" i="5"/>
  <c r="AJB9" i="5" s="1"/>
  <c r="AJB10" i="5" s="1"/>
  <c r="AJB13" i="5" s="1"/>
  <c r="AJA8" i="5"/>
  <c r="AJA9" i="5" s="1"/>
  <c r="AJA10" i="5" s="1"/>
  <c r="AJA13" i="5" s="1"/>
  <c r="AIZ8" i="5"/>
  <c r="AIZ9" i="5" s="1"/>
  <c r="AIZ10" i="5" s="1"/>
  <c r="AIZ13" i="5" s="1"/>
  <c r="AIY8" i="5"/>
  <c r="AIY9" i="5" s="1"/>
  <c r="AIY10" i="5" s="1"/>
  <c r="AIY13" i="5" s="1"/>
  <c r="AIX8" i="5"/>
  <c r="AIX9" i="5" s="1"/>
  <c r="AIX10" i="5" s="1"/>
  <c r="AIX13" i="5" s="1"/>
  <c r="AIW8" i="5"/>
  <c r="AIW9" i="5" s="1"/>
  <c r="AIW10" i="5" s="1"/>
  <c r="AIW13" i="5" s="1"/>
  <c r="AIV8" i="5"/>
  <c r="AIV9" i="5" s="1"/>
  <c r="AIV10" i="5" s="1"/>
  <c r="AIV13" i="5" s="1"/>
  <c r="AIU8" i="5"/>
  <c r="AIU9" i="5" s="1"/>
  <c r="AIU10" i="5" s="1"/>
  <c r="AIU13" i="5" s="1"/>
  <c r="AIT8" i="5"/>
  <c r="AIT9" i="5" s="1"/>
  <c r="AIT10" i="5" s="1"/>
  <c r="AIT13" i="5" s="1"/>
  <c r="AIS8" i="5"/>
  <c r="AIS9" i="5" s="1"/>
  <c r="AIS10" i="5" s="1"/>
  <c r="AIS13" i="5" s="1"/>
  <c r="AIR8" i="5"/>
  <c r="AIR9" i="5" s="1"/>
  <c r="AIR10" i="5" s="1"/>
  <c r="AIR13" i="5" s="1"/>
  <c r="AIQ8" i="5"/>
  <c r="AIQ9" i="5" s="1"/>
  <c r="AIQ10" i="5" s="1"/>
  <c r="AIQ13" i="5" s="1"/>
  <c r="AIP8" i="5"/>
  <c r="AIP9" i="5" s="1"/>
  <c r="AIP10" i="5" s="1"/>
  <c r="AIP13" i="5" s="1"/>
  <c r="AIO8" i="5"/>
  <c r="AIO9" i="5" s="1"/>
  <c r="AIO10" i="5" s="1"/>
  <c r="AIO13" i="5" s="1"/>
  <c r="AIN8" i="5"/>
  <c r="AIN9" i="5" s="1"/>
  <c r="AIN10" i="5" s="1"/>
  <c r="AIN13" i="5" s="1"/>
  <c r="AIM8" i="5"/>
  <c r="AIM9" i="5" s="1"/>
  <c r="AIM10" i="5" s="1"/>
  <c r="AIM13" i="5" s="1"/>
  <c r="AIL8" i="5"/>
  <c r="AIL9" i="5" s="1"/>
  <c r="AIL10" i="5" s="1"/>
  <c r="AIL13" i="5" s="1"/>
  <c r="AIK8" i="5"/>
  <c r="AIK9" i="5" s="1"/>
  <c r="AIK10" i="5" s="1"/>
  <c r="AIK13" i="5" s="1"/>
  <c r="AIJ8" i="5"/>
  <c r="AIJ9" i="5" s="1"/>
  <c r="AIJ10" i="5" s="1"/>
  <c r="AIJ13" i="5" s="1"/>
  <c r="AII8" i="5"/>
  <c r="AII9" i="5" s="1"/>
  <c r="AII10" i="5" s="1"/>
  <c r="AII13" i="5" s="1"/>
  <c r="AIH8" i="5"/>
  <c r="AIH9" i="5" s="1"/>
  <c r="AIH10" i="5" s="1"/>
  <c r="AIH13" i="5" s="1"/>
  <c r="AIG8" i="5"/>
  <c r="AIG9" i="5" s="1"/>
  <c r="AIG10" i="5" s="1"/>
  <c r="AIG13" i="5" s="1"/>
  <c r="AIF8" i="5"/>
  <c r="AIF9" i="5" s="1"/>
  <c r="AIF10" i="5" s="1"/>
  <c r="AIF13" i="5" s="1"/>
  <c r="AID8" i="5"/>
  <c r="AID9" i="5" s="1"/>
  <c r="AID10" i="5" s="1"/>
  <c r="AID13" i="5" s="1"/>
  <c r="AIC8" i="5"/>
  <c r="AIC9" i="5" s="1"/>
  <c r="AIC10" i="5" s="1"/>
  <c r="AIC13" i="5" s="1"/>
  <c r="AIB8" i="5"/>
  <c r="AIB9" i="5" s="1"/>
  <c r="AIB10" i="5" s="1"/>
  <c r="AIB13" i="5" s="1"/>
  <c r="AIA8" i="5"/>
  <c r="AIA9" i="5" s="1"/>
  <c r="AIA10" i="5" s="1"/>
  <c r="AIA13" i="5" s="1"/>
  <c r="AHZ8" i="5"/>
  <c r="AHZ9" i="5" s="1"/>
  <c r="AHZ10" i="5" s="1"/>
  <c r="AHZ13" i="5" s="1"/>
  <c r="AHY8" i="5"/>
  <c r="AHY9" i="5" s="1"/>
  <c r="AHY10" i="5" s="1"/>
  <c r="AHY13" i="5" s="1"/>
  <c r="AHX8" i="5"/>
  <c r="AHX9" i="5" s="1"/>
  <c r="AHX10" i="5" s="1"/>
  <c r="AHX13" i="5" s="1"/>
  <c r="AHV8" i="5"/>
  <c r="AHV9" i="5" s="1"/>
  <c r="AHV10" i="5" s="1"/>
  <c r="AHV13" i="5" s="1"/>
  <c r="AHU8" i="5"/>
  <c r="AHU9" i="5" s="1"/>
  <c r="AHU10" i="5" s="1"/>
  <c r="AHU13" i="5" s="1"/>
  <c r="AHT8" i="5"/>
  <c r="AHT9" i="5" s="1"/>
  <c r="AHT10" i="5" s="1"/>
  <c r="AHT13" i="5" s="1"/>
  <c r="AHS8" i="5"/>
  <c r="AHS9" i="5" s="1"/>
  <c r="AHS10" i="5" s="1"/>
  <c r="AHS13" i="5" s="1"/>
  <c r="AHR8" i="5"/>
  <c r="AHR9" i="5" s="1"/>
  <c r="AHR10" i="5" s="1"/>
  <c r="AHR13" i="5" s="1"/>
  <c r="AHQ8" i="5"/>
  <c r="AHQ9" i="5" s="1"/>
  <c r="AHQ10" i="5" s="1"/>
  <c r="AHQ13" i="5" s="1"/>
  <c r="AHP8" i="5"/>
  <c r="AHP9" i="5" s="1"/>
  <c r="AHP10" i="5" s="1"/>
  <c r="AHP13" i="5" s="1"/>
  <c r="AHO8" i="5"/>
  <c r="AHO9" i="5" s="1"/>
  <c r="AHO10" i="5" s="1"/>
  <c r="AHO13" i="5" s="1"/>
  <c r="AHN8" i="5"/>
  <c r="AHN9" i="5" s="1"/>
  <c r="AHN10" i="5" s="1"/>
  <c r="AHN13" i="5" s="1"/>
  <c r="AHM8" i="5"/>
  <c r="AHM9" i="5" s="1"/>
  <c r="AHM10" i="5" s="1"/>
  <c r="AHM13" i="5" s="1"/>
  <c r="AHL8" i="5"/>
  <c r="AHL9" i="5" s="1"/>
  <c r="AHL10" i="5" s="1"/>
  <c r="AHL13" i="5" s="1"/>
  <c r="AHK8" i="5"/>
  <c r="AHK9" i="5" s="1"/>
  <c r="AHK10" i="5" s="1"/>
  <c r="AHK13" i="5" s="1"/>
  <c r="AHJ8" i="5"/>
  <c r="AHJ9" i="5" s="1"/>
  <c r="AHJ10" i="5" s="1"/>
  <c r="AHJ13" i="5" s="1"/>
  <c r="AHI8" i="5"/>
  <c r="AHI9" i="5" s="1"/>
  <c r="AHI10" i="5" s="1"/>
  <c r="AHI13" i="5" s="1"/>
  <c r="AHH8" i="5"/>
  <c r="AHH9" i="5" s="1"/>
  <c r="AHH10" i="5" s="1"/>
  <c r="AHH13" i="5" s="1"/>
  <c r="AHG8" i="5"/>
  <c r="AHG9" i="5" s="1"/>
  <c r="AHG10" i="5" s="1"/>
  <c r="AHG13" i="5" s="1"/>
  <c r="AHF8" i="5"/>
  <c r="AHF9" i="5" s="1"/>
  <c r="AHF10" i="5" s="1"/>
  <c r="AHF13" i="5" s="1"/>
  <c r="AHE8" i="5"/>
  <c r="AHE9" i="5" s="1"/>
  <c r="AHE10" i="5" s="1"/>
  <c r="AHE13" i="5" s="1"/>
  <c r="AHD8" i="5"/>
  <c r="AHD9" i="5" s="1"/>
  <c r="AHD10" i="5" s="1"/>
  <c r="AHD13" i="5" s="1"/>
  <c r="AHC8" i="5"/>
  <c r="AHC9" i="5" s="1"/>
  <c r="AHC10" i="5" s="1"/>
  <c r="AHC13" i="5" s="1"/>
  <c r="AHB8" i="5"/>
  <c r="AHB9" i="5" s="1"/>
  <c r="AHB10" i="5" s="1"/>
  <c r="AHB13" i="5" s="1"/>
  <c r="AHA8" i="5"/>
  <c r="AHA9" i="5" s="1"/>
  <c r="AHA10" i="5" s="1"/>
  <c r="AHA13" i="5" s="1"/>
  <c r="AGZ8" i="5"/>
  <c r="AGZ9" i="5" s="1"/>
  <c r="AGZ10" i="5" s="1"/>
  <c r="AGZ13" i="5" s="1"/>
  <c r="AGX8" i="5"/>
  <c r="AGX9" i="5" s="1"/>
  <c r="AGX10" i="5" s="1"/>
  <c r="AGX13" i="5" s="1"/>
  <c r="AGW8" i="5"/>
  <c r="AGW9" i="5" s="1"/>
  <c r="AGW10" i="5" s="1"/>
  <c r="AGW13" i="5" s="1"/>
  <c r="AGV8" i="5"/>
  <c r="AGV9" i="5" s="1"/>
  <c r="AGV10" i="5" s="1"/>
  <c r="AGV13" i="5" s="1"/>
  <c r="AGU8" i="5"/>
  <c r="AGU9" i="5" s="1"/>
  <c r="AGU10" i="5" s="1"/>
  <c r="AGU13" i="5" s="1"/>
  <c r="AGS8" i="5"/>
  <c r="AGS9" i="5" s="1"/>
  <c r="AGS10" i="5" s="1"/>
  <c r="AGS13" i="5" s="1"/>
  <c r="AGQ8" i="5"/>
  <c r="AGQ9" i="5" s="1"/>
  <c r="AGQ10" i="5" s="1"/>
  <c r="AGQ13" i="5" s="1"/>
  <c r="AGP8" i="5"/>
  <c r="AGP9" i="5" s="1"/>
  <c r="AGP10" i="5" s="1"/>
  <c r="AGP13" i="5" s="1"/>
  <c r="AGO8" i="5"/>
  <c r="AGO9" i="5" s="1"/>
  <c r="AGO10" i="5" s="1"/>
  <c r="AGO13" i="5" s="1"/>
  <c r="AGN8" i="5"/>
  <c r="AGN9" i="5" s="1"/>
  <c r="AGN10" i="5" s="1"/>
  <c r="AGN13" i="5" s="1"/>
  <c r="AGM8" i="5"/>
  <c r="AGM9" i="5" s="1"/>
  <c r="AGM10" i="5" s="1"/>
  <c r="AGM13" i="5" s="1"/>
  <c r="AGL8" i="5"/>
  <c r="AGL9" i="5" s="1"/>
  <c r="AGL10" i="5" s="1"/>
  <c r="AGL13" i="5" s="1"/>
  <c r="AGK8" i="5"/>
  <c r="AGK9" i="5" s="1"/>
  <c r="AGK10" i="5" s="1"/>
  <c r="AGK13" i="5" s="1"/>
  <c r="AGJ8" i="5"/>
  <c r="AGJ9" i="5" s="1"/>
  <c r="AGJ10" i="5" s="1"/>
  <c r="AGJ13" i="5" s="1"/>
  <c r="AGI8" i="5"/>
  <c r="AGI9" i="5" s="1"/>
  <c r="AGI10" i="5" s="1"/>
  <c r="AGI13" i="5" s="1"/>
  <c r="AGH8" i="5"/>
  <c r="AGH9" i="5" s="1"/>
  <c r="AGH10" i="5" s="1"/>
  <c r="AGH13" i="5" s="1"/>
  <c r="AGG8" i="5"/>
  <c r="AGG9" i="5" s="1"/>
  <c r="AGG10" i="5" s="1"/>
  <c r="AGG13" i="5" s="1"/>
  <c r="AGF8" i="5"/>
  <c r="AGF9" i="5" s="1"/>
  <c r="AGF10" i="5" s="1"/>
  <c r="AGF13" i="5" s="1"/>
  <c r="AGE8" i="5"/>
  <c r="AGE9" i="5" s="1"/>
  <c r="AGE10" i="5" s="1"/>
  <c r="AGE13" i="5" s="1"/>
  <c r="AGD8" i="5"/>
  <c r="AGD9" i="5" s="1"/>
  <c r="AGD10" i="5" s="1"/>
  <c r="AGD13" i="5" s="1"/>
  <c r="AGC8" i="5"/>
  <c r="AGC9" i="5" s="1"/>
  <c r="AGC10" i="5" s="1"/>
  <c r="AGC13" i="5" s="1"/>
  <c r="AGB8" i="5"/>
  <c r="AGB9" i="5" s="1"/>
  <c r="AGB10" i="5" s="1"/>
  <c r="AGB13" i="5" s="1"/>
  <c r="AGA8" i="5"/>
  <c r="AGA9" i="5" s="1"/>
  <c r="AGA10" i="5" s="1"/>
  <c r="AGA13" i="5" s="1"/>
  <c r="AFZ8" i="5"/>
  <c r="AFZ9" i="5" s="1"/>
  <c r="AFZ10" i="5" s="1"/>
  <c r="AFZ13" i="5" s="1"/>
  <c r="AFY8" i="5"/>
  <c r="AFY9" i="5" s="1"/>
  <c r="AFY10" i="5" s="1"/>
  <c r="AFY13" i="5" s="1"/>
  <c r="AFX8" i="5"/>
  <c r="AFX9" i="5" s="1"/>
  <c r="AFX10" i="5" s="1"/>
  <c r="AFX13" i="5" s="1"/>
  <c r="AFW8" i="5"/>
  <c r="AFW9" i="5" s="1"/>
  <c r="AFW10" i="5" s="1"/>
  <c r="AFW13" i="5" s="1"/>
  <c r="AFV8" i="5"/>
  <c r="AFV9" i="5" s="1"/>
  <c r="AFV10" i="5" s="1"/>
  <c r="AFV13" i="5" s="1"/>
  <c r="AFU8" i="5"/>
  <c r="AFU9" i="5" s="1"/>
  <c r="AFU10" i="5" s="1"/>
  <c r="AFU13" i="5" s="1"/>
  <c r="AFS8" i="5"/>
  <c r="AFS9" i="5" s="1"/>
  <c r="AFS10" i="5" s="1"/>
  <c r="AFS13" i="5" s="1"/>
  <c r="AFR8" i="5"/>
  <c r="AFR9" i="5" s="1"/>
  <c r="AFR10" i="5" s="1"/>
  <c r="AFR13" i="5" s="1"/>
  <c r="AFQ8" i="5"/>
  <c r="AFQ9" i="5" s="1"/>
  <c r="AFQ10" i="5" s="1"/>
  <c r="AFQ13" i="5" s="1"/>
  <c r="AFP8" i="5"/>
  <c r="AFP9" i="5" s="1"/>
  <c r="AFP10" i="5" s="1"/>
  <c r="AFP13" i="5" s="1"/>
  <c r="AFO8" i="5"/>
  <c r="AFO9" i="5" s="1"/>
  <c r="AFO10" i="5" s="1"/>
  <c r="AFO13" i="5" s="1"/>
  <c r="AFN8" i="5"/>
  <c r="AFN9" i="5" s="1"/>
  <c r="AFN10" i="5" s="1"/>
  <c r="AFN13" i="5" s="1"/>
  <c r="AFM8" i="5"/>
  <c r="AFM9" i="5" s="1"/>
  <c r="AFM10" i="5" s="1"/>
  <c r="AFM13" i="5" s="1"/>
  <c r="AFL8" i="5"/>
  <c r="AFL9" i="5" s="1"/>
  <c r="AFL10" i="5" s="1"/>
  <c r="AFL13" i="5" s="1"/>
  <c r="AFK8" i="5"/>
  <c r="AFK9" i="5" s="1"/>
  <c r="AFK10" i="5" s="1"/>
  <c r="AFK13" i="5" s="1"/>
  <c r="AFJ8" i="5"/>
  <c r="AFJ9" i="5" s="1"/>
  <c r="AFJ10" i="5" s="1"/>
  <c r="AFJ13" i="5" s="1"/>
  <c r="AFI8" i="5"/>
  <c r="AFI9" i="5" s="1"/>
  <c r="AFI10" i="5" s="1"/>
  <c r="AFI13" i="5" s="1"/>
  <c r="AFH8" i="5"/>
  <c r="AFH9" i="5" s="1"/>
  <c r="AFH10" i="5" s="1"/>
  <c r="AFH13" i="5" s="1"/>
  <c r="AFG8" i="5"/>
  <c r="AFG9" i="5" s="1"/>
  <c r="AFG10" i="5" s="1"/>
  <c r="AFG13" i="5" s="1"/>
  <c r="AFF8" i="5"/>
  <c r="AFF9" i="5" s="1"/>
  <c r="AFF10" i="5" s="1"/>
  <c r="AFF13" i="5" s="1"/>
  <c r="AFE8" i="5"/>
  <c r="AFE9" i="5" s="1"/>
  <c r="AFE10" i="5" s="1"/>
  <c r="AFE13" i="5" s="1"/>
  <c r="AFD8" i="5"/>
  <c r="AFD9" i="5" s="1"/>
  <c r="AFD10" i="5" s="1"/>
  <c r="AFD13" i="5" s="1"/>
  <c r="AFC8" i="5"/>
  <c r="AFC9" i="5" s="1"/>
  <c r="AFC10" i="5" s="1"/>
  <c r="AFC13" i="5" s="1"/>
  <c r="AFB8" i="5"/>
  <c r="AFB9" i="5" s="1"/>
  <c r="AFB10" i="5" s="1"/>
  <c r="AFB13" i="5" s="1"/>
  <c r="AFA8" i="5"/>
  <c r="AFA9" i="5" s="1"/>
  <c r="AFA10" i="5" s="1"/>
  <c r="AFA13" i="5" s="1"/>
  <c r="AEZ8" i="5"/>
  <c r="AEZ9" i="5" s="1"/>
  <c r="AEZ10" i="5" s="1"/>
  <c r="AEZ13" i="5" s="1"/>
  <c r="AEY8" i="5"/>
  <c r="AEY9" i="5" s="1"/>
  <c r="AEY10" i="5" s="1"/>
  <c r="AEY13" i="5" s="1"/>
  <c r="AEX8" i="5"/>
  <c r="AEX9" i="5" s="1"/>
  <c r="AEX10" i="5" s="1"/>
  <c r="AEX13" i="5" s="1"/>
  <c r="AEW8" i="5"/>
  <c r="AEW9" i="5" s="1"/>
  <c r="AEW10" i="5" s="1"/>
  <c r="AEW13" i="5" s="1"/>
  <c r="AEV8" i="5"/>
  <c r="AEV9" i="5" s="1"/>
  <c r="AEV10" i="5" s="1"/>
  <c r="AEV13" i="5" s="1"/>
  <c r="AEU8" i="5"/>
  <c r="AEU9" i="5" s="1"/>
  <c r="AEU10" i="5" s="1"/>
  <c r="AEU13" i="5" s="1"/>
  <c r="AET8" i="5"/>
  <c r="AET9" i="5" s="1"/>
  <c r="AET10" i="5" s="1"/>
  <c r="AET13" i="5" s="1"/>
  <c r="AES8" i="5"/>
  <c r="AES9" i="5" s="1"/>
  <c r="AES10" i="5" s="1"/>
  <c r="AES13" i="5" s="1"/>
  <c r="AER8" i="5"/>
  <c r="AER9" i="5" s="1"/>
  <c r="AER10" i="5" s="1"/>
  <c r="AER13" i="5" s="1"/>
  <c r="AEQ8" i="5"/>
  <c r="AEQ9" i="5" s="1"/>
  <c r="AEQ10" i="5" s="1"/>
  <c r="AEQ13" i="5" s="1"/>
  <c r="AEP8" i="5"/>
  <c r="AEP9" i="5" s="1"/>
  <c r="AEP10" i="5" s="1"/>
  <c r="AEP13" i="5" s="1"/>
  <c r="AEO8" i="5"/>
  <c r="AEO9" i="5" s="1"/>
  <c r="AEO10" i="5" s="1"/>
  <c r="AEO13" i="5" s="1"/>
  <c r="AEM8" i="5"/>
  <c r="AEM9" i="5" s="1"/>
  <c r="AEM10" i="5" s="1"/>
  <c r="AEM13" i="5" s="1"/>
  <c r="AEL8" i="5"/>
  <c r="AEL9" i="5" s="1"/>
  <c r="AEL10" i="5" s="1"/>
  <c r="AEL13" i="5" s="1"/>
  <c r="AEK8" i="5"/>
  <c r="AEK9" i="5" s="1"/>
  <c r="AEK10" i="5" s="1"/>
  <c r="AEK13" i="5" s="1"/>
  <c r="AEJ8" i="5"/>
  <c r="AEJ9" i="5" s="1"/>
  <c r="AEJ10" i="5" s="1"/>
  <c r="AEJ13" i="5" s="1"/>
  <c r="AEI8" i="5"/>
  <c r="AEI9" i="5" s="1"/>
  <c r="AEI10" i="5" s="1"/>
  <c r="AEI13" i="5" s="1"/>
  <c r="AEH8" i="5"/>
  <c r="AEH9" i="5" s="1"/>
  <c r="AEH10" i="5" s="1"/>
  <c r="AEH13" i="5" s="1"/>
  <c r="AEG8" i="5"/>
  <c r="AEG9" i="5" s="1"/>
  <c r="AEG10" i="5" s="1"/>
  <c r="AEG13" i="5" s="1"/>
  <c r="AEF8" i="5"/>
  <c r="AEF9" i="5" s="1"/>
  <c r="AEF10" i="5" s="1"/>
  <c r="AEF13" i="5" s="1"/>
  <c r="AEE8" i="5"/>
  <c r="AEE9" i="5" s="1"/>
  <c r="AEE10" i="5" s="1"/>
  <c r="AEE13" i="5" s="1"/>
  <c r="AED8" i="5"/>
  <c r="AED9" i="5" s="1"/>
  <c r="AED10" i="5" s="1"/>
  <c r="AED13" i="5" s="1"/>
  <c r="AEC8" i="5"/>
  <c r="AEC9" i="5" s="1"/>
  <c r="AEC10" i="5" s="1"/>
  <c r="AEC13" i="5" s="1"/>
  <c r="AEB8" i="5"/>
  <c r="AEB9" i="5" s="1"/>
  <c r="AEB10" i="5" s="1"/>
  <c r="AEB13" i="5" s="1"/>
  <c r="AEA8" i="5"/>
  <c r="AEA9" i="5" s="1"/>
  <c r="AEA10" i="5" s="1"/>
  <c r="AEA13" i="5" s="1"/>
  <c r="ADZ8" i="5"/>
  <c r="ADZ9" i="5" s="1"/>
  <c r="ADZ10" i="5" s="1"/>
  <c r="ADZ13" i="5" s="1"/>
  <c r="ADY8" i="5"/>
  <c r="ADY9" i="5" s="1"/>
  <c r="ADY10" i="5" s="1"/>
  <c r="ADY13" i="5" s="1"/>
  <c r="ADX8" i="5"/>
  <c r="ADX9" i="5" s="1"/>
  <c r="ADX10" i="5" s="1"/>
  <c r="ADX13" i="5" s="1"/>
  <c r="ADW8" i="5"/>
  <c r="ADW9" i="5" s="1"/>
  <c r="ADW10" i="5" s="1"/>
  <c r="ADW13" i="5" s="1"/>
  <c r="ADV8" i="5"/>
  <c r="ADV9" i="5" s="1"/>
  <c r="ADV10" i="5" s="1"/>
  <c r="ADV13" i="5" s="1"/>
  <c r="ADU8" i="5"/>
  <c r="ADU9" i="5" s="1"/>
  <c r="ADU10" i="5" s="1"/>
  <c r="ADU13" i="5" s="1"/>
  <c r="ADT8" i="5"/>
  <c r="ADT9" i="5" s="1"/>
  <c r="ADT10" i="5" s="1"/>
  <c r="ADT13" i="5" s="1"/>
  <c r="ADS8" i="5"/>
  <c r="ADS9" i="5" s="1"/>
  <c r="ADS10" i="5" s="1"/>
  <c r="ADS13" i="5" s="1"/>
  <c r="ADR8" i="5"/>
  <c r="ADR9" i="5" s="1"/>
  <c r="ADR10" i="5" s="1"/>
  <c r="ADR13" i="5" s="1"/>
  <c r="ADQ8" i="5"/>
  <c r="ADQ9" i="5" s="1"/>
  <c r="ADQ10" i="5" s="1"/>
  <c r="ADQ13" i="5" s="1"/>
  <c r="ADP8" i="5"/>
  <c r="ADP9" i="5" s="1"/>
  <c r="ADP10" i="5" s="1"/>
  <c r="ADP13" i="5" s="1"/>
  <c r="ADO8" i="5"/>
  <c r="ADO9" i="5" s="1"/>
  <c r="ADO10" i="5" s="1"/>
  <c r="ADO13" i="5" s="1"/>
  <c r="ADN8" i="5"/>
  <c r="ADN9" i="5" s="1"/>
  <c r="ADN10" i="5" s="1"/>
  <c r="ADN13" i="5" s="1"/>
  <c r="ADM8" i="5"/>
  <c r="ADM9" i="5" s="1"/>
  <c r="ADM10" i="5" s="1"/>
  <c r="ADM13" i="5" s="1"/>
  <c r="ADL8" i="5"/>
  <c r="ADL9" i="5" s="1"/>
  <c r="ADL10" i="5" s="1"/>
  <c r="ADL13" i="5" s="1"/>
  <c r="ADK8" i="5"/>
  <c r="ADK9" i="5" s="1"/>
  <c r="ADK10" i="5" s="1"/>
  <c r="ADK13" i="5" s="1"/>
  <c r="ADJ8" i="5"/>
  <c r="ADJ9" i="5" s="1"/>
  <c r="ADJ10" i="5" s="1"/>
  <c r="ADJ13" i="5" s="1"/>
  <c r="ADH8" i="5"/>
  <c r="ADH9" i="5" s="1"/>
  <c r="ADH10" i="5" s="1"/>
  <c r="ADH13" i="5" s="1"/>
  <c r="ADG8" i="5"/>
  <c r="ADG9" i="5" s="1"/>
  <c r="ADG10" i="5" s="1"/>
  <c r="ADG13" i="5" s="1"/>
  <c r="ADF8" i="5"/>
  <c r="ADF9" i="5" s="1"/>
  <c r="ADF10" i="5" s="1"/>
  <c r="ADF13" i="5" s="1"/>
  <c r="ADE8" i="5"/>
  <c r="ADE9" i="5" s="1"/>
  <c r="ADE10" i="5" s="1"/>
  <c r="ADE13" i="5" s="1"/>
  <c r="ADD8" i="5"/>
  <c r="ADD9" i="5" s="1"/>
  <c r="ADD10" i="5" s="1"/>
  <c r="ADD13" i="5" s="1"/>
  <c r="ADC8" i="5"/>
  <c r="ADC9" i="5" s="1"/>
  <c r="ADC10" i="5" s="1"/>
  <c r="ADC13" i="5" s="1"/>
  <c r="ADB8" i="5"/>
  <c r="ADB9" i="5" s="1"/>
  <c r="ADB10" i="5" s="1"/>
  <c r="ADB13" i="5" s="1"/>
  <c r="ADA8" i="5"/>
  <c r="ADA9" i="5" s="1"/>
  <c r="ADA10" i="5" s="1"/>
  <c r="ADA13" i="5" s="1"/>
  <c r="ACZ8" i="5"/>
  <c r="ACZ9" i="5" s="1"/>
  <c r="ACZ10" i="5" s="1"/>
  <c r="ACZ13" i="5" s="1"/>
  <c r="ACY8" i="5"/>
  <c r="ACY9" i="5" s="1"/>
  <c r="ACY10" i="5" s="1"/>
  <c r="ACY13" i="5" s="1"/>
  <c r="ACX8" i="5"/>
  <c r="ACX9" i="5" s="1"/>
  <c r="ACX10" i="5" s="1"/>
  <c r="ACX13" i="5" s="1"/>
  <c r="ACW8" i="5"/>
  <c r="ACW9" i="5" s="1"/>
  <c r="ACW10" i="5" s="1"/>
  <c r="ACW13" i="5" s="1"/>
  <c r="ACV8" i="5"/>
  <c r="ACV9" i="5" s="1"/>
  <c r="ACV10" i="5" s="1"/>
  <c r="ACV13" i="5" s="1"/>
  <c r="ACU8" i="5"/>
  <c r="ACU9" i="5" s="1"/>
  <c r="ACU10" i="5" s="1"/>
  <c r="ACU13" i="5" s="1"/>
  <c r="ACT8" i="5"/>
  <c r="ACT9" i="5" s="1"/>
  <c r="ACT10" i="5" s="1"/>
  <c r="ACT13" i="5" s="1"/>
  <c r="ACS8" i="5"/>
  <c r="ACS9" i="5" s="1"/>
  <c r="ACS10" i="5" s="1"/>
  <c r="ACS13" i="5" s="1"/>
  <c r="ACR8" i="5"/>
  <c r="ACR9" i="5" s="1"/>
  <c r="ACR10" i="5" s="1"/>
  <c r="ACR13" i="5" s="1"/>
  <c r="ACQ8" i="5"/>
  <c r="ACQ9" i="5" s="1"/>
  <c r="ACQ10" i="5" s="1"/>
  <c r="ACQ13" i="5" s="1"/>
  <c r="ACP8" i="5"/>
  <c r="ACP9" i="5" s="1"/>
  <c r="ACP10" i="5" s="1"/>
  <c r="ACP13" i="5" s="1"/>
  <c r="ACO8" i="5"/>
  <c r="ACO9" i="5" s="1"/>
  <c r="ACO10" i="5" s="1"/>
  <c r="ACO13" i="5" s="1"/>
  <c r="ACN8" i="5"/>
  <c r="ACN9" i="5" s="1"/>
  <c r="ACN10" i="5" s="1"/>
  <c r="ACN13" i="5" s="1"/>
  <c r="ACM8" i="5"/>
  <c r="ACM9" i="5" s="1"/>
  <c r="ACM10" i="5" s="1"/>
  <c r="ACM13" i="5" s="1"/>
  <c r="ACL8" i="5"/>
  <c r="ACL9" i="5" s="1"/>
  <c r="ACL10" i="5" s="1"/>
  <c r="ACL13" i="5" s="1"/>
  <c r="ACK8" i="5"/>
  <c r="ACK9" i="5" s="1"/>
  <c r="ACK10" i="5" s="1"/>
  <c r="ACK13" i="5" s="1"/>
  <c r="ACJ8" i="5"/>
  <c r="ACJ9" i="5" s="1"/>
  <c r="ACJ10" i="5" s="1"/>
  <c r="ACJ13" i="5" s="1"/>
  <c r="ACI8" i="5"/>
  <c r="ACI9" i="5" s="1"/>
  <c r="ACI10" i="5" s="1"/>
  <c r="ACI13" i="5" s="1"/>
  <c r="ACH8" i="5"/>
  <c r="ACH9" i="5" s="1"/>
  <c r="ACH10" i="5" s="1"/>
  <c r="ACH13" i="5" s="1"/>
  <c r="ACG8" i="5"/>
  <c r="ACG9" i="5" s="1"/>
  <c r="ACG10" i="5" s="1"/>
  <c r="ACG13" i="5" s="1"/>
  <c r="ACF8" i="5"/>
  <c r="ACF9" i="5" s="1"/>
  <c r="ACF10" i="5" s="1"/>
  <c r="ACF13" i="5" s="1"/>
  <c r="ACE8" i="5"/>
  <c r="ACE9" i="5" s="1"/>
  <c r="ACE10" i="5" s="1"/>
  <c r="ACE13" i="5" s="1"/>
  <c r="ACD8" i="5"/>
  <c r="ACD9" i="5" s="1"/>
  <c r="ACD10" i="5" s="1"/>
  <c r="ACD13" i="5" s="1"/>
  <c r="ACB8" i="5"/>
  <c r="ACB9" i="5" s="1"/>
  <c r="ACB10" i="5" s="1"/>
  <c r="ACB13" i="5" s="1"/>
  <c r="ACA8" i="5"/>
  <c r="ACA9" i="5" s="1"/>
  <c r="ACA10" i="5" s="1"/>
  <c r="ACA13" i="5" s="1"/>
  <c r="ABZ8" i="5"/>
  <c r="ABZ9" i="5" s="1"/>
  <c r="ABZ10" i="5" s="1"/>
  <c r="ABZ13" i="5" s="1"/>
  <c r="ABY8" i="5"/>
  <c r="ABY9" i="5" s="1"/>
  <c r="ABY10" i="5" s="1"/>
  <c r="ABY13" i="5" s="1"/>
  <c r="ABX8" i="5"/>
  <c r="ABX9" i="5" s="1"/>
  <c r="ABX10" i="5" s="1"/>
  <c r="ABX13" i="5" s="1"/>
  <c r="ABW8" i="5"/>
  <c r="ABW9" i="5" s="1"/>
  <c r="ABW10" i="5" s="1"/>
  <c r="ABW13" i="5" s="1"/>
  <c r="ABV8" i="5"/>
  <c r="ABV9" i="5" s="1"/>
  <c r="ABV10" i="5" s="1"/>
  <c r="ABV13" i="5" s="1"/>
  <c r="ABU8" i="5"/>
  <c r="ABU9" i="5" s="1"/>
  <c r="ABU10" i="5" s="1"/>
  <c r="ABU13" i="5" s="1"/>
  <c r="ABT8" i="5"/>
  <c r="ABT9" i="5" s="1"/>
  <c r="ABT10" i="5" s="1"/>
  <c r="ABT13" i="5" s="1"/>
  <c r="ABS8" i="5"/>
  <c r="ABS9" i="5" s="1"/>
  <c r="ABS10" i="5" s="1"/>
  <c r="ABS13" i="5" s="1"/>
  <c r="ABR8" i="5"/>
  <c r="ABR9" i="5" s="1"/>
  <c r="ABR10" i="5" s="1"/>
  <c r="ABR13" i="5" s="1"/>
  <c r="ABQ8" i="5"/>
  <c r="ABQ9" i="5" s="1"/>
  <c r="ABQ10" i="5" s="1"/>
  <c r="ABQ13" i="5" s="1"/>
  <c r="ABP8" i="5"/>
  <c r="ABP9" i="5" s="1"/>
  <c r="ABP10" i="5" s="1"/>
  <c r="ABP13" i="5" s="1"/>
  <c r="ABO8" i="5"/>
  <c r="ABO9" i="5" s="1"/>
  <c r="ABO10" i="5" s="1"/>
  <c r="ABO13" i="5" s="1"/>
  <c r="ABN8" i="5"/>
  <c r="ABN9" i="5" s="1"/>
  <c r="ABN10" i="5" s="1"/>
  <c r="ABN13" i="5" s="1"/>
  <c r="ABM8" i="5"/>
  <c r="ABM9" i="5" s="1"/>
  <c r="ABM10" i="5" s="1"/>
  <c r="ABM13" i="5" s="1"/>
  <c r="ABL8" i="5"/>
  <c r="ABL9" i="5" s="1"/>
  <c r="ABL10" i="5" s="1"/>
  <c r="ABL13" i="5" s="1"/>
  <c r="ABK8" i="5"/>
  <c r="ABK9" i="5" s="1"/>
  <c r="ABK10" i="5" s="1"/>
  <c r="ABK13" i="5" s="1"/>
  <c r="ABJ8" i="5"/>
  <c r="ABJ9" i="5" s="1"/>
  <c r="ABJ10" i="5" s="1"/>
  <c r="ABJ13" i="5" s="1"/>
  <c r="ABI8" i="5"/>
  <c r="ABI9" i="5" s="1"/>
  <c r="ABI10" i="5" s="1"/>
  <c r="ABI13" i="5" s="1"/>
  <c r="ABH8" i="5"/>
  <c r="ABH9" i="5" s="1"/>
  <c r="ABH10" i="5" s="1"/>
  <c r="ABH13" i="5" s="1"/>
  <c r="ABG8" i="5"/>
  <c r="ABG9" i="5" s="1"/>
  <c r="ABG10" i="5" s="1"/>
  <c r="ABG13" i="5" s="1"/>
  <c r="ABF8" i="5"/>
  <c r="ABF9" i="5" s="1"/>
  <c r="ABF10" i="5" s="1"/>
  <c r="ABF13" i="5" s="1"/>
  <c r="ABE8" i="5"/>
  <c r="ABE9" i="5" s="1"/>
  <c r="ABE10" i="5" s="1"/>
  <c r="ABE13" i="5" s="1"/>
  <c r="ABD8" i="5"/>
  <c r="ABD9" i="5" s="1"/>
  <c r="ABD10" i="5" s="1"/>
  <c r="ABD13" i="5" s="1"/>
  <c r="ABC8" i="5"/>
  <c r="ABC9" i="5" s="1"/>
  <c r="ABC10" i="5" s="1"/>
  <c r="ABC13" i="5" s="1"/>
  <c r="ABB8" i="5"/>
  <c r="ABB9" i="5" s="1"/>
  <c r="ABB10" i="5" s="1"/>
  <c r="ABB13" i="5" s="1"/>
  <c r="ABA8" i="5"/>
  <c r="ABA9" i="5" s="1"/>
  <c r="ABA10" i="5" s="1"/>
  <c r="ABA13" i="5" s="1"/>
  <c r="AAZ8" i="5"/>
  <c r="AAZ9" i="5" s="1"/>
  <c r="AAZ10" i="5" s="1"/>
  <c r="AAZ13" i="5" s="1"/>
  <c r="AAY8" i="5"/>
  <c r="AAY9" i="5" s="1"/>
  <c r="AAY10" i="5" s="1"/>
  <c r="AAY13" i="5" s="1"/>
  <c r="AAX8" i="5"/>
  <c r="AAX9" i="5" s="1"/>
  <c r="AAX10" i="5" s="1"/>
  <c r="AAX13" i="5" s="1"/>
  <c r="AAV8" i="5"/>
  <c r="AAV9" i="5" s="1"/>
  <c r="AAV10" i="5" s="1"/>
  <c r="AAV13" i="5" s="1"/>
  <c r="AAU8" i="5"/>
  <c r="AAU9" i="5" s="1"/>
  <c r="AAU10" i="5" s="1"/>
  <c r="AAU13" i="5" s="1"/>
  <c r="AAT8" i="5"/>
  <c r="AAT9" i="5" s="1"/>
  <c r="AAT10" i="5" s="1"/>
  <c r="AAT13" i="5" s="1"/>
  <c r="AAS8" i="5"/>
  <c r="AAS9" i="5" s="1"/>
  <c r="AAS10" i="5" s="1"/>
  <c r="AAS13" i="5" s="1"/>
  <c r="AAR8" i="5"/>
  <c r="AAR9" i="5" s="1"/>
  <c r="AAR10" i="5" s="1"/>
  <c r="AAR13" i="5" s="1"/>
  <c r="AAQ8" i="5"/>
  <c r="AAQ9" i="5" s="1"/>
  <c r="AAQ10" i="5" s="1"/>
  <c r="AAQ13" i="5" s="1"/>
  <c r="AAP8" i="5"/>
  <c r="AAP9" i="5" s="1"/>
  <c r="AAP10" i="5" s="1"/>
  <c r="AAP13" i="5" s="1"/>
  <c r="AAO8" i="5"/>
  <c r="AAO9" i="5" s="1"/>
  <c r="AAO10" i="5" s="1"/>
  <c r="AAO13" i="5" s="1"/>
  <c r="AAN8" i="5"/>
  <c r="AAN9" i="5" s="1"/>
  <c r="AAN10" i="5" s="1"/>
  <c r="AAN13" i="5" s="1"/>
  <c r="AAM8" i="5"/>
  <c r="AAM9" i="5" s="1"/>
  <c r="AAM10" i="5" s="1"/>
  <c r="AAM13" i="5" s="1"/>
  <c r="AAL8" i="5"/>
  <c r="AAL9" i="5" s="1"/>
  <c r="AAL10" i="5" s="1"/>
  <c r="AAL13" i="5" s="1"/>
  <c r="AAK8" i="5"/>
  <c r="AAK9" i="5" s="1"/>
  <c r="AAK10" i="5" s="1"/>
  <c r="AAK13" i="5" s="1"/>
  <c r="AAJ8" i="5"/>
  <c r="AAJ9" i="5" s="1"/>
  <c r="AAJ10" i="5" s="1"/>
  <c r="AAJ13" i="5" s="1"/>
  <c r="AAI8" i="5"/>
  <c r="AAI9" i="5" s="1"/>
  <c r="AAI10" i="5" s="1"/>
  <c r="AAI13" i="5" s="1"/>
  <c r="AAH8" i="5"/>
  <c r="AAH9" i="5" s="1"/>
  <c r="AAH10" i="5" s="1"/>
  <c r="AAH13" i="5" s="1"/>
  <c r="AAG8" i="5"/>
  <c r="AAG9" i="5" s="1"/>
  <c r="AAG10" i="5" s="1"/>
  <c r="AAG13" i="5" s="1"/>
  <c r="AAF8" i="5"/>
  <c r="AAF9" i="5" s="1"/>
  <c r="AAF10" i="5" s="1"/>
  <c r="AAF13" i="5" s="1"/>
  <c r="AAE8" i="5"/>
  <c r="AAE9" i="5" s="1"/>
  <c r="AAE10" i="5" s="1"/>
  <c r="AAE13" i="5" s="1"/>
  <c r="AAD8" i="5"/>
  <c r="AAD9" i="5" s="1"/>
  <c r="AAD10" i="5" s="1"/>
  <c r="AAD13" i="5" s="1"/>
  <c r="AAC8" i="5"/>
  <c r="AAC9" i="5" s="1"/>
  <c r="AAC10" i="5" s="1"/>
  <c r="AAC13" i="5" s="1"/>
  <c r="AAB8" i="5"/>
  <c r="AAB9" i="5" s="1"/>
  <c r="AAB10" i="5" s="1"/>
  <c r="AAB13" i="5" s="1"/>
  <c r="AAA8" i="5"/>
  <c r="AAA9" i="5" s="1"/>
  <c r="AAA10" i="5" s="1"/>
  <c r="AAA13" i="5" s="1"/>
  <c r="ZZ8" i="5"/>
  <c r="ZZ9" i="5" s="1"/>
  <c r="ZZ10" i="5" s="1"/>
  <c r="ZZ13" i="5" s="1"/>
  <c r="ZY8" i="5"/>
  <c r="ZY9" i="5" s="1"/>
  <c r="ZY10" i="5" s="1"/>
  <c r="ZY13" i="5" s="1"/>
  <c r="ZX8" i="5"/>
  <c r="ZX9" i="5" s="1"/>
  <c r="ZX10" i="5" s="1"/>
  <c r="ZX13" i="5" s="1"/>
  <c r="ZW8" i="5"/>
  <c r="ZW9" i="5" s="1"/>
  <c r="ZW10" i="5" s="1"/>
  <c r="ZW13" i="5" s="1"/>
  <c r="ZV8" i="5"/>
  <c r="ZV9" i="5" s="1"/>
  <c r="ZV10" i="5" s="1"/>
  <c r="ZV13" i="5" s="1"/>
  <c r="ZU8" i="5"/>
  <c r="ZU9" i="5" s="1"/>
  <c r="ZU10" i="5" s="1"/>
  <c r="ZU13" i="5" s="1"/>
  <c r="ZT8" i="5"/>
  <c r="ZT9" i="5" s="1"/>
  <c r="ZT10" i="5" s="1"/>
  <c r="ZT13" i="5" s="1"/>
  <c r="ZS8" i="5"/>
  <c r="ZS9" i="5" s="1"/>
  <c r="ZS10" i="5" s="1"/>
  <c r="ZS13" i="5" s="1"/>
  <c r="ZQ8" i="5"/>
  <c r="ZQ9" i="5" s="1"/>
  <c r="ZQ10" i="5" s="1"/>
  <c r="ZQ13" i="5" s="1"/>
  <c r="ZP8" i="5"/>
  <c r="ZP9" i="5" s="1"/>
  <c r="ZP10" i="5" s="1"/>
  <c r="ZP13" i="5" s="1"/>
  <c r="ZO8" i="5"/>
  <c r="ZO9" i="5" s="1"/>
  <c r="ZO10" i="5" s="1"/>
  <c r="ZO13" i="5" s="1"/>
  <c r="ZN8" i="5"/>
  <c r="ZN9" i="5" s="1"/>
  <c r="ZN10" i="5" s="1"/>
  <c r="ZN13" i="5" s="1"/>
  <c r="ZM8" i="5"/>
  <c r="ZM9" i="5" s="1"/>
  <c r="ZM10" i="5" s="1"/>
  <c r="ZM13" i="5" s="1"/>
  <c r="ZL8" i="5"/>
  <c r="ZL9" i="5" s="1"/>
  <c r="ZL10" i="5" s="1"/>
  <c r="ZL13" i="5" s="1"/>
  <c r="ZK8" i="5"/>
  <c r="ZK9" i="5" s="1"/>
  <c r="ZK10" i="5" s="1"/>
  <c r="ZK13" i="5" s="1"/>
  <c r="ZJ8" i="5"/>
  <c r="ZJ9" i="5" s="1"/>
  <c r="ZJ10" i="5" s="1"/>
  <c r="ZJ13" i="5" s="1"/>
  <c r="ZI8" i="5"/>
  <c r="ZI9" i="5" s="1"/>
  <c r="ZI10" i="5" s="1"/>
  <c r="ZI13" i="5" s="1"/>
  <c r="ZH8" i="5"/>
  <c r="ZH9" i="5" s="1"/>
  <c r="ZH10" i="5" s="1"/>
  <c r="ZH13" i="5" s="1"/>
  <c r="ZG8" i="5"/>
  <c r="ZG9" i="5" s="1"/>
  <c r="ZG10" i="5" s="1"/>
  <c r="ZG13" i="5" s="1"/>
  <c r="ZF8" i="5"/>
  <c r="ZF9" i="5" s="1"/>
  <c r="ZF10" i="5" s="1"/>
  <c r="ZF13" i="5" s="1"/>
  <c r="ZE8" i="5"/>
  <c r="ZE9" i="5" s="1"/>
  <c r="ZE10" i="5" s="1"/>
  <c r="ZE13" i="5" s="1"/>
  <c r="ZD8" i="5"/>
  <c r="ZD9" i="5" s="1"/>
  <c r="ZD10" i="5" s="1"/>
  <c r="ZD13" i="5" s="1"/>
  <c r="ZC8" i="5"/>
  <c r="ZC9" i="5" s="1"/>
  <c r="ZC10" i="5" s="1"/>
  <c r="ZC13" i="5" s="1"/>
  <c r="ZB8" i="5"/>
  <c r="ZB9" i="5" s="1"/>
  <c r="ZB10" i="5" s="1"/>
  <c r="ZB13" i="5" s="1"/>
  <c r="ZA8" i="5"/>
  <c r="ZA9" i="5" s="1"/>
  <c r="ZA10" i="5" s="1"/>
  <c r="ZA13" i="5" s="1"/>
  <c r="YZ8" i="5"/>
  <c r="YZ9" i="5" s="1"/>
  <c r="YZ10" i="5" s="1"/>
  <c r="YZ13" i="5" s="1"/>
  <c r="YY8" i="5"/>
  <c r="YY9" i="5" s="1"/>
  <c r="YY10" i="5" s="1"/>
  <c r="YY13" i="5" s="1"/>
  <c r="YX8" i="5"/>
  <c r="YX9" i="5" s="1"/>
  <c r="YX10" i="5" s="1"/>
  <c r="YX13" i="5" s="1"/>
  <c r="YW8" i="5"/>
  <c r="YW9" i="5" s="1"/>
  <c r="YW10" i="5" s="1"/>
  <c r="YW13" i="5" s="1"/>
  <c r="YV8" i="5"/>
  <c r="YV9" i="5" s="1"/>
  <c r="YV10" i="5" s="1"/>
  <c r="YV13" i="5" s="1"/>
  <c r="YU8" i="5"/>
  <c r="YU9" i="5" s="1"/>
  <c r="YU10" i="5" s="1"/>
  <c r="YU13" i="5" s="1"/>
  <c r="YT8" i="5"/>
  <c r="YT9" i="5" s="1"/>
  <c r="YT10" i="5" s="1"/>
  <c r="YT13" i="5" s="1"/>
  <c r="YS8" i="5"/>
  <c r="YS9" i="5" s="1"/>
  <c r="YS10" i="5" s="1"/>
  <c r="YS13" i="5" s="1"/>
  <c r="YR8" i="5"/>
  <c r="YR9" i="5" s="1"/>
  <c r="YR10" i="5" s="1"/>
  <c r="YR13" i="5" s="1"/>
  <c r="YQ8" i="5"/>
  <c r="YQ9" i="5" s="1"/>
  <c r="YQ10" i="5" s="1"/>
  <c r="YQ13" i="5" s="1"/>
  <c r="YP8" i="5"/>
  <c r="YP9" i="5" s="1"/>
  <c r="YP10" i="5" s="1"/>
  <c r="YP13" i="5" s="1"/>
  <c r="YO8" i="5"/>
  <c r="YO9" i="5" s="1"/>
  <c r="YO10" i="5" s="1"/>
  <c r="YO13" i="5" s="1"/>
  <c r="YN8" i="5"/>
  <c r="YN9" i="5" s="1"/>
  <c r="YN10" i="5" s="1"/>
  <c r="YN13" i="5" s="1"/>
  <c r="YM8" i="5"/>
  <c r="YM9" i="5" s="1"/>
  <c r="YM10" i="5" s="1"/>
  <c r="YM13" i="5" s="1"/>
  <c r="YK8" i="5"/>
  <c r="YK9" i="5" s="1"/>
  <c r="YK10" i="5" s="1"/>
  <c r="YK13" i="5" s="1"/>
  <c r="YJ8" i="5"/>
  <c r="YJ9" i="5" s="1"/>
  <c r="YJ10" i="5" s="1"/>
  <c r="YJ13" i="5" s="1"/>
  <c r="YI8" i="5"/>
  <c r="YI9" i="5" s="1"/>
  <c r="YI10" i="5" s="1"/>
  <c r="YI13" i="5" s="1"/>
  <c r="YH8" i="5"/>
  <c r="YH9" i="5" s="1"/>
  <c r="YH10" i="5" s="1"/>
  <c r="YH13" i="5" s="1"/>
  <c r="YG8" i="5"/>
  <c r="YG9" i="5" s="1"/>
  <c r="YG10" i="5" s="1"/>
  <c r="YG13" i="5" s="1"/>
  <c r="YF8" i="5"/>
  <c r="YF9" i="5" s="1"/>
  <c r="YF10" i="5" s="1"/>
  <c r="YF13" i="5" s="1"/>
  <c r="YE8" i="5"/>
  <c r="YE9" i="5" s="1"/>
  <c r="YE10" i="5" s="1"/>
  <c r="YE13" i="5" s="1"/>
  <c r="YD8" i="5"/>
  <c r="YD9" i="5" s="1"/>
  <c r="YD10" i="5" s="1"/>
  <c r="YD13" i="5" s="1"/>
  <c r="YC8" i="5"/>
  <c r="YC9" i="5" s="1"/>
  <c r="YC10" i="5" s="1"/>
  <c r="YC13" i="5" s="1"/>
  <c r="YB8" i="5"/>
  <c r="YB9" i="5" s="1"/>
  <c r="YB10" i="5" s="1"/>
  <c r="YB13" i="5" s="1"/>
  <c r="YA8" i="5"/>
  <c r="YA9" i="5" s="1"/>
  <c r="YA10" i="5" s="1"/>
  <c r="YA13" i="5" s="1"/>
  <c r="XZ8" i="5"/>
  <c r="XZ9" i="5" s="1"/>
  <c r="XZ10" i="5" s="1"/>
  <c r="XZ13" i="5" s="1"/>
  <c r="XY8" i="5"/>
  <c r="XY9" i="5" s="1"/>
  <c r="XY10" i="5" s="1"/>
  <c r="XY13" i="5" s="1"/>
  <c r="XX8" i="5"/>
  <c r="XX9" i="5" s="1"/>
  <c r="XX10" i="5" s="1"/>
  <c r="XX13" i="5" s="1"/>
  <c r="XW8" i="5"/>
  <c r="XW9" i="5" s="1"/>
  <c r="XW10" i="5" s="1"/>
  <c r="XW13" i="5" s="1"/>
  <c r="XV8" i="5"/>
  <c r="XV9" i="5" s="1"/>
  <c r="XV10" i="5" s="1"/>
  <c r="XV13" i="5" s="1"/>
  <c r="XU8" i="5"/>
  <c r="XU9" i="5" s="1"/>
  <c r="XU10" i="5" s="1"/>
  <c r="XU13" i="5" s="1"/>
  <c r="XT8" i="5"/>
  <c r="XT9" i="5" s="1"/>
  <c r="XT10" i="5" s="1"/>
  <c r="XT13" i="5" s="1"/>
  <c r="XS8" i="5"/>
  <c r="XS9" i="5" s="1"/>
  <c r="XS10" i="5" s="1"/>
  <c r="XS13" i="5" s="1"/>
  <c r="XR8" i="5"/>
  <c r="XR9" i="5" s="1"/>
  <c r="XR10" i="5" s="1"/>
  <c r="XR13" i="5" s="1"/>
  <c r="XQ8" i="5"/>
  <c r="XQ9" i="5" s="1"/>
  <c r="XQ10" i="5" s="1"/>
  <c r="XQ13" i="5" s="1"/>
  <c r="XP8" i="5"/>
  <c r="XP9" i="5" s="1"/>
  <c r="XP10" i="5" s="1"/>
  <c r="XP13" i="5" s="1"/>
  <c r="XO8" i="5"/>
  <c r="XO9" i="5" s="1"/>
  <c r="XO10" i="5" s="1"/>
  <c r="XO13" i="5" s="1"/>
  <c r="XN8" i="5"/>
  <c r="XN9" i="5" s="1"/>
  <c r="XN10" i="5" s="1"/>
  <c r="XN13" i="5" s="1"/>
  <c r="XM8" i="5"/>
  <c r="XM9" i="5" s="1"/>
  <c r="XM10" i="5" s="1"/>
  <c r="XM13" i="5" s="1"/>
  <c r="XL8" i="5"/>
  <c r="XL9" i="5" s="1"/>
  <c r="XL10" i="5" s="1"/>
  <c r="XL13" i="5" s="1"/>
  <c r="XK8" i="5"/>
  <c r="XK9" i="5" s="1"/>
  <c r="XK10" i="5" s="1"/>
  <c r="XK13" i="5" s="1"/>
  <c r="XJ8" i="5"/>
  <c r="XJ9" i="5" s="1"/>
  <c r="XJ10" i="5" s="1"/>
  <c r="XJ13" i="5" s="1"/>
  <c r="XI8" i="5"/>
  <c r="XI9" i="5" s="1"/>
  <c r="XI10" i="5" s="1"/>
  <c r="XI13" i="5" s="1"/>
  <c r="XH8" i="5"/>
  <c r="XH9" i="5" s="1"/>
  <c r="XH10" i="5" s="1"/>
  <c r="XH13" i="5" s="1"/>
  <c r="XF8" i="5"/>
  <c r="XF9" i="5" s="1"/>
  <c r="XF10" i="5" s="1"/>
  <c r="XF13" i="5" s="1"/>
  <c r="XE8" i="5"/>
  <c r="XE9" i="5" s="1"/>
  <c r="XE10" i="5" s="1"/>
  <c r="XE13" i="5" s="1"/>
  <c r="XD8" i="5"/>
  <c r="XD9" i="5" s="1"/>
  <c r="XD10" i="5" s="1"/>
  <c r="XD13" i="5" s="1"/>
  <c r="XC8" i="5"/>
  <c r="XC9" i="5" s="1"/>
  <c r="XC10" i="5" s="1"/>
  <c r="XC13" i="5" s="1"/>
  <c r="XB8" i="5"/>
  <c r="XB9" i="5" s="1"/>
  <c r="XB10" i="5" s="1"/>
  <c r="XB13" i="5" s="1"/>
  <c r="XA8" i="5"/>
  <c r="XA9" i="5" s="1"/>
  <c r="XA10" i="5" s="1"/>
  <c r="XA13" i="5" s="1"/>
  <c r="WZ8" i="5"/>
  <c r="WZ9" i="5" s="1"/>
  <c r="WZ10" i="5" s="1"/>
  <c r="WZ13" i="5" s="1"/>
  <c r="WY8" i="5"/>
  <c r="WY9" i="5" s="1"/>
  <c r="WY10" i="5" s="1"/>
  <c r="WY13" i="5" s="1"/>
  <c r="WX8" i="5"/>
  <c r="WX9" i="5" s="1"/>
  <c r="WX10" i="5" s="1"/>
  <c r="WX13" i="5" s="1"/>
  <c r="WW8" i="5"/>
  <c r="WW9" i="5" s="1"/>
  <c r="WW10" i="5" s="1"/>
  <c r="WW13" i="5" s="1"/>
  <c r="WV8" i="5"/>
  <c r="WV9" i="5" s="1"/>
  <c r="WV10" i="5" s="1"/>
  <c r="WV13" i="5" s="1"/>
  <c r="WU8" i="5"/>
  <c r="WU9" i="5" s="1"/>
  <c r="WU10" i="5" s="1"/>
  <c r="WU13" i="5" s="1"/>
  <c r="WT8" i="5"/>
  <c r="WT9" i="5" s="1"/>
  <c r="WT10" i="5" s="1"/>
  <c r="WT13" i="5" s="1"/>
  <c r="WS8" i="5"/>
  <c r="WS9" i="5" s="1"/>
  <c r="WS10" i="5" s="1"/>
  <c r="WS13" i="5" s="1"/>
  <c r="WR8" i="5"/>
  <c r="WR9" i="5" s="1"/>
  <c r="WR10" i="5" s="1"/>
  <c r="WR13" i="5" s="1"/>
  <c r="WQ8" i="5"/>
  <c r="WQ9" i="5" s="1"/>
  <c r="WQ10" i="5" s="1"/>
  <c r="WQ13" i="5" s="1"/>
  <c r="WP8" i="5"/>
  <c r="WP9" i="5" s="1"/>
  <c r="WP10" i="5" s="1"/>
  <c r="WP13" i="5" s="1"/>
  <c r="WO8" i="5"/>
  <c r="WO9" i="5" s="1"/>
  <c r="WO10" i="5" s="1"/>
  <c r="WO13" i="5" s="1"/>
  <c r="WN8" i="5"/>
  <c r="WN9" i="5" s="1"/>
  <c r="WN10" i="5" s="1"/>
  <c r="WN13" i="5" s="1"/>
  <c r="WM8" i="5"/>
  <c r="WM9" i="5" s="1"/>
  <c r="WM10" i="5" s="1"/>
  <c r="WM13" i="5" s="1"/>
  <c r="WL8" i="5"/>
  <c r="WL9" i="5" s="1"/>
  <c r="WL10" i="5" s="1"/>
  <c r="WL13" i="5" s="1"/>
  <c r="WK8" i="5"/>
  <c r="WK9" i="5" s="1"/>
  <c r="WK10" i="5" s="1"/>
  <c r="WK13" i="5" s="1"/>
  <c r="WJ8" i="5"/>
  <c r="WJ9" i="5" s="1"/>
  <c r="WJ10" i="5" s="1"/>
  <c r="WJ13" i="5" s="1"/>
  <c r="WI8" i="5"/>
  <c r="WI9" i="5" s="1"/>
  <c r="WI10" i="5" s="1"/>
  <c r="WI13" i="5" s="1"/>
  <c r="WH8" i="5"/>
  <c r="WH9" i="5" s="1"/>
  <c r="WH10" i="5" s="1"/>
  <c r="WH13" i="5" s="1"/>
  <c r="WG8" i="5"/>
  <c r="WG9" i="5" s="1"/>
  <c r="WG10" i="5" s="1"/>
  <c r="WG13" i="5" s="1"/>
  <c r="WF8" i="5"/>
  <c r="WF9" i="5" s="1"/>
  <c r="WF10" i="5" s="1"/>
  <c r="WF13" i="5" s="1"/>
  <c r="WE8" i="5"/>
  <c r="WE9" i="5" s="1"/>
  <c r="WE10" i="5" s="1"/>
  <c r="WE13" i="5" s="1"/>
  <c r="WD8" i="5"/>
  <c r="WD9" i="5" s="1"/>
  <c r="WD10" i="5" s="1"/>
  <c r="WD13" i="5" s="1"/>
  <c r="WC8" i="5"/>
  <c r="WC9" i="5" s="1"/>
  <c r="WC10" i="5" s="1"/>
  <c r="WC13" i="5" s="1"/>
  <c r="WB8" i="5"/>
  <c r="WB9" i="5" s="1"/>
  <c r="WB10" i="5" s="1"/>
  <c r="WB13" i="5" s="1"/>
  <c r="VZ8" i="5"/>
  <c r="VZ9" i="5" s="1"/>
  <c r="VZ10" i="5" s="1"/>
  <c r="VZ13" i="5" s="1"/>
  <c r="VY8" i="5"/>
  <c r="VY9" i="5" s="1"/>
  <c r="VY10" i="5" s="1"/>
  <c r="VY13" i="5" s="1"/>
  <c r="VX8" i="5"/>
  <c r="VX9" i="5" s="1"/>
  <c r="VX10" i="5" s="1"/>
  <c r="VX13" i="5" s="1"/>
  <c r="VW8" i="5"/>
  <c r="VW9" i="5" s="1"/>
  <c r="VW10" i="5" s="1"/>
  <c r="VW13" i="5" s="1"/>
  <c r="VV8" i="5"/>
  <c r="VV9" i="5" s="1"/>
  <c r="VV10" i="5" s="1"/>
  <c r="VV13" i="5" s="1"/>
  <c r="VU8" i="5"/>
  <c r="VU9" i="5" s="1"/>
  <c r="VU10" i="5" s="1"/>
  <c r="VU13" i="5" s="1"/>
  <c r="VT8" i="5"/>
  <c r="VT9" i="5" s="1"/>
  <c r="VT10" i="5" s="1"/>
  <c r="VT13" i="5" s="1"/>
  <c r="VS8" i="5"/>
  <c r="VS9" i="5" s="1"/>
  <c r="VS10" i="5" s="1"/>
  <c r="VS13" i="5" s="1"/>
  <c r="VR8" i="5"/>
  <c r="VR9" i="5" s="1"/>
  <c r="VR10" i="5" s="1"/>
  <c r="VR13" i="5" s="1"/>
  <c r="VQ8" i="5"/>
  <c r="VQ9" i="5" s="1"/>
  <c r="VQ10" i="5" s="1"/>
  <c r="VQ13" i="5" s="1"/>
  <c r="VP8" i="5"/>
  <c r="VP9" i="5" s="1"/>
  <c r="VP10" i="5" s="1"/>
  <c r="VP13" i="5" s="1"/>
  <c r="VO8" i="5"/>
  <c r="VO9" i="5" s="1"/>
  <c r="VN8" i="5"/>
  <c r="VN9" i="5" s="1"/>
  <c r="VM8" i="5"/>
  <c r="VM9" i="5" s="1"/>
  <c r="VL8" i="5"/>
  <c r="VL9" i="5" s="1"/>
  <c r="VK8" i="5"/>
  <c r="VK9" i="5" s="1"/>
  <c r="VJ8" i="5"/>
  <c r="VJ9" i="5" s="1"/>
  <c r="VI8" i="5"/>
  <c r="VI9" i="5" s="1"/>
  <c r="VH8" i="5"/>
  <c r="VH9" i="5" s="1"/>
  <c r="VG8" i="5"/>
  <c r="VG9" i="5" s="1"/>
  <c r="VF8" i="5"/>
  <c r="VF9" i="5" s="1"/>
  <c r="VE8" i="5"/>
  <c r="VE9" i="5" s="1"/>
  <c r="VD8" i="5"/>
  <c r="VD9" i="5" s="1"/>
  <c r="VC8" i="5"/>
  <c r="VC9" i="5" s="1"/>
  <c r="VB8" i="5"/>
  <c r="VB9" i="5" s="1"/>
  <c r="VA8" i="5"/>
  <c r="VA9" i="5" s="1"/>
  <c r="UZ8" i="5"/>
  <c r="UZ9" i="5" s="1"/>
  <c r="UY8" i="5"/>
  <c r="UY9" i="5" s="1"/>
  <c r="UW8" i="5"/>
  <c r="UW9" i="5" s="1"/>
  <c r="UV8" i="5"/>
  <c r="UV9" i="5" s="1"/>
  <c r="UU8" i="5"/>
  <c r="UU9" i="5" s="1"/>
  <c r="UT8" i="5"/>
  <c r="UT9" i="5" s="1"/>
  <c r="US8" i="5"/>
  <c r="US9" i="5" s="1"/>
  <c r="UR8" i="5"/>
  <c r="UR9" i="5" s="1"/>
  <c r="UP8" i="5"/>
  <c r="UP9" i="5" s="1"/>
  <c r="UO8" i="5"/>
  <c r="UO9" i="5" s="1"/>
  <c r="UN8" i="5"/>
  <c r="UN9" i="5" s="1"/>
  <c r="UM8" i="5"/>
  <c r="UM9" i="5" s="1"/>
  <c r="UL8" i="5"/>
  <c r="UL9" i="5" s="1"/>
  <c r="UK8" i="5"/>
  <c r="UK9" i="5" s="1"/>
  <c r="UJ8" i="5"/>
  <c r="UJ9" i="5" s="1"/>
  <c r="UI8" i="5"/>
  <c r="UI9" i="5" s="1"/>
  <c r="UH8" i="5"/>
  <c r="UH9" i="5" s="1"/>
  <c r="UG8" i="5"/>
  <c r="UG9" i="5" s="1"/>
  <c r="UF8" i="5"/>
  <c r="UF9" i="5" s="1"/>
  <c r="UE8" i="5"/>
  <c r="UE9" i="5" s="1"/>
  <c r="UD8" i="5"/>
  <c r="UD9" i="5" s="1"/>
  <c r="UC8" i="5"/>
  <c r="UC9" i="5" s="1"/>
  <c r="UB8" i="5"/>
  <c r="UB9" i="5" s="1"/>
  <c r="UA8" i="5"/>
  <c r="UA9" i="5" s="1"/>
  <c r="TZ8" i="5"/>
  <c r="TZ9" i="5" s="1"/>
  <c r="TY8" i="5"/>
  <c r="TY9" i="5" s="1"/>
  <c r="TX8" i="5"/>
  <c r="TX9" i="5" s="1"/>
  <c r="TW8" i="5"/>
  <c r="TW9" i="5" s="1"/>
  <c r="TV8" i="5"/>
  <c r="TV9" i="5" s="1"/>
  <c r="TU8" i="5"/>
  <c r="TU9" i="5" s="1"/>
  <c r="TT8" i="5"/>
  <c r="TT9" i="5" s="1"/>
  <c r="TS8" i="5"/>
  <c r="TS9" i="5" s="1"/>
  <c r="TQ8" i="5"/>
  <c r="TQ9" i="5" s="1"/>
  <c r="TP8" i="5"/>
  <c r="TP9" i="5" s="1"/>
  <c r="TO8" i="5"/>
  <c r="TO9" i="5" s="1"/>
  <c r="TN8" i="5"/>
  <c r="TN9" i="5" s="1"/>
  <c r="TM8" i="5"/>
  <c r="TM9" i="5" s="1"/>
  <c r="TL8" i="5"/>
  <c r="TL9" i="5" s="1"/>
  <c r="TK8" i="5"/>
  <c r="TK9" i="5" s="1"/>
  <c r="TJ8" i="5"/>
  <c r="TJ9" i="5" s="1"/>
  <c r="TI8" i="5"/>
  <c r="TI9" i="5" s="1"/>
  <c r="TH8" i="5"/>
  <c r="TH9" i="5" s="1"/>
  <c r="TG8" i="5"/>
  <c r="TG9" i="5" s="1"/>
  <c r="TF8" i="5"/>
  <c r="TF9" i="5" s="1"/>
  <c r="TE8" i="5"/>
  <c r="TE9" i="5" s="1"/>
  <c r="TD8" i="5"/>
  <c r="TD9" i="5" s="1"/>
  <c r="TC8" i="5"/>
  <c r="TC9" i="5" s="1"/>
  <c r="TB8" i="5"/>
  <c r="TB9" i="5" s="1"/>
  <c r="TA8" i="5"/>
  <c r="TA9" i="5" s="1"/>
  <c r="SZ8" i="5"/>
  <c r="SZ9" i="5" s="1"/>
  <c r="SY8" i="5"/>
  <c r="SY9" i="5" s="1"/>
  <c r="SX8" i="5"/>
  <c r="SX9" i="5" s="1"/>
  <c r="SW8" i="5"/>
  <c r="SW9" i="5" s="1"/>
  <c r="SV8" i="5"/>
  <c r="SV9" i="5" s="1"/>
  <c r="SU8" i="5"/>
  <c r="SU9" i="5" s="1"/>
  <c r="ST8" i="5"/>
  <c r="ST9" i="5" s="1"/>
  <c r="SS8" i="5"/>
  <c r="SS9" i="5" s="1"/>
  <c r="SR8" i="5"/>
  <c r="SR9" i="5" s="1"/>
  <c r="SQ8" i="5"/>
  <c r="SQ9" i="5" s="1"/>
  <c r="SP8" i="5"/>
  <c r="SP9" i="5" s="1"/>
  <c r="SO8" i="5"/>
  <c r="SO9" i="5" s="1"/>
  <c r="SN8" i="5"/>
  <c r="SN9" i="5" s="1"/>
  <c r="SM8" i="5"/>
  <c r="SM9" i="5" s="1"/>
  <c r="SK8" i="5"/>
  <c r="SK9" i="5" s="1"/>
  <c r="SJ8" i="5"/>
  <c r="SJ9" i="5" s="1"/>
  <c r="SI8" i="5"/>
  <c r="SI9" i="5" s="1"/>
  <c r="SH8" i="5"/>
  <c r="SH9" i="5" s="1"/>
  <c r="SG8" i="5"/>
  <c r="SG9" i="5" s="1"/>
  <c r="SF8" i="5"/>
  <c r="SF9" i="5" s="1"/>
  <c r="SE8" i="5"/>
  <c r="SE9" i="5" s="1"/>
  <c r="SD8" i="5"/>
  <c r="SD9" i="5" s="1"/>
  <c r="SC8" i="5"/>
  <c r="SC9" i="5" s="1"/>
  <c r="SB8" i="5"/>
  <c r="SB9" i="5" s="1"/>
  <c r="SA8" i="5"/>
  <c r="SA9" i="5" s="1"/>
  <c r="RZ8" i="5"/>
  <c r="RZ9" i="5" s="1"/>
  <c r="RY8" i="5"/>
  <c r="RY9" i="5" s="1"/>
  <c r="RX8" i="5"/>
  <c r="RX9" i="5" s="1"/>
  <c r="RW8" i="5"/>
  <c r="RW9" i="5" s="1"/>
  <c r="RV8" i="5"/>
  <c r="RV9" i="5" s="1"/>
  <c r="RU8" i="5"/>
  <c r="RU9" i="5" s="1"/>
  <c r="RT8" i="5"/>
  <c r="RT9" i="5" s="1"/>
  <c r="RS8" i="5"/>
  <c r="RS9" i="5" s="1"/>
  <c r="RR8" i="5"/>
  <c r="RR9" i="5" s="1"/>
  <c r="RQ8" i="5"/>
  <c r="RQ9" i="5" s="1"/>
  <c r="RP8" i="5"/>
  <c r="RP9" i="5" s="1"/>
  <c r="RO8" i="5"/>
  <c r="RO9" i="5" s="1"/>
  <c r="RN8" i="5"/>
  <c r="RN9" i="5" s="1"/>
  <c r="RM8" i="5"/>
  <c r="RM9" i="5" s="1"/>
  <c r="RL8" i="5"/>
  <c r="RL9" i="5" s="1"/>
  <c r="RK8" i="5"/>
  <c r="RK9" i="5" s="1"/>
  <c r="RJ8" i="5"/>
  <c r="RJ9" i="5" s="1"/>
  <c r="RI8" i="5"/>
  <c r="RI9" i="5" s="1"/>
  <c r="RH8" i="5"/>
  <c r="RH9" i="5" s="1"/>
  <c r="RF8" i="5"/>
  <c r="RF9" i="5" s="1"/>
  <c r="RE8" i="5"/>
  <c r="RE9" i="5" s="1"/>
  <c r="RD8" i="5"/>
  <c r="RD9" i="5" s="1"/>
  <c r="RC8" i="5"/>
  <c r="RC9" i="5" s="1"/>
  <c r="RB8" i="5"/>
  <c r="RB9" i="5" s="1"/>
  <c r="RA8" i="5"/>
  <c r="RA9" i="5" s="1"/>
  <c r="QZ8" i="5"/>
  <c r="QZ9" i="5" s="1"/>
  <c r="QY8" i="5"/>
  <c r="QY9" i="5" s="1"/>
  <c r="QX8" i="5"/>
  <c r="QX9" i="5" s="1"/>
  <c r="QW8" i="5"/>
  <c r="QW9" i="5" s="1"/>
  <c r="QV8" i="5"/>
  <c r="QV9" i="5" s="1"/>
  <c r="QU8" i="5"/>
  <c r="QU9" i="5" s="1"/>
  <c r="QT8" i="5"/>
  <c r="QT9" i="5" s="1"/>
  <c r="QS8" i="5"/>
  <c r="QS9" i="5" s="1"/>
  <c r="QR8" i="5"/>
  <c r="QR9" i="5" s="1"/>
  <c r="QQ8" i="5"/>
  <c r="QQ9" i="5" s="1"/>
  <c r="QP8" i="5"/>
  <c r="QP9" i="5" s="1"/>
  <c r="QO8" i="5"/>
  <c r="QO9" i="5" s="1"/>
  <c r="QN8" i="5"/>
  <c r="QN9" i="5" s="1"/>
  <c r="QM8" i="5"/>
  <c r="QM9" i="5" s="1"/>
  <c r="QL8" i="5"/>
  <c r="QL9" i="5" s="1"/>
  <c r="QK8" i="5"/>
  <c r="QK9" i="5" s="1"/>
  <c r="QJ8" i="5"/>
  <c r="QJ9" i="5" s="1"/>
  <c r="QI8" i="5"/>
  <c r="QI9" i="5" s="1"/>
  <c r="QH8" i="5"/>
  <c r="QH9" i="5" s="1"/>
  <c r="QG8" i="5"/>
  <c r="QG9" i="5" s="1"/>
  <c r="QF8" i="5"/>
  <c r="QF9" i="5" s="1"/>
  <c r="QE8" i="5"/>
  <c r="QE9" i="5" s="1"/>
  <c r="QD8" i="5"/>
  <c r="QD9" i="5" s="1"/>
  <c r="QC8" i="5"/>
  <c r="QC9" i="5" s="1"/>
  <c r="QB8" i="5"/>
  <c r="QB9" i="5" s="1"/>
  <c r="PZ8" i="5"/>
  <c r="PZ9" i="5" s="1"/>
  <c r="PY8" i="5"/>
  <c r="PY9" i="5" s="1"/>
  <c r="PX8" i="5"/>
  <c r="PX9" i="5" s="1"/>
  <c r="PW8" i="5"/>
  <c r="PW9" i="5" s="1"/>
  <c r="PV8" i="5"/>
  <c r="PV9" i="5" s="1"/>
  <c r="PU8" i="5"/>
  <c r="PU9" i="5" s="1"/>
  <c r="PT8" i="5"/>
  <c r="PT9" i="5" s="1"/>
  <c r="PS8" i="5"/>
  <c r="PS9" i="5" s="1"/>
  <c r="PR8" i="5"/>
  <c r="PR9" i="5" s="1"/>
  <c r="PQ8" i="5"/>
  <c r="PQ9" i="5" s="1"/>
  <c r="PP8" i="5"/>
  <c r="PP9" i="5" s="1"/>
  <c r="PO8" i="5"/>
  <c r="PO9" i="5" s="1"/>
  <c r="PN8" i="5"/>
  <c r="PN9" i="5" s="1"/>
  <c r="PM8" i="5"/>
  <c r="PM9" i="5" s="1"/>
  <c r="PL8" i="5"/>
  <c r="PL9" i="5" s="1"/>
  <c r="PK8" i="5"/>
  <c r="PK9" i="5" s="1"/>
  <c r="PJ8" i="5"/>
  <c r="PJ9" i="5" s="1"/>
  <c r="PI8" i="5"/>
  <c r="PI9" i="5" s="1"/>
  <c r="PH8" i="5"/>
  <c r="PH9" i="5" s="1"/>
  <c r="PG8" i="5"/>
  <c r="PG9" i="5" s="1"/>
  <c r="PF8" i="5"/>
  <c r="PF9" i="5" s="1"/>
  <c r="PE8" i="5"/>
  <c r="PE9" i="5" s="1"/>
  <c r="PD8" i="5"/>
  <c r="PD9" i="5" s="1"/>
  <c r="PC8" i="5"/>
  <c r="PC9" i="5" s="1"/>
  <c r="PB8" i="5"/>
  <c r="PB9" i="5" s="1"/>
  <c r="PA8" i="5"/>
  <c r="PA9" i="5" s="1"/>
  <c r="OZ8" i="5"/>
  <c r="OZ9" i="5" s="1"/>
  <c r="OY8" i="5"/>
  <c r="OY9" i="5" s="1"/>
  <c r="OX8" i="5"/>
  <c r="OX9" i="5" s="1"/>
  <c r="OW8" i="5"/>
  <c r="OW9" i="5" s="1"/>
  <c r="OU8" i="5"/>
  <c r="OU9" i="5" s="1"/>
  <c r="OT8" i="5"/>
  <c r="OT9" i="5" s="1"/>
  <c r="OS8" i="5"/>
  <c r="OS9" i="5" s="1"/>
  <c r="OR8" i="5"/>
  <c r="OR9" i="5" s="1"/>
  <c r="OQ8" i="5"/>
  <c r="OQ9" i="5" s="1"/>
  <c r="OP8" i="5"/>
  <c r="OP9" i="5" s="1"/>
  <c r="OO8" i="5"/>
  <c r="OO9" i="5" s="1"/>
  <c r="ON8" i="5"/>
  <c r="ON9" i="5" s="1"/>
  <c r="OM8" i="5"/>
  <c r="OM9" i="5" s="1"/>
  <c r="OL8" i="5"/>
  <c r="OL9" i="5" s="1"/>
  <c r="OK8" i="5"/>
  <c r="OK9" i="5" s="1"/>
  <c r="OJ8" i="5"/>
  <c r="OJ9" i="5" s="1"/>
  <c r="OI8" i="5"/>
  <c r="OI9" i="5" s="1"/>
  <c r="OH8" i="5"/>
  <c r="OH9" i="5" s="1"/>
  <c r="OG8" i="5"/>
  <c r="OG9" i="5" s="1"/>
  <c r="OF8" i="5"/>
  <c r="OF9" i="5" s="1"/>
  <c r="OE8" i="5"/>
  <c r="OE9" i="5" s="1"/>
  <c r="OD8" i="5"/>
  <c r="OD9" i="5" s="1"/>
  <c r="OC8" i="5"/>
  <c r="OC9" i="5" s="1"/>
  <c r="OB8" i="5"/>
  <c r="OB9" i="5" s="1"/>
  <c r="OA8" i="5"/>
  <c r="OA9" i="5" s="1"/>
  <c r="NZ8" i="5"/>
  <c r="NZ9" i="5" s="1"/>
  <c r="NY8" i="5"/>
  <c r="NY9" i="5" s="1"/>
  <c r="NX8" i="5"/>
  <c r="NX9" i="5" s="1"/>
  <c r="NW8" i="5"/>
  <c r="NW9" i="5" s="1"/>
  <c r="NV8" i="5"/>
  <c r="NV9" i="5" s="1"/>
  <c r="NU8" i="5"/>
  <c r="NU9" i="5" s="1"/>
  <c r="NT8" i="5"/>
  <c r="NT9" i="5" s="1"/>
  <c r="NS8" i="5"/>
  <c r="NS9" i="5" s="1"/>
  <c r="NR8" i="5"/>
  <c r="NR9" i="5" s="1"/>
  <c r="NQ8" i="5"/>
  <c r="NQ9" i="5" s="1"/>
  <c r="NO8" i="5"/>
  <c r="NO9" i="5" s="1"/>
  <c r="NN8" i="5"/>
  <c r="NN9" i="5" s="1"/>
  <c r="NM8" i="5"/>
  <c r="NM9" i="5" s="1"/>
  <c r="NK8" i="5"/>
  <c r="NK9" i="5" s="1"/>
  <c r="NJ8" i="5"/>
  <c r="NJ9" i="5" s="1"/>
  <c r="NI8" i="5"/>
  <c r="NI9" i="5" s="1"/>
  <c r="NH8" i="5"/>
  <c r="NH9" i="5" s="1"/>
  <c r="NG8" i="5"/>
  <c r="NG9" i="5" s="1"/>
  <c r="NF8" i="5"/>
  <c r="NF9" i="5" s="1"/>
  <c r="NE8" i="5"/>
  <c r="NE9" i="5" s="1"/>
  <c r="ND8" i="5"/>
  <c r="ND9" i="5" s="1"/>
  <c r="NC8" i="5"/>
  <c r="NC9" i="5" s="1"/>
  <c r="NB8" i="5"/>
  <c r="NB9" i="5" s="1"/>
  <c r="NA8" i="5"/>
  <c r="NA9" i="5" s="1"/>
  <c r="MZ8" i="5"/>
  <c r="MZ9" i="5" s="1"/>
  <c r="MY8" i="5"/>
  <c r="MY9" i="5" s="1"/>
  <c r="MX8" i="5"/>
  <c r="MX9" i="5" s="1"/>
  <c r="MW8" i="5"/>
  <c r="MW9" i="5" s="1"/>
  <c r="MV8" i="5"/>
  <c r="MV9" i="5" s="1"/>
  <c r="MU8" i="5"/>
  <c r="MU9" i="5" s="1"/>
  <c r="MT8" i="5"/>
  <c r="MT9" i="5" s="1"/>
  <c r="MS8" i="5"/>
  <c r="MS9" i="5" s="1"/>
  <c r="MR8" i="5"/>
  <c r="MR9" i="5" s="1"/>
  <c r="MQ8" i="5"/>
  <c r="MQ9" i="5" s="1"/>
  <c r="MP8" i="5"/>
  <c r="MP9" i="5" s="1"/>
  <c r="MO8" i="5"/>
  <c r="MO9" i="5" s="1"/>
  <c r="MN8" i="5"/>
  <c r="MN9" i="5" s="1"/>
  <c r="MM8" i="5"/>
  <c r="MM9" i="5" s="1"/>
  <c r="ML8" i="5"/>
  <c r="ML9" i="5" s="1"/>
  <c r="MK8" i="5"/>
  <c r="MK9" i="5" s="1"/>
  <c r="MI8" i="5"/>
  <c r="MI9" i="5" s="1"/>
  <c r="MH8" i="5"/>
  <c r="MH9" i="5" s="1"/>
  <c r="MG8" i="5"/>
  <c r="MG9" i="5" s="1"/>
  <c r="MF8" i="5"/>
  <c r="MF9" i="5" s="1"/>
  <c r="ME8" i="5"/>
  <c r="ME9" i="5" s="1"/>
  <c r="MD8" i="5"/>
  <c r="MD9" i="5" s="1"/>
  <c r="MC8" i="5"/>
  <c r="MC9" i="5" s="1"/>
  <c r="MB8" i="5"/>
  <c r="MB9" i="5" s="1"/>
  <c r="MA8" i="5"/>
  <c r="MA9" i="5" s="1"/>
  <c r="LZ8" i="5"/>
  <c r="LZ9" i="5" s="1"/>
  <c r="LY8" i="5"/>
  <c r="LY9" i="5" s="1"/>
  <c r="LX8" i="5"/>
  <c r="LX9" i="5" s="1"/>
  <c r="LW8" i="5"/>
  <c r="LW9" i="5" s="1"/>
  <c r="LV8" i="5"/>
  <c r="LV9" i="5" s="1"/>
  <c r="LU8" i="5"/>
  <c r="LU9" i="5" s="1"/>
  <c r="LT8" i="5"/>
  <c r="LT9" i="5" s="1"/>
  <c r="LS8" i="5"/>
  <c r="LS9" i="5" s="1"/>
  <c r="LR8" i="5"/>
  <c r="LR9" i="5" s="1"/>
  <c r="LQ8" i="5"/>
  <c r="LQ9" i="5" s="1"/>
  <c r="LP8" i="5"/>
  <c r="LP9" i="5" s="1"/>
  <c r="LP10" i="5" s="1"/>
  <c r="LP13" i="5" s="1"/>
  <c r="LO8" i="5"/>
  <c r="LO9" i="5" s="1"/>
  <c r="LO10" i="5" s="1"/>
  <c r="LO13" i="5" s="1"/>
  <c r="LN8" i="5"/>
  <c r="LN9" i="5" s="1"/>
  <c r="LN10" i="5" s="1"/>
  <c r="LN13" i="5" s="1"/>
  <c r="LM8" i="5"/>
  <c r="LM9" i="5" s="1"/>
  <c r="LM10" i="5" s="1"/>
  <c r="LM13" i="5" s="1"/>
  <c r="LL8" i="5"/>
  <c r="LL9" i="5" s="1"/>
  <c r="LL10" i="5" s="1"/>
  <c r="LL13" i="5" s="1"/>
  <c r="LK8" i="5"/>
  <c r="LK9" i="5" s="1"/>
  <c r="LK10" i="5" s="1"/>
  <c r="LK13" i="5" s="1"/>
  <c r="LJ8" i="5"/>
  <c r="LJ9" i="5" s="1"/>
  <c r="LJ10" i="5" s="1"/>
  <c r="LJ13" i="5" s="1"/>
  <c r="LI8" i="5"/>
  <c r="LI9" i="5" s="1"/>
  <c r="LI10" i="5" s="1"/>
  <c r="LI13" i="5" s="1"/>
  <c r="LH8" i="5"/>
  <c r="LH9" i="5" s="1"/>
  <c r="LH10" i="5" s="1"/>
  <c r="LH13" i="5" s="1"/>
  <c r="LG8" i="5"/>
  <c r="LG9" i="5" s="1"/>
  <c r="LG10" i="5" s="1"/>
  <c r="LG13" i="5" s="1"/>
  <c r="LF8" i="5"/>
  <c r="LF9" i="5" s="1"/>
  <c r="LF10" i="5" s="1"/>
  <c r="LF13" i="5" s="1"/>
  <c r="LD8" i="5"/>
  <c r="LD9" i="5" s="1"/>
  <c r="LD10" i="5" s="1"/>
  <c r="LD13" i="5" s="1"/>
  <c r="LB8" i="5"/>
  <c r="LB9" i="5" s="1"/>
  <c r="LB10" i="5" s="1"/>
  <c r="LB13" i="5" s="1"/>
  <c r="LA8" i="5"/>
  <c r="LA9" i="5" s="1"/>
  <c r="LA10" i="5" s="1"/>
  <c r="LA13" i="5" s="1"/>
  <c r="KZ8" i="5"/>
  <c r="KZ9" i="5" s="1"/>
  <c r="KZ10" i="5" s="1"/>
  <c r="KZ13" i="5" s="1"/>
  <c r="KY8" i="5"/>
  <c r="KY9" i="5" s="1"/>
  <c r="KY10" i="5" s="1"/>
  <c r="KY13" i="5" s="1"/>
  <c r="KX8" i="5"/>
  <c r="KX9" i="5" s="1"/>
  <c r="KX10" i="5" s="1"/>
  <c r="KX13" i="5" s="1"/>
  <c r="KW8" i="5"/>
  <c r="KW9" i="5" s="1"/>
  <c r="KW10" i="5" s="1"/>
  <c r="KW13" i="5" s="1"/>
  <c r="KV8" i="5"/>
  <c r="KV9" i="5" s="1"/>
  <c r="KV10" i="5" s="1"/>
  <c r="KV13" i="5" s="1"/>
  <c r="KU8" i="5"/>
  <c r="KU9" i="5" s="1"/>
  <c r="KU10" i="5" s="1"/>
  <c r="KU13" i="5" s="1"/>
  <c r="KT8" i="5"/>
  <c r="KT9" i="5" s="1"/>
  <c r="KT10" i="5" s="1"/>
  <c r="KT13" i="5" s="1"/>
  <c r="KS8" i="5"/>
  <c r="KS9" i="5" s="1"/>
  <c r="KS10" i="5" s="1"/>
  <c r="KS13" i="5" s="1"/>
  <c r="KR8" i="5"/>
  <c r="KR9" i="5" s="1"/>
  <c r="KR10" i="5" s="1"/>
  <c r="KR13" i="5" s="1"/>
  <c r="KQ8" i="5"/>
  <c r="KQ9" i="5" s="1"/>
  <c r="KQ10" i="5" s="1"/>
  <c r="KQ13" i="5" s="1"/>
  <c r="KP8" i="5"/>
  <c r="KP9" i="5" s="1"/>
  <c r="KP10" i="5" s="1"/>
  <c r="KP13" i="5" s="1"/>
  <c r="KO8" i="5"/>
  <c r="KO9" i="5" s="1"/>
  <c r="KO10" i="5" s="1"/>
  <c r="KO13" i="5" s="1"/>
  <c r="KN8" i="5"/>
  <c r="KN9" i="5" s="1"/>
  <c r="KN10" i="5" s="1"/>
  <c r="KN13" i="5" s="1"/>
  <c r="KM8" i="5"/>
  <c r="KM9" i="5" s="1"/>
  <c r="KM10" i="5" s="1"/>
  <c r="KM13" i="5" s="1"/>
  <c r="KL8" i="5"/>
  <c r="KL9" i="5" s="1"/>
  <c r="KL10" i="5" s="1"/>
  <c r="KL13" i="5" s="1"/>
  <c r="KK8" i="5"/>
  <c r="KK9" i="5" s="1"/>
  <c r="KK10" i="5" s="1"/>
  <c r="KK13" i="5" s="1"/>
  <c r="KJ8" i="5"/>
  <c r="KJ9" i="5" s="1"/>
  <c r="KJ10" i="5" s="1"/>
  <c r="KJ13" i="5" s="1"/>
  <c r="KI8" i="5"/>
  <c r="KI9" i="5" s="1"/>
  <c r="KI10" i="5" s="1"/>
  <c r="KI13" i="5" s="1"/>
  <c r="KH8" i="5"/>
  <c r="KH9" i="5" s="1"/>
  <c r="KH10" i="5" s="1"/>
  <c r="KH13" i="5" s="1"/>
  <c r="KG8" i="5"/>
  <c r="KG9" i="5" s="1"/>
  <c r="KG10" i="5" s="1"/>
  <c r="KG13" i="5" s="1"/>
  <c r="KF8" i="5"/>
  <c r="KF9" i="5" s="1"/>
  <c r="KF10" i="5" s="1"/>
  <c r="KF13" i="5" s="1"/>
  <c r="KE8" i="5"/>
  <c r="KE9" i="5" s="1"/>
  <c r="KE10" i="5" s="1"/>
  <c r="KE13" i="5" s="1"/>
  <c r="KD8" i="5"/>
  <c r="KD9" i="5" s="1"/>
  <c r="KD10" i="5" s="1"/>
  <c r="KD13" i="5" s="1"/>
  <c r="KC8" i="5"/>
  <c r="KC9" i="5" s="1"/>
  <c r="KC10" i="5" s="1"/>
  <c r="KC13" i="5" s="1"/>
  <c r="KB8" i="5"/>
  <c r="KB9" i="5" s="1"/>
  <c r="KB10" i="5" s="1"/>
  <c r="KB13" i="5" s="1"/>
  <c r="KA8" i="5"/>
  <c r="KA9" i="5" s="1"/>
  <c r="KA10" i="5" s="1"/>
  <c r="KA13" i="5" s="1"/>
  <c r="JZ8" i="5"/>
  <c r="JZ9" i="5" s="1"/>
  <c r="JZ10" i="5" s="1"/>
  <c r="JZ13" i="5" s="1"/>
  <c r="JX8" i="5"/>
  <c r="JX9" i="5" s="1"/>
  <c r="JX10" i="5" s="1"/>
  <c r="JX13" i="5" s="1"/>
  <c r="JW8" i="5"/>
  <c r="JW9" i="5" s="1"/>
  <c r="JW10" i="5" s="1"/>
  <c r="JW13" i="5" s="1"/>
  <c r="JV8" i="5"/>
  <c r="JV9" i="5" s="1"/>
  <c r="JV10" i="5" s="1"/>
  <c r="JV13" i="5" s="1"/>
  <c r="JU8" i="5"/>
  <c r="JU9" i="5" s="1"/>
  <c r="JU10" i="5" s="1"/>
  <c r="JU13" i="5" s="1"/>
  <c r="JT8" i="5"/>
  <c r="JT9" i="5" s="1"/>
  <c r="JT10" i="5" s="1"/>
  <c r="JT13" i="5" s="1"/>
  <c r="JS8" i="5"/>
  <c r="JS9" i="5" s="1"/>
  <c r="JS10" i="5" s="1"/>
  <c r="JS13" i="5" s="1"/>
  <c r="JR8" i="5"/>
  <c r="JR9" i="5" s="1"/>
  <c r="JR10" i="5" s="1"/>
  <c r="JR13" i="5" s="1"/>
  <c r="JQ8" i="5"/>
  <c r="JQ9" i="5" s="1"/>
  <c r="JQ10" i="5" s="1"/>
  <c r="JQ13" i="5" s="1"/>
  <c r="JP8" i="5"/>
  <c r="JP9" i="5" s="1"/>
  <c r="JP10" i="5" s="1"/>
  <c r="JP13" i="5" s="1"/>
  <c r="JO8" i="5"/>
  <c r="JO9" i="5" s="1"/>
  <c r="JO10" i="5" s="1"/>
  <c r="JO13" i="5" s="1"/>
  <c r="JN8" i="5"/>
  <c r="JN9" i="5" s="1"/>
  <c r="JN10" i="5" s="1"/>
  <c r="JN13" i="5" s="1"/>
  <c r="JM8" i="5"/>
  <c r="JM9" i="5" s="1"/>
  <c r="JM10" i="5" s="1"/>
  <c r="JM13" i="5" s="1"/>
  <c r="JL8" i="5"/>
  <c r="JL9" i="5" s="1"/>
  <c r="JL10" i="5" s="1"/>
  <c r="JL13" i="5" s="1"/>
  <c r="JK8" i="5"/>
  <c r="JK9" i="5" s="1"/>
  <c r="JK10" i="5" s="1"/>
  <c r="JK13" i="5" s="1"/>
  <c r="JJ8" i="5"/>
  <c r="JJ9" i="5" s="1"/>
  <c r="JJ10" i="5" s="1"/>
  <c r="JJ13" i="5" s="1"/>
  <c r="JI8" i="5"/>
  <c r="JI9" i="5" s="1"/>
  <c r="JI10" i="5" s="1"/>
  <c r="JI13" i="5" s="1"/>
  <c r="JH8" i="5"/>
  <c r="JH9" i="5" s="1"/>
  <c r="JH10" i="5" s="1"/>
  <c r="JH13" i="5" s="1"/>
  <c r="JG8" i="5"/>
  <c r="JG9" i="5" s="1"/>
  <c r="JG10" i="5" s="1"/>
  <c r="JG13" i="5" s="1"/>
  <c r="JF8" i="5"/>
  <c r="JF9" i="5" s="1"/>
  <c r="JF10" i="5" s="1"/>
  <c r="JF13" i="5" s="1"/>
  <c r="JE8" i="5"/>
  <c r="JE9" i="5" s="1"/>
  <c r="JE10" i="5" s="1"/>
  <c r="JE13" i="5" s="1"/>
  <c r="JD8" i="5"/>
  <c r="JD9" i="5" s="1"/>
  <c r="JD10" i="5" s="1"/>
  <c r="JD13" i="5" s="1"/>
  <c r="JC8" i="5"/>
  <c r="JC9" i="5" s="1"/>
  <c r="JC10" i="5" s="1"/>
  <c r="JC13" i="5" s="1"/>
  <c r="JB8" i="5"/>
  <c r="JB9" i="5" s="1"/>
  <c r="JB10" i="5" s="1"/>
  <c r="JB13" i="5" s="1"/>
  <c r="JA8" i="5"/>
  <c r="JA9" i="5" s="1"/>
  <c r="JA10" i="5" s="1"/>
  <c r="JA13" i="5" s="1"/>
  <c r="IZ8" i="5"/>
  <c r="IZ9" i="5" s="1"/>
  <c r="IZ10" i="5" s="1"/>
  <c r="IZ13" i="5" s="1"/>
  <c r="IY8" i="5"/>
  <c r="IY9" i="5" s="1"/>
  <c r="IY10" i="5" s="1"/>
  <c r="IY13" i="5" s="1"/>
  <c r="IX8" i="5"/>
  <c r="IX9" i="5" s="1"/>
  <c r="IX10" i="5" s="1"/>
  <c r="IX13" i="5" s="1"/>
  <c r="IW8" i="5"/>
  <c r="IW9" i="5" s="1"/>
  <c r="IW10" i="5" s="1"/>
  <c r="IW13" i="5" s="1"/>
  <c r="IV8" i="5"/>
  <c r="IV9" i="5" s="1"/>
  <c r="IV10" i="5" s="1"/>
  <c r="IV13" i="5" s="1"/>
  <c r="IU8" i="5"/>
  <c r="IU9" i="5" s="1"/>
  <c r="IU10" i="5" s="1"/>
  <c r="IU13" i="5" s="1"/>
  <c r="IS8" i="5"/>
  <c r="IS9" i="5" s="1"/>
  <c r="IS10" i="5" s="1"/>
  <c r="IS13" i="5" s="1"/>
  <c r="IR8" i="5"/>
  <c r="IR9" i="5" s="1"/>
  <c r="IR10" i="5" s="1"/>
  <c r="IR13" i="5" s="1"/>
  <c r="IQ8" i="5"/>
  <c r="IQ9" i="5" s="1"/>
  <c r="IQ10" i="5" s="1"/>
  <c r="IQ13" i="5" s="1"/>
  <c r="IP8" i="5"/>
  <c r="IP9" i="5" s="1"/>
  <c r="IP10" i="5" s="1"/>
  <c r="IP13" i="5" s="1"/>
  <c r="IO8" i="5"/>
  <c r="IO9" i="5" s="1"/>
  <c r="IO10" i="5" s="1"/>
  <c r="IO13" i="5" s="1"/>
  <c r="IN8" i="5"/>
  <c r="IN9" i="5" s="1"/>
  <c r="IN10" i="5" s="1"/>
  <c r="IN13" i="5" s="1"/>
  <c r="IM8" i="5"/>
  <c r="IM9" i="5" s="1"/>
  <c r="IM10" i="5" s="1"/>
  <c r="IM13" i="5" s="1"/>
  <c r="IL8" i="5"/>
  <c r="IL9" i="5" s="1"/>
  <c r="IL10" i="5" s="1"/>
  <c r="IL13" i="5" s="1"/>
  <c r="IK8" i="5"/>
  <c r="IK9" i="5" s="1"/>
  <c r="IK10" i="5" s="1"/>
  <c r="IK13" i="5" s="1"/>
  <c r="IJ8" i="5"/>
  <c r="IJ9" i="5" s="1"/>
  <c r="IJ10" i="5" s="1"/>
  <c r="IJ13" i="5" s="1"/>
  <c r="II8" i="5"/>
  <c r="II9" i="5" s="1"/>
  <c r="II10" i="5" s="1"/>
  <c r="II13" i="5" s="1"/>
  <c r="IH8" i="5"/>
  <c r="IH9" i="5" s="1"/>
  <c r="IH10" i="5" s="1"/>
  <c r="IH13" i="5" s="1"/>
  <c r="IG8" i="5"/>
  <c r="IG9" i="5" s="1"/>
  <c r="IG10" i="5" s="1"/>
  <c r="IG13" i="5" s="1"/>
  <c r="IF8" i="5"/>
  <c r="IF9" i="5" s="1"/>
  <c r="IF10" i="5" s="1"/>
  <c r="IF13" i="5" s="1"/>
  <c r="IE8" i="5"/>
  <c r="IE9" i="5" s="1"/>
  <c r="IE10" i="5" s="1"/>
  <c r="IE13" i="5" s="1"/>
  <c r="ID8" i="5"/>
  <c r="ID9" i="5" s="1"/>
  <c r="ID10" i="5" s="1"/>
  <c r="ID13" i="5" s="1"/>
  <c r="IC8" i="5"/>
  <c r="IC9" i="5" s="1"/>
  <c r="IC10" i="5" s="1"/>
  <c r="IC13" i="5" s="1"/>
  <c r="IB8" i="5"/>
  <c r="IB9" i="5" s="1"/>
  <c r="IB10" i="5" s="1"/>
  <c r="IB13" i="5" s="1"/>
  <c r="IA8" i="5"/>
  <c r="IA9" i="5" s="1"/>
  <c r="IA10" i="5" s="1"/>
  <c r="IA13" i="5" s="1"/>
  <c r="HZ8" i="5"/>
  <c r="HZ9" i="5" s="1"/>
  <c r="HZ10" i="5" s="1"/>
  <c r="HZ13" i="5" s="1"/>
  <c r="HY8" i="5"/>
  <c r="HY9" i="5" s="1"/>
  <c r="HY10" i="5" s="1"/>
  <c r="HY13" i="5" s="1"/>
  <c r="HX8" i="5"/>
  <c r="HX9" i="5" s="1"/>
  <c r="HX10" i="5" s="1"/>
  <c r="HX13" i="5" s="1"/>
  <c r="HW8" i="5"/>
  <c r="HW9" i="5" s="1"/>
  <c r="HW10" i="5" s="1"/>
  <c r="HW13" i="5" s="1"/>
  <c r="HV8" i="5"/>
  <c r="HV9" i="5" s="1"/>
  <c r="HV10" i="5" s="1"/>
  <c r="HV13" i="5" s="1"/>
  <c r="HU8" i="5"/>
  <c r="HU9" i="5" s="1"/>
  <c r="HU10" i="5" s="1"/>
  <c r="HU13" i="5" s="1"/>
  <c r="HT8" i="5"/>
  <c r="HT9" i="5" s="1"/>
  <c r="HT10" i="5" s="1"/>
  <c r="HT13" i="5" s="1"/>
  <c r="HS8" i="5"/>
  <c r="HS9" i="5" s="1"/>
  <c r="HS10" i="5" s="1"/>
  <c r="HS13" i="5" s="1"/>
  <c r="HR8" i="5"/>
  <c r="HR9" i="5" s="1"/>
  <c r="HR10" i="5" s="1"/>
  <c r="HR13" i="5" s="1"/>
  <c r="HQ8" i="5"/>
  <c r="HQ9" i="5" s="1"/>
  <c r="HQ10" i="5" s="1"/>
  <c r="HQ13" i="5" s="1"/>
  <c r="HP8" i="5"/>
  <c r="HP9" i="5" s="1"/>
  <c r="HP10" i="5" s="1"/>
  <c r="HP13" i="5" s="1"/>
  <c r="HO8" i="5"/>
  <c r="HO9" i="5" s="1"/>
  <c r="HO10" i="5" s="1"/>
  <c r="HO13" i="5" s="1"/>
  <c r="HM8" i="5"/>
  <c r="HM9" i="5" s="1"/>
  <c r="HM10" i="5" s="1"/>
  <c r="HM13" i="5" s="1"/>
  <c r="HL8" i="5"/>
  <c r="HL9" i="5" s="1"/>
  <c r="HL10" i="5" s="1"/>
  <c r="HL13" i="5" s="1"/>
  <c r="HK8" i="5"/>
  <c r="HK9" i="5" s="1"/>
  <c r="HK10" i="5" s="1"/>
  <c r="HK13" i="5" s="1"/>
  <c r="HJ8" i="5"/>
  <c r="HJ9" i="5" s="1"/>
  <c r="HJ10" i="5" s="1"/>
  <c r="HJ13" i="5" s="1"/>
  <c r="HI8" i="5"/>
  <c r="HI9" i="5" s="1"/>
  <c r="HI10" i="5" s="1"/>
  <c r="HI13" i="5" s="1"/>
  <c r="HH8" i="5"/>
  <c r="HH9" i="5" s="1"/>
  <c r="HH10" i="5" s="1"/>
  <c r="HH13" i="5" s="1"/>
  <c r="HG8" i="5"/>
  <c r="HG9" i="5" s="1"/>
  <c r="HG10" i="5" s="1"/>
  <c r="HG13" i="5" s="1"/>
  <c r="HF8" i="5"/>
  <c r="HF9" i="5" s="1"/>
  <c r="HF10" i="5" s="1"/>
  <c r="HF13" i="5" s="1"/>
  <c r="HE8" i="5"/>
  <c r="HE9" i="5" s="1"/>
  <c r="HE10" i="5" s="1"/>
  <c r="HE13" i="5" s="1"/>
  <c r="HD8" i="5"/>
  <c r="HD9" i="5" s="1"/>
  <c r="HD10" i="5" s="1"/>
  <c r="HD13" i="5" s="1"/>
  <c r="HC8" i="5"/>
  <c r="HC9" i="5" s="1"/>
  <c r="HC10" i="5" s="1"/>
  <c r="HC13" i="5" s="1"/>
  <c r="HB8" i="5"/>
  <c r="HB9" i="5" s="1"/>
  <c r="HB10" i="5" s="1"/>
  <c r="HB13" i="5" s="1"/>
  <c r="HA8" i="5"/>
  <c r="HA9" i="5" s="1"/>
  <c r="HA10" i="5" s="1"/>
  <c r="HA13" i="5" s="1"/>
  <c r="GZ8" i="5"/>
  <c r="GZ9" i="5" s="1"/>
  <c r="GZ10" i="5" s="1"/>
  <c r="GZ13" i="5" s="1"/>
  <c r="GY8" i="5"/>
  <c r="GY9" i="5" s="1"/>
  <c r="GY10" i="5" s="1"/>
  <c r="GY13" i="5" s="1"/>
  <c r="GX8" i="5"/>
  <c r="GX9" i="5" s="1"/>
  <c r="GX10" i="5" s="1"/>
  <c r="GX13" i="5" s="1"/>
  <c r="GW8" i="5"/>
  <c r="GW9" i="5" s="1"/>
  <c r="GW10" i="5" s="1"/>
  <c r="GW13" i="5" s="1"/>
  <c r="GV8" i="5"/>
  <c r="GV9" i="5" s="1"/>
  <c r="GV10" i="5" s="1"/>
  <c r="GV13" i="5" s="1"/>
  <c r="GU8" i="5"/>
  <c r="GU9" i="5" s="1"/>
  <c r="GU10" i="5" s="1"/>
  <c r="GU13" i="5" s="1"/>
  <c r="GT8" i="5"/>
  <c r="GT9" i="5" s="1"/>
  <c r="GT10" i="5" s="1"/>
  <c r="GT13" i="5" s="1"/>
  <c r="GS8" i="5"/>
  <c r="GS9" i="5" s="1"/>
  <c r="GS10" i="5" s="1"/>
  <c r="GS13" i="5" s="1"/>
  <c r="GR8" i="5"/>
  <c r="GR9" i="5" s="1"/>
  <c r="GR10" i="5" s="1"/>
  <c r="GR13" i="5" s="1"/>
  <c r="GQ8" i="5"/>
  <c r="GQ9" i="5" s="1"/>
  <c r="GQ10" i="5" s="1"/>
  <c r="GQ13" i="5" s="1"/>
  <c r="GP8" i="5"/>
  <c r="GP9" i="5" s="1"/>
  <c r="GP10" i="5" s="1"/>
  <c r="GP13" i="5" s="1"/>
  <c r="GO8" i="5"/>
  <c r="GO9" i="5" s="1"/>
  <c r="GO10" i="5" s="1"/>
  <c r="GO13" i="5" s="1"/>
  <c r="GN8" i="5"/>
  <c r="GN9" i="5" s="1"/>
  <c r="GN10" i="5" s="1"/>
  <c r="GN13" i="5" s="1"/>
  <c r="GM8" i="5"/>
  <c r="GM9" i="5" s="1"/>
  <c r="GM10" i="5" s="1"/>
  <c r="GM13" i="5" s="1"/>
  <c r="GL8" i="5"/>
  <c r="GL9" i="5" s="1"/>
  <c r="GL10" i="5" s="1"/>
  <c r="GL13" i="5" s="1"/>
  <c r="GK8" i="5"/>
  <c r="GK9" i="5" s="1"/>
  <c r="GK10" i="5" s="1"/>
  <c r="GK13" i="5" s="1"/>
  <c r="GI8" i="5"/>
  <c r="GI9" i="5" s="1"/>
  <c r="GI10" i="5" s="1"/>
  <c r="GI13" i="5" s="1"/>
  <c r="GH8" i="5"/>
  <c r="GH9" i="5" s="1"/>
  <c r="GH10" i="5" s="1"/>
  <c r="GH13" i="5" s="1"/>
  <c r="GG8" i="5"/>
  <c r="GG9" i="5" s="1"/>
  <c r="GG10" i="5" s="1"/>
  <c r="GG13" i="5" s="1"/>
  <c r="GF8" i="5"/>
  <c r="GF9" i="5" s="1"/>
  <c r="GF10" i="5" s="1"/>
  <c r="GF13" i="5" s="1"/>
  <c r="GE8" i="5"/>
  <c r="GE9" i="5" s="1"/>
  <c r="GE10" i="5" s="1"/>
  <c r="GE13" i="5" s="1"/>
  <c r="GD8" i="5"/>
  <c r="GD9" i="5" s="1"/>
  <c r="GD10" i="5" s="1"/>
  <c r="GD13" i="5" s="1"/>
  <c r="GC8" i="5"/>
  <c r="GC9" i="5" s="1"/>
  <c r="GC10" i="5" s="1"/>
  <c r="GC13" i="5" s="1"/>
  <c r="GB8" i="5"/>
  <c r="GB9" i="5" s="1"/>
  <c r="GB10" i="5" s="1"/>
  <c r="GB13" i="5" s="1"/>
  <c r="GA8" i="5"/>
  <c r="GA9" i="5" s="1"/>
  <c r="GA10" i="5" s="1"/>
  <c r="GA13" i="5" s="1"/>
  <c r="FZ8" i="5"/>
  <c r="FZ9" i="5" s="1"/>
  <c r="FZ10" i="5" s="1"/>
  <c r="FZ13" i="5" s="1"/>
  <c r="FY8" i="5"/>
  <c r="FY9" i="5" s="1"/>
  <c r="FY10" i="5" s="1"/>
  <c r="FY13" i="5" s="1"/>
  <c r="FX8" i="5"/>
  <c r="FX9" i="5" s="1"/>
  <c r="FX10" i="5" s="1"/>
  <c r="FX13" i="5" s="1"/>
  <c r="FW8" i="5"/>
  <c r="FW9" i="5" s="1"/>
  <c r="FW10" i="5" s="1"/>
  <c r="FW13" i="5" s="1"/>
  <c r="FV8" i="5"/>
  <c r="FV9" i="5" s="1"/>
  <c r="FV10" i="5" s="1"/>
  <c r="FV13" i="5" s="1"/>
  <c r="FU8" i="5"/>
  <c r="FU9" i="5" s="1"/>
  <c r="FU10" i="5" s="1"/>
  <c r="FU13" i="5" s="1"/>
  <c r="FT8" i="5"/>
  <c r="FT9" i="5" s="1"/>
  <c r="FT10" i="5" s="1"/>
  <c r="FT13" i="5" s="1"/>
  <c r="FS8" i="5"/>
  <c r="FS9" i="5" s="1"/>
  <c r="FS10" i="5" s="1"/>
  <c r="FS13" i="5" s="1"/>
  <c r="FR8" i="5"/>
  <c r="FR9" i="5" s="1"/>
  <c r="FR10" i="5" s="1"/>
  <c r="FR13" i="5" s="1"/>
  <c r="FQ8" i="5"/>
  <c r="FQ9" i="5" s="1"/>
  <c r="FQ10" i="5" s="1"/>
  <c r="FQ13" i="5" s="1"/>
  <c r="FP8" i="5"/>
  <c r="FP9" i="5" s="1"/>
  <c r="FP10" i="5" s="1"/>
  <c r="FP13" i="5" s="1"/>
  <c r="FO8" i="5"/>
  <c r="FO9" i="5" s="1"/>
  <c r="FO10" i="5" s="1"/>
  <c r="FO13" i="5" s="1"/>
  <c r="FN8" i="5"/>
  <c r="FN9" i="5" s="1"/>
  <c r="FN10" i="5" s="1"/>
  <c r="FN13" i="5" s="1"/>
  <c r="FM8" i="5"/>
  <c r="FM9" i="5" s="1"/>
  <c r="FM10" i="5" s="1"/>
  <c r="FM13" i="5" s="1"/>
  <c r="FL8" i="5"/>
  <c r="FL9" i="5" s="1"/>
  <c r="FL10" i="5" s="1"/>
  <c r="FL13" i="5" s="1"/>
  <c r="FK8" i="5"/>
  <c r="FK9" i="5" s="1"/>
  <c r="FK10" i="5" s="1"/>
  <c r="FK13" i="5" s="1"/>
  <c r="FJ8" i="5"/>
  <c r="FJ9" i="5" s="1"/>
  <c r="FJ10" i="5" s="1"/>
  <c r="FJ13" i="5" s="1"/>
  <c r="FI8" i="5"/>
  <c r="FI9" i="5" s="1"/>
  <c r="FI10" i="5" s="1"/>
  <c r="FI13" i="5" s="1"/>
  <c r="FH8" i="5"/>
  <c r="FH9" i="5" s="1"/>
  <c r="FH10" i="5" s="1"/>
  <c r="FH13" i="5" s="1"/>
  <c r="FG8" i="5"/>
  <c r="FG9" i="5" s="1"/>
  <c r="FG10" i="5" s="1"/>
  <c r="FG13" i="5" s="1"/>
  <c r="FF8" i="5"/>
  <c r="FF9" i="5" s="1"/>
  <c r="FF10" i="5" s="1"/>
  <c r="FF13" i="5" s="1"/>
  <c r="FE8" i="5"/>
  <c r="FE9" i="5" s="1"/>
  <c r="FE10" i="5" s="1"/>
  <c r="FE13" i="5" s="1"/>
  <c r="FC8" i="5"/>
  <c r="FC9" i="5" s="1"/>
  <c r="FC10" i="5" s="1"/>
  <c r="FC13" i="5" s="1"/>
  <c r="FB8" i="5"/>
  <c r="FB9" i="5" s="1"/>
  <c r="FB10" i="5" s="1"/>
  <c r="FB13" i="5" s="1"/>
  <c r="FA8" i="5"/>
  <c r="FA9" i="5" s="1"/>
  <c r="FA10" i="5" s="1"/>
  <c r="FA13" i="5" s="1"/>
  <c r="EZ8" i="5"/>
  <c r="EZ9" i="5" s="1"/>
  <c r="EZ10" i="5" s="1"/>
  <c r="EZ13" i="5" s="1"/>
  <c r="EY8" i="5"/>
  <c r="EY9" i="5" s="1"/>
  <c r="EY10" i="5" s="1"/>
  <c r="EY13" i="5" s="1"/>
  <c r="EX8" i="5"/>
  <c r="EX9" i="5" s="1"/>
  <c r="EX10" i="5" s="1"/>
  <c r="EX13" i="5" s="1"/>
  <c r="EW8" i="5"/>
  <c r="EW9" i="5" s="1"/>
  <c r="EW10" i="5" s="1"/>
  <c r="EW13" i="5" s="1"/>
  <c r="EV8" i="5"/>
  <c r="EV9" i="5" s="1"/>
  <c r="EV10" i="5" s="1"/>
  <c r="EV13" i="5" s="1"/>
  <c r="EU8" i="5"/>
  <c r="EU9" i="5" s="1"/>
  <c r="EU10" i="5" s="1"/>
  <c r="EU13" i="5" s="1"/>
  <c r="ET8" i="5"/>
  <c r="ET9" i="5" s="1"/>
  <c r="ET10" i="5" s="1"/>
  <c r="ET13" i="5" s="1"/>
  <c r="ES8" i="5"/>
  <c r="ES9" i="5" s="1"/>
  <c r="ES10" i="5" s="1"/>
  <c r="ES13" i="5" s="1"/>
  <c r="ER8" i="5"/>
  <c r="ER9" i="5" s="1"/>
  <c r="ER10" i="5" s="1"/>
  <c r="ER13" i="5" s="1"/>
  <c r="EQ8" i="5"/>
  <c r="EQ9" i="5" s="1"/>
  <c r="EQ10" i="5" s="1"/>
  <c r="EQ13" i="5" s="1"/>
  <c r="EP8" i="5"/>
  <c r="EP9" i="5" s="1"/>
  <c r="EP10" i="5" s="1"/>
  <c r="EP13" i="5" s="1"/>
  <c r="EO8" i="5"/>
  <c r="EO9" i="5" s="1"/>
  <c r="EO10" i="5" s="1"/>
  <c r="EO13" i="5" s="1"/>
  <c r="EN8" i="5"/>
  <c r="EN9" i="5" s="1"/>
  <c r="EN10" i="5" s="1"/>
  <c r="EN13" i="5" s="1"/>
  <c r="EM8" i="5"/>
  <c r="EM9" i="5" s="1"/>
  <c r="EM10" i="5" s="1"/>
  <c r="EM13" i="5" s="1"/>
  <c r="EL8" i="5"/>
  <c r="EL9" i="5" s="1"/>
  <c r="EL10" i="5" s="1"/>
  <c r="EL13" i="5" s="1"/>
  <c r="EK8" i="5"/>
  <c r="EK9" i="5" s="1"/>
  <c r="EK10" i="5" s="1"/>
  <c r="EK13" i="5" s="1"/>
  <c r="EJ8" i="5"/>
  <c r="EJ9" i="5" s="1"/>
  <c r="EJ10" i="5" s="1"/>
  <c r="EJ13" i="5" s="1"/>
  <c r="EI8" i="5"/>
  <c r="EI9" i="5" s="1"/>
  <c r="EI10" i="5" s="1"/>
  <c r="EI13" i="5" s="1"/>
  <c r="EH8" i="5"/>
  <c r="EH9" i="5" s="1"/>
  <c r="EH10" i="5" s="1"/>
  <c r="EH13" i="5" s="1"/>
  <c r="EG8" i="5"/>
  <c r="EG9" i="5" s="1"/>
  <c r="EG10" i="5" s="1"/>
  <c r="EG13" i="5" s="1"/>
  <c r="EF8" i="5"/>
  <c r="EF9" i="5" s="1"/>
  <c r="EF10" i="5" s="1"/>
  <c r="EF13" i="5" s="1"/>
  <c r="EE8" i="5"/>
  <c r="EE9" i="5" s="1"/>
  <c r="EE10" i="5" s="1"/>
  <c r="EE13" i="5" s="1"/>
  <c r="ED8" i="5"/>
  <c r="ED9" i="5" s="1"/>
  <c r="ED10" i="5" s="1"/>
  <c r="ED13" i="5" s="1"/>
  <c r="EC8" i="5"/>
  <c r="EC9" i="5" s="1"/>
  <c r="EC10" i="5" s="1"/>
  <c r="EC13" i="5" s="1"/>
  <c r="EB8" i="5"/>
  <c r="EB9" i="5" s="1"/>
  <c r="EB10" i="5" s="1"/>
  <c r="EB13" i="5" s="1"/>
  <c r="EA8" i="5"/>
  <c r="EA9" i="5" s="1"/>
  <c r="EA10" i="5" s="1"/>
  <c r="EA13" i="5" s="1"/>
  <c r="DZ8" i="5"/>
  <c r="DZ9" i="5" s="1"/>
  <c r="DZ10" i="5" s="1"/>
  <c r="DZ13" i="5" s="1"/>
  <c r="DY8" i="5"/>
  <c r="DY9" i="5" s="1"/>
  <c r="DY10" i="5" s="1"/>
  <c r="DY13" i="5" s="1"/>
  <c r="DW8" i="5"/>
  <c r="DW9" i="5" s="1"/>
  <c r="DW10" i="5" s="1"/>
  <c r="DV8" i="5"/>
  <c r="DV9" i="5" s="1"/>
  <c r="DV10" i="5" s="1"/>
  <c r="DV13" i="5" s="1"/>
  <c r="DU8" i="5"/>
  <c r="DU9" i="5" s="1"/>
  <c r="DU10" i="5" s="1"/>
  <c r="DU13" i="5" s="1"/>
  <c r="DT8" i="5"/>
  <c r="DT9" i="5" s="1"/>
  <c r="DT10" i="5" s="1"/>
  <c r="DT13" i="5" s="1"/>
  <c r="DS8" i="5"/>
  <c r="DS9" i="5" s="1"/>
  <c r="DS10" i="5" s="1"/>
  <c r="DS13" i="5" s="1"/>
  <c r="DR8" i="5"/>
  <c r="DR9" i="5" s="1"/>
  <c r="DR10" i="5" s="1"/>
  <c r="DR13" i="5" s="1"/>
  <c r="DQ8" i="5"/>
  <c r="DQ9" i="5" s="1"/>
  <c r="DQ10" i="5" s="1"/>
  <c r="DQ13" i="5" s="1"/>
  <c r="DP8" i="5"/>
  <c r="DP9" i="5" s="1"/>
  <c r="DP10" i="5" s="1"/>
  <c r="DP13" i="5" s="1"/>
  <c r="DO8" i="5"/>
  <c r="DO9" i="5" s="1"/>
  <c r="DO10" i="5" s="1"/>
  <c r="DO13" i="5" s="1"/>
  <c r="DN8" i="5"/>
  <c r="DN9" i="5" s="1"/>
  <c r="DN10" i="5" s="1"/>
  <c r="DN13" i="5" s="1"/>
  <c r="DM8" i="5"/>
  <c r="DM9" i="5" s="1"/>
  <c r="DM10" i="5" s="1"/>
  <c r="DM13" i="5" s="1"/>
  <c r="DL8" i="5"/>
  <c r="DL9" i="5" s="1"/>
  <c r="DL10" i="5" s="1"/>
  <c r="DL13" i="5" s="1"/>
  <c r="DK8" i="5"/>
  <c r="DK9" i="5" s="1"/>
  <c r="DK10" i="5" s="1"/>
  <c r="DK13" i="5" s="1"/>
  <c r="DJ8" i="5"/>
  <c r="DJ9" i="5" s="1"/>
  <c r="DJ10" i="5" s="1"/>
  <c r="DJ13" i="5" s="1"/>
  <c r="DI8" i="5"/>
  <c r="DI9" i="5" s="1"/>
  <c r="DI10" i="5" s="1"/>
  <c r="DH8" i="5"/>
  <c r="DH9" i="5" s="1"/>
  <c r="DH10" i="5" s="1"/>
  <c r="DH13" i="5" s="1"/>
  <c r="DG8" i="5"/>
  <c r="DG9" i="5" s="1"/>
  <c r="DG10" i="5" s="1"/>
  <c r="DG13" i="5" s="1"/>
  <c r="DF8" i="5"/>
  <c r="DF9" i="5" s="1"/>
  <c r="DF10" i="5" s="1"/>
  <c r="DE8" i="5"/>
  <c r="DE9" i="5" s="1"/>
  <c r="DE10" i="5" s="1"/>
  <c r="DE13" i="5" s="1"/>
  <c r="DD8" i="5"/>
  <c r="DD9" i="5" s="1"/>
  <c r="DD10" i="5" s="1"/>
  <c r="DD13" i="5" s="1"/>
  <c r="DC8" i="5"/>
  <c r="DC9" i="5" s="1"/>
  <c r="DC10" i="5" s="1"/>
  <c r="DC13" i="5" s="1"/>
  <c r="DB8" i="5"/>
  <c r="DB9" i="5" s="1"/>
  <c r="DB10" i="5" s="1"/>
  <c r="DB13" i="5" s="1"/>
  <c r="DA8" i="5"/>
  <c r="DA9" i="5" s="1"/>
  <c r="DA10" i="5" s="1"/>
  <c r="DA13" i="5" s="1"/>
  <c r="CZ8" i="5"/>
  <c r="CZ9" i="5" s="1"/>
  <c r="CZ10" i="5" s="1"/>
  <c r="CZ13" i="5" s="1"/>
  <c r="CY8" i="5"/>
  <c r="CY9" i="5" s="1"/>
  <c r="CY10" i="5" s="1"/>
  <c r="CY13" i="5" s="1"/>
  <c r="CX8" i="5"/>
  <c r="CX9" i="5" s="1"/>
  <c r="CX10" i="5" s="1"/>
  <c r="CX13" i="5" s="1"/>
  <c r="CW8" i="5"/>
  <c r="CW9" i="5" s="1"/>
  <c r="CW10" i="5" s="1"/>
  <c r="CW13" i="5" s="1"/>
  <c r="CV8" i="5"/>
  <c r="CV9" i="5" s="1"/>
  <c r="CV10" i="5" s="1"/>
  <c r="CV13" i="5" s="1"/>
  <c r="CU8" i="5"/>
  <c r="CU9" i="5" s="1"/>
  <c r="CU10" i="5" s="1"/>
  <c r="CU13" i="5" s="1"/>
  <c r="CT8" i="5"/>
  <c r="CT9" i="5" s="1"/>
  <c r="CT10" i="5" s="1"/>
  <c r="CT13" i="5" s="1"/>
  <c r="CR8" i="5"/>
  <c r="CR9" i="5" s="1"/>
  <c r="CR10" i="5" s="1"/>
  <c r="CR13" i="5" s="1"/>
  <c r="CQ8" i="5"/>
  <c r="CQ9" i="5" s="1"/>
  <c r="CQ10" i="5" s="1"/>
  <c r="CQ13" i="5" s="1"/>
  <c r="CP8" i="5"/>
  <c r="CP9" i="5" s="1"/>
  <c r="CP10" i="5" s="1"/>
  <c r="CP13" i="5" s="1"/>
  <c r="CO8" i="5"/>
  <c r="CO9" i="5" s="1"/>
  <c r="CO10" i="5" s="1"/>
  <c r="CO13" i="5" s="1"/>
  <c r="CN8" i="5"/>
  <c r="CN9" i="5" s="1"/>
  <c r="CN10" i="5" s="1"/>
  <c r="CN13" i="5" s="1"/>
  <c r="CM8" i="5"/>
  <c r="CM9" i="5" s="1"/>
  <c r="CM10" i="5" s="1"/>
  <c r="CM13" i="5" s="1"/>
  <c r="CL8" i="5"/>
  <c r="CL9" i="5" s="1"/>
  <c r="CL10" i="5" s="1"/>
  <c r="CL13" i="5" s="1"/>
  <c r="CK8" i="5"/>
  <c r="CK9" i="5" s="1"/>
  <c r="CK10" i="5" s="1"/>
  <c r="CK13" i="5" s="1"/>
  <c r="CJ8" i="5"/>
  <c r="CJ9" i="5" s="1"/>
  <c r="CJ10" i="5" s="1"/>
  <c r="CJ13" i="5" s="1"/>
  <c r="CI8" i="5"/>
  <c r="CI9" i="5" s="1"/>
  <c r="CI10" i="5" s="1"/>
  <c r="CI13" i="5" s="1"/>
  <c r="CH8" i="5"/>
  <c r="CH9" i="5" s="1"/>
  <c r="CH10" i="5" s="1"/>
  <c r="CH13" i="5" s="1"/>
  <c r="CG8" i="5"/>
  <c r="CG9" i="5" s="1"/>
  <c r="CG10" i="5" s="1"/>
  <c r="CG13" i="5" s="1"/>
  <c r="CF8" i="5"/>
  <c r="CF9" i="5" s="1"/>
  <c r="CF10" i="5" s="1"/>
  <c r="CF13" i="5" s="1"/>
  <c r="CE8" i="5"/>
  <c r="CE9" i="5" s="1"/>
  <c r="CE10" i="5" s="1"/>
  <c r="CD8" i="5"/>
  <c r="CD9" i="5" s="1"/>
  <c r="CD10" i="5" s="1"/>
  <c r="CD13" i="5" s="1"/>
  <c r="CC8" i="5"/>
  <c r="CC9" i="5" s="1"/>
  <c r="CC10" i="5" s="1"/>
  <c r="CC13" i="5" s="1"/>
  <c r="CB8" i="5"/>
  <c r="CB9" i="5" s="1"/>
  <c r="CB10" i="5" s="1"/>
  <c r="CB13" i="5" s="1"/>
  <c r="CA8" i="5"/>
  <c r="CA9" i="5" s="1"/>
  <c r="CA10" i="5" s="1"/>
  <c r="CA13" i="5" s="1"/>
  <c r="BZ8" i="5"/>
  <c r="BZ9" i="5" s="1"/>
  <c r="BZ10" i="5" s="1"/>
  <c r="BZ13" i="5" s="1"/>
  <c r="BY8" i="5"/>
  <c r="BY9" i="5" s="1"/>
  <c r="BY10" i="5" s="1"/>
  <c r="BX8" i="5"/>
  <c r="BX9" i="5" s="1"/>
  <c r="BX10" i="5" s="1"/>
  <c r="BX13" i="5" s="1"/>
  <c r="BW8" i="5"/>
  <c r="BW9" i="5" s="1"/>
  <c r="BW10" i="5" s="1"/>
  <c r="BW13" i="5" s="1"/>
  <c r="BV8" i="5"/>
  <c r="BV9" i="5" s="1"/>
  <c r="BV10" i="5" s="1"/>
  <c r="BV13" i="5" s="1"/>
  <c r="BU8" i="5"/>
  <c r="BU9" i="5" s="1"/>
  <c r="BU10" i="5" s="1"/>
  <c r="BU13" i="5" s="1"/>
  <c r="BT8" i="5"/>
  <c r="BT9" i="5" s="1"/>
  <c r="BT10" i="5" s="1"/>
  <c r="BT13" i="5" s="1"/>
  <c r="BS8" i="5"/>
  <c r="BS9" i="5" s="1"/>
  <c r="BS10" i="5" s="1"/>
  <c r="BS13" i="5" s="1"/>
  <c r="BR8" i="5"/>
  <c r="BR9" i="5" s="1"/>
  <c r="BR10" i="5" s="1"/>
  <c r="BR13" i="5" s="1"/>
  <c r="BQ8" i="5"/>
  <c r="BQ9" i="5" s="1"/>
  <c r="BQ10" i="5" s="1"/>
  <c r="BQ13" i="5" s="1"/>
  <c r="BP8" i="5"/>
  <c r="BP9" i="5" s="1"/>
  <c r="BP10" i="5" s="1"/>
  <c r="BP13" i="5" s="1"/>
  <c r="BO8" i="5"/>
  <c r="BO9" i="5" s="1"/>
  <c r="BO10" i="5" s="1"/>
  <c r="BO13" i="5" s="1"/>
  <c r="BN8" i="5"/>
  <c r="BN9" i="5" s="1"/>
  <c r="BN10" i="5" s="1"/>
  <c r="BL8" i="5"/>
  <c r="BL9" i="5" s="1"/>
  <c r="BK8" i="5"/>
  <c r="BK9" i="5" s="1"/>
  <c r="BK10" i="5" s="1"/>
  <c r="BK13" i="5" s="1"/>
  <c r="BJ8" i="5"/>
  <c r="BJ9" i="5" s="1"/>
  <c r="BJ10" i="5" s="1"/>
  <c r="BJ13" i="5" s="1"/>
  <c r="BI8" i="5"/>
  <c r="BI9" i="5" s="1"/>
  <c r="BI10" i="5" s="1"/>
  <c r="BI13" i="5" s="1"/>
  <c r="BH8" i="5"/>
  <c r="BH9" i="5" s="1"/>
  <c r="BH10" i="5" s="1"/>
  <c r="BH13" i="5" s="1"/>
  <c r="BG8" i="5"/>
  <c r="BG9" i="5" s="1"/>
  <c r="BG10" i="5" s="1"/>
  <c r="BG13" i="5" s="1"/>
  <c r="BF8" i="5"/>
  <c r="BF9" i="5" s="1"/>
  <c r="BF10" i="5" s="1"/>
  <c r="BF13" i="5" s="1"/>
  <c r="BE8" i="5"/>
  <c r="BE9" i="5" s="1"/>
  <c r="BE10" i="5" s="1"/>
  <c r="BE13" i="5" s="1"/>
  <c r="BD8" i="5"/>
  <c r="BD9" i="5" s="1"/>
  <c r="BD10" i="5" s="1"/>
  <c r="BD13" i="5" s="1"/>
  <c r="BC8" i="5"/>
  <c r="BC9" i="5" s="1"/>
  <c r="BC10" i="5" s="1"/>
  <c r="BC13" i="5" s="1"/>
  <c r="BB8" i="5"/>
  <c r="BB9" i="5" s="1"/>
  <c r="BB10" i="5" s="1"/>
  <c r="BB13" i="5" s="1"/>
  <c r="BA8" i="5"/>
  <c r="BA9" i="5" s="1"/>
  <c r="BA10" i="5" s="1"/>
  <c r="BA13" i="5" s="1"/>
  <c r="AZ8" i="5"/>
  <c r="AZ9" i="5" s="1"/>
  <c r="AZ10" i="5" s="1"/>
  <c r="AZ13" i="5" s="1"/>
  <c r="AY8" i="5"/>
  <c r="AY9" i="5" s="1"/>
  <c r="AY10" i="5" s="1"/>
  <c r="AY13" i="5" s="1"/>
  <c r="AX8" i="5"/>
  <c r="AX9" i="5" s="1"/>
  <c r="AX10" i="5" s="1"/>
  <c r="AX13" i="5" s="1"/>
  <c r="AW8" i="5"/>
  <c r="AW9" i="5" s="1"/>
  <c r="AW10" i="5" s="1"/>
  <c r="AW13" i="5" s="1"/>
  <c r="AV8" i="5"/>
  <c r="AV9" i="5" s="1"/>
  <c r="AV10" i="5" s="1"/>
  <c r="AV13" i="5" s="1"/>
  <c r="AU8" i="5"/>
  <c r="AU9" i="5" s="1"/>
  <c r="AU10" i="5" s="1"/>
  <c r="AU13" i="5" s="1"/>
  <c r="AT8" i="5"/>
  <c r="AT9" i="5" s="1"/>
  <c r="AT10" i="5" s="1"/>
  <c r="AT13" i="5" s="1"/>
  <c r="AS8" i="5"/>
  <c r="AS9" i="5" s="1"/>
  <c r="AS10" i="5" s="1"/>
  <c r="AS13" i="5" s="1"/>
  <c r="AR8" i="5"/>
  <c r="AR9" i="5" s="1"/>
  <c r="AR10" i="5" s="1"/>
  <c r="AR13" i="5" s="1"/>
  <c r="AQ8" i="5"/>
  <c r="AQ9" i="5" s="1"/>
  <c r="AQ10" i="5" s="1"/>
  <c r="AQ13" i="5" s="1"/>
  <c r="AP8" i="5"/>
  <c r="AP9" i="5" s="1"/>
  <c r="AP10" i="5" s="1"/>
  <c r="AP13" i="5" s="1"/>
  <c r="AO8" i="5"/>
  <c r="AO9" i="5" s="1"/>
  <c r="AO10" i="5" s="1"/>
  <c r="AO13" i="5" s="1"/>
  <c r="AN8" i="5"/>
  <c r="AN9" i="5" s="1"/>
  <c r="AN10" i="5" s="1"/>
  <c r="AN13" i="5" s="1"/>
  <c r="AM8" i="5"/>
  <c r="AM9" i="5" s="1"/>
  <c r="AM10" i="5" s="1"/>
  <c r="AM13" i="5" s="1"/>
  <c r="AL8" i="5"/>
  <c r="AL9" i="5" s="1"/>
  <c r="AL10" i="5" s="1"/>
  <c r="AL13" i="5" s="1"/>
  <c r="AK8" i="5"/>
  <c r="AK9" i="5" s="1"/>
  <c r="AK10" i="5" s="1"/>
  <c r="AK13" i="5" s="1"/>
  <c r="AJ8" i="5"/>
  <c r="AJ9" i="5" s="1"/>
  <c r="AJ10" i="5" s="1"/>
  <c r="AJ13" i="5" s="1"/>
  <c r="AI8" i="5"/>
  <c r="AI9" i="5" s="1"/>
  <c r="AI10" i="5" s="1"/>
  <c r="AI13" i="5" s="1"/>
  <c r="AG8" i="5"/>
  <c r="AG9" i="5" s="1"/>
  <c r="AF8" i="5"/>
  <c r="AF9" i="5" s="1"/>
  <c r="AF10" i="5" s="1"/>
  <c r="AF13" i="5" s="1"/>
  <c r="AE8" i="5"/>
  <c r="AE9" i="5" s="1"/>
  <c r="AE10" i="5" s="1"/>
  <c r="AE13" i="5" s="1"/>
  <c r="AD8" i="5"/>
  <c r="AD9" i="5" s="1"/>
  <c r="AD10" i="5" s="1"/>
  <c r="AD13" i="5" s="1"/>
  <c r="AC8" i="5"/>
  <c r="AC9" i="5" s="1"/>
  <c r="AC10" i="5" s="1"/>
  <c r="AC13" i="5" s="1"/>
  <c r="AB8" i="5"/>
  <c r="AB9" i="5" s="1"/>
  <c r="AB10" i="5" s="1"/>
  <c r="AB13" i="5" s="1"/>
  <c r="AA8" i="5"/>
  <c r="AA9" i="5" s="1"/>
  <c r="AA10" i="5" s="1"/>
  <c r="AA13" i="5" s="1"/>
  <c r="Z8" i="5"/>
  <c r="Z9" i="5" s="1"/>
  <c r="Z10" i="5" s="1"/>
  <c r="Z13" i="5" s="1"/>
  <c r="Y8" i="5"/>
  <c r="Y9" i="5" s="1"/>
  <c r="Y10" i="5" s="1"/>
  <c r="Y13" i="5" s="1"/>
  <c r="X8" i="5"/>
  <c r="X9" i="5" s="1"/>
  <c r="X10" i="5" s="1"/>
  <c r="X13" i="5" s="1"/>
  <c r="W8" i="5"/>
  <c r="W9" i="5" s="1"/>
  <c r="W10" i="5" s="1"/>
  <c r="W13" i="5" s="1"/>
  <c r="V8" i="5"/>
  <c r="V9" i="5" s="1"/>
  <c r="V10" i="5" s="1"/>
  <c r="V13" i="5" s="1"/>
  <c r="U8" i="5"/>
  <c r="U9" i="5" s="1"/>
  <c r="U10" i="5" s="1"/>
  <c r="U13" i="5" s="1"/>
  <c r="T8" i="5"/>
  <c r="T9" i="5" s="1"/>
  <c r="T10" i="5" s="1"/>
  <c r="T13" i="5" s="1"/>
  <c r="S8" i="5"/>
  <c r="S9" i="5" s="1"/>
  <c r="S10" i="5" s="1"/>
  <c r="S13" i="5" s="1"/>
  <c r="R8" i="5"/>
  <c r="R9" i="5" s="1"/>
  <c r="R10" i="5" s="1"/>
  <c r="R13" i="5" s="1"/>
  <c r="Q8" i="5"/>
  <c r="Q9" i="5" s="1"/>
  <c r="Q10" i="5" s="1"/>
  <c r="Q13" i="5" s="1"/>
  <c r="P8" i="5"/>
  <c r="P9" i="5" s="1"/>
  <c r="P10" i="5" s="1"/>
  <c r="P13" i="5" s="1"/>
  <c r="O8" i="5"/>
  <c r="O9" i="5" s="1"/>
  <c r="O10" i="5" s="1"/>
  <c r="O13" i="5" s="1"/>
  <c r="N8" i="5"/>
  <c r="N9" i="5" s="1"/>
  <c r="N10" i="5" s="1"/>
  <c r="N13" i="5" s="1"/>
  <c r="M8" i="5"/>
  <c r="M9" i="5" s="1"/>
  <c r="M10" i="5" s="1"/>
  <c r="M13" i="5" s="1"/>
  <c r="L8" i="5"/>
  <c r="L9" i="5" s="1"/>
  <c r="L10" i="5" s="1"/>
  <c r="L13" i="5" s="1"/>
  <c r="K8" i="5"/>
  <c r="K9" i="5" s="1"/>
  <c r="K10" i="5" s="1"/>
  <c r="K13" i="5" s="1"/>
  <c r="J8" i="5"/>
  <c r="J9" i="5" s="1"/>
  <c r="J10" i="5" s="1"/>
  <c r="J13" i="5" s="1"/>
  <c r="I8" i="5"/>
  <c r="I9" i="5" s="1"/>
  <c r="H8" i="5"/>
  <c r="H9" i="5" s="1"/>
  <c r="H10" i="5" s="1"/>
  <c r="H13" i="5" s="1"/>
  <c r="G8" i="5"/>
  <c r="G9" i="5" s="1"/>
  <c r="F8" i="5"/>
  <c r="F9" i="5" s="1"/>
  <c r="F10" i="5" s="1"/>
  <c r="E8" i="5"/>
  <c r="E9" i="5" s="1"/>
  <c r="E10" i="5" s="1"/>
  <c r="E13" i="5" s="1"/>
  <c r="D8" i="5"/>
  <c r="D9" i="5" s="1"/>
  <c r="C8" i="5"/>
  <c r="C9" i="5" s="1"/>
  <c r="C10" i="5" s="1"/>
  <c r="C13" i="5" s="1"/>
  <c r="AOC7" i="5"/>
  <c r="AOB7" i="5"/>
  <c r="AOA7" i="5"/>
  <c r="ANZ7" i="5"/>
  <c r="ANY7" i="5"/>
  <c r="ANX7" i="5"/>
  <c r="ANW7" i="5"/>
  <c r="ANV7" i="5"/>
  <c r="ANU7" i="5"/>
  <c r="ANT7" i="5"/>
  <c r="ANS7" i="5"/>
  <c r="ANR7" i="5"/>
  <c r="ANQ7" i="5"/>
  <c r="ANP7" i="5"/>
  <c r="ANO7" i="5"/>
  <c r="ANN7" i="5"/>
  <c r="ANM7" i="5"/>
  <c r="ANL7" i="5"/>
  <c r="ANK7" i="5"/>
  <c r="ANJ7" i="5"/>
  <c r="ANI7" i="5"/>
  <c r="ANH7" i="5"/>
  <c r="ANG7" i="5"/>
  <c r="ANF7" i="5"/>
  <c r="ANE7" i="5"/>
  <c r="AND7" i="5"/>
  <c r="ANC7" i="5"/>
  <c r="ANB7" i="5"/>
  <c r="ANA7" i="5"/>
  <c r="AMZ7" i="5"/>
  <c r="AMX7" i="5"/>
  <c r="AMW7" i="5"/>
  <c r="AMV7" i="5"/>
  <c r="AMU7" i="5"/>
  <c r="AMT7" i="5"/>
  <c r="AMS7" i="5"/>
  <c r="AMR7" i="5"/>
  <c r="AMQ7" i="5"/>
  <c r="AMP7" i="5"/>
  <c r="AMO7" i="5"/>
  <c r="AMN7" i="5"/>
  <c r="AMM7" i="5"/>
  <c r="AML7" i="5"/>
  <c r="AMK7" i="5"/>
  <c r="AMJ7" i="5"/>
  <c r="AMI7" i="5"/>
  <c r="AMH7" i="5"/>
  <c r="AMG7" i="5"/>
  <c r="AMF7" i="5"/>
  <c r="AME7" i="5"/>
  <c r="AMD7" i="5"/>
  <c r="AMC7" i="5"/>
  <c r="AMB7" i="5"/>
  <c r="AMA7" i="5"/>
  <c r="ALZ7" i="5"/>
  <c r="ALZ9" i="5" s="1"/>
  <c r="ALY7" i="5"/>
  <c r="ALX7" i="5"/>
  <c r="ALW7" i="5"/>
  <c r="ALV7" i="5"/>
  <c r="ALU7" i="5"/>
  <c r="ALS7" i="5"/>
  <c r="ALR7" i="5"/>
  <c r="ALR9" i="5" s="1"/>
  <c r="ALR10" i="5" s="1"/>
  <c r="ALR13" i="5" s="1"/>
  <c r="ALQ7" i="5"/>
  <c r="ALP7" i="5"/>
  <c r="ALO7" i="5"/>
  <c r="ALN7" i="5"/>
  <c r="ALM7" i="5"/>
  <c r="ALL7" i="5"/>
  <c r="ALK7" i="5"/>
  <c r="ALJ7" i="5"/>
  <c r="ALI7" i="5"/>
  <c r="ALH7" i="5"/>
  <c r="ALG7" i="5"/>
  <c r="ALF7" i="5"/>
  <c r="ALE7" i="5"/>
  <c r="ALD7" i="5"/>
  <c r="ALC7" i="5"/>
  <c r="ALB7" i="5"/>
  <c r="ALA7" i="5"/>
  <c r="AKZ7" i="5"/>
  <c r="AKY7" i="5"/>
  <c r="AKX7" i="5"/>
  <c r="AKW7" i="5"/>
  <c r="AKV7" i="5"/>
  <c r="AKU7" i="5"/>
  <c r="AKT7" i="5"/>
  <c r="AKS7" i="5"/>
  <c r="AKR7" i="5"/>
  <c r="AKQ7" i="5"/>
  <c r="AKP7" i="5"/>
  <c r="AKO7" i="5"/>
  <c r="AKM7" i="5"/>
  <c r="AKL7" i="5"/>
  <c r="AKK7" i="5"/>
  <c r="AKJ7" i="5"/>
  <c r="AKI7" i="5"/>
  <c r="AKH7" i="5"/>
  <c r="AKG7" i="5"/>
  <c r="AKF7" i="5"/>
  <c r="AKE7" i="5"/>
  <c r="AKD7" i="5"/>
  <c r="AKC7" i="5"/>
  <c r="AKB7" i="5"/>
  <c r="AKA7" i="5"/>
  <c r="AJZ7" i="5"/>
  <c r="AJY7" i="5"/>
  <c r="AJX7" i="5"/>
  <c r="AJW7" i="5"/>
  <c r="AJV7" i="5"/>
  <c r="AJU7" i="5"/>
  <c r="AJT7" i="5"/>
  <c r="AJS7" i="5"/>
  <c r="AJR7" i="5"/>
  <c r="AJQ7" i="5"/>
  <c r="AJP7" i="5"/>
  <c r="AJO7" i="5"/>
  <c r="AJN7" i="5"/>
  <c r="AJM7" i="5"/>
  <c r="AJL7" i="5"/>
  <c r="AJJ7" i="5"/>
  <c r="AJI7" i="5"/>
  <c r="AJH7" i="5"/>
  <c r="AJG7" i="5"/>
  <c r="AJF7" i="5"/>
  <c r="AJE7" i="5"/>
  <c r="AJD7" i="5"/>
  <c r="AJC7" i="5"/>
  <c r="AJB7" i="5"/>
  <c r="AJA7" i="5"/>
  <c r="AIZ7" i="5"/>
  <c r="AIY7" i="5"/>
  <c r="AIX7" i="5"/>
  <c r="AIW7" i="5"/>
  <c r="AIV7" i="5"/>
  <c r="AIU7" i="5"/>
  <c r="AIT7" i="5"/>
  <c r="AIS7" i="5"/>
  <c r="AIR7" i="5"/>
  <c r="AIQ7" i="5"/>
  <c r="AIP7" i="5"/>
  <c r="AIO7" i="5"/>
  <c r="AIN7" i="5"/>
  <c r="AIM7" i="5"/>
  <c r="AIL7" i="5"/>
  <c r="AIK7" i="5"/>
  <c r="AIJ7" i="5"/>
  <c r="AII7" i="5"/>
  <c r="AIH7" i="5"/>
  <c r="AIG7" i="5"/>
  <c r="AIF7" i="5"/>
  <c r="AID7" i="5"/>
  <c r="AIC7" i="5"/>
  <c r="AIB7" i="5"/>
  <c r="AIA7" i="5"/>
  <c r="AHZ7" i="5"/>
  <c r="AHY7" i="5"/>
  <c r="AHX7" i="5"/>
  <c r="AHW7" i="5"/>
  <c r="AHW9" i="5" s="1"/>
  <c r="AHV7" i="5"/>
  <c r="AHU7" i="5"/>
  <c r="AHT7" i="5"/>
  <c r="AHS7" i="5"/>
  <c r="AHR7" i="5"/>
  <c r="AHQ7" i="5"/>
  <c r="AHP7" i="5"/>
  <c r="AHO7" i="5"/>
  <c r="AHN7" i="5"/>
  <c r="AHM7" i="5"/>
  <c r="AHL7" i="5"/>
  <c r="AHK7" i="5"/>
  <c r="AHJ7" i="5"/>
  <c r="AHI7" i="5"/>
  <c r="AHH7" i="5"/>
  <c r="AHG7" i="5"/>
  <c r="AHF7" i="5"/>
  <c r="AHE7" i="5"/>
  <c r="AHD7" i="5"/>
  <c r="AHC7" i="5"/>
  <c r="AHB7" i="5"/>
  <c r="AHA7" i="5"/>
  <c r="AGZ7" i="5"/>
  <c r="AGX7" i="5"/>
  <c r="AGW7" i="5"/>
  <c r="AGV7" i="5"/>
  <c r="AGU7" i="5"/>
  <c r="AGT7" i="5"/>
  <c r="AGT9" i="5" s="1"/>
  <c r="AGS7" i="5"/>
  <c r="AGR7" i="5"/>
  <c r="AGR9" i="5" s="1"/>
  <c r="AGQ7" i="5"/>
  <c r="AGP7" i="5"/>
  <c r="AGO7" i="5"/>
  <c r="AGN7" i="5"/>
  <c r="AGM7" i="5"/>
  <c r="AGL7" i="5"/>
  <c r="AGK7" i="5"/>
  <c r="AGJ7" i="5"/>
  <c r="AGI7" i="5"/>
  <c r="AGH7" i="5"/>
  <c r="AGG7" i="5"/>
  <c r="AGF7" i="5"/>
  <c r="AGE7" i="5"/>
  <c r="AGD7" i="5"/>
  <c r="AGC7" i="5"/>
  <c r="AGB7" i="5"/>
  <c r="AGA7" i="5"/>
  <c r="AFZ7" i="5"/>
  <c r="AFY7" i="5"/>
  <c r="AFX7" i="5"/>
  <c r="AFW7" i="5"/>
  <c r="AFV7" i="5"/>
  <c r="AFU7" i="5"/>
  <c r="AFS7" i="5"/>
  <c r="AFR7" i="5"/>
  <c r="AFQ7" i="5"/>
  <c r="AFP7" i="5"/>
  <c r="AFO7" i="5"/>
  <c r="AFN7" i="5"/>
  <c r="AFM7" i="5"/>
  <c r="AFL7" i="5"/>
  <c r="AFK7" i="5"/>
  <c r="AFJ7" i="5"/>
  <c r="AFI7" i="5"/>
  <c r="AFH7" i="5"/>
  <c r="AFG7" i="5"/>
  <c r="AFF7" i="5"/>
  <c r="AFE7" i="5"/>
  <c r="AFD7" i="5"/>
  <c r="AFC7" i="5"/>
  <c r="AFB7" i="5"/>
  <c r="AFA7" i="5"/>
  <c r="AEZ7" i="5"/>
  <c r="AEY7" i="5"/>
  <c r="AEX7" i="5"/>
  <c r="AEW7" i="5"/>
  <c r="AEV7" i="5"/>
  <c r="AEU7" i="5"/>
  <c r="AET7" i="5"/>
  <c r="AES7" i="5"/>
  <c r="AER7" i="5"/>
  <c r="AEQ7" i="5"/>
  <c r="AEP7" i="5"/>
  <c r="AEO7" i="5"/>
  <c r="AEM7" i="5"/>
  <c r="AEL7" i="5"/>
  <c r="AEK7" i="5"/>
  <c r="AEJ7" i="5"/>
  <c r="AEI7" i="5"/>
  <c r="AEH7" i="5"/>
  <c r="AEG7" i="5"/>
  <c r="AEF7" i="5"/>
  <c r="AEE7" i="5"/>
  <c r="AED7" i="5"/>
  <c r="AEC7" i="5"/>
  <c r="AEB7" i="5"/>
  <c r="AEA7" i="5"/>
  <c r="ADZ7" i="5"/>
  <c r="ADY7" i="5"/>
  <c r="ADX7" i="5"/>
  <c r="ADW7" i="5"/>
  <c r="ADV7" i="5"/>
  <c r="ADU7" i="5"/>
  <c r="ADT7" i="5"/>
  <c r="ADS7" i="5"/>
  <c r="ADR7" i="5"/>
  <c r="ADQ7" i="5"/>
  <c r="ADP7" i="5"/>
  <c r="ADO7" i="5"/>
  <c r="ADN7" i="5"/>
  <c r="ADM7" i="5"/>
  <c r="ADL7" i="5"/>
  <c r="ADK7" i="5"/>
  <c r="ADJ7" i="5"/>
  <c r="ADH7" i="5"/>
  <c r="ADG7" i="5"/>
  <c r="ADF7" i="5"/>
  <c r="ADE7" i="5"/>
  <c r="ADD7" i="5"/>
  <c r="ADC7" i="5"/>
  <c r="ADB7" i="5"/>
  <c r="ADA7" i="5"/>
  <c r="ACZ7" i="5"/>
  <c r="ACY7" i="5"/>
  <c r="ACX7" i="5"/>
  <c r="ACW7" i="5"/>
  <c r="ACV7" i="5"/>
  <c r="ACU7" i="5"/>
  <c r="ACT7" i="5"/>
  <c r="ACS7" i="5"/>
  <c r="ACR7" i="5"/>
  <c r="ACQ7" i="5"/>
  <c r="ACP7" i="5"/>
  <c r="ACO7" i="5"/>
  <c r="ACN7" i="5"/>
  <c r="ACM7" i="5"/>
  <c r="ACL7" i="5"/>
  <c r="ACK7" i="5"/>
  <c r="ACJ7" i="5"/>
  <c r="ACI7" i="5"/>
  <c r="ACH7" i="5"/>
  <c r="ACG7" i="5"/>
  <c r="ACF7" i="5"/>
  <c r="ACE7" i="5"/>
  <c r="ACD7" i="5"/>
  <c r="ACB7" i="5"/>
  <c r="ACA7" i="5"/>
  <c r="ABZ7" i="5"/>
  <c r="ABY7" i="5"/>
  <c r="ABX7" i="5"/>
  <c r="ABW7" i="5"/>
  <c r="ABV7" i="5"/>
  <c r="ABU7" i="5"/>
  <c r="ABT7" i="5"/>
  <c r="ABS7" i="5"/>
  <c r="ABR7" i="5"/>
  <c r="ABQ7" i="5"/>
  <c r="ABP7" i="5"/>
  <c r="ABO7" i="5"/>
  <c r="ABN7" i="5"/>
  <c r="ABM7" i="5"/>
  <c r="ABL7" i="5"/>
  <c r="ABK7" i="5"/>
  <c r="ABJ7" i="5"/>
  <c r="ABI7" i="5"/>
  <c r="ABH7" i="5"/>
  <c r="ABG7" i="5"/>
  <c r="ABF7" i="5"/>
  <c r="ABE7" i="5"/>
  <c r="ABD7" i="5"/>
  <c r="ABC7" i="5"/>
  <c r="ABB7" i="5"/>
  <c r="ABA7" i="5"/>
  <c r="AAZ7" i="5"/>
  <c r="AAY7" i="5"/>
  <c r="AAX7" i="5"/>
  <c r="AAV7" i="5"/>
  <c r="AAU7" i="5"/>
  <c r="AAT7" i="5"/>
  <c r="AAS7" i="5"/>
  <c r="AAR7" i="5"/>
  <c r="AAQ7" i="5"/>
  <c r="AAP7" i="5"/>
  <c r="AAO7" i="5"/>
  <c r="AAN7" i="5"/>
  <c r="AAM7" i="5"/>
  <c r="AAL7" i="5"/>
  <c r="AAK7" i="5"/>
  <c r="AAJ7" i="5"/>
  <c r="AAI7" i="5"/>
  <c r="AAH7" i="5"/>
  <c r="AAG7" i="5"/>
  <c r="AAF7" i="5"/>
  <c r="AAE7" i="5"/>
  <c r="AAD7" i="5"/>
  <c r="AAC7" i="5"/>
  <c r="AAB7" i="5"/>
  <c r="AAA7" i="5"/>
  <c r="ZZ7" i="5"/>
  <c r="ZY7" i="5"/>
  <c r="ZX7" i="5"/>
  <c r="ZW7" i="5"/>
  <c r="ZV7" i="5"/>
  <c r="ZU7" i="5"/>
  <c r="ZT7" i="5"/>
  <c r="ZS7" i="5"/>
  <c r="ZQ7" i="5"/>
  <c r="ZP7" i="5"/>
  <c r="ZO7" i="5"/>
  <c r="ZN7" i="5"/>
  <c r="ZM7" i="5"/>
  <c r="ZL7" i="5"/>
  <c r="ZK7" i="5"/>
  <c r="ZJ7" i="5"/>
  <c r="ZI7" i="5"/>
  <c r="ZH7" i="5"/>
  <c r="ZG7" i="5"/>
  <c r="ZF7" i="5"/>
  <c r="ZE7" i="5"/>
  <c r="ZD7" i="5"/>
  <c r="ZC7" i="5"/>
  <c r="ZB7" i="5"/>
  <c r="ZA7" i="5"/>
  <c r="YZ7" i="5"/>
  <c r="YY7" i="5"/>
  <c r="YX7" i="5"/>
  <c r="YW7" i="5"/>
  <c r="YV7" i="5"/>
  <c r="YU7" i="5"/>
  <c r="YT7" i="5"/>
  <c r="YS7" i="5"/>
  <c r="YR7" i="5"/>
  <c r="YQ7" i="5"/>
  <c r="YP7" i="5"/>
  <c r="YO7" i="5"/>
  <c r="YN7" i="5"/>
  <c r="YM7" i="5"/>
  <c r="YK7" i="5"/>
  <c r="YJ7" i="5"/>
  <c r="YI7" i="5"/>
  <c r="YH7" i="5"/>
  <c r="YG7" i="5"/>
  <c r="YF7" i="5"/>
  <c r="YE7" i="5"/>
  <c r="YD7" i="5"/>
  <c r="YC7" i="5"/>
  <c r="YB7" i="5"/>
  <c r="YA7" i="5"/>
  <c r="XZ7" i="5"/>
  <c r="XY7" i="5"/>
  <c r="XX7" i="5"/>
  <c r="XW7" i="5"/>
  <c r="XV7" i="5"/>
  <c r="XU7" i="5"/>
  <c r="XT7" i="5"/>
  <c r="XS7" i="5"/>
  <c r="XR7" i="5"/>
  <c r="XQ7" i="5"/>
  <c r="XP7" i="5"/>
  <c r="XO7" i="5"/>
  <c r="XN7" i="5"/>
  <c r="XM7" i="5"/>
  <c r="XL7" i="5"/>
  <c r="XK7" i="5"/>
  <c r="XJ7" i="5"/>
  <c r="XI7" i="5"/>
  <c r="XH7" i="5"/>
  <c r="XF7" i="5"/>
  <c r="XE7" i="5"/>
  <c r="XD7" i="5"/>
  <c r="XC7" i="5"/>
  <c r="XB7" i="5"/>
  <c r="XA7" i="5"/>
  <c r="WZ7" i="5"/>
  <c r="WY7" i="5"/>
  <c r="WX7" i="5"/>
  <c r="WW7" i="5"/>
  <c r="WV7" i="5"/>
  <c r="WU7" i="5"/>
  <c r="WT7" i="5"/>
  <c r="WS7" i="5"/>
  <c r="WR7" i="5"/>
  <c r="WQ7" i="5"/>
  <c r="WP7" i="5"/>
  <c r="WO7" i="5"/>
  <c r="WN7" i="5"/>
  <c r="WM7" i="5"/>
  <c r="WL7" i="5"/>
  <c r="WK7" i="5"/>
  <c r="WJ7" i="5"/>
  <c r="WI7" i="5"/>
  <c r="WH7" i="5"/>
  <c r="WG7" i="5"/>
  <c r="WF7" i="5"/>
  <c r="WE7" i="5"/>
  <c r="WD7" i="5"/>
  <c r="WC7" i="5"/>
  <c r="WB7" i="5"/>
  <c r="VZ7" i="5"/>
  <c r="VY7" i="5"/>
  <c r="VX7" i="5"/>
  <c r="VW7" i="5"/>
  <c r="VV7" i="5"/>
  <c r="VU7" i="5"/>
  <c r="VT7" i="5"/>
  <c r="VS7" i="5"/>
  <c r="VR7" i="5"/>
  <c r="VQ7" i="5"/>
  <c r="VP7" i="5"/>
  <c r="VO7" i="5"/>
  <c r="VN7" i="5"/>
  <c r="VM7" i="5"/>
  <c r="VL7" i="5"/>
  <c r="VK7" i="5"/>
  <c r="VJ7" i="5"/>
  <c r="VI7" i="5"/>
  <c r="VH7" i="5"/>
  <c r="VG7" i="5"/>
  <c r="VF7" i="5"/>
  <c r="VE7" i="5"/>
  <c r="VD7" i="5"/>
  <c r="VC7" i="5"/>
  <c r="VB7" i="5"/>
  <c r="VA7" i="5"/>
  <c r="UZ7" i="5"/>
  <c r="UY7" i="5"/>
  <c r="UW7" i="5"/>
  <c r="UV7" i="5"/>
  <c r="UU7" i="5"/>
  <c r="UT7" i="5"/>
  <c r="US7" i="5"/>
  <c r="UR7" i="5"/>
  <c r="UQ7" i="5"/>
  <c r="UQ9" i="5" s="1"/>
  <c r="UP7" i="5"/>
  <c r="UO7" i="5"/>
  <c r="UN7" i="5"/>
  <c r="UM7" i="5"/>
  <c r="UL7" i="5"/>
  <c r="UK7" i="5"/>
  <c r="UJ7" i="5"/>
  <c r="UI7" i="5"/>
  <c r="UH7" i="5"/>
  <c r="UG7" i="5"/>
  <c r="UF7" i="5"/>
  <c r="UE7" i="5"/>
  <c r="UD7" i="5"/>
  <c r="UC7" i="5"/>
  <c r="UB7" i="5"/>
  <c r="UA7" i="5"/>
  <c r="TZ7" i="5"/>
  <c r="TY7" i="5"/>
  <c r="TX7" i="5"/>
  <c r="TW7" i="5"/>
  <c r="TV7" i="5"/>
  <c r="TU7" i="5"/>
  <c r="TT7" i="5"/>
  <c r="TS7" i="5"/>
  <c r="TQ7" i="5"/>
  <c r="TP7" i="5"/>
  <c r="TO7" i="5"/>
  <c r="TN7" i="5"/>
  <c r="TM7" i="5"/>
  <c r="TL7" i="5"/>
  <c r="TK7" i="5"/>
  <c r="TJ7" i="5"/>
  <c r="TI7" i="5"/>
  <c r="TH7" i="5"/>
  <c r="TG7" i="5"/>
  <c r="TF7" i="5"/>
  <c r="TE7" i="5"/>
  <c r="TD7" i="5"/>
  <c r="TC7" i="5"/>
  <c r="TB7" i="5"/>
  <c r="TA7" i="5"/>
  <c r="SZ7" i="5"/>
  <c r="SY7" i="5"/>
  <c r="SX7" i="5"/>
  <c r="SW7" i="5"/>
  <c r="SV7" i="5"/>
  <c r="SU7" i="5"/>
  <c r="ST7" i="5"/>
  <c r="SS7" i="5"/>
  <c r="SR7" i="5"/>
  <c r="SQ7" i="5"/>
  <c r="SP7" i="5"/>
  <c r="SO7" i="5"/>
  <c r="SN7" i="5"/>
  <c r="SM7" i="5"/>
  <c r="SK7" i="5"/>
  <c r="SJ7" i="5"/>
  <c r="SI7" i="5"/>
  <c r="SH7" i="5"/>
  <c r="SG7" i="5"/>
  <c r="SF7" i="5"/>
  <c r="SE7" i="5"/>
  <c r="SD7" i="5"/>
  <c r="SC7" i="5"/>
  <c r="SB7" i="5"/>
  <c r="SA7" i="5"/>
  <c r="RZ7" i="5"/>
  <c r="RY7" i="5"/>
  <c r="RX7" i="5"/>
  <c r="RW7" i="5"/>
  <c r="RV7" i="5"/>
  <c r="RU7" i="5"/>
  <c r="RT7" i="5"/>
  <c r="RS7" i="5"/>
  <c r="RR7" i="5"/>
  <c r="RQ7" i="5"/>
  <c r="RP7" i="5"/>
  <c r="RO7" i="5"/>
  <c r="RN7" i="5"/>
  <c r="RM7" i="5"/>
  <c r="RL7" i="5"/>
  <c r="RK7" i="5"/>
  <c r="RJ7" i="5"/>
  <c r="RI7" i="5"/>
  <c r="RH7" i="5"/>
  <c r="RF7" i="5"/>
  <c r="RE7" i="5"/>
  <c r="RD7" i="5"/>
  <c r="RC7" i="5"/>
  <c r="RB7" i="5"/>
  <c r="RA7" i="5"/>
  <c r="QZ7" i="5"/>
  <c r="QY7" i="5"/>
  <c r="QX7" i="5"/>
  <c r="QW7" i="5"/>
  <c r="QV7" i="5"/>
  <c r="QU7" i="5"/>
  <c r="QT7" i="5"/>
  <c r="QS7" i="5"/>
  <c r="QR7" i="5"/>
  <c r="QQ7" i="5"/>
  <c r="QP7" i="5"/>
  <c r="QO7" i="5"/>
  <c r="QN7" i="5"/>
  <c r="QM7" i="5"/>
  <c r="QL7" i="5"/>
  <c r="QK7" i="5"/>
  <c r="QJ7" i="5"/>
  <c r="QI7" i="5"/>
  <c r="QH7" i="5"/>
  <c r="QG7" i="5"/>
  <c r="QF7" i="5"/>
  <c r="QE7" i="5"/>
  <c r="QD7" i="5"/>
  <c r="QC7" i="5"/>
  <c r="QB7" i="5"/>
  <c r="PZ7" i="5"/>
  <c r="PY7" i="5"/>
  <c r="PX7" i="5"/>
  <c r="PW7" i="5"/>
  <c r="PV7" i="5"/>
  <c r="PU7" i="5"/>
  <c r="PT7" i="5"/>
  <c r="PS7" i="5"/>
  <c r="PR7" i="5"/>
  <c r="PQ7" i="5"/>
  <c r="PP7" i="5"/>
  <c r="PO7" i="5"/>
  <c r="PN7" i="5"/>
  <c r="PM7" i="5"/>
  <c r="PL7" i="5"/>
  <c r="PK7" i="5"/>
  <c r="PJ7" i="5"/>
  <c r="PI7" i="5"/>
  <c r="PH7" i="5"/>
  <c r="PG7" i="5"/>
  <c r="PF7" i="5"/>
  <c r="PE7" i="5"/>
  <c r="PD7" i="5"/>
  <c r="PC7" i="5"/>
  <c r="PB7" i="5"/>
  <c r="PA7" i="5"/>
  <c r="OZ7" i="5"/>
  <c r="OY7" i="5"/>
  <c r="OX7" i="5"/>
  <c r="OW7" i="5"/>
  <c r="OU7" i="5"/>
  <c r="OT7" i="5"/>
  <c r="OS7" i="5"/>
  <c r="OR7" i="5"/>
  <c r="OQ7" i="5"/>
  <c r="OP7" i="5"/>
  <c r="OO7" i="5"/>
  <c r="ON7" i="5"/>
  <c r="OM7" i="5"/>
  <c r="OL7" i="5"/>
  <c r="OK7" i="5"/>
  <c r="OJ7" i="5"/>
  <c r="OI7" i="5"/>
  <c r="OH7" i="5"/>
  <c r="OG7" i="5"/>
  <c r="OF7" i="5"/>
  <c r="OE7" i="5"/>
  <c r="OD7" i="5"/>
  <c r="OC7" i="5"/>
  <c r="OB7" i="5"/>
  <c r="OA7" i="5"/>
  <c r="NZ7" i="5"/>
  <c r="NY7" i="5"/>
  <c r="NX7" i="5"/>
  <c r="NW7" i="5"/>
  <c r="NV7" i="5"/>
  <c r="NU7" i="5"/>
  <c r="NT7" i="5"/>
  <c r="NS7" i="5"/>
  <c r="NR7" i="5"/>
  <c r="NQ7" i="5"/>
  <c r="NO7" i="5"/>
  <c r="NN7" i="5"/>
  <c r="NM7" i="5"/>
  <c r="NL7" i="5"/>
  <c r="NL9" i="5" s="1"/>
  <c r="NL10" i="5" s="1"/>
  <c r="NL13" i="5" s="1"/>
  <c r="NK7" i="5"/>
  <c r="NJ7" i="5"/>
  <c r="NI7" i="5"/>
  <c r="NH7" i="5"/>
  <c r="NG7" i="5"/>
  <c r="NF7" i="5"/>
  <c r="NE7" i="5"/>
  <c r="ND7" i="5"/>
  <c r="NC7" i="5"/>
  <c r="NB7" i="5"/>
  <c r="NA7" i="5"/>
  <c r="MZ7" i="5"/>
  <c r="MY7" i="5"/>
  <c r="MX7" i="5"/>
  <c r="MW7" i="5"/>
  <c r="MV7" i="5"/>
  <c r="MU7" i="5"/>
  <c r="MT7" i="5"/>
  <c r="MS7" i="5"/>
  <c r="MR7" i="5"/>
  <c r="MQ7" i="5"/>
  <c r="MP7" i="5"/>
  <c r="MO7" i="5"/>
  <c r="MN7" i="5"/>
  <c r="MM7" i="5"/>
  <c r="ML7" i="5"/>
  <c r="MK7" i="5"/>
  <c r="MI7" i="5"/>
  <c r="MH7" i="5"/>
  <c r="MG7" i="5"/>
  <c r="MF7" i="5"/>
  <c r="ME7" i="5"/>
  <c r="MD7" i="5"/>
  <c r="MC7" i="5"/>
  <c r="MB7" i="5"/>
  <c r="MA7" i="5"/>
  <c r="LZ7" i="5"/>
  <c r="LY7" i="5"/>
  <c r="LX7" i="5"/>
  <c r="LW7" i="5"/>
  <c r="LV7" i="5"/>
  <c r="LU7" i="5"/>
  <c r="LT7" i="5"/>
  <c r="LS7" i="5"/>
  <c r="LR7" i="5"/>
  <c r="LQ7" i="5"/>
  <c r="LP7" i="5"/>
  <c r="LO7" i="5"/>
  <c r="LN7" i="5"/>
  <c r="LM7" i="5"/>
  <c r="LL7" i="5"/>
  <c r="LK7" i="5"/>
  <c r="LJ7" i="5"/>
  <c r="LI7" i="5"/>
  <c r="LH7" i="5"/>
  <c r="LG7" i="5"/>
  <c r="LF7" i="5"/>
  <c r="LD7" i="5"/>
  <c r="LC7" i="5"/>
  <c r="LC9" i="5" s="1"/>
  <c r="LC10" i="5" s="1"/>
  <c r="LC13" i="5" s="1"/>
  <c r="LB7" i="5"/>
  <c r="LA7" i="5"/>
  <c r="KZ7" i="5"/>
  <c r="KY7" i="5"/>
  <c r="KX7" i="5"/>
  <c r="KW7" i="5"/>
  <c r="KV7" i="5"/>
  <c r="KU7" i="5"/>
  <c r="KT7" i="5"/>
  <c r="KS7" i="5"/>
  <c r="KR7" i="5"/>
  <c r="KQ7" i="5"/>
  <c r="KP7" i="5"/>
  <c r="KO7" i="5"/>
  <c r="KN7" i="5"/>
  <c r="KM7" i="5"/>
  <c r="KL7" i="5"/>
  <c r="KK7" i="5"/>
  <c r="KJ7" i="5"/>
  <c r="KI7" i="5"/>
  <c r="KH7" i="5"/>
  <c r="KG7" i="5"/>
  <c r="KF7" i="5"/>
  <c r="KE7" i="5"/>
  <c r="KD7" i="5"/>
  <c r="KC7" i="5"/>
  <c r="KB7" i="5"/>
  <c r="KA7" i="5"/>
  <c r="JZ7" i="5"/>
  <c r="JX7" i="5"/>
  <c r="JW7" i="5"/>
  <c r="JV7" i="5"/>
  <c r="JU7" i="5"/>
  <c r="JT7" i="5"/>
  <c r="JS7" i="5"/>
  <c r="JR7" i="5"/>
  <c r="JQ7" i="5"/>
  <c r="JP7" i="5"/>
  <c r="JO7" i="5"/>
  <c r="JN7" i="5"/>
  <c r="JM7" i="5"/>
  <c r="JL7" i="5"/>
  <c r="JK7" i="5"/>
  <c r="JJ7" i="5"/>
  <c r="JI7" i="5"/>
  <c r="JH7" i="5"/>
  <c r="JG7" i="5"/>
  <c r="JF7" i="5"/>
  <c r="JE7" i="5"/>
  <c r="JD7" i="5"/>
  <c r="JC7" i="5"/>
  <c r="JB7" i="5"/>
  <c r="JA7" i="5"/>
  <c r="IZ7" i="5"/>
  <c r="IY7" i="5"/>
  <c r="IX7" i="5"/>
  <c r="IW7" i="5"/>
  <c r="IV7" i="5"/>
  <c r="IU7" i="5"/>
  <c r="IS7" i="5"/>
  <c r="IR7" i="5"/>
  <c r="IQ7" i="5"/>
  <c r="IP7" i="5"/>
  <c r="IO7" i="5"/>
  <c r="IN7" i="5"/>
  <c r="IM7" i="5"/>
  <c r="IL7" i="5"/>
  <c r="IK7" i="5"/>
  <c r="IJ7" i="5"/>
  <c r="II7" i="5"/>
  <c r="IH7" i="5"/>
  <c r="IG7" i="5"/>
  <c r="IF7" i="5"/>
  <c r="IE7" i="5"/>
  <c r="ID7" i="5"/>
  <c r="IC7" i="5"/>
  <c r="IB7" i="5"/>
  <c r="IA7" i="5"/>
  <c r="HZ7" i="5"/>
  <c r="HY7" i="5"/>
  <c r="HX7" i="5"/>
  <c r="HW7" i="5"/>
  <c r="HV7" i="5"/>
  <c r="HU7" i="5"/>
  <c r="HT7" i="5"/>
  <c r="HS7" i="5"/>
  <c r="HR7" i="5"/>
  <c r="HQ7" i="5"/>
  <c r="HP7" i="5"/>
  <c r="HO7" i="5"/>
  <c r="HM7" i="5"/>
  <c r="HL7" i="5"/>
  <c r="HK7" i="5"/>
  <c r="HJ7" i="5"/>
  <c r="HI7" i="5"/>
  <c r="HH7" i="5"/>
  <c r="HG7" i="5"/>
  <c r="HF7" i="5"/>
  <c r="HE7" i="5"/>
  <c r="HD7" i="5"/>
  <c r="HC7" i="5"/>
  <c r="HB7" i="5"/>
  <c r="HA7" i="5"/>
  <c r="GZ7" i="5"/>
  <c r="GY7" i="5"/>
  <c r="GX7" i="5"/>
  <c r="GW7" i="5"/>
  <c r="GV7" i="5"/>
  <c r="GU7" i="5"/>
  <c r="GT7" i="5"/>
  <c r="GS7" i="5"/>
  <c r="GR7" i="5"/>
  <c r="GQ7" i="5"/>
  <c r="GP7" i="5"/>
  <c r="GO7" i="5"/>
  <c r="GN7" i="5"/>
  <c r="GM7" i="5"/>
  <c r="GL7" i="5"/>
  <c r="GK7" i="5"/>
  <c r="GI7" i="5"/>
  <c r="GH7" i="5"/>
  <c r="GG7" i="5"/>
  <c r="GF7" i="5"/>
  <c r="GE7" i="5"/>
  <c r="GD7" i="5"/>
  <c r="GC7" i="5"/>
  <c r="GB7" i="5"/>
  <c r="GA7" i="5"/>
  <c r="FZ7" i="5"/>
  <c r="FY7" i="5"/>
  <c r="FX7" i="5"/>
  <c r="FW7" i="5"/>
  <c r="FV7" i="5"/>
  <c r="FU7" i="5"/>
  <c r="FT7" i="5"/>
  <c r="FS7" i="5"/>
  <c r="FR7" i="5"/>
  <c r="FQ7" i="5"/>
  <c r="FP7" i="5"/>
  <c r="FO7" i="5"/>
  <c r="FN7" i="5"/>
  <c r="FM7" i="5"/>
  <c r="FL7" i="5"/>
  <c r="FK7" i="5"/>
  <c r="FJ7" i="5"/>
  <c r="FI7" i="5"/>
  <c r="FH7" i="5"/>
  <c r="FG7" i="5"/>
  <c r="FF7" i="5"/>
  <c r="FE7" i="5"/>
  <c r="FC7" i="5"/>
  <c r="FB7" i="5"/>
  <c r="FA7" i="5"/>
  <c r="EZ7" i="5"/>
  <c r="EY7" i="5"/>
  <c r="EX7" i="5"/>
  <c r="EW7" i="5"/>
  <c r="EV7" i="5"/>
  <c r="EU7" i="5"/>
  <c r="ET7" i="5"/>
  <c r="ES7" i="5"/>
  <c r="ER7" i="5"/>
  <c r="EQ7" i="5"/>
  <c r="EP7" i="5"/>
  <c r="EO7" i="5"/>
  <c r="EN7" i="5"/>
  <c r="EM7" i="5"/>
  <c r="EL7" i="5"/>
  <c r="EK7" i="5"/>
  <c r="EJ7" i="5"/>
  <c r="EI7" i="5"/>
  <c r="EH7" i="5"/>
  <c r="EG7" i="5"/>
  <c r="EF7" i="5"/>
  <c r="EE7" i="5"/>
  <c r="ED7" i="5"/>
  <c r="EC7" i="5"/>
  <c r="EB7" i="5"/>
  <c r="EA7" i="5"/>
  <c r="DZ7" i="5"/>
  <c r="DY7" i="5"/>
  <c r="DW7" i="5"/>
  <c r="DV7" i="5"/>
  <c r="DU7" i="5"/>
  <c r="DT7" i="5"/>
  <c r="DS7" i="5"/>
  <c r="DR7" i="5"/>
  <c r="DQ7" i="5"/>
  <c r="DP7" i="5"/>
  <c r="DO7" i="5"/>
  <c r="DN7" i="5"/>
  <c r="DM7" i="5"/>
  <c r="DL7" i="5"/>
  <c r="DK7" i="5"/>
  <c r="DJ7" i="5"/>
  <c r="DI7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R7" i="5"/>
  <c r="CQ7" i="5"/>
  <c r="CP7" i="5"/>
  <c r="CO7" i="5"/>
  <c r="CN7" i="5"/>
  <c r="CM7" i="5"/>
  <c r="CL7" i="5"/>
  <c r="CK7" i="5"/>
  <c r="CJ7" i="5"/>
  <c r="CI7" i="5"/>
  <c r="CH7" i="5"/>
  <c r="CG7" i="5"/>
  <c r="CF7" i="5"/>
  <c r="CE7" i="5"/>
  <c r="CD7" i="5"/>
  <c r="CC7" i="5"/>
  <c r="CB7" i="5"/>
  <c r="CA7" i="5"/>
  <c r="BZ7" i="5"/>
  <c r="BY7" i="5"/>
  <c r="BX7" i="5"/>
  <c r="BW7" i="5"/>
  <c r="BV7" i="5"/>
  <c r="BU7" i="5"/>
  <c r="BT7" i="5"/>
  <c r="BS7" i="5"/>
  <c r="BR7" i="5"/>
  <c r="BQ7" i="5"/>
  <c r="BP7" i="5"/>
  <c r="BO7" i="5"/>
  <c r="BN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LR6" i="5"/>
  <c r="NL6" i="5"/>
  <c r="LP6" i="5"/>
  <c r="LO6" i="5"/>
  <c r="LN6" i="5"/>
  <c r="LM6" i="5"/>
  <c r="LL6" i="5"/>
  <c r="LK6" i="5"/>
  <c r="LJ6" i="5"/>
  <c r="LI6" i="5"/>
  <c r="LH6" i="5"/>
  <c r="LG6" i="5"/>
  <c r="LF6" i="5"/>
  <c r="LD6" i="5"/>
  <c r="LC6" i="5"/>
  <c r="LB6" i="5"/>
  <c r="LA6" i="5"/>
  <c r="KZ6" i="5"/>
  <c r="KY6" i="5"/>
  <c r="KX6" i="5"/>
  <c r="KW6" i="5"/>
  <c r="KV6" i="5"/>
  <c r="KU6" i="5"/>
  <c r="KT6" i="5"/>
  <c r="KS6" i="5"/>
  <c r="KR6" i="5"/>
  <c r="KQ6" i="5"/>
  <c r="KP6" i="5"/>
  <c r="KO6" i="5"/>
  <c r="KN6" i="5"/>
  <c r="KM6" i="5"/>
  <c r="KL6" i="5"/>
  <c r="KK6" i="5"/>
  <c r="KJ6" i="5"/>
  <c r="KI6" i="5"/>
  <c r="KH6" i="5"/>
  <c r="KG6" i="5"/>
  <c r="KF6" i="5"/>
  <c r="KE6" i="5"/>
  <c r="KD6" i="5"/>
  <c r="KC6" i="5"/>
  <c r="KB6" i="5"/>
  <c r="KA6" i="5"/>
  <c r="JZ6" i="5"/>
  <c r="JX6" i="5"/>
  <c r="JW6" i="5"/>
  <c r="JV6" i="5"/>
  <c r="JU6" i="5"/>
  <c r="JT6" i="5"/>
  <c r="JS6" i="5"/>
  <c r="JR6" i="5"/>
  <c r="JQ6" i="5"/>
  <c r="JP6" i="5"/>
  <c r="JO6" i="5"/>
  <c r="JN6" i="5"/>
  <c r="JM6" i="5"/>
  <c r="JL6" i="5"/>
  <c r="JK6" i="5"/>
  <c r="JJ6" i="5"/>
  <c r="JI6" i="5"/>
  <c r="JH6" i="5"/>
  <c r="JG6" i="5"/>
  <c r="JF6" i="5"/>
  <c r="JE6" i="5"/>
  <c r="JD6" i="5"/>
  <c r="JC6" i="5"/>
  <c r="JB6" i="5"/>
  <c r="JA6" i="5"/>
  <c r="IZ6" i="5"/>
  <c r="IY6" i="5"/>
  <c r="IX6" i="5"/>
  <c r="IW6" i="5"/>
  <c r="IV6" i="5"/>
  <c r="IU6" i="5"/>
  <c r="IS6" i="5"/>
  <c r="IR6" i="5"/>
  <c r="IQ6" i="5"/>
  <c r="IP6" i="5"/>
  <c r="IO6" i="5"/>
  <c r="IN6" i="5"/>
  <c r="IM6" i="5"/>
  <c r="IL6" i="5"/>
  <c r="IK6" i="5"/>
  <c r="IJ6" i="5"/>
  <c r="II6" i="5"/>
  <c r="IH6" i="5"/>
  <c r="IG6" i="5"/>
  <c r="IF6" i="5"/>
  <c r="IE6" i="5"/>
  <c r="ID6" i="5"/>
  <c r="IC6" i="5"/>
  <c r="IB6" i="5"/>
  <c r="IA6" i="5"/>
  <c r="HZ6" i="5"/>
  <c r="HY6" i="5"/>
  <c r="HX6" i="5"/>
  <c r="HW6" i="5"/>
  <c r="HV6" i="5"/>
  <c r="HU6" i="5"/>
  <c r="HT6" i="5"/>
  <c r="HS6" i="5"/>
  <c r="HR6" i="5"/>
  <c r="HQ6" i="5"/>
  <c r="HP6" i="5"/>
  <c r="HO6" i="5"/>
  <c r="HM6" i="5"/>
  <c r="HL6" i="5"/>
  <c r="HK6" i="5"/>
  <c r="HJ6" i="5"/>
  <c r="HI6" i="5"/>
  <c r="HH6" i="5"/>
  <c r="HG6" i="5"/>
  <c r="HF6" i="5"/>
  <c r="HE6" i="5"/>
  <c r="HD6" i="5"/>
  <c r="HC6" i="5"/>
  <c r="HB6" i="5"/>
  <c r="HA6" i="5"/>
  <c r="GZ6" i="5"/>
  <c r="GY6" i="5"/>
  <c r="GX6" i="5"/>
  <c r="GW6" i="5"/>
  <c r="GV6" i="5"/>
  <c r="GU6" i="5"/>
  <c r="GT6" i="5"/>
  <c r="GS6" i="5"/>
  <c r="GR6" i="5"/>
  <c r="GQ6" i="5"/>
  <c r="GP6" i="5"/>
  <c r="GO6" i="5"/>
  <c r="GN6" i="5"/>
  <c r="GM6" i="5"/>
  <c r="GL6" i="5"/>
  <c r="GK6" i="5"/>
  <c r="GI6" i="5"/>
  <c r="GH6" i="5"/>
  <c r="GG6" i="5"/>
  <c r="GF6" i="5"/>
  <c r="GE6" i="5"/>
  <c r="GD6" i="5"/>
  <c r="GC6" i="5"/>
  <c r="GB6" i="5"/>
  <c r="GA6" i="5"/>
  <c r="FZ6" i="5"/>
  <c r="FY6" i="5"/>
  <c r="FX6" i="5"/>
  <c r="FW6" i="5"/>
  <c r="FV6" i="5"/>
  <c r="FU6" i="5"/>
  <c r="FT6" i="5"/>
  <c r="FS6" i="5"/>
  <c r="FR6" i="5"/>
  <c r="FQ6" i="5"/>
  <c r="FP6" i="5"/>
  <c r="FO6" i="5"/>
  <c r="FN6" i="5"/>
  <c r="FM6" i="5"/>
  <c r="FL6" i="5"/>
  <c r="FK6" i="5"/>
  <c r="FJ6" i="5"/>
  <c r="FI6" i="5"/>
  <c r="FH6" i="5"/>
  <c r="FG6" i="5"/>
  <c r="FF6" i="5"/>
  <c r="FE6" i="5"/>
  <c r="FC6" i="5"/>
  <c r="FB6" i="5"/>
  <c r="FA6" i="5"/>
  <c r="EZ6" i="5"/>
  <c r="EY6" i="5"/>
  <c r="EX6" i="5"/>
  <c r="EW6" i="5"/>
  <c r="EV6" i="5"/>
  <c r="EU6" i="5"/>
  <c r="ET6" i="5"/>
  <c r="ES6" i="5"/>
  <c r="ER6" i="5"/>
  <c r="EQ6" i="5"/>
  <c r="EP6" i="5"/>
  <c r="EO6" i="5"/>
  <c r="EN6" i="5"/>
  <c r="EM6" i="5"/>
  <c r="EL6" i="5"/>
  <c r="EK6" i="5"/>
  <c r="EJ6" i="5"/>
  <c r="EI6" i="5"/>
  <c r="EH6" i="5"/>
  <c r="EG6" i="5"/>
  <c r="EF6" i="5"/>
  <c r="EE6" i="5"/>
  <c r="ED6" i="5"/>
  <c r="EC6" i="5"/>
  <c r="EB6" i="5"/>
  <c r="EA6" i="5"/>
  <c r="DZ6" i="5"/>
  <c r="DY6" i="5"/>
  <c r="DW6" i="5"/>
  <c r="DV6" i="5"/>
  <c r="DU6" i="5"/>
  <c r="DT6" i="5"/>
  <c r="DS6" i="5"/>
  <c r="DR6" i="5"/>
  <c r="DQ6" i="5"/>
  <c r="DP6" i="5"/>
  <c r="DO6" i="5"/>
  <c r="DN6" i="5"/>
  <c r="DM6" i="5"/>
  <c r="DL6" i="5"/>
  <c r="DK6" i="5"/>
  <c r="DJ6" i="5"/>
  <c r="DI6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R6" i="5"/>
  <c r="CQ6" i="5"/>
  <c r="CP6" i="5"/>
  <c r="CO6" i="5"/>
  <c r="CN6" i="5"/>
  <c r="CM6" i="5"/>
  <c r="CL6" i="5"/>
  <c r="CK6" i="5"/>
  <c r="CJ6" i="5"/>
  <c r="CI6" i="5"/>
  <c r="CH6" i="5"/>
  <c r="CG6" i="5"/>
  <c r="CF6" i="5"/>
  <c r="CE6" i="5"/>
  <c r="CD6" i="5"/>
  <c r="CC6" i="5"/>
  <c r="CB6" i="5"/>
  <c r="CA6" i="5"/>
  <c r="BZ6" i="5"/>
  <c r="BY6" i="5"/>
  <c r="BX6" i="5"/>
  <c r="BW6" i="5"/>
  <c r="BV6" i="5"/>
  <c r="BU6" i="5"/>
  <c r="BT6" i="5"/>
  <c r="BS6" i="5"/>
  <c r="BR6" i="5"/>
  <c r="BQ6" i="5"/>
  <c r="BP6" i="5"/>
  <c r="BO6" i="5"/>
  <c r="BN6" i="5"/>
  <c r="BL6" i="5"/>
  <c r="BM6" i="5" s="1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G6" i="5"/>
  <c r="AH6" i="5" s="1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H6" i="5"/>
  <c r="F6" i="5"/>
  <c r="E6" i="5"/>
  <c r="C6" i="5"/>
  <c r="AOC5" i="5"/>
  <c r="AOC6" i="5" s="1"/>
  <c r="AOB5" i="5"/>
  <c r="AOB6" i="5" s="1"/>
  <c r="AOA5" i="5"/>
  <c r="AOA6" i="5" s="1"/>
  <c r="ANZ5" i="5"/>
  <c r="ANZ6" i="5" s="1"/>
  <c r="ANY5" i="5"/>
  <c r="ANY6" i="5" s="1"/>
  <c r="ANX5" i="5"/>
  <c r="ANX6" i="5" s="1"/>
  <c r="ANW5" i="5"/>
  <c r="ANW6" i="5" s="1"/>
  <c r="ANV5" i="5"/>
  <c r="ANV6" i="5" s="1"/>
  <c r="ANU5" i="5"/>
  <c r="ANU6" i="5" s="1"/>
  <c r="ANT5" i="5"/>
  <c r="ANT6" i="5" s="1"/>
  <c r="ANS5" i="5"/>
  <c r="ANS6" i="5" s="1"/>
  <c r="ANR5" i="5"/>
  <c r="ANR6" i="5" s="1"/>
  <c r="ANQ5" i="5"/>
  <c r="ANQ6" i="5" s="1"/>
  <c r="ANP5" i="5"/>
  <c r="ANP6" i="5" s="1"/>
  <c r="ANO5" i="5"/>
  <c r="ANO6" i="5" s="1"/>
  <c r="ANN5" i="5"/>
  <c r="ANN6" i="5" s="1"/>
  <c r="ANM5" i="5"/>
  <c r="ANM6" i="5" s="1"/>
  <c r="ANL5" i="5"/>
  <c r="ANL6" i="5" s="1"/>
  <c r="ANK5" i="5"/>
  <c r="ANK6" i="5" s="1"/>
  <c r="ANJ5" i="5"/>
  <c r="ANJ6" i="5" s="1"/>
  <c r="ANI5" i="5"/>
  <c r="ANI6" i="5" s="1"/>
  <c r="ANH5" i="5"/>
  <c r="ANH6" i="5" s="1"/>
  <c r="ANG5" i="5"/>
  <c r="ANG6" i="5" s="1"/>
  <c r="ANF5" i="5"/>
  <c r="ANF6" i="5" s="1"/>
  <c r="ANE5" i="5"/>
  <c r="ANE6" i="5" s="1"/>
  <c r="AND5" i="5"/>
  <c r="AND6" i="5" s="1"/>
  <c r="ANC5" i="5"/>
  <c r="ANC6" i="5" s="1"/>
  <c r="ANB5" i="5"/>
  <c r="ANB6" i="5" s="1"/>
  <c r="ANA5" i="5"/>
  <c r="ANA6" i="5" s="1"/>
  <c r="AMZ5" i="5"/>
  <c r="AMZ6" i="5" s="1"/>
  <c r="AMX5" i="5"/>
  <c r="AMX6" i="5" s="1"/>
  <c r="AMW5" i="5"/>
  <c r="AMW6" i="5" s="1"/>
  <c r="AMV5" i="5"/>
  <c r="AMV6" i="5" s="1"/>
  <c r="AMU5" i="5"/>
  <c r="AMU6" i="5" s="1"/>
  <c r="AMT5" i="5"/>
  <c r="AMT6" i="5" s="1"/>
  <c r="AMS5" i="5"/>
  <c r="AMS6" i="5" s="1"/>
  <c r="AMR5" i="5"/>
  <c r="AMR6" i="5" s="1"/>
  <c r="AMQ5" i="5"/>
  <c r="AMQ6" i="5" s="1"/>
  <c r="AMP5" i="5"/>
  <c r="AMP6" i="5" s="1"/>
  <c r="AMO5" i="5"/>
  <c r="AMO6" i="5" s="1"/>
  <c r="AMN5" i="5"/>
  <c r="AMN6" i="5" s="1"/>
  <c r="AMM5" i="5"/>
  <c r="AMM6" i="5" s="1"/>
  <c r="AML5" i="5"/>
  <c r="AML6" i="5" s="1"/>
  <c r="AMK5" i="5"/>
  <c r="AMK6" i="5" s="1"/>
  <c r="AMJ5" i="5"/>
  <c r="AMJ6" i="5" s="1"/>
  <c r="AMI5" i="5"/>
  <c r="AMI6" i="5" s="1"/>
  <c r="AMH5" i="5"/>
  <c r="AMH6" i="5" s="1"/>
  <c r="AMG5" i="5"/>
  <c r="AMG6" i="5" s="1"/>
  <c r="AMF5" i="5"/>
  <c r="AMF6" i="5" s="1"/>
  <c r="AME5" i="5"/>
  <c r="AME6" i="5" s="1"/>
  <c r="AMD5" i="5"/>
  <c r="AMD6" i="5" s="1"/>
  <c r="AMC5" i="5"/>
  <c r="AMC6" i="5" s="1"/>
  <c r="AMB5" i="5"/>
  <c r="AMB6" i="5" s="1"/>
  <c r="AMA5" i="5"/>
  <c r="AMA6" i="5" s="1"/>
  <c r="ALZ5" i="5"/>
  <c r="ALZ6" i="5" s="1"/>
  <c r="ALY5" i="5"/>
  <c r="ALY6" i="5" s="1"/>
  <c r="ALX5" i="5"/>
  <c r="ALX6" i="5" s="1"/>
  <c r="ALW5" i="5"/>
  <c r="ALW6" i="5" s="1"/>
  <c r="ALV5" i="5"/>
  <c r="ALV6" i="5" s="1"/>
  <c r="ALU5" i="5"/>
  <c r="ALU6" i="5" s="1"/>
  <c r="ALS5" i="5"/>
  <c r="ALS6" i="5" s="1"/>
  <c r="ALQ5" i="5"/>
  <c r="ALQ6" i="5" s="1"/>
  <c r="ALP5" i="5"/>
  <c r="ALP6" i="5" s="1"/>
  <c r="ALO5" i="5"/>
  <c r="ALO6" i="5" s="1"/>
  <c r="ALN5" i="5"/>
  <c r="ALN6" i="5" s="1"/>
  <c r="ALM5" i="5"/>
  <c r="ALM6" i="5" s="1"/>
  <c r="ALL5" i="5"/>
  <c r="ALL6" i="5" s="1"/>
  <c r="ALK5" i="5"/>
  <c r="ALK6" i="5" s="1"/>
  <c r="ALJ5" i="5"/>
  <c r="ALJ6" i="5" s="1"/>
  <c r="ALI5" i="5"/>
  <c r="ALI6" i="5" s="1"/>
  <c r="ALH5" i="5"/>
  <c r="ALH6" i="5" s="1"/>
  <c r="ALG5" i="5"/>
  <c r="ALG6" i="5" s="1"/>
  <c r="ALF5" i="5"/>
  <c r="ALF6" i="5" s="1"/>
  <c r="ALE5" i="5"/>
  <c r="ALE6" i="5" s="1"/>
  <c r="ALD5" i="5"/>
  <c r="ALD6" i="5" s="1"/>
  <c r="ALC5" i="5"/>
  <c r="ALC6" i="5" s="1"/>
  <c r="ALB5" i="5"/>
  <c r="ALB6" i="5" s="1"/>
  <c r="ALA5" i="5"/>
  <c r="ALA6" i="5" s="1"/>
  <c r="AKZ5" i="5"/>
  <c r="AKZ6" i="5" s="1"/>
  <c r="AKY5" i="5"/>
  <c r="AKY6" i="5" s="1"/>
  <c r="AKX5" i="5"/>
  <c r="AKX6" i="5" s="1"/>
  <c r="AKW5" i="5"/>
  <c r="AKW6" i="5" s="1"/>
  <c r="AKV5" i="5"/>
  <c r="AKV6" i="5" s="1"/>
  <c r="AKU5" i="5"/>
  <c r="AKU6" i="5" s="1"/>
  <c r="AKT5" i="5"/>
  <c r="AKT6" i="5" s="1"/>
  <c r="AKS5" i="5"/>
  <c r="AKS6" i="5" s="1"/>
  <c r="AKR5" i="5"/>
  <c r="AKR6" i="5" s="1"/>
  <c r="AKQ5" i="5"/>
  <c r="AKQ6" i="5" s="1"/>
  <c r="AKP5" i="5"/>
  <c r="AKP6" i="5" s="1"/>
  <c r="AKO5" i="5"/>
  <c r="AKO6" i="5" s="1"/>
  <c r="AKM5" i="5"/>
  <c r="AKM6" i="5" s="1"/>
  <c r="AKL5" i="5"/>
  <c r="AKL6" i="5" s="1"/>
  <c r="AKK5" i="5"/>
  <c r="AKK6" i="5" s="1"/>
  <c r="AKJ5" i="5"/>
  <c r="AKJ6" i="5" s="1"/>
  <c r="AKI5" i="5"/>
  <c r="AKI6" i="5" s="1"/>
  <c r="AKH5" i="5"/>
  <c r="AKH6" i="5" s="1"/>
  <c r="AKG5" i="5"/>
  <c r="AKG6" i="5" s="1"/>
  <c r="AKF5" i="5"/>
  <c r="AKF6" i="5" s="1"/>
  <c r="AKE5" i="5"/>
  <c r="AKE6" i="5" s="1"/>
  <c r="AKD5" i="5"/>
  <c r="AKD6" i="5" s="1"/>
  <c r="AKC5" i="5"/>
  <c r="AKC6" i="5" s="1"/>
  <c r="AKB5" i="5"/>
  <c r="AKB6" i="5" s="1"/>
  <c r="AKA5" i="5"/>
  <c r="AKA6" i="5" s="1"/>
  <c r="AJZ5" i="5"/>
  <c r="AJZ6" i="5" s="1"/>
  <c r="AJY5" i="5"/>
  <c r="AJY6" i="5" s="1"/>
  <c r="AJX5" i="5"/>
  <c r="AJX6" i="5" s="1"/>
  <c r="AJW5" i="5"/>
  <c r="AJW6" i="5" s="1"/>
  <c r="AJV5" i="5"/>
  <c r="AJV6" i="5" s="1"/>
  <c r="AJU5" i="5"/>
  <c r="AJU6" i="5" s="1"/>
  <c r="AJT5" i="5"/>
  <c r="AJT6" i="5" s="1"/>
  <c r="AJS5" i="5"/>
  <c r="AJS6" i="5" s="1"/>
  <c r="AJR5" i="5"/>
  <c r="AJR6" i="5" s="1"/>
  <c r="AJQ5" i="5"/>
  <c r="AJQ6" i="5" s="1"/>
  <c r="AJP5" i="5"/>
  <c r="AJP6" i="5" s="1"/>
  <c r="AJO5" i="5"/>
  <c r="AJO6" i="5" s="1"/>
  <c r="AJN5" i="5"/>
  <c r="AJN6" i="5" s="1"/>
  <c r="AJM5" i="5"/>
  <c r="AJM6" i="5" s="1"/>
  <c r="AJL5" i="5"/>
  <c r="AJL6" i="5" s="1"/>
  <c r="AJJ5" i="5"/>
  <c r="AJJ6" i="5" s="1"/>
  <c r="AJI5" i="5"/>
  <c r="AJI6" i="5" s="1"/>
  <c r="AJH5" i="5"/>
  <c r="AJH6" i="5" s="1"/>
  <c r="AJG5" i="5"/>
  <c r="AJG6" i="5" s="1"/>
  <c r="AJF5" i="5"/>
  <c r="AJF6" i="5" s="1"/>
  <c r="AJE5" i="5"/>
  <c r="AJE6" i="5" s="1"/>
  <c r="AJD5" i="5"/>
  <c r="AJD6" i="5" s="1"/>
  <c r="AJC5" i="5"/>
  <c r="AJC6" i="5" s="1"/>
  <c r="AJB5" i="5"/>
  <c r="AJB6" i="5" s="1"/>
  <c r="AJA5" i="5"/>
  <c r="AJA6" i="5" s="1"/>
  <c r="AIZ5" i="5"/>
  <c r="AIZ6" i="5" s="1"/>
  <c r="AIY5" i="5"/>
  <c r="AIY6" i="5" s="1"/>
  <c r="AIX5" i="5"/>
  <c r="AIX6" i="5" s="1"/>
  <c r="AIW5" i="5"/>
  <c r="AIW6" i="5" s="1"/>
  <c r="AIV5" i="5"/>
  <c r="AIV6" i="5" s="1"/>
  <c r="AIU5" i="5"/>
  <c r="AIU6" i="5" s="1"/>
  <c r="AIT5" i="5"/>
  <c r="AIT6" i="5" s="1"/>
  <c r="AIS5" i="5"/>
  <c r="AIS6" i="5" s="1"/>
  <c r="AIR5" i="5"/>
  <c r="AIR6" i="5" s="1"/>
  <c r="AIQ5" i="5"/>
  <c r="AIQ6" i="5" s="1"/>
  <c r="AIP5" i="5"/>
  <c r="AIP6" i="5" s="1"/>
  <c r="AIO5" i="5"/>
  <c r="AIO6" i="5" s="1"/>
  <c r="AIN5" i="5"/>
  <c r="AIN6" i="5" s="1"/>
  <c r="AIM5" i="5"/>
  <c r="AIM6" i="5" s="1"/>
  <c r="AIL5" i="5"/>
  <c r="AIL6" i="5" s="1"/>
  <c r="AIK5" i="5"/>
  <c r="AIK6" i="5" s="1"/>
  <c r="AIJ5" i="5"/>
  <c r="AIJ6" i="5" s="1"/>
  <c r="AII5" i="5"/>
  <c r="AII6" i="5" s="1"/>
  <c r="AIH5" i="5"/>
  <c r="AIH6" i="5" s="1"/>
  <c r="AIG5" i="5"/>
  <c r="AIG6" i="5" s="1"/>
  <c r="AIF5" i="5"/>
  <c r="AIF6" i="5" s="1"/>
  <c r="AID5" i="5"/>
  <c r="AID6" i="5" s="1"/>
  <c r="AIC5" i="5"/>
  <c r="AIC6" i="5" s="1"/>
  <c r="AIB5" i="5"/>
  <c r="AIB6" i="5" s="1"/>
  <c r="AIA5" i="5"/>
  <c r="AIA6" i="5" s="1"/>
  <c r="AHZ5" i="5"/>
  <c r="AHZ6" i="5" s="1"/>
  <c r="AHY5" i="5"/>
  <c r="AHY6" i="5" s="1"/>
  <c r="AHX5" i="5"/>
  <c r="AHX6" i="5" s="1"/>
  <c r="AHW5" i="5"/>
  <c r="AHW6" i="5" s="1"/>
  <c r="AHV5" i="5"/>
  <c r="AHV6" i="5" s="1"/>
  <c r="AHU5" i="5"/>
  <c r="AHU6" i="5" s="1"/>
  <c r="AHT5" i="5"/>
  <c r="AHT6" i="5" s="1"/>
  <c r="AHS5" i="5"/>
  <c r="AHS6" i="5" s="1"/>
  <c r="AHR5" i="5"/>
  <c r="AHR6" i="5" s="1"/>
  <c r="AHQ5" i="5"/>
  <c r="AHQ6" i="5" s="1"/>
  <c r="AHP5" i="5"/>
  <c r="AHP6" i="5" s="1"/>
  <c r="AHO5" i="5"/>
  <c r="AHO6" i="5" s="1"/>
  <c r="AHN5" i="5"/>
  <c r="AHN6" i="5" s="1"/>
  <c r="AHM5" i="5"/>
  <c r="AHM6" i="5" s="1"/>
  <c r="AHL5" i="5"/>
  <c r="AHL6" i="5" s="1"/>
  <c r="AHK5" i="5"/>
  <c r="AHK6" i="5" s="1"/>
  <c r="AHJ5" i="5"/>
  <c r="AHJ6" i="5" s="1"/>
  <c r="AHI5" i="5"/>
  <c r="AHI6" i="5" s="1"/>
  <c r="AHH5" i="5"/>
  <c r="AHH6" i="5" s="1"/>
  <c r="AHG5" i="5"/>
  <c r="AHG6" i="5" s="1"/>
  <c r="AHF5" i="5"/>
  <c r="AHF6" i="5" s="1"/>
  <c r="AHE5" i="5"/>
  <c r="AHE6" i="5" s="1"/>
  <c r="AHD5" i="5"/>
  <c r="AHD6" i="5" s="1"/>
  <c r="AHC5" i="5"/>
  <c r="AHC6" i="5" s="1"/>
  <c r="AHB5" i="5"/>
  <c r="AHB6" i="5" s="1"/>
  <c r="AHA5" i="5"/>
  <c r="AHA6" i="5" s="1"/>
  <c r="AGZ5" i="5"/>
  <c r="AGZ6" i="5" s="1"/>
  <c r="AGX5" i="5"/>
  <c r="AGX6" i="5" s="1"/>
  <c r="AGW5" i="5"/>
  <c r="AGW6" i="5" s="1"/>
  <c r="AGV5" i="5"/>
  <c r="AGV6" i="5" s="1"/>
  <c r="AGU5" i="5"/>
  <c r="AGU6" i="5" s="1"/>
  <c r="AGT5" i="5"/>
  <c r="AGT6" i="5" s="1"/>
  <c r="AGS5" i="5"/>
  <c r="AGS6" i="5" s="1"/>
  <c r="AGR5" i="5"/>
  <c r="AGR6" i="5" s="1"/>
  <c r="AGQ5" i="5"/>
  <c r="AGQ6" i="5" s="1"/>
  <c r="AGP5" i="5"/>
  <c r="AGP6" i="5" s="1"/>
  <c r="AGO5" i="5"/>
  <c r="AGO6" i="5" s="1"/>
  <c r="AGN5" i="5"/>
  <c r="AGN6" i="5" s="1"/>
  <c r="AGM5" i="5"/>
  <c r="AGM6" i="5" s="1"/>
  <c r="AGL5" i="5"/>
  <c r="AGL6" i="5" s="1"/>
  <c r="AGK5" i="5"/>
  <c r="AGK6" i="5" s="1"/>
  <c r="AGJ5" i="5"/>
  <c r="AGJ6" i="5" s="1"/>
  <c r="AGI5" i="5"/>
  <c r="AGI6" i="5" s="1"/>
  <c r="AGH5" i="5"/>
  <c r="AGH6" i="5" s="1"/>
  <c r="AGG5" i="5"/>
  <c r="AGG6" i="5" s="1"/>
  <c r="AGF5" i="5"/>
  <c r="AGF6" i="5" s="1"/>
  <c r="AGE5" i="5"/>
  <c r="AGE6" i="5" s="1"/>
  <c r="AGD5" i="5"/>
  <c r="AGD6" i="5" s="1"/>
  <c r="AGC5" i="5"/>
  <c r="AGC6" i="5" s="1"/>
  <c r="AGB5" i="5"/>
  <c r="AGB6" i="5" s="1"/>
  <c r="AGA5" i="5"/>
  <c r="AGA6" i="5" s="1"/>
  <c r="AFZ5" i="5"/>
  <c r="AFZ6" i="5" s="1"/>
  <c r="AFY5" i="5"/>
  <c r="AFY6" i="5" s="1"/>
  <c r="AFX5" i="5"/>
  <c r="AFX6" i="5" s="1"/>
  <c r="AFW5" i="5"/>
  <c r="AFW6" i="5" s="1"/>
  <c r="AFV5" i="5"/>
  <c r="AFV6" i="5" s="1"/>
  <c r="AFU5" i="5"/>
  <c r="AFU6" i="5" s="1"/>
  <c r="AFS5" i="5"/>
  <c r="AFS6" i="5" s="1"/>
  <c r="AFR5" i="5"/>
  <c r="AFR6" i="5" s="1"/>
  <c r="AFQ5" i="5"/>
  <c r="AFQ6" i="5" s="1"/>
  <c r="AFP5" i="5"/>
  <c r="AFP6" i="5" s="1"/>
  <c r="AFO5" i="5"/>
  <c r="AFO6" i="5" s="1"/>
  <c r="AFN5" i="5"/>
  <c r="AFN6" i="5" s="1"/>
  <c r="AFM5" i="5"/>
  <c r="AFM6" i="5" s="1"/>
  <c r="AFL5" i="5"/>
  <c r="AFL6" i="5" s="1"/>
  <c r="AFK5" i="5"/>
  <c r="AFK6" i="5" s="1"/>
  <c r="AFJ5" i="5"/>
  <c r="AFJ6" i="5" s="1"/>
  <c r="AFI5" i="5"/>
  <c r="AFI6" i="5" s="1"/>
  <c r="AFH5" i="5"/>
  <c r="AFH6" i="5" s="1"/>
  <c r="AFG5" i="5"/>
  <c r="AFG6" i="5" s="1"/>
  <c r="AFF5" i="5"/>
  <c r="AFF6" i="5" s="1"/>
  <c r="AFE5" i="5"/>
  <c r="AFE6" i="5" s="1"/>
  <c r="AFD5" i="5"/>
  <c r="AFD6" i="5" s="1"/>
  <c r="AFC5" i="5"/>
  <c r="AFC6" i="5" s="1"/>
  <c r="AFB5" i="5"/>
  <c r="AFB6" i="5" s="1"/>
  <c r="AFA5" i="5"/>
  <c r="AFA6" i="5" s="1"/>
  <c r="AEZ5" i="5"/>
  <c r="AEZ6" i="5" s="1"/>
  <c r="AEY5" i="5"/>
  <c r="AEY6" i="5" s="1"/>
  <c r="AEX5" i="5"/>
  <c r="AEX6" i="5" s="1"/>
  <c r="AEW5" i="5"/>
  <c r="AEW6" i="5" s="1"/>
  <c r="AEV5" i="5"/>
  <c r="AEV6" i="5" s="1"/>
  <c r="AEU5" i="5"/>
  <c r="AEU6" i="5" s="1"/>
  <c r="AET5" i="5"/>
  <c r="AET6" i="5" s="1"/>
  <c r="AES5" i="5"/>
  <c r="AES6" i="5" s="1"/>
  <c r="AER5" i="5"/>
  <c r="AER6" i="5" s="1"/>
  <c r="AEQ5" i="5"/>
  <c r="AEQ6" i="5" s="1"/>
  <c r="AEP5" i="5"/>
  <c r="AEP6" i="5" s="1"/>
  <c r="AEO5" i="5"/>
  <c r="AEO6" i="5" s="1"/>
  <c r="AEM5" i="5"/>
  <c r="AEM6" i="5" s="1"/>
  <c r="AEL5" i="5"/>
  <c r="AEL6" i="5" s="1"/>
  <c r="AEK5" i="5"/>
  <c r="AEK6" i="5" s="1"/>
  <c r="AEJ5" i="5"/>
  <c r="AEJ6" i="5" s="1"/>
  <c r="AEI5" i="5"/>
  <c r="AEI6" i="5" s="1"/>
  <c r="AEH5" i="5"/>
  <c r="AEH6" i="5" s="1"/>
  <c r="AEG5" i="5"/>
  <c r="AEG6" i="5" s="1"/>
  <c r="AEF5" i="5"/>
  <c r="AEF6" i="5" s="1"/>
  <c r="AEE5" i="5"/>
  <c r="AEE6" i="5" s="1"/>
  <c r="AED5" i="5"/>
  <c r="AED6" i="5" s="1"/>
  <c r="AEC5" i="5"/>
  <c r="AEC6" i="5" s="1"/>
  <c r="AEB5" i="5"/>
  <c r="AEB6" i="5" s="1"/>
  <c r="AEA5" i="5"/>
  <c r="AEA6" i="5" s="1"/>
  <c r="ADZ5" i="5"/>
  <c r="ADZ6" i="5" s="1"/>
  <c r="ADY5" i="5"/>
  <c r="ADY6" i="5" s="1"/>
  <c r="ADX5" i="5"/>
  <c r="ADX6" i="5" s="1"/>
  <c r="ADW5" i="5"/>
  <c r="ADW6" i="5" s="1"/>
  <c r="ADV5" i="5"/>
  <c r="ADV6" i="5" s="1"/>
  <c r="ADU5" i="5"/>
  <c r="ADU6" i="5" s="1"/>
  <c r="ADT5" i="5"/>
  <c r="ADT6" i="5" s="1"/>
  <c r="ADS5" i="5"/>
  <c r="ADS6" i="5" s="1"/>
  <c r="ADR5" i="5"/>
  <c r="ADR6" i="5" s="1"/>
  <c r="ADQ5" i="5"/>
  <c r="ADQ6" i="5" s="1"/>
  <c r="ADP5" i="5"/>
  <c r="ADP6" i="5" s="1"/>
  <c r="ADO5" i="5"/>
  <c r="ADO6" i="5" s="1"/>
  <c r="ADN5" i="5"/>
  <c r="ADN6" i="5" s="1"/>
  <c r="ADM5" i="5"/>
  <c r="ADM6" i="5" s="1"/>
  <c r="ADL5" i="5"/>
  <c r="ADL6" i="5" s="1"/>
  <c r="ADK5" i="5"/>
  <c r="ADK6" i="5" s="1"/>
  <c r="ADJ5" i="5"/>
  <c r="ADJ6" i="5" s="1"/>
  <c r="ADH5" i="5"/>
  <c r="ADH6" i="5" s="1"/>
  <c r="ADG5" i="5"/>
  <c r="ADG6" i="5" s="1"/>
  <c r="ADF5" i="5"/>
  <c r="ADF6" i="5" s="1"/>
  <c r="ADE5" i="5"/>
  <c r="ADE6" i="5" s="1"/>
  <c r="ADD5" i="5"/>
  <c r="ADD6" i="5" s="1"/>
  <c r="ADC5" i="5"/>
  <c r="ADC6" i="5" s="1"/>
  <c r="ADB5" i="5"/>
  <c r="ADB6" i="5" s="1"/>
  <c r="ADA5" i="5"/>
  <c r="ADA6" i="5" s="1"/>
  <c r="ACZ5" i="5"/>
  <c r="ACZ6" i="5" s="1"/>
  <c r="ACY5" i="5"/>
  <c r="ACY6" i="5" s="1"/>
  <c r="ACX5" i="5"/>
  <c r="ACX6" i="5" s="1"/>
  <c r="ACW5" i="5"/>
  <c r="ACW6" i="5" s="1"/>
  <c r="ACV5" i="5"/>
  <c r="ACV6" i="5" s="1"/>
  <c r="ACU5" i="5"/>
  <c r="ACU6" i="5" s="1"/>
  <c r="ACT5" i="5"/>
  <c r="ACT6" i="5" s="1"/>
  <c r="ACS5" i="5"/>
  <c r="ACS6" i="5" s="1"/>
  <c r="ACR5" i="5"/>
  <c r="ACR6" i="5" s="1"/>
  <c r="ACQ5" i="5"/>
  <c r="ACQ6" i="5" s="1"/>
  <c r="ACP5" i="5"/>
  <c r="ACP6" i="5" s="1"/>
  <c r="ACO5" i="5"/>
  <c r="ACO6" i="5" s="1"/>
  <c r="ACN5" i="5"/>
  <c r="ACN6" i="5" s="1"/>
  <c r="ACM5" i="5"/>
  <c r="ACM6" i="5" s="1"/>
  <c r="ACL5" i="5"/>
  <c r="ACL6" i="5" s="1"/>
  <c r="ACK5" i="5"/>
  <c r="ACK6" i="5" s="1"/>
  <c r="ACJ5" i="5"/>
  <c r="ACJ6" i="5" s="1"/>
  <c r="ACI5" i="5"/>
  <c r="ACI6" i="5" s="1"/>
  <c r="ACH5" i="5"/>
  <c r="ACH6" i="5" s="1"/>
  <c r="ACG5" i="5"/>
  <c r="ACG6" i="5" s="1"/>
  <c r="ACF5" i="5"/>
  <c r="ACF6" i="5" s="1"/>
  <c r="ACE5" i="5"/>
  <c r="ACE6" i="5" s="1"/>
  <c r="ACD5" i="5"/>
  <c r="ACD6" i="5" s="1"/>
  <c r="ACB5" i="5"/>
  <c r="ACB6" i="5" s="1"/>
  <c r="ACA5" i="5"/>
  <c r="ACA6" i="5" s="1"/>
  <c r="ABZ5" i="5"/>
  <c r="ABZ6" i="5" s="1"/>
  <c r="ABY5" i="5"/>
  <c r="ABY6" i="5" s="1"/>
  <c r="ABX5" i="5"/>
  <c r="ABX6" i="5" s="1"/>
  <c r="ABW5" i="5"/>
  <c r="ABW6" i="5" s="1"/>
  <c r="ABV5" i="5"/>
  <c r="ABV6" i="5" s="1"/>
  <c r="ABU5" i="5"/>
  <c r="ABU6" i="5" s="1"/>
  <c r="ABT5" i="5"/>
  <c r="ABT6" i="5" s="1"/>
  <c r="ABS5" i="5"/>
  <c r="ABS6" i="5" s="1"/>
  <c r="ABR5" i="5"/>
  <c r="ABR6" i="5" s="1"/>
  <c r="ABQ5" i="5"/>
  <c r="ABQ6" i="5" s="1"/>
  <c r="ABP5" i="5"/>
  <c r="ABP6" i="5" s="1"/>
  <c r="ABO5" i="5"/>
  <c r="ABO6" i="5" s="1"/>
  <c r="ABN5" i="5"/>
  <c r="ABN6" i="5" s="1"/>
  <c r="ABM5" i="5"/>
  <c r="ABM6" i="5" s="1"/>
  <c r="ABL5" i="5"/>
  <c r="ABL6" i="5" s="1"/>
  <c r="ABK5" i="5"/>
  <c r="ABK6" i="5" s="1"/>
  <c r="ABJ5" i="5"/>
  <c r="ABJ6" i="5" s="1"/>
  <c r="ABI5" i="5"/>
  <c r="ABI6" i="5" s="1"/>
  <c r="ABH5" i="5"/>
  <c r="ABH6" i="5" s="1"/>
  <c r="ABG5" i="5"/>
  <c r="ABG6" i="5" s="1"/>
  <c r="ABF5" i="5"/>
  <c r="ABF6" i="5" s="1"/>
  <c r="ABE5" i="5"/>
  <c r="ABE6" i="5" s="1"/>
  <c r="ABD5" i="5"/>
  <c r="ABD6" i="5" s="1"/>
  <c r="ABC5" i="5"/>
  <c r="ABC6" i="5" s="1"/>
  <c r="ABB5" i="5"/>
  <c r="ABB6" i="5" s="1"/>
  <c r="ABA5" i="5"/>
  <c r="ABA6" i="5" s="1"/>
  <c r="AAZ5" i="5"/>
  <c r="AAZ6" i="5" s="1"/>
  <c r="AAY5" i="5"/>
  <c r="AAY6" i="5" s="1"/>
  <c r="AAX5" i="5"/>
  <c r="AAX6" i="5" s="1"/>
  <c r="AAV5" i="5"/>
  <c r="AAV6" i="5" s="1"/>
  <c r="AAU5" i="5"/>
  <c r="AAU6" i="5" s="1"/>
  <c r="AAT5" i="5"/>
  <c r="AAT6" i="5" s="1"/>
  <c r="AAS5" i="5"/>
  <c r="AAS6" i="5" s="1"/>
  <c r="AAR5" i="5"/>
  <c r="AAR6" i="5" s="1"/>
  <c r="AAQ5" i="5"/>
  <c r="AAQ6" i="5" s="1"/>
  <c r="AAP5" i="5"/>
  <c r="AAP6" i="5" s="1"/>
  <c r="AAO5" i="5"/>
  <c r="AAO6" i="5" s="1"/>
  <c r="AAN5" i="5"/>
  <c r="AAN6" i="5" s="1"/>
  <c r="AAM5" i="5"/>
  <c r="AAM6" i="5" s="1"/>
  <c r="AAL5" i="5"/>
  <c r="AAL6" i="5" s="1"/>
  <c r="AAK5" i="5"/>
  <c r="AAK6" i="5" s="1"/>
  <c r="AAJ5" i="5"/>
  <c r="AAJ6" i="5" s="1"/>
  <c r="AAI5" i="5"/>
  <c r="AAI6" i="5" s="1"/>
  <c r="AAH5" i="5"/>
  <c r="AAH6" i="5" s="1"/>
  <c r="AAG5" i="5"/>
  <c r="AAG6" i="5" s="1"/>
  <c r="AAF5" i="5"/>
  <c r="AAF6" i="5" s="1"/>
  <c r="AAE5" i="5"/>
  <c r="AAE6" i="5" s="1"/>
  <c r="AAD5" i="5"/>
  <c r="AAD6" i="5" s="1"/>
  <c r="AAC5" i="5"/>
  <c r="AAC6" i="5" s="1"/>
  <c r="AAB5" i="5"/>
  <c r="AAB6" i="5" s="1"/>
  <c r="AAA5" i="5"/>
  <c r="AAA6" i="5" s="1"/>
  <c r="ZZ5" i="5"/>
  <c r="ZZ6" i="5" s="1"/>
  <c r="ZY5" i="5"/>
  <c r="ZY6" i="5" s="1"/>
  <c r="ZX5" i="5"/>
  <c r="ZX6" i="5" s="1"/>
  <c r="ZW5" i="5"/>
  <c r="ZW6" i="5" s="1"/>
  <c r="ZV5" i="5"/>
  <c r="ZV6" i="5" s="1"/>
  <c r="ZU5" i="5"/>
  <c r="ZU6" i="5" s="1"/>
  <c r="ZT5" i="5"/>
  <c r="ZT6" i="5" s="1"/>
  <c r="ZS5" i="5"/>
  <c r="ZS6" i="5" s="1"/>
  <c r="ZQ5" i="5"/>
  <c r="ZQ6" i="5" s="1"/>
  <c r="ZP5" i="5"/>
  <c r="ZP6" i="5" s="1"/>
  <c r="ZO5" i="5"/>
  <c r="ZO6" i="5" s="1"/>
  <c r="ZN5" i="5"/>
  <c r="ZN6" i="5" s="1"/>
  <c r="ZM5" i="5"/>
  <c r="ZM6" i="5" s="1"/>
  <c r="ZL5" i="5"/>
  <c r="ZL6" i="5" s="1"/>
  <c r="ZK5" i="5"/>
  <c r="ZK6" i="5" s="1"/>
  <c r="ZJ5" i="5"/>
  <c r="ZJ6" i="5" s="1"/>
  <c r="ZI5" i="5"/>
  <c r="ZI6" i="5" s="1"/>
  <c r="ZH5" i="5"/>
  <c r="ZH6" i="5" s="1"/>
  <c r="ZG5" i="5"/>
  <c r="ZG6" i="5" s="1"/>
  <c r="ZF5" i="5"/>
  <c r="ZF6" i="5" s="1"/>
  <c r="ZE5" i="5"/>
  <c r="ZE6" i="5" s="1"/>
  <c r="ZD5" i="5"/>
  <c r="ZD6" i="5" s="1"/>
  <c r="ZC5" i="5"/>
  <c r="ZC6" i="5" s="1"/>
  <c r="ZB5" i="5"/>
  <c r="ZB6" i="5" s="1"/>
  <c r="ZA5" i="5"/>
  <c r="ZA6" i="5" s="1"/>
  <c r="YZ5" i="5"/>
  <c r="YZ6" i="5" s="1"/>
  <c r="YY5" i="5"/>
  <c r="YY6" i="5" s="1"/>
  <c r="YX5" i="5"/>
  <c r="YX6" i="5" s="1"/>
  <c r="YW5" i="5"/>
  <c r="YW6" i="5" s="1"/>
  <c r="YV5" i="5"/>
  <c r="YV6" i="5" s="1"/>
  <c r="YU5" i="5"/>
  <c r="YU6" i="5" s="1"/>
  <c r="YT5" i="5"/>
  <c r="YT6" i="5" s="1"/>
  <c r="YS5" i="5"/>
  <c r="YS6" i="5" s="1"/>
  <c r="YR5" i="5"/>
  <c r="YR6" i="5" s="1"/>
  <c r="YQ5" i="5"/>
  <c r="YQ6" i="5" s="1"/>
  <c r="YP5" i="5"/>
  <c r="YP6" i="5" s="1"/>
  <c r="YO5" i="5"/>
  <c r="YO6" i="5" s="1"/>
  <c r="YN5" i="5"/>
  <c r="YN6" i="5" s="1"/>
  <c r="YM5" i="5"/>
  <c r="YM6" i="5" s="1"/>
  <c r="YK5" i="5"/>
  <c r="YK6" i="5" s="1"/>
  <c r="YJ5" i="5"/>
  <c r="YJ6" i="5" s="1"/>
  <c r="YI5" i="5"/>
  <c r="YI6" i="5" s="1"/>
  <c r="YH5" i="5"/>
  <c r="YH6" i="5" s="1"/>
  <c r="YG5" i="5"/>
  <c r="YG6" i="5" s="1"/>
  <c r="YF5" i="5"/>
  <c r="YF6" i="5" s="1"/>
  <c r="YE5" i="5"/>
  <c r="YE6" i="5" s="1"/>
  <c r="YD5" i="5"/>
  <c r="YD6" i="5" s="1"/>
  <c r="YC5" i="5"/>
  <c r="YC6" i="5" s="1"/>
  <c r="YB5" i="5"/>
  <c r="YB6" i="5" s="1"/>
  <c r="YA5" i="5"/>
  <c r="YA6" i="5" s="1"/>
  <c r="XZ5" i="5"/>
  <c r="XZ6" i="5" s="1"/>
  <c r="XY5" i="5"/>
  <c r="XY6" i="5" s="1"/>
  <c r="XX5" i="5"/>
  <c r="XX6" i="5" s="1"/>
  <c r="XW5" i="5"/>
  <c r="XW6" i="5" s="1"/>
  <c r="XV5" i="5"/>
  <c r="XV6" i="5" s="1"/>
  <c r="XU5" i="5"/>
  <c r="XU6" i="5" s="1"/>
  <c r="XT5" i="5"/>
  <c r="XT6" i="5" s="1"/>
  <c r="XS5" i="5"/>
  <c r="XS6" i="5" s="1"/>
  <c r="XR5" i="5"/>
  <c r="XR6" i="5" s="1"/>
  <c r="XQ5" i="5"/>
  <c r="XQ6" i="5" s="1"/>
  <c r="XP5" i="5"/>
  <c r="XP6" i="5" s="1"/>
  <c r="XO5" i="5"/>
  <c r="XO6" i="5" s="1"/>
  <c r="XN5" i="5"/>
  <c r="XN6" i="5" s="1"/>
  <c r="XM5" i="5"/>
  <c r="XM6" i="5" s="1"/>
  <c r="XL5" i="5"/>
  <c r="XL6" i="5" s="1"/>
  <c r="XK5" i="5"/>
  <c r="XK6" i="5" s="1"/>
  <c r="XJ5" i="5"/>
  <c r="XJ6" i="5" s="1"/>
  <c r="XI5" i="5"/>
  <c r="XI6" i="5" s="1"/>
  <c r="XH5" i="5"/>
  <c r="XH6" i="5" s="1"/>
  <c r="XF5" i="5"/>
  <c r="XF6" i="5" s="1"/>
  <c r="XE5" i="5"/>
  <c r="XE6" i="5" s="1"/>
  <c r="XD5" i="5"/>
  <c r="XD6" i="5" s="1"/>
  <c r="XC5" i="5"/>
  <c r="XC6" i="5" s="1"/>
  <c r="XB5" i="5"/>
  <c r="XB6" i="5" s="1"/>
  <c r="XA5" i="5"/>
  <c r="XA6" i="5" s="1"/>
  <c r="WZ5" i="5"/>
  <c r="WZ6" i="5" s="1"/>
  <c r="WY5" i="5"/>
  <c r="WY6" i="5" s="1"/>
  <c r="WX5" i="5"/>
  <c r="WX6" i="5" s="1"/>
  <c r="WW5" i="5"/>
  <c r="WW6" i="5" s="1"/>
  <c r="WV5" i="5"/>
  <c r="WV6" i="5" s="1"/>
  <c r="WU5" i="5"/>
  <c r="WU6" i="5" s="1"/>
  <c r="WT5" i="5"/>
  <c r="WT6" i="5" s="1"/>
  <c r="WS5" i="5"/>
  <c r="WS6" i="5" s="1"/>
  <c r="WR5" i="5"/>
  <c r="WR6" i="5" s="1"/>
  <c r="WQ5" i="5"/>
  <c r="WQ6" i="5" s="1"/>
  <c r="WP5" i="5"/>
  <c r="WP6" i="5" s="1"/>
  <c r="WO5" i="5"/>
  <c r="WO6" i="5" s="1"/>
  <c r="WN5" i="5"/>
  <c r="WN6" i="5" s="1"/>
  <c r="WM5" i="5"/>
  <c r="WM6" i="5" s="1"/>
  <c r="WL5" i="5"/>
  <c r="WL6" i="5" s="1"/>
  <c r="WK5" i="5"/>
  <c r="WK6" i="5" s="1"/>
  <c r="WJ5" i="5"/>
  <c r="WJ6" i="5" s="1"/>
  <c r="WI5" i="5"/>
  <c r="WI6" i="5" s="1"/>
  <c r="WH5" i="5"/>
  <c r="WH6" i="5" s="1"/>
  <c r="WG5" i="5"/>
  <c r="WG6" i="5" s="1"/>
  <c r="WF5" i="5"/>
  <c r="WF6" i="5" s="1"/>
  <c r="WE5" i="5"/>
  <c r="WE6" i="5" s="1"/>
  <c r="WD5" i="5"/>
  <c r="WD6" i="5" s="1"/>
  <c r="WC5" i="5"/>
  <c r="WC6" i="5" s="1"/>
  <c r="WB5" i="5"/>
  <c r="WB6" i="5" s="1"/>
  <c r="VZ5" i="5"/>
  <c r="VZ6" i="5" s="1"/>
  <c r="VY5" i="5"/>
  <c r="VY6" i="5" s="1"/>
  <c r="VX5" i="5"/>
  <c r="VX6" i="5" s="1"/>
  <c r="VW5" i="5"/>
  <c r="VW6" i="5" s="1"/>
  <c r="VV5" i="5"/>
  <c r="VV6" i="5" s="1"/>
  <c r="VU5" i="5"/>
  <c r="VU6" i="5" s="1"/>
  <c r="VT5" i="5"/>
  <c r="VT6" i="5" s="1"/>
  <c r="VS5" i="5"/>
  <c r="VS6" i="5" s="1"/>
  <c r="VR5" i="5"/>
  <c r="VR6" i="5" s="1"/>
  <c r="VQ5" i="5"/>
  <c r="VQ6" i="5" s="1"/>
  <c r="VP5" i="5"/>
  <c r="VP6" i="5" s="1"/>
  <c r="VO5" i="5"/>
  <c r="VO6" i="5" s="1"/>
  <c r="VN5" i="5"/>
  <c r="VN6" i="5" s="1"/>
  <c r="VM5" i="5"/>
  <c r="VM6" i="5" s="1"/>
  <c r="VL5" i="5"/>
  <c r="VL6" i="5" s="1"/>
  <c r="VK5" i="5"/>
  <c r="VK6" i="5" s="1"/>
  <c r="VJ5" i="5"/>
  <c r="VJ6" i="5" s="1"/>
  <c r="VI5" i="5"/>
  <c r="VI6" i="5" s="1"/>
  <c r="VH5" i="5"/>
  <c r="VH6" i="5" s="1"/>
  <c r="VG5" i="5"/>
  <c r="VG6" i="5" s="1"/>
  <c r="VF5" i="5"/>
  <c r="VF6" i="5" s="1"/>
  <c r="VE5" i="5"/>
  <c r="VE6" i="5" s="1"/>
  <c r="VD5" i="5"/>
  <c r="VD6" i="5" s="1"/>
  <c r="VC5" i="5"/>
  <c r="VC6" i="5" s="1"/>
  <c r="VB5" i="5"/>
  <c r="VB6" i="5" s="1"/>
  <c r="VA5" i="5"/>
  <c r="VA6" i="5" s="1"/>
  <c r="UZ5" i="5"/>
  <c r="UZ6" i="5" s="1"/>
  <c r="UY5" i="5"/>
  <c r="UY6" i="5" s="1"/>
  <c r="UW5" i="5"/>
  <c r="UW6" i="5" s="1"/>
  <c r="UV5" i="5"/>
  <c r="UV6" i="5" s="1"/>
  <c r="UU5" i="5"/>
  <c r="UU6" i="5" s="1"/>
  <c r="UT5" i="5"/>
  <c r="UT6" i="5" s="1"/>
  <c r="US5" i="5"/>
  <c r="US6" i="5" s="1"/>
  <c r="UR5" i="5"/>
  <c r="UR6" i="5" s="1"/>
  <c r="UQ5" i="5"/>
  <c r="UQ6" i="5" s="1"/>
  <c r="UP5" i="5"/>
  <c r="UP6" i="5" s="1"/>
  <c r="UO5" i="5"/>
  <c r="UO6" i="5" s="1"/>
  <c r="UN5" i="5"/>
  <c r="UN6" i="5" s="1"/>
  <c r="UM5" i="5"/>
  <c r="UM6" i="5" s="1"/>
  <c r="UL5" i="5"/>
  <c r="UL6" i="5" s="1"/>
  <c r="UK5" i="5"/>
  <c r="UK6" i="5" s="1"/>
  <c r="UJ5" i="5"/>
  <c r="UJ6" i="5" s="1"/>
  <c r="UI5" i="5"/>
  <c r="UI6" i="5" s="1"/>
  <c r="UH5" i="5"/>
  <c r="UH6" i="5" s="1"/>
  <c r="UG5" i="5"/>
  <c r="UG6" i="5" s="1"/>
  <c r="UF5" i="5"/>
  <c r="UF6" i="5" s="1"/>
  <c r="UE5" i="5"/>
  <c r="UE6" i="5" s="1"/>
  <c r="UD5" i="5"/>
  <c r="UD6" i="5" s="1"/>
  <c r="UC5" i="5"/>
  <c r="UC6" i="5" s="1"/>
  <c r="UB5" i="5"/>
  <c r="UB6" i="5" s="1"/>
  <c r="UA5" i="5"/>
  <c r="UA6" i="5" s="1"/>
  <c r="TZ5" i="5"/>
  <c r="TZ6" i="5" s="1"/>
  <c r="TY5" i="5"/>
  <c r="TY6" i="5" s="1"/>
  <c r="TX5" i="5"/>
  <c r="TX6" i="5" s="1"/>
  <c r="TW5" i="5"/>
  <c r="TW6" i="5" s="1"/>
  <c r="TV5" i="5"/>
  <c r="TV6" i="5" s="1"/>
  <c r="TU5" i="5"/>
  <c r="TU6" i="5" s="1"/>
  <c r="TT5" i="5"/>
  <c r="TT6" i="5" s="1"/>
  <c r="TS5" i="5"/>
  <c r="TS6" i="5" s="1"/>
  <c r="TQ5" i="5"/>
  <c r="TQ6" i="5" s="1"/>
  <c r="TP5" i="5"/>
  <c r="TP6" i="5" s="1"/>
  <c r="TO5" i="5"/>
  <c r="TO6" i="5" s="1"/>
  <c r="TN5" i="5"/>
  <c r="TN6" i="5" s="1"/>
  <c r="TM5" i="5"/>
  <c r="TM6" i="5" s="1"/>
  <c r="TL5" i="5"/>
  <c r="TL6" i="5" s="1"/>
  <c r="TK5" i="5"/>
  <c r="TK6" i="5" s="1"/>
  <c r="TJ5" i="5"/>
  <c r="TJ6" i="5" s="1"/>
  <c r="TI5" i="5"/>
  <c r="TI6" i="5" s="1"/>
  <c r="TH5" i="5"/>
  <c r="TH6" i="5" s="1"/>
  <c r="TG5" i="5"/>
  <c r="TG6" i="5" s="1"/>
  <c r="TF5" i="5"/>
  <c r="TF6" i="5" s="1"/>
  <c r="TE5" i="5"/>
  <c r="TE6" i="5" s="1"/>
  <c r="TD5" i="5"/>
  <c r="TD6" i="5" s="1"/>
  <c r="TC5" i="5"/>
  <c r="TC6" i="5" s="1"/>
  <c r="TB5" i="5"/>
  <c r="TB6" i="5" s="1"/>
  <c r="TA5" i="5"/>
  <c r="TA6" i="5" s="1"/>
  <c r="SZ5" i="5"/>
  <c r="SZ6" i="5" s="1"/>
  <c r="SY5" i="5"/>
  <c r="SY6" i="5" s="1"/>
  <c r="SX5" i="5"/>
  <c r="SX6" i="5" s="1"/>
  <c r="SW5" i="5"/>
  <c r="SW6" i="5" s="1"/>
  <c r="SV5" i="5"/>
  <c r="SV6" i="5" s="1"/>
  <c r="SU5" i="5"/>
  <c r="SU6" i="5" s="1"/>
  <c r="ST5" i="5"/>
  <c r="ST6" i="5" s="1"/>
  <c r="SS5" i="5"/>
  <c r="SS6" i="5" s="1"/>
  <c r="SR5" i="5"/>
  <c r="SR6" i="5" s="1"/>
  <c r="SQ5" i="5"/>
  <c r="SQ6" i="5" s="1"/>
  <c r="SP5" i="5"/>
  <c r="SP6" i="5" s="1"/>
  <c r="SO5" i="5"/>
  <c r="SO6" i="5" s="1"/>
  <c r="SN5" i="5"/>
  <c r="SN6" i="5" s="1"/>
  <c r="SM5" i="5"/>
  <c r="SM6" i="5" s="1"/>
  <c r="SK5" i="5"/>
  <c r="SK6" i="5" s="1"/>
  <c r="SJ5" i="5"/>
  <c r="SJ6" i="5" s="1"/>
  <c r="SI5" i="5"/>
  <c r="SI6" i="5" s="1"/>
  <c r="SH5" i="5"/>
  <c r="SH6" i="5" s="1"/>
  <c r="SG5" i="5"/>
  <c r="SG6" i="5" s="1"/>
  <c r="SF5" i="5"/>
  <c r="SF6" i="5" s="1"/>
  <c r="SE5" i="5"/>
  <c r="SE6" i="5" s="1"/>
  <c r="SD5" i="5"/>
  <c r="SD6" i="5" s="1"/>
  <c r="SC5" i="5"/>
  <c r="SC6" i="5" s="1"/>
  <c r="SB5" i="5"/>
  <c r="SB6" i="5" s="1"/>
  <c r="SA5" i="5"/>
  <c r="SA6" i="5" s="1"/>
  <c r="RZ5" i="5"/>
  <c r="RZ6" i="5" s="1"/>
  <c r="RY5" i="5"/>
  <c r="RY6" i="5" s="1"/>
  <c r="RX5" i="5"/>
  <c r="RX6" i="5" s="1"/>
  <c r="RW5" i="5"/>
  <c r="RW6" i="5" s="1"/>
  <c r="RV5" i="5"/>
  <c r="RV6" i="5" s="1"/>
  <c r="RU5" i="5"/>
  <c r="RU6" i="5" s="1"/>
  <c r="RT5" i="5"/>
  <c r="RT6" i="5" s="1"/>
  <c r="RS5" i="5"/>
  <c r="RS6" i="5" s="1"/>
  <c r="RR5" i="5"/>
  <c r="RR6" i="5" s="1"/>
  <c r="RQ5" i="5"/>
  <c r="RQ6" i="5" s="1"/>
  <c r="RP5" i="5"/>
  <c r="RP6" i="5" s="1"/>
  <c r="RO5" i="5"/>
  <c r="RO6" i="5" s="1"/>
  <c r="RN5" i="5"/>
  <c r="RN6" i="5" s="1"/>
  <c r="RM5" i="5"/>
  <c r="RM6" i="5" s="1"/>
  <c r="RL5" i="5"/>
  <c r="RL6" i="5" s="1"/>
  <c r="RK5" i="5"/>
  <c r="RK6" i="5" s="1"/>
  <c r="RJ5" i="5"/>
  <c r="RJ6" i="5" s="1"/>
  <c r="RI5" i="5"/>
  <c r="RI6" i="5" s="1"/>
  <c r="RH5" i="5"/>
  <c r="RH6" i="5" s="1"/>
  <c r="RF5" i="5"/>
  <c r="RF6" i="5" s="1"/>
  <c r="RE5" i="5"/>
  <c r="RE6" i="5" s="1"/>
  <c r="RD5" i="5"/>
  <c r="RD6" i="5" s="1"/>
  <c r="RC5" i="5"/>
  <c r="RC6" i="5" s="1"/>
  <c r="RB5" i="5"/>
  <c r="RB6" i="5" s="1"/>
  <c r="RA5" i="5"/>
  <c r="RA6" i="5" s="1"/>
  <c r="QZ5" i="5"/>
  <c r="QZ6" i="5" s="1"/>
  <c r="QY5" i="5"/>
  <c r="QY6" i="5" s="1"/>
  <c r="QX5" i="5"/>
  <c r="QX6" i="5" s="1"/>
  <c r="QW5" i="5"/>
  <c r="QW6" i="5" s="1"/>
  <c r="QV5" i="5"/>
  <c r="QV6" i="5" s="1"/>
  <c r="QU5" i="5"/>
  <c r="QU6" i="5" s="1"/>
  <c r="QT5" i="5"/>
  <c r="QT6" i="5" s="1"/>
  <c r="QS5" i="5"/>
  <c r="QS6" i="5" s="1"/>
  <c r="QR5" i="5"/>
  <c r="QR6" i="5" s="1"/>
  <c r="QQ5" i="5"/>
  <c r="QQ6" i="5" s="1"/>
  <c r="QP5" i="5"/>
  <c r="QP6" i="5" s="1"/>
  <c r="QO5" i="5"/>
  <c r="QO6" i="5" s="1"/>
  <c r="QN5" i="5"/>
  <c r="QN6" i="5" s="1"/>
  <c r="QM5" i="5"/>
  <c r="QM6" i="5" s="1"/>
  <c r="QL5" i="5"/>
  <c r="QL6" i="5" s="1"/>
  <c r="QK5" i="5"/>
  <c r="QK6" i="5" s="1"/>
  <c r="QJ5" i="5"/>
  <c r="QJ6" i="5" s="1"/>
  <c r="QI5" i="5"/>
  <c r="QI6" i="5" s="1"/>
  <c r="QH5" i="5"/>
  <c r="QH6" i="5" s="1"/>
  <c r="QG5" i="5"/>
  <c r="QG6" i="5" s="1"/>
  <c r="QF5" i="5"/>
  <c r="QF6" i="5" s="1"/>
  <c r="QE5" i="5"/>
  <c r="QE6" i="5" s="1"/>
  <c r="QD5" i="5"/>
  <c r="QD6" i="5" s="1"/>
  <c r="QC5" i="5"/>
  <c r="QC6" i="5" s="1"/>
  <c r="QB5" i="5"/>
  <c r="QB6" i="5" s="1"/>
  <c r="PZ5" i="5"/>
  <c r="PZ6" i="5" s="1"/>
  <c r="PY5" i="5"/>
  <c r="PY6" i="5" s="1"/>
  <c r="PX5" i="5"/>
  <c r="PX6" i="5" s="1"/>
  <c r="PW5" i="5"/>
  <c r="PW6" i="5" s="1"/>
  <c r="PV5" i="5"/>
  <c r="PV6" i="5" s="1"/>
  <c r="PU5" i="5"/>
  <c r="PU6" i="5" s="1"/>
  <c r="PT5" i="5"/>
  <c r="PT6" i="5" s="1"/>
  <c r="PS5" i="5"/>
  <c r="PS6" i="5" s="1"/>
  <c r="PR5" i="5"/>
  <c r="PR6" i="5" s="1"/>
  <c r="PQ5" i="5"/>
  <c r="PQ6" i="5" s="1"/>
  <c r="PP5" i="5"/>
  <c r="PP6" i="5" s="1"/>
  <c r="PO5" i="5"/>
  <c r="PO6" i="5" s="1"/>
  <c r="PN5" i="5"/>
  <c r="PN6" i="5" s="1"/>
  <c r="PM5" i="5"/>
  <c r="PM6" i="5" s="1"/>
  <c r="PL5" i="5"/>
  <c r="PL6" i="5" s="1"/>
  <c r="PK5" i="5"/>
  <c r="PK6" i="5" s="1"/>
  <c r="PJ5" i="5"/>
  <c r="PJ6" i="5" s="1"/>
  <c r="PI5" i="5"/>
  <c r="PI6" i="5" s="1"/>
  <c r="PH5" i="5"/>
  <c r="PH6" i="5" s="1"/>
  <c r="PG5" i="5"/>
  <c r="PG6" i="5" s="1"/>
  <c r="PF5" i="5"/>
  <c r="PF6" i="5" s="1"/>
  <c r="PE5" i="5"/>
  <c r="PE6" i="5" s="1"/>
  <c r="PD5" i="5"/>
  <c r="PD6" i="5" s="1"/>
  <c r="PC5" i="5"/>
  <c r="PC6" i="5" s="1"/>
  <c r="PB5" i="5"/>
  <c r="PB6" i="5" s="1"/>
  <c r="PA5" i="5"/>
  <c r="PA6" i="5" s="1"/>
  <c r="OZ5" i="5"/>
  <c r="OZ6" i="5" s="1"/>
  <c r="OY5" i="5"/>
  <c r="OY6" i="5" s="1"/>
  <c r="OX5" i="5"/>
  <c r="OX6" i="5" s="1"/>
  <c r="OW5" i="5"/>
  <c r="OW6" i="5" s="1"/>
  <c r="OU5" i="5"/>
  <c r="OU6" i="5" s="1"/>
  <c r="OT5" i="5"/>
  <c r="OT6" i="5" s="1"/>
  <c r="OS5" i="5"/>
  <c r="OS6" i="5" s="1"/>
  <c r="OR5" i="5"/>
  <c r="OR6" i="5" s="1"/>
  <c r="OQ5" i="5"/>
  <c r="OQ6" i="5" s="1"/>
  <c r="OP5" i="5"/>
  <c r="OP6" i="5" s="1"/>
  <c r="OO5" i="5"/>
  <c r="OO6" i="5" s="1"/>
  <c r="ON5" i="5"/>
  <c r="ON6" i="5" s="1"/>
  <c r="OM5" i="5"/>
  <c r="OM6" i="5" s="1"/>
  <c r="OL5" i="5"/>
  <c r="OL6" i="5" s="1"/>
  <c r="OK5" i="5"/>
  <c r="OK6" i="5" s="1"/>
  <c r="OJ5" i="5"/>
  <c r="OJ6" i="5" s="1"/>
  <c r="OI5" i="5"/>
  <c r="OI6" i="5" s="1"/>
  <c r="OH5" i="5"/>
  <c r="OH6" i="5" s="1"/>
  <c r="OG5" i="5"/>
  <c r="OG6" i="5" s="1"/>
  <c r="OF5" i="5"/>
  <c r="OF6" i="5" s="1"/>
  <c r="OE5" i="5"/>
  <c r="OE6" i="5" s="1"/>
  <c r="OD5" i="5"/>
  <c r="OD6" i="5" s="1"/>
  <c r="OC5" i="5"/>
  <c r="OC6" i="5" s="1"/>
  <c r="OB5" i="5"/>
  <c r="OB6" i="5" s="1"/>
  <c r="OA5" i="5"/>
  <c r="OA6" i="5" s="1"/>
  <c r="NZ5" i="5"/>
  <c r="NZ6" i="5" s="1"/>
  <c r="NY5" i="5"/>
  <c r="NY6" i="5" s="1"/>
  <c r="NX5" i="5"/>
  <c r="NX6" i="5" s="1"/>
  <c r="NW5" i="5"/>
  <c r="NW6" i="5" s="1"/>
  <c r="NV5" i="5"/>
  <c r="NV6" i="5" s="1"/>
  <c r="NU5" i="5"/>
  <c r="NU6" i="5" s="1"/>
  <c r="NT5" i="5"/>
  <c r="NT6" i="5" s="1"/>
  <c r="NS5" i="5"/>
  <c r="NS6" i="5" s="1"/>
  <c r="NR5" i="5"/>
  <c r="NR6" i="5" s="1"/>
  <c r="NQ5" i="5"/>
  <c r="NQ6" i="5" s="1"/>
  <c r="NO5" i="5"/>
  <c r="NO6" i="5" s="1"/>
  <c r="NN5" i="5"/>
  <c r="NN6" i="5" s="1"/>
  <c r="NM5" i="5"/>
  <c r="NM6" i="5" s="1"/>
  <c r="NK5" i="5"/>
  <c r="NK6" i="5" s="1"/>
  <c r="NJ5" i="5"/>
  <c r="NJ6" i="5" s="1"/>
  <c r="NI5" i="5"/>
  <c r="NI6" i="5" s="1"/>
  <c r="NH5" i="5"/>
  <c r="NH6" i="5" s="1"/>
  <c r="NG5" i="5"/>
  <c r="NG6" i="5" s="1"/>
  <c r="NF5" i="5"/>
  <c r="NF6" i="5" s="1"/>
  <c r="NE5" i="5"/>
  <c r="NE6" i="5" s="1"/>
  <c r="ND5" i="5"/>
  <c r="ND6" i="5" s="1"/>
  <c r="NC5" i="5"/>
  <c r="NC6" i="5" s="1"/>
  <c r="NB5" i="5"/>
  <c r="NB6" i="5" s="1"/>
  <c r="NA5" i="5"/>
  <c r="NA6" i="5" s="1"/>
  <c r="MZ5" i="5"/>
  <c r="MZ6" i="5" s="1"/>
  <c r="MY5" i="5"/>
  <c r="MY6" i="5" s="1"/>
  <c r="MX5" i="5"/>
  <c r="MX6" i="5" s="1"/>
  <c r="MW5" i="5"/>
  <c r="MW6" i="5" s="1"/>
  <c r="MV5" i="5"/>
  <c r="MV6" i="5" s="1"/>
  <c r="MU5" i="5"/>
  <c r="MU6" i="5" s="1"/>
  <c r="MT5" i="5"/>
  <c r="MT6" i="5" s="1"/>
  <c r="MS5" i="5"/>
  <c r="MS6" i="5" s="1"/>
  <c r="MR5" i="5"/>
  <c r="MR6" i="5" s="1"/>
  <c r="MQ5" i="5"/>
  <c r="MQ6" i="5" s="1"/>
  <c r="MP5" i="5"/>
  <c r="MP6" i="5" s="1"/>
  <c r="MO5" i="5"/>
  <c r="MO6" i="5" s="1"/>
  <c r="MN5" i="5"/>
  <c r="MN6" i="5" s="1"/>
  <c r="MM5" i="5"/>
  <c r="MM6" i="5" s="1"/>
  <c r="ML5" i="5"/>
  <c r="ML6" i="5" s="1"/>
  <c r="MK5" i="5"/>
  <c r="MK6" i="5" s="1"/>
  <c r="MI5" i="5"/>
  <c r="MI6" i="5" s="1"/>
  <c r="MH5" i="5"/>
  <c r="MH6" i="5" s="1"/>
  <c r="MG5" i="5"/>
  <c r="MG6" i="5" s="1"/>
  <c r="MF5" i="5"/>
  <c r="MF6" i="5" s="1"/>
  <c r="ME5" i="5"/>
  <c r="ME6" i="5" s="1"/>
  <c r="MD5" i="5"/>
  <c r="MD6" i="5" s="1"/>
  <c r="MC5" i="5"/>
  <c r="MC6" i="5" s="1"/>
  <c r="MB5" i="5"/>
  <c r="MB6" i="5" s="1"/>
  <c r="MA5" i="5"/>
  <c r="MA6" i="5" s="1"/>
  <c r="LZ5" i="5"/>
  <c r="LZ6" i="5" s="1"/>
  <c r="LY5" i="5"/>
  <c r="LY6" i="5" s="1"/>
  <c r="LX5" i="5"/>
  <c r="LX6" i="5" s="1"/>
  <c r="LW5" i="5"/>
  <c r="LW6" i="5" s="1"/>
  <c r="LV5" i="5"/>
  <c r="LV6" i="5" s="1"/>
  <c r="LU5" i="5"/>
  <c r="LU6" i="5" s="1"/>
  <c r="LT5" i="5"/>
  <c r="LT6" i="5" s="1"/>
  <c r="LS5" i="5"/>
  <c r="LS6" i="5" s="1"/>
  <c r="LR5" i="5"/>
  <c r="LR6" i="5" s="1"/>
  <c r="LQ5" i="5"/>
  <c r="LQ6" i="5" s="1"/>
  <c r="LP5" i="5"/>
  <c r="LO5" i="5"/>
  <c r="LN5" i="5"/>
  <c r="LM5" i="5"/>
  <c r="LL5" i="5"/>
  <c r="LK5" i="5"/>
  <c r="LJ5" i="5"/>
  <c r="LI5" i="5"/>
  <c r="LH5" i="5"/>
  <c r="LG5" i="5"/>
  <c r="LF5" i="5"/>
  <c r="LD5" i="5"/>
  <c r="LC5" i="5"/>
  <c r="LB5" i="5"/>
  <c r="LA5" i="5"/>
  <c r="KZ5" i="5"/>
  <c r="KY5" i="5"/>
  <c r="KX5" i="5"/>
  <c r="KW5" i="5"/>
  <c r="KV5" i="5"/>
  <c r="KU5" i="5"/>
  <c r="KT5" i="5"/>
  <c r="KS5" i="5"/>
  <c r="KR5" i="5"/>
  <c r="KQ5" i="5"/>
  <c r="KP5" i="5"/>
  <c r="KO5" i="5"/>
  <c r="KN5" i="5"/>
  <c r="KM5" i="5"/>
  <c r="KL5" i="5"/>
  <c r="KK5" i="5"/>
  <c r="KJ5" i="5"/>
  <c r="KI5" i="5"/>
  <c r="KH5" i="5"/>
  <c r="KG5" i="5"/>
  <c r="KF5" i="5"/>
  <c r="KE5" i="5"/>
  <c r="KD5" i="5"/>
  <c r="KC5" i="5"/>
  <c r="KB5" i="5"/>
  <c r="KA5" i="5"/>
  <c r="JZ5" i="5"/>
  <c r="JX5" i="5"/>
  <c r="JW5" i="5"/>
  <c r="JV5" i="5"/>
  <c r="JU5" i="5"/>
  <c r="JT5" i="5"/>
  <c r="JS5" i="5"/>
  <c r="JR5" i="5"/>
  <c r="JQ5" i="5"/>
  <c r="JP5" i="5"/>
  <c r="JO5" i="5"/>
  <c r="JN5" i="5"/>
  <c r="JM5" i="5"/>
  <c r="JL5" i="5"/>
  <c r="JK5" i="5"/>
  <c r="JJ5" i="5"/>
  <c r="JI5" i="5"/>
  <c r="JH5" i="5"/>
  <c r="JG5" i="5"/>
  <c r="JF5" i="5"/>
  <c r="JE5" i="5"/>
  <c r="JD5" i="5"/>
  <c r="JC5" i="5"/>
  <c r="JB5" i="5"/>
  <c r="JA5" i="5"/>
  <c r="IZ5" i="5"/>
  <c r="IY5" i="5"/>
  <c r="IX5" i="5"/>
  <c r="IW5" i="5"/>
  <c r="IV5" i="5"/>
  <c r="IU5" i="5"/>
  <c r="IS5" i="5"/>
  <c r="IR5" i="5"/>
  <c r="IQ5" i="5"/>
  <c r="IP5" i="5"/>
  <c r="IO5" i="5"/>
  <c r="IN5" i="5"/>
  <c r="IM5" i="5"/>
  <c r="IL5" i="5"/>
  <c r="IK5" i="5"/>
  <c r="IJ5" i="5"/>
  <c r="II5" i="5"/>
  <c r="IH5" i="5"/>
  <c r="IG5" i="5"/>
  <c r="IF5" i="5"/>
  <c r="IE5" i="5"/>
  <c r="ID5" i="5"/>
  <c r="IC5" i="5"/>
  <c r="IB5" i="5"/>
  <c r="IA5" i="5"/>
  <c r="HZ5" i="5"/>
  <c r="HY5" i="5"/>
  <c r="HX5" i="5"/>
  <c r="HW5" i="5"/>
  <c r="HV5" i="5"/>
  <c r="HU5" i="5"/>
  <c r="HT5" i="5"/>
  <c r="HS5" i="5"/>
  <c r="HR5" i="5"/>
  <c r="HQ5" i="5"/>
  <c r="HP5" i="5"/>
  <c r="HO5" i="5"/>
  <c r="HM5" i="5"/>
  <c r="HL5" i="5"/>
  <c r="HK5" i="5"/>
  <c r="HJ5" i="5"/>
  <c r="HI5" i="5"/>
  <c r="HH5" i="5"/>
  <c r="HG5" i="5"/>
  <c r="HF5" i="5"/>
  <c r="HE5" i="5"/>
  <c r="HD5" i="5"/>
  <c r="HC5" i="5"/>
  <c r="HB5" i="5"/>
  <c r="HA5" i="5"/>
  <c r="GZ5" i="5"/>
  <c r="GY5" i="5"/>
  <c r="GX5" i="5"/>
  <c r="GW5" i="5"/>
  <c r="GV5" i="5"/>
  <c r="GU5" i="5"/>
  <c r="GT5" i="5"/>
  <c r="GS5" i="5"/>
  <c r="GR5" i="5"/>
  <c r="GQ5" i="5"/>
  <c r="GP5" i="5"/>
  <c r="GO5" i="5"/>
  <c r="GN5" i="5"/>
  <c r="GM5" i="5"/>
  <c r="GL5" i="5"/>
  <c r="GK5" i="5"/>
  <c r="GI5" i="5"/>
  <c r="GH5" i="5"/>
  <c r="GG5" i="5"/>
  <c r="GF5" i="5"/>
  <c r="GE5" i="5"/>
  <c r="GD5" i="5"/>
  <c r="GC5" i="5"/>
  <c r="GB5" i="5"/>
  <c r="GA5" i="5"/>
  <c r="FZ5" i="5"/>
  <c r="FY5" i="5"/>
  <c r="FX5" i="5"/>
  <c r="FW5" i="5"/>
  <c r="FV5" i="5"/>
  <c r="FU5" i="5"/>
  <c r="FT5" i="5"/>
  <c r="FS5" i="5"/>
  <c r="FR5" i="5"/>
  <c r="FQ5" i="5"/>
  <c r="FP5" i="5"/>
  <c r="FO5" i="5"/>
  <c r="FN5" i="5"/>
  <c r="FM5" i="5"/>
  <c r="FL5" i="5"/>
  <c r="FK5" i="5"/>
  <c r="FJ5" i="5"/>
  <c r="FI5" i="5"/>
  <c r="FH5" i="5"/>
  <c r="FG5" i="5"/>
  <c r="FF5" i="5"/>
  <c r="FE5" i="5"/>
  <c r="FC5" i="5"/>
  <c r="FB5" i="5"/>
  <c r="FA5" i="5"/>
  <c r="EZ5" i="5"/>
  <c r="EY5" i="5"/>
  <c r="EX5" i="5"/>
  <c r="EW5" i="5"/>
  <c r="EV5" i="5"/>
  <c r="EU5" i="5"/>
  <c r="ET5" i="5"/>
  <c r="ES5" i="5"/>
  <c r="ER5" i="5"/>
  <c r="EQ5" i="5"/>
  <c r="EP5" i="5"/>
  <c r="EO5" i="5"/>
  <c r="EN5" i="5"/>
  <c r="EM5" i="5"/>
  <c r="EL5" i="5"/>
  <c r="EK5" i="5"/>
  <c r="EJ5" i="5"/>
  <c r="EI5" i="5"/>
  <c r="EH5" i="5"/>
  <c r="EG5" i="5"/>
  <c r="EF5" i="5"/>
  <c r="EE5" i="5"/>
  <c r="ED5" i="5"/>
  <c r="EC5" i="5"/>
  <c r="EB5" i="5"/>
  <c r="EA5" i="5"/>
  <c r="DZ5" i="5"/>
  <c r="DY5" i="5"/>
  <c r="DW5" i="5"/>
  <c r="DV5" i="5"/>
  <c r="DU5" i="5"/>
  <c r="DT5" i="5"/>
  <c r="DS5" i="5"/>
  <c r="DR5" i="5"/>
  <c r="DQ5" i="5"/>
  <c r="DP5" i="5"/>
  <c r="DO5" i="5"/>
  <c r="DN5" i="5"/>
  <c r="DM5" i="5"/>
  <c r="DL5" i="5"/>
  <c r="DK5" i="5"/>
  <c r="DJ5" i="5"/>
  <c r="DI5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R5" i="5"/>
  <c r="CQ5" i="5"/>
  <c r="CP5" i="5"/>
  <c r="CO5" i="5"/>
  <c r="CN5" i="5"/>
  <c r="CM5" i="5"/>
  <c r="CL5" i="5"/>
  <c r="CK5" i="5"/>
  <c r="CJ5" i="5"/>
  <c r="CI5" i="5"/>
  <c r="CH5" i="5"/>
  <c r="CG5" i="5"/>
  <c r="CF5" i="5"/>
  <c r="CE5" i="5"/>
  <c r="CD5" i="5"/>
  <c r="CC5" i="5"/>
  <c r="CB5" i="5"/>
  <c r="CA5" i="5"/>
  <c r="BZ5" i="5"/>
  <c r="BY5" i="5"/>
  <c r="BX5" i="5"/>
  <c r="BW5" i="5"/>
  <c r="BV5" i="5"/>
  <c r="BU5" i="5"/>
  <c r="BT5" i="5"/>
  <c r="BS5" i="5"/>
  <c r="BR5" i="5"/>
  <c r="BQ5" i="5"/>
  <c r="BP5" i="5"/>
  <c r="BO5" i="5"/>
  <c r="BN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H5" i="5"/>
  <c r="F5" i="5"/>
  <c r="E5" i="5"/>
  <c r="C5" i="5"/>
  <c r="AOC4" i="5"/>
  <c r="AOB4" i="5"/>
  <c r="AOA4" i="5"/>
  <c r="ANZ4" i="5"/>
  <c r="ANY4" i="5"/>
  <c r="ANX4" i="5"/>
  <c r="ANW4" i="5"/>
  <c r="ANV4" i="5"/>
  <c r="ANU4" i="5"/>
  <c r="ANT4" i="5"/>
  <c r="ANS4" i="5"/>
  <c r="ANR4" i="5"/>
  <c r="ANQ4" i="5"/>
  <c r="ANP4" i="5"/>
  <c r="ANO4" i="5"/>
  <c r="ANN4" i="5"/>
  <c r="ANM4" i="5"/>
  <c r="ANL4" i="5"/>
  <c r="ANK4" i="5"/>
  <c r="ANJ4" i="5"/>
  <c r="ANI4" i="5"/>
  <c r="ANH4" i="5"/>
  <c r="ANG4" i="5"/>
  <c r="ANF4" i="5"/>
  <c r="ANE4" i="5"/>
  <c r="AND4" i="5"/>
  <c r="ANC4" i="5"/>
  <c r="ANB4" i="5"/>
  <c r="ANA4" i="5"/>
  <c r="AMZ4" i="5"/>
  <c r="AMX4" i="5"/>
  <c r="AMW4" i="5"/>
  <c r="AMV4" i="5"/>
  <c r="AMU4" i="5"/>
  <c r="AMT4" i="5"/>
  <c r="AMS4" i="5"/>
  <c r="AMR4" i="5"/>
  <c r="AMQ4" i="5"/>
  <c r="AMP4" i="5"/>
  <c r="AMO4" i="5"/>
  <c r="AMN4" i="5"/>
  <c r="AMM4" i="5"/>
  <c r="AML4" i="5"/>
  <c r="AMK4" i="5"/>
  <c r="AMJ4" i="5"/>
  <c r="AMI4" i="5"/>
  <c r="AMH4" i="5"/>
  <c r="AMG4" i="5"/>
  <c r="AMF4" i="5"/>
  <c r="AME4" i="5"/>
  <c r="AMD4" i="5"/>
  <c r="AMC4" i="5"/>
  <c r="AMB4" i="5"/>
  <c r="AMA4" i="5"/>
  <c r="ALZ4" i="5"/>
  <c r="ALY4" i="5"/>
  <c r="ALX4" i="5"/>
  <c r="ALW4" i="5"/>
  <c r="ALV4" i="5"/>
  <c r="ALU4" i="5"/>
  <c r="ALS4" i="5"/>
  <c r="ALR4" i="5"/>
  <c r="ALQ4" i="5"/>
  <c r="ALP4" i="5"/>
  <c r="ALO4" i="5"/>
  <c r="ALN4" i="5"/>
  <c r="ALM4" i="5"/>
  <c r="ALL4" i="5"/>
  <c r="ALK4" i="5"/>
  <c r="ALJ4" i="5"/>
  <c r="ALI4" i="5"/>
  <c r="ALH4" i="5"/>
  <c r="ALG4" i="5"/>
  <c r="ALF4" i="5"/>
  <c r="ALE4" i="5"/>
  <c r="ALD4" i="5"/>
  <c r="ALC4" i="5"/>
  <c r="ALB4" i="5"/>
  <c r="ALA4" i="5"/>
  <c r="AKZ4" i="5"/>
  <c r="AKY4" i="5"/>
  <c r="AKX4" i="5"/>
  <c r="AKW4" i="5"/>
  <c r="AKV4" i="5"/>
  <c r="AKU4" i="5"/>
  <c r="AKT4" i="5"/>
  <c r="AKS4" i="5"/>
  <c r="AKR4" i="5"/>
  <c r="AKQ4" i="5"/>
  <c r="AKP4" i="5"/>
  <c r="AKO4" i="5"/>
  <c r="AKM4" i="5"/>
  <c r="AKL4" i="5"/>
  <c r="AKK4" i="5"/>
  <c r="AKJ4" i="5"/>
  <c r="AKI4" i="5"/>
  <c r="AKH4" i="5"/>
  <c r="AKG4" i="5"/>
  <c r="AKF4" i="5"/>
  <c r="AKE4" i="5"/>
  <c r="AKD4" i="5"/>
  <c r="AKC4" i="5"/>
  <c r="AKB4" i="5"/>
  <c r="AKA4" i="5"/>
  <c r="AJZ4" i="5"/>
  <c r="AJY4" i="5"/>
  <c r="AJX4" i="5"/>
  <c r="AJW4" i="5"/>
  <c r="AJV4" i="5"/>
  <c r="AJU4" i="5"/>
  <c r="AJT4" i="5"/>
  <c r="AJS4" i="5"/>
  <c r="AJR4" i="5"/>
  <c r="AJQ4" i="5"/>
  <c r="AJP4" i="5"/>
  <c r="AJO4" i="5"/>
  <c r="AJN4" i="5"/>
  <c r="AJM4" i="5"/>
  <c r="AJL4" i="5"/>
  <c r="AJJ4" i="5"/>
  <c r="AJI4" i="5"/>
  <c r="AJH4" i="5"/>
  <c r="AJG4" i="5"/>
  <c r="AJF4" i="5"/>
  <c r="AJE4" i="5"/>
  <c r="AJD4" i="5"/>
  <c r="AJC4" i="5"/>
  <c r="AJB4" i="5"/>
  <c r="AJA4" i="5"/>
  <c r="AIZ4" i="5"/>
  <c r="AIY4" i="5"/>
  <c r="AIX4" i="5"/>
  <c r="AIW4" i="5"/>
  <c r="AIV4" i="5"/>
  <c r="AIU4" i="5"/>
  <c r="AIT4" i="5"/>
  <c r="AIS4" i="5"/>
  <c r="AIR4" i="5"/>
  <c r="AIQ4" i="5"/>
  <c r="AIP4" i="5"/>
  <c r="AIO4" i="5"/>
  <c r="AIN4" i="5"/>
  <c r="AIM4" i="5"/>
  <c r="AIL4" i="5"/>
  <c r="AIK4" i="5"/>
  <c r="AIJ4" i="5"/>
  <c r="AII4" i="5"/>
  <c r="AIH4" i="5"/>
  <c r="AIG4" i="5"/>
  <c r="AIF4" i="5"/>
  <c r="AID4" i="5"/>
  <c r="AIC4" i="5"/>
  <c r="AIB4" i="5"/>
  <c r="AIA4" i="5"/>
  <c r="AHZ4" i="5"/>
  <c r="AHY4" i="5"/>
  <c r="AHX4" i="5"/>
  <c r="AHW4" i="5"/>
  <c r="AHV4" i="5"/>
  <c r="AHU4" i="5"/>
  <c r="AHT4" i="5"/>
  <c r="AHS4" i="5"/>
  <c r="AHR4" i="5"/>
  <c r="AHQ4" i="5"/>
  <c r="AHP4" i="5"/>
  <c r="AHO4" i="5"/>
  <c r="AHN4" i="5"/>
  <c r="AHM4" i="5"/>
  <c r="AHL4" i="5"/>
  <c r="AHK4" i="5"/>
  <c r="AHJ4" i="5"/>
  <c r="AHI4" i="5"/>
  <c r="AHH4" i="5"/>
  <c r="AHG4" i="5"/>
  <c r="AHF4" i="5"/>
  <c r="AHE4" i="5"/>
  <c r="AHD4" i="5"/>
  <c r="AHC4" i="5"/>
  <c r="AHB4" i="5"/>
  <c r="AHA4" i="5"/>
  <c r="AGZ4" i="5"/>
  <c r="AGX4" i="5"/>
  <c r="AGW4" i="5"/>
  <c r="AGV4" i="5"/>
  <c r="AGU4" i="5"/>
  <c r="AGT4" i="5"/>
  <c r="AGS4" i="5"/>
  <c r="AGR4" i="5"/>
  <c r="AGQ4" i="5"/>
  <c r="AGP4" i="5"/>
  <c r="AGO4" i="5"/>
  <c r="AGN4" i="5"/>
  <c r="AGM4" i="5"/>
  <c r="AGL4" i="5"/>
  <c r="AGK4" i="5"/>
  <c r="AGJ4" i="5"/>
  <c r="AGI4" i="5"/>
  <c r="AGH4" i="5"/>
  <c r="AGG4" i="5"/>
  <c r="AGF4" i="5"/>
  <c r="AGE4" i="5"/>
  <c r="AGD4" i="5"/>
  <c r="AGC4" i="5"/>
  <c r="AGB4" i="5"/>
  <c r="AGA4" i="5"/>
  <c r="AFZ4" i="5"/>
  <c r="AFY4" i="5"/>
  <c r="AFX4" i="5"/>
  <c r="AFW4" i="5"/>
  <c r="AFV4" i="5"/>
  <c r="AFU4" i="5"/>
  <c r="AFS4" i="5"/>
  <c r="AFR4" i="5"/>
  <c r="AFQ4" i="5"/>
  <c r="AFP4" i="5"/>
  <c r="AFO4" i="5"/>
  <c r="AFN4" i="5"/>
  <c r="AFM4" i="5"/>
  <c r="AFL4" i="5"/>
  <c r="AFK4" i="5"/>
  <c r="AFJ4" i="5"/>
  <c r="AFI4" i="5"/>
  <c r="AFH4" i="5"/>
  <c r="AFG4" i="5"/>
  <c r="AFF4" i="5"/>
  <c r="AFE4" i="5"/>
  <c r="AFD4" i="5"/>
  <c r="AFC4" i="5"/>
  <c r="AFB4" i="5"/>
  <c r="AFA4" i="5"/>
  <c r="AEZ4" i="5"/>
  <c r="AEY4" i="5"/>
  <c r="AEX4" i="5"/>
  <c r="AEW4" i="5"/>
  <c r="AEV4" i="5"/>
  <c r="AEU4" i="5"/>
  <c r="AET4" i="5"/>
  <c r="AES4" i="5"/>
  <c r="AER4" i="5"/>
  <c r="AEQ4" i="5"/>
  <c r="AEP4" i="5"/>
  <c r="AEO4" i="5"/>
  <c r="AEM4" i="5"/>
  <c r="AEL4" i="5"/>
  <c r="AEK4" i="5"/>
  <c r="AEJ4" i="5"/>
  <c r="AEI4" i="5"/>
  <c r="AEH4" i="5"/>
  <c r="AEG4" i="5"/>
  <c r="AEF4" i="5"/>
  <c r="AEE4" i="5"/>
  <c r="AED4" i="5"/>
  <c r="AEC4" i="5"/>
  <c r="AEB4" i="5"/>
  <c r="AEA4" i="5"/>
  <c r="ADZ4" i="5"/>
  <c r="ADY4" i="5"/>
  <c r="ADX4" i="5"/>
  <c r="ADW4" i="5"/>
  <c r="ADV4" i="5"/>
  <c r="ADU4" i="5"/>
  <c r="ADT4" i="5"/>
  <c r="ADS4" i="5"/>
  <c r="ADR4" i="5"/>
  <c r="ADQ4" i="5"/>
  <c r="ADP4" i="5"/>
  <c r="ADO4" i="5"/>
  <c r="ADN4" i="5"/>
  <c r="ADM4" i="5"/>
  <c r="ADL4" i="5"/>
  <c r="ADK4" i="5"/>
  <c r="ADJ4" i="5"/>
  <c r="ADH4" i="5"/>
  <c r="ADG4" i="5"/>
  <c r="ADF4" i="5"/>
  <c r="ADE4" i="5"/>
  <c r="ADD4" i="5"/>
  <c r="ADC4" i="5"/>
  <c r="ADB4" i="5"/>
  <c r="ADA4" i="5"/>
  <c r="ACZ4" i="5"/>
  <c r="ACY4" i="5"/>
  <c r="ACX4" i="5"/>
  <c r="ACW4" i="5"/>
  <c r="ACV4" i="5"/>
  <c r="ACU4" i="5"/>
  <c r="ACT4" i="5"/>
  <c r="ACS4" i="5"/>
  <c r="ACR4" i="5"/>
  <c r="ACQ4" i="5"/>
  <c r="ACP4" i="5"/>
  <c r="ACO4" i="5"/>
  <c r="ACN4" i="5"/>
  <c r="ACM4" i="5"/>
  <c r="ACL4" i="5"/>
  <c r="ACK4" i="5"/>
  <c r="ACJ4" i="5"/>
  <c r="ACI4" i="5"/>
  <c r="ACH4" i="5"/>
  <c r="ACG4" i="5"/>
  <c r="ACF4" i="5"/>
  <c r="ACE4" i="5"/>
  <c r="ACD4" i="5"/>
  <c r="ACB4" i="5"/>
  <c r="ACA4" i="5"/>
  <c r="ABZ4" i="5"/>
  <c r="ABY4" i="5"/>
  <c r="ABX4" i="5"/>
  <c r="ABW4" i="5"/>
  <c r="ABV4" i="5"/>
  <c r="ABU4" i="5"/>
  <c r="ABT4" i="5"/>
  <c r="ABS4" i="5"/>
  <c r="ABR4" i="5"/>
  <c r="ABQ4" i="5"/>
  <c r="ABP4" i="5"/>
  <c r="ABO4" i="5"/>
  <c r="ABN4" i="5"/>
  <c r="ABM4" i="5"/>
  <c r="ABL4" i="5"/>
  <c r="ABK4" i="5"/>
  <c r="ABJ4" i="5"/>
  <c r="ABI4" i="5"/>
  <c r="ABH4" i="5"/>
  <c r="ABG4" i="5"/>
  <c r="ABF4" i="5"/>
  <c r="ABE4" i="5"/>
  <c r="ABD4" i="5"/>
  <c r="ABC4" i="5"/>
  <c r="ABB4" i="5"/>
  <c r="ABA4" i="5"/>
  <c r="AAZ4" i="5"/>
  <c r="AAY4" i="5"/>
  <c r="AAX4" i="5"/>
  <c r="AAV4" i="5"/>
  <c r="AAU4" i="5"/>
  <c r="AAT4" i="5"/>
  <c r="AAS4" i="5"/>
  <c r="AAR4" i="5"/>
  <c r="AAQ4" i="5"/>
  <c r="AAP4" i="5"/>
  <c r="AAO4" i="5"/>
  <c r="AAN4" i="5"/>
  <c r="AAM4" i="5"/>
  <c r="AAL4" i="5"/>
  <c r="AAK4" i="5"/>
  <c r="AAJ4" i="5"/>
  <c r="AAI4" i="5"/>
  <c r="AAH4" i="5"/>
  <c r="AAG4" i="5"/>
  <c r="AAF4" i="5"/>
  <c r="AAE4" i="5"/>
  <c r="AAD4" i="5"/>
  <c r="AAC4" i="5"/>
  <c r="AAB4" i="5"/>
  <c r="AAA4" i="5"/>
  <c r="ZZ4" i="5"/>
  <c r="ZY4" i="5"/>
  <c r="ZX4" i="5"/>
  <c r="ZW4" i="5"/>
  <c r="ZV4" i="5"/>
  <c r="ZU4" i="5"/>
  <c r="ZT4" i="5"/>
  <c r="ZS4" i="5"/>
  <c r="ZQ4" i="5"/>
  <c r="ZP4" i="5"/>
  <c r="ZO4" i="5"/>
  <c r="ZN4" i="5"/>
  <c r="ZM4" i="5"/>
  <c r="ZL4" i="5"/>
  <c r="ZK4" i="5"/>
  <c r="ZJ4" i="5"/>
  <c r="ZI4" i="5"/>
  <c r="ZH4" i="5"/>
  <c r="ZG4" i="5"/>
  <c r="ZF4" i="5"/>
  <c r="ZE4" i="5"/>
  <c r="ZD4" i="5"/>
  <c r="ZC4" i="5"/>
  <c r="ZB4" i="5"/>
  <c r="ZA4" i="5"/>
  <c r="YZ4" i="5"/>
  <c r="YY4" i="5"/>
  <c r="YX4" i="5"/>
  <c r="YW4" i="5"/>
  <c r="YV4" i="5"/>
  <c r="YU4" i="5"/>
  <c r="YT4" i="5"/>
  <c r="YS4" i="5"/>
  <c r="YR4" i="5"/>
  <c r="YQ4" i="5"/>
  <c r="YP4" i="5"/>
  <c r="YO4" i="5"/>
  <c r="YN4" i="5"/>
  <c r="YM4" i="5"/>
  <c r="YK4" i="5"/>
  <c r="YJ4" i="5"/>
  <c r="YI4" i="5"/>
  <c r="YH4" i="5"/>
  <c r="YG4" i="5"/>
  <c r="YF4" i="5"/>
  <c r="YE4" i="5"/>
  <c r="YD4" i="5"/>
  <c r="YC4" i="5"/>
  <c r="YB4" i="5"/>
  <c r="YA4" i="5"/>
  <c r="XZ4" i="5"/>
  <c r="XY4" i="5"/>
  <c r="XX4" i="5"/>
  <c r="XW4" i="5"/>
  <c r="XV4" i="5"/>
  <c r="XU4" i="5"/>
  <c r="XT4" i="5"/>
  <c r="XS4" i="5"/>
  <c r="XR4" i="5"/>
  <c r="XQ4" i="5"/>
  <c r="XP4" i="5"/>
  <c r="XO4" i="5"/>
  <c r="XN4" i="5"/>
  <c r="XM4" i="5"/>
  <c r="XL4" i="5"/>
  <c r="XK4" i="5"/>
  <c r="XJ4" i="5"/>
  <c r="XI4" i="5"/>
  <c r="XH4" i="5"/>
  <c r="XF4" i="5"/>
  <c r="XE4" i="5"/>
  <c r="XD4" i="5"/>
  <c r="XC4" i="5"/>
  <c r="XB4" i="5"/>
  <c r="XA4" i="5"/>
  <c r="WZ4" i="5"/>
  <c r="WY4" i="5"/>
  <c r="WX4" i="5"/>
  <c r="WW4" i="5"/>
  <c r="WV4" i="5"/>
  <c r="WU4" i="5"/>
  <c r="WT4" i="5"/>
  <c r="WS4" i="5"/>
  <c r="WR4" i="5"/>
  <c r="WQ4" i="5"/>
  <c r="WP4" i="5"/>
  <c r="WO4" i="5"/>
  <c r="WN4" i="5"/>
  <c r="WM4" i="5"/>
  <c r="WL4" i="5"/>
  <c r="WK4" i="5"/>
  <c r="WJ4" i="5"/>
  <c r="WI4" i="5"/>
  <c r="WH4" i="5"/>
  <c r="WG4" i="5"/>
  <c r="WF4" i="5"/>
  <c r="WE4" i="5"/>
  <c r="WD4" i="5"/>
  <c r="WC4" i="5"/>
  <c r="WB4" i="5"/>
  <c r="VZ4" i="5"/>
  <c r="VY4" i="5"/>
  <c r="VX4" i="5"/>
  <c r="VW4" i="5"/>
  <c r="VV4" i="5"/>
  <c r="VU4" i="5"/>
  <c r="VT4" i="5"/>
  <c r="VS4" i="5"/>
  <c r="VR4" i="5"/>
  <c r="VQ4" i="5"/>
  <c r="VP4" i="5"/>
  <c r="VO4" i="5"/>
  <c r="VN4" i="5"/>
  <c r="VM4" i="5"/>
  <c r="VL4" i="5"/>
  <c r="VK4" i="5"/>
  <c r="VJ4" i="5"/>
  <c r="VI4" i="5"/>
  <c r="VH4" i="5"/>
  <c r="VG4" i="5"/>
  <c r="VF4" i="5"/>
  <c r="VE4" i="5"/>
  <c r="VD4" i="5"/>
  <c r="VC4" i="5"/>
  <c r="VB4" i="5"/>
  <c r="VA4" i="5"/>
  <c r="UZ4" i="5"/>
  <c r="UY4" i="5"/>
  <c r="UW4" i="5"/>
  <c r="UV4" i="5"/>
  <c r="UU4" i="5"/>
  <c r="UT4" i="5"/>
  <c r="US4" i="5"/>
  <c r="UR4" i="5"/>
  <c r="UQ4" i="5"/>
  <c r="UP4" i="5"/>
  <c r="UO4" i="5"/>
  <c r="UN4" i="5"/>
  <c r="UM4" i="5"/>
  <c r="UL4" i="5"/>
  <c r="UK4" i="5"/>
  <c r="UJ4" i="5"/>
  <c r="UI4" i="5"/>
  <c r="UH4" i="5"/>
  <c r="UG4" i="5"/>
  <c r="UF4" i="5"/>
  <c r="UE4" i="5"/>
  <c r="UD4" i="5"/>
  <c r="UC4" i="5"/>
  <c r="UB4" i="5"/>
  <c r="UA4" i="5"/>
  <c r="TZ4" i="5"/>
  <c r="TY4" i="5"/>
  <c r="TX4" i="5"/>
  <c r="TW4" i="5"/>
  <c r="TV4" i="5"/>
  <c r="TU4" i="5"/>
  <c r="TT4" i="5"/>
  <c r="TS4" i="5"/>
  <c r="TQ4" i="5"/>
  <c r="TP4" i="5"/>
  <c r="TO4" i="5"/>
  <c r="TN4" i="5"/>
  <c r="TM4" i="5"/>
  <c r="TL4" i="5"/>
  <c r="TK4" i="5"/>
  <c r="TJ4" i="5"/>
  <c r="TI4" i="5"/>
  <c r="TH4" i="5"/>
  <c r="TG4" i="5"/>
  <c r="TF4" i="5"/>
  <c r="TE4" i="5"/>
  <c r="TD4" i="5"/>
  <c r="TC4" i="5"/>
  <c r="TB4" i="5"/>
  <c r="TA4" i="5"/>
  <c r="SZ4" i="5"/>
  <c r="SY4" i="5"/>
  <c r="SX4" i="5"/>
  <c r="SW4" i="5"/>
  <c r="SV4" i="5"/>
  <c r="SU4" i="5"/>
  <c r="ST4" i="5"/>
  <c r="SS4" i="5"/>
  <c r="SR4" i="5"/>
  <c r="SQ4" i="5"/>
  <c r="SP4" i="5"/>
  <c r="SO4" i="5"/>
  <c r="SN4" i="5"/>
  <c r="SM4" i="5"/>
  <c r="SK4" i="5"/>
  <c r="SJ4" i="5"/>
  <c r="SI4" i="5"/>
  <c r="SH4" i="5"/>
  <c r="SG4" i="5"/>
  <c r="SF4" i="5"/>
  <c r="SE4" i="5"/>
  <c r="SD4" i="5"/>
  <c r="SC4" i="5"/>
  <c r="SB4" i="5"/>
  <c r="SA4" i="5"/>
  <c r="RZ4" i="5"/>
  <c r="RY4" i="5"/>
  <c r="RX4" i="5"/>
  <c r="RW4" i="5"/>
  <c r="RV4" i="5"/>
  <c r="RU4" i="5"/>
  <c r="RT4" i="5"/>
  <c r="RS4" i="5"/>
  <c r="RR4" i="5"/>
  <c r="RQ4" i="5"/>
  <c r="RP4" i="5"/>
  <c r="RO4" i="5"/>
  <c r="RN4" i="5"/>
  <c r="RM4" i="5"/>
  <c r="RL4" i="5"/>
  <c r="RK4" i="5"/>
  <c r="RJ4" i="5"/>
  <c r="RI4" i="5"/>
  <c r="RH4" i="5"/>
  <c r="RF4" i="5"/>
  <c r="RE4" i="5"/>
  <c r="RD4" i="5"/>
  <c r="RC4" i="5"/>
  <c r="RB4" i="5"/>
  <c r="RA4" i="5"/>
  <c r="QZ4" i="5"/>
  <c r="QY4" i="5"/>
  <c r="QX4" i="5"/>
  <c r="QW4" i="5"/>
  <c r="QV4" i="5"/>
  <c r="QU4" i="5"/>
  <c r="QT4" i="5"/>
  <c r="QS4" i="5"/>
  <c r="QR4" i="5"/>
  <c r="QQ4" i="5"/>
  <c r="QP4" i="5"/>
  <c r="QO4" i="5"/>
  <c r="QN4" i="5"/>
  <c r="QM4" i="5"/>
  <c r="QL4" i="5"/>
  <c r="QK4" i="5"/>
  <c r="QJ4" i="5"/>
  <c r="QI4" i="5"/>
  <c r="QH4" i="5"/>
  <c r="QG4" i="5"/>
  <c r="QF4" i="5"/>
  <c r="QE4" i="5"/>
  <c r="QD4" i="5"/>
  <c r="QC4" i="5"/>
  <c r="QB4" i="5"/>
  <c r="PZ4" i="5"/>
  <c r="PY4" i="5"/>
  <c r="PX4" i="5"/>
  <c r="PW4" i="5"/>
  <c r="PV4" i="5"/>
  <c r="PU4" i="5"/>
  <c r="PT4" i="5"/>
  <c r="PS4" i="5"/>
  <c r="PR4" i="5"/>
  <c r="PQ4" i="5"/>
  <c r="PP4" i="5"/>
  <c r="PO4" i="5"/>
  <c r="PN4" i="5"/>
  <c r="PM4" i="5"/>
  <c r="PL4" i="5"/>
  <c r="PK4" i="5"/>
  <c r="PJ4" i="5"/>
  <c r="PI4" i="5"/>
  <c r="PH4" i="5"/>
  <c r="PG4" i="5"/>
  <c r="PF4" i="5"/>
  <c r="PE4" i="5"/>
  <c r="PD4" i="5"/>
  <c r="PC4" i="5"/>
  <c r="PB4" i="5"/>
  <c r="PA4" i="5"/>
  <c r="OZ4" i="5"/>
  <c r="OY4" i="5"/>
  <c r="OX4" i="5"/>
  <c r="OW4" i="5"/>
  <c r="OU4" i="5"/>
  <c r="OT4" i="5"/>
  <c r="OS4" i="5"/>
  <c r="OR4" i="5"/>
  <c r="OQ4" i="5"/>
  <c r="OP4" i="5"/>
  <c r="OO4" i="5"/>
  <c r="ON4" i="5"/>
  <c r="OM4" i="5"/>
  <c r="OL4" i="5"/>
  <c r="OK4" i="5"/>
  <c r="OJ4" i="5"/>
  <c r="OI4" i="5"/>
  <c r="OH4" i="5"/>
  <c r="OG4" i="5"/>
  <c r="OF4" i="5"/>
  <c r="OE4" i="5"/>
  <c r="OD4" i="5"/>
  <c r="OC4" i="5"/>
  <c r="OB4" i="5"/>
  <c r="OA4" i="5"/>
  <c r="NZ4" i="5"/>
  <c r="NY4" i="5"/>
  <c r="NX4" i="5"/>
  <c r="NW4" i="5"/>
  <c r="NV4" i="5"/>
  <c r="NU4" i="5"/>
  <c r="NT4" i="5"/>
  <c r="NS4" i="5"/>
  <c r="NR4" i="5"/>
  <c r="NQ4" i="5"/>
  <c r="NO4" i="5"/>
  <c r="NN4" i="5"/>
  <c r="NM4" i="5"/>
  <c r="NL4" i="5"/>
  <c r="NK4" i="5"/>
  <c r="NJ4" i="5"/>
  <c r="NI4" i="5"/>
  <c r="NH4" i="5"/>
  <c r="NG4" i="5"/>
  <c r="NF4" i="5"/>
  <c r="NE4" i="5"/>
  <c r="ND4" i="5"/>
  <c r="NC4" i="5"/>
  <c r="NB4" i="5"/>
  <c r="NA4" i="5"/>
  <c r="MZ4" i="5"/>
  <c r="MY4" i="5"/>
  <c r="MX4" i="5"/>
  <c r="MW4" i="5"/>
  <c r="MV4" i="5"/>
  <c r="MU4" i="5"/>
  <c r="MT4" i="5"/>
  <c r="MS4" i="5"/>
  <c r="MR4" i="5"/>
  <c r="MQ4" i="5"/>
  <c r="MP4" i="5"/>
  <c r="MO4" i="5"/>
  <c r="MN4" i="5"/>
  <c r="MM4" i="5"/>
  <c r="ML4" i="5"/>
  <c r="MK4" i="5"/>
  <c r="MI4" i="5"/>
  <c r="MH4" i="5"/>
  <c r="MG4" i="5"/>
  <c r="MF4" i="5"/>
  <c r="ME4" i="5"/>
  <c r="MD4" i="5"/>
  <c r="MC4" i="5"/>
  <c r="MB4" i="5"/>
  <c r="MA4" i="5"/>
  <c r="LZ4" i="5"/>
  <c r="LY4" i="5"/>
  <c r="LX4" i="5"/>
  <c r="LW4" i="5"/>
  <c r="LV4" i="5"/>
  <c r="LU4" i="5"/>
  <c r="LT4" i="5"/>
  <c r="LS4" i="5"/>
  <c r="LR4" i="5"/>
  <c r="LQ4" i="5"/>
  <c r="LP4" i="5"/>
  <c r="LO4" i="5"/>
  <c r="LN4" i="5"/>
  <c r="LM4" i="5"/>
  <c r="LL4" i="5"/>
  <c r="LK4" i="5"/>
  <c r="LJ4" i="5"/>
  <c r="LI4" i="5"/>
  <c r="LH4" i="5"/>
  <c r="LG4" i="5"/>
  <c r="LF4" i="5"/>
  <c r="LD4" i="5"/>
  <c r="LC4" i="5"/>
  <c r="LB4" i="5"/>
  <c r="LA4" i="5"/>
  <c r="KZ4" i="5"/>
  <c r="KY4" i="5"/>
  <c r="KX4" i="5"/>
  <c r="KW4" i="5"/>
  <c r="KV4" i="5"/>
  <c r="KU4" i="5"/>
  <c r="KT4" i="5"/>
  <c r="KS4" i="5"/>
  <c r="KR4" i="5"/>
  <c r="KQ4" i="5"/>
  <c r="KP4" i="5"/>
  <c r="KO4" i="5"/>
  <c r="KN4" i="5"/>
  <c r="KM4" i="5"/>
  <c r="KL4" i="5"/>
  <c r="KK4" i="5"/>
  <c r="KJ4" i="5"/>
  <c r="KI4" i="5"/>
  <c r="KH4" i="5"/>
  <c r="KG4" i="5"/>
  <c r="KF4" i="5"/>
  <c r="KE4" i="5"/>
  <c r="KD4" i="5"/>
  <c r="KC4" i="5"/>
  <c r="KB4" i="5"/>
  <c r="KA4" i="5"/>
  <c r="JZ4" i="5"/>
  <c r="JX4" i="5"/>
  <c r="JW4" i="5"/>
  <c r="JV4" i="5"/>
  <c r="JU4" i="5"/>
  <c r="JT4" i="5"/>
  <c r="JS4" i="5"/>
  <c r="JR4" i="5"/>
  <c r="JQ4" i="5"/>
  <c r="JP4" i="5"/>
  <c r="JO4" i="5"/>
  <c r="JN4" i="5"/>
  <c r="JM4" i="5"/>
  <c r="JL4" i="5"/>
  <c r="JK4" i="5"/>
  <c r="JJ4" i="5"/>
  <c r="JI4" i="5"/>
  <c r="JH4" i="5"/>
  <c r="JG4" i="5"/>
  <c r="JF4" i="5"/>
  <c r="JE4" i="5"/>
  <c r="JD4" i="5"/>
  <c r="JC4" i="5"/>
  <c r="JB4" i="5"/>
  <c r="JA4" i="5"/>
  <c r="IZ4" i="5"/>
  <c r="IY4" i="5"/>
  <c r="IX4" i="5"/>
  <c r="IW4" i="5"/>
  <c r="IV4" i="5"/>
  <c r="IU4" i="5"/>
  <c r="IS4" i="5"/>
  <c r="IR4" i="5"/>
  <c r="IQ4" i="5"/>
  <c r="IP4" i="5"/>
  <c r="IO4" i="5"/>
  <c r="IN4" i="5"/>
  <c r="IM4" i="5"/>
  <c r="IL4" i="5"/>
  <c r="IK4" i="5"/>
  <c r="IJ4" i="5"/>
  <c r="II4" i="5"/>
  <c r="IH4" i="5"/>
  <c r="IG4" i="5"/>
  <c r="IF4" i="5"/>
  <c r="IE4" i="5"/>
  <c r="ID4" i="5"/>
  <c r="IC4" i="5"/>
  <c r="IB4" i="5"/>
  <c r="IA4" i="5"/>
  <c r="HZ4" i="5"/>
  <c r="HY4" i="5"/>
  <c r="HX4" i="5"/>
  <c r="HW4" i="5"/>
  <c r="HV4" i="5"/>
  <c r="HU4" i="5"/>
  <c r="HT4" i="5"/>
  <c r="HS4" i="5"/>
  <c r="HR4" i="5"/>
  <c r="HQ4" i="5"/>
  <c r="HP4" i="5"/>
  <c r="HO4" i="5"/>
  <c r="HM4" i="5"/>
  <c r="HL4" i="5"/>
  <c r="HK4" i="5"/>
  <c r="HJ4" i="5"/>
  <c r="HI4" i="5"/>
  <c r="HH4" i="5"/>
  <c r="HG4" i="5"/>
  <c r="HF4" i="5"/>
  <c r="HE4" i="5"/>
  <c r="HD4" i="5"/>
  <c r="HC4" i="5"/>
  <c r="HB4" i="5"/>
  <c r="HA4" i="5"/>
  <c r="GZ4" i="5"/>
  <c r="GY4" i="5"/>
  <c r="GX4" i="5"/>
  <c r="GW4" i="5"/>
  <c r="GV4" i="5"/>
  <c r="GU4" i="5"/>
  <c r="GT4" i="5"/>
  <c r="GS4" i="5"/>
  <c r="GR4" i="5"/>
  <c r="GQ4" i="5"/>
  <c r="GP4" i="5"/>
  <c r="GO4" i="5"/>
  <c r="GN4" i="5"/>
  <c r="GM4" i="5"/>
  <c r="GL4" i="5"/>
  <c r="GK4" i="5"/>
  <c r="GI4" i="5"/>
  <c r="GH4" i="5"/>
  <c r="GG4" i="5"/>
  <c r="GF4" i="5"/>
  <c r="GE4" i="5"/>
  <c r="GD4" i="5"/>
  <c r="GC4" i="5"/>
  <c r="GB4" i="5"/>
  <c r="GA4" i="5"/>
  <c r="FZ4" i="5"/>
  <c r="FY4" i="5"/>
  <c r="FX4" i="5"/>
  <c r="FW4" i="5"/>
  <c r="FV4" i="5"/>
  <c r="FU4" i="5"/>
  <c r="FT4" i="5"/>
  <c r="FS4" i="5"/>
  <c r="FR4" i="5"/>
  <c r="FQ4" i="5"/>
  <c r="FP4" i="5"/>
  <c r="FO4" i="5"/>
  <c r="FN4" i="5"/>
  <c r="FM4" i="5"/>
  <c r="FL4" i="5"/>
  <c r="FK4" i="5"/>
  <c r="FJ4" i="5"/>
  <c r="FI4" i="5"/>
  <c r="FH4" i="5"/>
  <c r="FG4" i="5"/>
  <c r="FF4" i="5"/>
  <c r="FE4" i="5"/>
  <c r="FC4" i="5"/>
  <c r="FB4" i="5"/>
  <c r="FA4" i="5"/>
  <c r="EZ4" i="5"/>
  <c r="EY4" i="5"/>
  <c r="EX4" i="5"/>
  <c r="EW4" i="5"/>
  <c r="EV4" i="5"/>
  <c r="EU4" i="5"/>
  <c r="ET4" i="5"/>
  <c r="ES4" i="5"/>
  <c r="ER4" i="5"/>
  <c r="EQ4" i="5"/>
  <c r="EP4" i="5"/>
  <c r="EO4" i="5"/>
  <c r="EN4" i="5"/>
  <c r="EM4" i="5"/>
  <c r="EL4" i="5"/>
  <c r="EK4" i="5"/>
  <c r="EJ4" i="5"/>
  <c r="EI4" i="5"/>
  <c r="EH4" i="5"/>
  <c r="EG4" i="5"/>
  <c r="EF4" i="5"/>
  <c r="EE4" i="5"/>
  <c r="ED4" i="5"/>
  <c r="EC4" i="5"/>
  <c r="EB4" i="5"/>
  <c r="EA4" i="5"/>
  <c r="DZ4" i="5"/>
  <c r="DY4" i="5"/>
  <c r="DW4" i="5"/>
  <c r="DV4" i="5"/>
  <c r="DU4" i="5"/>
  <c r="DT4" i="5"/>
  <c r="DS4" i="5"/>
  <c r="DR4" i="5"/>
  <c r="DQ4" i="5"/>
  <c r="DP4" i="5"/>
  <c r="DO4" i="5"/>
  <c r="DN4" i="5"/>
  <c r="DM4" i="5"/>
  <c r="DL4" i="5"/>
  <c r="DK4" i="5"/>
  <c r="DJ4" i="5"/>
  <c r="DI4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IV3" i="5"/>
  <c r="IW3" i="5" s="1"/>
  <c r="IX3" i="5" s="1"/>
  <c r="IY3" i="5" s="1"/>
  <c r="IZ3" i="5" s="1"/>
  <c r="JA3" i="5" s="1"/>
  <c r="JB3" i="5" s="1"/>
  <c r="JC3" i="5" s="1"/>
  <c r="JD3" i="5" s="1"/>
  <c r="JE3" i="5" s="1"/>
  <c r="JF3" i="5" s="1"/>
  <c r="JG3" i="5" s="1"/>
  <c r="JH3" i="5" s="1"/>
  <c r="JI3" i="5" s="1"/>
  <c r="JJ3" i="5" s="1"/>
  <c r="JK3" i="5" s="1"/>
  <c r="JL3" i="5" s="1"/>
  <c r="JM3" i="5" s="1"/>
  <c r="JN3" i="5" s="1"/>
  <c r="JO3" i="5" s="1"/>
  <c r="JP3" i="5" s="1"/>
  <c r="JQ3" i="5" s="1"/>
  <c r="JR3" i="5" s="1"/>
  <c r="JS3" i="5" s="1"/>
  <c r="JT3" i="5" s="1"/>
  <c r="JU3" i="5" s="1"/>
  <c r="JV3" i="5" s="1"/>
  <c r="JW3" i="5" s="1"/>
  <c r="JX3" i="5" s="1"/>
  <c r="JZ3" i="5" s="1"/>
  <c r="KA3" i="5" s="1"/>
  <c r="KB3" i="5" s="1"/>
  <c r="KC3" i="5" s="1"/>
  <c r="KD3" i="5" s="1"/>
  <c r="KE3" i="5" s="1"/>
  <c r="KF3" i="5" s="1"/>
  <c r="KG3" i="5" s="1"/>
  <c r="KH3" i="5" s="1"/>
  <c r="KI3" i="5" s="1"/>
  <c r="KJ3" i="5" s="1"/>
  <c r="KK3" i="5" s="1"/>
  <c r="KL3" i="5" s="1"/>
  <c r="KM3" i="5" s="1"/>
  <c r="KN3" i="5" s="1"/>
  <c r="KO3" i="5" s="1"/>
  <c r="KP3" i="5" s="1"/>
  <c r="KQ3" i="5" s="1"/>
  <c r="KR3" i="5" s="1"/>
  <c r="KS3" i="5" s="1"/>
  <c r="KT3" i="5" s="1"/>
  <c r="KU3" i="5" s="1"/>
  <c r="KV3" i="5" s="1"/>
  <c r="KW3" i="5" s="1"/>
  <c r="KX3" i="5" s="1"/>
  <c r="KY3" i="5" s="1"/>
  <c r="KZ3" i="5" s="1"/>
  <c r="LA3" i="5" s="1"/>
  <c r="LB3" i="5" s="1"/>
  <c r="LC3" i="5" s="1"/>
  <c r="LD3" i="5" s="1"/>
  <c r="HP3" i="5"/>
  <c r="HQ3" i="5" s="1"/>
  <c r="HR3" i="5" s="1"/>
  <c r="HS3" i="5" s="1"/>
  <c r="HT3" i="5" s="1"/>
  <c r="HU3" i="5" s="1"/>
  <c r="HV3" i="5" s="1"/>
  <c r="HW3" i="5" s="1"/>
  <c r="HX3" i="5" s="1"/>
  <c r="HY3" i="5" s="1"/>
  <c r="HZ3" i="5" s="1"/>
  <c r="IA3" i="5" s="1"/>
  <c r="IB3" i="5" s="1"/>
  <c r="IC3" i="5" s="1"/>
  <c r="ID3" i="5" s="1"/>
  <c r="IE3" i="5" s="1"/>
  <c r="IF3" i="5" s="1"/>
  <c r="IG3" i="5" s="1"/>
  <c r="IH3" i="5" s="1"/>
  <c r="II3" i="5" s="1"/>
  <c r="IJ3" i="5" s="1"/>
  <c r="IK3" i="5" s="1"/>
  <c r="IL3" i="5" s="1"/>
  <c r="IM3" i="5" s="1"/>
  <c r="IN3" i="5" s="1"/>
  <c r="IO3" i="5" s="1"/>
  <c r="IP3" i="5" s="1"/>
  <c r="IQ3" i="5" s="1"/>
  <c r="IR3" i="5" s="1"/>
  <c r="IS3" i="5" s="1"/>
  <c r="DZ3" i="5"/>
  <c r="EA3" i="5" s="1"/>
  <c r="EB3" i="5" s="1"/>
  <c r="EC3" i="5" s="1"/>
  <c r="ED3" i="5" s="1"/>
  <c r="EE3" i="5" s="1"/>
  <c r="EF3" i="5" s="1"/>
  <c r="EG3" i="5" s="1"/>
  <c r="EH3" i="5" s="1"/>
  <c r="EI3" i="5" s="1"/>
  <c r="EJ3" i="5" s="1"/>
  <c r="EK3" i="5" s="1"/>
  <c r="EL3" i="5" s="1"/>
  <c r="EM3" i="5" s="1"/>
  <c r="EN3" i="5" s="1"/>
  <c r="EO3" i="5" s="1"/>
  <c r="EP3" i="5" s="1"/>
  <c r="EQ3" i="5" s="1"/>
  <c r="ER3" i="5" s="1"/>
  <c r="ES3" i="5" s="1"/>
  <c r="ET3" i="5" s="1"/>
  <c r="EU3" i="5" s="1"/>
  <c r="EV3" i="5" s="1"/>
  <c r="EW3" i="5" s="1"/>
  <c r="EX3" i="5" s="1"/>
  <c r="EY3" i="5" s="1"/>
  <c r="EZ3" i="5" s="1"/>
  <c r="FA3" i="5" s="1"/>
  <c r="FB3" i="5" s="1"/>
  <c r="FC3" i="5" s="1"/>
  <c r="FE3" i="5" s="1"/>
  <c r="FF3" i="5" s="1"/>
  <c r="FG3" i="5" s="1"/>
  <c r="FH3" i="5" s="1"/>
  <c r="FI3" i="5" s="1"/>
  <c r="FJ3" i="5" s="1"/>
  <c r="FK3" i="5" s="1"/>
  <c r="FL3" i="5" s="1"/>
  <c r="FM3" i="5" s="1"/>
  <c r="FN3" i="5" s="1"/>
  <c r="FO3" i="5" s="1"/>
  <c r="FP3" i="5" s="1"/>
  <c r="FQ3" i="5" s="1"/>
  <c r="FR3" i="5" s="1"/>
  <c r="FS3" i="5" s="1"/>
  <c r="FT3" i="5" s="1"/>
  <c r="FU3" i="5" s="1"/>
  <c r="FV3" i="5" s="1"/>
  <c r="FW3" i="5" s="1"/>
  <c r="FX3" i="5" s="1"/>
  <c r="FY3" i="5" s="1"/>
  <c r="FZ3" i="5" s="1"/>
  <c r="GA3" i="5" s="1"/>
  <c r="GB3" i="5" s="1"/>
  <c r="GC3" i="5" s="1"/>
  <c r="GD3" i="5" s="1"/>
  <c r="GE3" i="5" s="1"/>
  <c r="GF3" i="5" s="1"/>
  <c r="GG3" i="5" s="1"/>
  <c r="GH3" i="5" s="1"/>
  <c r="GI3" i="5" s="1"/>
  <c r="GK3" i="5" s="1"/>
  <c r="GL3" i="5" s="1"/>
  <c r="GM3" i="5" s="1"/>
  <c r="GN3" i="5" s="1"/>
  <c r="GO3" i="5" s="1"/>
  <c r="GP3" i="5" s="1"/>
  <c r="GQ3" i="5" s="1"/>
  <c r="GR3" i="5" s="1"/>
  <c r="GS3" i="5" s="1"/>
  <c r="GT3" i="5" s="1"/>
  <c r="GU3" i="5" s="1"/>
  <c r="GV3" i="5" s="1"/>
  <c r="GW3" i="5" s="1"/>
  <c r="GX3" i="5" s="1"/>
  <c r="GY3" i="5" s="1"/>
  <c r="GZ3" i="5" s="1"/>
  <c r="HA3" i="5" s="1"/>
  <c r="HB3" i="5" s="1"/>
  <c r="HC3" i="5" s="1"/>
  <c r="HD3" i="5" s="1"/>
  <c r="HE3" i="5" s="1"/>
  <c r="HF3" i="5" s="1"/>
  <c r="HG3" i="5" s="1"/>
  <c r="HH3" i="5" s="1"/>
  <c r="HI3" i="5" s="1"/>
  <c r="HJ3" i="5" s="1"/>
  <c r="HK3" i="5" s="1"/>
  <c r="HL3" i="5" s="1"/>
  <c r="HM3" i="5" s="1"/>
  <c r="BN3" i="5"/>
  <c r="CR3" i="5" s="1"/>
  <c r="AJ3" i="5"/>
  <c r="IT77" i="4"/>
  <c r="IT76" i="4"/>
  <c r="IT75" i="4"/>
  <c r="IT74" i="4"/>
  <c r="IT73" i="4"/>
  <c r="IT72" i="4"/>
  <c r="IT71" i="4"/>
  <c r="AO71" i="4"/>
  <c r="IT70" i="4"/>
  <c r="IT69" i="4"/>
  <c r="IT68" i="4"/>
  <c r="IT67" i="4"/>
  <c r="IT66" i="4"/>
  <c r="AO66" i="4"/>
  <c r="IT65" i="4"/>
  <c r="AO65" i="4"/>
  <c r="IT64" i="4"/>
  <c r="AO64" i="4"/>
  <c r="IT63" i="4"/>
  <c r="AU63" i="4"/>
  <c r="AO63" i="4"/>
  <c r="AO67" i="4" s="1"/>
  <c r="AO70" i="4" s="1"/>
  <c r="AO73" i="4" s="1"/>
  <c r="IT62" i="4"/>
  <c r="AW62" i="4"/>
  <c r="AW64" i="4" s="1"/>
  <c r="AU62" i="4"/>
  <c r="AU64" i="4" s="1"/>
  <c r="KH61" i="4"/>
  <c r="IT61" i="4"/>
  <c r="IT60" i="4"/>
  <c r="YY59" i="4"/>
  <c r="ZA59" i="4" s="1"/>
  <c r="ZA61" i="4" s="1"/>
  <c r="IT59" i="4"/>
  <c r="ADW58" i="4"/>
  <c r="ADW60" i="4" s="1"/>
  <c r="ADU58" i="4"/>
  <c r="YW58" i="4"/>
  <c r="JD58" i="4"/>
  <c r="IT58" i="4"/>
  <c r="AOA57" i="4"/>
  <c r="AOA59" i="4" s="1"/>
  <c r="ANZ57" i="4"/>
  <c r="ANZ59" i="4" s="1"/>
  <c r="AOB59" i="4" s="1"/>
  <c r="YW57" i="4"/>
  <c r="JD57" i="4"/>
  <c r="IT57" i="4"/>
  <c r="CR57" i="4"/>
  <c r="AY57" i="4"/>
  <c r="AZ57" i="4" s="1"/>
  <c r="AX57" i="4"/>
  <c r="AT57" i="4"/>
  <c r="AN57" i="4"/>
  <c r="AO57" i="4" s="1"/>
  <c r="ANW56" i="4"/>
  <c r="ADZ56" i="4"/>
  <c r="ADZ58" i="4" s="1"/>
  <c r="YW56" i="4"/>
  <c r="JD56" i="4"/>
  <c r="IT56" i="4"/>
  <c r="DH56" i="4"/>
  <c r="Z56" i="4"/>
  <c r="Z58" i="4" s="1"/>
  <c r="ANU55" i="4"/>
  <c r="ANU57" i="4" s="1"/>
  <c r="ANO55" i="4"/>
  <c r="ANO57" i="4" s="1"/>
  <c r="ANN55" i="4"/>
  <c r="ANN57" i="4" s="1"/>
  <c r="ANP57" i="4" s="1"/>
  <c r="ANP59" i="4" s="1"/>
  <c r="YW55" i="4"/>
  <c r="YW59" i="4" s="1"/>
  <c r="IT55" i="4"/>
  <c r="DK55" i="4"/>
  <c r="DH55" i="4"/>
  <c r="DH57" i="4" s="1"/>
  <c r="CR55" i="4"/>
  <c r="BN55" i="4"/>
  <c r="BN57" i="4" s="1"/>
  <c r="BN59" i="4" s="1"/>
  <c r="AR55" i="4"/>
  <c r="AQ55" i="4"/>
  <c r="AS55" i="4" s="1"/>
  <c r="AMZ54" i="4"/>
  <c r="OJ54" i="4"/>
  <c r="IT54" i="4"/>
  <c r="AV54" i="4"/>
  <c r="AV56" i="4" s="1"/>
  <c r="AMZ53" i="4"/>
  <c r="AMZ55" i="4" s="1"/>
  <c r="IT53" i="4"/>
  <c r="AS53" i="4"/>
  <c r="IT52" i="4"/>
  <c r="AS52" i="4"/>
  <c r="LA51" i="4"/>
  <c r="IT51" i="4"/>
  <c r="BK51" i="4"/>
  <c r="IT50" i="4"/>
  <c r="IT49" i="4"/>
  <c r="AMY46" i="4"/>
  <c r="ALT46" i="4"/>
  <c r="AKN46" i="4"/>
  <c r="AJK46" i="4"/>
  <c r="AIE46" i="4"/>
  <c r="AFT46" i="4"/>
  <c r="AGY46" i="4" s="1"/>
  <c r="ADI46" i="4"/>
  <c r="AEN46" i="4" s="1"/>
  <c r="ACC46" i="4"/>
  <c r="ZR46" i="4"/>
  <c r="AAW46" i="4" s="1"/>
  <c r="YL46" i="4"/>
  <c r="XG46" i="4"/>
  <c r="UX46" i="4"/>
  <c r="WA46" i="4" s="1"/>
  <c r="TR46" i="4"/>
  <c r="SL46" i="4"/>
  <c r="RG46" i="4"/>
  <c r="QA46" i="4"/>
  <c r="OV46" i="4"/>
  <c r="NP46" i="4"/>
  <c r="MJ46" i="4"/>
  <c r="LE46" i="4"/>
  <c r="JY46" i="4"/>
  <c r="IT46" i="4"/>
  <c r="HN46" i="4"/>
  <c r="GJ46" i="4"/>
  <c r="CS46" i="4"/>
  <c r="AJ46" i="4"/>
  <c r="AI46" i="4"/>
  <c r="BM46" i="4" s="1"/>
  <c r="AB46" i="4"/>
  <c r="AA46" i="4"/>
  <c r="W46" i="4"/>
  <c r="Q46" i="4"/>
  <c r="M46" i="4"/>
  <c r="K46" i="4"/>
  <c r="C46" i="4"/>
  <c r="AMY44" i="4"/>
  <c r="ALT44" i="4"/>
  <c r="AKN44" i="4"/>
  <c r="AJK44" i="4"/>
  <c r="AIE44" i="4"/>
  <c r="AFT44" i="4"/>
  <c r="AGY44" i="4" s="1"/>
  <c r="ADI44" i="4"/>
  <c r="AEN44" i="4" s="1"/>
  <c r="ACC44" i="4"/>
  <c r="ZR44" i="4"/>
  <c r="AAW44" i="4" s="1"/>
  <c r="YL44" i="4"/>
  <c r="XG44" i="4"/>
  <c r="UX44" i="4"/>
  <c r="WA44" i="4" s="1"/>
  <c r="TR44" i="4"/>
  <c r="SL44" i="4"/>
  <c r="RG44" i="4"/>
  <c r="QA44" i="4"/>
  <c r="OV44" i="4"/>
  <c r="NP44" i="4"/>
  <c r="MJ44" i="4"/>
  <c r="LE44" i="4"/>
  <c r="JY44" i="4"/>
  <c r="IT44" i="4"/>
  <c r="HN44" i="4"/>
  <c r="GJ44" i="4"/>
  <c r="CS44" i="4"/>
  <c r="AMY41" i="4"/>
  <c r="ALT41" i="4"/>
  <c r="AKN41" i="4"/>
  <c r="AJK41" i="4"/>
  <c r="AIE41" i="4"/>
  <c r="AGY41" i="4"/>
  <c r="AFT41" i="4"/>
  <c r="AEN41" i="4"/>
  <c r="ADI41" i="4"/>
  <c r="ACC41" i="4"/>
  <c r="AAW41" i="4"/>
  <c r="ZR41" i="4"/>
  <c r="YL41" i="4"/>
  <c r="XG41" i="4"/>
  <c r="UX41" i="4"/>
  <c r="WA41" i="4" s="1"/>
  <c r="TR41" i="4"/>
  <c r="SL41" i="4"/>
  <c r="RG41" i="4"/>
  <c r="QA41" i="4"/>
  <c r="OV41" i="4"/>
  <c r="NP41" i="4"/>
  <c r="MJ41" i="4"/>
  <c r="LE41" i="4"/>
  <c r="JY41" i="4"/>
  <c r="IT41" i="4"/>
  <c r="HN41" i="4"/>
  <c r="GJ41" i="4"/>
  <c r="CS41" i="4"/>
  <c r="BM41" i="4"/>
  <c r="AH41" i="4"/>
  <c r="F40" i="4"/>
  <c r="F42" i="4" s="1"/>
  <c r="F43" i="4" s="1"/>
  <c r="E40" i="4"/>
  <c r="E42" i="4" s="1"/>
  <c r="E43" i="4" s="1"/>
  <c r="D40" i="4"/>
  <c r="D42" i="4" s="1"/>
  <c r="D43" i="4" s="1"/>
  <c r="C40" i="4"/>
  <c r="QB39" i="4"/>
  <c r="QB40" i="4" s="1"/>
  <c r="QB42" i="4" s="1"/>
  <c r="QB43" i="4" s="1"/>
  <c r="AOC38" i="4"/>
  <c r="AOB38" i="4"/>
  <c r="AOA38" i="4"/>
  <c r="ANZ38" i="4"/>
  <c r="ANY38" i="4"/>
  <c r="ANX38" i="4"/>
  <c r="ANW38" i="4"/>
  <c r="ANV38" i="4"/>
  <c r="ANU38" i="4"/>
  <c r="ANT38" i="4"/>
  <c r="ANS38" i="4"/>
  <c r="ANR38" i="4"/>
  <c r="ANQ38" i="4"/>
  <c r="ANP38" i="4"/>
  <c r="ANO38" i="4"/>
  <c r="ANN38" i="4"/>
  <c r="ANM38" i="4"/>
  <c r="ANL38" i="4"/>
  <c r="ANK38" i="4"/>
  <c r="ANJ38" i="4"/>
  <c r="ANI38" i="4"/>
  <c r="ANH38" i="4"/>
  <c r="ANG38" i="4"/>
  <c r="ANF38" i="4"/>
  <c r="ANE38" i="4"/>
  <c r="AND38" i="4"/>
  <c r="ANC38" i="4"/>
  <c r="ANB38" i="4"/>
  <c r="ANA38" i="4"/>
  <c r="AMZ38" i="4"/>
  <c r="AMX38" i="4"/>
  <c r="AMW38" i="4"/>
  <c r="AMV38" i="4"/>
  <c r="AMU38" i="4"/>
  <c r="AMT38" i="4"/>
  <c r="AMS38" i="4"/>
  <c r="AMR38" i="4"/>
  <c r="AMQ38" i="4"/>
  <c r="AMP38" i="4"/>
  <c r="AMO38" i="4"/>
  <c r="AMN38" i="4"/>
  <c r="AMM38" i="4"/>
  <c r="AML38" i="4"/>
  <c r="AMK38" i="4"/>
  <c r="AMJ38" i="4"/>
  <c r="AMI38" i="4"/>
  <c r="AMH38" i="4"/>
  <c r="AMG38" i="4"/>
  <c r="AMF38" i="4"/>
  <c r="AME38" i="4"/>
  <c r="AMD38" i="4"/>
  <c r="AMC38" i="4"/>
  <c r="AMB38" i="4"/>
  <c r="AMA38" i="4"/>
  <c r="ALZ38" i="4"/>
  <c r="ALY38" i="4"/>
  <c r="ALX38" i="4"/>
  <c r="ALW38" i="4"/>
  <c r="ALV38" i="4"/>
  <c r="ALU38" i="4"/>
  <c r="ALS38" i="4"/>
  <c r="ALR38" i="4"/>
  <c r="ALQ38" i="4"/>
  <c r="ALP38" i="4"/>
  <c r="ALO38" i="4"/>
  <c r="ALN38" i="4"/>
  <c r="ALM38" i="4"/>
  <c r="ALL38" i="4"/>
  <c r="ALK38" i="4"/>
  <c r="ALJ38" i="4"/>
  <c r="ALI38" i="4"/>
  <c r="ALH38" i="4"/>
  <c r="ALG38" i="4"/>
  <c r="ALF38" i="4"/>
  <c r="ALE38" i="4"/>
  <c r="ALD38" i="4"/>
  <c r="ALC38" i="4"/>
  <c r="ALB38" i="4"/>
  <c r="ALA38" i="4"/>
  <c r="AKZ38" i="4"/>
  <c r="AKY38" i="4"/>
  <c r="AKX38" i="4"/>
  <c r="AKW38" i="4"/>
  <c r="AKV38" i="4"/>
  <c r="AKU38" i="4"/>
  <c r="AKT38" i="4"/>
  <c r="AKS38" i="4"/>
  <c r="AKR38" i="4"/>
  <c r="AKQ38" i="4"/>
  <c r="AKP38" i="4"/>
  <c r="AKO38" i="4"/>
  <c r="AKM38" i="4"/>
  <c r="AKL38" i="4"/>
  <c r="AKK38" i="4"/>
  <c r="AKJ38" i="4"/>
  <c r="AKI38" i="4"/>
  <c r="AKH38" i="4"/>
  <c r="AKG38" i="4"/>
  <c r="AKF38" i="4"/>
  <c r="AKE38" i="4"/>
  <c r="AKD38" i="4"/>
  <c r="AKC38" i="4"/>
  <c r="AKB38" i="4"/>
  <c r="AKA38" i="4"/>
  <c r="AJZ38" i="4"/>
  <c r="AJY38" i="4"/>
  <c r="AJX38" i="4"/>
  <c r="AJW38" i="4"/>
  <c r="AJV38" i="4"/>
  <c r="AJU38" i="4"/>
  <c r="AJT38" i="4"/>
  <c r="AJS38" i="4"/>
  <c r="AJR38" i="4"/>
  <c r="AJQ38" i="4"/>
  <c r="AJP38" i="4"/>
  <c r="AJO38" i="4"/>
  <c r="AJN38" i="4"/>
  <c r="AJM38" i="4"/>
  <c r="AJL38" i="4"/>
  <c r="AJJ38" i="4"/>
  <c r="AJI38" i="4"/>
  <c r="AJH38" i="4"/>
  <c r="AJG38" i="4"/>
  <c r="AJF38" i="4"/>
  <c r="AJE38" i="4"/>
  <c r="AJD38" i="4"/>
  <c r="AJC38" i="4"/>
  <c r="AJB38" i="4"/>
  <c r="AJA38" i="4"/>
  <c r="AIZ38" i="4"/>
  <c r="AIY38" i="4"/>
  <c r="AIX38" i="4"/>
  <c r="AIW38" i="4"/>
  <c r="AIV38" i="4"/>
  <c r="AIU38" i="4"/>
  <c r="AIT38" i="4"/>
  <c r="AIS38" i="4"/>
  <c r="AIR38" i="4"/>
  <c r="AIQ38" i="4"/>
  <c r="AIP38" i="4"/>
  <c r="AIO38" i="4"/>
  <c r="AIN38" i="4"/>
  <c r="AIM38" i="4"/>
  <c r="AIL38" i="4"/>
  <c r="AIK38" i="4"/>
  <c r="AIJ38" i="4"/>
  <c r="AII38" i="4"/>
  <c r="AIH38" i="4"/>
  <c r="AIG38" i="4"/>
  <c r="AIF38" i="4"/>
  <c r="AID38" i="4"/>
  <c r="AIC38" i="4"/>
  <c r="AIB38" i="4"/>
  <c r="AIA38" i="4"/>
  <c r="AHZ38" i="4"/>
  <c r="AHY38" i="4"/>
  <c r="AHX38" i="4"/>
  <c r="AHW38" i="4"/>
  <c r="AHV38" i="4"/>
  <c r="AHU38" i="4"/>
  <c r="AHT38" i="4"/>
  <c r="AHS38" i="4"/>
  <c r="AHR38" i="4"/>
  <c r="AHQ38" i="4"/>
  <c r="AHP38" i="4"/>
  <c r="AHO38" i="4"/>
  <c r="AHN38" i="4"/>
  <c r="AHM38" i="4"/>
  <c r="AHL38" i="4"/>
  <c r="AHK38" i="4"/>
  <c r="AHJ38" i="4"/>
  <c r="AHI38" i="4"/>
  <c r="AHH38" i="4"/>
  <c r="AHG38" i="4"/>
  <c r="AHF38" i="4"/>
  <c r="AHE38" i="4"/>
  <c r="AHD38" i="4"/>
  <c r="AHC38" i="4"/>
  <c r="AHB38" i="4"/>
  <c r="AHA38" i="4"/>
  <c r="AGZ38" i="4"/>
  <c r="AGX38" i="4"/>
  <c r="AGW38" i="4"/>
  <c r="AGV38" i="4"/>
  <c r="AGU38" i="4"/>
  <c r="AGT38" i="4"/>
  <c r="AGS38" i="4"/>
  <c r="AGR38" i="4"/>
  <c r="AGQ38" i="4"/>
  <c r="AGP38" i="4"/>
  <c r="AGO38" i="4"/>
  <c r="AGN38" i="4"/>
  <c r="AGM38" i="4"/>
  <c r="AGL38" i="4"/>
  <c r="AGK38" i="4"/>
  <c r="AGJ38" i="4"/>
  <c r="AGI38" i="4"/>
  <c r="AGH38" i="4"/>
  <c r="AGG38" i="4"/>
  <c r="AGF38" i="4"/>
  <c r="AGE38" i="4"/>
  <c r="AGD38" i="4"/>
  <c r="AGC38" i="4"/>
  <c r="AGB38" i="4"/>
  <c r="AGA38" i="4"/>
  <c r="AFZ38" i="4"/>
  <c r="AFY38" i="4"/>
  <c r="AFX38" i="4"/>
  <c r="AFW38" i="4"/>
  <c r="AFV38" i="4"/>
  <c r="AFU38" i="4"/>
  <c r="AFS38" i="4"/>
  <c r="AFR38" i="4"/>
  <c r="AFQ38" i="4"/>
  <c r="AFP38" i="4"/>
  <c r="AFO38" i="4"/>
  <c r="AFN38" i="4"/>
  <c r="AFM38" i="4"/>
  <c r="AFL38" i="4"/>
  <c r="AFK38" i="4"/>
  <c r="AFJ38" i="4"/>
  <c r="AFI38" i="4"/>
  <c r="AFH38" i="4"/>
  <c r="AFG38" i="4"/>
  <c r="AFF38" i="4"/>
  <c r="AFE38" i="4"/>
  <c r="AFD38" i="4"/>
  <c r="AFC38" i="4"/>
  <c r="AFB38" i="4"/>
  <c r="AFA38" i="4"/>
  <c r="AEZ38" i="4"/>
  <c r="AEY38" i="4"/>
  <c r="AEX38" i="4"/>
  <c r="AEW38" i="4"/>
  <c r="AEV38" i="4"/>
  <c r="AEU38" i="4"/>
  <c r="AET38" i="4"/>
  <c r="AES38" i="4"/>
  <c r="AER38" i="4"/>
  <c r="AEQ38" i="4"/>
  <c r="AEP38" i="4"/>
  <c r="AEO38" i="4"/>
  <c r="AEM38" i="4"/>
  <c r="AEL38" i="4"/>
  <c r="AEK38" i="4"/>
  <c r="AEJ38" i="4"/>
  <c r="AEI38" i="4"/>
  <c r="AEH38" i="4"/>
  <c r="AEG38" i="4"/>
  <c r="AEF38" i="4"/>
  <c r="AEE38" i="4"/>
  <c r="AED38" i="4"/>
  <c r="AEC38" i="4"/>
  <c r="AEB38" i="4"/>
  <c r="AEA38" i="4"/>
  <c r="ADZ38" i="4"/>
  <c r="ADY38" i="4"/>
  <c r="ADX38" i="4"/>
  <c r="ADW38" i="4"/>
  <c r="ADV38" i="4"/>
  <c r="ADU38" i="4"/>
  <c r="ADT38" i="4"/>
  <c r="ADS38" i="4"/>
  <c r="ADR38" i="4"/>
  <c r="ADQ38" i="4"/>
  <c r="ADP38" i="4"/>
  <c r="ADO38" i="4"/>
  <c r="ADN38" i="4"/>
  <c r="ADM38" i="4"/>
  <c r="ADL38" i="4"/>
  <c r="ADK38" i="4"/>
  <c r="ADJ38" i="4"/>
  <c r="ADH38" i="4"/>
  <c r="ADG38" i="4"/>
  <c r="ADF38" i="4"/>
  <c r="ADE38" i="4"/>
  <c r="ADD38" i="4"/>
  <c r="ADC38" i="4"/>
  <c r="ADB38" i="4"/>
  <c r="ADA38" i="4"/>
  <c r="ACZ38" i="4"/>
  <c r="ACY38" i="4"/>
  <c r="ACX38" i="4"/>
  <c r="ACW38" i="4"/>
  <c r="ACV38" i="4"/>
  <c r="ACU38" i="4"/>
  <c r="ACT38" i="4"/>
  <c r="ACS38" i="4"/>
  <c r="ACR38" i="4"/>
  <c r="ACQ38" i="4"/>
  <c r="ACP38" i="4"/>
  <c r="ACO38" i="4"/>
  <c r="ACN38" i="4"/>
  <c r="ACM38" i="4"/>
  <c r="ACL38" i="4"/>
  <c r="ACK38" i="4"/>
  <c r="ACJ38" i="4"/>
  <c r="ACI38" i="4"/>
  <c r="ACH38" i="4"/>
  <c r="ACG38" i="4"/>
  <c r="ACF38" i="4"/>
  <c r="ACE38" i="4"/>
  <c r="ACD38" i="4"/>
  <c r="ACB38" i="4"/>
  <c r="ACA38" i="4"/>
  <c r="ABZ38" i="4"/>
  <c r="ABY38" i="4"/>
  <c r="ABX38" i="4"/>
  <c r="ABW38" i="4"/>
  <c r="ABV38" i="4"/>
  <c r="ABU38" i="4"/>
  <c r="ABT38" i="4"/>
  <c r="ABS38" i="4"/>
  <c r="ABR38" i="4"/>
  <c r="ABQ38" i="4"/>
  <c r="ABP38" i="4"/>
  <c r="ABO38" i="4"/>
  <c r="ABN38" i="4"/>
  <c r="ABM38" i="4"/>
  <c r="ABL38" i="4"/>
  <c r="ABK38" i="4"/>
  <c r="ABJ38" i="4"/>
  <c r="ABI38" i="4"/>
  <c r="ABH38" i="4"/>
  <c r="ABG38" i="4"/>
  <c r="ABF38" i="4"/>
  <c r="ABE38" i="4"/>
  <c r="ABD38" i="4"/>
  <c r="ABC38" i="4"/>
  <c r="ABB38" i="4"/>
  <c r="ABA38" i="4"/>
  <c r="AAZ38" i="4"/>
  <c r="AAY38" i="4"/>
  <c r="AAX38" i="4"/>
  <c r="AAV38" i="4"/>
  <c r="AAU38" i="4"/>
  <c r="AAT38" i="4"/>
  <c r="AAS38" i="4"/>
  <c r="AAR38" i="4"/>
  <c r="AAQ38" i="4"/>
  <c r="AAP38" i="4"/>
  <c r="AAO38" i="4"/>
  <c r="AAN38" i="4"/>
  <c r="AAM38" i="4"/>
  <c r="AAL38" i="4"/>
  <c r="AAK38" i="4"/>
  <c r="AAJ38" i="4"/>
  <c r="AAI38" i="4"/>
  <c r="AAH38" i="4"/>
  <c r="AAG38" i="4"/>
  <c r="AAF38" i="4"/>
  <c r="AAE38" i="4"/>
  <c r="AAD38" i="4"/>
  <c r="AAC38" i="4"/>
  <c r="AAB38" i="4"/>
  <c r="AAA38" i="4"/>
  <c r="ZZ38" i="4"/>
  <c r="ZY38" i="4"/>
  <c r="ZX38" i="4"/>
  <c r="ZW38" i="4"/>
  <c r="ZV38" i="4"/>
  <c r="ZU38" i="4"/>
  <c r="ZT38" i="4"/>
  <c r="ZS38" i="4"/>
  <c r="ZQ38" i="4"/>
  <c r="ZP38" i="4"/>
  <c r="ZO38" i="4"/>
  <c r="ZN38" i="4"/>
  <c r="ZM38" i="4"/>
  <c r="ZL38" i="4"/>
  <c r="ZK38" i="4"/>
  <c r="ZJ38" i="4"/>
  <c r="ZI38" i="4"/>
  <c r="ZH38" i="4"/>
  <c r="ZG38" i="4"/>
  <c r="ZF38" i="4"/>
  <c r="ZE38" i="4"/>
  <c r="ZD38" i="4"/>
  <c r="ZC38" i="4"/>
  <c r="ZB38" i="4"/>
  <c r="ZA38" i="4"/>
  <c r="YZ38" i="4"/>
  <c r="YY38" i="4"/>
  <c r="YX38" i="4"/>
  <c r="YW38" i="4"/>
  <c r="YV38" i="4"/>
  <c r="YU38" i="4"/>
  <c r="YT38" i="4"/>
  <c r="YS38" i="4"/>
  <c r="YR38" i="4"/>
  <c r="YQ38" i="4"/>
  <c r="YP38" i="4"/>
  <c r="YO38" i="4"/>
  <c r="YN38" i="4"/>
  <c r="YM38" i="4"/>
  <c r="YK38" i="4"/>
  <c r="YJ38" i="4"/>
  <c r="YI38" i="4"/>
  <c r="YH38" i="4"/>
  <c r="YG38" i="4"/>
  <c r="YF38" i="4"/>
  <c r="YE38" i="4"/>
  <c r="YD38" i="4"/>
  <c r="YC38" i="4"/>
  <c r="YB38" i="4"/>
  <c r="YA38" i="4"/>
  <c r="XZ38" i="4"/>
  <c r="XY38" i="4"/>
  <c r="XX38" i="4"/>
  <c r="XW38" i="4"/>
  <c r="XV38" i="4"/>
  <c r="XU38" i="4"/>
  <c r="XT38" i="4"/>
  <c r="XS38" i="4"/>
  <c r="XR38" i="4"/>
  <c r="XQ38" i="4"/>
  <c r="XP38" i="4"/>
  <c r="XO38" i="4"/>
  <c r="XN38" i="4"/>
  <c r="XM38" i="4"/>
  <c r="XL38" i="4"/>
  <c r="XK38" i="4"/>
  <c r="XJ38" i="4"/>
  <c r="XI38" i="4"/>
  <c r="XH38" i="4"/>
  <c r="XF38" i="4"/>
  <c r="XE38" i="4"/>
  <c r="XD38" i="4"/>
  <c r="XC38" i="4"/>
  <c r="XB38" i="4"/>
  <c r="XA38" i="4"/>
  <c r="WZ38" i="4"/>
  <c r="WY38" i="4"/>
  <c r="WX38" i="4"/>
  <c r="WW38" i="4"/>
  <c r="WV38" i="4"/>
  <c r="WU38" i="4"/>
  <c r="WT38" i="4"/>
  <c r="WS38" i="4"/>
  <c r="WR38" i="4"/>
  <c r="WQ38" i="4"/>
  <c r="WP38" i="4"/>
  <c r="WO38" i="4"/>
  <c r="WN38" i="4"/>
  <c r="WM38" i="4"/>
  <c r="WL38" i="4"/>
  <c r="WK38" i="4"/>
  <c r="WJ38" i="4"/>
  <c r="WI38" i="4"/>
  <c r="WH38" i="4"/>
  <c r="WG38" i="4"/>
  <c r="WF38" i="4"/>
  <c r="WE38" i="4"/>
  <c r="WD38" i="4"/>
  <c r="WC38" i="4"/>
  <c r="WB38" i="4"/>
  <c r="VZ38" i="4"/>
  <c r="VY38" i="4"/>
  <c r="VX38" i="4"/>
  <c r="VW38" i="4"/>
  <c r="VV38" i="4"/>
  <c r="VU38" i="4"/>
  <c r="VT38" i="4"/>
  <c r="VS38" i="4"/>
  <c r="VR38" i="4"/>
  <c r="VQ38" i="4"/>
  <c r="VP38" i="4"/>
  <c r="VO38" i="4"/>
  <c r="VN38" i="4"/>
  <c r="VM38" i="4"/>
  <c r="VL38" i="4"/>
  <c r="VK38" i="4"/>
  <c r="VJ38" i="4"/>
  <c r="VI38" i="4"/>
  <c r="VH38" i="4"/>
  <c r="VG38" i="4"/>
  <c r="VF38" i="4"/>
  <c r="VE38" i="4"/>
  <c r="VD38" i="4"/>
  <c r="VC38" i="4"/>
  <c r="VB38" i="4"/>
  <c r="VA38" i="4"/>
  <c r="UZ38" i="4"/>
  <c r="UY38" i="4"/>
  <c r="UW38" i="4"/>
  <c r="UV38" i="4"/>
  <c r="UU38" i="4"/>
  <c r="UT38" i="4"/>
  <c r="US38" i="4"/>
  <c r="UR38" i="4"/>
  <c r="UQ38" i="4"/>
  <c r="UP38" i="4"/>
  <c r="UO38" i="4"/>
  <c r="UN38" i="4"/>
  <c r="UM38" i="4"/>
  <c r="UL38" i="4"/>
  <c r="UK38" i="4"/>
  <c r="UJ38" i="4"/>
  <c r="UI38" i="4"/>
  <c r="UH38" i="4"/>
  <c r="UG38" i="4"/>
  <c r="UF38" i="4"/>
  <c r="UE38" i="4"/>
  <c r="UD38" i="4"/>
  <c r="UC38" i="4"/>
  <c r="UB38" i="4"/>
  <c r="UA38" i="4"/>
  <c r="TZ38" i="4"/>
  <c r="TY38" i="4"/>
  <c r="TX38" i="4"/>
  <c r="TW38" i="4"/>
  <c r="TV38" i="4"/>
  <c r="TU38" i="4"/>
  <c r="TT38" i="4"/>
  <c r="UX38" i="4" s="1"/>
  <c r="WA38" i="4" s="1"/>
  <c r="TS38" i="4"/>
  <c r="TQ38" i="4"/>
  <c r="TP38" i="4"/>
  <c r="TO38" i="4"/>
  <c r="TN38" i="4"/>
  <c r="TM38" i="4"/>
  <c r="TL38" i="4"/>
  <c r="TK38" i="4"/>
  <c r="TJ38" i="4"/>
  <c r="TI38" i="4"/>
  <c r="TH38" i="4"/>
  <c r="TG38" i="4"/>
  <c r="TF38" i="4"/>
  <c r="TE38" i="4"/>
  <c r="TD38" i="4"/>
  <c r="TC38" i="4"/>
  <c r="TB38" i="4"/>
  <c r="TA38" i="4"/>
  <c r="SZ38" i="4"/>
  <c r="SY38" i="4"/>
  <c r="SX38" i="4"/>
  <c r="SW38" i="4"/>
  <c r="SV38" i="4"/>
  <c r="SU38" i="4"/>
  <c r="ST38" i="4"/>
  <c r="SS38" i="4"/>
  <c r="SR38" i="4"/>
  <c r="SQ38" i="4"/>
  <c r="SP38" i="4"/>
  <c r="SO38" i="4"/>
  <c r="SN38" i="4"/>
  <c r="TR38" i="4" s="1"/>
  <c r="SM38" i="4"/>
  <c r="SK38" i="4"/>
  <c r="SJ38" i="4"/>
  <c r="SI38" i="4"/>
  <c r="SH38" i="4"/>
  <c r="SG38" i="4"/>
  <c r="SF38" i="4"/>
  <c r="SE38" i="4"/>
  <c r="SD38" i="4"/>
  <c r="SC38" i="4"/>
  <c r="SB38" i="4"/>
  <c r="SA38" i="4"/>
  <c r="RZ38" i="4"/>
  <c r="RY38" i="4"/>
  <c r="RX38" i="4"/>
  <c r="RW38" i="4"/>
  <c r="RV38" i="4"/>
  <c r="RU38" i="4"/>
  <c r="RT38" i="4"/>
  <c r="RS38" i="4"/>
  <c r="RR38" i="4"/>
  <c r="RQ38" i="4"/>
  <c r="RP38" i="4"/>
  <c r="RO38" i="4"/>
  <c r="RN38" i="4"/>
  <c r="RM38" i="4"/>
  <c r="RL38" i="4"/>
  <c r="RK38" i="4"/>
  <c r="RJ38" i="4"/>
  <c r="RI38" i="4"/>
  <c r="RH38" i="4"/>
  <c r="SL38" i="4" s="1"/>
  <c r="RF38" i="4"/>
  <c r="RE38" i="4"/>
  <c r="RD38" i="4"/>
  <c r="RC38" i="4"/>
  <c r="RB38" i="4"/>
  <c r="RA38" i="4"/>
  <c r="QZ38" i="4"/>
  <c r="QY38" i="4"/>
  <c r="QX38" i="4"/>
  <c r="QW38" i="4"/>
  <c r="QV38" i="4"/>
  <c r="QU38" i="4"/>
  <c r="QT38" i="4"/>
  <c r="QS38" i="4"/>
  <c r="QR38" i="4"/>
  <c r="QQ38" i="4"/>
  <c r="QP38" i="4"/>
  <c r="QO38" i="4"/>
  <c r="QN38" i="4"/>
  <c r="QM38" i="4"/>
  <c r="QL38" i="4"/>
  <c r="QK38" i="4"/>
  <c r="QJ38" i="4"/>
  <c r="QI38" i="4"/>
  <c r="QH38" i="4"/>
  <c r="QG38" i="4"/>
  <c r="QF38" i="4"/>
  <c r="QE38" i="4"/>
  <c r="QD38" i="4"/>
  <c r="QC38" i="4"/>
  <c r="RG38" i="4" s="1"/>
  <c r="QB38" i="4"/>
  <c r="PZ38" i="4"/>
  <c r="PY38" i="4"/>
  <c r="PX38" i="4"/>
  <c r="PW38" i="4"/>
  <c r="PV38" i="4"/>
  <c r="PU38" i="4"/>
  <c r="PT38" i="4"/>
  <c r="PS38" i="4"/>
  <c r="PR38" i="4"/>
  <c r="PQ38" i="4"/>
  <c r="PP38" i="4"/>
  <c r="PO38" i="4"/>
  <c r="PN38" i="4"/>
  <c r="PM38" i="4"/>
  <c r="PL38" i="4"/>
  <c r="PK38" i="4"/>
  <c r="PJ38" i="4"/>
  <c r="PI38" i="4"/>
  <c r="PH38" i="4"/>
  <c r="PG38" i="4"/>
  <c r="PF38" i="4"/>
  <c r="PE38" i="4"/>
  <c r="PD38" i="4"/>
  <c r="PC38" i="4"/>
  <c r="PB38" i="4"/>
  <c r="PA38" i="4"/>
  <c r="OZ38" i="4"/>
  <c r="OY38" i="4"/>
  <c r="OX38" i="4"/>
  <c r="OW38" i="4"/>
  <c r="QA38" i="4" s="1"/>
  <c r="OU38" i="4"/>
  <c r="OT38" i="4"/>
  <c r="OS38" i="4"/>
  <c r="OR38" i="4"/>
  <c r="OQ38" i="4"/>
  <c r="OP38" i="4"/>
  <c r="OO38" i="4"/>
  <c r="ON38" i="4"/>
  <c r="OM38" i="4"/>
  <c r="OL38" i="4"/>
  <c r="OK38" i="4"/>
  <c r="OJ38" i="4"/>
  <c r="OI38" i="4"/>
  <c r="OH38" i="4"/>
  <c r="OG38" i="4"/>
  <c r="OF38" i="4"/>
  <c r="OE38" i="4"/>
  <c r="OD38" i="4"/>
  <c r="OC38" i="4"/>
  <c r="OB38" i="4"/>
  <c r="OA38" i="4"/>
  <c r="NZ38" i="4"/>
  <c r="NY38" i="4"/>
  <c r="NX38" i="4"/>
  <c r="NW38" i="4"/>
  <c r="NV38" i="4"/>
  <c r="NU38" i="4"/>
  <c r="NT38" i="4"/>
  <c r="NS38" i="4"/>
  <c r="NR38" i="4"/>
  <c r="OV38" i="4" s="1"/>
  <c r="NQ38" i="4"/>
  <c r="NO38" i="4"/>
  <c r="NN38" i="4"/>
  <c r="NM38" i="4"/>
  <c r="NL38" i="4"/>
  <c r="NK38" i="4"/>
  <c r="NJ38" i="4"/>
  <c r="NI38" i="4"/>
  <c r="NH38" i="4"/>
  <c r="NG38" i="4"/>
  <c r="NF38" i="4"/>
  <c r="NE38" i="4"/>
  <c r="ND38" i="4"/>
  <c r="NC38" i="4"/>
  <c r="NB38" i="4"/>
  <c r="NA38" i="4"/>
  <c r="MZ38" i="4"/>
  <c r="MY38" i="4"/>
  <c r="MX38" i="4"/>
  <c r="MW38" i="4"/>
  <c r="MV38" i="4"/>
  <c r="MU38" i="4"/>
  <c r="MT38" i="4"/>
  <c r="MS38" i="4"/>
  <c r="MR38" i="4"/>
  <c r="MQ38" i="4"/>
  <c r="MP38" i="4"/>
  <c r="MO38" i="4"/>
  <c r="MN38" i="4"/>
  <c r="MM38" i="4"/>
  <c r="ML38" i="4"/>
  <c r="NP38" i="4" s="1"/>
  <c r="MK38" i="4"/>
  <c r="MI38" i="4"/>
  <c r="MH38" i="4"/>
  <c r="MG38" i="4"/>
  <c r="MF38" i="4"/>
  <c r="ME38" i="4"/>
  <c r="MD38" i="4"/>
  <c r="MC38" i="4"/>
  <c r="MB38" i="4"/>
  <c r="MA38" i="4"/>
  <c r="LZ38" i="4"/>
  <c r="LY38" i="4"/>
  <c r="LX38" i="4"/>
  <c r="LW38" i="4"/>
  <c r="LV38" i="4"/>
  <c r="LU38" i="4"/>
  <c r="LT38" i="4"/>
  <c r="LS38" i="4"/>
  <c r="LR38" i="4"/>
  <c r="LQ38" i="4"/>
  <c r="LP38" i="4"/>
  <c r="LO38" i="4"/>
  <c r="LN38" i="4"/>
  <c r="LM38" i="4"/>
  <c r="LL38" i="4"/>
  <c r="LK38" i="4"/>
  <c r="LJ38" i="4"/>
  <c r="LI38" i="4"/>
  <c r="LH38" i="4"/>
  <c r="LG38" i="4"/>
  <c r="LF38" i="4"/>
  <c r="MJ38" i="4" s="1"/>
  <c r="LD38" i="4"/>
  <c r="LC38" i="4"/>
  <c r="LB38" i="4"/>
  <c r="LA38" i="4"/>
  <c r="KZ38" i="4"/>
  <c r="KY38" i="4"/>
  <c r="KX38" i="4"/>
  <c r="KW38" i="4"/>
  <c r="KV38" i="4"/>
  <c r="KU38" i="4"/>
  <c r="KT38" i="4"/>
  <c r="KS38" i="4"/>
  <c r="KR38" i="4"/>
  <c r="KQ38" i="4"/>
  <c r="KP38" i="4"/>
  <c r="KO38" i="4"/>
  <c r="KN38" i="4"/>
  <c r="KM38" i="4"/>
  <c r="KL38" i="4"/>
  <c r="KK38" i="4"/>
  <c r="KJ38" i="4"/>
  <c r="KI38" i="4"/>
  <c r="KH38" i="4"/>
  <c r="KG38" i="4"/>
  <c r="KF38" i="4"/>
  <c r="KE38" i="4"/>
  <c r="KD38" i="4"/>
  <c r="KC38" i="4"/>
  <c r="KB38" i="4"/>
  <c r="KA38" i="4"/>
  <c r="LE38" i="4" s="1"/>
  <c r="JZ38" i="4"/>
  <c r="JX38" i="4"/>
  <c r="JW38" i="4"/>
  <c r="JV38" i="4"/>
  <c r="JU38" i="4"/>
  <c r="JT38" i="4"/>
  <c r="JS38" i="4"/>
  <c r="JR38" i="4"/>
  <c r="JQ38" i="4"/>
  <c r="JP38" i="4"/>
  <c r="JO38" i="4"/>
  <c r="JN38" i="4"/>
  <c r="JM38" i="4"/>
  <c r="JL38" i="4"/>
  <c r="JK38" i="4"/>
  <c r="JJ38" i="4"/>
  <c r="JI38" i="4"/>
  <c r="JH38" i="4"/>
  <c r="JG38" i="4"/>
  <c r="JF38" i="4"/>
  <c r="JE38" i="4"/>
  <c r="JD38" i="4"/>
  <c r="JC38" i="4"/>
  <c r="JB38" i="4"/>
  <c r="JA38" i="4"/>
  <c r="IZ38" i="4"/>
  <c r="IY38" i="4"/>
  <c r="IX38" i="4"/>
  <c r="IW38" i="4"/>
  <c r="IV38" i="4"/>
  <c r="IU38" i="4"/>
  <c r="JY38" i="4" s="1"/>
  <c r="IS38" i="4"/>
  <c r="IR38" i="4"/>
  <c r="IQ38" i="4"/>
  <c r="IP38" i="4"/>
  <c r="IO38" i="4"/>
  <c r="IN38" i="4"/>
  <c r="IM38" i="4"/>
  <c r="IL38" i="4"/>
  <c r="IK38" i="4"/>
  <c r="IJ38" i="4"/>
  <c r="II38" i="4"/>
  <c r="IH38" i="4"/>
  <c r="IG38" i="4"/>
  <c r="IF38" i="4"/>
  <c r="IE38" i="4"/>
  <c r="ID38" i="4"/>
  <c r="IC38" i="4"/>
  <c r="IB38" i="4"/>
  <c r="IA38" i="4"/>
  <c r="HZ38" i="4"/>
  <c r="HY38" i="4"/>
  <c r="HX38" i="4"/>
  <c r="HW38" i="4"/>
  <c r="HV38" i="4"/>
  <c r="HU38" i="4"/>
  <c r="HT38" i="4"/>
  <c r="HS38" i="4"/>
  <c r="HR38" i="4"/>
  <c r="HQ38" i="4"/>
  <c r="HP38" i="4"/>
  <c r="HO38" i="4"/>
  <c r="IT38" i="4" s="1"/>
  <c r="HM38" i="4"/>
  <c r="HL38" i="4"/>
  <c r="HK38" i="4"/>
  <c r="HJ38" i="4"/>
  <c r="HI38" i="4"/>
  <c r="HH38" i="4"/>
  <c r="HG38" i="4"/>
  <c r="HF38" i="4"/>
  <c r="HE38" i="4"/>
  <c r="HD38" i="4"/>
  <c r="HC38" i="4"/>
  <c r="HB38" i="4"/>
  <c r="HA38" i="4"/>
  <c r="GZ38" i="4"/>
  <c r="GY38" i="4"/>
  <c r="GX38" i="4"/>
  <c r="GW38" i="4"/>
  <c r="GV38" i="4"/>
  <c r="GU38" i="4"/>
  <c r="GT38" i="4"/>
  <c r="GS38" i="4"/>
  <c r="GR38" i="4"/>
  <c r="GQ38" i="4"/>
  <c r="GP38" i="4"/>
  <c r="GO38" i="4"/>
  <c r="GN38" i="4"/>
  <c r="GM38" i="4"/>
  <c r="GL38" i="4"/>
  <c r="GK38" i="4"/>
  <c r="HN38" i="4" s="1"/>
  <c r="GI38" i="4"/>
  <c r="GH38" i="4"/>
  <c r="GG38" i="4"/>
  <c r="GF38" i="4"/>
  <c r="GE38" i="4"/>
  <c r="GD38" i="4"/>
  <c r="GC38" i="4"/>
  <c r="GB38" i="4"/>
  <c r="GA38" i="4"/>
  <c r="FZ38" i="4"/>
  <c r="FY38" i="4"/>
  <c r="FX38" i="4"/>
  <c r="FW38" i="4"/>
  <c r="FV38" i="4"/>
  <c r="FU38" i="4"/>
  <c r="FT38" i="4"/>
  <c r="FS38" i="4"/>
  <c r="FR38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GJ38" i="4" s="1"/>
  <c r="FC38" i="4"/>
  <c r="FB38" i="4"/>
  <c r="FA38" i="4"/>
  <c r="EZ38" i="4"/>
  <c r="EY38" i="4"/>
  <c r="EX38" i="4"/>
  <c r="EW38" i="4"/>
  <c r="EV38" i="4"/>
  <c r="EU38" i="4"/>
  <c r="ET38" i="4"/>
  <c r="ES38" i="4"/>
  <c r="ER38" i="4"/>
  <c r="EQ38" i="4"/>
  <c r="EP38" i="4"/>
  <c r="EO38" i="4"/>
  <c r="EN38" i="4"/>
  <c r="EM38" i="4"/>
  <c r="EL38" i="4"/>
  <c r="EK38" i="4"/>
  <c r="EJ38" i="4"/>
  <c r="EI38" i="4"/>
  <c r="EH38" i="4"/>
  <c r="EG38" i="4"/>
  <c r="EF38" i="4"/>
  <c r="EE38" i="4"/>
  <c r="ED38" i="4"/>
  <c r="EC38" i="4"/>
  <c r="EB38" i="4"/>
  <c r="EA38" i="4"/>
  <c r="DZ38" i="4"/>
  <c r="DY38" i="4"/>
  <c r="DW38" i="4"/>
  <c r="DV38" i="4"/>
  <c r="DU38" i="4"/>
  <c r="DT38" i="4"/>
  <c r="DS38" i="4"/>
  <c r="DR38" i="4"/>
  <c r="DQ38" i="4"/>
  <c r="DP38" i="4"/>
  <c r="DO38" i="4"/>
  <c r="DN38" i="4"/>
  <c r="DM38" i="4"/>
  <c r="DL38" i="4"/>
  <c r="DK38" i="4"/>
  <c r="DJ38" i="4"/>
  <c r="DI38" i="4"/>
  <c r="DH38" i="4"/>
  <c r="DG38" i="4"/>
  <c r="DF38" i="4"/>
  <c r="DE38" i="4"/>
  <c r="DD38" i="4"/>
  <c r="DC38" i="4"/>
  <c r="DB38" i="4"/>
  <c r="DA38" i="4"/>
  <c r="CZ38" i="4"/>
  <c r="CY38" i="4"/>
  <c r="CX38" i="4"/>
  <c r="CW38" i="4"/>
  <c r="CV38" i="4"/>
  <c r="CU38" i="4"/>
  <c r="CT38" i="4"/>
  <c r="CR38" i="4"/>
  <c r="CQ38" i="4"/>
  <c r="CP38" i="4"/>
  <c r="CO38" i="4"/>
  <c r="CN38" i="4"/>
  <c r="CM38" i="4"/>
  <c r="CL38" i="4"/>
  <c r="CK38" i="4"/>
  <c r="CJ38" i="4"/>
  <c r="CI38" i="4"/>
  <c r="CH38" i="4"/>
  <c r="CG38" i="4"/>
  <c r="CF38" i="4"/>
  <c r="CE38" i="4"/>
  <c r="CD38" i="4"/>
  <c r="CC38" i="4"/>
  <c r="CB38" i="4"/>
  <c r="CA38" i="4"/>
  <c r="BZ38" i="4"/>
  <c r="BY38" i="4"/>
  <c r="BX38" i="4"/>
  <c r="BW38" i="4"/>
  <c r="BV38" i="4"/>
  <c r="BU38" i="4"/>
  <c r="BT38" i="4"/>
  <c r="BS38" i="4"/>
  <c r="BR38" i="4"/>
  <c r="BQ38" i="4"/>
  <c r="BP38" i="4"/>
  <c r="BO38" i="4"/>
  <c r="BN38" i="4"/>
  <c r="CS38" i="4" s="1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BM38" i="4" s="1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M38" i="4"/>
  <c r="K38" i="4"/>
  <c r="J38" i="4"/>
  <c r="I38" i="4"/>
  <c r="H38" i="4"/>
  <c r="G38" i="4"/>
  <c r="AH38" i="4" s="1"/>
  <c r="AMY37" i="4"/>
  <c r="ALT37" i="4"/>
  <c r="AKN37" i="4"/>
  <c r="AJK37" i="4"/>
  <c r="AIE37" i="4"/>
  <c r="AFT37" i="4"/>
  <c r="AGY37" i="4" s="1"/>
  <c r="ADI37" i="4"/>
  <c r="AEN37" i="4" s="1"/>
  <c r="ACC37" i="4"/>
  <c r="ZR37" i="4"/>
  <c r="AAW37" i="4" s="1"/>
  <c r="YL37" i="4"/>
  <c r="XG37" i="4"/>
  <c r="UX37" i="4"/>
  <c r="WA37" i="4" s="1"/>
  <c r="TR37" i="4"/>
  <c r="SL37" i="4"/>
  <c r="RG37" i="4"/>
  <c r="QA37" i="4"/>
  <c r="OV37" i="4"/>
  <c r="NP37" i="4"/>
  <c r="MJ37" i="4"/>
  <c r="LE37" i="4"/>
  <c r="JY37" i="4"/>
  <c r="IT37" i="4"/>
  <c r="HN37" i="4"/>
  <c r="GJ37" i="4"/>
  <c r="CS37" i="4"/>
  <c r="AMY34" i="4"/>
  <c r="ALT34" i="4"/>
  <c r="AKN34" i="4"/>
  <c r="AJK34" i="4"/>
  <c r="AIE34" i="4"/>
  <c r="AGY34" i="4"/>
  <c r="AFT34" i="4"/>
  <c r="AEN34" i="4"/>
  <c r="ADI34" i="4"/>
  <c r="ACC34" i="4"/>
  <c r="AAW34" i="4"/>
  <c r="ZR34" i="4"/>
  <c r="YL34" i="4"/>
  <c r="XG34" i="4"/>
  <c r="UX34" i="4"/>
  <c r="WA34" i="4" s="1"/>
  <c r="TR34" i="4"/>
  <c r="SL34" i="4"/>
  <c r="RG34" i="4"/>
  <c r="QA34" i="4"/>
  <c r="OV34" i="4"/>
  <c r="NP34" i="4"/>
  <c r="MJ34" i="4"/>
  <c r="LE34" i="4"/>
  <c r="JY34" i="4"/>
  <c r="IT34" i="4"/>
  <c r="HN34" i="4"/>
  <c r="GJ34" i="4"/>
  <c r="CS34" i="4"/>
  <c r="BM34" i="4"/>
  <c r="AH34" i="4"/>
  <c r="E33" i="4"/>
  <c r="E35" i="4" s="1"/>
  <c r="E36" i="4" s="1"/>
  <c r="D33" i="4"/>
  <c r="D35" i="4" s="1"/>
  <c r="D36" i="4" s="1"/>
  <c r="C33" i="4"/>
  <c r="AOC31" i="4"/>
  <c r="AOB31" i="4"/>
  <c r="AOA31" i="4"/>
  <c r="ANZ31" i="4"/>
  <c r="ANY31" i="4"/>
  <c r="ANX31" i="4"/>
  <c r="ANW31" i="4"/>
  <c r="ANV31" i="4"/>
  <c r="ANU31" i="4"/>
  <c r="ANT31" i="4"/>
  <c r="ANS31" i="4"/>
  <c r="ANR31" i="4"/>
  <c r="ANQ31" i="4"/>
  <c r="ANP31" i="4"/>
  <c r="ANO31" i="4"/>
  <c r="ANN31" i="4"/>
  <c r="ANM31" i="4"/>
  <c r="ANL31" i="4"/>
  <c r="ANK31" i="4"/>
  <c r="ANJ31" i="4"/>
  <c r="ANI31" i="4"/>
  <c r="ANH31" i="4"/>
  <c r="ANG31" i="4"/>
  <c r="ANF31" i="4"/>
  <c r="ANE31" i="4"/>
  <c r="AND31" i="4"/>
  <c r="ANC31" i="4"/>
  <c r="ANB31" i="4"/>
  <c r="ANA31" i="4"/>
  <c r="AMZ31" i="4"/>
  <c r="AMX31" i="4"/>
  <c r="AMW31" i="4"/>
  <c r="AMV31" i="4"/>
  <c r="AMU31" i="4"/>
  <c r="AMT31" i="4"/>
  <c r="AMS31" i="4"/>
  <c r="AMR31" i="4"/>
  <c r="AMQ31" i="4"/>
  <c r="AMP31" i="4"/>
  <c r="AMO31" i="4"/>
  <c r="AMN31" i="4"/>
  <c r="AMM31" i="4"/>
  <c r="AML31" i="4"/>
  <c r="AMK31" i="4"/>
  <c r="AMJ31" i="4"/>
  <c r="AMI31" i="4"/>
  <c r="AMH31" i="4"/>
  <c r="AMG31" i="4"/>
  <c r="AMF31" i="4"/>
  <c r="AME31" i="4"/>
  <c r="AMD31" i="4"/>
  <c r="AMC31" i="4"/>
  <c r="AMB31" i="4"/>
  <c r="AMA31" i="4"/>
  <c r="ALZ31" i="4"/>
  <c r="ALY31" i="4"/>
  <c r="ALX31" i="4"/>
  <c r="ALW31" i="4"/>
  <c r="ALV31" i="4"/>
  <c r="ALU31" i="4"/>
  <c r="ALS31" i="4"/>
  <c r="ALR31" i="4"/>
  <c r="ALQ31" i="4"/>
  <c r="ALP31" i="4"/>
  <c r="ALO31" i="4"/>
  <c r="ALN31" i="4"/>
  <c r="ALM31" i="4"/>
  <c r="ALL31" i="4"/>
  <c r="ALK31" i="4"/>
  <c r="ALJ31" i="4"/>
  <c r="ALI31" i="4"/>
  <c r="ALH31" i="4"/>
  <c r="ALG31" i="4"/>
  <c r="ALF31" i="4"/>
  <c r="ALE31" i="4"/>
  <c r="ALD31" i="4"/>
  <c r="ALC31" i="4"/>
  <c r="ALB31" i="4"/>
  <c r="ALA31" i="4"/>
  <c r="AKZ31" i="4"/>
  <c r="AKY31" i="4"/>
  <c r="AKX31" i="4"/>
  <c r="AKW31" i="4"/>
  <c r="AKV31" i="4"/>
  <c r="AKU31" i="4"/>
  <c r="AKT31" i="4"/>
  <c r="AKS31" i="4"/>
  <c r="AKR31" i="4"/>
  <c r="AKQ31" i="4"/>
  <c r="AKP31" i="4"/>
  <c r="AKO31" i="4"/>
  <c r="AKM31" i="4"/>
  <c r="AKL31" i="4"/>
  <c r="AKK31" i="4"/>
  <c r="AKJ31" i="4"/>
  <c r="AKI31" i="4"/>
  <c r="AKH31" i="4"/>
  <c r="AKG31" i="4"/>
  <c r="AKF31" i="4"/>
  <c r="AKE31" i="4"/>
  <c r="AKD31" i="4"/>
  <c r="AKC31" i="4"/>
  <c r="AKB31" i="4"/>
  <c r="AKA31" i="4"/>
  <c r="AJZ31" i="4"/>
  <c r="AJY31" i="4"/>
  <c r="AJX31" i="4"/>
  <c r="AJW31" i="4"/>
  <c r="AJV31" i="4"/>
  <c r="AJU31" i="4"/>
  <c r="AJT31" i="4"/>
  <c r="AJS31" i="4"/>
  <c r="AJR31" i="4"/>
  <c r="AJQ31" i="4"/>
  <c r="AJP31" i="4"/>
  <c r="AJO31" i="4"/>
  <c r="AJN31" i="4"/>
  <c r="AJM31" i="4"/>
  <c r="AJL31" i="4"/>
  <c r="AJJ31" i="4"/>
  <c r="AJI31" i="4"/>
  <c r="AJH31" i="4"/>
  <c r="AJG31" i="4"/>
  <c r="AJF31" i="4"/>
  <c r="AJE31" i="4"/>
  <c r="AJD31" i="4"/>
  <c r="AJC31" i="4"/>
  <c r="AJB31" i="4"/>
  <c r="AJA31" i="4"/>
  <c r="AIZ31" i="4"/>
  <c r="AIY31" i="4"/>
  <c r="AIX31" i="4"/>
  <c r="AIW31" i="4"/>
  <c r="AIV31" i="4"/>
  <c r="AIU31" i="4"/>
  <c r="AIT31" i="4"/>
  <c r="AIS31" i="4"/>
  <c r="AIR31" i="4"/>
  <c r="AIQ31" i="4"/>
  <c r="AIP31" i="4"/>
  <c r="AIO31" i="4"/>
  <c r="AIN31" i="4"/>
  <c r="AIM31" i="4"/>
  <c r="AIL31" i="4"/>
  <c r="AIK31" i="4"/>
  <c r="AIJ31" i="4"/>
  <c r="AII31" i="4"/>
  <c r="AIH31" i="4"/>
  <c r="AIG31" i="4"/>
  <c r="AIF31" i="4"/>
  <c r="AID31" i="4"/>
  <c r="AIC31" i="4"/>
  <c r="AIB31" i="4"/>
  <c r="AIA31" i="4"/>
  <c r="AHZ31" i="4"/>
  <c r="AHY31" i="4"/>
  <c r="AHX31" i="4"/>
  <c r="AHW31" i="4"/>
  <c r="AHV31" i="4"/>
  <c r="AHU31" i="4"/>
  <c r="AHT31" i="4"/>
  <c r="AHS31" i="4"/>
  <c r="AHR31" i="4"/>
  <c r="AHQ31" i="4"/>
  <c r="AHP31" i="4"/>
  <c r="AHO31" i="4"/>
  <c r="AHN31" i="4"/>
  <c r="AHM31" i="4"/>
  <c r="AHL31" i="4"/>
  <c r="AHK31" i="4"/>
  <c r="AHJ31" i="4"/>
  <c r="AHI31" i="4"/>
  <c r="AHH31" i="4"/>
  <c r="AHG31" i="4"/>
  <c r="AHF31" i="4"/>
  <c r="AHE31" i="4"/>
  <c r="AHD31" i="4"/>
  <c r="AHC31" i="4"/>
  <c r="AHB31" i="4"/>
  <c r="AHA31" i="4"/>
  <c r="AGZ31" i="4"/>
  <c r="AGX31" i="4"/>
  <c r="AGW31" i="4"/>
  <c r="AGV31" i="4"/>
  <c r="AGU31" i="4"/>
  <c r="AGT31" i="4"/>
  <c r="AGS31" i="4"/>
  <c r="AGR31" i="4"/>
  <c r="AGQ31" i="4"/>
  <c r="AGP31" i="4"/>
  <c r="AGO31" i="4"/>
  <c r="AGN31" i="4"/>
  <c r="AGM31" i="4"/>
  <c r="AGL31" i="4"/>
  <c r="AGK31" i="4"/>
  <c r="AGJ31" i="4"/>
  <c r="AGI31" i="4"/>
  <c r="AGH31" i="4"/>
  <c r="AGG31" i="4"/>
  <c r="AGF31" i="4"/>
  <c r="AGE31" i="4"/>
  <c r="AGD31" i="4"/>
  <c r="AGC31" i="4"/>
  <c r="AGB31" i="4"/>
  <c r="AGA31" i="4"/>
  <c r="AFZ31" i="4"/>
  <c r="AFY31" i="4"/>
  <c r="AFX31" i="4"/>
  <c r="AFW31" i="4"/>
  <c r="AFV31" i="4"/>
  <c r="AFU31" i="4"/>
  <c r="AFS31" i="4"/>
  <c r="AFR31" i="4"/>
  <c r="AFQ31" i="4"/>
  <c r="AFP31" i="4"/>
  <c r="AFO31" i="4"/>
  <c r="AFN31" i="4"/>
  <c r="AFM31" i="4"/>
  <c r="AFL31" i="4"/>
  <c r="AFK31" i="4"/>
  <c r="AFJ31" i="4"/>
  <c r="AFI31" i="4"/>
  <c r="AFH31" i="4"/>
  <c r="AFG31" i="4"/>
  <c r="AFF31" i="4"/>
  <c r="AFE31" i="4"/>
  <c r="AFD31" i="4"/>
  <c r="AFC31" i="4"/>
  <c r="AFB31" i="4"/>
  <c r="AFA31" i="4"/>
  <c r="AEZ31" i="4"/>
  <c r="AEY31" i="4"/>
  <c r="AEX31" i="4"/>
  <c r="AEW31" i="4"/>
  <c r="AEV31" i="4"/>
  <c r="AEU31" i="4"/>
  <c r="AET31" i="4"/>
  <c r="AES31" i="4"/>
  <c r="AER31" i="4"/>
  <c r="AEQ31" i="4"/>
  <c r="AEP31" i="4"/>
  <c r="AEO31" i="4"/>
  <c r="AEM31" i="4"/>
  <c r="AEL31" i="4"/>
  <c r="AEK31" i="4"/>
  <c r="AEJ31" i="4"/>
  <c r="AEI31" i="4"/>
  <c r="AEH31" i="4"/>
  <c r="AEG31" i="4"/>
  <c r="AEF31" i="4"/>
  <c r="AEE31" i="4"/>
  <c r="AED31" i="4"/>
  <c r="AEC31" i="4"/>
  <c r="AEB31" i="4"/>
  <c r="AEA31" i="4"/>
  <c r="ADZ31" i="4"/>
  <c r="ADY31" i="4"/>
  <c r="ADX31" i="4"/>
  <c r="ADW31" i="4"/>
  <c r="ADV31" i="4"/>
  <c r="ADU31" i="4"/>
  <c r="ADT31" i="4"/>
  <c r="ADS31" i="4"/>
  <c r="ADR31" i="4"/>
  <c r="ADQ31" i="4"/>
  <c r="ADP31" i="4"/>
  <c r="ADO31" i="4"/>
  <c r="ADN31" i="4"/>
  <c r="ADM31" i="4"/>
  <c r="ADL31" i="4"/>
  <c r="ADK31" i="4"/>
  <c r="ADJ31" i="4"/>
  <c r="ADH31" i="4"/>
  <c r="ADG31" i="4"/>
  <c r="ADF31" i="4"/>
  <c r="ADE31" i="4"/>
  <c r="ADD31" i="4"/>
  <c r="ADC31" i="4"/>
  <c r="ADB31" i="4"/>
  <c r="ADA31" i="4"/>
  <c r="ACZ31" i="4"/>
  <c r="ACY31" i="4"/>
  <c r="ACX31" i="4"/>
  <c r="ACW31" i="4"/>
  <c r="ACV31" i="4"/>
  <c r="ACU31" i="4"/>
  <c r="ACT31" i="4"/>
  <c r="ACS31" i="4"/>
  <c r="ACR31" i="4"/>
  <c r="ACQ31" i="4"/>
  <c r="ACP31" i="4"/>
  <c r="ACO31" i="4"/>
  <c r="ACN31" i="4"/>
  <c r="ACM31" i="4"/>
  <c r="ACL31" i="4"/>
  <c r="ACK31" i="4"/>
  <c r="ACJ31" i="4"/>
  <c r="ACI31" i="4"/>
  <c r="ACH31" i="4"/>
  <c r="ACG31" i="4"/>
  <c r="ACF31" i="4"/>
  <c r="ACE31" i="4"/>
  <c r="ACD31" i="4"/>
  <c r="ACB31" i="4"/>
  <c r="ACA31" i="4"/>
  <c r="ABZ31" i="4"/>
  <c r="ABY31" i="4"/>
  <c r="ABX31" i="4"/>
  <c r="ABW31" i="4"/>
  <c r="ABV31" i="4"/>
  <c r="ABU31" i="4"/>
  <c r="ABT31" i="4"/>
  <c r="ABS31" i="4"/>
  <c r="ABR31" i="4"/>
  <c r="ABQ31" i="4"/>
  <c r="ABP31" i="4"/>
  <c r="ABO31" i="4"/>
  <c r="ABN31" i="4"/>
  <c r="ABM31" i="4"/>
  <c r="ABL31" i="4"/>
  <c r="ABK31" i="4"/>
  <c r="ABJ31" i="4"/>
  <c r="ABI31" i="4"/>
  <c r="ABH31" i="4"/>
  <c r="ABG31" i="4"/>
  <c r="ABF31" i="4"/>
  <c r="ABE31" i="4"/>
  <c r="ABD31" i="4"/>
  <c r="ABC31" i="4"/>
  <c r="ABB31" i="4"/>
  <c r="ABA31" i="4"/>
  <c r="AAZ31" i="4"/>
  <c r="AAY31" i="4"/>
  <c r="AAX31" i="4"/>
  <c r="AAV31" i="4"/>
  <c r="AAU31" i="4"/>
  <c r="AAT31" i="4"/>
  <c r="AAS31" i="4"/>
  <c r="AAR31" i="4"/>
  <c r="AAQ31" i="4"/>
  <c r="AAP31" i="4"/>
  <c r="AAO31" i="4"/>
  <c r="AAN31" i="4"/>
  <c r="AAM31" i="4"/>
  <c r="AAL31" i="4"/>
  <c r="AAK31" i="4"/>
  <c r="AAJ31" i="4"/>
  <c r="AAI31" i="4"/>
  <c r="AAH31" i="4"/>
  <c r="AAG31" i="4"/>
  <c r="AAF31" i="4"/>
  <c r="AAE31" i="4"/>
  <c r="AAD31" i="4"/>
  <c r="AAC31" i="4"/>
  <c r="AAB31" i="4"/>
  <c r="AAA31" i="4"/>
  <c r="ZZ31" i="4"/>
  <c r="ZY31" i="4"/>
  <c r="ZX31" i="4"/>
  <c r="ZW31" i="4"/>
  <c r="ZV31" i="4"/>
  <c r="ZU31" i="4"/>
  <c r="ZT31" i="4"/>
  <c r="ZS31" i="4"/>
  <c r="ZQ31" i="4"/>
  <c r="ZP31" i="4"/>
  <c r="ZO31" i="4"/>
  <c r="ZN31" i="4"/>
  <c r="ZM31" i="4"/>
  <c r="ZL31" i="4"/>
  <c r="ZK31" i="4"/>
  <c r="ZJ31" i="4"/>
  <c r="ZI31" i="4"/>
  <c r="ZH31" i="4"/>
  <c r="ZG31" i="4"/>
  <c r="ZF31" i="4"/>
  <c r="ZE31" i="4"/>
  <c r="ZD31" i="4"/>
  <c r="ZC31" i="4"/>
  <c r="ZB31" i="4"/>
  <c r="ZA31" i="4"/>
  <c r="YZ31" i="4"/>
  <c r="YY31" i="4"/>
  <c r="YX31" i="4"/>
  <c r="YW31" i="4"/>
  <c r="YV31" i="4"/>
  <c r="YU31" i="4"/>
  <c r="YT31" i="4"/>
  <c r="YS31" i="4"/>
  <c r="YR31" i="4"/>
  <c r="YQ31" i="4"/>
  <c r="YP31" i="4"/>
  <c r="YO31" i="4"/>
  <c r="YN31" i="4"/>
  <c r="YM31" i="4"/>
  <c r="YK31" i="4"/>
  <c r="YJ31" i="4"/>
  <c r="YI31" i="4"/>
  <c r="YH31" i="4"/>
  <c r="YG31" i="4"/>
  <c r="YF31" i="4"/>
  <c r="YE31" i="4"/>
  <c r="YD31" i="4"/>
  <c r="YC31" i="4"/>
  <c r="YB31" i="4"/>
  <c r="YA31" i="4"/>
  <c r="XZ31" i="4"/>
  <c r="XY31" i="4"/>
  <c r="XX31" i="4"/>
  <c r="XW31" i="4"/>
  <c r="XV31" i="4"/>
  <c r="XU31" i="4"/>
  <c r="XT31" i="4"/>
  <c r="XS31" i="4"/>
  <c r="XR31" i="4"/>
  <c r="XQ31" i="4"/>
  <c r="XP31" i="4"/>
  <c r="XO31" i="4"/>
  <c r="XN31" i="4"/>
  <c r="XM31" i="4"/>
  <c r="XL31" i="4"/>
  <c r="XK31" i="4"/>
  <c r="XJ31" i="4"/>
  <c r="XI31" i="4"/>
  <c r="XH31" i="4"/>
  <c r="XF31" i="4"/>
  <c r="XE31" i="4"/>
  <c r="XD31" i="4"/>
  <c r="XC31" i="4"/>
  <c r="XB31" i="4"/>
  <c r="XA31" i="4"/>
  <c r="WZ31" i="4"/>
  <c r="WY31" i="4"/>
  <c r="WX31" i="4"/>
  <c r="WW31" i="4"/>
  <c r="WV31" i="4"/>
  <c r="WU31" i="4"/>
  <c r="WT31" i="4"/>
  <c r="WS31" i="4"/>
  <c r="WR31" i="4"/>
  <c r="WQ31" i="4"/>
  <c r="WP31" i="4"/>
  <c r="WO31" i="4"/>
  <c r="WN31" i="4"/>
  <c r="WM31" i="4"/>
  <c r="WL31" i="4"/>
  <c r="WK31" i="4"/>
  <c r="WJ31" i="4"/>
  <c r="WI31" i="4"/>
  <c r="WH31" i="4"/>
  <c r="WG31" i="4"/>
  <c r="WF31" i="4"/>
  <c r="WE31" i="4"/>
  <c r="WD31" i="4"/>
  <c r="WC31" i="4"/>
  <c r="WB31" i="4"/>
  <c r="VZ31" i="4"/>
  <c r="VY31" i="4"/>
  <c r="VX31" i="4"/>
  <c r="VW31" i="4"/>
  <c r="VV31" i="4"/>
  <c r="VU31" i="4"/>
  <c r="VT31" i="4"/>
  <c r="VS31" i="4"/>
  <c r="VR31" i="4"/>
  <c r="VQ31" i="4"/>
  <c r="VP31" i="4"/>
  <c r="VO31" i="4"/>
  <c r="VN31" i="4"/>
  <c r="VM31" i="4"/>
  <c r="VL31" i="4"/>
  <c r="VK31" i="4"/>
  <c r="VJ31" i="4"/>
  <c r="VI31" i="4"/>
  <c r="VH31" i="4"/>
  <c r="VG31" i="4"/>
  <c r="VF31" i="4"/>
  <c r="VE31" i="4"/>
  <c r="VD31" i="4"/>
  <c r="VC31" i="4"/>
  <c r="VB31" i="4"/>
  <c r="VA31" i="4"/>
  <c r="UZ31" i="4"/>
  <c r="UY31" i="4"/>
  <c r="UW31" i="4"/>
  <c r="UV31" i="4"/>
  <c r="UU31" i="4"/>
  <c r="UT31" i="4"/>
  <c r="US31" i="4"/>
  <c r="UR31" i="4"/>
  <c r="UQ31" i="4"/>
  <c r="UP31" i="4"/>
  <c r="UO31" i="4"/>
  <c r="UN31" i="4"/>
  <c r="UM31" i="4"/>
  <c r="UL31" i="4"/>
  <c r="UK31" i="4"/>
  <c r="UJ31" i="4"/>
  <c r="UI31" i="4"/>
  <c r="UH31" i="4"/>
  <c r="UG31" i="4"/>
  <c r="UF31" i="4"/>
  <c r="UE31" i="4"/>
  <c r="UD31" i="4"/>
  <c r="UC31" i="4"/>
  <c r="UB31" i="4"/>
  <c r="UA31" i="4"/>
  <c r="TZ31" i="4"/>
  <c r="TY31" i="4"/>
  <c r="TX31" i="4"/>
  <c r="TW31" i="4"/>
  <c r="TV31" i="4"/>
  <c r="TU31" i="4"/>
  <c r="TT31" i="4"/>
  <c r="TS31" i="4"/>
  <c r="TQ31" i="4"/>
  <c r="TP31" i="4"/>
  <c r="TO31" i="4"/>
  <c r="TN31" i="4"/>
  <c r="TM31" i="4"/>
  <c r="TL31" i="4"/>
  <c r="TK31" i="4"/>
  <c r="TJ31" i="4"/>
  <c r="TI31" i="4"/>
  <c r="TH31" i="4"/>
  <c r="TG31" i="4"/>
  <c r="TF31" i="4"/>
  <c r="TE31" i="4"/>
  <c r="TD31" i="4"/>
  <c r="TC31" i="4"/>
  <c r="TB31" i="4"/>
  <c r="TA31" i="4"/>
  <c r="SZ31" i="4"/>
  <c r="SY31" i="4"/>
  <c r="SX31" i="4"/>
  <c r="SW31" i="4"/>
  <c r="SV31" i="4"/>
  <c r="SU31" i="4"/>
  <c r="ST31" i="4"/>
  <c r="SS31" i="4"/>
  <c r="SR31" i="4"/>
  <c r="SQ31" i="4"/>
  <c r="SP31" i="4"/>
  <c r="SO31" i="4"/>
  <c r="SN31" i="4"/>
  <c r="SM31" i="4"/>
  <c r="SK31" i="4"/>
  <c r="SJ31" i="4"/>
  <c r="SI31" i="4"/>
  <c r="SH31" i="4"/>
  <c r="SG31" i="4"/>
  <c r="SF31" i="4"/>
  <c r="SE31" i="4"/>
  <c r="SD31" i="4"/>
  <c r="SC31" i="4"/>
  <c r="SB31" i="4"/>
  <c r="SA31" i="4"/>
  <c r="RZ31" i="4"/>
  <c r="RY31" i="4"/>
  <c r="RX31" i="4"/>
  <c r="RW31" i="4"/>
  <c r="RV31" i="4"/>
  <c r="RU31" i="4"/>
  <c r="RT31" i="4"/>
  <c r="RS31" i="4"/>
  <c r="RR31" i="4"/>
  <c r="RQ31" i="4"/>
  <c r="RP31" i="4"/>
  <c r="RO31" i="4"/>
  <c r="RN31" i="4"/>
  <c r="RM31" i="4"/>
  <c r="RL31" i="4"/>
  <c r="RK31" i="4"/>
  <c r="RJ31" i="4"/>
  <c r="RI31" i="4"/>
  <c r="RH31" i="4"/>
  <c r="RF31" i="4"/>
  <c r="RE31" i="4"/>
  <c r="RD31" i="4"/>
  <c r="RC31" i="4"/>
  <c r="RB31" i="4"/>
  <c r="RA31" i="4"/>
  <c r="QZ31" i="4"/>
  <c r="QY31" i="4"/>
  <c r="QX31" i="4"/>
  <c r="QW31" i="4"/>
  <c r="QV31" i="4"/>
  <c r="QU31" i="4"/>
  <c r="QT31" i="4"/>
  <c r="QS31" i="4"/>
  <c r="QR31" i="4"/>
  <c r="QQ31" i="4"/>
  <c r="QP31" i="4"/>
  <c r="QO31" i="4"/>
  <c r="QN31" i="4"/>
  <c r="QM31" i="4"/>
  <c r="QL31" i="4"/>
  <c r="QK31" i="4"/>
  <c r="QJ31" i="4"/>
  <c r="QI31" i="4"/>
  <c r="QH31" i="4"/>
  <c r="QG31" i="4"/>
  <c r="QF31" i="4"/>
  <c r="QE31" i="4"/>
  <c r="QD31" i="4"/>
  <c r="QC31" i="4"/>
  <c r="QB31" i="4"/>
  <c r="PZ31" i="4"/>
  <c r="PY31" i="4"/>
  <c r="PX31" i="4"/>
  <c r="PW31" i="4"/>
  <c r="PV31" i="4"/>
  <c r="PU31" i="4"/>
  <c r="PT31" i="4"/>
  <c r="PS31" i="4"/>
  <c r="PR31" i="4"/>
  <c r="PQ31" i="4"/>
  <c r="PP31" i="4"/>
  <c r="PO31" i="4"/>
  <c r="PN31" i="4"/>
  <c r="PM31" i="4"/>
  <c r="PL31" i="4"/>
  <c r="PK31" i="4"/>
  <c r="PJ31" i="4"/>
  <c r="PI31" i="4"/>
  <c r="PH31" i="4"/>
  <c r="PG31" i="4"/>
  <c r="PF31" i="4"/>
  <c r="PE31" i="4"/>
  <c r="PD31" i="4"/>
  <c r="PC31" i="4"/>
  <c r="PB31" i="4"/>
  <c r="PA31" i="4"/>
  <c r="OZ31" i="4"/>
  <c r="OY31" i="4"/>
  <c r="OX31" i="4"/>
  <c r="OW31" i="4"/>
  <c r="OU31" i="4"/>
  <c r="OT31" i="4"/>
  <c r="OS31" i="4"/>
  <c r="OR31" i="4"/>
  <c r="OQ31" i="4"/>
  <c r="OP31" i="4"/>
  <c r="OO31" i="4"/>
  <c r="ON31" i="4"/>
  <c r="OM31" i="4"/>
  <c r="OL31" i="4"/>
  <c r="OK31" i="4"/>
  <c r="OJ31" i="4"/>
  <c r="OI31" i="4"/>
  <c r="OH31" i="4"/>
  <c r="OG31" i="4"/>
  <c r="OF31" i="4"/>
  <c r="OE31" i="4"/>
  <c r="OD31" i="4"/>
  <c r="OC31" i="4"/>
  <c r="OB31" i="4"/>
  <c r="OA31" i="4"/>
  <c r="NZ31" i="4"/>
  <c r="NY31" i="4"/>
  <c r="NX31" i="4"/>
  <c r="NW31" i="4"/>
  <c r="NV31" i="4"/>
  <c r="NU31" i="4"/>
  <c r="NT31" i="4"/>
  <c r="NS31" i="4"/>
  <c r="NR31" i="4"/>
  <c r="NQ31" i="4"/>
  <c r="NO31" i="4"/>
  <c r="NN31" i="4"/>
  <c r="NM31" i="4"/>
  <c r="NL31" i="4"/>
  <c r="NK31" i="4"/>
  <c r="NJ31" i="4"/>
  <c r="NI31" i="4"/>
  <c r="NH31" i="4"/>
  <c r="NG31" i="4"/>
  <c r="NF31" i="4"/>
  <c r="NE31" i="4"/>
  <c r="ND31" i="4"/>
  <c r="NC31" i="4"/>
  <c r="NB31" i="4"/>
  <c r="NA31" i="4"/>
  <c r="MZ31" i="4"/>
  <c r="MY31" i="4"/>
  <c r="MX31" i="4"/>
  <c r="MW31" i="4"/>
  <c r="MV31" i="4"/>
  <c r="MU31" i="4"/>
  <c r="MT31" i="4"/>
  <c r="MS31" i="4"/>
  <c r="MR31" i="4"/>
  <c r="MQ31" i="4"/>
  <c r="MP31" i="4"/>
  <c r="MO31" i="4"/>
  <c r="MN31" i="4"/>
  <c r="MM31" i="4"/>
  <c r="ML31" i="4"/>
  <c r="MK31" i="4"/>
  <c r="MI31" i="4"/>
  <c r="MH31" i="4"/>
  <c r="MG31" i="4"/>
  <c r="MF31" i="4"/>
  <c r="ME31" i="4"/>
  <c r="MD31" i="4"/>
  <c r="MC31" i="4"/>
  <c r="MB31" i="4"/>
  <c r="MA31" i="4"/>
  <c r="LZ31" i="4"/>
  <c r="LY31" i="4"/>
  <c r="LX31" i="4"/>
  <c r="LW31" i="4"/>
  <c r="LV31" i="4"/>
  <c r="LU31" i="4"/>
  <c r="LT31" i="4"/>
  <c r="LS31" i="4"/>
  <c r="LR31" i="4"/>
  <c r="LQ31" i="4"/>
  <c r="LP31" i="4"/>
  <c r="LO31" i="4"/>
  <c r="LN31" i="4"/>
  <c r="LM31" i="4"/>
  <c r="LL31" i="4"/>
  <c r="LK31" i="4"/>
  <c r="LJ31" i="4"/>
  <c r="LI31" i="4"/>
  <c r="LH31" i="4"/>
  <c r="LG31" i="4"/>
  <c r="LF31" i="4"/>
  <c r="LD31" i="4"/>
  <c r="LC31" i="4"/>
  <c r="LB31" i="4"/>
  <c r="LA31" i="4"/>
  <c r="KZ31" i="4"/>
  <c r="KY31" i="4"/>
  <c r="KX31" i="4"/>
  <c r="KW31" i="4"/>
  <c r="KV31" i="4"/>
  <c r="KU31" i="4"/>
  <c r="KT31" i="4"/>
  <c r="KS31" i="4"/>
  <c r="KR31" i="4"/>
  <c r="KQ31" i="4"/>
  <c r="KP31" i="4"/>
  <c r="KO31" i="4"/>
  <c r="KN31" i="4"/>
  <c r="KM31" i="4"/>
  <c r="KL31" i="4"/>
  <c r="KK31" i="4"/>
  <c r="KJ31" i="4"/>
  <c r="KI31" i="4"/>
  <c r="KH31" i="4"/>
  <c r="KG31" i="4"/>
  <c r="KF31" i="4"/>
  <c r="KE31" i="4"/>
  <c r="KD31" i="4"/>
  <c r="KC31" i="4"/>
  <c r="KB31" i="4"/>
  <c r="KA31" i="4"/>
  <c r="JZ31" i="4"/>
  <c r="JX31" i="4"/>
  <c r="JW31" i="4"/>
  <c r="JV31" i="4"/>
  <c r="JU31" i="4"/>
  <c r="JT31" i="4"/>
  <c r="JS31" i="4"/>
  <c r="JR31" i="4"/>
  <c r="JQ31" i="4"/>
  <c r="JP31" i="4"/>
  <c r="JO31" i="4"/>
  <c r="JN31" i="4"/>
  <c r="JM31" i="4"/>
  <c r="JL31" i="4"/>
  <c r="JK31" i="4"/>
  <c r="JJ31" i="4"/>
  <c r="JI31" i="4"/>
  <c r="JH31" i="4"/>
  <c r="JG31" i="4"/>
  <c r="JF31" i="4"/>
  <c r="JE31" i="4"/>
  <c r="JD31" i="4"/>
  <c r="JC31" i="4"/>
  <c r="JB31" i="4"/>
  <c r="JA31" i="4"/>
  <c r="IZ31" i="4"/>
  <c r="IY31" i="4"/>
  <c r="IX31" i="4"/>
  <c r="IW31" i="4"/>
  <c r="IV31" i="4"/>
  <c r="IU31" i="4"/>
  <c r="IS31" i="4"/>
  <c r="IR31" i="4"/>
  <c r="IQ31" i="4"/>
  <c r="IP31" i="4"/>
  <c r="IO31" i="4"/>
  <c r="IN31" i="4"/>
  <c r="IM31" i="4"/>
  <c r="IL31" i="4"/>
  <c r="IK31" i="4"/>
  <c r="IJ31" i="4"/>
  <c r="II31" i="4"/>
  <c r="IH31" i="4"/>
  <c r="IG31" i="4"/>
  <c r="IF31" i="4"/>
  <c r="IE31" i="4"/>
  <c r="ID31" i="4"/>
  <c r="IC31" i="4"/>
  <c r="IB31" i="4"/>
  <c r="IA31" i="4"/>
  <c r="HZ31" i="4"/>
  <c r="HY31" i="4"/>
  <c r="HX31" i="4"/>
  <c r="HW31" i="4"/>
  <c r="HV31" i="4"/>
  <c r="HU31" i="4"/>
  <c r="HT31" i="4"/>
  <c r="HS31" i="4"/>
  <c r="HR31" i="4"/>
  <c r="HQ31" i="4"/>
  <c r="HP31" i="4"/>
  <c r="HO31" i="4"/>
  <c r="HM31" i="4"/>
  <c r="HL31" i="4"/>
  <c r="HK31" i="4"/>
  <c r="HJ31" i="4"/>
  <c r="HI31" i="4"/>
  <c r="HH31" i="4"/>
  <c r="HG31" i="4"/>
  <c r="HF31" i="4"/>
  <c r="HE31" i="4"/>
  <c r="HD31" i="4"/>
  <c r="HC31" i="4"/>
  <c r="HB31" i="4"/>
  <c r="HA31" i="4"/>
  <c r="GZ31" i="4"/>
  <c r="GY31" i="4"/>
  <c r="GX31" i="4"/>
  <c r="GW31" i="4"/>
  <c r="GV31" i="4"/>
  <c r="GU31" i="4"/>
  <c r="GT31" i="4"/>
  <c r="GS31" i="4"/>
  <c r="GR31" i="4"/>
  <c r="GQ31" i="4"/>
  <c r="GP31" i="4"/>
  <c r="GO31" i="4"/>
  <c r="GN31" i="4"/>
  <c r="GM31" i="4"/>
  <c r="GL31" i="4"/>
  <c r="GK31" i="4"/>
  <c r="GI31" i="4"/>
  <c r="GH31" i="4"/>
  <c r="GG31" i="4"/>
  <c r="GF31" i="4"/>
  <c r="GE31" i="4"/>
  <c r="GD31" i="4"/>
  <c r="GC31" i="4"/>
  <c r="GB31" i="4"/>
  <c r="GA31" i="4"/>
  <c r="FZ31" i="4"/>
  <c r="FY31" i="4"/>
  <c r="FX31" i="4"/>
  <c r="FW31" i="4"/>
  <c r="FV31" i="4"/>
  <c r="FU31" i="4"/>
  <c r="FT31" i="4"/>
  <c r="FS31" i="4"/>
  <c r="FR31" i="4"/>
  <c r="FQ31" i="4"/>
  <c r="FP31" i="4"/>
  <c r="FO31" i="4"/>
  <c r="FN31" i="4"/>
  <c r="FM31" i="4"/>
  <c r="FL31" i="4"/>
  <c r="FK31" i="4"/>
  <c r="FJ31" i="4"/>
  <c r="FI31" i="4"/>
  <c r="FH31" i="4"/>
  <c r="FG31" i="4"/>
  <c r="FF31" i="4"/>
  <c r="FE31" i="4"/>
  <c r="FC31" i="4"/>
  <c r="FB31" i="4"/>
  <c r="FA31" i="4"/>
  <c r="EZ31" i="4"/>
  <c r="EY31" i="4"/>
  <c r="EX31" i="4"/>
  <c r="EW31" i="4"/>
  <c r="EV31" i="4"/>
  <c r="EU31" i="4"/>
  <c r="ET31" i="4"/>
  <c r="ES31" i="4"/>
  <c r="ER31" i="4"/>
  <c r="EQ31" i="4"/>
  <c r="EP31" i="4"/>
  <c r="EO31" i="4"/>
  <c r="EN31" i="4"/>
  <c r="EM31" i="4"/>
  <c r="EL31" i="4"/>
  <c r="EK31" i="4"/>
  <c r="EJ31" i="4"/>
  <c r="EI31" i="4"/>
  <c r="EH31" i="4"/>
  <c r="EG31" i="4"/>
  <c r="EF31" i="4"/>
  <c r="EE31" i="4"/>
  <c r="ED31" i="4"/>
  <c r="EC31" i="4"/>
  <c r="EB31" i="4"/>
  <c r="EA31" i="4"/>
  <c r="DZ31" i="4"/>
  <c r="DY31" i="4"/>
  <c r="DW31" i="4"/>
  <c r="DV31" i="4"/>
  <c r="DU31" i="4"/>
  <c r="DT31" i="4"/>
  <c r="DS31" i="4"/>
  <c r="DR31" i="4"/>
  <c r="DQ31" i="4"/>
  <c r="DP31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CA31" i="4"/>
  <c r="BZ31" i="4"/>
  <c r="BY31" i="4"/>
  <c r="BX31" i="4"/>
  <c r="BW31" i="4"/>
  <c r="BV31" i="4"/>
  <c r="BU31" i="4"/>
  <c r="BT31" i="4"/>
  <c r="BS31" i="4"/>
  <c r="BR31" i="4"/>
  <c r="BQ31" i="4"/>
  <c r="BP31" i="4"/>
  <c r="BO31" i="4"/>
  <c r="BN31" i="4"/>
  <c r="BL31" i="4"/>
  <c r="BK31" i="4"/>
  <c r="BJ31" i="4"/>
  <c r="BI31" i="4"/>
  <c r="BH31" i="4"/>
  <c r="BG31" i="4"/>
  <c r="BF31" i="4"/>
  <c r="BE31" i="4"/>
  <c r="BD31" i="4"/>
  <c r="BC31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K31" i="4"/>
  <c r="J31" i="4"/>
  <c r="I31" i="4"/>
  <c r="H31" i="4"/>
  <c r="G31" i="4"/>
  <c r="F31" i="4"/>
  <c r="AMY29" i="4"/>
  <c r="ALT29" i="4"/>
  <c r="AKN29" i="4"/>
  <c r="AJK29" i="4"/>
  <c r="AIE29" i="4"/>
  <c r="AGY29" i="4"/>
  <c r="AFT29" i="4"/>
  <c r="AEN29" i="4"/>
  <c r="ADI29" i="4"/>
  <c r="ACC29" i="4"/>
  <c r="AAW29" i="4"/>
  <c r="ZR29" i="4"/>
  <c r="YL29" i="4"/>
  <c r="XG29" i="4"/>
  <c r="WA29" i="4"/>
  <c r="UX29" i="4"/>
  <c r="TR29" i="4"/>
  <c r="SL29" i="4"/>
  <c r="RG29" i="4"/>
  <c r="QA29" i="4"/>
  <c r="OV29" i="4"/>
  <c r="NP29" i="4"/>
  <c r="MJ29" i="4"/>
  <c r="LE29" i="4"/>
  <c r="JY29" i="4"/>
  <c r="IT29" i="4"/>
  <c r="HN29" i="4"/>
  <c r="GJ29" i="4"/>
  <c r="FD29" i="4"/>
  <c r="DX29" i="4"/>
  <c r="CS29" i="4"/>
  <c r="BM29" i="4"/>
  <c r="AH29" i="4"/>
  <c r="AMY27" i="4"/>
  <c r="ALT27" i="4"/>
  <c r="AKN27" i="4"/>
  <c r="AJK27" i="4"/>
  <c r="AIE27" i="4"/>
  <c r="AGY27" i="4"/>
  <c r="AFT27" i="4"/>
  <c r="AEN27" i="4"/>
  <c r="ADI27" i="4"/>
  <c r="ACC27" i="4"/>
  <c r="AAW27" i="4"/>
  <c r="ZR27" i="4"/>
  <c r="YL27" i="4"/>
  <c r="XG27" i="4"/>
  <c r="UX27" i="4"/>
  <c r="WA27" i="4" s="1"/>
  <c r="TR27" i="4"/>
  <c r="SL27" i="4"/>
  <c r="RG27" i="4"/>
  <c r="QA27" i="4"/>
  <c r="OV27" i="4"/>
  <c r="NP27" i="4"/>
  <c r="MJ27" i="4"/>
  <c r="LE27" i="4"/>
  <c r="JY27" i="4"/>
  <c r="IT27" i="4"/>
  <c r="GJ27" i="4"/>
  <c r="HN27" i="4" s="1"/>
  <c r="CS27" i="4"/>
  <c r="AMY25" i="4"/>
  <c r="ALT25" i="4"/>
  <c r="AKN25" i="4"/>
  <c r="AJK25" i="4"/>
  <c r="AIE25" i="4"/>
  <c r="AGY25" i="4"/>
  <c r="AFT25" i="4"/>
  <c r="AEN25" i="4"/>
  <c r="ADI25" i="4"/>
  <c r="ACC25" i="4"/>
  <c r="AAW25" i="4"/>
  <c r="ZR25" i="4"/>
  <c r="YL25" i="4"/>
  <c r="XG25" i="4"/>
  <c r="UX25" i="4"/>
  <c r="WA25" i="4" s="1"/>
  <c r="TR25" i="4"/>
  <c r="SL25" i="4"/>
  <c r="RG25" i="4"/>
  <c r="QA25" i="4"/>
  <c r="OV25" i="4"/>
  <c r="NP25" i="4"/>
  <c r="MJ25" i="4"/>
  <c r="LE25" i="4"/>
  <c r="JY25" i="4"/>
  <c r="IT25" i="4"/>
  <c r="HN25" i="4"/>
  <c r="GJ25" i="4"/>
  <c r="CS25" i="4"/>
  <c r="AOC24" i="4"/>
  <c r="AOB24" i="4"/>
  <c r="AOA24" i="4"/>
  <c r="ANZ24" i="4"/>
  <c r="ANY24" i="4"/>
  <c r="ANX24" i="4"/>
  <c r="ANW24" i="4"/>
  <c r="ANV24" i="4"/>
  <c r="ANU24" i="4"/>
  <c r="ANT24" i="4"/>
  <c r="ANS24" i="4"/>
  <c r="ANR24" i="4"/>
  <c r="ANQ24" i="4"/>
  <c r="ANP24" i="4"/>
  <c r="ANO24" i="4"/>
  <c r="ANN24" i="4"/>
  <c r="ANM24" i="4"/>
  <c r="ANL24" i="4"/>
  <c r="ANK24" i="4"/>
  <c r="ANJ24" i="4"/>
  <c r="ANI24" i="4"/>
  <c r="ANH24" i="4"/>
  <c r="ANG24" i="4"/>
  <c r="ANF24" i="4"/>
  <c r="ANE24" i="4"/>
  <c r="AND24" i="4"/>
  <c r="ANC24" i="4"/>
  <c r="ANB24" i="4"/>
  <c r="ANA24" i="4"/>
  <c r="AMZ24" i="4"/>
  <c r="AMX24" i="4"/>
  <c r="AMW24" i="4"/>
  <c r="AMV24" i="4"/>
  <c r="AMU24" i="4"/>
  <c r="AMT24" i="4"/>
  <c r="AMS24" i="4"/>
  <c r="AMR24" i="4"/>
  <c r="AMQ24" i="4"/>
  <c r="AMP24" i="4"/>
  <c r="AMO24" i="4"/>
  <c r="AMN24" i="4"/>
  <c r="AMM24" i="4"/>
  <c r="AML24" i="4"/>
  <c r="AMK24" i="4"/>
  <c r="AMJ24" i="4"/>
  <c r="AMI24" i="4"/>
  <c r="AMH24" i="4"/>
  <c r="AMG24" i="4"/>
  <c r="AMF24" i="4"/>
  <c r="AME24" i="4"/>
  <c r="AMD24" i="4"/>
  <c r="AMC24" i="4"/>
  <c r="AMB24" i="4"/>
  <c r="AMA24" i="4"/>
  <c r="ALZ24" i="4"/>
  <c r="ALY24" i="4"/>
  <c r="ALX24" i="4"/>
  <c r="ALW24" i="4"/>
  <c r="ALV24" i="4"/>
  <c r="ALU24" i="4"/>
  <c r="AMY24" i="4" s="1"/>
  <c r="ALS24" i="4"/>
  <c r="ALR24" i="4"/>
  <c r="ALQ24" i="4"/>
  <c r="ALP24" i="4"/>
  <c r="ALO24" i="4"/>
  <c r="ALN24" i="4"/>
  <c r="ALM24" i="4"/>
  <c r="ALL24" i="4"/>
  <c r="ALK24" i="4"/>
  <c r="ALJ24" i="4"/>
  <c r="ALI24" i="4"/>
  <c r="ALH24" i="4"/>
  <c r="ALG24" i="4"/>
  <c r="ALF24" i="4"/>
  <c r="ALE24" i="4"/>
  <c r="ALD24" i="4"/>
  <c r="ALC24" i="4"/>
  <c r="ALB24" i="4"/>
  <c r="ALA24" i="4"/>
  <c r="AKZ24" i="4"/>
  <c r="AKY24" i="4"/>
  <c r="AKX24" i="4"/>
  <c r="AKW24" i="4"/>
  <c r="AKV24" i="4"/>
  <c r="AKU24" i="4"/>
  <c r="AKT24" i="4"/>
  <c r="AKS24" i="4"/>
  <c r="AKR24" i="4"/>
  <c r="AKQ24" i="4"/>
  <c r="AKP24" i="4"/>
  <c r="AKO24" i="4"/>
  <c r="ALT24" i="4" s="1"/>
  <c r="AKM24" i="4"/>
  <c r="AKL24" i="4"/>
  <c r="AKK24" i="4"/>
  <c r="AKJ24" i="4"/>
  <c r="AKI24" i="4"/>
  <c r="AKH24" i="4"/>
  <c r="AKG24" i="4"/>
  <c r="AKF24" i="4"/>
  <c r="AKE24" i="4"/>
  <c r="AKD24" i="4"/>
  <c r="AKC24" i="4"/>
  <c r="AKB24" i="4"/>
  <c r="AKA24" i="4"/>
  <c r="AJZ24" i="4"/>
  <c r="AJY24" i="4"/>
  <c r="AJX24" i="4"/>
  <c r="AJW24" i="4"/>
  <c r="AJV24" i="4"/>
  <c r="AJU24" i="4"/>
  <c r="AJT24" i="4"/>
  <c r="AJS24" i="4"/>
  <c r="AJR24" i="4"/>
  <c r="AJQ24" i="4"/>
  <c r="AJP24" i="4"/>
  <c r="AJO24" i="4"/>
  <c r="AJN24" i="4"/>
  <c r="AJM24" i="4"/>
  <c r="AJL24" i="4"/>
  <c r="AKN24" i="4" s="1"/>
  <c r="AJJ24" i="4"/>
  <c r="AJI24" i="4"/>
  <c r="AJH24" i="4"/>
  <c r="AJG24" i="4"/>
  <c r="AJF24" i="4"/>
  <c r="AJE24" i="4"/>
  <c r="AJD24" i="4"/>
  <c r="AJC24" i="4"/>
  <c r="AJB24" i="4"/>
  <c r="AJA24" i="4"/>
  <c r="AIZ24" i="4"/>
  <c r="AIY24" i="4"/>
  <c r="AIX24" i="4"/>
  <c r="AIW24" i="4"/>
  <c r="AIV24" i="4"/>
  <c r="AIU24" i="4"/>
  <c r="AIT24" i="4"/>
  <c r="AIS24" i="4"/>
  <c r="AIR24" i="4"/>
  <c r="AIQ24" i="4"/>
  <c r="AIP24" i="4"/>
  <c r="AIO24" i="4"/>
  <c r="AIN24" i="4"/>
  <c r="AIM24" i="4"/>
  <c r="AIL24" i="4"/>
  <c r="AIK24" i="4"/>
  <c r="AIJ24" i="4"/>
  <c r="AII24" i="4"/>
  <c r="AIH24" i="4"/>
  <c r="AIG24" i="4"/>
  <c r="AIF24" i="4"/>
  <c r="AJK24" i="4" s="1"/>
  <c r="AID24" i="4"/>
  <c r="AIC24" i="4"/>
  <c r="AIB24" i="4"/>
  <c r="AIA24" i="4"/>
  <c r="AHZ24" i="4"/>
  <c r="AHY24" i="4"/>
  <c r="AHX24" i="4"/>
  <c r="AHW24" i="4"/>
  <c r="AHV24" i="4"/>
  <c r="AHU24" i="4"/>
  <c r="AHT24" i="4"/>
  <c r="AHS24" i="4"/>
  <c r="AHR24" i="4"/>
  <c r="AHQ24" i="4"/>
  <c r="AHP24" i="4"/>
  <c r="AHO24" i="4"/>
  <c r="AHN24" i="4"/>
  <c r="AHM24" i="4"/>
  <c r="AHL24" i="4"/>
  <c r="AHK24" i="4"/>
  <c r="AHJ24" i="4"/>
  <c r="AHI24" i="4"/>
  <c r="AHH24" i="4"/>
  <c r="AHG24" i="4"/>
  <c r="AHF24" i="4"/>
  <c r="AHE24" i="4"/>
  <c r="AHD24" i="4"/>
  <c r="AHC24" i="4"/>
  <c r="AHB24" i="4"/>
  <c r="AHA24" i="4"/>
  <c r="AGZ24" i="4"/>
  <c r="AIE24" i="4" s="1"/>
  <c r="AGX24" i="4"/>
  <c r="AGW24" i="4"/>
  <c r="AGV24" i="4"/>
  <c r="AGU24" i="4"/>
  <c r="AGT24" i="4"/>
  <c r="AGS24" i="4"/>
  <c r="AGR24" i="4"/>
  <c r="AGQ24" i="4"/>
  <c r="AGP24" i="4"/>
  <c r="AGO24" i="4"/>
  <c r="AGN24" i="4"/>
  <c r="AGM24" i="4"/>
  <c r="AGL24" i="4"/>
  <c r="AGK24" i="4"/>
  <c r="AGJ24" i="4"/>
  <c r="AGI24" i="4"/>
  <c r="AGH24" i="4"/>
  <c r="AGG24" i="4"/>
  <c r="AGF24" i="4"/>
  <c r="AGE24" i="4"/>
  <c r="AGD24" i="4"/>
  <c r="AGC24" i="4"/>
  <c r="AGB24" i="4"/>
  <c r="AGA24" i="4"/>
  <c r="AFZ24" i="4"/>
  <c r="AFY24" i="4"/>
  <c r="AFX24" i="4"/>
  <c r="AFW24" i="4"/>
  <c r="AFV24" i="4"/>
  <c r="AFU24" i="4"/>
  <c r="AGY24" i="4" s="1"/>
  <c r="AFS24" i="4"/>
  <c r="AFR24" i="4"/>
  <c r="AFQ24" i="4"/>
  <c r="AFP24" i="4"/>
  <c r="AFO24" i="4"/>
  <c r="AFN24" i="4"/>
  <c r="AFM24" i="4"/>
  <c r="AFL24" i="4"/>
  <c r="AFK24" i="4"/>
  <c r="AFJ24" i="4"/>
  <c r="AFI24" i="4"/>
  <c r="AFH24" i="4"/>
  <c r="AFG24" i="4"/>
  <c r="AFF24" i="4"/>
  <c r="AFE24" i="4"/>
  <c r="AFD24" i="4"/>
  <c r="AFC24" i="4"/>
  <c r="AFB24" i="4"/>
  <c r="AFA24" i="4"/>
  <c r="AEZ24" i="4"/>
  <c r="AEY24" i="4"/>
  <c r="AEX24" i="4"/>
  <c r="AEW24" i="4"/>
  <c r="AEV24" i="4"/>
  <c r="AEU24" i="4"/>
  <c r="AET24" i="4"/>
  <c r="AES24" i="4"/>
  <c r="AER24" i="4"/>
  <c r="AEQ24" i="4"/>
  <c r="AEP24" i="4"/>
  <c r="AEO24" i="4"/>
  <c r="AFT24" i="4" s="1"/>
  <c r="AEM24" i="4"/>
  <c r="AEL24" i="4"/>
  <c r="AEK24" i="4"/>
  <c r="AEJ24" i="4"/>
  <c r="AEI24" i="4"/>
  <c r="AEH24" i="4"/>
  <c r="AEG24" i="4"/>
  <c r="AEF24" i="4"/>
  <c r="AEE24" i="4"/>
  <c r="AED24" i="4"/>
  <c r="AEC24" i="4"/>
  <c r="AEB24" i="4"/>
  <c r="AEA24" i="4"/>
  <c r="ADZ24" i="4"/>
  <c r="ADY24" i="4"/>
  <c r="ADX24" i="4"/>
  <c r="ADW24" i="4"/>
  <c r="ADV24" i="4"/>
  <c r="ADU24" i="4"/>
  <c r="ADT24" i="4"/>
  <c r="ADS24" i="4"/>
  <c r="ADR24" i="4"/>
  <c r="ADQ24" i="4"/>
  <c r="ADP24" i="4"/>
  <c r="ADO24" i="4"/>
  <c r="ADN24" i="4"/>
  <c r="ADM24" i="4"/>
  <c r="ADL24" i="4"/>
  <c r="ADK24" i="4"/>
  <c r="ADJ24" i="4"/>
  <c r="AEN24" i="4" s="1"/>
  <c r="ADH24" i="4"/>
  <c r="ADG24" i="4"/>
  <c r="ADF24" i="4"/>
  <c r="ADE24" i="4"/>
  <c r="ADD24" i="4"/>
  <c r="ADC24" i="4"/>
  <c r="ADB24" i="4"/>
  <c r="ADA24" i="4"/>
  <c r="ACZ24" i="4"/>
  <c r="ACY24" i="4"/>
  <c r="ACX24" i="4"/>
  <c r="ACW24" i="4"/>
  <c r="ACV24" i="4"/>
  <c r="ACU24" i="4"/>
  <c r="ACT24" i="4"/>
  <c r="ACS24" i="4"/>
  <c r="ACR24" i="4"/>
  <c r="ACQ24" i="4"/>
  <c r="ACP24" i="4"/>
  <c r="ACO24" i="4"/>
  <c r="ACN24" i="4"/>
  <c r="ACM24" i="4"/>
  <c r="ACL24" i="4"/>
  <c r="ACK24" i="4"/>
  <c r="ACJ24" i="4"/>
  <c r="ACI24" i="4"/>
  <c r="ACH24" i="4"/>
  <c r="ACG24" i="4"/>
  <c r="ACF24" i="4"/>
  <c r="ACE24" i="4"/>
  <c r="ACD24" i="4"/>
  <c r="ADI24" i="4" s="1"/>
  <c r="ACB24" i="4"/>
  <c r="ACA24" i="4"/>
  <c r="ABZ24" i="4"/>
  <c r="ABY24" i="4"/>
  <c r="ABX24" i="4"/>
  <c r="ABW24" i="4"/>
  <c r="ABV24" i="4"/>
  <c r="ABU24" i="4"/>
  <c r="ABT24" i="4"/>
  <c r="ABS24" i="4"/>
  <c r="ABR24" i="4"/>
  <c r="ABQ24" i="4"/>
  <c r="ABP24" i="4"/>
  <c r="ABO24" i="4"/>
  <c r="ABN24" i="4"/>
  <c r="ABM24" i="4"/>
  <c r="ABL24" i="4"/>
  <c r="ABK24" i="4"/>
  <c r="ABJ24" i="4"/>
  <c r="ABI24" i="4"/>
  <c r="ABH24" i="4"/>
  <c r="ABG24" i="4"/>
  <c r="ABF24" i="4"/>
  <c r="ABE24" i="4"/>
  <c r="ABD24" i="4"/>
  <c r="ABC24" i="4"/>
  <c r="ABB24" i="4"/>
  <c r="ABA24" i="4"/>
  <c r="AAZ24" i="4"/>
  <c r="AAY24" i="4"/>
  <c r="AAX24" i="4"/>
  <c r="ACC24" i="4" s="1"/>
  <c r="AAV24" i="4"/>
  <c r="AAU24" i="4"/>
  <c r="AAT24" i="4"/>
  <c r="AAS24" i="4"/>
  <c r="AAR24" i="4"/>
  <c r="AAQ24" i="4"/>
  <c r="AAP24" i="4"/>
  <c r="AAO24" i="4"/>
  <c r="AAN24" i="4"/>
  <c r="AAM24" i="4"/>
  <c r="AAL24" i="4"/>
  <c r="AAK24" i="4"/>
  <c r="AAJ24" i="4"/>
  <c r="AAI24" i="4"/>
  <c r="AAH24" i="4"/>
  <c r="AAG24" i="4"/>
  <c r="AAF24" i="4"/>
  <c r="AAE24" i="4"/>
  <c r="AAD24" i="4"/>
  <c r="AAC24" i="4"/>
  <c r="AAB24" i="4"/>
  <c r="AAA24" i="4"/>
  <c r="ZZ24" i="4"/>
  <c r="ZY24" i="4"/>
  <c r="ZX24" i="4"/>
  <c r="ZW24" i="4"/>
  <c r="ZV24" i="4"/>
  <c r="ZU24" i="4"/>
  <c r="ZT24" i="4"/>
  <c r="ZS24" i="4"/>
  <c r="AAW24" i="4" s="1"/>
  <c r="ZQ24" i="4"/>
  <c r="ZP24" i="4"/>
  <c r="ZO24" i="4"/>
  <c r="ZN24" i="4"/>
  <c r="ZM24" i="4"/>
  <c r="ZL24" i="4"/>
  <c r="ZK24" i="4"/>
  <c r="ZJ24" i="4"/>
  <c r="ZI24" i="4"/>
  <c r="ZH24" i="4"/>
  <c r="ZG24" i="4"/>
  <c r="ZF24" i="4"/>
  <c r="ZE24" i="4"/>
  <c r="ZD24" i="4"/>
  <c r="ZC24" i="4"/>
  <c r="ZB24" i="4"/>
  <c r="ZA24" i="4"/>
  <c r="YZ24" i="4"/>
  <c r="YY24" i="4"/>
  <c r="YX24" i="4"/>
  <c r="YW24" i="4"/>
  <c r="YV24" i="4"/>
  <c r="YU24" i="4"/>
  <c r="YT24" i="4"/>
  <c r="YS24" i="4"/>
  <c r="YR24" i="4"/>
  <c r="YQ24" i="4"/>
  <c r="YP24" i="4"/>
  <c r="YO24" i="4"/>
  <c r="YN24" i="4"/>
  <c r="YM24" i="4"/>
  <c r="ZR24" i="4" s="1"/>
  <c r="YK24" i="4"/>
  <c r="YJ24" i="4"/>
  <c r="YI24" i="4"/>
  <c r="YH24" i="4"/>
  <c r="YG24" i="4"/>
  <c r="YF24" i="4"/>
  <c r="YE24" i="4"/>
  <c r="YD24" i="4"/>
  <c r="YC24" i="4"/>
  <c r="YB24" i="4"/>
  <c r="YA24" i="4"/>
  <c r="XZ24" i="4"/>
  <c r="XY24" i="4"/>
  <c r="XX24" i="4"/>
  <c r="XW24" i="4"/>
  <c r="XV24" i="4"/>
  <c r="XU24" i="4"/>
  <c r="XT24" i="4"/>
  <c r="XS24" i="4"/>
  <c r="XR24" i="4"/>
  <c r="XQ24" i="4"/>
  <c r="XP24" i="4"/>
  <c r="XO24" i="4"/>
  <c r="XN24" i="4"/>
  <c r="XM24" i="4"/>
  <c r="XL24" i="4"/>
  <c r="XK24" i="4"/>
  <c r="XJ24" i="4"/>
  <c r="XI24" i="4"/>
  <c r="XH24" i="4"/>
  <c r="YL24" i="4" s="1"/>
  <c r="XF24" i="4"/>
  <c r="XE24" i="4"/>
  <c r="XD24" i="4"/>
  <c r="XC24" i="4"/>
  <c r="XB24" i="4"/>
  <c r="XA24" i="4"/>
  <c r="WZ24" i="4"/>
  <c r="WY24" i="4"/>
  <c r="WX24" i="4"/>
  <c r="WW24" i="4"/>
  <c r="WV24" i="4"/>
  <c r="WU24" i="4"/>
  <c r="WT24" i="4"/>
  <c r="WS24" i="4"/>
  <c r="WR24" i="4"/>
  <c r="WQ24" i="4"/>
  <c r="WP24" i="4"/>
  <c r="WO24" i="4"/>
  <c r="WN24" i="4"/>
  <c r="WM24" i="4"/>
  <c r="WL24" i="4"/>
  <c r="WK24" i="4"/>
  <c r="WJ24" i="4"/>
  <c r="WI24" i="4"/>
  <c r="WH24" i="4"/>
  <c r="WG24" i="4"/>
  <c r="WF24" i="4"/>
  <c r="WE24" i="4"/>
  <c r="WD24" i="4"/>
  <c r="WC24" i="4"/>
  <c r="WB24" i="4"/>
  <c r="XG24" i="4" s="1"/>
  <c r="VZ24" i="4"/>
  <c r="VY24" i="4"/>
  <c r="VX24" i="4"/>
  <c r="VW24" i="4"/>
  <c r="VV24" i="4"/>
  <c r="VU24" i="4"/>
  <c r="VT24" i="4"/>
  <c r="VS24" i="4"/>
  <c r="VR24" i="4"/>
  <c r="VQ24" i="4"/>
  <c r="VP24" i="4"/>
  <c r="VO24" i="4"/>
  <c r="VN24" i="4"/>
  <c r="VM24" i="4"/>
  <c r="VL24" i="4"/>
  <c r="VK24" i="4"/>
  <c r="VJ24" i="4"/>
  <c r="VI24" i="4"/>
  <c r="VH24" i="4"/>
  <c r="VG24" i="4"/>
  <c r="VF24" i="4"/>
  <c r="VE24" i="4"/>
  <c r="VD24" i="4"/>
  <c r="VC24" i="4"/>
  <c r="VB24" i="4"/>
  <c r="VA24" i="4"/>
  <c r="UZ24" i="4"/>
  <c r="UY24" i="4"/>
  <c r="UW24" i="4"/>
  <c r="UV24" i="4"/>
  <c r="UU24" i="4"/>
  <c r="UT24" i="4"/>
  <c r="US24" i="4"/>
  <c r="UR24" i="4"/>
  <c r="UQ24" i="4"/>
  <c r="UP24" i="4"/>
  <c r="UO24" i="4"/>
  <c r="UN24" i="4"/>
  <c r="UM24" i="4"/>
  <c r="UL24" i="4"/>
  <c r="UK24" i="4"/>
  <c r="UJ24" i="4"/>
  <c r="UI24" i="4"/>
  <c r="UH24" i="4"/>
  <c r="UG24" i="4"/>
  <c r="UF24" i="4"/>
  <c r="UE24" i="4"/>
  <c r="UD24" i="4"/>
  <c r="UC24" i="4"/>
  <c r="UB24" i="4"/>
  <c r="UA24" i="4"/>
  <c r="TZ24" i="4"/>
  <c r="TY24" i="4"/>
  <c r="TX24" i="4"/>
  <c r="TW24" i="4"/>
  <c r="TV24" i="4"/>
  <c r="TU24" i="4"/>
  <c r="TT24" i="4"/>
  <c r="UX24" i="4" s="1"/>
  <c r="TS24" i="4"/>
  <c r="TQ24" i="4"/>
  <c r="TP24" i="4"/>
  <c r="TO24" i="4"/>
  <c r="TN24" i="4"/>
  <c r="TM24" i="4"/>
  <c r="TL24" i="4"/>
  <c r="TK24" i="4"/>
  <c r="TJ24" i="4"/>
  <c r="TI24" i="4"/>
  <c r="TH24" i="4"/>
  <c r="TG24" i="4"/>
  <c r="TF24" i="4"/>
  <c r="TE24" i="4"/>
  <c r="TD24" i="4"/>
  <c r="TC24" i="4"/>
  <c r="TB24" i="4"/>
  <c r="TA24" i="4"/>
  <c r="QQ24" i="4"/>
  <c r="PM24" i="4"/>
  <c r="LL24" i="4"/>
  <c r="LG24" i="4"/>
  <c r="IG24" i="4"/>
  <c r="HU24" i="4"/>
  <c r="GR24" i="4"/>
  <c r="GH24" i="4"/>
  <c r="FC24" i="4"/>
  <c r="EI24" i="4"/>
  <c r="CM24" i="4"/>
  <c r="CE24" i="4"/>
  <c r="CC24" i="4"/>
  <c r="BZ24" i="4"/>
  <c r="BV24" i="4"/>
  <c r="BD24" i="4"/>
  <c r="AN24" i="4"/>
  <c r="AE24" i="4"/>
  <c r="AD24" i="4"/>
  <c r="X24" i="4"/>
  <c r="F24" i="4"/>
  <c r="D24" i="4"/>
  <c r="C24" i="4"/>
  <c r="ANZ23" i="4"/>
  <c r="ANX23" i="4"/>
  <c r="ANJ23" i="4"/>
  <c r="AMX23" i="4"/>
  <c r="AMQ23" i="4"/>
  <c r="AMP23" i="4"/>
  <c r="AMO23" i="4"/>
  <c r="AMJ23" i="4"/>
  <c r="AMH23" i="4"/>
  <c r="AMB23" i="4"/>
  <c r="ALZ23" i="4"/>
  <c r="ALY23" i="4"/>
  <c r="ALX23" i="4"/>
  <c r="AMY23" i="4" s="1"/>
  <c r="ALQ23" i="4"/>
  <c r="ALH23" i="4"/>
  <c r="AKY23" i="4"/>
  <c r="AKV23" i="4"/>
  <c r="AKU23" i="4"/>
  <c r="ALT23" i="4" s="1"/>
  <c r="AKL23" i="4"/>
  <c r="AKH23" i="4"/>
  <c r="AKD23" i="4"/>
  <c r="AKA23" i="4"/>
  <c r="AJY23" i="4"/>
  <c r="AJW23" i="4"/>
  <c r="AJS23" i="4"/>
  <c r="AJO23" i="4"/>
  <c r="AJL23" i="4"/>
  <c r="AKN23" i="4" s="1"/>
  <c r="AJG23" i="4"/>
  <c r="AIZ23" i="4"/>
  <c r="AIY23" i="4"/>
  <c r="AIV23" i="4"/>
  <c r="AIR23" i="4"/>
  <c r="AIK23" i="4"/>
  <c r="AIJ23" i="4"/>
  <c r="AIH23" i="4"/>
  <c r="AJK23" i="4" s="1"/>
  <c r="AIC23" i="4"/>
  <c r="AHX23" i="4"/>
  <c r="AHW23" i="4"/>
  <c r="AHV23" i="4"/>
  <c r="AHS23" i="4"/>
  <c r="AHR23" i="4"/>
  <c r="AHC23" i="4"/>
  <c r="AHA23" i="4"/>
  <c r="AIE23" i="4" s="1"/>
  <c r="AGW23" i="4"/>
  <c r="AGV23" i="4"/>
  <c r="AGT23" i="4"/>
  <c r="AGQ23" i="4"/>
  <c r="AGG23" i="4"/>
  <c r="AGC23" i="4"/>
  <c r="AFW23" i="4"/>
  <c r="AGY23" i="4" s="1"/>
  <c r="AFS23" i="4"/>
  <c r="AFQ23" i="4"/>
  <c r="AFO23" i="4"/>
  <c r="AFC23" i="4"/>
  <c r="AFB23" i="4"/>
  <c r="AEW23" i="4"/>
  <c r="AES23" i="4"/>
  <c r="AEO23" i="4"/>
  <c r="AFT23" i="4" s="1"/>
  <c r="AEM23" i="4"/>
  <c r="AEK23" i="4"/>
  <c r="AEC23" i="4"/>
  <c r="ADZ23" i="4"/>
  <c r="ADY23" i="4"/>
  <c r="ADX23" i="4"/>
  <c r="ADU23" i="4"/>
  <c r="ADS23" i="4"/>
  <c r="ADQ23" i="4"/>
  <c r="ADP23" i="4"/>
  <c r="ADO23" i="4"/>
  <c r="AEN23" i="4" s="1"/>
  <c r="ADH23" i="4"/>
  <c r="ADD23" i="4"/>
  <c r="ADC23" i="4"/>
  <c r="ADA23" i="4"/>
  <c r="ACO23" i="4"/>
  <c r="ACL23" i="4"/>
  <c r="ACD23" i="4"/>
  <c r="ADI23" i="4" s="1"/>
  <c r="ABZ23" i="4"/>
  <c r="ABV23" i="4"/>
  <c r="ABT23" i="4"/>
  <c r="ABN23" i="4"/>
  <c r="ABJ23" i="4"/>
  <c r="ABH23" i="4"/>
  <c r="ABG23" i="4"/>
  <c r="ABE23" i="4"/>
  <c r="ABD23" i="4"/>
  <c r="ABB23" i="4"/>
  <c r="AAZ23" i="4"/>
  <c r="ACC23" i="4" s="1"/>
  <c r="AAS23" i="4"/>
  <c r="AAJ23" i="4"/>
  <c r="AAG23" i="4"/>
  <c r="AAC23" i="4"/>
  <c r="ZZ23" i="4"/>
  <c r="ZY23" i="4"/>
  <c r="ZX23" i="4"/>
  <c r="ZU23" i="4"/>
  <c r="ZS23" i="4"/>
  <c r="AAW23" i="4" s="1"/>
  <c r="ZP23" i="4"/>
  <c r="ZO23" i="4"/>
  <c r="ZN23" i="4"/>
  <c r="ZM23" i="4"/>
  <c r="ZJ23" i="4"/>
  <c r="ZI23" i="4"/>
  <c r="ZH23" i="4"/>
  <c r="ZF23" i="4"/>
  <c r="ZC23" i="4"/>
  <c r="YV23" i="4"/>
  <c r="YT23" i="4"/>
  <c r="YM23" i="4"/>
  <c r="ZR23" i="4" s="1"/>
  <c r="YJ23" i="4"/>
  <c r="XY23" i="4"/>
  <c r="XW23" i="4"/>
  <c r="XU23" i="4"/>
  <c r="XS23" i="4"/>
  <c r="XQ23" i="4"/>
  <c r="XM23" i="4"/>
  <c r="XI23" i="4"/>
  <c r="YL23" i="4" s="1"/>
  <c r="XE23" i="4"/>
  <c r="XC23" i="4"/>
  <c r="XA23" i="4"/>
  <c r="WR23" i="4"/>
  <c r="WO23" i="4"/>
  <c r="WN23" i="4"/>
  <c r="WI23" i="4"/>
  <c r="WE23" i="4"/>
  <c r="WD23" i="4"/>
  <c r="WC23" i="4"/>
  <c r="WB23" i="4"/>
  <c r="XG23" i="4" s="1"/>
  <c r="VZ23" i="4"/>
  <c r="VT23" i="4"/>
  <c r="VM23" i="4"/>
  <c r="VK23" i="4"/>
  <c r="VJ23" i="4"/>
  <c r="VI23" i="4"/>
  <c r="VH23" i="4"/>
  <c r="VF23" i="4"/>
  <c r="UZ23" i="4"/>
  <c r="UY23" i="4"/>
  <c r="WA23" i="4" s="1"/>
  <c r="UK23" i="4"/>
  <c r="UJ23" i="4"/>
  <c r="UI23" i="4"/>
  <c r="UH23" i="4"/>
  <c r="UG23" i="4"/>
  <c r="UE23" i="4"/>
  <c r="UD23" i="4"/>
  <c r="UA23" i="4"/>
  <c r="TY23" i="4"/>
  <c r="TX23" i="4"/>
  <c r="TW23" i="4"/>
  <c r="TU23" i="4"/>
  <c r="UX23" i="4" s="1"/>
  <c r="TO23" i="4"/>
  <c r="TM23" i="4"/>
  <c r="TL23" i="4"/>
  <c r="TK23" i="4"/>
  <c r="TJ23" i="4"/>
  <c r="TH23" i="4"/>
  <c r="TF23" i="4"/>
  <c r="TB23" i="4"/>
  <c r="TA23" i="4"/>
  <c r="SV23" i="4"/>
  <c r="SU23" i="4"/>
  <c r="ST23" i="4"/>
  <c r="SO23" i="4"/>
  <c r="TR23" i="4" s="1"/>
  <c r="SJ23" i="4"/>
  <c r="SI23" i="4"/>
  <c r="SH23" i="4"/>
  <c r="SF23" i="4"/>
  <c r="SC23" i="4"/>
  <c r="SB23" i="4"/>
  <c r="RZ23" i="4"/>
  <c r="RW23" i="4"/>
  <c r="RV23" i="4"/>
  <c r="RU23" i="4"/>
  <c r="RS23" i="4"/>
  <c r="RQ23" i="4"/>
  <c r="RN23" i="4"/>
  <c r="RL23" i="4"/>
  <c r="RK23" i="4"/>
  <c r="RK24" i="4" s="1"/>
  <c r="RI23" i="4"/>
  <c r="RH23" i="4"/>
  <c r="SL23" i="4" s="1"/>
  <c r="RD23" i="4"/>
  <c r="RB23" i="4"/>
  <c r="RA23" i="4"/>
  <c r="QU23" i="4"/>
  <c r="QS23" i="4"/>
  <c r="QP23" i="4"/>
  <c r="QO23" i="4"/>
  <c r="QL23" i="4"/>
  <c r="QC23" i="4"/>
  <c r="RG23" i="4" s="1"/>
  <c r="PX23" i="4"/>
  <c r="PU23" i="4"/>
  <c r="PR23" i="4"/>
  <c r="PO23" i="4"/>
  <c r="PN23" i="4"/>
  <c r="PK23" i="4"/>
  <c r="PI23" i="4"/>
  <c r="PF23" i="4"/>
  <c r="OZ23" i="4"/>
  <c r="OX23" i="4"/>
  <c r="OW23" i="4"/>
  <c r="QA23" i="4" s="1"/>
  <c r="OT23" i="4"/>
  <c r="OQ23" i="4"/>
  <c r="OO23" i="4"/>
  <c r="OL23" i="4"/>
  <c r="OK23" i="4"/>
  <c r="OI23" i="4"/>
  <c r="NW23" i="4"/>
  <c r="NU23" i="4"/>
  <c r="OV23" i="4" s="1"/>
  <c r="NQ23" i="4"/>
  <c r="NO23" i="4"/>
  <c r="NH23" i="4"/>
  <c r="NG23" i="4"/>
  <c r="NE23" i="4"/>
  <c r="MW23" i="4"/>
  <c r="MV23" i="4"/>
  <c r="MU23" i="4"/>
  <c r="MS23" i="4"/>
  <c r="MR23" i="4"/>
  <c r="MQ23" i="4"/>
  <c r="MO23" i="4"/>
  <c r="MM23" i="4"/>
  <c r="NP23" i="4" s="1"/>
  <c r="MI23" i="4"/>
  <c r="MG23" i="4"/>
  <c r="LV23" i="4"/>
  <c r="LU23" i="4"/>
  <c r="LT23" i="4"/>
  <c r="LS23" i="4"/>
  <c r="LN23" i="4"/>
  <c r="LN24" i="4" s="1"/>
  <c r="LH23" i="4"/>
  <c r="LF23" i="4"/>
  <c r="MJ23" i="4" s="1"/>
  <c r="LC23" i="4"/>
  <c r="KZ23" i="4"/>
  <c r="KY23" i="4"/>
  <c r="KX23" i="4"/>
  <c r="KU23" i="4"/>
  <c r="KQ23" i="4"/>
  <c r="KN23" i="4"/>
  <c r="KL23" i="4"/>
  <c r="KF23" i="4"/>
  <c r="KF24" i="4" s="1"/>
  <c r="KB23" i="4"/>
  <c r="KA23" i="4"/>
  <c r="LE23" i="4" s="1"/>
  <c r="JZ23" i="4"/>
  <c r="JV23" i="4"/>
  <c r="JS23" i="4"/>
  <c r="JR23" i="4"/>
  <c r="JQ23" i="4"/>
  <c r="JO23" i="4"/>
  <c r="JN23" i="4"/>
  <c r="JM23" i="4"/>
  <c r="JI23" i="4"/>
  <c r="JH23" i="4"/>
  <c r="JG23" i="4"/>
  <c r="JE23" i="4"/>
  <c r="JD23" i="4"/>
  <c r="JY23" i="4" s="1"/>
  <c r="IR23" i="4"/>
  <c r="IQ23" i="4"/>
  <c r="IM23" i="4"/>
  <c r="IL23" i="4"/>
  <c r="IK23" i="4"/>
  <c r="II23" i="4"/>
  <c r="IE23" i="4"/>
  <c r="IC23" i="4"/>
  <c r="IB23" i="4"/>
  <c r="HY23" i="4"/>
  <c r="HV23" i="4"/>
  <c r="HS23" i="4"/>
  <c r="HQ23" i="4"/>
  <c r="IT23" i="4" s="1"/>
  <c r="HK23" i="4"/>
  <c r="HJ23" i="4"/>
  <c r="HH23" i="4"/>
  <c r="HG23" i="4"/>
  <c r="HF23" i="4"/>
  <c r="HE23" i="4"/>
  <c r="HB23" i="4"/>
  <c r="HA23" i="4"/>
  <c r="GY23" i="4"/>
  <c r="GT23" i="4"/>
  <c r="GS23" i="4"/>
  <c r="GP23" i="4"/>
  <c r="GO23" i="4"/>
  <c r="GN23" i="4"/>
  <c r="GN24" i="4" s="1"/>
  <c r="GM23" i="4"/>
  <c r="GK23" i="4"/>
  <c r="HN23" i="4" s="1"/>
  <c r="GB23" i="4"/>
  <c r="FY23" i="4"/>
  <c r="FX23" i="4"/>
  <c r="FP23" i="4"/>
  <c r="FM23" i="4"/>
  <c r="FL23" i="4"/>
  <c r="FL24" i="4" s="1"/>
  <c r="FJ23" i="4"/>
  <c r="FH23" i="4"/>
  <c r="FF23" i="4"/>
  <c r="GJ23" i="4" s="1"/>
  <c r="FB23" i="4"/>
  <c r="FA23" i="4"/>
  <c r="EW23" i="4"/>
  <c r="EU23" i="4"/>
  <c r="ET23" i="4"/>
  <c r="ES23" i="4"/>
  <c r="ER23" i="4"/>
  <c r="EN23" i="4"/>
  <c r="EJ23" i="4"/>
  <c r="EG23" i="4"/>
  <c r="EF23" i="4"/>
  <c r="EC23" i="4"/>
  <c r="DY23" i="4"/>
  <c r="FD23" i="4" s="1"/>
  <c r="DT23" i="4"/>
  <c r="DM23" i="4"/>
  <c r="DL23" i="4"/>
  <c r="DK23" i="4"/>
  <c r="DJ23" i="4"/>
  <c r="DH23" i="4"/>
  <c r="DG23" i="4"/>
  <c r="DB23" i="4"/>
  <c r="CZ23" i="4"/>
  <c r="CW23" i="4"/>
  <c r="CT23" i="4"/>
  <c r="DX23" i="4" s="1"/>
  <c r="CQ23" i="4"/>
  <c r="CP23" i="4"/>
  <c r="CL23" i="4"/>
  <c r="CG23" i="4"/>
  <c r="CF23" i="4"/>
  <c r="BT23" i="4"/>
  <c r="BQ23" i="4"/>
  <c r="BO23" i="4"/>
  <c r="CS23" i="4" s="1"/>
  <c r="BL23" i="4"/>
  <c r="BJ23" i="4"/>
  <c r="BF23" i="4"/>
  <c r="BF24" i="4" s="1"/>
  <c r="AV23" i="4"/>
  <c r="AU23" i="4"/>
  <c r="AP23" i="4"/>
  <c r="AO23" i="4"/>
  <c r="AG23" i="4"/>
  <c r="Y23" i="4"/>
  <c r="W23" i="4"/>
  <c r="L23" i="4"/>
  <c r="I23" i="4"/>
  <c r="I24" i="4" s="1"/>
  <c r="H23" i="4"/>
  <c r="H24" i="4" s="1"/>
  <c r="G23" i="4"/>
  <c r="E23" i="4"/>
  <c r="AH23" i="4" s="1"/>
  <c r="ANV22" i="4"/>
  <c r="AMM22" i="4"/>
  <c r="AMH22" i="4"/>
  <c r="ALY22" i="4"/>
  <c r="ALW22" i="4"/>
  <c r="AMY22" i="4" s="1"/>
  <c r="ALT22" i="4"/>
  <c r="AKN22" i="4"/>
  <c r="AJB22" i="4"/>
  <c r="AJK22" i="4" s="1"/>
  <c r="AHV22" i="4"/>
  <c r="AIE22" i="4" s="1"/>
  <c r="AGY22" i="4"/>
  <c r="AFT22" i="4"/>
  <c r="AEN22" i="4"/>
  <c r="ADG22" i="4"/>
  <c r="ACH22" i="4"/>
  <c r="ADI22" i="4" s="1"/>
  <c r="ABG22" i="4"/>
  <c r="ABD22" i="4"/>
  <c r="ACC22" i="4" s="1"/>
  <c r="AAL22" i="4"/>
  <c r="AAW22" i="4" s="1"/>
  <c r="ZR22" i="4"/>
  <c r="YL22" i="4"/>
  <c r="XG22" i="4"/>
  <c r="WA22" i="4"/>
  <c r="UM22" i="4"/>
  <c r="UX22" i="4" s="1"/>
  <c r="TG22" i="4"/>
  <c r="ST22" i="4"/>
  <c r="SR22" i="4"/>
  <c r="TR22" i="4" s="1"/>
  <c r="SK22" i="4"/>
  <c r="SI22" i="4"/>
  <c r="SD22" i="4"/>
  <c r="SB22" i="4"/>
  <c r="SL22" i="4" s="1"/>
  <c r="QC22" i="4"/>
  <c r="RG22" i="4" s="1"/>
  <c r="PP22" i="4"/>
  <c r="PO22" i="4"/>
  <c r="QA22" i="4" s="1"/>
  <c r="OV22" i="4"/>
  <c r="NP22" i="4"/>
  <c r="MJ22" i="4"/>
  <c r="LE22" i="4"/>
  <c r="JK22" i="4"/>
  <c r="JY22" i="4" s="1"/>
  <c r="IT22" i="4"/>
  <c r="GO22" i="4"/>
  <c r="HN22" i="4" s="1"/>
  <c r="GJ22" i="4"/>
  <c r="FD22" i="4"/>
  <c r="DN22" i="4"/>
  <c r="DX22" i="4" s="1"/>
  <c r="CS22" i="4"/>
  <c r="AMY21" i="4"/>
  <c r="ALT21" i="4"/>
  <c r="AKN21" i="4"/>
  <c r="AJK21" i="4"/>
  <c r="AIE21" i="4"/>
  <c r="AGY21" i="4"/>
  <c r="AFT21" i="4"/>
  <c r="AEN21" i="4"/>
  <c r="ADI21" i="4"/>
  <c r="ACC21" i="4"/>
  <c r="AAW21" i="4"/>
  <c r="ZR21" i="4"/>
  <c r="YL21" i="4"/>
  <c r="XG21" i="4"/>
  <c r="UX21" i="4"/>
  <c r="WA21" i="4" s="1"/>
  <c r="TR21" i="4"/>
  <c r="SL21" i="4"/>
  <c r="RG21" i="4"/>
  <c r="QA21" i="4"/>
  <c r="OV21" i="4"/>
  <c r="NP21" i="4"/>
  <c r="MJ21" i="4"/>
  <c r="LE21" i="4"/>
  <c r="JY21" i="4"/>
  <c r="IT21" i="4"/>
  <c r="HN21" i="4"/>
  <c r="GJ21" i="4"/>
  <c r="FD21" i="4"/>
  <c r="DX21" i="4"/>
  <c r="AMY20" i="4"/>
  <c r="ALT20" i="4"/>
  <c r="AKN20" i="4"/>
  <c r="AJK20" i="4"/>
  <c r="AIE20" i="4"/>
  <c r="AGY20" i="4"/>
  <c r="AFT20" i="4"/>
  <c r="AEN20" i="4"/>
  <c r="ADI20" i="4"/>
  <c r="ACC20" i="4"/>
  <c r="AAW20" i="4"/>
  <c r="ZR20" i="4"/>
  <c r="YL20" i="4"/>
  <c r="XG20" i="4"/>
  <c r="WA20" i="4"/>
  <c r="UX20" i="4"/>
  <c r="TR20" i="4"/>
  <c r="SL20" i="4"/>
  <c r="RG20" i="4"/>
  <c r="OX20" i="4"/>
  <c r="QA20" i="4" s="1"/>
  <c r="OV20" i="4"/>
  <c r="NP20" i="4"/>
  <c r="MJ20" i="4"/>
  <c r="KT20" i="4"/>
  <c r="KL20" i="4"/>
  <c r="KB20" i="4"/>
  <c r="LE20" i="4" s="1"/>
  <c r="JY20" i="4"/>
  <c r="HR20" i="4"/>
  <c r="IT20" i="4" s="1"/>
  <c r="HN20" i="4"/>
  <c r="GJ20" i="4"/>
  <c r="FD20" i="4"/>
  <c r="DX20" i="4"/>
  <c r="BU20" i="4"/>
  <c r="CS20" i="4" s="1"/>
  <c r="BG20" i="4"/>
  <c r="T20" i="4"/>
  <c r="S20" i="4"/>
  <c r="S24" i="4" s="1"/>
  <c r="G20" i="4"/>
  <c r="AOC19" i="4"/>
  <c r="AOB19" i="4"/>
  <c r="AOA19" i="4"/>
  <c r="ANZ19" i="4"/>
  <c r="ANY19" i="4"/>
  <c r="ANX19" i="4"/>
  <c r="ANW19" i="4"/>
  <c r="ANV19" i="4"/>
  <c r="ANU19" i="4"/>
  <c r="ANT19" i="4"/>
  <c r="ANS19" i="4"/>
  <c r="ANR19" i="4"/>
  <c r="ANQ19" i="4"/>
  <c r="ANP19" i="4"/>
  <c r="ANO19" i="4"/>
  <c r="ANN19" i="4"/>
  <c r="ANM19" i="4"/>
  <c r="ANL19" i="4"/>
  <c r="ANK19" i="4"/>
  <c r="ANJ19" i="4"/>
  <c r="ANI19" i="4"/>
  <c r="ANH19" i="4"/>
  <c r="ANG19" i="4"/>
  <c r="ANF19" i="4"/>
  <c r="ANE19" i="4"/>
  <c r="AND19" i="4"/>
  <c r="ANC19" i="4"/>
  <c r="ANB19" i="4"/>
  <c r="ANA19" i="4"/>
  <c r="AMZ19" i="4"/>
  <c r="AMX19" i="4"/>
  <c r="AMW19" i="4"/>
  <c r="AMV19" i="4"/>
  <c r="AMU19" i="4"/>
  <c r="AMT19" i="4"/>
  <c r="AMS19" i="4"/>
  <c r="AMR19" i="4"/>
  <c r="AMQ19" i="4"/>
  <c r="AMP19" i="4"/>
  <c r="AMO19" i="4"/>
  <c r="AMN19" i="4"/>
  <c r="AMM19" i="4"/>
  <c r="AML19" i="4"/>
  <c r="AMK19" i="4"/>
  <c r="AMJ19" i="4"/>
  <c r="AMI19" i="4"/>
  <c r="AMH19" i="4"/>
  <c r="AMG19" i="4"/>
  <c r="AMF19" i="4"/>
  <c r="AME19" i="4"/>
  <c r="AMD19" i="4"/>
  <c r="AMC19" i="4"/>
  <c r="AMB19" i="4"/>
  <c r="AMA19" i="4"/>
  <c r="ALZ19" i="4"/>
  <c r="ALY19" i="4"/>
  <c r="ALX19" i="4"/>
  <c r="ALW19" i="4"/>
  <c r="ALV19" i="4"/>
  <c r="ALU19" i="4"/>
  <c r="AMY19" i="4" s="1"/>
  <c r="ALS19" i="4"/>
  <c r="ALR19" i="4"/>
  <c r="ALQ19" i="4"/>
  <c r="ALP19" i="4"/>
  <c r="ALO19" i="4"/>
  <c r="ALN19" i="4"/>
  <c r="ALM19" i="4"/>
  <c r="ALL19" i="4"/>
  <c r="ALK19" i="4"/>
  <c r="ALJ19" i="4"/>
  <c r="ALI19" i="4"/>
  <c r="ALH19" i="4"/>
  <c r="ALG19" i="4"/>
  <c r="ALF19" i="4"/>
  <c r="ALE19" i="4"/>
  <c r="ALD19" i="4"/>
  <c r="ALC19" i="4"/>
  <c r="ALB19" i="4"/>
  <c r="ALA19" i="4"/>
  <c r="AKZ19" i="4"/>
  <c r="AKY19" i="4"/>
  <c r="AKX19" i="4"/>
  <c r="AKW19" i="4"/>
  <c r="AKV19" i="4"/>
  <c r="AKU19" i="4"/>
  <c r="AKT19" i="4"/>
  <c r="AKS19" i="4"/>
  <c r="AKR19" i="4"/>
  <c r="AKQ19" i="4"/>
  <c r="AKP19" i="4"/>
  <c r="AKO19" i="4"/>
  <c r="ALT19" i="4" s="1"/>
  <c r="AKM19" i="4"/>
  <c r="AKL19" i="4"/>
  <c r="AKK19" i="4"/>
  <c r="AKJ19" i="4"/>
  <c r="AKI19" i="4"/>
  <c r="AKH19" i="4"/>
  <c r="AKG19" i="4"/>
  <c r="AKF19" i="4"/>
  <c r="AKE19" i="4"/>
  <c r="AKD19" i="4"/>
  <c r="AKC19" i="4"/>
  <c r="AKB19" i="4"/>
  <c r="AKA19" i="4"/>
  <c r="AJZ19" i="4"/>
  <c r="AJY19" i="4"/>
  <c r="AJX19" i="4"/>
  <c r="AJW19" i="4"/>
  <c r="AJV19" i="4"/>
  <c r="AJU19" i="4"/>
  <c r="AJT19" i="4"/>
  <c r="AJS19" i="4"/>
  <c r="AJR19" i="4"/>
  <c r="AJQ19" i="4"/>
  <c r="AJP19" i="4"/>
  <c r="AJO19" i="4"/>
  <c r="AJN19" i="4"/>
  <c r="AJM19" i="4"/>
  <c r="AJL19" i="4"/>
  <c r="AKN19" i="4" s="1"/>
  <c r="AJJ19" i="4"/>
  <c r="AJI19" i="4"/>
  <c r="AJH19" i="4"/>
  <c r="AJG19" i="4"/>
  <c r="AJF19" i="4"/>
  <c r="AJE19" i="4"/>
  <c r="AJD19" i="4"/>
  <c r="AJC19" i="4"/>
  <c r="AJB19" i="4"/>
  <c r="AJA19" i="4"/>
  <c r="AIZ19" i="4"/>
  <c r="AIY19" i="4"/>
  <c r="AIX19" i="4"/>
  <c r="AIW19" i="4"/>
  <c r="AIV19" i="4"/>
  <c r="AIT19" i="4"/>
  <c r="AIS19" i="4"/>
  <c r="AIR19" i="4"/>
  <c r="AIQ19" i="4"/>
  <c r="AIP19" i="4"/>
  <c r="AIO19" i="4"/>
  <c r="AIN19" i="4"/>
  <c r="AIM19" i="4"/>
  <c r="AIL19" i="4"/>
  <c r="AIK19" i="4"/>
  <c r="AIJ19" i="4"/>
  <c r="AIH19" i="4"/>
  <c r="AIG19" i="4"/>
  <c r="AIF19" i="4"/>
  <c r="AJK19" i="4" s="1"/>
  <c r="AID19" i="4"/>
  <c r="AIC19" i="4"/>
  <c r="AIB19" i="4"/>
  <c r="AIA19" i="4"/>
  <c r="AHZ19" i="4"/>
  <c r="AHY19" i="4"/>
  <c r="AHX19" i="4"/>
  <c r="AHW19" i="4"/>
  <c r="AHV19" i="4"/>
  <c r="AHU19" i="4"/>
  <c r="AHT19" i="4"/>
  <c r="AHS19" i="4"/>
  <c r="AHR19" i="4"/>
  <c r="AHQ19" i="4"/>
  <c r="AHP19" i="4"/>
  <c r="AHO19" i="4"/>
  <c r="AHN19" i="4"/>
  <c r="AHM19" i="4"/>
  <c r="AHL19" i="4"/>
  <c r="AHK19" i="4"/>
  <c r="AHJ19" i="4"/>
  <c r="AHI19" i="4"/>
  <c r="AHH19" i="4"/>
  <c r="AHG19" i="4"/>
  <c r="AHF19" i="4"/>
  <c r="AHE19" i="4"/>
  <c r="AHD19" i="4"/>
  <c r="AHC19" i="4"/>
  <c r="AHB19" i="4"/>
  <c r="AHA19" i="4"/>
  <c r="AGZ19" i="4"/>
  <c r="AIE19" i="4" s="1"/>
  <c r="AGX19" i="4"/>
  <c r="AGW19" i="4"/>
  <c r="AGV19" i="4"/>
  <c r="AGU19" i="4"/>
  <c r="AGT19" i="4"/>
  <c r="AGS19" i="4"/>
  <c r="AGR19" i="4"/>
  <c r="AGQ19" i="4"/>
  <c r="AGP19" i="4"/>
  <c r="AGO19" i="4"/>
  <c r="AGN19" i="4"/>
  <c r="AGM19" i="4"/>
  <c r="AGL19" i="4"/>
  <c r="AGK19" i="4"/>
  <c r="AGJ19" i="4"/>
  <c r="AGI19" i="4"/>
  <c r="AGH19" i="4"/>
  <c r="AGG19" i="4"/>
  <c r="AGF19" i="4"/>
  <c r="AGE19" i="4"/>
  <c r="AGD19" i="4"/>
  <c r="AGC19" i="4"/>
  <c r="AGB19" i="4"/>
  <c r="AGA19" i="4"/>
  <c r="AFZ19" i="4"/>
  <c r="AFY19" i="4"/>
  <c r="AFX19" i="4"/>
  <c r="AFW19" i="4"/>
  <c r="AFV19" i="4"/>
  <c r="AFU19" i="4"/>
  <c r="AGY19" i="4" s="1"/>
  <c r="AFS19" i="4"/>
  <c r="AFR19" i="4"/>
  <c r="AFQ19" i="4"/>
  <c r="AFP19" i="4"/>
  <c r="AFO19" i="4"/>
  <c r="AFN19" i="4"/>
  <c r="AFM19" i="4"/>
  <c r="AFL19" i="4"/>
  <c r="AFK19" i="4"/>
  <c r="AFJ19" i="4"/>
  <c r="AFI19" i="4"/>
  <c r="AFH19" i="4"/>
  <c r="AFG19" i="4"/>
  <c r="AFF19" i="4"/>
  <c r="AFE19" i="4"/>
  <c r="AFD19" i="4"/>
  <c r="AFC19" i="4"/>
  <c r="AFB19" i="4"/>
  <c r="AFA19" i="4"/>
  <c r="AEZ19" i="4"/>
  <c r="AEY19" i="4"/>
  <c r="AEX19" i="4"/>
  <c r="AEW19" i="4"/>
  <c r="AEV19" i="4"/>
  <c r="AEU19" i="4"/>
  <c r="AET19" i="4"/>
  <c r="AES19" i="4"/>
  <c r="AER19" i="4"/>
  <c r="AEQ19" i="4"/>
  <c r="AEP19" i="4"/>
  <c r="AEO19" i="4"/>
  <c r="AFT19" i="4" s="1"/>
  <c r="AEM19" i="4"/>
  <c r="AEL19" i="4"/>
  <c r="AEK19" i="4"/>
  <c r="AEJ19" i="4"/>
  <c r="AEI19" i="4"/>
  <c r="AEH19" i="4"/>
  <c r="AEG19" i="4"/>
  <c r="AEF19" i="4"/>
  <c r="AEE19" i="4"/>
  <c r="AED19" i="4"/>
  <c r="AEC19" i="4"/>
  <c r="AEB19" i="4"/>
  <c r="AEA19" i="4"/>
  <c r="ADZ19" i="4"/>
  <c r="ADY19" i="4"/>
  <c r="ADX19" i="4"/>
  <c r="ADW19" i="4"/>
  <c r="ADV19" i="4"/>
  <c r="ADU19" i="4"/>
  <c r="ADT19" i="4"/>
  <c r="ADS19" i="4"/>
  <c r="ADR19" i="4"/>
  <c r="ADQ19" i="4"/>
  <c r="ADP19" i="4"/>
  <c r="ADO19" i="4"/>
  <c r="ADN19" i="4"/>
  <c r="ADM19" i="4"/>
  <c r="ADL19" i="4"/>
  <c r="ADK19" i="4"/>
  <c r="ADJ19" i="4"/>
  <c r="AEN19" i="4" s="1"/>
  <c r="ADH19" i="4"/>
  <c r="ADG19" i="4"/>
  <c r="ADF19" i="4"/>
  <c r="ADE19" i="4"/>
  <c r="ADD19" i="4"/>
  <c r="ADC19" i="4"/>
  <c r="ADB19" i="4"/>
  <c r="ADA19" i="4"/>
  <c r="ACZ19" i="4"/>
  <c r="ACY19" i="4"/>
  <c r="ACX19" i="4"/>
  <c r="ACW19" i="4"/>
  <c r="ACV19" i="4"/>
  <c r="ACU19" i="4"/>
  <c r="ACT19" i="4"/>
  <c r="ACS19" i="4"/>
  <c r="ACR19" i="4"/>
  <c r="ACQ19" i="4"/>
  <c r="ACP19" i="4"/>
  <c r="ACO19" i="4"/>
  <c r="ACN19" i="4"/>
  <c r="ACM19" i="4"/>
  <c r="ACL19" i="4"/>
  <c r="ACK19" i="4"/>
  <c r="ACJ19" i="4"/>
  <c r="ACI19" i="4"/>
  <c r="ACH19" i="4"/>
  <c r="ACG19" i="4"/>
  <c r="ACF19" i="4"/>
  <c r="ACE19" i="4"/>
  <c r="ACD19" i="4"/>
  <c r="ADI19" i="4" s="1"/>
  <c r="ACB19" i="4"/>
  <c r="ACA19" i="4"/>
  <c r="ABZ19" i="4"/>
  <c r="ABY19" i="4"/>
  <c r="ABX19" i="4"/>
  <c r="ABW19" i="4"/>
  <c r="ABV19" i="4"/>
  <c r="ABU19" i="4"/>
  <c r="ABT19" i="4"/>
  <c r="ABS19" i="4"/>
  <c r="ABR19" i="4"/>
  <c r="ABQ19" i="4"/>
  <c r="ABP19" i="4"/>
  <c r="ABO19" i="4"/>
  <c r="ABN19" i="4"/>
  <c r="ABM19" i="4"/>
  <c r="ABL19" i="4"/>
  <c r="ABK19" i="4"/>
  <c r="ABJ19" i="4"/>
  <c r="ABI19" i="4"/>
  <c r="ABH19" i="4"/>
  <c r="ABG19" i="4"/>
  <c r="ABF19" i="4"/>
  <c r="ABE19" i="4"/>
  <c r="ABD19" i="4"/>
  <c r="ABC19" i="4"/>
  <c r="ABB19" i="4"/>
  <c r="ABA19" i="4"/>
  <c r="AAZ19" i="4"/>
  <c r="AAY19" i="4"/>
  <c r="AAX19" i="4"/>
  <c r="ACC19" i="4" s="1"/>
  <c r="AAV19" i="4"/>
  <c r="AAU19" i="4"/>
  <c r="AAT19" i="4"/>
  <c r="AAS19" i="4"/>
  <c r="AAR19" i="4"/>
  <c r="AAQ19" i="4"/>
  <c r="AAP19" i="4"/>
  <c r="AAO19" i="4"/>
  <c r="AAN19" i="4"/>
  <c r="AAM19" i="4"/>
  <c r="AAL19" i="4"/>
  <c r="AAK19" i="4"/>
  <c r="AAJ19" i="4"/>
  <c r="AAI19" i="4"/>
  <c r="AAH19" i="4"/>
  <c r="AAG19" i="4"/>
  <c r="AAF19" i="4"/>
  <c r="AAE19" i="4"/>
  <c r="AAD19" i="4"/>
  <c r="AAC19" i="4"/>
  <c r="AAB19" i="4"/>
  <c r="AAA19" i="4"/>
  <c r="ZZ19" i="4"/>
  <c r="ZY19" i="4"/>
  <c r="ZX19" i="4"/>
  <c r="ZW19" i="4"/>
  <c r="ZV19" i="4"/>
  <c r="ZU19" i="4"/>
  <c r="ZT19" i="4"/>
  <c r="ZS19" i="4"/>
  <c r="AAW19" i="4" s="1"/>
  <c r="ZQ19" i="4"/>
  <c r="ZP19" i="4"/>
  <c r="ZO19" i="4"/>
  <c r="ZN19" i="4"/>
  <c r="ZM19" i="4"/>
  <c r="ZL19" i="4"/>
  <c r="ZK19" i="4"/>
  <c r="ZJ19" i="4"/>
  <c r="ZI19" i="4"/>
  <c r="ZH19" i="4"/>
  <c r="ZG19" i="4"/>
  <c r="ZF19" i="4"/>
  <c r="ZE19" i="4"/>
  <c r="ZD19" i="4"/>
  <c r="ZC19" i="4"/>
  <c r="ZB19" i="4"/>
  <c r="ZA19" i="4"/>
  <c r="YZ19" i="4"/>
  <c r="YY19" i="4"/>
  <c r="YX19" i="4"/>
  <c r="YW19" i="4"/>
  <c r="YV19" i="4"/>
  <c r="YU19" i="4"/>
  <c r="YT19" i="4"/>
  <c r="YS19" i="4"/>
  <c r="YR19" i="4"/>
  <c r="YQ19" i="4"/>
  <c r="YP19" i="4"/>
  <c r="YO19" i="4"/>
  <c r="YN19" i="4"/>
  <c r="YM19" i="4"/>
  <c r="ZR19" i="4" s="1"/>
  <c r="YK19" i="4"/>
  <c r="YJ19" i="4"/>
  <c r="YI19" i="4"/>
  <c r="YH19" i="4"/>
  <c r="YG19" i="4"/>
  <c r="YF19" i="4"/>
  <c r="YE19" i="4"/>
  <c r="YD19" i="4"/>
  <c r="YC19" i="4"/>
  <c r="YB19" i="4"/>
  <c r="YA19" i="4"/>
  <c r="XZ19" i="4"/>
  <c r="XY19" i="4"/>
  <c r="XX19" i="4"/>
  <c r="XW19" i="4"/>
  <c r="XV19" i="4"/>
  <c r="XU19" i="4"/>
  <c r="XT19" i="4"/>
  <c r="XS19" i="4"/>
  <c r="XR19" i="4"/>
  <c r="XQ19" i="4"/>
  <c r="XP19" i="4"/>
  <c r="XO19" i="4"/>
  <c r="XN19" i="4"/>
  <c r="XM19" i="4"/>
  <c r="XL19" i="4"/>
  <c r="XK19" i="4"/>
  <c r="XJ19" i="4"/>
  <c r="XI19" i="4"/>
  <c r="XH19" i="4"/>
  <c r="YL19" i="4" s="1"/>
  <c r="XF19" i="4"/>
  <c r="XE19" i="4"/>
  <c r="XD19" i="4"/>
  <c r="XC19" i="4"/>
  <c r="XB19" i="4"/>
  <c r="XA19" i="4"/>
  <c r="WZ19" i="4"/>
  <c r="WY19" i="4"/>
  <c r="WX19" i="4"/>
  <c r="WW19" i="4"/>
  <c r="WU19" i="4"/>
  <c r="WT19" i="4"/>
  <c r="WS19" i="4"/>
  <c r="WR19" i="4"/>
  <c r="WQ19" i="4"/>
  <c r="WP19" i="4"/>
  <c r="WO19" i="4"/>
  <c r="WN19" i="4"/>
  <c r="WM19" i="4"/>
  <c r="WL19" i="4"/>
  <c r="WK19" i="4"/>
  <c r="WI19" i="4"/>
  <c r="WH19" i="4"/>
  <c r="WG19" i="4"/>
  <c r="WF19" i="4"/>
  <c r="WE19" i="4"/>
  <c r="WD19" i="4"/>
  <c r="WC19" i="4"/>
  <c r="WB19" i="4"/>
  <c r="XG19" i="4" s="1"/>
  <c r="VY19" i="4"/>
  <c r="VX19" i="4"/>
  <c r="VW19" i="4"/>
  <c r="VV19" i="4"/>
  <c r="VU19" i="4"/>
  <c r="VT19" i="4"/>
  <c r="VS19" i="4"/>
  <c r="VR19" i="4"/>
  <c r="VQ19" i="4"/>
  <c r="VP19" i="4"/>
  <c r="VO19" i="4"/>
  <c r="VN19" i="4"/>
  <c r="VM19" i="4"/>
  <c r="VL19" i="4"/>
  <c r="VK19" i="4"/>
  <c r="VJ19" i="4"/>
  <c r="VI19" i="4"/>
  <c r="VH19" i="4"/>
  <c r="VG19" i="4"/>
  <c r="VF19" i="4"/>
  <c r="VE19" i="4"/>
  <c r="VD19" i="4"/>
  <c r="VC19" i="4"/>
  <c r="VB19" i="4"/>
  <c r="VA19" i="4"/>
  <c r="UZ19" i="4"/>
  <c r="UY19" i="4"/>
  <c r="WA19" i="4" s="1"/>
  <c r="UW19" i="4"/>
  <c r="UV19" i="4"/>
  <c r="UU19" i="4"/>
  <c r="UT19" i="4"/>
  <c r="US19" i="4"/>
  <c r="UR19" i="4"/>
  <c r="UQ19" i="4"/>
  <c r="UP19" i="4"/>
  <c r="UO19" i="4"/>
  <c r="UN19" i="4"/>
  <c r="UM19" i="4"/>
  <c r="UL19" i="4"/>
  <c r="UK19" i="4"/>
  <c r="UJ19" i="4"/>
  <c r="UI19" i="4"/>
  <c r="UH19" i="4"/>
  <c r="UG19" i="4"/>
  <c r="UF19" i="4"/>
  <c r="UE19" i="4"/>
  <c r="UD19" i="4"/>
  <c r="UC19" i="4"/>
  <c r="UB19" i="4"/>
  <c r="UA19" i="4"/>
  <c r="TZ19" i="4"/>
  <c r="TY19" i="4"/>
  <c r="TX19" i="4"/>
  <c r="TW19" i="4"/>
  <c r="TV19" i="4"/>
  <c r="TU19" i="4"/>
  <c r="TT19" i="4"/>
  <c r="TS19" i="4"/>
  <c r="UX19" i="4" s="1"/>
  <c r="TQ19" i="4"/>
  <c r="TP19" i="4"/>
  <c r="TO19" i="4"/>
  <c r="TN19" i="4"/>
  <c r="TM19" i="4"/>
  <c r="TL19" i="4"/>
  <c r="TK19" i="4"/>
  <c r="TJ19" i="4"/>
  <c r="TI19" i="4"/>
  <c r="TH19" i="4"/>
  <c r="TG19" i="4"/>
  <c r="TF19" i="4"/>
  <c r="TE19" i="4"/>
  <c r="TD19" i="4"/>
  <c r="TC19" i="4"/>
  <c r="TB19" i="4"/>
  <c r="TA19" i="4"/>
  <c r="SZ19" i="4"/>
  <c r="SZ24" i="4" s="1"/>
  <c r="SY19" i="4"/>
  <c r="SY24" i="4" s="1"/>
  <c r="SX19" i="4"/>
  <c r="SX24" i="4" s="1"/>
  <c r="SW19" i="4"/>
  <c r="SW24" i="4" s="1"/>
  <c r="SV19" i="4"/>
  <c r="SV24" i="4" s="1"/>
  <c r="SU19" i="4"/>
  <c r="SU24" i="4" s="1"/>
  <c r="ST19" i="4"/>
  <c r="ST24" i="4" s="1"/>
  <c r="SS19" i="4"/>
  <c r="SS24" i="4" s="1"/>
  <c r="SR19" i="4"/>
  <c r="SR24" i="4" s="1"/>
  <c r="SQ19" i="4"/>
  <c r="SQ24" i="4" s="1"/>
  <c r="SP19" i="4"/>
  <c r="SP24" i="4" s="1"/>
  <c r="SO19" i="4"/>
  <c r="SO24" i="4" s="1"/>
  <c r="SN19" i="4"/>
  <c r="SN24" i="4" s="1"/>
  <c r="TR24" i="4" s="1"/>
  <c r="SM19" i="4"/>
  <c r="SK19" i="4"/>
  <c r="SK24" i="4" s="1"/>
  <c r="SJ19" i="4"/>
  <c r="SJ24" i="4" s="1"/>
  <c r="SI19" i="4"/>
  <c r="SI24" i="4" s="1"/>
  <c r="SH19" i="4"/>
  <c r="SH24" i="4" s="1"/>
  <c r="SG19" i="4"/>
  <c r="SG24" i="4" s="1"/>
  <c r="SF19" i="4"/>
  <c r="SF24" i="4" s="1"/>
  <c r="SE19" i="4"/>
  <c r="SE24" i="4" s="1"/>
  <c r="SD19" i="4"/>
  <c r="SD24" i="4" s="1"/>
  <c r="SC19" i="4"/>
  <c r="SC24" i="4" s="1"/>
  <c r="SB19" i="4"/>
  <c r="SB24" i="4" s="1"/>
  <c r="SA19" i="4"/>
  <c r="SA24" i="4" s="1"/>
  <c r="RZ19" i="4"/>
  <c r="RZ24" i="4" s="1"/>
  <c r="RY19" i="4"/>
  <c r="RY24" i="4" s="1"/>
  <c r="RX19" i="4"/>
  <c r="RX24" i="4" s="1"/>
  <c r="RW19" i="4"/>
  <c r="RW24" i="4" s="1"/>
  <c r="RV19" i="4"/>
  <c r="RV24" i="4" s="1"/>
  <c r="RU19" i="4"/>
  <c r="RU24" i="4" s="1"/>
  <c r="RT19" i="4"/>
  <c r="RT24" i="4" s="1"/>
  <c r="RS19" i="4"/>
  <c r="RS24" i="4" s="1"/>
  <c r="RR19" i="4"/>
  <c r="RR24" i="4" s="1"/>
  <c r="RQ19" i="4"/>
  <c r="RQ24" i="4" s="1"/>
  <c r="RP19" i="4"/>
  <c r="RP24" i="4" s="1"/>
  <c r="RO19" i="4"/>
  <c r="RO24" i="4" s="1"/>
  <c r="RN19" i="4"/>
  <c r="RN24" i="4" s="1"/>
  <c r="RM19" i="4"/>
  <c r="RM24" i="4" s="1"/>
  <c r="RL19" i="4"/>
  <c r="RL24" i="4" s="1"/>
  <c r="RJ19" i="4"/>
  <c r="RJ24" i="4" s="1"/>
  <c r="RI19" i="4"/>
  <c r="RI24" i="4" s="1"/>
  <c r="RH19" i="4"/>
  <c r="RF19" i="4"/>
  <c r="RF24" i="4" s="1"/>
  <c r="RE19" i="4"/>
  <c r="RE24" i="4" s="1"/>
  <c r="RD19" i="4"/>
  <c r="RD24" i="4" s="1"/>
  <c r="RC19" i="4"/>
  <c r="RC24" i="4" s="1"/>
  <c r="RB19" i="4"/>
  <c r="RB24" i="4" s="1"/>
  <c r="RA19" i="4"/>
  <c r="RA24" i="4" s="1"/>
  <c r="QZ19" i="4"/>
  <c r="QZ24" i="4" s="1"/>
  <c r="QY19" i="4"/>
  <c r="QY24" i="4" s="1"/>
  <c r="QX19" i="4"/>
  <c r="QX24" i="4" s="1"/>
  <c r="QW19" i="4"/>
  <c r="QW24" i="4" s="1"/>
  <c r="QV19" i="4"/>
  <c r="QV24" i="4" s="1"/>
  <c r="QU19" i="4"/>
  <c r="QU24" i="4" s="1"/>
  <c r="QT19" i="4"/>
  <c r="QT24" i="4" s="1"/>
  <c r="QS19" i="4"/>
  <c r="QS24" i="4" s="1"/>
  <c r="QR19" i="4"/>
  <c r="QR24" i="4" s="1"/>
  <c r="QP19" i="4"/>
  <c r="QP24" i="4" s="1"/>
  <c r="QO19" i="4"/>
  <c r="QO24" i="4" s="1"/>
  <c r="QN19" i="4"/>
  <c r="QN24" i="4" s="1"/>
  <c r="QM19" i="4"/>
  <c r="QM24" i="4" s="1"/>
  <c r="QL19" i="4"/>
  <c r="QL24" i="4" s="1"/>
  <c r="QK19" i="4"/>
  <c r="QK24" i="4" s="1"/>
  <c r="QJ19" i="4"/>
  <c r="QJ24" i="4" s="1"/>
  <c r="QI19" i="4"/>
  <c r="QI24" i="4" s="1"/>
  <c r="QH19" i="4"/>
  <c r="QH24" i="4" s="1"/>
  <c r="QG19" i="4"/>
  <c r="QG24" i="4" s="1"/>
  <c r="QF19" i="4"/>
  <c r="QF24" i="4" s="1"/>
  <c r="QE19" i="4"/>
  <c r="QE24" i="4" s="1"/>
  <c r="QD19" i="4"/>
  <c r="QD24" i="4" s="1"/>
  <c r="QC19" i="4"/>
  <c r="QB19" i="4"/>
  <c r="QB24" i="4" s="1"/>
  <c r="PZ19" i="4"/>
  <c r="PZ24" i="4" s="1"/>
  <c r="PY19" i="4"/>
  <c r="PY24" i="4" s="1"/>
  <c r="PX19" i="4"/>
  <c r="PX24" i="4" s="1"/>
  <c r="PW19" i="4"/>
  <c r="PW24" i="4" s="1"/>
  <c r="PV19" i="4"/>
  <c r="PV24" i="4" s="1"/>
  <c r="PU19" i="4"/>
  <c r="PU24" i="4" s="1"/>
  <c r="PT19" i="4"/>
  <c r="PT24" i="4" s="1"/>
  <c r="PS19" i="4"/>
  <c r="PS24" i="4" s="1"/>
  <c r="PR19" i="4"/>
  <c r="PR24" i="4" s="1"/>
  <c r="PQ19" i="4"/>
  <c r="PQ24" i="4" s="1"/>
  <c r="PP19" i="4"/>
  <c r="PP24" i="4" s="1"/>
  <c r="PO19" i="4"/>
  <c r="PO24" i="4" s="1"/>
  <c r="PN19" i="4"/>
  <c r="PN24" i="4" s="1"/>
  <c r="PL19" i="4"/>
  <c r="PL24" i="4" s="1"/>
  <c r="PK19" i="4"/>
  <c r="PK24" i="4" s="1"/>
  <c r="PJ19" i="4"/>
  <c r="PJ24" i="4" s="1"/>
  <c r="PI19" i="4"/>
  <c r="PI24" i="4" s="1"/>
  <c r="PH19" i="4"/>
  <c r="PH24" i="4" s="1"/>
  <c r="PG19" i="4"/>
  <c r="PG24" i="4" s="1"/>
  <c r="PF19" i="4"/>
  <c r="PF24" i="4" s="1"/>
  <c r="PE19" i="4"/>
  <c r="PE24" i="4" s="1"/>
  <c r="PD19" i="4"/>
  <c r="PD24" i="4" s="1"/>
  <c r="PC19" i="4"/>
  <c r="PC24" i="4" s="1"/>
  <c r="PB19" i="4"/>
  <c r="PB24" i="4" s="1"/>
  <c r="PA19" i="4"/>
  <c r="PA24" i="4" s="1"/>
  <c r="OZ19" i="4"/>
  <c r="OZ24" i="4" s="1"/>
  <c r="OY19" i="4"/>
  <c r="OY24" i="4" s="1"/>
  <c r="OX19" i="4"/>
  <c r="OX24" i="4" s="1"/>
  <c r="OW19" i="4"/>
  <c r="OU19" i="4"/>
  <c r="OU24" i="4" s="1"/>
  <c r="OT19" i="4"/>
  <c r="OT24" i="4" s="1"/>
  <c r="OS19" i="4"/>
  <c r="OS24" i="4" s="1"/>
  <c r="OR19" i="4"/>
  <c r="OR24" i="4" s="1"/>
  <c r="OQ19" i="4"/>
  <c r="OQ24" i="4" s="1"/>
  <c r="OP19" i="4"/>
  <c r="OP24" i="4" s="1"/>
  <c r="OO19" i="4"/>
  <c r="OO24" i="4" s="1"/>
  <c r="ON19" i="4"/>
  <c r="ON24" i="4" s="1"/>
  <c r="OM19" i="4"/>
  <c r="OM24" i="4" s="1"/>
  <c r="OL19" i="4"/>
  <c r="OL24" i="4" s="1"/>
  <c r="OK19" i="4"/>
  <c r="OK24" i="4" s="1"/>
  <c r="OJ19" i="4"/>
  <c r="OJ24" i="4" s="1"/>
  <c r="OI19" i="4"/>
  <c r="OI24" i="4" s="1"/>
  <c r="OH19" i="4"/>
  <c r="OH24" i="4" s="1"/>
  <c r="OG19" i="4"/>
  <c r="OG24" i="4" s="1"/>
  <c r="OF19" i="4"/>
  <c r="OF24" i="4" s="1"/>
  <c r="OE19" i="4"/>
  <c r="OE24" i="4" s="1"/>
  <c r="OD19" i="4"/>
  <c r="OD24" i="4" s="1"/>
  <c r="OC19" i="4"/>
  <c r="OC24" i="4" s="1"/>
  <c r="OB19" i="4"/>
  <c r="OB24" i="4" s="1"/>
  <c r="OA19" i="4"/>
  <c r="OA24" i="4" s="1"/>
  <c r="NZ19" i="4"/>
  <c r="NZ24" i="4" s="1"/>
  <c r="NY19" i="4"/>
  <c r="NY24" i="4" s="1"/>
  <c r="NX19" i="4"/>
  <c r="NX24" i="4" s="1"/>
  <c r="NW19" i="4"/>
  <c r="NW24" i="4" s="1"/>
  <c r="NV19" i="4"/>
  <c r="NV24" i="4" s="1"/>
  <c r="NU19" i="4"/>
  <c r="NU24" i="4" s="1"/>
  <c r="NT19" i="4"/>
  <c r="NT24" i="4" s="1"/>
  <c r="NS19" i="4"/>
  <c r="NS24" i="4" s="1"/>
  <c r="NR19" i="4"/>
  <c r="NQ19" i="4"/>
  <c r="NQ24" i="4" s="1"/>
  <c r="NO19" i="4"/>
  <c r="NO24" i="4" s="1"/>
  <c r="NN19" i="4"/>
  <c r="NN24" i="4" s="1"/>
  <c r="NM19" i="4"/>
  <c r="NM24" i="4" s="1"/>
  <c r="NL19" i="4"/>
  <c r="NL24" i="4" s="1"/>
  <c r="NK19" i="4"/>
  <c r="NK24" i="4" s="1"/>
  <c r="NJ19" i="4"/>
  <c r="NJ24" i="4" s="1"/>
  <c r="NI19" i="4"/>
  <c r="NI24" i="4" s="1"/>
  <c r="NH19" i="4"/>
  <c r="NH24" i="4" s="1"/>
  <c r="NG19" i="4"/>
  <c r="NG24" i="4" s="1"/>
  <c r="NF19" i="4"/>
  <c r="NF24" i="4" s="1"/>
  <c r="NE19" i="4"/>
  <c r="NE24" i="4" s="1"/>
  <c r="ND19" i="4"/>
  <c r="ND24" i="4" s="1"/>
  <c r="NC19" i="4"/>
  <c r="NC24" i="4" s="1"/>
  <c r="NB19" i="4"/>
  <c r="NB24" i="4" s="1"/>
  <c r="NA19" i="4"/>
  <c r="NA24" i="4" s="1"/>
  <c r="MZ19" i="4"/>
  <c r="MZ24" i="4" s="1"/>
  <c r="MY19" i="4"/>
  <c r="MY24" i="4" s="1"/>
  <c r="MX19" i="4"/>
  <c r="MX24" i="4" s="1"/>
  <c r="MW19" i="4"/>
  <c r="MW24" i="4" s="1"/>
  <c r="MV19" i="4"/>
  <c r="MV24" i="4" s="1"/>
  <c r="MU19" i="4"/>
  <c r="MU24" i="4" s="1"/>
  <c r="MT19" i="4"/>
  <c r="MT24" i="4" s="1"/>
  <c r="MS19" i="4"/>
  <c r="MS24" i="4" s="1"/>
  <c r="MR19" i="4"/>
  <c r="MR24" i="4" s="1"/>
  <c r="MQ19" i="4"/>
  <c r="MQ24" i="4" s="1"/>
  <c r="MP19" i="4"/>
  <c r="MP24" i="4" s="1"/>
  <c r="MO19" i="4"/>
  <c r="MO24" i="4" s="1"/>
  <c r="MN19" i="4"/>
  <c r="MN24" i="4" s="1"/>
  <c r="MM19" i="4"/>
  <c r="MM24" i="4" s="1"/>
  <c r="ML19" i="4"/>
  <c r="MK19" i="4"/>
  <c r="MK24" i="4" s="1"/>
  <c r="MI19" i="4"/>
  <c r="MI24" i="4" s="1"/>
  <c r="MH19" i="4"/>
  <c r="MH24" i="4" s="1"/>
  <c r="MG19" i="4"/>
  <c r="MG24" i="4" s="1"/>
  <c r="MF19" i="4"/>
  <c r="MF24" i="4" s="1"/>
  <c r="ME19" i="4"/>
  <c r="ME24" i="4" s="1"/>
  <c r="MD19" i="4"/>
  <c r="MD24" i="4" s="1"/>
  <c r="MC19" i="4"/>
  <c r="MC24" i="4" s="1"/>
  <c r="MB19" i="4"/>
  <c r="MB24" i="4" s="1"/>
  <c r="MA19" i="4"/>
  <c r="MA24" i="4" s="1"/>
  <c r="LZ19" i="4"/>
  <c r="LZ24" i="4" s="1"/>
  <c r="LY19" i="4"/>
  <c r="LY24" i="4" s="1"/>
  <c r="LX19" i="4"/>
  <c r="LX24" i="4" s="1"/>
  <c r="LW19" i="4"/>
  <c r="LW24" i="4" s="1"/>
  <c r="LV19" i="4"/>
  <c r="LV24" i="4" s="1"/>
  <c r="LU19" i="4"/>
  <c r="LU24" i="4" s="1"/>
  <c r="LT19" i="4"/>
  <c r="LT24" i="4" s="1"/>
  <c r="LS19" i="4"/>
  <c r="LS24" i="4" s="1"/>
  <c r="LR19" i="4"/>
  <c r="LR24" i="4" s="1"/>
  <c r="LQ19" i="4"/>
  <c r="LQ24" i="4" s="1"/>
  <c r="LP19" i="4"/>
  <c r="LP24" i="4" s="1"/>
  <c r="LO19" i="4"/>
  <c r="LO24" i="4" s="1"/>
  <c r="LM19" i="4"/>
  <c r="LM24" i="4" s="1"/>
  <c r="LK19" i="4"/>
  <c r="LK24" i="4" s="1"/>
  <c r="LJ19" i="4"/>
  <c r="LJ24" i="4" s="1"/>
  <c r="LI19" i="4"/>
  <c r="LI24" i="4" s="1"/>
  <c r="LH19" i="4"/>
  <c r="LH24" i="4" s="1"/>
  <c r="LF19" i="4"/>
  <c r="LD19" i="4"/>
  <c r="LD24" i="4" s="1"/>
  <c r="LC19" i="4"/>
  <c r="LC24" i="4" s="1"/>
  <c r="LB19" i="4"/>
  <c r="LB24" i="4" s="1"/>
  <c r="LA19" i="4"/>
  <c r="LA24" i="4" s="1"/>
  <c r="KZ19" i="4"/>
  <c r="KZ24" i="4" s="1"/>
  <c r="KY19" i="4"/>
  <c r="KY24" i="4" s="1"/>
  <c r="KX19" i="4"/>
  <c r="KX24" i="4" s="1"/>
  <c r="KW19" i="4"/>
  <c r="KW24" i="4" s="1"/>
  <c r="KV19" i="4"/>
  <c r="KV24" i="4" s="1"/>
  <c r="KU19" i="4"/>
  <c r="KU24" i="4" s="1"/>
  <c r="KT19" i="4"/>
  <c r="KT24" i="4" s="1"/>
  <c r="KS19" i="4"/>
  <c r="KS24" i="4" s="1"/>
  <c r="KR19" i="4"/>
  <c r="KR24" i="4" s="1"/>
  <c r="KQ19" i="4"/>
  <c r="KQ24" i="4" s="1"/>
  <c r="KP19" i="4"/>
  <c r="KP24" i="4" s="1"/>
  <c r="KO19" i="4"/>
  <c r="KO24" i="4" s="1"/>
  <c r="KN19" i="4"/>
  <c r="KN24" i="4" s="1"/>
  <c r="KM19" i="4"/>
  <c r="KM24" i="4" s="1"/>
  <c r="KL19" i="4"/>
  <c r="KL24" i="4" s="1"/>
  <c r="KK19" i="4"/>
  <c r="KK24" i="4" s="1"/>
  <c r="KJ19" i="4"/>
  <c r="KJ24" i="4" s="1"/>
  <c r="KI19" i="4"/>
  <c r="KI24" i="4" s="1"/>
  <c r="KH19" i="4"/>
  <c r="KH24" i="4" s="1"/>
  <c r="KG19" i="4"/>
  <c r="KG24" i="4" s="1"/>
  <c r="KE19" i="4"/>
  <c r="KE24" i="4" s="1"/>
  <c r="KD19" i="4"/>
  <c r="KD24" i="4" s="1"/>
  <c r="KC19" i="4"/>
  <c r="KC24" i="4" s="1"/>
  <c r="KB19" i="4"/>
  <c r="KB24" i="4" s="1"/>
  <c r="KA19" i="4"/>
  <c r="JZ19" i="4"/>
  <c r="JZ24" i="4" s="1"/>
  <c r="JX19" i="4"/>
  <c r="JX24" i="4" s="1"/>
  <c r="JW19" i="4"/>
  <c r="JW24" i="4" s="1"/>
  <c r="JV19" i="4"/>
  <c r="JV24" i="4" s="1"/>
  <c r="JU19" i="4"/>
  <c r="JU24" i="4" s="1"/>
  <c r="JT19" i="4"/>
  <c r="JT24" i="4" s="1"/>
  <c r="JS19" i="4"/>
  <c r="JS24" i="4" s="1"/>
  <c r="JR19" i="4"/>
  <c r="JR24" i="4" s="1"/>
  <c r="JQ19" i="4"/>
  <c r="JQ24" i="4" s="1"/>
  <c r="JP19" i="4"/>
  <c r="JP24" i="4" s="1"/>
  <c r="JO19" i="4"/>
  <c r="JO24" i="4" s="1"/>
  <c r="JN19" i="4"/>
  <c r="JN24" i="4" s="1"/>
  <c r="JM19" i="4"/>
  <c r="JM24" i="4" s="1"/>
  <c r="JL19" i="4"/>
  <c r="JL24" i="4" s="1"/>
  <c r="JK19" i="4"/>
  <c r="JK24" i="4" s="1"/>
  <c r="JJ19" i="4"/>
  <c r="JJ24" i="4" s="1"/>
  <c r="JI19" i="4"/>
  <c r="JI24" i="4" s="1"/>
  <c r="JH19" i="4"/>
  <c r="JH24" i="4" s="1"/>
  <c r="JG19" i="4"/>
  <c r="JG24" i="4" s="1"/>
  <c r="JF19" i="4"/>
  <c r="JF24" i="4" s="1"/>
  <c r="JE19" i="4"/>
  <c r="JE24" i="4" s="1"/>
  <c r="JD19" i="4"/>
  <c r="JD24" i="4" s="1"/>
  <c r="JC19" i="4"/>
  <c r="JC24" i="4" s="1"/>
  <c r="JB19" i="4"/>
  <c r="JB24" i="4" s="1"/>
  <c r="JA19" i="4"/>
  <c r="JA24" i="4" s="1"/>
  <c r="IZ19" i="4"/>
  <c r="IZ24" i="4" s="1"/>
  <c r="IY19" i="4"/>
  <c r="IY24" i="4" s="1"/>
  <c r="IX19" i="4"/>
  <c r="IX24" i="4" s="1"/>
  <c r="IW19" i="4"/>
  <c r="IW24" i="4" s="1"/>
  <c r="IV19" i="4"/>
  <c r="IV24" i="4" s="1"/>
  <c r="IU19" i="4"/>
  <c r="IS19" i="4"/>
  <c r="IS24" i="4" s="1"/>
  <c r="IR19" i="4"/>
  <c r="IR24" i="4" s="1"/>
  <c r="IQ19" i="4"/>
  <c r="IQ24" i="4" s="1"/>
  <c r="IP19" i="4"/>
  <c r="IP24" i="4" s="1"/>
  <c r="IO19" i="4"/>
  <c r="IO24" i="4" s="1"/>
  <c r="IN19" i="4"/>
  <c r="IN24" i="4" s="1"/>
  <c r="IM19" i="4"/>
  <c r="IM24" i="4" s="1"/>
  <c r="IL19" i="4"/>
  <c r="IL24" i="4" s="1"/>
  <c r="IK19" i="4"/>
  <c r="IK24" i="4" s="1"/>
  <c r="IJ19" i="4"/>
  <c r="IJ24" i="4" s="1"/>
  <c r="II19" i="4"/>
  <c r="II24" i="4" s="1"/>
  <c r="IH19" i="4"/>
  <c r="IH24" i="4" s="1"/>
  <c r="IF19" i="4"/>
  <c r="IF24" i="4" s="1"/>
  <c r="IE19" i="4"/>
  <c r="IE24" i="4" s="1"/>
  <c r="ID19" i="4"/>
  <c r="ID24" i="4" s="1"/>
  <c r="IC19" i="4"/>
  <c r="IC24" i="4" s="1"/>
  <c r="IB19" i="4"/>
  <c r="IB24" i="4" s="1"/>
  <c r="IA19" i="4"/>
  <c r="IA24" i="4" s="1"/>
  <c r="HZ19" i="4"/>
  <c r="HZ24" i="4" s="1"/>
  <c r="HY19" i="4"/>
  <c r="HY24" i="4" s="1"/>
  <c r="HX19" i="4"/>
  <c r="HX24" i="4" s="1"/>
  <c r="HW19" i="4"/>
  <c r="HW24" i="4" s="1"/>
  <c r="HV19" i="4"/>
  <c r="HV24" i="4" s="1"/>
  <c r="HT19" i="4"/>
  <c r="HT24" i="4" s="1"/>
  <c r="HS19" i="4"/>
  <c r="HS24" i="4" s="1"/>
  <c r="HR19" i="4"/>
  <c r="HR24" i="4" s="1"/>
  <c r="HQ19" i="4"/>
  <c r="HQ24" i="4" s="1"/>
  <c r="HP19" i="4"/>
  <c r="HP24" i="4" s="1"/>
  <c r="HO19" i="4"/>
  <c r="HM19" i="4"/>
  <c r="HM24" i="4" s="1"/>
  <c r="HL19" i="4"/>
  <c r="HL24" i="4" s="1"/>
  <c r="HK19" i="4"/>
  <c r="HK24" i="4" s="1"/>
  <c r="HJ19" i="4"/>
  <c r="HJ24" i="4" s="1"/>
  <c r="HI19" i="4"/>
  <c r="HI24" i="4" s="1"/>
  <c r="HH19" i="4"/>
  <c r="HH24" i="4" s="1"/>
  <c r="HG19" i="4"/>
  <c r="HG24" i="4" s="1"/>
  <c r="HF19" i="4"/>
  <c r="HF24" i="4" s="1"/>
  <c r="HE19" i="4"/>
  <c r="HE24" i="4" s="1"/>
  <c r="HD19" i="4"/>
  <c r="HD24" i="4" s="1"/>
  <c r="HC19" i="4"/>
  <c r="HC24" i="4" s="1"/>
  <c r="HB19" i="4"/>
  <c r="HB24" i="4" s="1"/>
  <c r="HA19" i="4"/>
  <c r="HA24" i="4" s="1"/>
  <c r="GZ19" i="4"/>
  <c r="GZ24" i="4" s="1"/>
  <c r="GY19" i="4"/>
  <c r="GY24" i="4" s="1"/>
  <c r="GX19" i="4"/>
  <c r="GX24" i="4" s="1"/>
  <c r="GW19" i="4"/>
  <c r="GW24" i="4" s="1"/>
  <c r="GV19" i="4"/>
  <c r="GV24" i="4" s="1"/>
  <c r="GU19" i="4"/>
  <c r="GU24" i="4" s="1"/>
  <c r="GT19" i="4"/>
  <c r="GT24" i="4" s="1"/>
  <c r="GS19" i="4"/>
  <c r="GS24" i="4" s="1"/>
  <c r="GQ19" i="4"/>
  <c r="GQ24" i="4" s="1"/>
  <c r="GP19" i="4"/>
  <c r="GP24" i="4" s="1"/>
  <c r="GO19" i="4"/>
  <c r="GO24" i="4" s="1"/>
  <c r="GM19" i="4"/>
  <c r="GM24" i="4" s="1"/>
  <c r="GL19" i="4"/>
  <c r="GL24" i="4" s="1"/>
  <c r="GK19" i="4"/>
  <c r="GI19" i="4"/>
  <c r="GI24" i="4" s="1"/>
  <c r="GG19" i="4"/>
  <c r="GG24" i="4" s="1"/>
  <c r="GF19" i="4"/>
  <c r="GF24" i="4" s="1"/>
  <c r="GE19" i="4"/>
  <c r="GE24" i="4" s="1"/>
  <c r="GD19" i="4"/>
  <c r="GD24" i="4" s="1"/>
  <c r="GC19" i="4"/>
  <c r="GC24" i="4" s="1"/>
  <c r="GB19" i="4"/>
  <c r="GB24" i="4" s="1"/>
  <c r="GA19" i="4"/>
  <c r="GA24" i="4" s="1"/>
  <c r="FZ19" i="4"/>
  <c r="FZ24" i="4" s="1"/>
  <c r="FY19" i="4"/>
  <c r="FY24" i="4" s="1"/>
  <c r="FX19" i="4"/>
  <c r="FX24" i="4" s="1"/>
  <c r="FW19" i="4"/>
  <c r="FW24" i="4" s="1"/>
  <c r="FV19" i="4"/>
  <c r="FV24" i="4" s="1"/>
  <c r="FU19" i="4"/>
  <c r="FU24" i="4" s="1"/>
  <c r="FT19" i="4"/>
  <c r="FT24" i="4" s="1"/>
  <c r="FS19" i="4"/>
  <c r="FS24" i="4" s="1"/>
  <c r="FR19" i="4"/>
  <c r="FR24" i="4" s="1"/>
  <c r="FQ19" i="4"/>
  <c r="FQ24" i="4" s="1"/>
  <c r="FP19" i="4"/>
  <c r="FP24" i="4" s="1"/>
  <c r="FO19" i="4"/>
  <c r="FO24" i="4" s="1"/>
  <c r="FN19" i="4"/>
  <c r="FN24" i="4" s="1"/>
  <c r="FM19" i="4"/>
  <c r="FM24" i="4" s="1"/>
  <c r="FK19" i="4"/>
  <c r="FK24" i="4" s="1"/>
  <c r="FJ19" i="4"/>
  <c r="FJ24" i="4" s="1"/>
  <c r="FI19" i="4"/>
  <c r="FI24" i="4" s="1"/>
  <c r="FH19" i="4"/>
  <c r="FH24" i="4" s="1"/>
  <c r="FG19" i="4"/>
  <c r="FG24" i="4" s="1"/>
  <c r="FF19" i="4"/>
  <c r="FF24" i="4" s="1"/>
  <c r="FE19" i="4"/>
  <c r="FB19" i="4"/>
  <c r="FB24" i="4" s="1"/>
  <c r="FA19" i="4"/>
  <c r="FA24" i="4" s="1"/>
  <c r="EZ19" i="4"/>
  <c r="EZ24" i="4" s="1"/>
  <c r="EY19" i="4"/>
  <c r="EY24" i="4" s="1"/>
  <c r="EX19" i="4"/>
  <c r="EX24" i="4" s="1"/>
  <c r="EW19" i="4"/>
  <c r="EW24" i="4" s="1"/>
  <c r="EV19" i="4"/>
  <c r="EV24" i="4" s="1"/>
  <c r="EU19" i="4"/>
  <c r="EU24" i="4" s="1"/>
  <c r="ET19" i="4"/>
  <c r="ET24" i="4" s="1"/>
  <c r="ES19" i="4"/>
  <c r="ES24" i="4" s="1"/>
  <c r="ER19" i="4"/>
  <c r="ER24" i="4" s="1"/>
  <c r="EQ19" i="4"/>
  <c r="EQ24" i="4" s="1"/>
  <c r="EP19" i="4"/>
  <c r="EP24" i="4" s="1"/>
  <c r="EO19" i="4"/>
  <c r="EO24" i="4" s="1"/>
  <c r="EN19" i="4"/>
  <c r="EN24" i="4" s="1"/>
  <c r="EM19" i="4"/>
  <c r="EM24" i="4" s="1"/>
  <c r="EL19" i="4"/>
  <c r="EL24" i="4" s="1"/>
  <c r="EK19" i="4"/>
  <c r="EK24" i="4" s="1"/>
  <c r="EJ19" i="4"/>
  <c r="EJ24" i="4" s="1"/>
  <c r="EH19" i="4"/>
  <c r="EH24" i="4" s="1"/>
  <c r="EG19" i="4"/>
  <c r="EG24" i="4" s="1"/>
  <c r="EF19" i="4"/>
  <c r="EF24" i="4" s="1"/>
  <c r="EE19" i="4"/>
  <c r="EE24" i="4" s="1"/>
  <c r="ED19" i="4"/>
  <c r="ED24" i="4" s="1"/>
  <c r="EC19" i="4"/>
  <c r="EC24" i="4" s="1"/>
  <c r="EB19" i="4"/>
  <c r="EB24" i="4" s="1"/>
  <c r="EA19" i="4"/>
  <c r="EA24" i="4" s="1"/>
  <c r="DZ19" i="4"/>
  <c r="DZ24" i="4" s="1"/>
  <c r="DY19" i="4"/>
  <c r="DW19" i="4"/>
  <c r="DW24" i="4" s="1"/>
  <c r="DV19" i="4"/>
  <c r="DV24" i="4" s="1"/>
  <c r="DU19" i="4"/>
  <c r="DU24" i="4" s="1"/>
  <c r="DT19" i="4"/>
  <c r="DT24" i="4" s="1"/>
  <c r="DS19" i="4"/>
  <c r="DS24" i="4" s="1"/>
  <c r="DR19" i="4"/>
  <c r="DR24" i="4" s="1"/>
  <c r="DQ19" i="4"/>
  <c r="DQ24" i="4" s="1"/>
  <c r="DP19" i="4"/>
  <c r="DP24" i="4" s="1"/>
  <c r="DO19" i="4"/>
  <c r="DO24" i="4" s="1"/>
  <c r="DN19" i="4"/>
  <c r="DN24" i="4" s="1"/>
  <c r="DM19" i="4"/>
  <c r="DM24" i="4" s="1"/>
  <c r="DL19" i="4"/>
  <c r="DL24" i="4" s="1"/>
  <c r="DK19" i="4"/>
  <c r="DK24" i="4" s="1"/>
  <c r="DJ19" i="4"/>
  <c r="DJ24" i="4" s="1"/>
  <c r="DI19" i="4"/>
  <c r="DI24" i="4" s="1"/>
  <c r="DH19" i="4"/>
  <c r="DH24" i="4" s="1"/>
  <c r="DG19" i="4"/>
  <c r="DG24" i="4" s="1"/>
  <c r="DF19" i="4"/>
  <c r="DF24" i="4" s="1"/>
  <c r="DE19" i="4"/>
  <c r="DE24" i="4" s="1"/>
  <c r="DD19" i="4"/>
  <c r="DD24" i="4" s="1"/>
  <c r="DC19" i="4"/>
  <c r="DC24" i="4" s="1"/>
  <c r="DB19" i="4"/>
  <c r="DB24" i="4" s="1"/>
  <c r="DA19" i="4"/>
  <c r="DA24" i="4" s="1"/>
  <c r="CZ19" i="4"/>
  <c r="CZ24" i="4" s="1"/>
  <c r="CY19" i="4"/>
  <c r="CY24" i="4" s="1"/>
  <c r="CX19" i="4"/>
  <c r="CX24" i="4" s="1"/>
  <c r="CW19" i="4"/>
  <c r="CW24" i="4" s="1"/>
  <c r="CV19" i="4"/>
  <c r="CV24" i="4" s="1"/>
  <c r="CU19" i="4"/>
  <c r="CU24" i="4" s="1"/>
  <c r="CT19" i="4"/>
  <c r="CR19" i="4"/>
  <c r="CR24" i="4" s="1"/>
  <c r="CQ19" i="4"/>
  <c r="CQ24" i="4" s="1"/>
  <c r="CP19" i="4"/>
  <c r="CP24" i="4" s="1"/>
  <c r="CO19" i="4"/>
  <c r="CO24" i="4" s="1"/>
  <c r="CN19" i="4"/>
  <c r="CN24" i="4" s="1"/>
  <c r="CL19" i="4"/>
  <c r="CL24" i="4" s="1"/>
  <c r="CK19" i="4"/>
  <c r="CK24" i="4" s="1"/>
  <c r="CJ19" i="4"/>
  <c r="CJ24" i="4" s="1"/>
  <c r="CI19" i="4"/>
  <c r="CI24" i="4" s="1"/>
  <c r="CH19" i="4"/>
  <c r="CH24" i="4" s="1"/>
  <c r="CG19" i="4"/>
  <c r="CG24" i="4" s="1"/>
  <c r="CF19" i="4"/>
  <c r="CF24" i="4" s="1"/>
  <c r="CD19" i="4"/>
  <c r="CD24" i="4" s="1"/>
  <c r="CB19" i="4"/>
  <c r="CB24" i="4" s="1"/>
  <c r="CA19" i="4"/>
  <c r="CA24" i="4" s="1"/>
  <c r="BY19" i="4"/>
  <c r="BY24" i="4" s="1"/>
  <c r="BX19" i="4"/>
  <c r="BX24" i="4" s="1"/>
  <c r="BW19" i="4"/>
  <c r="BW24" i="4" s="1"/>
  <c r="BU19" i="4"/>
  <c r="BU24" i="4" s="1"/>
  <c r="BT19" i="4"/>
  <c r="BT24" i="4" s="1"/>
  <c r="BS19" i="4"/>
  <c r="BS24" i="4" s="1"/>
  <c r="BR19" i="4"/>
  <c r="BR24" i="4" s="1"/>
  <c r="BQ19" i="4"/>
  <c r="BQ24" i="4" s="1"/>
  <c r="BP19" i="4"/>
  <c r="BP24" i="4" s="1"/>
  <c r="BO19" i="4"/>
  <c r="BO24" i="4" s="1"/>
  <c r="BN19" i="4"/>
  <c r="BL19" i="4"/>
  <c r="BL24" i="4" s="1"/>
  <c r="BK19" i="4"/>
  <c r="BK24" i="4" s="1"/>
  <c r="BJ19" i="4"/>
  <c r="BJ24" i="4" s="1"/>
  <c r="BI19" i="4"/>
  <c r="BI24" i="4" s="1"/>
  <c r="BH19" i="4"/>
  <c r="BH24" i="4" s="1"/>
  <c r="BG19" i="4"/>
  <c r="BG24" i="4" s="1"/>
  <c r="BE19" i="4"/>
  <c r="BE24" i="4" s="1"/>
  <c r="BC19" i="4"/>
  <c r="BC24" i="4" s="1"/>
  <c r="BB19" i="4"/>
  <c r="BB24" i="4" s="1"/>
  <c r="BA19" i="4"/>
  <c r="BA24" i="4" s="1"/>
  <c r="AZ19" i="4"/>
  <c r="AZ24" i="4" s="1"/>
  <c r="AY19" i="4"/>
  <c r="AY24" i="4" s="1"/>
  <c r="AX19" i="4"/>
  <c r="AX24" i="4" s="1"/>
  <c r="AW19" i="4"/>
  <c r="AW24" i="4" s="1"/>
  <c r="AV19" i="4"/>
  <c r="AV24" i="4" s="1"/>
  <c r="AU19" i="4"/>
  <c r="AU24" i="4" s="1"/>
  <c r="AT19" i="4"/>
  <c r="AT24" i="4" s="1"/>
  <c r="AS19" i="4"/>
  <c r="AS24" i="4" s="1"/>
  <c r="AR19" i="4"/>
  <c r="AR24" i="4" s="1"/>
  <c r="AQ19" i="4"/>
  <c r="AQ24" i="4" s="1"/>
  <c r="AP19" i="4"/>
  <c r="AP24" i="4" s="1"/>
  <c r="AM19" i="4"/>
  <c r="AM24" i="4" s="1"/>
  <c r="AL19" i="4"/>
  <c r="AL24" i="4" s="1"/>
  <c r="AK19" i="4"/>
  <c r="AK24" i="4" s="1"/>
  <c r="AJ19" i="4"/>
  <c r="AJ24" i="4" s="1"/>
  <c r="AI19" i="4"/>
  <c r="AG19" i="4"/>
  <c r="AG24" i="4" s="1"/>
  <c r="AF19" i="4"/>
  <c r="AF24" i="4" s="1"/>
  <c r="AC19" i="4"/>
  <c r="AC24" i="4" s="1"/>
  <c r="AB19" i="4"/>
  <c r="AB24" i="4" s="1"/>
  <c r="AA19" i="4"/>
  <c r="AA24" i="4" s="1"/>
  <c r="Z19" i="4"/>
  <c r="Z24" i="4" s="1"/>
  <c r="Y19" i="4"/>
  <c r="Y24" i="4" s="1"/>
  <c r="W19" i="4"/>
  <c r="W24" i="4" s="1"/>
  <c r="V19" i="4"/>
  <c r="V24" i="4" s="1"/>
  <c r="U19" i="4"/>
  <c r="U24" i="4" s="1"/>
  <c r="T19" i="4"/>
  <c r="T24" i="4" s="1"/>
  <c r="R19" i="4"/>
  <c r="R24" i="4" s="1"/>
  <c r="Q19" i="4"/>
  <c r="Q24" i="4" s="1"/>
  <c r="P19" i="4"/>
  <c r="P24" i="4" s="1"/>
  <c r="O19" i="4"/>
  <c r="O24" i="4" s="1"/>
  <c r="N19" i="4"/>
  <c r="N24" i="4" s="1"/>
  <c r="M19" i="4"/>
  <c r="M24" i="4" s="1"/>
  <c r="L19" i="4"/>
  <c r="L24" i="4" s="1"/>
  <c r="K19" i="4"/>
  <c r="K24" i="4" s="1"/>
  <c r="J19" i="4"/>
  <c r="J24" i="4" s="1"/>
  <c r="G19" i="4"/>
  <c r="G24" i="4" s="1"/>
  <c r="E19" i="4"/>
  <c r="AOC17" i="4"/>
  <c r="AOB17" i="4"/>
  <c r="AOA17" i="4"/>
  <c r="ANZ17" i="4"/>
  <c r="ANY17" i="4"/>
  <c r="ANX17" i="4"/>
  <c r="ANW17" i="4"/>
  <c r="ANV17" i="4"/>
  <c r="ANU17" i="4"/>
  <c r="ANT17" i="4"/>
  <c r="ANS17" i="4"/>
  <c r="ANR17" i="4"/>
  <c r="ANQ17" i="4"/>
  <c r="ANP17" i="4"/>
  <c r="ANO17" i="4"/>
  <c r="ANN17" i="4"/>
  <c r="ANM17" i="4"/>
  <c r="ANL17" i="4"/>
  <c r="ANK17" i="4"/>
  <c r="ANJ17" i="4"/>
  <c r="ANI17" i="4"/>
  <c r="ANH17" i="4"/>
  <c r="ANG17" i="4"/>
  <c r="ANF17" i="4"/>
  <c r="ANE17" i="4"/>
  <c r="AND17" i="4"/>
  <c r="ANC17" i="4"/>
  <c r="ANB17" i="4"/>
  <c r="ANA17" i="4"/>
  <c r="AMZ17" i="4"/>
  <c r="AMX17" i="4"/>
  <c r="AMW17" i="4"/>
  <c r="AMV17" i="4"/>
  <c r="AMU17" i="4"/>
  <c r="AMT17" i="4"/>
  <c r="AMS17" i="4"/>
  <c r="AMR17" i="4"/>
  <c r="AMQ17" i="4"/>
  <c r="AMP17" i="4"/>
  <c r="AMO17" i="4"/>
  <c r="AMN17" i="4"/>
  <c r="AMM17" i="4"/>
  <c r="AML17" i="4"/>
  <c r="AMK17" i="4"/>
  <c r="AMJ17" i="4"/>
  <c r="AMI17" i="4"/>
  <c r="AMH17" i="4"/>
  <c r="AMG17" i="4"/>
  <c r="AMF17" i="4"/>
  <c r="AME17" i="4"/>
  <c r="AMD17" i="4"/>
  <c r="AMC17" i="4"/>
  <c r="AMB17" i="4"/>
  <c r="AMA17" i="4"/>
  <c r="ALZ17" i="4"/>
  <c r="ALY17" i="4"/>
  <c r="ALX17" i="4"/>
  <c r="ALW17" i="4"/>
  <c r="ALV17" i="4"/>
  <c r="ALU17" i="4"/>
  <c r="AMY17" i="4" s="1"/>
  <c r="ALS17" i="4"/>
  <c r="ALR17" i="4"/>
  <c r="ALQ17" i="4"/>
  <c r="ALP17" i="4"/>
  <c r="ALO17" i="4"/>
  <c r="ALN17" i="4"/>
  <c r="ALM17" i="4"/>
  <c r="ALL17" i="4"/>
  <c r="ALK17" i="4"/>
  <c r="ALJ17" i="4"/>
  <c r="ALI17" i="4"/>
  <c r="ALH17" i="4"/>
  <c r="ALG17" i="4"/>
  <c r="ALF17" i="4"/>
  <c r="ALE17" i="4"/>
  <c r="ALD17" i="4"/>
  <c r="ALC17" i="4"/>
  <c r="ALB17" i="4"/>
  <c r="ALA17" i="4"/>
  <c r="AKZ17" i="4"/>
  <c r="AKY17" i="4"/>
  <c r="AKX17" i="4"/>
  <c r="AKW17" i="4"/>
  <c r="AKV17" i="4"/>
  <c r="AKU17" i="4"/>
  <c r="AKT17" i="4"/>
  <c r="AKS17" i="4"/>
  <c r="AKR17" i="4"/>
  <c r="AKQ17" i="4"/>
  <c r="AKP17" i="4"/>
  <c r="AKO17" i="4"/>
  <c r="ALT17" i="4" s="1"/>
  <c r="AKM17" i="4"/>
  <c r="AKL17" i="4"/>
  <c r="AKK17" i="4"/>
  <c r="AKJ17" i="4"/>
  <c r="AKI17" i="4"/>
  <c r="AKH17" i="4"/>
  <c r="AKG17" i="4"/>
  <c r="AKF17" i="4"/>
  <c r="AKE17" i="4"/>
  <c r="AKD17" i="4"/>
  <c r="AKC17" i="4"/>
  <c r="AKB17" i="4"/>
  <c r="AKA17" i="4"/>
  <c r="AJZ17" i="4"/>
  <c r="AJY17" i="4"/>
  <c r="AJX17" i="4"/>
  <c r="AJW17" i="4"/>
  <c r="AJV17" i="4"/>
  <c r="AJU17" i="4"/>
  <c r="AJT17" i="4"/>
  <c r="AJS17" i="4"/>
  <c r="AJR17" i="4"/>
  <c r="AJQ17" i="4"/>
  <c r="AJP17" i="4"/>
  <c r="AJO17" i="4"/>
  <c r="AJN17" i="4"/>
  <c r="AJM17" i="4"/>
  <c r="AJL17" i="4"/>
  <c r="AKN17" i="4" s="1"/>
  <c r="AJJ17" i="4"/>
  <c r="AJI17" i="4"/>
  <c r="AJH17" i="4"/>
  <c r="AJG17" i="4"/>
  <c r="AJF17" i="4"/>
  <c r="AJE17" i="4"/>
  <c r="AJD17" i="4"/>
  <c r="AJC17" i="4"/>
  <c r="AJB17" i="4"/>
  <c r="AJA17" i="4"/>
  <c r="AIZ17" i="4"/>
  <c r="AIY17" i="4"/>
  <c r="AIX17" i="4"/>
  <c r="AIW17" i="4"/>
  <c r="AIV17" i="4"/>
  <c r="AIU17" i="4"/>
  <c r="AIT17" i="4"/>
  <c r="AIS17" i="4"/>
  <c r="AIR17" i="4"/>
  <c r="AIQ17" i="4"/>
  <c r="AIP17" i="4"/>
  <c r="AIO17" i="4"/>
  <c r="AIN17" i="4"/>
  <c r="AIM17" i="4"/>
  <c r="AIL17" i="4"/>
  <c r="AIK17" i="4"/>
  <c r="AIJ17" i="4"/>
  <c r="AII17" i="4"/>
  <c r="AIH17" i="4"/>
  <c r="AIG17" i="4"/>
  <c r="AJK17" i="4" s="1"/>
  <c r="AIF17" i="4"/>
  <c r="AID17" i="4"/>
  <c r="AIC17" i="4"/>
  <c r="AIB17" i="4"/>
  <c r="AIA17" i="4"/>
  <c r="AHZ17" i="4"/>
  <c r="AHY17" i="4"/>
  <c r="AHX17" i="4"/>
  <c r="AHW17" i="4"/>
  <c r="AHV17" i="4"/>
  <c r="AHU17" i="4"/>
  <c r="AHT17" i="4"/>
  <c r="AHS17" i="4"/>
  <c r="AHR17" i="4"/>
  <c r="AHQ17" i="4"/>
  <c r="AHP17" i="4"/>
  <c r="AHO17" i="4"/>
  <c r="AHN17" i="4"/>
  <c r="AHM17" i="4"/>
  <c r="AHL17" i="4"/>
  <c r="AHK17" i="4"/>
  <c r="AHJ17" i="4"/>
  <c r="AHI17" i="4"/>
  <c r="AHH17" i="4"/>
  <c r="AHG17" i="4"/>
  <c r="AHF17" i="4"/>
  <c r="AHE17" i="4"/>
  <c r="AHD17" i="4"/>
  <c r="AHC17" i="4"/>
  <c r="AHB17" i="4"/>
  <c r="AHA17" i="4"/>
  <c r="AIE17" i="4" s="1"/>
  <c r="AGZ17" i="4"/>
  <c r="AGX17" i="4"/>
  <c r="AGW17" i="4"/>
  <c r="AGV17" i="4"/>
  <c r="AGU17" i="4"/>
  <c r="AGT17" i="4"/>
  <c r="AGS17" i="4"/>
  <c r="AGR17" i="4"/>
  <c r="AGQ17" i="4"/>
  <c r="AGP17" i="4"/>
  <c r="AGO17" i="4"/>
  <c r="AGN17" i="4"/>
  <c r="AGM17" i="4"/>
  <c r="AGL17" i="4"/>
  <c r="AGK17" i="4"/>
  <c r="AGJ17" i="4"/>
  <c r="AGI17" i="4"/>
  <c r="AGH17" i="4"/>
  <c r="AGG17" i="4"/>
  <c r="AGF17" i="4"/>
  <c r="AGE17" i="4"/>
  <c r="AGD17" i="4"/>
  <c r="AGC17" i="4"/>
  <c r="AGB17" i="4"/>
  <c r="AGA17" i="4"/>
  <c r="AFZ17" i="4"/>
  <c r="AFY17" i="4"/>
  <c r="AFX17" i="4"/>
  <c r="AFW17" i="4"/>
  <c r="AFV17" i="4"/>
  <c r="AFU17" i="4"/>
  <c r="AGY17" i="4" s="1"/>
  <c r="AFS17" i="4"/>
  <c r="AFR17" i="4"/>
  <c r="AFQ17" i="4"/>
  <c r="AFP17" i="4"/>
  <c r="AFO17" i="4"/>
  <c r="AFN17" i="4"/>
  <c r="AFM17" i="4"/>
  <c r="AFL17" i="4"/>
  <c r="AFK17" i="4"/>
  <c r="AFJ17" i="4"/>
  <c r="AFI17" i="4"/>
  <c r="AFH17" i="4"/>
  <c r="AFG17" i="4"/>
  <c r="AFF17" i="4"/>
  <c r="AFE17" i="4"/>
  <c r="AFD17" i="4"/>
  <c r="AFC17" i="4"/>
  <c r="AFB17" i="4"/>
  <c r="AFA17" i="4"/>
  <c r="AEZ17" i="4"/>
  <c r="AEY17" i="4"/>
  <c r="AEX17" i="4"/>
  <c r="AEW17" i="4"/>
  <c r="AEV17" i="4"/>
  <c r="AEU17" i="4"/>
  <c r="AET17" i="4"/>
  <c r="AES17" i="4"/>
  <c r="AER17" i="4"/>
  <c r="AEQ17" i="4"/>
  <c r="AEP17" i="4"/>
  <c r="AFT17" i="4" s="1"/>
  <c r="AEO17" i="4"/>
  <c r="AEM17" i="4"/>
  <c r="AEL17" i="4"/>
  <c r="AEK17" i="4"/>
  <c r="AEJ17" i="4"/>
  <c r="AEI17" i="4"/>
  <c r="AEH17" i="4"/>
  <c r="AEG17" i="4"/>
  <c r="AEF17" i="4"/>
  <c r="AEE17" i="4"/>
  <c r="AED17" i="4"/>
  <c r="AEC17" i="4"/>
  <c r="AEB17" i="4"/>
  <c r="AEA17" i="4"/>
  <c r="ADZ17" i="4"/>
  <c r="ADY17" i="4"/>
  <c r="ADX17" i="4"/>
  <c r="ADW17" i="4"/>
  <c r="ADV17" i="4"/>
  <c r="ADU17" i="4"/>
  <c r="ADT17" i="4"/>
  <c r="ADS17" i="4"/>
  <c r="ADR17" i="4"/>
  <c r="ADQ17" i="4"/>
  <c r="ADP17" i="4"/>
  <c r="ADO17" i="4"/>
  <c r="ADN17" i="4"/>
  <c r="ADM17" i="4"/>
  <c r="ADL17" i="4"/>
  <c r="ADK17" i="4"/>
  <c r="ADJ17" i="4"/>
  <c r="AEN17" i="4" s="1"/>
  <c r="ADH17" i="4"/>
  <c r="ADG17" i="4"/>
  <c r="ADF17" i="4"/>
  <c r="ADE17" i="4"/>
  <c r="ADD17" i="4"/>
  <c r="ADC17" i="4"/>
  <c r="ADB17" i="4"/>
  <c r="ADA17" i="4"/>
  <c r="ACZ17" i="4"/>
  <c r="ACY17" i="4"/>
  <c r="ACX17" i="4"/>
  <c r="ACW17" i="4"/>
  <c r="ACV17" i="4"/>
  <c r="ACU17" i="4"/>
  <c r="ACT17" i="4"/>
  <c r="ACS17" i="4"/>
  <c r="ACR17" i="4"/>
  <c r="ACQ17" i="4"/>
  <c r="ACP17" i="4"/>
  <c r="ACO17" i="4"/>
  <c r="ACN17" i="4"/>
  <c r="ACM17" i="4"/>
  <c r="ACL17" i="4"/>
  <c r="ACK17" i="4"/>
  <c r="ACJ17" i="4"/>
  <c r="ACI17" i="4"/>
  <c r="ACH17" i="4"/>
  <c r="ACG17" i="4"/>
  <c r="ACF17" i="4"/>
  <c r="ACE17" i="4"/>
  <c r="ADI17" i="4" s="1"/>
  <c r="ACD17" i="4"/>
  <c r="ACB17" i="4"/>
  <c r="ACA17" i="4"/>
  <c r="ABZ17" i="4"/>
  <c r="ABY17" i="4"/>
  <c r="ABX17" i="4"/>
  <c r="ABW17" i="4"/>
  <c r="ABV17" i="4"/>
  <c r="ABU17" i="4"/>
  <c r="ABT17" i="4"/>
  <c r="ABS17" i="4"/>
  <c r="ABR17" i="4"/>
  <c r="ABQ17" i="4"/>
  <c r="ABP17" i="4"/>
  <c r="ABO17" i="4"/>
  <c r="ABN17" i="4"/>
  <c r="ABM17" i="4"/>
  <c r="ABL17" i="4"/>
  <c r="ABK17" i="4"/>
  <c r="ABJ17" i="4"/>
  <c r="ABI17" i="4"/>
  <c r="ABH17" i="4"/>
  <c r="ABG17" i="4"/>
  <c r="ABF17" i="4"/>
  <c r="ABE17" i="4"/>
  <c r="ABD17" i="4"/>
  <c r="ABC17" i="4"/>
  <c r="ABB17" i="4"/>
  <c r="ABA17" i="4"/>
  <c r="AAZ17" i="4"/>
  <c r="AAY17" i="4"/>
  <c r="ACC17" i="4" s="1"/>
  <c r="AAX17" i="4"/>
  <c r="AAV17" i="4"/>
  <c r="AAU17" i="4"/>
  <c r="AAT17" i="4"/>
  <c r="AAS17" i="4"/>
  <c r="AAR17" i="4"/>
  <c r="AAQ17" i="4"/>
  <c r="AAP17" i="4"/>
  <c r="AAO17" i="4"/>
  <c r="AAN17" i="4"/>
  <c r="AAM17" i="4"/>
  <c r="AAL17" i="4"/>
  <c r="AAK17" i="4"/>
  <c r="AAJ17" i="4"/>
  <c r="AAI17" i="4"/>
  <c r="AAH17" i="4"/>
  <c r="AAG17" i="4"/>
  <c r="AAF17" i="4"/>
  <c r="AAE17" i="4"/>
  <c r="AAD17" i="4"/>
  <c r="AAC17" i="4"/>
  <c r="AAB17" i="4"/>
  <c r="AAA17" i="4"/>
  <c r="ZZ17" i="4"/>
  <c r="ZY17" i="4"/>
  <c r="ZX17" i="4"/>
  <c r="ZW17" i="4"/>
  <c r="ZV17" i="4"/>
  <c r="ZU17" i="4"/>
  <c r="ZT17" i="4"/>
  <c r="ZS17" i="4"/>
  <c r="AAW17" i="4" s="1"/>
  <c r="ZQ17" i="4"/>
  <c r="ZP17" i="4"/>
  <c r="ZO17" i="4"/>
  <c r="ZN17" i="4"/>
  <c r="ZM17" i="4"/>
  <c r="ZL17" i="4"/>
  <c r="ZK17" i="4"/>
  <c r="ZJ17" i="4"/>
  <c r="ZI17" i="4"/>
  <c r="ZH17" i="4"/>
  <c r="ZG17" i="4"/>
  <c r="ZF17" i="4"/>
  <c r="ZE17" i="4"/>
  <c r="ZD17" i="4"/>
  <c r="ZC17" i="4"/>
  <c r="ZB17" i="4"/>
  <c r="ZA17" i="4"/>
  <c r="YZ17" i="4"/>
  <c r="YY17" i="4"/>
  <c r="YX17" i="4"/>
  <c r="YW17" i="4"/>
  <c r="YV17" i="4"/>
  <c r="YU17" i="4"/>
  <c r="YT17" i="4"/>
  <c r="YS17" i="4"/>
  <c r="YR17" i="4"/>
  <c r="YQ17" i="4"/>
  <c r="YP17" i="4"/>
  <c r="YN17" i="4"/>
  <c r="YM17" i="4"/>
  <c r="YK17" i="4"/>
  <c r="YJ17" i="4"/>
  <c r="YI17" i="4"/>
  <c r="YH17" i="4"/>
  <c r="YG17" i="4"/>
  <c r="YF17" i="4"/>
  <c r="YE17" i="4"/>
  <c r="YD17" i="4"/>
  <c r="YC17" i="4"/>
  <c r="YB17" i="4"/>
  <c r="YA17" i="4"/>
  <c r="XZ17" i="4"/>
  <c r="XY17" i="4"/>
  <c r="XX17" i="4"/>
  <c r="XW17" i="4"/>
  <c r="XV17" i="4"/>
  <c r="XU17" i="4"/>
  <c r="XT17" i="4"/>
  <c r="XS17" i="4"/>
  <c r="XR17" i="4"/>
  <c r="XQ17" i="4"/>
  <c r="XP17" i="4"/>
  <c r="XO17" i="4"/>
  <c r="XN17" i="4"/>
  <c r="XM17" i="4"/>
  <c r="XL17" i="4"/>
  <c r="XK17" i="4"/>
  <c r="XJ17" i="4"/>
  <c r="XI17" i="4"/>
  <c r="XH17" i="4"/>
  <c r="YL17" i="4" s="1"/>
  <c r="XF17" i="4"/>
  <c r="XE17" i="4"/>
  <c r="XD17" i="4"/>
  <c r="XC17" i="4"/>
  <c r="XB17" i="4"/>
  <c r="XA17" i="4"/>
  <c r="WZ17" i="4"/>
  <c r="WY17" i="4"/>
  <c r="WX17" i="4"/>
  <c r="WW17" i="4"/>
  <c r="WV17" i="4"/>
  <c r="WU17" i="4"/>
  <c r="WT17" i="4"/>
  <c r="WS17" i="4"/>
  <c r="WR17" i="4"/>
  <c r="WQ17" i="4"/>
  <c r="WP17" i="4"/>
  <c r="WO17" i="4"/>
  <c r="WN17" i="4"/>
  <c r="WM17" i="4"/>
  <c r="WL17" i="4"/>
  <c r="WK17" i="4"/>
  <c r="WJ17" i="4"/>
  <c r="WI17" i="4"/>
  <c r="WH17" i="4"/>
  <c r="WG17" i="4"/>
  <c r="WF17" i="4"/>
  <c r="WE17" i="4"/>
  <c r="WD17" i="4"/>
  <c r="WC17" i="4"/>
  <c r="WB17" i="4"/>
  <c r="XG17" i="4" s="1"/>
  <c r="VZ17" i="4"/>
  <c r="VY17" i="4"/>
  <c r="VX17" i="4"/>
  <c r="VW17" i="4"/>
  <c r="VV17" i="4"/>
  <c r="VU17" i="4"/>
  <c r="VT17" i="4"/>
  <c r="VS17" i="4"/>
  <c r="VR17" i="4"/>
  <c r="VQ17" i="4"/>
  <c r="VP17" i="4"/>
  <c r="VO17" i="4"/>
  <c r="VN17" i="4"/>
  <c r="VM17" i="4"/>
  <c r="VL17" i="4"/>
  <c r="VK17" i="4"/>
  <c r="VJ17" i="4"/>
  <c r="VI17" i="4"/>
  <c r="VH17" i="4"/>
  <c r="VG17" i="4"/>
  <c r="VF17" i="4"/>
  <c r="VE17" i="4"/>
  <c r="VD17" i="4"/>
  <c r="VC17" i="4"/>
  <c r="VB17" i="4"/>
  <c r="VA17" i="4"/>
  <c r="UZ17" i="4"/>
  <c r="UY17" i="4"/>
  <c r="UW17" i="4"/>
  <c r="UV17" i="4"/>
  <c r="UU17" i="4"/>
  <c r="UT17" i="4"/>
  <c r="US17" i="4"/>
  <c r="UR17" i="4"/>
  <c r="UQ17" i="4"/>
  <c r="UP17" i="4"/>
  <c r="UO17" i="4"/>
  <c r="UN17" i="4"/>
  <c r="UM17" i="4"/>
  <c r="UL17" i="4"/>
  <c r="UK17" i="4"/>
  <c r="UJ17" i="4"/>
  <c r="UI17" i="4"/>
  <c r="UH17" i="4"/>
  <c r="UG17" i="4"/>
  <c r="UF17" i="4"/>
  <c r="UE17" i="4"/>
  <c r="UD17" i="4"/>
  <c r="UC17" i="4"/>
  <c r="UB17" i="4"/>
  <c r="UA17" i="4"/>
  <c r="TZ17" i="4"/>
  <c r="TY17" i="4"/>
  <c r="TX17" i="4"/>
  <c r="TW17" i="4"/>
  <c r="TV17" i="4"/>
  <c r="TU17" i="4"/>
  <c r="TT17" i="4"/>
  <c r="UX17" i="4" s="1"/>
  <c r="TS17" i="4"/>
  <c r="TQ17" i="4"/>
  <c r="TP17" i="4"/>
  <c r="TO17" i="4"/>
  <c r="TN17" i="4"/>
  <c r="TM17" i="4"/>
  <c r="TL17" i="4"/>
  <c r="TK17" i="4"/>
  <c r="TJ17" i="4"/>
  <c r="TI17" i="4"/>
  <c r="TH17" i="4"/>
  <c r="TG17" i="4"/>
  <c r="TF17" i="4"/>
  <c r="TE17" i="4"/>
  <c r="TD17" i="4"/>
  <c r="TC17" i="4"/>
  <c r="TB17" i="4"/>
  <c r="TA17" i="4"/>
  <c r="SZ17" i="4"/>
  <c r="SY17" i="4"/>
  <c r="SX17" i="4"/>
  <c r="SW17" i="4"/>
  <c r="SV17" i="4"/>
  <c r="SU17" i="4"/>
  <c r="ST17" i="4"/>
  <c r="SS17" i="4"/>
  <c r="SR17" i="4"/>
  <c r="SQ17" i="4"/>
  <c r="SP17" i="4"/>
  <c r="SO17" i="4"/>
  <c r="SN17" i="4"/>
  <c r="TR17" i="4" s="1"/>
  <c r="SM17" i="4"/>
  <c r="SK17" i="4"/>
  <c r="SJ17" i="4"/>
  <c r="SI17" i="4"/>
  <c r="SH17" i="4"/>
  <c r="SG17" i="4"/>
  <c r="SF17" i="4"/>
  <c r="SE17" i="4"/>
  <c r="SD17" i="4"/>
  <c r="SC17" i="4"/>
  <c r="SB17" i="4"/>
  <c r="SA17" i="4"/>
  <c r="RZ17" i="4"/>
  <c r="RY17" i="4"/>
  <c r="RX17" i="4"/>
  <c r="RW17" i="4"/>
  <c r="RV17" i="4"/>
  <c r="RU17" i="4"/>
  <c r="RT17" i="4"/>
  <c r="RS17" i="4"/>
  <c r="RR17" i="4"/>
  <c r="RQ17" i="4"/>
  <c r="RP17" i="4"/>
  <c r="RO17" i="4"/>
  <c r="RN17" i="4"/>
  <c r="RM17" i="4"/>
  <c r="RL17" i="4"/>
  <c r="RK17" i="4"/>
  <c r="RJ17" i="4"/>
  <c r="RI17" i="4"/>
  <c r="RH17" i="4"/>
  <c r="SL17" i="4" s="1"/>
  <c r="RF17" i="4"/>
  <c r="RE17" i="4"/>
  <c r="RD17" i="4"/>
  <c r="RC17" i="4"/>
  <c r="RB17" i="4"/>
  <c r="RA17" i="4"/>
  <c r="QZ17" i="4"/>
  <c r="QY17" i="4"/>
  <c r="QX17" i="4"/>
  <c r="QW17" i="4"/>
  <c r="QV17" i="4"/>
  <c r="QU17" i="4"/>
  <c r="QT17" i="4"/>
  <c r="QS17" i="4"/>
  <c r="QR17" i="4"/>
  <c r="QQ17" i="4"/>
  <c r="QP17" i="4"/>
  <c r="QO17" i="4"/>
  <c r="QN17" i="4"/>
  <c r="QM17" i="4"/>
  <c r="QL17" i="4"/>
  <c r="QK17" i="4"/>
  <c r="QJ17" i="4"/>
  <c r="QI17" i="4"/>
  <c r="QH17" i="4"/>
  <c r="QG17" i="4"/>
  <c r="QF17" i="4"/>
  <c r="QE17" i="4"/>
  <c r="QD17" i="4"/>
  <c r="QC17" i="4"/>
  <c r="RG17" i="4" s="1"/>
  <c r="QB17" i="4"/>
  <c r="PZ17" i="4"/>
  <c r="PY17" i="4"/>
  <c r="PX17" i="4"/>
  <c r="PW17" i="4"/>
  <c r="PV17" i="4"/>
  <c r="PU17" i="4"/>
  <c r="PT17" i="4"/>
  <c r="PS17" i="4"/>
  <c r="PR17" i="4"/>
  <c r="PQ17" i="4"/>
  <c r="PP17" i="4"/>
  <c r="PO17" i="4"/>
  <c r="PN17" i="4"/>
  <c r="PM17" i="4"/>
  <c r="PL17" i="4"/>
  <c r="PK17" i="4"/>
  <c r="PJ17" i="4"/>
  <c r="PI17" i="4"/>
  <c r="PH17" i="4"/>
  <c r="PG17" i="4"/>
  <c r="PF17" i="4"/>
  <c r="PE17" i="4"/>
  <c r="PD17" i="4"/>
  <c r="PC17" i="4"/>
  <c r="PB17" i="4"/>
  <c r="PA17" i="4"/>
  <c r="OZ17" i="4"/>
  <c r="OY17" i="4"/>
  <c r="OX17" i="4"/>
  <c r="OW17" i="4"/>
  <c r="QA17" i="4" s="1"/>
  <c r="OU17" i="4"/>
  <c r="OT17" i="4"/>
  <c r="OS17" i="4"/>
  <c r="OR17" i="4"/>
  <c r="OQ17" i="4"/>
  <c r="OP17" i="4"/>
  <c r="OO17" i="4"/>
  <c r="ON17" i="4"/>
  <c r="OM17" i="4"/>
  <c r="OL17" i="4"/>
  <c r="OK17" i="4"/>
  <c r="OJ17" i="4"/>
  <c r="OI17" i="4"/>
  <c r="OH17" i="4"/>
  <c r="OG17" i="4"/>
  <c r="OF17" i="4"/>
  <c r="OE17" i="4"/>
  <c r="OD17" i="4"/>
  <c r="OC17" i="4"/>
  <c r="OB17" i="4"/>
  <c r="OA17" i="4"/>
  <c r="NZ17" i="4"/>
  <c r="NY17" i="4"/>
  <c r="NX17" i="4"/>
  <c r="NW17" i="4"/>
  <c r="NV17" i="4"/>
  <c r="NU17" i="4"/>
  <c r="NT17" i="4"/>
  <c r="NS17" i="4"/>
  <c r="NR17" i="4"/>
  <c r="OV17" i="4" s="1"/>
  <c r="NQ17" i="4"/>
  <c r="NO17" i="4"/>
  <c r="NN17" i="4"/>
  <c r="NM17" i="4"/>
  <c r="NL17" i="4"/>
  <c r="NK17" i="4"/>
  <c r="NJ17" i="4"/>
  <c r="NI17" i="4"/>
  <c r="NH17" i="4"/>
  <c r="NG17" i="4"/>
  <c r="NF17" i="4"/>
  <c r="NE17" i="4"/>
  <c r="ND17" i="4"/>
  <c r="NC17" i="4"/>
  <c r="NB17" i="4"/>
  <c r="NA17" i="4"/>
  <c r="MZ17" i="4"/>
  <c r="MY17" i="4"/>
  <c r="MX17" i="4"/>
  <c r="MW17" i="4"/>
  <c r="MV17" i="4"/>
  <c r="MU17" i="4"/>
  <c r="MT17" i="4"/>
  <c r="MS17" i="4"/>
  <c r="MR17" i="4"/>
  <c r="MQ17" i="4"/>
  <c r="MP17" i="4"/>
  <c r="MO17" i="4"/>
  <c r="MN17" i="4"/>
  <c r="MM17" i="4"/>
  <c r="ML17" i="4"/>
  <c r="NP17" i="4" s="1"/>
  <c r="MK17" i="4"/>
  <c r="MI17" i="4"/>
  <c r="MH17" i="4"/>
  <c r="MG17" i="4"/>
  <c r="MF17" i="4"/>
  <c r="ME17" i="4"/>
  <c r="MD17" i="4"/>
  <c r="MC17" i="4"/>
  <c r="MB17" i="4"/>
  <c r="MA17" i="4"/>
  <c r="LZ17" i="4"/>
  <c r="LY17" i="4"/>
  <c r="LX17" i="4"/>
  <c r="LW17" i="4"/>
  <c r="LV17" i="4"/>
  <c r="LU17" i="4"/>
  <c r="LT17" i="4"/>
  <c r="LS17" i="4"/>
  <c r="LR17" i="4"/>
  <c r="LQ17" i="4"/>
  <c r="LP17" i="4"/>
  <c r="LO17" i="4"/>
  <c r="LN17" i="4"/>
  <c r="LM17" i="4"/>
  <c r="LL17" i="4"/>
  <c r="LK17" i="4"/>
  <c r="LJ17" i="4"/>
  <c r="LI17" i="4"/>
  <c r="LH17" i="4"/>
  <c r="LG17" i="4"/>
  <c r="LF17" i="4"/>
  <c r="MJ17" i="4" s="1"/>
  <c r="LD17" i="4"/>
  <c r="LC17" i="4"/>
  <c r="LB17" i="4"/>
  <c r="LA17" i="4"/>
  <c r="KZ17" i="4"/>
  <c r="KY17" i="4"/>
  <c r="KX17" i="4"/>
  <c r="KW17" i="4"/>
  <c r="KV17" i="4"/>
  <c r="KU17" i="4"/>
  <c r="KT17" i="4"/>
  <c r="KS17" i="4"/>
  <c r="KR17" i="4"/>
  <c r="KQ17" i="4"/>
  <c r="KP17" i="4"/>
  <c r="KO17" i="4"/>
  <c r="KN17" i="4"/>
  <c r="KM17" i="4"/>
  <c r="KL17" i="4"/>
  <c r="KK17" i="4"/>
  <c r="KJ17" i="4"/>
  <c r="KI17" i="4"/>
  <c r="KH17" i="4"/>
  <c r="KG17" i="4"/>
  <c r="KF17" i="4"/>
  <c r="KE17" i="4"/>
  <c r="KD17" i="4"/>
  <c r="KC17" i="4"/>
  <c r="KB17" i="4"/>
  <c r="KA17" i="4"/>
  <c r="LE17" i="4" s="1"/>
  <c r="JZ17" i="4"/>
  <c r="JX17" i="4"/>
  <c r="JW17" i="4"/>
  <c r="JV17" i="4"/>
  <c r="JU17" i="4"/>
  <c r="JT17" i="4"/>
  <c r="JS17" i="4"/>
  <c r="JR17" i="4"/>
  <c r="JQ17" i="4"/>
  <c r="JP17" i="4"/>
  <c r="JO17" i="4"/>
  <c r="JN17" i="4"/>
  <c r="JM17" i="4"/>
  <c r="JL17" i="4"/>
  <c r="JK17" i="4"/>
  <c r="JJ17" i="4"/>
  <c r="JI17" i="4"/>
  <c r="JH17" i="4"/>
  <c r="JG17" i="4"/>
  <c r="JF17" i="4"/>
  <c r="JE17" i="4"/>
  <c r="JD17" i="4"/>
  <c r="JC17" i="4"/>
  <c r="JB17" i="4"/>
  <c r="JA17" i="4"/>
  <c r="IZ17" i="4"/>
  <c r="IY17" i="4"/>
  <c r="IX17" i="4"/>
  <c r="IW17" i="4"/>
  <c r="IV17" i="4"/>
  <c r="IU17" i="4"/>
  <c r="JY17" i="4" s="1"/>
  <c r="IS17" i="4"/>
  <c r="IR17" i="4"/>
  <c r="IQ17" i="4"/>
  <c r="IP17" i="4"/>
  <c r="IO17" i="4"/>
  <c r="IN17" i="4"/>
  <c r="IM17" i="4"/>
  <c r="IL17" i="4"/>
  <c r="IK17" i="4"/>
  <c r="IJ17" i="4"/>
  <c r="II17" i="4"/>
  <c r="IH17" i="4"/>
  <c r="IG17" i="4"/>
  <c r="IF17" i="4"/>
  <c r="IE17" i="4"/>
  <c r="ID17" i="4"/>
  <c r="IC17" i="4"/>
  <c r="IB17" i="4"/>
  <c r="IA17" i="4"/>
  <c r="HZ17" i="4"/>
  <c r="HY17" i="4"/>
  <c r="HX17" i="4"/>
  <c r="HW17" i="4"/>
  <c r="HV17" i="4"/>
  <c r="HU17" i="4"/>
  <c r="HT17" i="4"/>
  <c r="HS17" i="4"/>
  <c r="HR17" i="4"/>
  <c r="HQ17" i="4"/>
  <c r="HP17" i="4"/>
  <c r="HO17" i="4"/>
  <c r="IT17" i="4" s="1"/>
  <c r="HM17" i="4"/>
  <c r="HJ17" i="4"/>
  <c r="HG17" i="4"/>
  <c r="HF17" i="4"/>
  <c r="HN17" i="4" s="1"/>
  <c r="GJ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DX17" i="4" s="1"/>
  <c r="CN17" i="4"/>
  <c r="CS17" i="4" s="1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BM17" i="4" s="1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H17" i="4" s="1"/>
  <c r="AOC16" i="4"/>
  <c r="AOB16" i="4"/>
  <c r="AOA16" i="4"/>
  <c r="ANZ16" i="4"/>
  <c r="ANY16" i="4"/>
  <c r="ANX16" i="4"/>
  <c r="ANW16" i="4"/>
  <c r="ANV16" i="4"/>
  <c r="ANU16" i="4"/>
  <c r="ANT16" i="4"/>
  <c r="ANS16" i="4"/>
  <c r="ANR16" i="4"/>
  <c r="ANQ16" i="4"/>
  <c r="ANP16" i="4"/>
  <c r="ANO16" i="4"/>
  <c r="ANN16" i="4"/>
  <c r="ANM16" i="4"/>
  <c r="ANL16" i="4"/>
  <c r="ANK16" i="4"/>
  <c r="ANJ16" i="4"/>
  <c r="ANI16" i="4"/>
  <c r="ANH16" i="4"/>
  <c r="ANG16" i="4"/>
  <c r="ANF16" i="4"/>
  <c r="ANE16" i="4"/>
  <c r="AND16" i="4"/>
  <c r="ANC16" i="4"/>
  <c r="ANB16" i="4"/>
  <c r="ANA16" i="4"/>
  <c r="AMZ16" i="4"/>
  <c r="AMX16" i="4"/>
  <c r="AMW16" i="4"/>
  <c r="AMV16" i="4"/>
  <c r="AMU16" i="4"/>
  <c r="AMT16" i="4"/>
  <c r="AMS16" i="4"/>
  <c r="AMR16" i="4"/>
  <c r="AMQ16" i="4"/>
  <c r="AMP16" i="4"/>
  <c r="AMO16" i="4"/>
  <c r="AMN16" i="4"/>
  <c r="AMM16" i="4"/>
  <c r="AML16" i="4"/>
  <c r="AMK16" i="4"/>
  <c r="AMJ16" i="4"/>
  <c r="AMI16" i="4"/>
  <c r="AMH16" i="4"/>
  <c r="AMG16" i="4"/>
  <c r="AMF16" i="4"/>
  <c r="AME16" i="4"/>
  <c r="AMD16" i="4"/>
  <c r="AMC16" i="4"/>
  <c r="AMB16" i="4"/>
  <c r="AMA16" i="4"/>
  <c r="ALZ16" i="4"/>
  <c r="ALY16" i="4"/>
  <c r="ALX16" i="4"/>
  <c r="ALW16" i="4"/>
  <c r="ALV16" i="4"/>
  <c r="ALU16" i="4"/>
  <c r="AMY16" i="4" s="1"/>
  <c r="ALS16" i="4"/>
  <c r="ALR16" i="4"/>
  <c r="ALQ16" i="4"/>
  <c r="ALP16" i="4"/>
  <c r="ALO16" i="4"/>
  <c r="ALN16" i="4"/>
  <c r="ALM16" i="4"/>
  <c r="ALL16" i="4"/>
  <c r="ALK16" i="4"/>
  <c r="ALJ16" i="4"/>
  <c r="ALI16" i="4"/>
  <c r="ALH16" i="4"/>
  <c r="ALG16" i="4"/>
  <c r="ALF16" i="4"/>
  <c r="ALE16" i="4"/>
  <c r="ALD16" i="4"/>
  <c r="ALC16" i="4"/>
  <c r="ALB16" i="4"/>
  <c r="ALA16" i="4"/>
  <c r="AKZ16" i="4"/>
  <c r="AKY16" i="4"/>
  <c r="AKX16" i="4"/>
  <c r="AKW16" i="4"/>
  <c r="AKV16" i="4"/>
  <c r="AKU16" i="4"/>
  <c r="AKT16" i="4"/>
  <c r="AKS16" i="4"/>
  <c r="AKR16" i="4"/>
  <c r="AKQ16" i="4"/>
  <c r="AKP16" i="4"/>
  <c r="AKO16" i="4"/>
  <c r="ALT16" i="4" s="1"/>
  <c r="AKM16" i="4"/>
  <c r="AKL16" i="4"/>
  <c r="AKK16" i="4"/>
  <c r="AKJ16" i="4"/>
  <c r="AKI16" i="4"/>
  <c r="AKH16" i="4"/>
  <c r="AKG16" i="4"/>
  <c r="AKF16" i="4"/>
  <c r="AKE16" i="4"/>
  <c r="AKD16" i="4"/>
  <c r="AKC16" i="4"/>
  <c r="AKB16" i="4"/>
  <c r="AKA16" i="4"/>
  <c r="AJZ16" i="4"/>
  <c r="AJY16" i="4"/>
  <c r="AJX16" i="4"/>
  <c r="AJW16" i="4"/>
  <c r="AJV16" i="4"/>
  <c r="AJU16" i="4"/>
  <c r="AJT16" i="4"/>
  <c r="AJS16" i="4"/>
  <c r="AJR16" i="4"/>
  <c r="AJQ16" i="4"/>
  <c r="AJP16" i="4"/>
  <c r="AJO16" i="4"/>
  <c r="AJN16" i="4"/>
  <c r="AJM16" i="4"/>
  <c r="AJL16" i="4"/>
  <c r="AKN16" i="4" s="1"/>
  <c r="AJJ16" i="4"/>
  <c r="AJI16" i="4"/>
  <c r="AJH16" i="4"/>
  <c r="AJG16" i="4"/>
  <c r="AJF16" i="4"/>
  <c r="AJE16" i="4"/>
  <c r="AJD16" i="4"/>
  <c r="AJC16" i="4"/>
  <c r="AJB16" i="4"/>
  <c r="AJA16" i="4"/>
  <c r="AIZ16" i="4"/>
  <c r="AIY16" i="4"/>
  <c r="AIX16" i="4"/>
  <c r="AIW16" i="4"/>
  <c r="AIV16" i="4"/>
  <c r="AIU16" i="4"/>
  <c r="AIT16" i="4"/>
  <c r="AIS16" i="4"/>
  <c r="AIR16" i="4"/>
  <c r="AIQ16" i="4"/>
  <c r="AIP16" i="4"/>
  <c r="AIO16" i="4"/>
  <c r="AIN16" i="4"/>
  <c r="AIM16" i="4"/>
  <c r="AIL16" i="4"/>
  <c r="AIK16" i="4"/>
  <c r="AIJ16" i="4"/>
  <c r="AII16" i="4"/>
  <c r="AIH16" i="4"/>
  <c r="AIG16" i="4"/>
  <c r="AIF16" i="4"/>
  <c r="AJK16" i="4" s="1"/>
  <c r="AID16" i="4"/>
  <c r="AIC16" i="4"/>
  <c r="AIB16" i="4"/>
  <c r="AIA16" i="4"/>
  <c r="AHZ16" i="4"/>
  <c r="AHY16" i="4"/>
  <c r="AHX16" i="4"/>
  <c r="AHW16" i="4"/>
  <c r="AHV16" i="4"/>
  <c r="AHU16" i="4"/>
  <c r="AHT16" i="4"/>
  <c r="AHS16" i="4"/>
  <c r="AHR16" i="4"/>
  <c r="AHQ16" i="4"/>
  <c r="AHP16" i="4"/>
  <c r="AHO16" i="4"/>
  <c r="AHN16" i="4"/>
  <c r="AHM16" i="4"/>
  <c r="AHL16" i="4"/>
  <c r="AHK16" i="4"/>
  <c r="AHJ16" i="4"/>
  <c r="AHI16" i="4"/>
  <c r="AHH16" i="4"/>
  <c r="AHG16" i="4"/>
  <c r="AHF16" i="4"/>
  <c r="AHE16" i="4"/>
  <c r="AHD16" i="4"/>
  <c r="AHC16" i="4"/>
  <c r="AHB16" i="4"/>
  <c r="AHA16" i="4"/>
  <c r="AGZ16" i="4"/>
  <c r="AIE16" i="4" s="1"/>
  <c r="AGX16" i="4"/>
  <c r="AGW16" i="4"/>
  <c r="AGV16" i="4"/>
  <c r="AGU16" i="4"/>
  <c r="AGT16" i="4"/>
  <c r="AGS16" i="4"/>
  <c r="AGR16" i="4"/>
  <c r="AGQ16" i="4"/>
  <c r="AGP16" i="4"/>
  <c r="AGO16" i="4"/>
  <c r="AGN16" i="4"/>
  <c r="AGM16" i="4"/>
  <c r="AGL16" i="4"/>
  <c r="AGK16" i="4"/>
  <c r="AGJ16" i="4"/>
  <c r="AGI16" i="4"/>
  <c r="AGH16" i="4"/>
  <c r="AGG16" i="4"/>
  <c r="AGF16" i="4"/>
  <c r="AGE16" i="4"/>
  <c r="AGD16" i="4"/>
  <c r="AGC16" i="4"/>
  <c r="AGB16" i="4"/>
  <c r="AGA16" i="4"/>
  <c r="AFZ16" i="4"/>
  <c r="AFY16" i="4"/>
  <c r="AFX16" i="4"/>
  <c r="AFW16" i="4"/>
  <c r="AFV16" i="4"/>
  <c r="AFU16" i="4"/>
  <c r="AGY16" i="4" s="1"/>
  <c r="AFS16" i="4"/>
  <c r="AFR16" i="4"/>
  <c r="AFQ16" i="4"/>
  <c r="AFP16" i="4"/>
  <c r="AFO16" i="4"/>
  <c r="AFN16" i="4"/>
  <c r="AFM16" i="4"/>
  <c r="AFL16" i="4"/>
  <c r="AFK16" i="4"/>
  <c r="AFJ16" i="4"/>
  <c r="AFI16" i="4"/>
  <c r="AFH16" i="4"/>
  <c r="AFG16" i="4"/>
  <c r="AFF16" i="4"/>
  <c r="AFE16" i="4"/>
  <c r="AFD16" i="4"/>
  <c r="AFC16" i="4"/>
  <c r="AFB16" i="4"/>
  <c r="AFA16" i="4"/>
  <c r="AEZ16" i="4"/>
  <c r="AEY16" i="4"/>
  <c r="AEX16" i="4"/>
  <c r="AEW16" i="4"/>
  <c r="AEV16" i="4"/>
  <c r="AEU16" i="4"/>
  <c r="AET16" i="4"/>
  <c r="AES16" i="4"/>
  <c r="AER16" i="4"/>
  <c r="AEQ16" i="4"/>
  <c r="AEP16" i="4"/>
  <c r="AEO16" i="4"/>
  <c r="AFT16" i="4" s="1"/>
  <c r="AEM16" i="4"/>
  <c r="AEL16" i="4"/>
  <c r="AEK16" i="4"/>
  <c r="AEJ16" i="4"/>
  <c r="AEI16" i="4"/>
  <c r="AEH16" i="4"/>
  <c r="AEG16" i="4"/>
  <c r="AEF16" i="4"/>
  <c r="AEE16" i="4"/>
  <c r="AED16" i="4"/>
  <c r="AEC16" i="4"/>
  <c r="AEB16" i="4"/>
  <c r="AEA16" i="4"/>
  <c r="ADZ16" i="4"/>
  <c r="ADY16" i="4"/>
  <c r="ADX16" i="4"/>
  <c r="ADW16" i="4"/>
  <c r="ADV16" i="4"/>
  <c r="ADU16" i="4"/>
  <c r="ADT16" i="4"/>
  <c r="ADS16" i="4"/>
  <c r="ADR16" i="4"/>
  <c r="ADQ16" i="4"/>
  <c r="ADP16" i="4"/>
  <c r="ADO16" i="4"/>
  <c r="ADN16" i="4"/>
  <c r="ADM16" i="4"/>
  <c r="ADL16" i="4"/>
  <c r="ADK16" i="4"/>
  <c r="ADJ16" i="4"/>
  <c r="AEN16" i="4" s="1"/>
  <c r="ADH16" i="4"/>
  <c r="ADG16" i="4"/>
  <c r="ADF16" i="4"/>
  <c r="ADE16" i="4"/>
  <c r="ADD16" i="4"/>
  <c r="ADC16" i="4"/>
  <c r="ADB16" i="4"/>
  <c r="ADA16" i="4"/>
  <c r="ACZ16" i="4"/>
  <c r="ACY16" i="4"/>
  <c r="ACX16" i="4"/>
  <c r="ACW16" i="4"/>
  <c r="ACV16" i="4"/>
  <c r="ACU16" i="4"/>
  <c r="ACT16" i="4"/>
  <c r="ACS16" i="4"/>
  <c r="ACR16" i="4"/>
  <c r="ACQ16" i="4"/>
  <c r="ACP16" i="4"/>
  <c r="ACO16" i="4"/>
  <c r="ACN16" i="4"/>
  <c r="ACM16" i="4"/>
  <c r="ACL16" i="4"/>
  <c r="ACK16" i="4"/>
  <c r="ACJ16" i="4"/>
  <c r="ACI16" i="4"/>
  <c r="ACH16" i="4"/>
  <c r="ACG16" i="4"/>
  <c r="ACF16" i="4"/>
  <c r="ACE16" i="4"/>
  <c r="ACD16" i="4"/>
  <c r="ADI16" i="4" s="1"/>
  <c r="ACB16" i="4"/>
  <c r="ACA16" i="4"/>
  <c r="ABZ16" i="4"/>
  <c r="ABY16" i="4"/>
  <c r="ABX16" i="4"/>
  <c r="ABW16" i="4"/>
  <c r="ABV16" i="4"/>
  <c r="ABU16" i="4"/>
  <c r="ABT16" i="4"/>
  <c r="ABS16" i="4"/>
  <c r="ABR16" i="4"/>
  <c r="ABQ16" i="4"/>
  <c r="ABP16" i="4"/>
  <c r="ABO16" i="4"/>
  <c r="ABN16" i="4"/>
  <c r="ABM16" i="4"/>
  <c r="ABL16" i="4"/>
  <c r="ABK16" i="4"/>
  <c r="ABJ16" i="4"/>
  <c r="ABI16" i="4"/>
  <c r="ABH16" i="4"/>
  <c r="ABG16" i="4"/>
  <c r="ABF16" i="4"/>
  <c r="ABE16" i="4"/>
  <c r="ABD16" i="4"/>
  <c r="ABC16" i="4"/>
  <c r="ABB16" i="4"/>
  <c r="ABA16" i="4"/>
  <c r="AAZ16" i="4"/>
  <c r="AAY16" i="4"/>
  <c r="AAX16" i="4"/>
  <c r="ACC16" i="4" s="1"/>
  <c r="AAV16" i="4"/>
  <c r="AAU16" i="4"/>
  <c r="AAT16" i="4"/>
  <c r="AAS16" i="4"/>
  <c r="AAR16" i="4"/>
  <c r="AAQ16" i="4"/>
  <c r="AAP16" i="4"/>
  <c r="AAO16" i="4"/>
  <c r="AAN16" i="4"/>
  <c r="AAM16" i="4"/>
  <c r="AAL16" i="4"/>
  <c r="AAK16" i="4"/>
  <c r="AAJ16" i="4"/>
  <c r="AAI16" i="4"/>
  <c r="AAH16" i="4"/>
  <c r="AAG16" i="4"/>
  <c r="AAF16" i="4"/>
  <c r="AAE16" i="4"/>
  <c r="AAD16" i="4"/>
  <c r="AAC16" i="4"/>
  <c r="AAB16" i="4"/>
  <c r="AAA16" i="4"/>
  <c r="ZZ16" i="4"/>
  <c r="ZY16" i="4"/>
  <c r="ZX16" i="4"/>
  <c r="ZW16" i="4"/>
  <c r="ZV16" i="4"/>
  <c r="ZU16" i="4"/>
  <c r="ZT16" i="4"/>
  <c r="ZS16" i="4"/>
  <c r="AAW16" i="4" s="1"/>
  <c r="ZQ16" i="4"/>
  <c r="ZP16" i="4"/>
  <c r="ZO16" i="4"/>
  <c r="ZN16" i="4"/>
  <c r="ZM16" i="4"/>
  <c r="ZL16" i="4"/>
  <c r="ZK16" i="4"/>
  <c r="ZJ16" i="4"/>
  <c r="ZI16" i="4"/>
  <c r="ZH16" i="4"/>
  <c r="ZG16" i="4"/>
  <c r="ZF16" i="4"/>
  <c r="ZE16" i="4"/>
  <c r="ZD16" i="4"/>
  <c r="ZC16" i="4"/>
  <c r="ZB16" i="4"/>
  <c r="ZA16" i="4"/>
  <c r="YZ16" i="4"/>
  <c r="YY16" i="4"/>
  <c r="YX16" i="4"/>
  <c r="YW16" i="4"/>
  <c r="YV16" i="4"/>
  <c r="YU16" i="4"/>
  <c r="YT16" i="4"/>
  <c r="YS16" i="4"/>
  <c r="YR16" i="4"/>
  <c r="YQ16" i="4"/>
  <c r="YP16" i="4"/>
  <c r="YO16" i="4"/>
  <c r="YN16" i="4"/>
  <c r="YM16" i="4"/>
  <c r="ZR16" i="4" s="1"/>
  <c r="YK16" i="4"/>
  <c r="YJ16" i="4"/>
  <c r="YI16" i="4"/>
  <c r="YH16" i="4"/>
  <c r="YG16" i="4"/>
  <c r="YF16" i="4"/>
  <c r="YE16" i="4"/>
  <c r="YD16" i="4"/>
  <c r="YC16" i="4"/>
  <c r="YB16" i="4"/>
  <c r="YA16" i="4"/>
  <c r="XZ16" i="4"/>
  <c r="XY16" i="4"/>
  <c r="XX16" i="4"/>
  <c r="XW16" i="4"/>
  <c r="XV16" i="4"/>
  <c r="XU16" i="4"/>
  <c r="XT16" i="4"/>
  <c r="XS16" i="4"/>
  <c r="XR16" i="4"/>
  <c r="XQ16" i="4"/>
  <c r="XP16" i="4"/>
  <c r="XO16" i="4"/>
  <c r="XN16" i="4"/>
  <c r="XM16" i="4"/>
  <c r="XL16" i="4"/>
  <c r="XK16" i="4"/>
  <c r="XJ16" i="4"/>
  <c r="XI16" i="4"/>
  <c r="XH16" i="4"/>
  <c r="YL16" i="4" s="1"/>
  <c r="XF16" i="4"/>
  <c r="XE16" i="4"/>
  <c r="XD16" i="4"/>
  <c r="XC16" i="4"/>
  <c r="XB16" i="4"/>
  <c r="XA16" i="4"/>
  <c r="WZ16" i="4"/>
  <c r="WY16" i="4"/>
  <c r="WX16" i="4"/>
  <c r="WW16" i="4"/>
  <c r="WV16" i="4"/>
  <c r="WU16" i="4"/>
  <c r="WT16" i="4"/>
  <c r="WS16" i="4"/>
  <c r="WR16" i="4"/>
  <c r="WQ16" i="4"/>
  <c r="WP16" i="4"/>
  <c r="WO16" i="4"/>
  <c r="WN16" i="4"/>
  <c r="WM16" i="4"/>
  <c r="WL16" i="4"/>
  <c r="WK16" i="4"/>
  <c r="WJ16" i="4"/>
  <c r="WI16" i="4"/>
  <c r="WH16" i="4"/>
  <c r="WG16" i="4"/>
  <c r="WF16" i="4"/>
  <c r="WE16" i="4"/>
  <c r="WD16" i="4"/>
  <c r="WC16" i="4"/>
  <c r="WB16" i="4"/>
  <c r="XG16" i="4" s="1"/>
  <c r="VZ16" i="4"/>
  <c r="VY16" i="4"/>
  <c r="VX16" i="4"/>
  <c r="VW16" i="4"/>
  <c r="VV16" i="4"/>
  <c r="VU16" i="4"/>
  <c r="VT16" i="4"/>
  <c r="VS16" i="4"/>
  <c r="VR16" i="4"/>
  <c r="VQ16" i="4"/>
  <c r="VP16" i="4"/>
  <c r="VO16" i="4"/>
  <c r="VN16" i="4"/>
  <c r="VM16" i="4"/>
  <c r="VL16" i="4"/>
  <c r="VK16" i="4"/>
  <c r="VJ16" i="4"/>
  <c r="VI16" i="4"/>
  <c r="VH16" i="4"/>
  <c r="VG16" i="4"/>
  <c r="VF16" i="4"/>
  <c r="VE16" i="4"/>
  <c r="VD16" i="4"/>
  <c r="VC16" i="4"/>
  <c r="VB16" i="4"/>
  <c r="VA16" i="4"/>
  <c r="UZ16" i="4"/>
  <c r="UY16" i="4"/>
  <c r="WA16" i="4" s="1"/>
  <c r="UW16" i="4"/>
  <c r="UV16" i="4"/>
  <c r="UU16" i="4"/>
  <c r="UT16" i="4"/>
  <c r="US16" i="4"/>
  <c r="UR16" i="4"/>
  <c r="UQ16" i="4"/>
  <c r="UP16" i="4"/>
  <c r="UO16" i="4"/>
  <c r="UN16" i="4"/>
  <c r="UM16" i="4"/>
  <c r="UL16" i="4"/>
  <c r="UK16" i="4"/>
  <c r="UJ16" i="4"/>
  <c r="UI16" i="4"/>
  <c r="UH16" i="4"/>
  <c r="UG16" i="4"/>
  <c r="UF16" i="4"/>
  <c r="UE16" i="4"/>
  <c r="UD16" i="4"/>
  <c r="UC16" i="4"/>
  <c r="UB16" i="4"/>
  <c r="UA16" i="4"/>
  <c r="TZ16" i="4"/>
  <c r="TY16" i="4"/>
  <c r="TX16" i="4"/>
  <c r="TW16" i="4"/>
  <c r="TV16" i="4"/>
  <c r="TU16" i="4"/>
  <c r="TT16" i="4"/>
  <c r="UX16" i="4" s="1"/>
  <c r="TS16" i="4"/>
  <c r="TQ16" i="4"/>
  <c r="TP16" i="4"/>
  <c r="TO16" i="4"/>
  <c r="TN16" i="4"/>
  <c r="TM16" i="4"/>
  <c r="TL16" i="4"/>
  <c r="TK16" i="4"/>
  <c r="TJ16" i="4"/>
  <c r="TI16" i="4"/>
  <c r="TH16" i="4"/>
  <c r="TG16" i="4"/>
  <c r="TF16" i="4"/>
  <c r="TE16" i="4"/>
  <c r="TD16" i="4"/>
  <c r="TC16" i="4"/>
  <c r="TB16" i="4"/>
  <c r="TA16" i="4"/>
  <c r="SZ16" i="4"/>
  <c r="SY16" i="4"/>
  <c r="SX16" i="4"/>
  <c r="SW16" i="4"/>
  <c r="SV16" i="4"/>
  <c r="SU16" i="4"/>
  <c r="ST16" i="4"/>
  <c r="SS16" i="4"/>
  <c r="SR16" i="4"/>
  <c r="SQ16" i="4"/>
  <c r="SP16" i="4"/>
  <c r="SO16" i="4"/>
  <c r="SN16" i="4"/>
  <c r="TR16" i="4" s="1"/>
  <c r="SM16" i="4"/>
  <c r="SK16" i="4"/>
  <c r="SJ16" i="4"/>
  <c r="SI16" i="4"/>
  <c r="SH16" i="4"/>
  <c r="SG16" i="4"/>
  <c r="SF16" i="4"/>
  <c r="SE16" i="4"/>
  <c r="SD16" i="4"/>
  <c r="SC16" i="4"/>
  <c r="SB16" i="4"/>
  <c r="SA16" i="4"/>
  <c r="RZ16" i="4"/>
  <c r="RY16" i="4"/>
  <c r="RX16" i="4"/>
  <c r="RW16" i="4"/>
  <c r="RV16" i="4"/>
  <c r="RU16" i="4"/>
  <c r="RT16" i="4"/>
  <c r="RS16" i="4"/>
  <c r="RR16" i="4"/>
  <c r="RQ16" i="4"/>
  <c r="RP16" i="4"/>
  <c r="RO16" i="4"/>
  <c r="RN16" i="4"/>
  <c r="RM16" i="4"/>
  <c r="RL16" i="4"/>
  <c r="RK16" i="4"/>
  <c r="RJ16" i="4"/>
  <c r="RI16" i="4"/>
  <c r="RH16" i="4"/>
  <c r="SL16" i="4" s="1"/>
  <c r="RF16" i="4"/>
  <c r="RE16" i="4"/>
  <c r="RD16" i="4"/>
  <c r="RC16" i="4"/>
  <c r="RB16" i="4"/>
  <c r="RA16" i="4"/>
  <c r="QZ16" i="4"/>
  <c r="QY16" i="4"/>
  <c r="QX16" i="4"/>
  <c r="QW16" i="4"/>
  <c r="QV16" i="4"/>
  <c r="QU16" i="4"/>
  <c r="QT16" i="4"/>
  <c r="QS16" i="4"/>
  <c r="QR16" i="4"/>
  <c r="QQ16" i="4"/>
  <c r="QP16" i="4"/>
  <c r="QO16" i="4"/>
  <c r="QN16" i="4"/>
  <c r="QM16" i="4"/>
  <c r="QL16" i="4"/>
  <c r="QK16" i="4"/>
  <c r="QJ16" i="4"/>
  <c r="QI16" i="4"/>
  <c r="QH16" i="4"/>
  <c r="QG16" i="4"/>
  <c r="QF16" i="4"/>
  <c r="QE16" i="4"/>
  <c r="QD16" i="4"/>
  <c r="QC16" i="4"/>
  <c r="RG16" i="4" s="1"/>
  <c r="QB16" i="4"/>
  <c r="PZ16" i="4"/>
  <c r="PY16" i="4"/>
  <c r="PX16" i="4"/>
  <c r="PW16" i="4"/>
  <c r="PV16" i="4"/>
  <c r="PU16" i="4"/>
  <c r="PT16" i="4"/>
  <c r="PS16" i="4"/>
  <c r="PR16" i="4"/>
  <c r="PQ16" i="4"/>
  <c r="PP16" i="4"/>
  <c r="PO16" i="4"/>
  <c r="PN16" i="4"/>
  <c r="PM16" i="4"/>
  <c r="PL16" i="4"/>
  <c r="PK16" i="4"/>
  <c r="PJ16" i="4"/>
  <c r="PI16" i="4"/>
  <c r="PH16" i="4"/>
  <c r="PG16" i="4"/>
  <c r="PF16" i="4"/>
  <c r="PE16" i="4"/>
  <c r="PD16" i="4"/>
  <c r="PB16" i="4"/>
  <c r="PA16" i="4"/>
  <c r="OZ16" i="4"/>
  <c r="OY16" i="4"/>
  <c r="OX16" i="4"/>
  <c r="OW16" i="4"/>
  <c r="OU16" i="4"/>
  <c r="OT16" i="4"/>
  <c r="OS16" i="4"/>
  <c r="OR16" i="4"/>
  <c r="OQ16" i="4"/>
  <c r="OP16" i="4"/>
  <c r="OO16" i="4"/>
  <c r="ON16" i="4"/>
  <c r="OM16" i="4"/>
  <c r="OL16" i="4"/>
  <c r="OK16" i="4"/>
  <c r="OJ16" i="4"/>
  <c r="OI16" i="4"/>
  <c r="OH16" i="4"/>
  <c r="OG16" i="4"/>
  <c r="OF16" i="4"/>
  <c r="OE16" i="4"/>
  <c r="OD16" i="4"/>
  <c r="OC16" i="4"/>
  <c r="OB16" i="4"/>
  <c r="OA16" i="4"/>
  <c r="NZ16" i="4"/>
  <c r="NY16" i="4"/>
  <c r="NX16" i="4"/>
  <c r="NW16" i="4"/>
  <c r="NV16" i="4"/>
  <c r="NU16" i="4"/>
  <c r="NT16" i="4"/>
  <c r="NS16" i="4"/>
  <c r="NR16" i="4"/>
  <c r="OV16" i="4" s="1"/>
  <c r="NQ16" i="4"/>
  <c r="NO16" i="4"/>
  <c r="NN16" i="4"/>
  <c r="NM16" i="4"/>
  <c r="NL16" i="4"/>
  <c r="NK16" i="4"/>
  <c r="NJ16" i="4"/>
  <c r="NI16" i="4"/>
  <c r="NH16" i="4"/>
  <c r="NG16" i="4"/>
  <c r="NF16" i="4"/>
  <c r="NE16" i="4"/>
  <c r="ND16" i="4"/>
  <c r="NC16" i="4"/>
  <c r="NB16" i="4"/>
  <c r="NA16" i="4"/>
  <c r="MZ16" i="4"/>
  <c r="MY16" i="4"/>
  <c r="MX16" i="4"/>
  <c r="MW16" i="4"/>
  <c r="MV16" i="4"/>
  <c r="MU16" i="4"/>
  <c r="MT16" i="4"/>
  <c r="MS16" i="4"/>
  <c r="MR16" i="4"/>
  <c r="MQ16" i="4"/>
  <c r="MP16" i="4"/>
  <c r="MO16" i="4"/>
  <c r="MN16" i="4"/>
  <c r="MM16" i="4"/>
  <c r="ML16" i="4"/>
  <c r="NP16" i="4" s="1"/>
  <c r="MK16" i="4"/>
  <c r="MI16" i="4"/>
  <c r="MH16" i="4"/>
  <c r="MG16" i="4"/>
  <c r="MF16" i="4"/>
  <c r="ME16" i="4"/>
  <c r="MD16" i="4"/>
  <c r="MC16" i="4"/>
  <c r="MB16" i="4"/>
  <c r="MA16" i="4"/>
  <c r="LZ16" i="4"/>
  <c r="LY16" i="4"/>
  <c r="LX16" i="4"/>
  <c r="LW16" i="4"/>
  <c r="LV16" i="4"/>
  <c r="LU16" i="4"/>
  <c r="LT16" i="4"/>
  <c r="LS16" i="4"/>
  <c r="LR16" i="4"/>
  <c r="LQ16" i="4"/>
  <c r="LP16" i="4"/>
  <c r="LO16" i="4"/>
  <c r="LN16" i="4"/>
  <c r="LM16" i="4"/>
  <c r="LL16" i="4"/>
  <c r="LK16" i="4"/>
  <c r="LJ16" i="4"/>
  <c r="LI16" i="4"/>
  <c r="LH16" i="4"/>
  <c r="LG16" i="4"/>
  <c r="LF16" i="4"/>
  <c r="MJ16" i="4" s="1"/>
  <c r="LD16" i="4"/>
  <c r="LC16" i="4"/>
  <c r="LB16" i="4"/>
  <c r="LA16" i="4"/>
  <c r="KZ16" i="4"/>
  <c r="KY16" i="4"/>
  <c r="KX16" i="4"/>
  <c r="KW16" i="4"/>
  <c r="KV16" i="4"/>
  <c r="KU16" i="4"/>
  <c r="KT16" i="4"/>
  <c r="KS16" i="4"/>
  <c r="KR16" i="4"/>
  <c r="KQ16" i="4"/>
  <c r="KP16" i="4"/>
  <c r="KO16" i="4"/>
  <c r="KN16" i="4"/>
  <c r="KM16" i="4"/>
  <c r="KL16" i="4"/>
  <c r="KK16" i="4"/>
  <c r="KJ16" i="4"/>
  <c r="KI16" i="4"/>
  <c r="KH16" i="4"/>
  <c r="KG16" i="4"/>
  <c r="KF16" i="4"/>
  <c r="KE16" i="4"/>
  <c r="KD16" i="4"/>
  <c r="KC16" i="4"/>
  <c r="KB16" i="4"/>
  <c r="KA16" i="4"/>
  <c r="LE16" i="4" s="1"/>
  <c r="JZ16" i="4"/>
  <c r="JX16" i="4"/>
  <c r="JW16" i="4"/>
  <c r="JV16" i="4"/>
  <c r="JU16" i="4"/>
  <c r="JT16" i="4"/>
  <c r="JS16" i="4"/>
  <c r="JR16" i="4"/>
  <c r="JQ16" i="4"/>
  <c r="JP16" i="4"/>
  <c r="JO16" i="4"/>
  <c r="JN16" i="4"/>
  <c r="JM16" i="4"/>
  <c r="JL16" i="4"/>
  <c r="JK16" i="4"/>
  <c r="JJ16" i="4"/>
  <c r="JI16" i="4"/>
  <c r="JH16" i="4"/>
  <c r="JG16" i="4"/>
  <c r="JF16" i="4"/>
  <c r="JE16" i="4"/>
  <c r="JD16" i="4"/>
  <c r="JC16" i="4"/>
  <c r="JB16" i="4"/>
  <c r="JA16" i="4"/>
  <c r="IZ16" i="4"/>
  <c r="IY16" i="4"/>
  <c r="IX16" i="4"/>
  <c r="IW16" i="4"/>
  <c r="IV16" i="4"/>
  <c r="IU16" i="4"/>
  <c r="JY16" i="4" s="1"/>
  <c r="IS16" i="4"/>
  <c r="IR16" i="4"/>
  <c r="IQ16" i="4"/>
  <c r="IP16" i="4"/>
  <c r="IO16" i="4"/>
  <c r="IN16" i="4"/>
  <c r="IM16" i="4"/>
  <c r="IL16" i="4"/>
  <c r="IK16" i="4"/>
  <c r="IJ16" i="4"/>
  <c r="II16" i="4"/>
  <c r="IH16" i="4"/>
  <c r="IG16" i="4"/>
  <c r="IF16" i="4"/>
  <c r="IE16" i="4"/>
  <c r="ID16" i="4"/>
  <c r="IC16" i="4"/>
  <c r="IB16" i="4"/>
  <c r="IA16" i="4"/>
  <c r="HZ16" i="4"/>
  <c r="HY16" i="4"/>
  <c r="HX16" i="4"/>
  <c r="HW16" i="4"/>
  <c r="HV16" i="4"/>
  <c r="HU16" i="4"/>
  <c r="HT16" i="4"/>
  <c r="HS16" i="4"/>
  <c r="HR16" i="4"/>
  <c r="HQ16" i="4"/>
  <c r="HP16" i="4"/>
  <c r="HO16" i="4"/>
  <c r="IT16" i="4" s="1"/>
  <c r="HM16" i="4"/>
  <c r="HL16" i="4"/>
  <c r="HK16" i="4"/>
  <c r="HJ16" i="4"/>
  <c r="HI16" i="4"/>
  <c r="HH16" i="4"/>
  <c r="HG16" i="4"/>
  <c r="HF16" i="4"/>
  <c r="HE16" i="4"/>
  <c r="HD16" i="4"/>
  <c r="HC16" i="4"/>
  <c r="HB16" i="4"/>
  <c r="HA16" i="4"/>
  <c r="GZ16" i="4"/>
  <c r="GY16" i="4"/>
  <c r="GX16" i="4"/>
  <c r="GW16" i="4"/>
  <c r="GV16" i="4"/>
  <c r="GU16" i="4"/>
  <c r="GT16" i="4"/>
  <c r="GS16" i="4"/>
  <c r="GR16" i="4"/>
  <c r="GQ16" i="4"/>
  <c r="GP16" i="4"/>
  <c r="GO16" i="4"/>
  <c r="GN16" i="4"/>
  <c r="GM16" i="4"/>
  <c r="GL16" i="4"/>
  <c r="GK16" i="4"/>
  <c r="HN16" i="4" s="1"/>
  <c r="GI16" i="4"/>
  <c r="GH16" i="4"/>
  <c r="GG16" i="4"/>
  <c r="GF16" i="4"/>
  <c r="GE16" i="4"/>
  <c r="GD16" i="4"/>
  <c r="GC16" i="4"/>
  <c r="GB16" i="4"/>
  <c r="GA16" i="4"/>
  <c r="FZ16" i="4"/>
  <c r="FY16" i="4"/>
  <c r="FX16" i="4"/>
  <c r="FW16" i="4"/>
  <c r="FU16" i="4"/>
  <c r="FT16" i="4"/>
  <c r="FS16" i="4"/>
  <c r="FR16" i="4"/>
  <c r="FQ16" i="4"/>
  <c r="FP16" i="4"/>
  <c r="FO16" i="4"/>
  <c r="FN16" i="4"/>
  <c r="FM16" i="4"/>
  <c r="FL16" i="4"/>
  <c r="FK16" i="4"/>
  <c r="FJ16" i="4"/>
  <c r="FI16" i="4"/>
  <c r="FH16" i="4"/>
  <c r="FG16" i="4"/>
  <c r="FF16" i="4"/>
  <c r="FE16" i="4"/>
  <c r="GJ16" i="4" s="1"/>
  <c r="FC16" i="4"/>
  <c r="FB16" i="4"/>
  <c r="FA16" i="4"/>
  <c r="EZ16" i="4"/>
  <c r="EY16" i="4"/>
  <c r="EX16" i="4"/>
  <c r="EW16" i="4"/>
  <c r="EV16" i="4"/>
  <c r="EU16" i="4"/>
  <c r="ET16" i="4"/>
  <c r="ES16" i="4"/>
  <c r="ER16" i="4"/>
  <c r="EQ16" i="4"/>
  <c r="EP16" i="4"/>
  <c r="EO16" i="4"/>
  <c r="EN16" i="4"/>
  <c r="EM16" i="4"/>
  <c r="EL16" i="4"/>
  <c r="EK16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FD16" i="4" s="1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DX16" i="4" s="1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BZ16" i="4"/>
  <c r="BY16" i="4"/>
  <c r="BX16" i="4"/>
  <c r="BW16" i="4"/>
  <c r="BV16" i="4"/>
  <c r="BU16" i="4"/>
  <c r="BT16" i="4"/>
  <c r="BS16" i="4"/>
  <c r="BR16" i="4"/>
  <c r="BQ16" i="4"/>
  <c r="BP16" i="4"/>
  <c r="BO16" i="4"/>
  <c r="BN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AOC15" i="4"/>
  <c r="AOB15" i="4"/>
  <c r="AOA15" i="4"/>
  <c r="ANZ15" i="4"/>
  <c r="ANY15" i="4"/>
  <c r="ANX15" i="4"/>
  <c r="ANW15" i="4"/>
  <c r="ANV15" i="4"/>
  <c r="ANU15" i="4"/>
  <c r="ANT15" i="4"/>
  <c r="ANS15" i="4"/>
  <c r="ANR15" i="4"/>
  <c r="ANQ15" i="4"/>
  <c r="ANP15" i="4"/>
  <c r="ANO15" i="4"/>
  <c r="ANN15" i="4"/>
  <c r="ANM15" i="4"/>
  <c r="ANL15" i="4"/>
  <c r="ANK15" i="4"/>
  <c r="ANJ15" i="4"/>
  <c r="ANI15" i="4"/>
  <c r="ANH15" i="4"/>
  <c r="ANG15" i="4"/>
  <c r="ANF15" i="4"/>
  <c r="ANE15" i="4"/>
  <c r="AND15" i="4"/>
  <c r="ANC15" i="4"/>
  <c r="ANB15" i="4"/>
  <c r="ANA15" i="4"/>
  <c r="AMZ15" i="4"/>
  <c r="AMZ28" i="5" s="1"/>
  <c r="ANA28" i="5" s="1"/>
  <c r="ANB28" i="5" s="1"/>
  <c r="ANC28" i="5" s="1"/>
  <c r="AND28" i="5" s="1"/>
  <c r="ANE28" i="5" s="1"/>
  <c r="ANF28" i="5" s="1"/>
  <c r="ANG28" i="5" s="1"/>
  <c r="ANH28" i="5" s="1"/>
  <c r="ANI28" i="5" s="1"/>
  <c r="ANJ28" i="5" s="1"/>
  <c r="ANK28" i="5" s="1"/>
  <c r="ANL28" i="5" s="1"/>
  <c r="ANM28" i="5" s="1"/>
  <c r="ANN28" i="5" s="1"/>
  <c r="ANO28" i="5" s="1"/>
  <c r="ANP28" i="5" s="1"/>
  <c r="ANQ28" i="5" s="1"/>
  <c r="ANR28" i="5" s="1"/>
  <c r="ANS28" i="5" s="1"/>
  <c r="ANT28" i="5" s="1"/>
  <c r="ANU28" i="5" s="1"/>
  <c r="ANV28" i="5" s="1"/>
  <c r="ANW28" i="5" s="1"/>
  <c r="ANX28" i="5" s="1"/>
  <c r="ANY28" i="5" s="1"/>
  <c r="ANZ28" i="5" s="1"/>
  <c r="AOA28" i="5" s="1"/>
  <c r="AOB28" i="5" s="1"/>
  <c r="AOC28" i="5" s="1"/>
  <c r="AMX15" i="4"/>
  <c r="AMW15" i="4"/>
  <c r="AMV15" i="4"/>
  <c r="AMU15" i="4"/>
  <c r="AMT15" i="4"/>
  <c r="AMS15" i="4"/>
  <c r="AMR15" i="4"/>
  <c r="AMQ15" i="4"/>
  <c r="AMP15" i="4"/>
  <c r="AMO15" i="4"/>
  <c r="AMN15" i="4"/>
  <c r="AMM15" i="4"/>
  <c r="AML15" i="4"/>
  <c r="AMK15" i="4"/>
  <c r="AMJ15" i="4"/>
  <c r="AMI15" i="4"/>
  <c r="AMH15" i="4"/>
  <c r="AMG15" i="4"/>
  <c r="AMF15" i="4"/>
  <c r="AME15" i="4"/>
  <c r="AMD15" i="4"/>
  <c r="AMC15" i="4"/>
  <c r="AMB15" i="4"/>
  <c r="AMA15" i="4"/>
  <c r="ALZ15" i="4"/>
  <c r="ALY15" i="4"/>
  <c r="ALX15" i="4"/>
  <c r="ALW15" i="4"/>
  <c r="ALV15" i="4"/>
  <c r="ALU15" i="4"/>
  <c r="ALS15" i="4"/>
  <c r="ALR15" i="4"/>
  <c r="ALQ15" i="4"/>
  <c r="ALP15" i="4"/>
  <c r="ALO15" i="4"/>
  <c r="ALN15" i="4"/>
  <c r="ALM15" i="4"/>
  <c r="ALL15" i="4"/>
  <c r="ALK15" i="4"/>
  <c r="ALJ15" i="4"/>
  <c r="ALI15" i="4"/>
  <c r="ALH15" i="4"/>
  <c r="ALG15" i="4"/>
  <c r="ALF15" i="4"/>
  <c r="ALE15" i="4"/>
  <c r="ALD15" i="4"/>
  <c r="ALC15" i="4"/>
  <c r="ALB15" i="4"/>
  <c r="ALA15" i="4"/>
  <c r="AKZ15" i="4"/>
  <c r="AKY15" i="4"/>
  <c r="AKX15" i="4"/>
  <c r="AKW15" i="4"/>
  <c r="AKV15" i="4"/>
  <c r="AKU15" i="4"/>
  <c r="AKT15" i="4"/>
  <c r="AKS15" i="4"/>
  <c r="AKR15" i="4"/>
  <c r="AKQ15" i="4"/>
  <c r="AKP15" i="4"/>
  <c r="AKO15" i="4"/>
  <c r="AKM15" i="4"/>
  <c r="AKL15" i="4"/>
  <c r="AKK15" i="4"/>
  <c r="AKJ15" i="4"/>
  <c r="AKI15" i="4"/>
  <c r="AKH15" i="4"/>
  <c r="AKG15" i="4"/>
  <c r="AKF15" i="4"/>
  <c r="AKE15" i="4"/>
  <c r="AKD15" i="4"/>
  <c r="AKC15" i="4"/>
  <c r="AKB15" i="4"/>
  <c r="AKA15" i="4"/>
  <c r="AJZ15" i="4"/>
  <c r="AJY15" i="4"/>
  <c r="AJX15" i="4"/>
  <c r="AJW15" i="4"/>
  <c r="AJV15" i="4"/>
  <c r="AJU15" i="4"/>
  <c r="AJT15" i="4"/>
  <c r="AJS15" i="4"/>
  <c r="AJR15" i="4"/>
  <c r="AJQ15" i="4"/>
  <c r="AJP15" i="4"/>
  <c r="AJO15" i="4"/>
  <c r="AJN15" i="4"/>
  <c r="AJM15" i="4"/>
  <c r="AJL15" i="4"/>
  <c r="AJJ15" i="4"/>
  <c r="AJI15" i="4"/>
  <c r="AJH15" i="4"/>
  <c r="AJG15" i="4"/>
  <c r="AJF15" i="4"/>
  <c r="AJE15" i="4"/>
  <c r="AJD15" i="4"/>
  <c r="AJC15" i="4"/>
  <c r="AJB15" i="4"/>
  <c r="AJA15" i="4"/>
  <c r="AIZ15" i="4"/>
  <c r="AIY15" i="4"/>
  <c r="AIX15" i="4"/>
  <c r="AIW15" i="4"/>
  <c r="AIV15" i="4"/>
  <c r="AIU15" i="4"/>
  <c r="AIT15" i="4"/>
  <c r="AIS15" i="4"/>
  <c r="AIR15" i="4"/>
  <c r="AIQ15" i="4"/>
  <c r="AIP15" i="4"/>
  <c r="AIO15" i="4"/>
  <c r="AIN15" i="4"/>
  <c r="AIM15" i="4"/>
  <c r="AIL15" i="4"/>
  <c r="AIK15" i="4"/>
  <c r="AIJ15" i="4"/>
  <c r="AII15" i="4"/>
  <c r="AIH15" i="4"/>
  <c r="AIG15" i="4"/>
  <c r="AIF15" i="4"/>
  <c r="AID15" i="4"/>
  <c r="AIC15" i="4"/>
  <c r="AIB15" i="4"/>
  <c r="AIA15" i="4"/>
  <c r="AHZ15" i="4"/>
  <c r="AHY15" i="4"/>
  <c r="AHX15" i="4"/>
  <c r="AHW15" i="4"/>
  <c r="AHV15" i="4"/>
  <c r="AHU15" i="4"/>
  <c r="AHT15" i="4"/>
  <c r="AHS15" i="4"/>
  <c r="AHR15" i="4"/>
  <c r="AHQ15" i="4"/>
  <c r="AHP15" i="4"/>
  <c r="AHO15" i="4"/>
  <c r="AHN15" i="4"/>
  <c r="AHM15" i="4"/>
  <c r="AHL15" i="4"/>
  <c r="AHK15" i="4"/>
  <c r="AHJ15" i="4"/>
  <c r="AHI15" i="4"/>
  <c r="AHH15" i="4"/>
  <c r="AHG15" i="4"/>
  <c r="AHF15" i="4"/>
  <c r="AHE15" i="4"/>
  <c r="AHD15" i="4"/>
  <c r="AHC15" i="4"/>
  <c r="AHB15" i="4"/>
  <c r="AHA15" i="4"/>
  <c r="AGZ15" i="4"/>
  <c r="AGX15" i="4"/>
  <c r="AGW15" i="4"/>
  <c r="AGV15" i="4"/>
  <c r="AGU15" i="4"/>
  <c r="AGT15" i="4"/>
  <c r="AGS15" i="4"/>
  <c r="AGR15" i="4"/>
  <c r="AGQ15" i="4"/>
  <c r="AGP15" i="4"/>
  <c r="AGO15" i="4"/>
  <c r="AGN15" i="4"/>
  <c r="AGM15" i="4"/>
  <c r="AGL15" i="4"/>
  <c r="AGK15" i="4"/>
  <c r="AGJ15" i="4"/>
  <c r="AGI15" i="4"/>
  <c r="AGH15" i="4"/>
  <c r="AGG15" i="4"/>
  <c r="AGF15" i="4"/>
  <c r="AGE15" i="4"/>
  <c r="AGD15" i="4"/>
  <c r="AGC15" i="4"/>
  <c r="AGB15" i="4"/>
  <c r="AGA15" i="4"/>
  <c r="AFZ15" i="4"/>
  <c r="AFY15" i="4"/>
  <c r="AFX15" i="4"/>
  <c r="AFW15" i="4"/>
  <c r="AFV15" i="4"/>
  <c r="AFU15" i="4"/>
  <c r="AFS15" i="4"/>
  <c r="AFR15" i="4"/>
  <c r="AFQ15" i="4"/>
  <c r="AFP15" i="4"/>
  <c r="AFO15" i="4"/>
  <c r="AFN15" i="4"/>
  <c r="AFM15" i="4"/>
  <c r="AFL15" i="4"/>
  <c r="AFK15" i="4"/>
  <c r="AFJ15" i="4"/>
  <c r="AFI15" i="4"/>
  <c r="AFH15" i="4"/>
  <c r="AFG15" i="4"/>
  <c r="AFF15" i="4"/>
  <c r="AFE15" i="4"/>
  <c r="AFD15" i="4"/>
  <c r="AFC15" i="4"/>
  <c r="AFB15" i="4"/>
  <c r="AFA15" i="4"/>
  <c r="AEZ15" i="4"/>
  <c r="AEY15" i="4"/>
  <c r="AEX15" i="4"/>
  <c r="AEW15" i="4"/>
  <c r="AEV15" i="4"/>
  <c r="AEU15" i="4"/>
  <c r="AET15" i="4"/>
  <c r="AES15" i="4"/>
  <c r="AER15" i="4"/>
  <c r="AEQ15" i="4"/>
  <c r="AEP15" i="4"/>
  <c r="AEO15" i="4"/>
  <c r="AEM15" i="4"/>
  <c r="AEL15" i="4"/>
  <c r="AEK15" i="4"/>
  <c r="AEJ15" i="4"/>
  <c r="AEI15" i="4"/>
  <c r="AEH15" i="4"/>
  <c r="AEG15" i="4"/>
  <c r="AEF15" i="4"/>
  <c r="AEE15" i="4"/>
  <c r="AED15" i="4"/>
  <c r="AEC15" i="4"/>
  <c r="AEB15" i="4"/>
  <c r="AEA15" i="4"/>
  <c r="ADZ15" i="4"/>
  <c r="ADY15" i="4"/>
  <c r="ADX15" i="4"/>
  <c r="ADW15" i="4"/>
  <c r="ADV15" i="4"/>
  <c r="ADU15" i="4"/>
  <c r="ADT15" i="4"/>
  <c r="ADS15" i="4"/>
  <c r="ADR15" i="4"/>
  <c r="ADQ15" i="4"/>
  <c r="ADP15" i="4"/>
  <c r="ADO15" i="4"/>
  <c r="ADN15" i="4"/>
  <c r="ADM15" i="4"/>
  <c r="ADL15" i="4"/>
  <c r="ADK15" i="4"/>
  <c r="ADJ15" i="4"/>
  <c r="ADH15" i="4"/>
  <c r="ADG15" i="4"/>
  <c r="ADF15" i="4"/>
  <c r="ADE15" i="4"/>
  <c r="ADD15" i="4"/>
  <c r="ADC15" i="4"/>
  <c r="ADB15" i="4"/>
  <c r="ADA15" i="4"/>
  <c r="ACZ15" i="4"/>
  <c r="ACY15" i="4"/>
  <c r="ACX15" i="4"/>
  <c r="ACW15" i="4"/>
  <c r="ACV15" i="4"/>
  <c r="ACU15" i="4"/>
  <c r="ACT15" i="4"/>
  <c r="ACS15" i="4"/>
  <c r="ACR15" i="4"/>
  <c r="ACQ15" i="4"/>
  <c r="ACP15" i="4"/>
  <c r="ACO15" i="4"/>
  <c r="ACN15" i="4"/>
  <c r="ACM15" i="4"/>
  <c r="ACL15" i="4"/>
  <c r="ACK15" i="4"/>
  <c r="ACJ15" i="4"/>
  <c r="ACI15" i="4"/>
  <c r="ACH15" i="4"/>
  <c r="ACG15" i="4"/>
  <c r="ACF15" i="4"/>
  <c r="ACE15" i="4"/>
  <c r="ACD15" i="4"/>
  <c r="ACB15" i="4"/>
  <c r="ACA15" i="4"/>
  <c r="ABZ15" i="4"/>
  <c r="ABY15" i="4"/>
  <c r="ABX15" i="4"/>
  <c r="ABW15" i="4"/>
  <c r="ABV15" i="4"/>
  <c r="ABU15" i="4"/>
  <c r="ABT15" i="4"/>
  <c r="ABS15" i="4"/>
  <c r="ABR15" i="4"/>
  <c r="ABQ15" i="4"/>
  <c r="ABP15" i="4"/>
  <c r="ABO15" i="4"/>
  <c r="ABN15" i="4"/>
  <c r="ABM15" i="4"/>
  <c r="ABL15" i="4"/>
  <c r="ABK15" i="4"/>
  <c r="ABJ15" i="4"/>
  <c r="ABI15" i="4"/>
  <c r="ABH15" i="4"/>
  <c r="ABG15" i="4"/>
  <c r="ABF15" i="4"/>
  <c r="ABE15" i="4"/>
  <c r="ABD15" i="4"/>
  <c r="ABC15" i="4"/>
  <c r="ABB15" i="4"/>
  <c r="ABA15" i="4"/>
  <c r="AAZ15" i="4"/>
  <c r="AAY15" i="4"/>
  <c r="AAX15" i="4"/>
  <c r="AAV15" i="4"/>
  <c r="AAU15" i="4"/>
  <c r="AAT15" i="4"/>
  <c r="AAS15" i="4"/>
  <c r="AAR15" i="4"/>
  <c r="AAQ15" i="4"/>
  <c r="AAP15" i="4"/>
  <c r="AAO15" i="4"/>
  <c r="AAN15" i="4"/>
  <c r="AAM15" i="4"/>
  <c r="AAL15" i="4"/>
  <c r="AAK15" i="4"/>
  <c r="AAJ15" i="4"/>
  <c r="AAI15" i="4"/>
  <c r="AAH15" i="4"/>
  <c r="AAG15" i="4"/>
  <c r="AAF15" i="4"/>
  <c r="AAE15" i="4"/>
  <c r="AAD15" i="4"/>
  <c r="AAC15" i="4"/>
  <c r="AAB15" i="4"/>
  <c r="AAA15" i="4"/>
  <c r="ZZ15" i="4"/>
  <c r="ZY15" i="4"/>
  <c r="ZX15" i="4"/>
  <c r="ZW15" i="4"/>
  <c r="ZV15" i="4"/>
  <c r="ZU15" i="4"/>
  <c r="ZT15" i="4"/>
  <c r="ZS15" i="4"/>
  <c r="ZQ15" i="4"/>
  <c r="ZP15" i="4"/>
  <c r="ZO15" i="4"/>
  <c r="ZN15" i="4"/>
  <c r="ZM15" i="4"/>
  <c r="ZL15" i="4"/>
  <c r="ZK15" i="4"/>
  <c r="ZJ15" i="4"/>
  <c r="ZI15" i="4"/>
  <c r="ZH15" i="4"/>
  <c r="ZG15" i="4"/>
  <c r="ZF15" i="4"/>
  <c r="ZE15" i="4"/>
  <c r="ZD15" i="4"/>
  <c r="ZC15" i="4"/>
  <c r="ZB15" i="4"/>
  <c r="ZA15" i="4"/>
  <c r="YZ15" i="4"/>
  <c r="YY15" i="4"/>
  <c r="YX15" i="4"/>
  <c r="YW15" i="4"/>
  <c r="YV15" i="4"/>
  <c r="YU15" i="4"/>
  <c r="YT15" i="4"/>
  <c r="YS15" i="4"/>
  <c r="YR15" i="4"/>
  <c r="YQ15" i="4"/>
  <c r="YP15" i="4"/>
  <c r="YO15" i="4"/>
  <c r="YN15" i="4"/>
  <c r="YM15" i="4"/>
  <c r="YK15" i="4"/>
  <c r="YJ15" i="4"/>
  <c r="YI15" i="4"/>
  <c r="YH15" i="4"/>
  <c r="YG15" i="4"/>
  <c r="YF15" i="4"/>
  <c r="YE15" i="4"/>
  <c r="YD15" i="4"/>
  <c r="YC15" i="4"/>
  <c r="YB15" i="4"/>
  <c r="YA15" i="4"/>
  <c r="XZ15" i="4"/>
  <c r="XY15" i="4"/>
  <c r="XX15" i="4"/>
  <c r="XW15" i="4"/>
  <c r="XV15" i="4"/>
  <c r="XU15" i="4"/>
  <c r="XT15" i="4"/>
  <c r="XS15" i="4"/>
  <c r="XR15" i="4"/>
  <c r="XQ15" i="4"/>
  <c r="XP15" i="4"/>
  <c r="XO15" i="4"/>
  <c r="XN15" i="4"/>
  <c r="XM15" i="4"/>
  <c r="XL15" i="4"/>
  <c r="XK15" i="4"/>
  <c r="XJ15" i="4"/>
  <c r="XI15" i="4"/>
  <c r="XH15" i="4"/>
  <c r="XF15" i="4"/>
  <c r="XE15" i="4"/>
  <c r="XD15" i="4"/>
  <c r="XC15" i="4"/>
  <c r="XB15" i="4"/>
  <c r="XA15" i="4"/>
  <c r="WZ15" i="4"/>
  <c r="WY15" i="4"/>
  <c r="WX15" i="4"/>
  <c r="WW15" i="4"/>
  <c r="WV15" i="4"/>
  <c r="WU15" i="4"/>
  <c r="WT15" i="4"/>
  <c r="WS15" i="4"/>
  <c r="WR15" i="4"/>
  <c r="WQ15" i="4"/>
  <c r="WP15" i="4"/>
  <c r="WO15" i="4"/>
  <c r="WN15" i="4"/>
  <c r="WM15" i="4"/>
  <c r="WL15" i="4"/>
  <c r="WK15" i="4"/>
  <c r="WJ15" i="4"/>
  <c r="WI15" i="4"/>
  <c r="WH15" i="4"/>
  <c r="WG15" i="4"/>
  <c r="WF15" i="4"/>
  <c r="WE15" i="4"/>
  <c r="WD15" i="4"/>
  <c r="WC15" i="4"/>
  <c r="WB15" i="4"/>
  <c r="VZ15" i="4"/>
  <c r="VY15" i="4"/>
  <c r="VX15" i="4"/>
  <c r="VW15" i="4"/>
  <c r="VV15" i="4"/>
  <c r="VU15" i="4"/>
  <c r="VT15" i="4"/>
  <c r="VS15" i="4"/>
  <c r="VR15" i="4"/>
  <c r="VQ15" i="4"/>
  <c r="VP15" i="4"/>
  <c r="VO15" i="4"/>
  <c r="VN15" i="4"/>
  <c r="VM15" i="4"/>
  <c r="VL15" i="4"/>
  <c r="VK15" i="4"/>
  <c r="VJ15" i="4"/>
  <c r="VI15" i="4"/>
  <c r="VH15" i="4"/>
  <c r="VG15" i="4"/>
  <c r="VF15" i="4"/>
  <c r="VE15" i="4"/>
  <c r="VD15" i="4"/>
  <c r="VC15" i="4"/>
  <c r="VB15" i="4"/>
  <c r="VA15" i="4"/>
  <c r="UZ15" i="4"/>
  <c r="UY15" i="4"/>
  <c r="UW15" i="4"/>
  <c r="UV15" i="4"/>
  <c r="UU15" i="4"/>
  <c r="UT15" i="4"/>
  <c r="US15" i="4"/>
  <c r="UR15" i="4"/>
  <c r="UQ15" i="4"/>
  <c r="UP15" i="4"/>
  <c r="UO15" i="4"/>
  <c r="UN15" i="4"/>
  <c r="UM15" i="4"/>
  <c r="UL15" i="4"/>
  <c r="UK15" i="4"/>
  <c r="UJ15" i="4"/>
  <c r="UI15" i="4"/>
  <c r="UH15" i="4"/>
  <c r="UG15" i="4"/>
  <c r="UF15" i="4"/>
  <c r="UE15" i="4"/>
  <c r="UD15" i="4"/>
  <c r="UC15" i="4"/>
  <c r="UB15" i="4"/>
  <c r="UA15" i="4"/>
  <c r="TZ15" i="4"/>
  <c r="TY15" i="4"/>
  <c r="TX15" i="4"/>
  <c r="TW15" i="4"/>
  <c r="TV15" i="4"/>
  <c r="TU15" i="4"/>
  <c r="TT15" i="4"/>
  <c r="UX15" i="4" s="1"/>
  <c r="TS15" i="4"/>
  <c r="TS28" i="5" s="1"/>
  <c r="TT28" i="5" s="1"/>
  <c r="TU28" i="5" s="1"/>
  <c r="TV28" i="5" s="1"/>
  <c r="TW28" i="5" s="1"/>
  <c r="TX28" i="5" s="1"/>
  <c r="TY28" i="5" s="1"/>
  <c r="TZ28" i="5" s="1"/>
  <c r="UA28" i="5" s="1"/>
  <c r="UB28" i="5" s="1"/>
  <c r="UC28" i="5" s="1"/>
  <c r="UD28" i="5" s="1"/>
  <c r="UE28" i="5" s="1"/>
  <c r="UF28" i="5" s="1"/>
  <c r="UG28" i="5" s="1"/>
  <c r="UH28" i="5" s="1"/>
  <c r="UI28" i="5" s="1"/>
  <c r="UJ28" i="5" s="1"/>
  <c r="UK28" i="5" s="1"/>
  <c r="UL28" i="5" s="1"/>
  <c r="UM28" i="5" s="1"/>
  <c r="UN28" i="5" s="1"/>
  <c r="UO28" i="5" s="1"/>
  <c r="UP28" i="5" s="1"/>
  <c r="UQ28" i="5" s="1"/>
  <c r="UR28" i="5" s="1"/>
  <c r="US28" i="5" s="1"/>
  <c r="UT28" i="5" s="1"/>
  <c r="UU28" i="5" s="1"/>
  <c r="UV28" i="5" s="1"/>
  <c r="UW28" i="5" s="1"/>
  <c r="TQ15" i="4"/>
  <c r="TP15" i="4"/>
  <c r="TO15" i="4"/>
  <c r="TN15" i="4"/>
  <c r="TM15" i="4"/>
  <c r="TL15" i="4"/>
  <c r="TK15" i="4"/>
  <c r="TJ15" i="4"/>
  <c r="TI15" i="4"/>
  <c r="TH15" i="4"/>
  <c r="TG15" i="4"/>
  <c r="TF15" i="4"/>
  <c r="TE15" i="4"/>
  <c r="TD15" i="4"/>
  <c r="TC15" i="4"/>
  <c r="TB15" i="4"/>
  <c r="TA15" i="4"/>
  <c r="SZ15" i="4"/>
  <c r="SY15" i="4"/>
  <c r="SX15" i="4"/>
  <c r="SW15" i="4"/>
  <c r="SV15" i="4"/>
  <c r="SU15" i="4"/>
  <c r="ST15" i="4"/>
  <c r="SS15" i="4"/>
  <c r="SR15" i="4"/>
  <c r="SQ15" i="4"/>
  <c r="SP15" i="4"/>
  <c r="SO15" i="4"/>
  <c r="SN15" i="4"/>
  <c r="TR15" i="4" s="1"/>
  <c r="SM15" i="4"/>
  <c r="SM28" i="5" s="1"/>
  <c r="SN28" i="5" s="1"/>
  <c r="SO28" i="5" s="1"/>
  <c r="SP28" i="5" s="1"/>
  <c r="SQ28" i="5" s="1"/>
  <c r="SR28" i="5" s="1"/>
  <c r="SS28" i="5" s="1"/>
  <c r="ST28" i="5" s="1"/>
  <c r="SU28" i="5" s="1"/>
  <c r="SV28" i="5" s="1"/>
  <c r="SW28" i="5" s="1"/>
  <c r="SX28" i="5" s="1"/>
  <c r="SY28" i="5" s="1"/>
  <c r="SZ28" i="5" s="1"/>
  <c r="TA28" i="5" s="1"/>
  <c r="TB28" i="5" s="1"/>
  <c r="TC28" i="5" s="1"/>
  <c r="TD28" i="5" s="1"/>
  <c r="TE28" i="5" s="1"/>
  <c r="TF28" i="5" s="1"/>
  <c r="TG28" i="5" s="1"/>
  <c r="TH28" i="5" s="1"/>
  <c r="TI28" i="5" s="1"/>
  <c r="TJ28" i="5" s="1"/>
  <c r="TK28" i="5" s="1"/>
  <c r="TL28" i="5" s="1"/>
  <c r="TM28" i="5" s="1"/>
  <c r="TN28" i="5" s="1"/>
  <c r="TO28" i="5" s="1"/>
  <c r="TP28" i="5" s="1"/>
  <c r="TQ28" i="5" s="1"/>
  <c r="TS16" i="5" s="1"/>
  <c r="TT16" i="5" s="1"/>
  <c r="TU16" i="5" s="1"/>
  <c r="TV16" i="5" s="1"/>
  <c r="TW16" i="5" s="1"/>
  <c r="TX16" i="5" s="1"/>
  <c r="SK15" i="4"/>
  <c r="SJ15" i="4"/>
  <c r="SI15" i="4"/>
  <c r="SH15" i="4"/>
  <c r="SG15" i="4"/>
  <c r="SF15" i="4"/>
  <c r="SE15" i="4"/>
  <c r="SD15" i="4"/>
  <c r="SC15" i="4"/>
  <c r="SB15" i="4"/>
  <c r="SA15" i="4"/>
  <c r="RZ15" i="4"/>
  <c r="RY15" i="4"/>
  <c r="RX15" i="4"/>
  <c r="RW15" i="4"/>
  <c r="RV15" i="4"/>
  <c r="RU15" i="4"/>
  <c r="RT15" i="4"/>
  <c r="RS15" i="4"/>
  <c r="RR15" i="4"/>
  <c r="RQ15" i="4"/>
  <c r="RP15" i="4"/>
  <c r="RO15" i="4"/>
  <c r="RN15" i="4"/>
  <c r="RM15" i="4"/>
  <c r="RL15" i="4"/>
  <c r="RK15" i="4"/>
  <c r="RJ15" i="4"/>
  <c r="RI15" i="4"/>
  <c r="RH15" i="4"/>
  <c r="RF15" i="4"/>
  <c r="RE15" i="4"/>
  <c r="RD15" i="4"/>
  <c r="RC15" i="4"/>
  <c r="RB15" i="4"/>
  <c r="RA15" i="4"/>
  <c r="QZ15" i="4"/>
  <c r="QY15" i="4"/>
  <c r="QX15" i="4"/>
  <c r="QW15" i="4"/>
  <c r="QV15" i="4"/>
  <c r="QU15" i="4"/>
  <c r="QT15" i="4"/>
  <c r="QS15" i="4"/>
  <c r="QR15" i="4"/>
  <c r="QQ15" i="4"/>
  <c r="QP15" i="4"/>
  <c r="QO15" i="4"/>
  <c r="QN15" i="4"/>
  <c r="QM15" i="4"/>
  <c r="QL15" i="4"/>
  <c r="QK15" i="4"/>
  <c r="QJ15" i="4"/>
  <c r="QI15" i="4"/>
  <c r="QH15" i="4"/>
  <c r="QG15" i="4"/>
  <c r="QF15" i="4"/>
  <c r="QE15" i="4"/>
  <c r="QD15" i="4"/>
  <c r="QC15" i="4"/>
  <c r="RG15" i="4" s="1"/>
  <c r="QB15" i="4"/>
  <c r="QB28" i="5" s="1"/>
  <c r="QC28" i="5" s="1"/>
  <c r="QD28" i="5" s="1"/>
  <c r="QE28" i="5" s="1"/>
  <c r="QF28" i="5" s="1"/>
  <c r="QG28" i="5" s="1"/>
  <c r="QH28" i="5" s="1"/>
  <c r="QI28" i="5" s="1"/>
  <c r="QJ28" i="5" s="1"/>
  <c r="QK28" i="5" s="1"/>
  <c r="QL28" i="5" s="1"/>
  <c r="QM28" i="5" s="1"/>
  <c r="QN28" i="5" s="1"/>
  <c r="QO28" i="5" s="1"/>
  <c r="QP28" i="5" s="1"/>
  <c r="QQ28" i="5" s="1"/>
  <c r="QR28" i="5" s="1"/>
  <c r="QS28" i="5" s="1"/>
  <c r="QT28" i="5" s="1"/>
  <c r="QU28" i="5" s="1"/>
  <c r="QV28" i="5" s="1"/>
  <c r="QW28" i="5" s="1"/>
  <c r="QX28" i="5" s="1"/>
  <c r="QY28" i="5" s="1"/>
  <c r="QZ28" i="5" s="1"/>
  <c r="RA28" i="5" s="1"/>
  <c r="RB28" i="5" s="1"/>
  <c r="RC28" i="5" s="1"/>
  <c r="RD28" i="5" s="1"/>
  <c r="RE28" i="5" s="1"/>
  <c r="RF28" i="5" s="1"/>
  <c r="PZ15" i="4"/>
  <c r="PY15" i="4"/>
  <c r="PX15" i="4"/>
  <c r="PW15" i="4"/>
  <c r="PV15" i="4"/>
  <c r="PU15" i="4"/>
  <c r="PT15" i="4"/>
  <c r="PS15" i="4"/>
  <c r="PR15" i="4"/>
  <c r="PQ15" i="4"/>
  <c r="PP15" i="4"/>
  <c r="PO15" i="4"/>
  <c r="PN15" i="4"/>
  <c r="PM15" i="4"/>
  <c r="PL15" i="4"/>
  <c r="PK15" i="4"/>
  <c r="PJ15" i="4"/>
  <c r="PI15" i="4"/>
  <c r="PH15" i="4"/>
  <c r="PG15" i="4"/>
  <c r="PF15" i="4"/>
  <c r="PE15" i="4"/>
  <c r="PD15" i="4"/>
  <c r="PC15" i="4"/>
  <c r="PB15" i="4"/>
  <c r="PA15" i="4"/>
  <c r="OZ15" i="4"/>
  <c r="OY15" i="4"/>
  <c r="OX15" i="4"/>
  <c r="OW15" i="4"/>
  <c r="OU15" i="4"/>
  <c r="OT15" i="4"/>
  <c r="OS15" i="4"/>
  <c r="OR15" i="4"/>
  <c r="OQ15" i="4"/>
  <c r="OP15" i="4"/>
  <c r="OO15" i="4"/>
  <c r="ON15" i="4"/>
  <c r="OM15" i="4"/>
  <c r="OL15" i="4"/>
  <c r="OK15" i="4"/>
  <c r="OJ15" i="4"/>
  <c r="OI15" i="4"/>
  <c r="OH15" i="4"/>
  <c r="OG15" i="4"/>
  <c r="OF15" i="4"/>
  <c r="OE15" i="4"/>
  <c r="OD15" i="4"/>
  <c r="OC15" i="4"/>
  <c r="OB15" i="4"/>
  <c r="OA15" i="4"/>
  <c r="NZ15" i="4"/>
  <c r="NY15" i="4"/>
  <c r="NX15" i="4"/>
  <c r="NW15" i="4"/>
  <c r="NV15" i="4"/>
  <c r="NU15" i="4"/>
  <c r="NT15" i="4"/>
  <c r="NS15" i="4"/>
  <c r="NR15" i="4"/>
  <c r="OV15" i="4" s="1"/>
  <c r="NQ15" i="4"/>
  <c r="NQ28" i="5" s="1"/>
  <c r="NR28" i="5" s="1"/>
  <c r="NS28" i="5" s="1"/>
  <c r="NT28" i="5" s="1"/>
  <c r="NU28" i="5" s="1"/>
  <c r="NV28" i="5" s="1"/>
  <c r="NW28" i="5" s="1"/>
  <c r="NX28" i="5" s="1"/>
  <c r="NY28" i="5" s="1"/>
  <c r="NZ28" i="5" s="1"/>
  <c r="OA28" i="5" s="1"/>
  <c r="OB28" i="5" s="1"/>
  <c r="OC28" i="5" s="1"/>
  <c r="OD28" i="5" s="1"/>
  <c r="OE28" i="5" s="1"/>
  <c r="OF28" i="5" s="1"/>
  <c r="OG28" i="5" s="1"/>
  <c r="OH28" i="5" s="1"/>
  <c r="OI28" i="5" s="1"/>
  <c r="OJ28" i="5" s="1"/>
  <c r="OK28" i="5" s="1"/>
  <c r="OL28" i="5" s="1"/>
  <c r="OM28" i="5" s="1"/>
  <c r="ON28" i="5" s="1"/>
  <c r="OO28" i="5" s="1"/>
  <c r="OP28" i="5" s="1"/>
  <c r="OQ28" i="5" s="1"/>
  <c r="OR28" i="5" s="1"/>
  <c r="OS28" i="5" s="1"/>
  <c r="OT28" i="5" s="1"/>
  <c r="OU28" i="5" s="1"/>
  <c r="OW16" i="5" s="1"/>
  <c r="OX16" i="5" s="1"/>
  <c r="OY16" i="5" s="1"/>
  <c r="OZ16" i="5" s="1"/>
  <c r="PA16" i="5" s="1"/>
  <c r="PB16" i="5" s="1"/>
  <c r="PC16" i="5" s="1"/>
  <c r="PD16" i="5" s="1"/>
  <c r="PE16" i="5" s="1"/>
  <c r="PF16" i="5" s="1"/>
  <c r="PG16" i="5" s="1"/>
  <c r="NO15" i="4"/>
  <c r="NN15" i="4"/>
  <c r="NM15" i="4"/>
  <c r="NL15" i="4"/>
  <c r="NK15" i="4"/>
  <c r="NJ15" i="4"/>
  <c r="NI15" i="4"/>
  <c r="NH15" i="4"/>
  <c r="NG15" i="4"/>
  <c r="NF15" i="4"/>
  <c r="NE15" i="4"/>
  <c r="ND15" i="4"/>
  <c r="NC15" i="4"/>
  <c r="NB15" i="4"/>
  <c r="NA15" i="4"/>
  <c r="MZ15" i="4"/>
  <c r="MY15" i="4"/>
  <c r="MX15" i="4"/>
  <c r="MW15" i="4"/>
  <c r="MV15" i="4"/>
  <c r="MU15" i="4"/>
  <c r="MT15" i="4"/>
  <c r="MS15" i="4"/>
  <c r="MR15" i="4"/>
  <c r="MQ15" i="4"/>
  <c r="MP15" i="4"/>
  <c r="MO15" i="4"/>
  <c r="MN15" i="4"/>
  <c r="MM15" i="4"/>
  <c r="ML15" i="4"/>
  <c r="NP15" i="4" s="1"/>
  <c r="MK15" i="4"/>
  <c r="MK28" i="5" s="1"/>
  <c r="ML28" i="5" s="1"/>
  <c r="MM28" i="5" s="1"/>
  <c r="MN28" i="5" s="1"/>
  <c r="MO28" i="5" s="1"/>
  <c r="MP28" i="5" s="1"/>
  <c r="MQ28" i="5" s="1"/>
  <c r="MR28" i="5" s="1"/>
  <c r="MS28" i="5" s="1"/>
  <c r="MT28" i="5" s="1"/>
  <c r="MU28" i="5" s="1"/>
  <c r="MV28" i="5" s="1"/>
  <c r="MW28" i="5" s="1"/>
  <c r="MX28" i="5" s="1"/>
  <c r="MY28" i="5" s="1"/>
  <c r="MZ28" i="5" s="1"/>
  <c r="NA28" i="5" s="1"/>
  <c r="NB28" i="5" s="1"/>
  <c r="NC28" i="5" s="1"/>
  <c r="ND28" i="5" s="1"/>
  <c r="NE28" i="5" s="1"/>
  <c r="NF28" i="5" s="1"/>
  <c r="NG28" i="5" s="1"/>
  <c r="NH28" i="5" s="1"/>
  <c r="NI28" i="5" s="1"/>
  <c r="NJ28" i="5" s="1"/>
  <c r="NK28" i="5" s="1"/>
  <c r="NL28" i="5" s="1"/>
  <c r="NM28" i="5" s="1"/>
  <c r="NN28" i="5" s="1"/>
  <c r="NO28" i="5" s="1"/>
  <c r="MI15" i="4"/>
  <c r="MH15" i="4"/>
  <c r="MG15" i="4"/>
  <c r="MF15" i="4"/>
  <c r="ME15" i="4"/>
  <c r="MD15" i="4"/>
  <c r="MC15" i="4"/>
  <c r="MB15" i="4"/>
  <c r="MA15" i="4"/>
  <c r="LZ15" i="4"/>
  <c r="LY15" i="4"/>
  <c r="LX15" i="4"/>
  <c r="LW15" i="4"/>
  <c r="LV15" i="4"/>
  <c r="LU15" i="4"/>
  <c r="LT15" i="4"/>
  <c r="LS15" i="4"/>
  <c r="LR15" i="4"/>
  <c r="LQ15" i="4"/>
  <c r="LP15" i="4"/>
  <c r="LO15" i="4"/>
  <c r="LN15" i="4"/>
  <c r="LM15" i="4"/>
  <c r="LL15" i="4"/>
  <c r="LK15" i="4"/>
  <c r="LJ15" i="4"/>
  <c r="LI15" i="4"/>
  <c r="LH15" i="4"/>
  <c r="LG15" i="4"/>
  <c r="LF15" i="4"/>
  <c r="LD15" i="4"/>
  <c r="LC15" i="4"/>
  <c r="LB15" i="4"/>
  <c r="LA15" i="4"/>
  <c r="KZ15" i="4"/>
  <c r="KY15" i="4"/>
  <c r="KX15" i="4"/>
  <c r="KW15" i="4"/>
  <c r="KV15" i="4"/>
  <c r="KU15" i="4"/>
  <c r="KT15" i="4"/>
  <c r="KS15" i="4"/>
  <c r="KR15" i="4"/>
  <c r="KQ15" i="4"/>
  <c r="KP15" i="4"/>
  <c r="KO15" i="4"/>
  <c r="KN15" i="4"/>
  <c r="KM15" i="4"/>
  <c r="KL15" i="4"/>
  <c r="KK15" i="4"/>
  <c r="KJ15" i="4"/>
  <c r="KI15" i="4"/>
  <c r="KH15" i="4"/>
  <c r="KG15" i="4"/>
  <c r="KF15" i="4"/>
  <c r="KE15" i="4"/>
  <c r="KD15" i="4"/>
  <c r="KC15" i="4"/>
  <c r="KB15" i="4"/>
  <c r="KA15" i="4"/>
  <c r="LE15" i="4" s="1"/>
  <c r="JZ15" i="4"/>
  <c r="JZ28" i="5" s="1"/>
  <c r="KA28" i="5" s="1"/>
  <c r="KB28" i="5" s="1"/>
  <c r="KC28" i="5" s="1"/>
  <c r="KD28" i="5" s="1"/>
  <c r="KE28" i="5" s="1"/>
  <c r="KF28" i="5" s="1"/>
  <c r="KG28" i="5" s="1"/>
  <c r="KH28" i="5" s="1"/>
  <c r="KI28" i="5" s="1"/>
  <c r="KJ28" i="5" s="1"/>
  <c r="KK28" i="5" s="1"/>
  <c r="KL28" i="5" s="1"/>
  <c r="KM28" i="5" s="1"/>
  <c r="KN28" i="5" s="1"/>
  <c r="KO28" i="5" s="1"/>
  <c r="KP28" i="5" s="1"/>
  <c r="KQ28" i="5" s="1"/>
  <c r="KR28" i="5" s="1"/>
  <c r="KS28" i="5" s="1"/>
  <c r="KT28" i="5" s="1"/>
  <c r="KU28" i="5" s="1"/>
  <c r="KV28" i="5" s="1"/>
  <c r="KW28" i="5" s="1"/>
  <c r="KX28" i="5" s="1"/>
  <c r="KY28" i="5" s="1"/>
  <c r="KZ28" i="5" s="1"/>
  <c r="LA28" i="5" s="1"/>
  <c r="LB28" i="5" s="1"/>
  <c r="LC28" i="5" s="1"/>
  <c r="LD28" i="5" s="1"/>
  <c r="JX15" i="4"/>
  <c r="JW15" i="4"/>
  <c r="JV15" i="4"/>
  <c r="JU15" i="4"/>
  <c r="JT15" i="4"/>
  <c r="JS15" i="4"/>
  <c r="JR15" i="4"/>
  <c r="JQ15" i="4"/>
  <c r="JP15" i="4"/>
  <c r="JO15" i="4"/>
  <c r="JN15" i="4"/>
  <c r="JM15" i="4"/>
  <c r="JL15" i="4"/>
  <c r="JK15" i="4"/>
  <c r="JJ15" i="4"/>
  <c r="JI15" i="4"/>
  <c r="JH15" i="4"/>
  <c r="JG15" i="4"/>
  <c r="JF15" i="4"/>
  <c r="JE15" i="4"/>
  <c r="JD15" i="4"/>
  <c r="JC15" i="4"/>
  <c r="JB15" i="4"/>
  <c r="JA15" i="4"/>
  <c r="IZ15" i="4"/>
  <c r="IY15" i="4"/>
  <c r="IX15" i="4"/>
  <c r="IW15" i="4"/>
  <c r="IV15" i="4"/>
  <c r="IU15" i="4"/>
  <c r="IS15" i="4"/>
  <c r="IR15" i="4"/>
  <c r="IQ15" i="4"/>
  <c r="IP15" i="4"/>
  <c r="IO15" i="4"/>
  <c r="IN15" i="4"/>
  <c r="IM15" i="4"/>
  <c r="IL15" i="4"/>
  <c r="IK15" i="4"/>
  <c r="IJ15" i="4"/>
  <c r="II15" i="4"/>
  <c r="IH15" i="4"/>
  <c r="IG15" i="4"/>
  <c r="IF15" i="4"/>
  <c r="IE15" i="4"/>
  <c r="ID15" i="4"/>
  <c r="IC15" i="4"/>
  <c r="IB15" i="4"/>
  <c r="IA15" i="4"/>
  <c r="HZ15" i="4"/>
  <c r="HY15" i="4"/>
  <c r="HX15" i="4"/>
  <c r="HW15" i="4"/>
  <c r="HV15" i="4"/>
  <c r="HU15" i="4"/>
  <c r="HT15" i="4"/>
  <c r="HS15" i="4"/>
  <c r="HR15" i="4"/>
  <c r="HQ15" i="4"/>
  <c r="HP15" i="4"/>
  <c r="HO15" i="4"/>
  <c r="HM15" i="4"/>
  <c r="HL15" i="4"/>
  <c r="HK15" i="4"/>
  <c r="HJ15" i="4"/>
  <c r="HI15" i="4"/>
  <c r="HH15" i="4"/>
  <c r="HG15" i="4"/>
  <c r="HF15" i="4"/>
  <c r="HE15" i="4"/>
  <c r="HD15" i="4"/>
  <c r="HC15" i="4"/>
  <c r="HB15" i="4"/>
  <c r="HA15" i="4"/>
  <c r="GZ15" i="4"/>
  <c r="GY15" i="4"/>
  <c r="GX15" i="4"/>
  <c r="GW15" i="4"/>
  <c r="GV15" i="4"/>
  <c r="GU15" i="4"/>
  <c r="GT15" i="4"/>
  <c r="GS15" i="4"/>
  <c r="GR15" i="4"/>
  <c r="GQ15" i="4"/>
  <c r="GP15" i="4"/>
  <c r="GO15" i="4"/>
  <c r="GN15" i="4"/>
  <c r="GM15" i="4"/>
  <c r="GL15" i="4"/>
  <c r="GK15" i="4"/>
  <c r="GI15" i="4"/>
  <c r="GH15" i="4"/>
  <c r="GG15" i="4"/>
  <c r="GF15" i="4"/>
  <c r="GE15" i="4"/>
  <c r="GD15" i="4"/>
  <c r="GC15" i="4"/>
  <c r="GB15" i="4"/>
  <c r="GA15" i="4"/>
  <c r="FZ15" i="4"/>
  <c r="FY15" i="4"/>
  <c r="FX15" i="4"/>
  <c r="FW15" i="4"/>
  <c r="FV15" i="4"/>
  <c r="FU15" i="4"/>
  <c r="FT15" i="4"/>
  <c r="FS15" i="4"/>
  <c r="FR15" i="4"/>
  <c r="FQ15" i="4"/>
  <c r="FP15" i="4"/>
  <c r="FO15" i="4"/>
  <c r="FN15" i="4"/>
  <c r="FM15" i="4"/>
  <c r="FL15" i="4"/>
  <c r="FK15" i="4"/>
  <c r="FJ15" i="4"/>
  <c r="FI15" i="4"/>
  <c r="FH15" i="4"/>
  <c r="FG15" i="4"/>
  <c r="FF15" i="4"/>
  <c r="FE15" i="4"/>
  <c r="FC15" i="4"/>
  <c r="FB15" i="4"/>
  <c r="FA15" i="4"/>
  <c r="EZ15" i="4"/>
  <c r="EY15" i="4"/>
  <c r="EX15" i="4"/>
  <c r="EW15" i="4"/>
  <c r="EV15" i="4"/>
  <c r="EU15" i="4"/>
  <c r="ET15" i="4"/>
  <c r="ES15" i="4"/>
  <c r="ER15" i="4"/>
  <c r="EQ15" i="4"/>
  <c r="EP15" i="4"/>
  <c r="EO15" i="4"/>
  <c r="EN15" i="4"/>
  <c r="EM15" i="4"/>
  <c r="EL15" i="4"/>
  <c r="EK15" i="4"/>
  <c r="EJ15" i="4"/>
  <c r="EI15" i="4"/>
  <c r="EH15" i="4"/>
  <c r="EG15" i="4"/>
  <c r="EF15" i="4"/>
  <c r="EE15" i="4"/>
  <c r="ED15" i="4"/>
  <c r="EC15" i="4"/>
  <c r="EB15" i="4"/>
  <c r="EA15" i="4"/>
  <c r="DZ15" i="4"/>
  <c r="DY15" i="4"/>
  <c r="DW15" i="4"/>
  <c r="DV15" i="4"/>
  <c r="DU15" i="4"/>
  <c r="DT15" i="4"/>
  <c r="DS15" i="4"/>
  <c r="DR15" i="4"/>
  <c r="DQ15" i="4"/>
  <c r="DP15" i="4"/>
  <c r="DO15" i="4"/>
  <c r="DN15" i="4"/>
  <c r="DM15" i="4"/>
  <c r="DL15" i="4"/>
  <c r="DK15" i="4"/>
  <c r="DJ15" i="4"/>
  <c r="DI15" i="4"/>
  <c r="DH15" i="4"/>
  <c r="DG15" i="4"/>
  <c r="DF15" i="4"/>
  <c r="DE15" i="4"/>
  <c r="DD15" i="4"/>
  <c r="DC15" i="4"/>
  <c r="DB15" i="4"/>
  <c r="DA15" i="4"/>
  <c r="CZ15" i="4"/>
  <c r="CY15" i="4"/>
  <c r="CX15" i="4"/>
  <c r="CW15" i="4"/>
  <c r="CV15" i="4"/>
  <c r="CU15" i="4"/>
  <c r="CT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CA15" i="4"/>
  <c r="BZ15" i="4"/>
  <c r="BY15" i="4"/>
  <c r="BX15" i="4"/>
  <c r="BW15" i="4"/>
  <c r="BV15" i="4"/>
  <c r="BU15" i="4"/>
  <c r="BT15" i="4"/>
  <c r="BS15" i="4"/>
  <c r="BR15" i="4"/>
  <c r="BQ15" i="4"/>
  <c r="BP15" i="4"/>
  <c r="BO15" i="4"/>
  <c r="BN15" i="4"/>
  <c r="BL15" i="4"/>
  <c r="BK15" i="4"/>
  <c r="BJ15" i="4"/>
  <c r="BI15" i="4"/>
  <c r="BH15" i="4"/>
  <c r="BG15" i="4"/>
  <c r="BF15" i="4"/>
  <c r="BE15" i="4"/>
  <c r="BD15" i="4"/>
  <c r="BC15" i="4"/>
  <c r="BB15" i="4"/>
  <c r="BA15" i="4"/>
  <c r="AZ15" i="4"/>
  <c r="AY15" i="4"/>
  <c r="AX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G15" i="4"/>
  <c r="AF15" i="4"/>
  <c r="AE15" i="4"/>
  <c r="AD15" i="4"/>
  <c r="AC15" i="4"/>
  <c r="AB15" i="4"/>
  <c r="AA15" i="4"/>
  <c r="Z15" i="4"/>
  <c r="Y15" i="4"/>
  <c r="X15" i="4"/>
  <c r="W15" i="4"/>
  <c r="V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AOC14" i="4"/>
  <c r="AOB14" i="4"/>
  <c r="AOA14" i="4"/>
  <c r="ANZ14" i="4"/>
  <c r="ANY14" i="4"/>
  <c r="ANX14" i="4"/>
  <c r="ANW14" i="4"/>
  <c r="ANV14" i="4"/>
  <c r="ANU14" i="4"/>
  <c r="ANT14" i="4"/>
  <c r="ANS14" i="4"/>
  <c r="ANR14" i="4"/>
  <c r="ANQ14" i="4"/>
  <c r="ANP14" i="4"/>
  <c r="ANO14" i="4"/>
  <c r="ANN14" i="4"/>
  <c r="ANM14" i="4"/>
  <c r="ANL14" i="4"/>
  <c r="ANK14" i="4"/>
  <c r="ANJ14" i="4"/>
  <c r="ANI14" i="4"/>
  <c r="ANH14" i="4"/>
  <c r="ANG14" i="4"/>
  <c r="ANF14" i="4"/>
  <c r="ANE14" i="4"/>
  <c r="AND14" i="4"/>
  <c r="ANC14" i="4"/>
  <c r="ANB14" i="4"/>
  <c r="ANA14" i="4"/>
  <c r="AMZ14" i="4"/>
  <c r="AMZ27" i="5" s="1"/>
  <c r="ANA27" i="5" s="1"/>
  <c r="ANB27" i="5" s="1"/>
  <c r="ANC27" i="5" s="1"/>
  <c r="AND27" i="5" s="1"/>
  <c r="ANE27" i="5" s="1"/>
  <c r="ANF27" i="5" s="1"/>
  <c r="ANG27" i="5" s="1"/>
  <c r="ANH27" i="5" s="1"/>
  <c r="ANI27" i="5" s="1"/>
  <c r="ANJ27" i="5" s="1"/>
  <c r="ANK27" i="5" s="1"/>
  <c r="ANL27" i="5" s="1"/>
  <c r="ANM27" i="5" s="1"/>
  <c r="ANN27" i="5" s="1"/>
  <c r="ANO27" i="5" s="1"/>
  <c r="ANP27" i="5" s="1"/>
  <c r="ANQ27" i="5" s="1"/>
  <c r="ANR27" i="5" s="1"/>
  <c r="ANS27" i="5" s="1"/>
  <c r="ANT27" i="5" s="1"/>
  <c r="ANU27" i="5" s="1"/>
  <c r="ANV27" i="5" s="1"/>
  <c r="ANW27" i="5" s="1"/>
  <c r="ANX27" i="5" s="1"/>
  <c r="ANY27" i="5" s="1"/>
  <c r="ANZ27" i="5" s="1"/>
  <c r="AOA27" i="5" s="1"/>
  <c r="AOB27" i="5" s="1"/>
  <c r="AOC27" i="5" s="1"/>
  <c r="AMX14" i="4"/>
  <c r="AMW14" i="4"/>
  <c r="AMV14" i="4"/>
  <c r="AMU14" i="4"/>
  <c r="AMT14" i="4"/>
  <c r="AMS14" i="4"/>
  <c r="AMR14" i="4"/>
  <c r="AMQ14" i="4"/>
  <c r="AMP14" i="4"/>
  <c r="AMO14" i="4"/>
  <c r="AMN14" i="4"/>
  <c r="AMM14" i="4"/>
  <c r="AML14" i="4"/>
  <c r="AMK14" i="4"/>
  <c r="AMJ14" i="4"/>
  <c r="AMI14" i="4"/>
  <c r="AMH14" i="4"/>
  <c r="AMG14" i="4"/>
  <c r="AMF14" i="4"/>
  <c r="AME14" i="4"/>
  <c r="AMD14" i="4"/>
  <c r="AMC14" i="4"/>
  <c r="AMB14" i="4"/>
  <c r="AMA14" i="4"/>
  <c r="ALZ14" i="4"/>
  <c r="ALY14" i="4"/>
  <c r="ALX14" i="4"/>
  <c r="ALW14" i="4"/>
  <c r="ALV14" i="4"/>
  <c r="ALU14" i="4"/>
  <c r="ALS14" i="4"/>
  <c r="ALR14" i="4"/>
  <c r="ALQ14" i="4"/>
  <c r="ALP14" i="4"/>
  <c r="ALO14" i="4"/>
  <c r="ALN14" i="4"/>
  <c r="ALM14" i="4"/>
  <c r="ALL14" i="4"/>
  <c r="ALK14" i="4"/>
  <c r="ALJ14" i="4"/>
  <c r="ALI14" i="4"/>
  <c r="ALH14" i="4"/>
  <c r="ALG14" i="4"/>
  <c r="ALF14" i="4"/>
  <c r="ALE14" i="4"/>
  <c r="ALD14" i="4"/>
  <c r="ALC14" i="4"/>
  <c r="ALB14" i="4"/>
  <c r="ALA14" i="4"/>
  <c r="AKZ14" i="4"/>
  <c r="AKY14" i="4"/>
  <c r="AKX14" i="4"/>
  <c r="AKW14" i="4"/>
  <c r="AKV14" i="4"/>
  <c r="AKU14" i="4"/>
  <c r="AKT14" i="4"/>
  <c r="AKS14" i="4"/>
  <c r="AKR14" i="4"/>
  <c r="AKQ14" i="4"/>
  <c r="AKP14" i="4"/>
  <c r="AKO14" i="4"/>
  <c r="AKM14" i="4"/>
  <c r="AKL14" i="4"/>
  <c r="AKK14" i="4"/>
  <c r="AKJ14" i="4"/>
  <c r="AKI14" i="4"/>
  <c r="AKH14" i="4"/>
  <c r="AKG14" i="4"/>
  <c r="AKF14" i="4"/>
  <c r="AKE14" i="4"/>
  <c r="AKD14" i="4"/>
  <c r="AKC14" i="4"/>
  <c r="AKB14" i="4"/>
  <c r="AKA14" i="4"/>
  <c r="AJZ14" i="4"/>
  <c r="AJY14" i="4"/>
  <c r="AJX14" i="4"/>
  <c r="AJW14" i="4"/>
  <c r="AJV14" i="4"/>
  <c r="AJU14" i="4"/>
  <c r="AJT14" i="4"/>
  <c r="AJS14" i="4"/>
  <c r="AJR14" i="4"/>
  <c r="AJQ14" i="4"/>
  <c r="AJP14" i="4"/>
  <c r="AJO14" i="4"/>
  <c r="AJN14" i="4"/>
  <c r="AJM14" i="4"/>
  <c r="AJL14" i="4"/>
  <c r="AJJ14" i="4"/>
  <c r="AJI14" i="4"/>
  <c r="AJH14" i="4"/>
  <c r="AJG14" i="4"/>
  <c r="AJF14" i="4"/>
  <c r="AJE14" i="4"/>
  <c r="AJD14" i="4"/>
  <c r="AJC14" i="4"/>
  <c r="AJB14" i="4"/>
  <c r="AJA14" i="4"/>
  <c r="AIZ14" i="4"/>
  <c r="AIY14" i="4"/>
  <c r="AIX14" i="4"/>
  <c r="AIW14" i="4"/>
  <c r="AIV14" i="4"/>
  <c r="AIU14" i="4"/>
  <c r="AIT14" i="4"/>
  <c r="AIS14" i="4"/>
  <c r="AIR14" i="4"/>
  <c r="AIQ14" i="4"/>
  <c r="AIP14" i="4"/>
  <c r="AIO14" i="4"/>
  <c r="AIN14" i="4"/>
  <c r="AIM14" i="4"/>
  <c r="AIL14" i="4"/>
  <c r="AIK14" i="4"/>
  <c r="AIJ14" i="4"/>
  <c r="AII14" i="4"/>
  <c r="AIH14" i="4"/>
  <c r="AIG14" i="4"/>
  <c r="AJK14" i="4" s="1"/>
  <c r="AIF14" i="4"/>
  <c r="AIF27" i="5" s="1"/>
  <c r="AIG27" i="5" s="1"/>
  <c r="AIH27" i="5" s="1"/>
  <c r="AII27" i="5" s="1"/>
  <c r="AIJ27" i="5" s="1"/>
  <c r="AIK27" i="5" s="1"/>
  <c r="AIL27" i="5" s="1"/>
  <c r="AIM27" i="5" s="1"/>
  <c r="AIN27" i="5" s="1"/>
  <c r="AIO27" i="5" s="1"/>
  <c r="AIP27" i="5" s="1"/>
  <c r="AIQ27" i="5" s="1"/>
  <c r="AIR27" i="5" s="1"/>
  <c r="AIS27" i="5" s="1"/>
  <c r="AIT27" i="5" s="1"/>
  <c r="AIU27" i="5" s="1"/>
  <c r="AIV27" i="5" s="1"/>
  <c r="AIW27" i="5" s="1"/>
  <c r="AIX27" i="5" s="1"/>
  <c r="AIY27" i="5" s="1"/>
  <c r="AIZ27" i="5" s="1"/>
  <c r="AJA27" i="5" s="1"/>
  <c r="AJB27" i="5" s="1"/>
  <c r="AJC27" i="5" s="1"/>
  <c r="AJD27" i="5" s="1"/>
  <c r="AJE27" i="5" s="1"/>
  <c r="AJF27" i="5" s="1"/>
  <c r="AJG27" i="5" s="1"/>
  <c r="AJH27" i="5" s="1"/>
  <c r="AJI27" i="5" s="1"/>
  <c r="AJJ27" i="5" s="1"/>
  <c r="AID14" i="4"/>
  <c r="AIC14" i="4"/>
  <c r="AIB14" i="4"/>
  <c r="AIA14" i="4"/>
  <c r="AHZ14" i="4"/>
  <c r="AHY14" i="4"/>
  <c r="AHX14" i="4"/>
  <c r="AHW14" i="4"/>
  <c r="AHV14" i="4"/>
  <c r="AHU14" i="4"/>
  <c r="AHT14" i="4"/>
  <c r="AHS14" i="4"/>
  <c r="AHR14" i="4"/>
  <c r="AHQ14" i="4"/>
  <c r="AHP14" i="4"/>
  <c r="AHO14" i="4"/>
  <c r="AHN14" i="4"/>
  <c r="AHM14" i="4"/>
  <c r="AHL14" i="4"/>
  <c r="AHK14" i="4"/>
  <c r="AHJ14" i="4"/>
  <c r="AHI14" i="4"/>
  <c r="AHH14" i="4"/>
  <c r="AHG14" i="4"/>
  <c r="AHF14" i="4"/>
  <c r="AHE14" i="4"/>
  <c r="AHD14" i="4"/>
  <c r="AHC14" i="4"/>
  <c r="AHB14" i="4"/>
  <c r="AHA14" i="4"/>
  <c r="AIE14" i="4" s="1"/>
  <c r="AGZ14" i="4"/>
  <c r="AGZ27" i="5" s="1"/>
  <c r="AHA27" i="5" s="1"/>
  <c r="AHB27" i="5" s="1"/>
  <c r="AHC27" i="5" s="1"/>
  <c r="AHD27" i="5" s="1"/>
  <c r="AHE27" i="5" s="1"/>
  <c r="AHF27" i="5" s="1"/>
  <c r="AHG27" i="5" s="1"/>
  <c r="AHH27" i="5" s="1"/>
  <c r="AHI27" i="5" s="1"/>
  <c r="AHJ27" i="5" s="1"/>
  <c r="AHK27" i="5" s="1"/>
  <c r="AHL27" i="5" s="1"/>
  <c r="AHM27" i="5" s="1"/>
  <c r="AHN27" i="5" s="1"/>
  <c r="AHO27" i="5" s="1"/>
  <c r="AHP27" i="5" s="1"/>
  <c r="AHQ27" i="5" s="1"/>
  <c r="AHR27" i="5" s="1"/>
  <c r="AHS27" i="5" s="1"/>
  <c r="AHT27" i="5" s="1"/>
  <c r="AHU27" i="5" s="1"/>
  <c r="AHV27" i="5" s="1"/>
  <c r="AHW27" i="5" s="1"/>
  <c r="AHX27" i="5" s="1"/>
  <c r="AHY27" i="5" s="1"/>
  <c r="AHZ27" i="5" s="1"/>
  <c r="AIA27" i="5" s="1"/>
  <c r="AIB27" i="5" s="1"/>
  <c r="AIC27" i="5" s="1"/>
  <c r="AID27" i="5" s="1"/>
  <c r="AGX14" i="4"/>
  <c r="AGW14" i="4"/>
  <c r="AGV14" i="4"/>
  <c r="AGU14" i="4"/>
  <c r="AGT14" i="4"/>
  <c r="AGS14" i="4"/>
  <c r="AGR14" i="4"/>
  <c r="AGQ14" i="4"/>
  <c r="AGP14" i="4"/>
  <c r="AGO14" i="4"/>
  <c r="AGN14" i="4"/>
  <c r="AGM14" i="4"/>
  <c r="AGL14" i="4"/>
  <c r="AGK14" i="4"/>
  <c r="AGJ14" i="4"/>
  <c r="AGI14" i="4"/>
  <c r="AGH14" i="4"/>
  <c r="AGG14" i="4"/>
  <c r="AGF14" i="4"/>
  <c r="AGE14" i="4"/>
  <c r="AGD14" i="4"/>
  <c r="AGC14" i="4"/>
  <c r="AGB14" i="4"/>
  <c r="AGA14" i="4"/>
  <c r="AFZ14" i="4"/>
  <c r="AFY14" i="4"/>
  <c r="AFX14" i="4"/>
  <c r="AFW14" i="4"/>
  <c r="AFV14" i="4"/>
  <c r="AFU14" i="4"/>
  <c r="AFS14" i="4"/>
  <c r="AFR14" i="4"/>
  <c r="AFQ14" i="4"/>
  <c r="AFP14" i="4"/>
  <c r="AFO14" i="4"/>
  <c r="AFN14" i="4"/>
  <c r="AFM14" i="4"/>
  <c r="AFL14" i="4"/>
  <c r="AFK14" i="4"/>
  <c r="AFJ14" i="4"/>
  <c r="AFI14" i="4"/>
  <c r="AFH14" i="4"/>
  <c r="AFG14" i="4"/>
  <c r="AFF14" i="4"/>
  <c r="AFE14" i="4"/>
  <c r="AFD14" i="4"/>
  <c r="AFC14" i="4"/>
  <c r="AFB14" i="4"/>
  <c r="AFA14" i="4"/>
  <c r="AEZ14" i="4"/>
  <c r="AEY14" i="4"/>
  <c r="AEX14" i="4"/>
  <c r="AEW14" i="4"/>
  <c r="AEV14" i="4"/>
  <c r="AEU14" i="4"/>
  <c r="AET14" i="4"/>
  <c r="AES14" i="4"/>
  <c r="AER14" i="4"/>
  <c r="AEQ14" i="4"/>
  <c r="AEP14" i="4"/>
  <c r="AEO14" i="4"/>
  <c r="AEM14" i="4"/>
  <c r="AEL14" i="4"/>
  <c r="AEK14" i="4"/>
  <c r="AEJ14" i="4"/>
  <c r="AEI14" i="4"/>
  <c r="AEH14" i="4"/>
  <c r="AEG14" i="4"/>
  <c r="AEF14" i="4"/>
  <c r="AEE14" i="4"/>
  <c r="AED14" i="4"/>
  <c r="AEC14" i="4"/>
  <c r="AEB14" i="4"/>
  <c r="AEA14" i="4"/>
  <c r="ADZ14" i="4"/>
  <c r="ADY14" i="4"/>
  <c r="ADX14" i="4"/>
  <c r="ADW14" i="4"/>
  <c r="ADV14" i="4"/>
  <c r="ADU14" i="4"/>
  <c r="ADT14" i="4"/>
  <c r="ADS14" i="4"/>
  <c r="ADR14" i="4"/>
  <c r="ADQ14" i="4"/>
  <c r="ADP14" i="4"/>
  <c r="ADO14" i="4"/>
  <c r="ADN14" i="4"/>
  <c r="ADM14" i="4"/>
  <c r="ADL14" i="4"/>
  <c r="ADK14" i="4"/>
  <c r="ADJ14" i="4"/>
  <c r="ADH14" i="4"/>
  <c r="ADG14" i="4"/>
  <c r="ADF14" i="4"/>
  <c r="ADE14" i="4"/>
  <c r="ADD14" i="4"/>
  <c r="ADC14" i="4"/>
  <c r="ADB14" i="4"/>
  <c r="ADA14" i="4"/>
  <c r="ACZ14" i="4"/>
  <c r="ACY14" i="4"/>
  <c r="ACX14" i="4"/>
  <c r="ACW14" i="4"/>
  <c r="ACV14" i="4"/>
  <c r="ACU14" i="4"/>
  <c r="ACT14" i="4"/>
  <c r="ACS14" i="4"/>
  <c r="ACR14" i="4"/>
  <c r="ACQ14" i="4"/>
  <c r="ACP14" i="4"/>
  <c r="ACO14" i="4"/>
  <c r="ACN14" i="4"/>
  <c r="ACM14" i="4"/>
  <c r="ACL14" i="4"/>
  <c r="ACK14" i="4"/>
  <c r="ACJ14" i="4"/>
  <c r="ACI14" i="4"/>
  <c r="ACH14" i="4"/>
  <c r="ACG14" i="4"/>
  <c r="ACF14" i="4"/>
  <c r="ACE14" i="4"/>
  <c r="ACD14" i="4"/>
  <c r="ACB14" i="4"/>
  <c r="ACA14" i="4"/>
  <c r="ABZ14" i="4"/>
  <c r="ABY14" i="4"/>
  <c r="ABX14" i="4"/>
  <c r="ABW14" i="4"/>
  <c r="ABV14" i="4"/>
  <c r="ABU14" i="4"/>
  <c r="ABT14" i="4"/>
  <c r="ABS14" i="4"/>
  <c r="ABR14" i="4"/>
  <c r="ABQ14" i="4"/>
  <c r="ABP14" i="4"/>
  <c r="ABO14" i="4"/>
  <c r="ABN14" i="4"/>
  <c r="ABM14" i="4"/>
  <c r="ABL14" i="4"/>
  <c r="ABK14" i="4"/>
  <c r="ABJ14" i="4"/>
  <c r="ABI14" i="4"/>
  <c r="ABH14" i="4"/>
  <c r="ABG14" i="4"/>
  <c r="ABF14" i="4"/>
  <c r="ABE14" i="4"/>
  <c r="ABD14" i="4"/>
  <c r="ABC14" i="4"/>
  <c r="ABB14" i="4"/>
  <c r="ABA14" i="4"/>
  <c r="AAZ14" i="4"/>
  <c r="AAY14" i="4"/>
  <c r="AAX14" i="4"/>
  <c r="AAV14" i="4"/>
  <c r="AAU14" i="4"/>
  <c r="AAT14" i="4"/>
  <c r="AAS14" i="4"/>
  <c r="AAR14" i="4"/>
  <c r="AAQ14" i="4"/>
  <c r="AAP14" i="4"/>
  <c r="AAO14" i="4"/>
  <c r="AAN14" i="4"/>
  <c r="AAM14" i="4"/>
  <c r="AAL14" i="4"/>
  <c r="AAK14" i="4"/>
  <c r="AAJ14" i="4"/>
  <c r="AAI14" i="4"/>
  <c r="AAH14" i="4"/>
  <c r="AAG14" i="4"/>
  <c r="AAF14" i="4"/>
  <c r="AAE14" i="4"/>
  <c r="AAD14" i="4"/>
  <c r="AAC14" i="4"/>
  <c r="AAB14" i="4"/>
  <c r="AAA14" i="4"/>
  <c r="ZZ14" i="4"/>
  <c r="ZY14" i="4"/>
  <c r="ZX14" i="4"/>
  <c r="ZW14" i="4"/>
  <c r="ZV14" i="4"/>
  <c r="ZU14" i="4"/>
  <c r="ZT14" i="4"/>
  <c r="ZS14" i="4"/>
  <c r="ZQ14" i="4"/>
  <c r="ZP14" i="4"/>
  <c r="ZO14" i="4"/>
  <c r="ZN14" i="4"/>
  <c r="ZM14" i="4"/>
  <c r="ZL14" i="4"/>
  <c r="ZK14" i="4"/>
  <c r="ZJ14" i="4"/>
  <c r="ZI14" i="4"/>
  <c r="ZH14" i="4"/>
  <c r="ZG14" i="4"/>
  <c r="ZF14" i="4"/>
  <c r="ZE14" i="4"/>
  <c r="ZD14" i="4"/>
  <c r="ZC14" i="4"/>
  <c r="ZB14" i="4"/>
  <c r="ZA14" i="4"/>
  <c r="YZ14" i="4"/>
  <c r="YY14" i="4"/>
  <c r="YX14" i="4"/>
  <c r="YW14" i="4"/>
  <c r="YV14" i="4"/>
  <c r="YU14" i="4"/>
  <c r="YT14" i="4"/>
  <c r="YS14" i="4"/>
  <c r="YR14" i="4"/>
  <c r="YQ14" i="4"/>
  <c r="YP14" i="4"/>
  <c r="YO14" i="4"/>
  <c r="YN14" i="4"/>
  <c r="YM14" i="4"/>
  <c r="YK14" i="4"/>
  <c r="YJ14" i="4"/>
  <c r="YI14" i="4"/>
  <c r="YH14" i="4"/>
  <c r="YG14" i="4"/>
  <c r="YF14" i="4"/>
  <c r="YE14" i="4"/>
  <c r="YD14" i="4"/>
  <c r="YC14" i="4"/>
  <c r="YB14" i="4"/>
  <c r="YA14" i="4"/>
  <c r="XZ14" i="4"/>
  <c r="XY14" i="4"/>
  <c r="XX14" i="4"/>
  <c r="XW14" i="4"/>
  <c r="XV14" i="4"/>
  <c r="XU14" i="4"/>
  <c r="XT14" i="4"/>
  <c r="XS14" i="4"/>
  <c r="XR14" i="4"/>
  <c r="XQ14" i="4"/>
  <c r="XP14" i="4"/>
  <c r="XO14" i="4"/>
  <c r="XN14" i="4"/>
  <c r="XM14" i="4"/>
  <c r="XL14" i="4"/>
  <c r="XK14" i="4"/>
  <c r="XJ14" i="4"/>
  <c r="XI14" i="4"/>
  <c r="XH14" i="4"/>
  <c r="XF14" i="4"/>
  <c r="XE14" i="4"/>
  <c r="XD14" i="4"/>
  <c r="XC14" i="4"/>
  <c r="XB14" i="4"/>
  <c r="XA14" i="4"/>
  <c r="WZ14" i="4"/>
  <c r="WY14" i="4"/>
  <c r="WX14" i="4"/>
  <c r="WW14" i="4"/>
  <c r="WV14" i="4"/>
  <c r="WU14" i="4"/>
  <c r="WT14" i="4"/>
  <c r="WS14" i="4"/>
  <c r="WR14" i="4"/>
  <c r="WQ14" i="4"/>
  <c r="WP14" i="4"/>
  <c r="WO14" i="4"/>
  <c r="WN14" i="4"/>
  <c r="WM14" i="4"/>
  <c r="WL14" i="4"/>
  <c r="WK14" i="4"/>
  <c r="WJ14" i="4"/>
  <c r="WI14" i="4"/>
  <c r="WH14" i="4"/>
  <c r="WG14" i="4"/>
  <c r="WF14" i="4"/>
  <c r="WE14" i="4"/>
  <c r="WD14" i="4"/>
  <c r="WC14" i="4"/>
  <c r="WB14" i="4"/>
  <c r="VZ14" i="4"/>
  <c r="VY14" i="4"/>
  <c r="VX14" i="4"/>
  <c r="VW14" i="4"/>
  <c r="VV14" i="4"/>
  <c r="VU14" i="4"/>
  <c r="VT14" i="4"/>
  <c r="VS14" i="4"/>
  <c r="VR14" i="4"/>
  <c r="VQ14" i="4"/>
  <c r="VP14" i="4"/>
  <c r="VO14" i="4"/>
  <c r="VN14" i="4"/>
  <c r="VM14" i="4"/>
  <c r="VL14" i="4"/>
  <c r="VK14" i="4"/>
  <c r="VJ14" i="4"/>
  <c r="VI14" i="4"/>
  <c r="VH14" i="4"/>
  <c r="VG14" i="4"/>
  <c r="VF14" i="4"/>
  <c r="VE14" i="4"/>
  <c r="VD14" i="4"/>
  <c r="VC14" i="4"/>
  <c r="VB14" i="4"/>
  <c r="VA14" i="4"/>
  <c r="UZ14" i="4"/>
  <c r="UY14" i="4"/>
  <c r="UW14" i="4"/>
  <c r="UV14" i="4"/>
  <c r="UU14" i="4"/>
  <c r="UT14" i="4"/>
  <c r="US14" i="4"/>
  <c r="UR14" i="4"/>
  <c r="UQ14" i="4"/>
  <c r="UP14" i="4"/>
  <c r="UO14" i="4"/>
  <c r="UN14" i="4"/>
  <c r="UM14" i="4"/>
  <c r="UL14" i="4"/>
  <c r="UK14" i="4"/>
  <c r="UJ14" i="4"/>
  <c r="UI14" i="4"/>
  <c r="UH14" i="4"/>
  <c r="UG14" i="4"/>
  <c r="UF14" i="4"/>
  <c r="UE14" i="4"/>
  <c r="UD14" i="4"/>
  <c r="UC14" i="4"/>
  <c r="UB14" i="4"/>
  <c r="UA14" i="4"/>
  <c r="TZ14" i="4"/>
  <c r="TY14" i="4"/>
  <c r="TX14" i="4"/>
  <c r="TW14" i="4"/>
  <c r="TV14" i="4"/>
  <c r="TU14" i="4"/>
  <c r="TT14" i="4"/>
  <c r="UX14" i="4" s="1"/>
  <c r="TS14" i="4"/>
  <c r="TS27" i="5" s="1"/>
  <c r="TT27" i="5" s="1"/>
  <c r="TU27" i="5" s="1"/>
  <c r="TV27" i="5" s="1"/>
  <c r="TW27" i="5" s="1"/>
  <c r="TX27" i="5" s="1"/>
  <c r="TY27" i="5" s="1"/>
  <c r="TZ27" i="5" s="1"/>
  <c r="UA27" i="5" s="1"/>
  <c r="UB27" i="5" s="1"/>
  <c r="UC27" i="5" s="1"/>
  <c r="UD27" i="5" s="1"/>
  <c r="UE27" i="5" s="1"/>
  <c r="UF27" i="5" s="1"/>
  <c r="UG27" i="5" s="1"/>
  <c r="UH27" i="5" s="1"/>
  <c r="UI27" i="5" s="1"/>
  <c r="UJ27" i="5" s="1"/>
  <c r="UK27" i="5" s="1"/>
  <c r="UL27" i="5" s="1"/>
  <c r="UM27" i="5" s="1"/>
  <c r="UN27" i="5" s="1"/>
  <c r="UO27" i="5" s="1"/>
  <c r="UP27" i="5" s="1"/>
  <c r="UQ27" i="5" s="1"/>
  <c r="UR27" i="5" s="1"/>
  <c r="US27" i="5" s="1"/>
  <c r="UT27" i="5" s="1"/>
  <c r="UU27" i="5" s="1"/>
  <c r="UV27" i="5" s="1"/>
  <c r="UW27" i="5" s="1"/>
  <c r="TQ14" i="4"/>
  <c r="TP14" i="4"/>
  <c r="TO14" i="4"/>
  <c r="TN14" i="4"/>
  <c r="TM14" i="4"/>
  <c r="TL14" i="4"/>
  <c r="TK14" i="4"/>
  <c r="TJ14" i="4"/>
  <c r="TI14" i="4"/>
  <c r="TH14" i="4"/>
  <c r="TG14" i="4"/>
  <c r="TF14" i="4"/>
  <c r="TE14" i="4"/>
  <c r="TD14" i="4"/>
  <c r="TC14" i="4"/>
  <c r="TB14" i="4"/>
  <c r="TA14" i="4"/>
  <c r="SZ14" i="4"/>
  <c r="SY14" i="4"/>
  <c r="SX14" i="4"/>
  <c r="SW14" i="4"/>
  <c r="SV14" i="4"/>
  <c r="SU14" i="4"/>
  <c r="ST14" i="4"/>
  <c r="SS14" i="4"/>
  <c r="SR14" i="4"/>
  <c r="SQ14" i="4"/>
  <c r="SP14" i="4"/>
  <c r="SO14" i="4"/>
  <c r="SN14" i="4"/>
  <c r="TR14" i="4" s="1"/>
  <c r="SM14" i="4"/>
  <c r="SM27" i="5" s="1"/>
  <c r="SN27" i="5" s="1"/>
  <c r="SO27" i="5" s="1"/>
  <c r="SP27" i="5" s="1"/>
  <c r="SQ27" i="5" s="1"/>
  <c r="SR27" i="5" s="1"/>
  <c r="SS27" i="5" s="1"/>
  <c r="ST27" i="5" s="1"/>
  <c r="SU27" i="5" s="1"/>
  <c r="SV27" i="5" s="1"/>
  <c r="SW27" i="5" s="1"/>
  <c r="SX27" i="5" s="1"/>
  <c r="SY27" i="5" s="1"/>
  <c r="SZ27" i="5" s="1"/>
  <c r="TA27" i="5" s="1"/>
  <c r="TB27" i="5" s="1"/>
  <c r="TC27" i="5" s="1"/>
  <c r="TD27" i="5" s="1"/>
  <c r="TE27" i="5" s="1"/>
  <c r="TF27" i="5" s="1"/>
  <c r="TG27" i="5" s="1"/>
  <c r="TH27" i="5" s="1"/>
  <c r="TI27" i="5" s="1"/>
  <c r="TJ27" i="5" s="1"/>
  <c r="TK27" i="5" s="1"/>
  <c r="TL27" i="5" s="1"/>
  <c r="TM27" i="5" s="1"/>
  <c r="TN27" i="5" s="1"/>
  <c r="TO27" i="5" s="1"/>
  <c r="TP27" i="5" s="1"/>
  <c r="TQ27" i="5" s="1"/>
  <c r="TS15" i="5" s="1"/>
  <c r="TT15" i="5" s="1"/>
  <c r="TU15" i="5" s="1"/>
  <c r="TV15" i="5" s="1"/>
  <c r="TW15" i="5" s="1"/>
  <c r="TX15" i="5" s="1"/>
  <c r="SK14" i="4"/>
  <c r="SJ14" i="4"/>
  <c r="SI14" i="4"/>
  <c r="SH14" i="4"/>
  <c r="SG14" i="4"/>
  <c r="SF14" i="4"/>
  <c r="SE14" i="4"/>
  <c r="SD14" i="4"/>
  <c r="SC14" i="4"/>
  <c r="SB14" i="4"/>
  <c r="SA14" i="4"/>
  <c r="RZ14" i="4"/>
  <c r="RY14" i="4"/>
  <c r="RX14" i="4"/>
  <c r="RW14" i="4"/>
  <c r="RV14" i="4"/>
  <c r="RU14" i="4"/>
  <c r="RT14" i="4"/>
  <c r="RS14" i="4"/>
  <c r="RR14" i="4"/>
  <c r="RQ14" i="4"/>
  <c r="RP14" i="4"/>
  <c r="RO14" i="4"/>
  <c r="RN14" i="4"/>
  <c r="RM14" i="4"/>
  <c r="RL14" i="4"/>
  <c r="RK14" i="4"/>
  <c r="RJ14" i="4"/>
  <c r="RI14" i="4"/>
  <c r="RH14" i="4"/>
  <c r="RF14" i="4"/>
  <c r="RE14" i="4"/>
  <c r="RD14" i="4"/>
  <c r="RC14" i="4"/>
  <c r="RB14" i="4"/>
  <c r="RA14" i="4"/>
  <c r="QZ14" i="4"/>
  <c r="QY14" i="4"/>
  <c r="QX14" i="4"/>
  <c r="QW14" i="4"/>
  <c r="QV14" i="4"/>
  <c r="QU14" i="4"/>
  <c r="QT14" i="4"/>
  <c r="QS14" i="4"/>
  <c r="QR14" i="4"/>
  <c r="QQ14" i="4"/>
  <c r="QP14" i="4"/>
  <c r="QO14" i="4"/>
  <c r="QN14" i="4"/>
  <c r="QM14" i="4"/>
  <c r="QL14" i="4"/>
  <c r="QK14" i="4"/>
  <c r="QJ14" i="4"/>
  <c r="QI14" i="4"/>
  <c r="QH14" i="4"/>
  <c r="QG14" i="4"/>
  <c r="QF14" i="4"/>
  <c r="QE14" i="4"/>
  <c r="QD14" i="4"/>
  <c r="QC14" i="4"/>
  <c r="RG14" i="4" s="1"/>
  <c r="QB14" i="4"/>
  <c r="QB27" i="5" s="1"/>
  <c r="QC27" i="5" s="1"/>
  <c r="QD27" i="5" s="1"/>
  <c r="QE27" i="5" s="1"/>
  <c r="QF27" i="5" s="1"/>
  <c r="QG27" i="5" s="1"/>
  <c r="QH27" i="5" s="1"/>
  <c r="QI27" i="5" s="1"/>
  <c r="QJ27" i="5" s="1"/>
  <c r="QK27" i="5" s="1"/>
  <c r="QL27" i="5" s="1"/>
  <c r="QM27" i="5" s="1"/>
  <c r="QN27" i="5" s="1"/>
  <c r="QO27" i="5" s="1"/>
  <c r="QP27" i="5" s="1"/>
  <c r="QQ27" i="5" s="1"/>
  <c r="QR27" i="5" s="1"/>
  <c r="QS27" i="5" s="1"/>
  <c r="QT27" i="5" s="1"/>
  <c r="QU27" i="5" s="1"/>
  <c r="QV27" i="5" s="1"/>
  <c r="QW27" i="5" s="1"/>
  <c r="QX27" i="5" s="1"/>
  <c r="QY27" i="5" s="1"/>
  <c r="QZ27" i="5" s="1"/>
  <c r="RA27" i="5" s="1"/>
  <c r="RB27" i="5" s="1"/>
  <c r="RC27" i="5" s="1"/>
  <c r="RD27" i="5" s="1"/>
  <c r="RE27" i="5" s="1"/>
  <c r="RF27" i="5" s="1"/>
  <c r="PZ14" i="4"/>
  <c r="PY14" i="4"/>
  <c r="PX14" i="4"/>
  <c r="PW14" i="4"/>
  <c r="PV14" i="4"/>
  <c r="PU14" i="4"/>
  <c r="PT14" i="4"/>
  <c r="PS14" i="4"/>
  <c r="PR14" i="4"/>
  <c r="PQ14" i="4"/>
  <c r="PP14" i="4"/>
  <c r="PO14" i="4"/>
  <c r="PN14" i="4"/>
  <c r="PM14" i="4"/>
  <c r="PL14" i="4"/>
  <c r="PK14" i="4"/>
  <c r="PJ14" i="4"/>
  <c r="PI14" i="4"/>
  <c r="PH14" i="4"/>
  <c r="PG14" i="4"/>
  <c r="PF14" i="4"/>
  <c r="PE14" i="4"/>
  <c r="PD14" i="4"/>
  <c r="PC14" i="4"/>
  <c r="PB14" i="4"/>
  <c r="PA14" i="4"/>
  <c r="OZ14" i="4"/>
  <c r="OY14" i="4"/>
  <c r="OX14" i="4"/>
  <c r="OW14" i="4"/>
  <c r="OU14" i="4"/>
  <c r="OT14" i="4"/>
  <c r="OS14" i="4"/>
  <c r="OR14" i="4"/>
  <c r="OQ14" i="4"/>
  <c r="OP14" i="4"/>
  <c r="OO14" i="4"/>
  <c r="ON14" i="4"/>
  <c r="OM14" i="4"/>
  <c r="OL14" i="4"/>
  <c r="OK14" i="4"/>
  <c r="OJ14" i="4"/>
  <c r="OI14" i="4"/>
  <c r="OH14" i="4"/>
  <c r="OG14" i="4"/>
  <c r="OF14" i="4"/>
  <c r="OE14" i="4"/>
  <c r="OD14" i="4"/>
  <c r="OC14" i="4"/>
  <c r="OB14" i="4"/>
  <c r="OA14" i="4"/>
  <c r="NZ14" i="4"/>
  <c r="NY14" i="4"/>
  <c r="NX14" i="4"/>
  <c r="NW14" i="4"/>
  <c r="NV14" i="4"/>
  <c r="NU14" i="4"/>
  <c r="NT14" i="4"/>
  <c r="NS14" i="4"/>
  <c r="NR14" i="4"/>
  <c r="OV14" i="4" s="1"/>
  <c r="NQ14" i="4"/>
  <c r="NQ27" i="5" s="1"/>
  <c r="NR27" i="5" s="1"/>
  <c r="NS27" i="5" s="1"/>
  <c r="NT27" i="5" s="1"/>
  <c r="NU27" i="5" s="1"/>
  <c r="NV27" i="5" s="1"/>
  <c r="NW27" i="5" s="1"/>
  <c r="NX27" i="5" s="1"/>
  <c r="NY27" i="5" s="1"/>
  <c r="NZ27" i="5" s="1"/>
  <c r="OA27" i="5" s="1"/>
  <c r="OB27" i="5" s="1"/>
  <c r="OC27" i="5" s="1"/>
  <c r="OD27" i="5" s="1"/>
  <c r="OE27" i="5" s="1"/>
  <c r="OF27" i="5" s="1"/>
  <c r="OG27" i="5" s="1"/>
  <c r="OH27" i="5" s="1"/>
  <c r="OI27" i="5" s="1"/>
  <c r="OJ27" i="5" s="1"/>
  <c r="OK27" i="5" s="1"/>
  <c r="OL27" i="5" s="1"/>
  <c r="OM27" i="5" s="1"/>
  <c r="ON27" i="5" s="1"/>
  <c r="OO27" i="5" s="1"/>
  <c r="OP27" i="5" s="1"/>
  <c r="OQ27" i="5" s="1"/>
  <c r="OR27" i="5" s="1"/>
  <c r="OS27" i="5" s="1"/>
  <c r="OT27" i="5" s="1"/>
  <c r="OU27" i="5" s="1"/>
  <c r="OW15" i="5" s="1"/>
  <c r="OX15" i="5" s="1"/>
  <c r="OY15" i="5" s="1"/>
  <c r="OZ15" i="5" s="1"/>
  <c r="PA15" i="5" s="1"/>
  <c r="PB15" i="5" s="1"/>
  <c r="PC15" i="5" s="1"/>
  <c r="PD15" i="5" s="1"/>
  <c r="PE15" i="5" s="1"/>
  <c r="PF15" i="5" s="1"/>
  <c r="PG15" i="5" s="1"/>
  <c r="NO14" i="4"/>
  <c r="NN14" i="4"/>
  <c r="NM14" i="4"/>
  <c r="NL14" i="4"/>
  <c r="NK14" i="4"/>
  <c r="NJ14" i="4"/>
  <c r="NI14" i="4"/>
  <c r="NH14" i="4"/>
  <c r="NG14" i="4"/>
  <c r="NF14" i="4"/>
  <c r="NE14" i="4"/>
  <c r="ND14" i="4"/>
  <c r="NC14" i="4"/>
  <c r="NB14" i="4"/>
  <c r="NA14" i="4"/>
  <c r="MZ14" i="4"/>
  <c r="MY14" i="4"/>
  <c r="MX14" i="4"/>
  <c r="MW14" i="4"/>
  <c r="MV14" i="4"/>
  <c r="MU14" i="4"/>
  <c r="MT14" i="4"/>
  <c r="MS14" i="4"/>
  <c r="MR14" i="4"/>
  <c r="MQ14" i="4"/>
  <c r="MP14" i="4"/>
  <c r="MO14" i="4"/>
  <c r="MN14" i="4"/>
  <c r="MM14" i="4"/>
  <c r="ML14" i="4"/>
  <c r="NP14" i="4" s="1"/>
  <c r="MK14" i="4"/>
  <c r="MK27" i="5" s="1"/>
  <c r="ML27" i="5" s="1"/>
  <c r="MM27" i="5" s="1"/>
  <c r="MN27" i="5" s="1"/>
  <c r="MO27" i="5" s="1"/>
  <c r="MP27" i="5" s="1"/>
  <c r="MQ27" i="5" s="1"/>
  <c r="MR27" i="5" s="1"/>
  <c r="MS27" i="5" s="1"/>
  <c r="MT27" i="5" s="1"/>
  <c r="MU27" i="5" s="1"/>
  <c r="MV27" i="5" s="1"/>
  <c r="MW27" i="5" s="1"/>
  <c r="MX27" i="5" s="1"/>
  <c r="MY27" i="5" s="1"/>
  <c r="MZ27" i="5" s="1"/>
  <c r="NA27" i="5" s="1"/>
  <c r="NB27" i="5" s="1"/>
  <c r="NC27" i="5" s="1"/>
  <c r="ND27" i="5" s="1"/>
  <c r="NE27" i="5" s="1"/>
  <c r="NF27" i="5" s="1"/>
  <c r="NG27" i="5" s="1"/>
  <c r="NH27" i="5" s="1"/>
  <c r="NI27" i="5" s="1"/>
  <c r="NJ27" i="5" s="1"/>
  <c r="NK27" i="5" s="1"/>
  <c r="NL27" i="5" s="1"/>
  <c r="NM27" i="5" s="1"/>
  <c r="NN27" i="5" s="1"/>
  <c r="NO27" i="5" s="1"/>
  <c r="NQ15" i="5" s="1"/>
  <c r="NR15" i="5" s="1"/>
  <c r="NS15" i="5" s="1"/>
  <c r="NT15" i="5" s="1"/>
  <c r="NU15" i="5" s="1"/>
  <c r="MI14" i="4"/>
  <c r="MH14" i="4"/>
  <c r="MG14" i="4"/>
  <c r="MF14" i="4"/>
  <c r="ME14" i="4"/>
  <c r="MD14" i="4"/>
  <c r="MC14" i="4"/>
  <c r="MB14" i="4"/>
  <c r="MA14" i="4"/>
  <c r="LZ14" i="4"/>
  <c r="LY14" i="4"/>
  <c r="LX14" i="4"/>
  <c r="LW14" i="4"/>
  <c r="LV14" i="4"/>
  <c r="LU14" i="4"/>
  <c r="LT14" i="4"/>
  <c r="LS14" i="4"/>
  <c r="LR14" i="4"/>
  <c r="LQ14" i="4"/>
  <c r="LP14" i="4"/>
  <c r="LO14" i="4"/>
  <c r="LN14" i="4"/>
  <c r="LM14" i="4"/>
  <c r="LL14" i="4"/>
  <c r="LK14" i="4"/>
  <c r="LJ14" i="4"/>
  <c r="LI14" i="4"/>
  <c r="LH14" i="4"/>
  <c r="LG14" i="4"/>
  <c r="LF14" i="4"/>
  <c r="LD14" i="4"/>
  <c r="LC14" i="4"/>
  <c r="LB14" i="4"/>
  <c r="LA14" i="4"/>
  <c r="KZ14" i="4"/>
  <c r="KY14" i="4"/>
  <c r="KX14" i="4"/>
  <c r="KW14" i="4"/>
  <c r="KV14" i="4"/>
  <c r="KU14" i="4"/>
  <c r="KT14" i="4"/>
  <c r="KS14" i="4"/>
  <c r="KR14" i="4"/>
  <c r="KQ14" i="4"/>
  <c r="KP14" i="4"/>
  <c r="KO14" i="4"/>
  <c r="KN14" i="4"/>
  <c r="KM14" i="4"/>
  <c r="KL14" i="4"/>
  <c r="KK14" i="4"/>
  <c r="KJ14" i="4"/>
  <c r="KI14" i="4"/>
  <c r="KH14" i="4"/>
  <c r="KG14" i="4"/>
  <c r="KF14" i="4"/>
  <c r="KE14" i="4"/>
  <c r="KD14" i="4"/>
  <c r="KC14" i="4"/>
  <c r="KB14" i="4"/>
  <c r="KA14" i="4"/>
  <c r="LE14" i="4" s="1"/>
  <c r="JZ14" i="4"/>
  <c r="JZ27" i="5" s="1"/>
  <c r="KA27" i="5" s="1"/>
  <c r="KB27" i="5" s="1"/>
  <c r="KC27" i="5" s="1"/>
  <c r="KD27" i="5" s="1"/>
  <c r="KE27" i="5" s="1"/>
  <c r="KF27" i="5" s="1"/>
  <c r="KG27" i="5" s="1"/>
  <c r="KH27" i="5" s="1"/>
  <c r="KI27" i="5" s="1"/>
  <c r="KJ27" i="5" s="1"/>
  <c r="KK27" i="5" s="1"/>
  <c r="KL27" i="5" s="1"/>
  <c r="KM27" i="5" s="1"/>
  <c r="KN27" i="5" s="1"/>
  <c r="KO27" i="5" s="1"/>
  <c r="KP27" i="5" s="1"/>
  <c r="KQ27" i="5" s="1"/>
  <c r="KR27" i="5" s="1"/>
  <c r="KS27" i="5" s="1"/>
  <c r="KT27" i="5" s="1"/>
  <c r="KU27" i="5" s="1"/>
  <c r="KV27" i="5" s="1"/>
  <c r="KW27" i="5" s="1"/>
  <c r="KX27" i="5" s="1"/>
  <c r="KY27" i="5" s="1"/>
  <c r="KZ27" i="5" s="1"/>
  <c r="LA27" i="5" s="1"/>
  <c r="LB27" i="5" s="1"/>
  <c r="LC27" i="5" s="1"/>
  <c r="LD27" i="5" s="1"/>
  <c r="LF15" i="5" s="1"/>
  <c r="LG15" i="5" s="1"/>
  <c r="LH15" i="5" s="1"/>
  <c r="LI15" i="5" s="1"/>
  <c r="LJ15" i="5" s="1"/>
  <c r="LK15" i="5" s="1"/>
  <c r="LL15" i="5" s="1"/>
  <c r="LM15" i="5" s="1"/>
  <c r="LN15" i="5" s="1"/>
  <c r="LO15" i="5" s="1"/>
  <c r="LP15" i="5" s="1"/>
  <c r="LQ15" i="5" s="1"/>
  <c r="JX14" i="4"/>
  <c r="JW14" i="4"/>
  <c r="JV14" i="4"/>
  <c r="JU14" i="4"/>
  <c r="JT14" i="4"/>
  <c r="JS14" i="4"/>
  <c r="JR14" i="4"/>
  <c r="JQ14" i="4"/>
  <c r="JP14" i="4"/>
  <c r="JO14" i="4"/>
  <c r="JN14" i="4"/>
  <c r="JM14" i="4"/>
  <c r="JL14" i="4"/>
  <c r="JK14" i="4"/>
  <c r="JJ14" i="4"/>
  <c r="JI14" i="4"/>
  <c r="JH14" i="4"/>
  <c r="JG14" i="4"/>
  <c r="JF14" i="4"/>
  <c r="JE14" i="4"/>
  <c r="JD14" i="4"/>
  <c r="JC14" i="4"/>
  <c r="JB14" i="4"/>
  <c r="JA14" i="4"/>
  <c r="IZ14" i="4"/>
  <c r="IY14" i="4"/>
  <c r="IX14" i="4"/>
  <c r="IW14" i="4"/>
  <c r="IV14" i="4"/>
  <c r="IU14" i="4"/>
  <c r="IS14" i="4"/>
  <c r="IR14" i="4"/>
  <c r="IQ14" i="4"/>
  <c r="IP14" i="4"/>
  <c r="IO14" i="4"/>
  <c r="IN14" i="4"/>
  <c r="IM14" i="4"/>
  <c r="IL14" i="4"/>
  <c r="IK14" i="4"/>
  <c r="IJ14" i="4"/>
  <c r="II14" i="4"/>
  <c r="IH14" i="4"/>
  <c r="IG14" i="4"/>
  <c r="IF14" i="4"/>
  <c r="IE14" i="4"/>
  <c r="ID14" i="4"/>
  <c r="IC14" i="4"/>
  <c r="IB14" i="4"/>
  <c r="IA14" i="4"/>
  <c r="HZ14" i="4"/>
  <c r="HY14" i="4"/>
  <c r="HX14" i="4"/>
  <c r="HW14" i="4"/>
  <c r="HV14" i="4"/>
  <c r="HU14" i="4"/>
  <c r="HT14" i="4"/>
  <c r="HS14" i="4"/>
  <c r="HR14" i="4"/>
  <c r="HQ14" i="4"/>
  <c r="HP14" i="4"/>
  <c r="HO14" i="4"/>
  <c r="HM14" i="4"/>
  <c r="HL14" i="4"/>
  <c r="HK14" i="4"/>
  <c r="HJ14" i="4"/>
  <c r="HI14" i="4"/>
  <c r="HH14" i="4"/>
  <c r="HG14" i="4"/>
  <c r="HF14" i="4"/>
  <c r="HE14" i="4"/>
  <c r="HD14" i="4"/>
  <c r="HC14" i="4"/>
  <c r="HB14" i="4"/>
  <c r="HA14" i="4"/>
  <c r="GZ14" i="4"/>
  <c r="GY14" i="4"/>
  <c r="GX14" i="4"/>
  <c r="GW14" i="4"/>
  <c r="GV14" i="4"/>
  <c r="GU14" i="4"/>
  <c r="GT14" i="4"/>
  <c r="GS14" i="4"/>
  <c r="GR14" i="4"/>
  <c r="GQ14" i="4"/>
  <c r="GP14" i="4"/>
  <c r="GO14" i="4"/>
  <c r="GN14" i="4"/>
  <c r="GM14" i="4"/>
  <c r="GL14" i="4"/>
  <c r="GK14" i="4"/>
  <c r="GI14" i="4"/>
  <c r="GH14" i="4"/>
  <c r="GG14" i="4"/>
  <c r="GF14" i="4"/>
  <c r="GE14" i="4"/>
  <c r="GD14" i="4"/>
  <c r="GC14" i="4"/>
  <c r="GB14" i="4"/>
  <c r="GA14" i="4"/>
  <c r="FZ14" i="4"/>
  <c r="FY14" i="4"/>
  <c r="FX14" i="4"/>
  <c r="FW14" i="4"/>
  <c r="FV14" i="4"/>
  <c r="FU14" i="4"/>
  <c r="FT14" i="4"/>
  <c r="FS14" i="4"/>
  <c r="FR14" i="4"/>
  <c r="FQ14" i="4"/>
  <c r="FP14" i="4"/>
  <c r="FO14" i="4"/>
  <c r="FN14" i="4"/>
  <c r="FM14" i="4"/>
  <c r="FL14" i="4"/>
  <c r="FK14" i="4"/>
  <c r="FJ14" i="4"/>
  <c r="FI14" i="4"/>
  <c r="FH14" i="4"/>
  <c r="FG14" i="4"/>
  <c r="FF14" i="4"/>
  <c r="FE14" i="4"/>
  <c r="FC14" i="4"/>
  <c r="FB14" i="4"/>
  <c r="FA14" i="4"/>
  <c r="EZ14" i="4"/>
  <c r="EY14" i="4"/>
  <c r="EX14" i="4"/>
  <c r="EW14" i="4"/>
  <c r="EV14" i="4"/>
  <c r="EU14" i="4"/>
  <c r="ET14" i="4"/>
  <c r="ES14" i="4"/>
  <c r="ER14" i="4"/>
  <c r="EQ14" i="4"/>
  <c r="EP14" i="4"/>
  <c r="EO14" i="4"/>
  <c r="EN14" i="4"/>
  <c r="EM14" i="4"/>
  <c r="EL14" i="4"/>
  <c r="EK14" i="4"/>
  <c r="EJ14" i="4"/>
  <c r="EI14" i="4"/>
  <c r="EH14" i="4"/>
  <c r="EG14" i="4"/>
  <c r="EF14" i="4"/>
  <c r="EE14" i="4"/>
  <c r="ED14" i="4"/>
  <c r="EC14" i="4"/>
  <c r="EB14" i="4"/>
  <c r="EA14" i="4"/>
  <c r="DZ14" i="4"/>
  <c r="DY14" i="4"/>
  <c r="DW14" i="4"/>
  <c r="DV14" i="4"/>
  <c r="DU14" i="4"/>
  <c r="DT14" i="4"/>
  <c r="DS14" i="4"/>
  <c r="DR14" i="4"/>
  <c r="DQ14" i="4"/>
  <c r="DP14" i="4"/>
  <c r="DO14" i="4"/>
  <c r="DN14" i="4"/>
  <c r="DM14" i="4"/>
  <c r="DL14" i="4"/>
  <c r="DK14" i="4"/>
  <c r="DJ14" i="4"/>
  <c r="DI14" i="4"/>
  <c r="DH14" i="4"/>
  <c r="DG14" i="4"/>
  <c r="DF14" i="4"/>
  <c r="DE14" i="4"/>
  <c r="DD14" i="4"/>
  <c r="DC14" i="4"/>
  <c r="DB14" i="4"/>
  <c r="DA14" i="4"/>
  <c r="CZ14" i="4"/>
  <c r="CY14" i="4"/>
  <c r="CX14" i="4"/>
  <c r="CW14" i="4"/>
  <c r="CV14" i="4"/>
  <c r="CU14" i="4"/>
  <c r="CT14" i="4"/>
  <c r="CR14" i="4"/>
  <c r="CQ14" i="4"/>
  <c r="CP14" i="4"/>
  <c r="CO14" i="4"/>
  <c r="CN14" i="4"/>
  <c r="CM14" i="4"/>
  <c r="CL14" i="4"/>
  <c r="CK14" i="4"/>
  <c r="CJ14" i="4"/>
  <c r="CI14" i="4"/>
  <c r="CH14" i="4"/>
  <c r="CG14" i="4"/>
  <c r="CF14" i="4"/>
  <c r="CE14" i="4"/>
  <c r="CD14" i="4"/>
  <c r="CC14" i="4"/>
  <c r="CB14" i="4"/>
  <c r="CA14" i="4"/>
  <c r="BZ14" i="4"/>
  <c r="BY14" i="4"/>
  <c r="BX14" i="4"/>
  <c r="BW14" i="4"/>
  <c r="BV14" i="4"/>
  <c r="BU14" i="4"/>
  <c r="BT14" i="4"/>
  <c r="BS14" i="4"/>
  <c r="BR14" i="4"/>
  <c r="BQ14" i="4"/>
  <c r="BP14" i="4"/>
  <c r="BO14" i="4"/>
  <c r="BN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AOC13" i="4"/>
  <c r="AOC18" i="4" s="1"/>
  <c r="AOB13" i="4"/>
  <c r="AOB18" i="4" s="1"/>
  <c r="AOA13" i="4"/>
  <c r="AOA18" i="4" s="1"/>
  <c r="ANZ13" i="4"/>
  <c r="ANZ18" i="4" s="1"/>
  <c r="ANY13" i="4"/>
  <c r="ANY18" i="4" s="1"/>
  <c r="ANX13" i="4"/>
  <c r="ANX18" i="4" s="1"/>
  <c r="ANW13" i="4"/>
  <c r="ANW18" i="4" s="1"/>
  <c r="ANV13" i="4"/>
  <c r="ANV18" i="4" s="1"/>
  <c r="ANU13" i="4"/>
  <c r="ANU18" i="4" s="1"/>
  <c r="ANT13" i="4"/>
  <c r="ANT18" i="4" s="1"/>
  <c r="ANS13" i="4"/>
  <c r="ANS18" i="4" s="1"/>
  <c r="ANR13" i="4"/>
  <c r="ANR18" i="4" s="1"/>
  <c r="ANQ13" i="4"/>
  <c r="ANQ18" i="4" s="1"/>
  <c r="ANP13" i="4"/>
  <c r="ANP18" i="4" s="1"/>
  <c r="ANO13" i="4"/>
  <c r="ANO18" i="4" s="1"/>
  <c r="ANN13" i="4"/>
  <c r="ANN18" i="4" s="1"/>
  <c r="ANM13" i="4"/>
  <c r="ANM18" i="4" s="1"/>
  <c r="ANL13" i="4"/>
  <c r="ANL18" i="4" s="1"/>
  <c r="ANK13" i="4"/>
  <c r="ANK18" i="4" s="1"/>
  <c r="ANJ13" i="4"/>
  <c r="ANJ18" i="4" s="1"/>
  <c r="ANI13" i="4"/>
  <c r="ANI18" i="4" s="1"/>
  <c r="ANH13" i="4"/>
  <c r="ANH18" i="4" s="1"/>
  <c r="ANG13" i="4"/>
  <c r="ANG18" i="4" s="1"/>
  <c r="ANF13" i="4"/>
  <c r="ANF18" i="4" s="1"/>
  <c r="ANE13" i="4"/>
  <c r="ANE18" i="4" s="1"/>
  <c r="AND13" i="4"/>
  <c r="AND18" i="4" s="1"/>
  <c r="ANC13" i="4"/>
  <c r="ANC18" i="4" s="1"/>
  <c r="ANB13" i="4"/>
  <c r="ANB18" i="4" s="1"/>
  <c r="ANA13" i="4"/>
  <c r="ANA18" i="4" s="1"/>
  <c r="AMZ13" i="4"/>
  <c r="AMX13" i="4"/>
  <c r="AMX18" i="4" s="1"/>
  <c r="AMW13" i="4"/>
  <c r="AMW18" i="4" s="1"/>
  <c r="AMV13" i="4"/>
  <c r="AMV18" i="4" s="1"/>
  <c r="AMU13" i="4"/>
  <c r="AMU18" i="4" s="1"/>
  <c r="AMT13" i="4"/>
  <c r="AMT18" i="4" s="1"/>
  <c r="AMS13" i="4"/>
  <c r="AMS18" i="4" s="1"/>
  <c r="AMR13" i="4"/>
  <c r="AMR18" i="4" s="1"/>
  <c r="AMQ13" i="4"/>
  <c r="AMQ18" i="4" s="1"/>
  <c r="AMP13" i="4"/>
  <c r="AMP18" i="4" s="1"/>
  <c r="AMO13" i="4"/>
  <c r="AMO18" i="4" s="1"/>
  <c r="AMN13" i="4"/>
  <c r="AMN18" i="4" s="1"/>
  <c r="AMM13" i="4"/>
  <c r="AMM18" i="4" s="1"/>
  <c r="AML13" i="4"/>
  <c r="AML18" i="4" s="1"/>
  <c r="AMK13" i="4"/>
  <c r="AMK18" i="4" s="1"/>
  <c r="AMJ13" i="4"/>
  <c r="AMJ18" i="4" s="1"/>
  <c r="AMI13" i="4"/>
  <c r="AMI18" i="4" s="1"/>
  <c r="AMH13" i="4"/>
  <c r="AMH18" i="4" s="1"/>
  <c r="AMG13" i="4"/>
  <c r="AMG18" i="4" s="1"/>
  <c r="AMF13" i="4"/>
  <c r="AMF18" i="4" s="1"/>
  <c r="AME13" i="4"/>
  <c r="AME18" i="4" s="1"/>
  <c r="AMD13" i="4"/>
  <c r="AMD18" i="4" s="1"/>
  <c r="AMC13" i="4"/>
  <c r="AMC18" i="4" s="1"/>
  <c r="AMB13" i="4"/>
  <c r="AMB18" i="4" s="1"/>
  <c r="AMA13" i="4"/>
  <c r="AMA18" i="4" s="1"/>
  <c r="ALZ13" i="4"/>
  <c r="ALZ18" i="4" s="1"/>
  <c r="ALY13" i="4"/>
  <c r="ALY18" i="4" s="1"/>
  <c r="ALX13" i="4"/>
  <c r="ALX18" i="4" s="1"/>
  <c r="ALW13" i="4"/>
  <c r="ALW18" i="4" s="1"/>
  <c r="ALV13" i="4"/>
  <c r="ALV18" i="4" s="1"/>
  <c r="ALU13" i="4"/>
  <c r="ALS13" i="4"/>
  <c r="ALS18" i="4" s="1"/>
  <c r="ALR13" i="4"/>
  <c r="ALR18" i="4" s="1"/>
  <c r="ALQ13" i="4"/>
  <c r="ALQ18" i="4" s="1"/>
  <c r="ALP13" i="4"/>
  <c r="ALP18" i="4" s="1"/>
  <c r="ALO13" i="4"/>
  <c r="ALO18" i="4" s="1"/>
  <c r="ALN13" i="4"/>
  <c r="ALN18" i="4" s="1"/>
  <c r="ALM13" i="4"/>
  <c r="ALM18" i="4" s="1"/>
  <c r="ALL13" i="4"/>
  <c r="ALL18" i="4" s="1"/>
  <c r="ALK13" i="4"/>
  <c r="ALK18" i="4" s="1"/>
  <c r="ALJ13" i="4"/>
  <c r="ALJ18" i="4" s="1"/>
  <c r="ALI13" i="4"/>
  <c r="ALI18" i="4" s="1"/>
  <c r="ALH13" i="4"/>
  <c r="ALH18" i="4" s="1"/>
  <c r="ALG13" i="4"/>
  <c r="ALG18" i="4" s="1"/>
  <c r="ALF13" i="4"/>
  <c r="ALF18" i="4" s="1"/>
  <c r="ALE13" i="4"/>
  <c r="ALE18" i="4" s="1"/>
  <c r="ALD13" i="4"/>
  <c r="ALD18" i="4" s="1"/>
  <c r="ALC13" i="4"/>
  <c r="ALC18" i="4" s="1"/>
  <c r="ALB13" i="4"/>
  <c r="ALB18" i="4" s="1"/>
  <c r="ALA13" i="4"/>
  <c r="ALA18" i="4" s="1"/>
  <c r="AKZ13" i="4"/>
  <c r="AKZ18" i="4" s="1"/>
  <c r="AKY13" i="4"/>
  <c r="AKY18" i="4" s="1"/>
  <c r="AKX13" i="4"/>
  <c r="AKX18" i="4" s="1"/>
  <c r="AKW13" i="4"/>
  <c r="AKW18" i="4" s="1"/>
  <c r="AKV13" i="4"/>
  <c r="AKV18" i="4" s="1"/>
  <c r="AKU13" i="4"/>
  <c r="AKU18" i="4" s="1"/>
  <c r="AKT13" i="4"/>
  <c r="AKT18" i="4" s="1"/>
  <c r="AKS13" i="4"/>
  <c r="AKS18" i="4" s="1"/>
  <c r="AKR13" i="4"/>
  <c r="AKR18" i="4" s="1"/>
  <c r="AKQ13" i="4"/>
  <c r="AKQ18" i="4" s="1"/>
  <c r="AKP13" i="4"/>
  <c r="AKP18" i="4" s="1"/>
  <c r="AKO13" i="4"/>
  <c r="AKM13" i="4"/>
  <c r="AKM18" i="4" s="1"/>
  <c r="AKL13" i="4"/>
  <c r="AKL18" i="4" s="1"/>
  <c r="AKK13" i="4"/>
  <c r="AKK18" i="4" s="1"/>
  <c r="AKJ13" i="4"/>
  <c r="AKJ18" i="4" s="1"/>
  <c r="AKI13" i="4"/>
  <c r="AKI18" i="4" s="1"/>
  <c r="AKH13" i="4"/>
  <c r="AKH18" i="4" s="1"/>
  <c r="AKG13" i="4"/>
  <c r="AKG18" i="4" s="1"/>
  <c r="AKF13" i="4"/>
  <c r="AKF18" i="4" s="1"/>
  <c r="AKE13" i="4"/>
  <c r="AKE18" i="4" s="1"/>
  <c r="AKD13" i="4"/>
  <c r="AKD18" i="4" s="1"/>
  <c r="AKC13" i="4"/>
  <c r="AKC18" i="4" s="1"/>
  <c r="AKB13" i="4"/>
  <c r="AKB18" i="4" s="1"/>
  <c r="AKA13" i="4"/>
  <c r="AKA18" i="4" s="1"/>
  <c r="AJZ13" i="4"/>
  <c r="AJZ18" i="4" s="1"/>
  <c r="AJY13" i="4"/>
  <c r="AJY18" i="4" s="1"/>
  <c r="AJX13" i="4"/>
  <c r="AJX18" i="4" s="1"/>
  <c r="AJW13" i="4"/>
  <c r="AJW18" i="4" s="1"/>
  <c r="AJV13" i="4"/>
  <c r="AJV18" i="4" s="1"/>
  <c r="AJU13" i="4"/>
  <c r="AJU18" i="4" s="1"/>
  <c r="AJT13" i="4"/>
  <c r="AJT18" i="4" s="1"/>
  <c r="AJS13" i="4"/>
  <c r="AJS18" i="4" s="1"/>
  <c r="AJR13" i="4"/>
  <c r="AJR18" i="4" s="1"/>
  <c r="AJQ13" i="4"/>
  <c r="AJQ18" i="4" s="1"/>
  <c r="AJP13" i="4"/>
  <c r="AJP18" i="4" s="1"/>
  <c r="AJO13" i="4"/>
  <c r="AJO18" i="4" s="1"/>
  <c r="AJN13" i="4"/>
  <c r="AJN18" i="4" s="1"/>
  <c r="AJM13" i="4"/>
  <c r="AJM18" i="4" s="1"/>
  <c r="AJL13" i="4"/>
  <c r="AJJ13" i="4"/>
  <c r="AJJ18" i="4" s="1"/>
  <c r="AJI13" i="4"/>
  <c r="AJI18" i="4" s="1"/>
  <c r="AJH13" i="4"/>
  <c r="AJH18" i="4" s="1"/>
  <c r="AJG13" i="4"/>
  <c r="AJG18" i="4" s="1"/>
  <c r="AJF13" i="4"/>
  <c r="AJF18" i="4" s="1"/>
  <c r="AJE13" i="4"/>
  <c r="AJE18" i="4" s="1"/>
  <c r="AJD13" i="4"/>
  <c r="AJD18" i="4" s="1"/>
  <c r="AJC13" i="4"/>
  <c r="AJC18" i="4" s="1"/>
  <c r="AJB13" i="4"/>
  <c r="AJB18" i="4" s="1"/>
  <c r="AJA13" i="4"/>
  <c r="AJA18" i="4" s="1"/>
  <c r="AIZ13" i="4"/>
  <c r="AIZ18" i="4" s="1"/>
  <c r="AIY13" i="4"/>
  <c r="AIY18" i="4" s="1"/>
  <c r="AIX13" i="4"/>
  <c r="AIX18" i="4" s="1"/>
  <c r="AIW13" i="4"/>
  <c r="AIW18" i="4" s="1"/>
  <c r="AIV13" i="4"/>
  <c r="AIV18" i="4" s="1"/>
  <c r="AIU13" i="4"/>
  <c r="AIU18" i="4" s="1"/>
  <c r="AIT13" i="4"/>
  <c r="AIT18" i="4" s="1"/>
  <c r="AIS13" i="4"/>
  <c r="AIS18" i="4" s="1"/>
  <c r="AIR13" i="4"/>
  <c r="AIR18" i="4" s="1"/>
  <c r="AIQ13" i="4"/>
  <c r="AIQ18" i="4" s="1"/>
  <c r="AIP13" i="4"/>
  <c r="AIP18" i="4" s="1"/>
  <c r="AIO13" i="4"/>
  <c r="AIO18" i="4" s="1"/>
  <c r="AIN13" i="4"/>
  <c r="AIN18" i="4" s="1"/>
  <c r="AIM13" i="4"/>
  <c r="AIM18" i="4" s="1"/>
  <c r="AIL13" i="4"/>
  <c r="AIL18" i="4" s="1"/>
  <c r="AIK13" i="4"/>
  <c r="AIK18" i="4" s="1"/>
  <c r="AIJ13" i="4"/>
  <c r="AIJ18" i="4" s="1"/>
  <c r="AII13" i="4"/>
  <c r="AII18" i="4" s="1"/>
  <c r="AIH13" i="4"/>
  <c r="AIH18" i="4" s="1"/>
  <c r="AIG13" i="4"/>
  <c r="AIF13" i="4"/>
  <c r="AID13" i="4"/>
  <c r="AID18" i="4" s="1"/>
  <c r="AIC13" i="4"/>
  <c r="AIC18" i="4" s="1"/>
  <c r="AIB13" i="4"/>
  <c r="AIB18" i="4" s="1"/>
  <c r="AIA13" i="4"/>
  <c r="AIA18" i="4" s="1"/>
  <c r="AHZ13" i="4"/>
  <c r="AHZ18" i="4" s="1"/>
  <c r="AHY13" i="4"/>
  <c r="AHY18" i="4" s="1"/>
  <c r="AHX13" i="4"/>
  <c r="AHX18" i="4" s="1"/>
  <c r="AHW13" i="4"/>
  <c r="AHW18" i="4" s="1"/>
  <c r="AHV13" i="4"/>
  <c r="AHV18" i="4" s="1"/>
  <c r="AHU13" i="4"/>
  <c r="AHU18" i="4" s="1"/>
  <c r="AHT13" i="4"/>
  <c r="AHT18" i="4" s="1"/>
  <c r="AHS13" i="4"/>
  <c r="AHS18" i="4" s="1"/>
  <c r="AHR13" i="4"/>
  <c r="AHR18" i="4" s="1"/>
  <c r="AHQ13" i="4"/>
  <c r="AHQ18" i="4" s="1"/>
  <c r="AHP13" i="4"/>
  <c r="AHP18" i="4" s="1"/>
  <c r="AHO13" i="4"/>
  <c r="AHO18" i="4" s="1"/>
  <c r="AHN13" i="4"/>
  <c r="AHN18" i="4" s="1"/>
  <c r="AHM13" i="4"/>
  <c r="AHM18" i="4" s="1"/>
  <c r="AHL13" i="4"/>
  <c r="AHL18" i="4" s="1"/>
  <c r="AHK13" i="4"/>
  <c r="AHK18" i="4" s="1"/>
  <c r="AHJ13" i="4"/>
  <c r="AHJ18" i="4" s="1"/>
  <c r="AHI13" i="4"/>
  <c r="AHI18" i="4" s="1"/>
  <c r="AHH13" i="4"/>
  <c r="AHH18" i="4" s="1"/>
  <c r="AHG13" i="4"/>
  <c r="AHG18" i="4" s="1"/>
  <c r="AHF13" i="4"/>
  <c r="AHF18" i="4" s="1"/>
  <c r="AHE13" i="4"/>
  <c r="AHE18" i="4" s="1"/>
  <c r="AHD13" i="4"/>
  <c r="AHD18" i="4" s="1"/>
  <c r="AHC13" i="4"/>
  <c r="AHC18" i="4" s="1"/>
  <c r="AHB13" i="4"/>
  <c r="AHB18" i="4" s="1"/>
  <c r="AHA13" i="4"/>
  <c r="AGZ13" i="4"/>
  <c r="AGX13" i="4"/>
  <c r="AGX18" i="4" s="1"/>
  <c r="AGW13" i="4"/>
  <c r="AGW18" i="4" s="1"/>
  <c r="AGV13" i="4"/>
  <c r="AGV18" i="4" s="1"/>
  <c r="AGU13" i="4"/>
  <c r="AGU18" i="4" s="1"/>
  <c r="AGT13" i="4"/>
  <c r="AGT18" i="4" s="1"/>
  <c r="AGS13" i="4"/>
  <c r="AGS18" i="4" s="1"/>
  <c r="AGR13" i="4"/>
  <c r="AGR18" i="4" s="1"/>
  <c r="AGQ13" i="4"/>
  <c r="AGQ18" i="4" s="1"/>
  <c r="AGP13" i="4"/>
  <c r="AGP18" i="4" s="1"/>
  <c r="AGO13" i="4"/>
  <c r="AGO18" i="4" s="1"/>
  <c r="AGN13" i="4"/>
  <c r="AGN18" i="4" s="1"/>
  <c r="AGM13" i="4"/>
  <c r="AGM18" i="4" s="1"/>
  <c r="AGL13" i="4"/>
  <c r="AGL18" i="4" s="1"/>
  <c r="AGK13" i="4"/>
  <c r="AGK18" i="4" s="1"/>
  <c r="AGJ13" i="4"/>
  <c r="AGJ18" i="4" s="1"/>
  <c r="AGI13" i="4"/>
  <c r="AGI18" i="4" s="1"/>
  <c r="AGH13" i="4"/>
  <c r="AGH18" i="4" s="1"/>
  <c r="AGG13" i="4"/>
  <c r="AGG18" i="4" s="1"/>
  <c r="AGF13" i="4"/>
  <c r="AGF18" i="4" s="1"/>
  <c r="AGE13" i="4"/>
  <c r="AGE18" i="4" s="1"/>
  <c r="AGD13" i="4"/>
  <c r="AGD18" i="4" s="1"/>
  <c r="AGC13" i="4"/>
  <c r="AGC18" i="4" s="1"/>
  <c r="AGB13" i="4"/>
  <c r="AGB18" i="4" s="1"/>
  <c r="AGA13" i="4"/>
  <c r="AGA18" i="4" s="1"/>
  <c r="AFZ13" i="4"/>
  <c r="AFZ18" i="4" s="1"/>
  <c r="AFY13" i="4"/>
  <c r="AFY18" i="4" s="1"/>
  <c r="AFX13" i="4"/>
  <c r="AFX18" i="4" s="1"/>
  <c r="AFW13" i="4"/>
  <c r="AFW18" i="4" s="1"/>
  <c r="AFV13" i="4"/>
  <c r="AFV18" i="4" s="1"/>
  <c r="AFU13" i="4"/>
  <c r="AFS13" i="4"/>
  <c r="AFS18" i="4" s="1"/>
  <c r="AFR13" i="4"/>
  <c r="AFR18" i="4" s="1"/>
  <c r="AFQ13" i="4"/>
  <c r="AFQ18" i="4" s="1"/>
  <c r="AFP13" i="4"/>
  <c r="AFP18" i="4" s="1"/>
  <c r="AFO13" i="4"/>
  <c r="AFO18" i="4" s="1"/>
  <c r="AFN13" i="4"/>
  <c r="AFN18" i="4" s="1"/>
  <c r="AFM13" i="4"/>
  <c r="AFM18" i="4" s="1"/>
  <c r="AFL13" i="4"/>
  <c r="AFL18" i="4" s="1"/>
  <c r="AFK13" i="4"/>
  <c r="AFK18" i="4" s="1"/>
  <c r="AFJ13" i="4"/>
  <c r="AFJ18" i="4" s="1"/>
  <c r="AFI13" i="4"/>
  <c r="AFI18" i="4" s="1"/>
  <c r="AFH13" i="4"/>
  <c r="AFH18" i="4" s="1"/>
  <c r="AFG13" i="4"/>
  <c r="AFG18" i="4" s="1"/>
  <c r="AFF13" i="4"/>
  <c r="AFF18" i="4" s="1"/>
  <c r="AFE13" i="4"/>
  <c r="AFE18" i="4" s="1"/>
  <c r="AFD13" i="4"/>
  <c r="AFD18" i="4" s="1"/>
  <c r="AFC13" i="4"/>
  <c r="AFC18" i="4" s="1"/>
  <c r="AFB13" i="4"/>
  <c r="AFB18" i="4" s="1"/>
  <c r="AFA13" i="4"/>
  <c r="AFA18" i="4" s="1"/>
  <c r="AEZ13" i="4"/>
  <c r="AEZ18" i="4" s="1"/>
  <c r="AEY13" i="4"/>
  <c r="AEY18" i="4" s="1"/>
  <c r="AEX13" i="4"/>
  <c r="AEX18" i="4" s="1"/>
  <c r="AEW13" i="4"/>
  <c r="AEW18" i="4" s="1"/>
  <c r="AEV13" i="4"/>
  <c r="AEV18" i="4" s="1"/>
  <c r="AEU13" i="4"/>
  <c r="AEU18" i="4" s="1"/>
  <c r="AET13" i="4"/>
  <c r="AET18" i="4" s="1"/>
  <c r="AES13" i="4"/>
  <c r="AES18" i="4" s="1"/>
  <c r="AER13" i="4"/>
  <c r="AER18" i="4" s="1"/>
  <c r="AEQ13" i="4"/>
  <c r="AEQ18" i="4" s="1"/>
  <c r="AEP13" i="4"/>
  <c r="AEP18" i="4" s="1"/>
  <c r="AEO13" i="4"/>
  <c r="AEM13" i="4"/>
  <c r="AEM18" i="4" s="1"/>
  <c r="AEL13" i="4"/>
  <c r="AEL18" i="4" s="1"/>
  <c r="AEK13" i="4"/>
  <c r="AEK18" i="4" s="1"/>
  <c r="AEJ13" i="4"/>
  <c r="AEJ18" i="4" s="1"/>
  <c r="AEI13" i="4"/>
  <c r="AEI18" i="4" s="1"/>
  <c r="AEH13" i="4"/>
  <c r="AEH18" i="4" s="1"/>
  <c r="AEG13" i="4"/>
  <c r="AEG18" i="4" s="1"/>
  <c r="AEF13" i="4"/>
  <c r="AEF18" i="4" s="1"/>
  <c r="AEE13" i="4"/>
  <c r="AEE18" i="4" s="1"/>
  <c r="AED13" i="4"/>
  <c r="AED18" i="4" s="1"/>
  <c r="AEC13" i="4"/>
  <c r="AEC18" i="4" s="1"/>
  <c r="AEB13" i="4"/>
  <c r="AEB18" i="4" s="1"/>
  <c r="AEA13" i="4"/>
  <c r="AEA18" i="4" s="1"/>
  <c r="ADZ13" i="4"/>
  <c r="ADZ18" i="4" s="1"/>
  <c r="ADY13" i="4"/>
  <c r="ADY18" i="4" s="1"/>
  <c r="ADX13" i="4"/>
  <c r="ADX18" i="4" s="1"/>
  <c r="ADW13" i="4"/>
  <c r="ADW18" i="4" s="1"/>
  <c r="ADV13" i="4"/>
  <c r="ADV18" i="4" s="1"/>
  <c r="ADU13" i="4"/>
  <c r="ADU18" i="4" s="1"/>
  <c r="ADT13" i="4"/>
  <c r="ADT18" i="4" s="1"/>
  <c r="ADS13" i="4"/>
  <c r="ADS18" i="4" s="1"/>
  <c r="ADR13" i="4"/>
  <c r="ADR18" i="4" s="1"/>
  <c r="ADQ13" i="4"/>
  <c r="ADQ18" i="4" s="1"/>
  <c r="ADP13" i="4"/>
  <c r="ADP18" i="4" s="1"/>
  <c r="ADO13" i="4"/>
  <c r="ADO18" i="4" s="1"/>
  <c r="ADN13" i="4"/>
  <c r="ADN18" i="4" s="1"/>
  <c r="ADM13" i="4"/>
  <c r="ADM18" i="4" s="1"/>
  <c r="ADL13" i="4"/>
  <c r="ADL18" i="4" s="1"/>
  <c r="ADK13" i="4"/>
  <c r="ADK18" i="4" s="1"/>
  <c r="ADJ13" i="4"/>
  <c r="ADH13" i="4"/>
  <c r="ADH18" i="4" s="1"/>
  <c r="ADG13" i="4"/>
  <c r="ADG18" i="4" s="1"/>
  <c r="ADF13" i="4"/>
  <c r="ADF18" i="4" s="1"/>
  <c r="ADE13" i="4"/>
  <c r="ADE18" i="4" s="1"/>
  <c r="ADD13" i="4"/>
  <c r="ADD18" i="4" s="1"/>
  <c r="ADC13" i="4"/>
  <c r="ADC18" i="4" s="1"/>
  <c r="ADB13" i="4"/>
  <c r="ADB18" i="4" s="1"/>
  <c r="ADA13" i="4"/>
  <c r="ADA18" i="4" s="1"/>
  <c r="ACZ13" i="4"/>
  <c r="ACZ18" i="4" s="1"/>
  <c r="ACY13" i="4"/>
  <c r="ACY18" i="4" s="1"/>
  <c r="ACX13" i="4"/>
  <c r="ACX18" i="4" s="1"/>
  <c r="ACW13" i="4"/>
  <c r="ACW18" i="4" s="1"/>
  <c r="ACV13" i="4"/>
  <c r="ACV18" i="4" s="1"/>
  <c r="ACU13" i="4"/>
  <c r="ACU18" i="4" s="1"/>
  <c r="ACT13" i="4"/>
  <c r="ACT18" i="4" s="1"/>
  <c r="ACS13" i="4"/>
  <c r="ACS18" i="4" s="1"/>
  <c r="ACR13" i="4"/>
  <c r="ACR18" i="4" s="1"/>
  <c r="ACQ13" i="4"/>
  <c r="ACQ18" i="4" s="1"/>
  <c r="ACP13" i="4"/>
  <c r="ACP18" i="4" s="1"/>
  <c r="ACO13" i="4"/>
  <c r="ACO18" i="4" s="1"/>
  <c r="ACN13" i="4"/>
  <c r="ACN18" i="4" s="1"/>
  <c r="ACM13" i="4"/>
  <c r="ACM18" i="4" s="1"/>
  <c r="ACL13" i="4"/>
  <c r="ACL18" i="4" s="1"/>
  <c r="ACK13" i="4"/>
  <c r="ACK18" i="4" s="1"/>
  <c r="ACJ13" i="4"/>
  <c r="ACJ18" i="4" s="1"/>
  <c r="ACI13" i="4"/>
  <c r="ACI18" i="4" s="1"/>
  <c r="ACH13" i="4"/>
  <c r="ACH18" i="4" s="1"/>
  <c r="ACG13" i="4"/>
  <c r="ACG18" i="4" s="1"/>
  <c r="ACF13" i="4"/>
  <c r="ACF18" i="4" s="1"/>
  <c r="ACE13" i="4"/>
  <c r="ACE18" i="4" s="1"/>
  <c r="ACD13" i="4"/>
  <c r="ACB13" i="4"/>
  <c r="ACB18" i="4" s="1"/>
  <c r="ACA13" i="4"/>
  <c r="ACA18" i="4" s="1"/>
  <c r="ABZ13" i="4"/>
  <c r="ABZ18" i="4" s="1"/>
  <c r="ABY13" i="4"/>
  <c r="ABY18" i="4" s="1"/>
  <c r="ABX13" i="4"/>
  <c r="ABX18" i="4" s="1"/>
  <c r="ABW13" i="4"/>
  <c r="ABW18" i="4" s="1"/>
  <c r="ABV13" i="4"/>
  <c r="ABV18" i="4" s="1"/>
  <c r="ABU13" i="4"/>
  <c r="ABU18" i="4" s="1"/>
  <c r="ABT13" i="4"/>
  <c r="ABT18" i="4" s="1"/>
  <c r="ABS13" i="4"/>
  <c r="ABS18" i="4" s="1"/>
  <c r="ABR13" i="4"/>
  <c r="ABR18" i="4" s="1"/>
  <c r="ABQ13" i="4"/>
  <c r="ABQ18" i="4" s="1"/>
  <c r="ABP13" i="4"/>
  <c r="ABP18" i="4" s="1"/>
  <c r="ABO13" i="4"/>
  <c r="ABO18" i="4" s="1"/>
  <c r="ABN13" i="4"/>
  <c r="ABN18" i="4" s="1"/>
  <c r="ABM13" i="4"/>
  <c r="ABM18" i="4" s="1"/>
  <c r="ABL13" i="4"/>
  <c r="ABL18" i="4" s="1"/>
  <c r="ABK13" i="4"/>
  <c r="ABK18" i="4" s="1"/>
  <c r="ABJ13" i="4"/>
  <c r="ABJ18" i="4" s="1"/>
  <c r="ABI13" i="4"/>
  <c r="ABI18" i="4" s="1"/>
  <c r="ABH13" i="4"/>
  <c r="ABH18" i="4" s="1"/>
  <c r="ABG13" i="4"/>
  <c r="ABG18" i="4" s="1"/>
  <c r="ABF13" i="4"/>
  <c r="ABF18" i="4" s="1"/>
  <c r="ABE13" i="4"/>
  <c r="ABE18" i="4" s="1"/>
  <c r="ABD13" i="4"/>
  <c r="ABD18" i="4" s="1"/>
  <c r="ABC13" i="4"/>
  <c r="ABC18" i="4" s="1"/>
  <c r="ABB13" i="4"/>
  <c r="ABB18" i="4" s="1"/>
  <c r="ABA13" i="4"/>
  <c r="ABA18" i="4" s="1"/>
  <c r="AAZ13" i="4"/>
  <c r="AAZ18" i="4" s="1"/>
  <c r="AAY13" i="4"/>
  <c r="AAY18" i="4" s="1"/>
  <c r="AAX13" i="4"/>
  <c r="AAV13" i="4"/>
  <c r="AAV18" i="4" s="1"/>
  <c r="AAU13" i="4"/>
  <c r="AAU18" i="4" s="1"/>
  <c r="AAT13" i="4"/>
  <c r="AAT18" i="4" s="1"/>
  <c r="AAS13" i="4"/>
  <c r="AAS18" i="4" s="1"/>
  <c r="AAR13" i="4"/>
  <c r="AAR18" i="4" s="1"/>
  <c r="AAQ13" i="4"/>
  <c r="AAQ18" i="4" s="1"/>
  <c r="AAP13" i="4"/>
  <c r="AAP18" i="4" s="1"/>
  <c r="AAO13" i="4"/>
  <c r="AAO18" i="4" s="1"/>
  <c r="AAN13" i="4"/>
  <c r="AAN18" i="4" s="1"/>
  <c r="AAM13" i="4"/>
  <c r="AAM18" i="4" s="1"/>
  <c r="AAL13" i="4"/>
  <c r="AAL18" i="4" s="1"/>
  <c r="AAK13" i="4"/>
  <c r="AAK18" i="4" s="1"/>
  <c r="AAJ13" i="4"/>
  <c r="AAJ18" i="4" s="1"/>
  <c r="AAI13" i="4"/>
  <c r="AAI18" i="4" s="1"/>
  <c r="AAH13" i="4"/>
  <c r="AAH18" i="4" s="1"/>
  <c r="AAG13" i="4"/>
  <c r="AAG18" i="4" s="1"/>
  <c r="AAF13" i="4"/>
  <c r="AAF18" i="4" s="1"/>
  <c r="AAE13" i="4"/>
  <c r="AAE18" i="4" s="1"/>
  <c r="AAD13" i="4"/>
  <c r="AAD18" i="4" s="1"/>
  <c r="AAC13" i="4"/>
  <c r="AAC18" i="4" s="1"/>
  <c r="AAB13" i="4"/>
  <c r="AAB18" i="4" s="1"/>
  <c r="AAA13" i="4"/>
  <c r="AAA18" i="4" s="1"/>
  <c r="ZZ13" i="4"/>
  <c r="ZZ18" i="4" s="1"/>
  <c r="ZY13" i="4"/>
  <c r="ZY18" i="4" s="1"/>
  <c r="ZX13" i="4"/>
  <c r="ZX18" i="4" s="1"/>
  <c r="ZW13" i="4"/>
  <c r="ZW18" i="4" s="1"/>
  <c r="ZV13" i="4"/>
  <c r="ZV18" i="4" s="1"/>
  <c r="ZU13" i="4"/>
  <c r="ZU18" i="4" s="1"/>
  <c r="ZT13" i="4"/>
  <c r="ZT18" i="4" s="1"/>
  <c r="ZS13" i="4"/>
  <c r="ZQ13" i="4"/>
  <c r="ZQ18" i="4" s="1"/>
  <c r="ZP13" i="4"/>
  <c r="ZP18" i="4" s="1"/>
  <c r="ZO13" i="4"/>
  <c r="ZO18" i="4" s="1"/>
  <c r="ZN13" i="4"/>
  <c r="ZN18" i="4" s="1"/>
  <c r="ZM13" i="4"/>
  <c r="ZM18" i="4" s="1"/>
  <c r="ZL13" i="4"/>
  <c r="ZL18" i="4" s="1"/>
  <c r="ZK13" i="4"/>
  <c r="ZK18" i="4" s="1"/>
  <c r="ZJ13" i="4"/>
  <c r="ZJ18" i="4" s="1"/>
  <c r="ZI13" i="4"/>
  <c r="ZI18" i="4" s="1"/>
  <c r="ZH13" i="4"/>
  <c r="ZH18" i="4" s="1"/>
  <c r="ZG13" i="4"/>
  <c r="ZG18" i="4" s="1"/>
  <c r="ZF13" i="4"/>
  <c r="ZF18" i="4" s="1"/>
  <c r="ZE13" i="4"/>
  <c r="ZE18" i="4" s="1"/>
  <c r="ZD13" i="4"/>
  <c r="ZD18" i="4" s="1"/>
  <c r="ZC13" i="4"/>
  <c r="ZC18" i="4" s="1"/>
  <c r="ZB13" i="4"/>
  <c r="ZB18" i="4" s="1"/>
  <c r="ZA13" i="4"/>
  <c r="ZA18" i="4" s="1"/>
  <c r="YZ13" i="4"/>
  <c r="YZ18" i="4" s="1"/>
  <c r="YY13" i="4"/>
  <c r="YY18" i="4" s="1"/>
  <c r="YX13" i="4"/>
  <c r="YX18" i="4" s="1"/>
  <c r="YW13" i="4"/>
  <c r="YW18" i="4" s="1"/>
  <c r="YV13" i="4"/>
  <c r="YV18" i="4" s="1"/>
  <c r="YU13" i="4"/>
  <c r="YU18" i="4" s="1"/>
  <c r="YT13" i="4"/>
  <c r="YT18" i="4" s="1"/>
  <c r="YS13" i="4"/>
  <c r="YS18" i="4" s="1"/>
  <c r="YR13" i="4"/>
  <c r="YR18" i="4" s="1"/>
  <c r="YQ13" i="4"/>
  <c r="YQ18" i="4" s="1"/>
  <c r="YP13" i="4"/>
  <c r="YP18" i="4" s="1"/>
  <c r="YO13" i="4"/>
  <c r="YN13" i="4"/>
  <c r="YN18" i="4" s="1"/>
  <c r="YM13" i="4"/>
  <c r="YK13" i="4"/>
  <c r="YK18" i="4" s="1"/>
  <c r="YJ13" i="4"/>
  <c r="YJ18" i="4" s="1"/>
  <c r="YI13" i="4"/>
  <c r="YI18" i="4" s="1"/>
  <c r="YH13" i="4"/>
  <c r="YH18" i="4" s="1"/>
  <c r="YG13" i="4"/>
  <c r="YG18" i="4" s="1"/>
  <c r="YF13" i="4"/>
  <c r="YF18" i="4" s="1"/>
  <c r="YE13" i="4"/>
  <c r="YE18" i="4" s="1"/>
  <c r="YD13" i="4"/>
  <c r="YD18" i="4" s="1"/>
  <c r="YC13" i="4"/>
  <c r="YC18" i="4" s="1"/>
  <c r="YB13" i="4"/>
  <c r="YB18" i="4" s="1"/>
  <c r="YA13" i="4"/>
  <c r="YA18" i="4" s="1"/>
  <c r="XZ13" i="4"/>
  <c r="XZ18" i="4" s="1"/>
  <c r="XY13" i="4"/>
  <c r="XY18" i="4" s="1"/>
  <c r="XX13" i="4"/>
  <c r="XX18" i="4" s="1"/>
  <c r="XW13" i="4"/>
  <c r="XW18" i="4" s="1"/>
  <c r="XV13" i="4"/>
  <c r="XV18" i="4" s="1"/>
  <c r="XU13" i="4"/>
  <c r="XU18" i="4" s="1"/>
  <c r="XT13" i="4"/>
  <c r="XT18" i="4" s="1"/>
  <c r="XS13" i="4"/>
  <c r="XS18" i="4" s="1"/>
  <c r="XR13" i="4"/>
  <c r="XR18" i="4" s="1"/>
  <c r="XQ13" i="4"/>
  <c r="XQ18" i="4" s="1"/>
  <c r="XP13" i="4"/>
  <c r="XP18" i="4" s="1"/>
  <c r="XO13" i="4"/>
  <c r="XO18" i="4" s="1"/>
  <c r="XN13" i="4"/>
  <c r="XN18" i="4" s="1"/>
  <c r="XM13" i="4"/>
  <c r="XM18" i="4" s="1"/>
  <c r="XL13" i="4"/>
  <c r="XL18" i="4" s="1"/>
  <c r="XK13" i="4"/>
  <c r="XK18" i="4" s="1"/>
  <c r="XJ13" i="4"/>
  <c r="XJ18" i="4" s="1"/>
  <c r="XI13" i="4"/>
  <c r="XI18" i="4" s="1"/>
  <c r="XH13" i="4"/>
  <c r="XF13" i="4"/>
  <c r="XF18" i="4" s="1"/>
  <c r="XE13" i="4"/>
  <c r="XE18" i="4" s="1"/>
  <c r="XD13" i="4"/>
  <c r="XD18" i="4" s="1"/>
  <c r="XC13" i="4"/>
  <c r="XC18" i="4" s="1"/>
  <c r="XB13" i="4"/>
  <c r="XB18" i="4" s="1"/>
  <c r="XA13" i="4"/>
  <c r="XA18" i="4" s="1"/>
  <c r="WZ13" i="4"/>
  <c r="WZ18" i="4" s="1"/>
  <c r="WY13" i="4"/>
  <c r="WY18" i="4" s="1"/>
  <c r="WX13" i="4"/>
  <c r="WX18" i="4" s="1"/>
  <c r="WW13" i="4"/>
  <c r="WW18" i="4" s="1"/>
  <c r="WV13" i="4"/>
  <c r="WV18" i="4" s="1"/>
  <c r="WU13" i="4"/>
  <c r="WU18" i="4" s="1"/>
  <c r="WT13" i="4"/>
  <c r="WT18" i="4" s="1"/>
  <c r="WS13" i="4"/>
  <c r="WS18" i="4" s="1"/>
  <c r="WR13" i="4"/>
  <c r="WR18" i="4" s="1"/>
  <c r="WQ13" i="4"/>
  <c r="WQ18" i="4" s="1"/>
  <c r="WP13" i="4"/>
  <c r="WP18" i="4" s="1"/>
  <c r="WO13" i="4"/>
  <c r="WO18" i="4" s="1"/>
  <c r="WN13" i="4"/>
  <c r="WN18" i="4" s="1"/>
  <c r="WM13" i="4"/>
  <c r="WM18" i="4" s="1"/>
  <c r="WL13" i="4"/>
  <c r="WL18" i="4" s="1"/>
  <c r="WK13" i="4"/>
  <c r="WK18" i="4" s="1"/>
  <c r="WJ13" i="4"/>
  <c r="WJ18" i="4" s="1"/>
  <c r="WI13" i="4"/>
  <c r="WI18" i="4" s="1"/>
  <c r="WH13" i="4"/>
  <c r="WH18" i="4" s="1"/>
  <c r="WG13" i="4"/>
  <c r="WG18" i="4" s="1"/>
  <c r="WF13" i="4"/>
  <c r="WF18" i="4" s="1"/>
  <c r="WE13" i="4"/>
  <c r="WE18" i="4" s="1"/>
  <c r="WD13" i="4"/>
  <c r="WD18" i="4" s="1"/>
  <c r="WC13" i="4"/>
  <c r="WC18" i="4" s="1"/>
  <c r="WB13" i="4"/>
  <c r="VZ13" i="4"/>
  <c r="VZ18" i="4" s="1"/>
  <c r="VY13" i="4"/>
  <c r="VY18" i="4" s="1"/>
  <c r="VX13" i="4"/>
  <c r="VX18" i="4" s="1"/>
  <c r="VW13" i="4"/>
  <c r="VW18" i="4" s="1"/>
  <c r="VV13" i="4"/>
  <c r="VV18" i="4" s="1"/>
  <c r="VU13" i="4"/>
  <c r="VU18" i="4" s="1"/>
  <c r="VT13" i="4"/>
  <c r="VT18" i="4" s="1"/>
  <c r="VS13" i="4"/>
  <c r="VS18" i="4" s="1"/>
  <c r="VR13" i="4"/>
  <c r="VR18" i="4" s="1"/>
  <c r="VQ13" i="4"/>
  <c r="VQ18" i="4" s="1"/>
  <c r="VP13" i="4"/>
  <c r="VP18" i="4" s="1"/>
  <c r="VO13" i="4"/>
  <c r="VO18" i="4" s="1"/>
  <c r="VN13" i="4"/>
  <c r="VN18" i="4" s="1"/>
  <c r="VM13" i="4"/>
  <c r="VM18" i="4" s="1"/>
  <c r="VL13" i="4"/>
  <c r="VL18" i="4" s="1"/>
  <c r="VK13" i="4"/>
  <c r="VK18" i="4" s="1"/>
  <c r="VJ13" i="4"/>
  <c r="VJ18" i="4" s="1"/>
  <c r="VI13" i="4"/>
  <c r="VI18" i="4" s="1"/>
  <c r="VH13" i="4"/>
  <c r="VH18" i="4" s="1"/>
  <c r="VG13" i="4"/>
  <c r="VG18" i="4" s="1"/>
  <c r="VF13" i="4"/>
  <c r="VF18" i="4" s="1"/>
  <c r="VE13" i="4"/>
  <c r="VE18" i="4" s="1"/>
  <c r="VD13" i="4"/>
  <c r="VD18" i="4" s="1"/>
  <c r="VC13" i="4"/>
  <c r="VC18" i="4" s="1"/>
  <c r="VB13" i="4"/>
  <c r="VB18" i="4" s="1"/>
  <c r="VA13" i="4"/>
  <c r="VA18" i="4" s="1"/>
  <c r="UZ13" i="4"/>
  <c r="UZ18" i="4" s="1"/>
  <c r="UY13" i="4"/>
  <c r="UW13" i="4"/>
  <c r="UW18" i="4" s="1"/>
  <c r="UV13" i="4"/>
  <c r="UV18" i="4" s="1"/>
  <c r="UU13" i="4"/>
  <c r="UU18" i="4" s="1"/>
  <c r="UT13" i="4"/>
  <c r="UT18" i="4" s="1"/>
  <c r="US13" i="4"/>
  <c r="US18" i="4" s="1"/>
  <c r="UR13" i="4"/>
  <c r="UR18" i="4" s="1"/>
  <c r="UQ13" i="4"/>
  <c r="UQ18" i="4" s="1"/>
  <c r="UP13" i="4"/>
  <c r="UP18" i="4" s="1"/>
  <c r="UO13" i="4"/>
  <c r="UO18" i="4" s="1"/>
  <c r="UN13" i="4"/>
  <c r="UN18" i="4" s="1"/>
  <c r="UM13" i="4"/>
  <c r="UM18" i="4" s="1"/>
  <c r="UL13" i="4"/>
  <c r="UL18" i="4" s="1"/>
  <c r="UK13" i="4"/>
  <c r="UK18" i="4" s="1"/>
  <c r="UJ13" i="4"/>
  <c r="UJ18" i="4" s="1"/>
  <c r="UI13" i="4"/>
  <c r="UI18" i="4" s="1"/>
  <c r="UH13" i="4"/>
  <c r="UH18" i="4" s="1"/>
  <c r="UG13" i="4"/>
  <c r="UG18" i="4" s="1"/>
  <c r="UF13" i="4"/>
  <c r="UF18" i="4" s="1"/>
  <c r="UE13" i="4"/>
  <c r="UE18" i="4" s="1"/>
  <c r="UD13" i="4"/>
  <c r="UD18" i="4" s="1"/>
  <c r="UC13" i="4"/>
  <c r="UC18" i="4" s="1"/>
  <c r="UB13" i="4"/>
  <c r="UB18" i="4" s="1"/>
  <c r="UA13" i="4"/>
  <c r="UA18" i="4" s="1"/>
  <c r="TZ13" i="4"/>
  <c r="TZ18" i="4" s="1"/>
  <c r="TY13" i="4"/>
  <c r="TY18" i="4" s="1"/>
  <c r="TX13" i="4"/>
  <c r="TX18" i="4" s="1"/>
  <c r="TW13" i="4"/>
  <c r="TW18" i="4" s="1"/>
  <c r="TV13" i="4"/>
  <c r="TV18" i="4" s="1"/>
  <c r="TU13" i="4"/>
  <c r="TU18" i="4" s="1"/>
  <c r="TT13" i="4"/>
  <c r="TS13" i="4"/>
  <c r="TQ13" i="4"/>
  <c r="TQ18" i="4" s="1"/>
  <c r="TP13" i="4"/>
  <c r="TP18" i="4" s="1"/>
  <c r="TO13" i="4"/>
  <c r="TO18" i="4" s="1"/>
  <c r="TN13" i="4"/>
  <c r="TN18" i="4" s="1"/>
  <c r="TM13" i="4"/>
  <c r="TM18" i="4" s="1"/>
  <c r="TL13" i="4"/>
  <c r="TL18" i="4" s="1"/>
  <c r="TK13" i="4"/>
  <c r="TK18" i="4" s="1"/>
  <c r="TJ13" i="4"/>
  <c r="TJ18" i="4" s="1"/>
  <c r="TI13" i="4"/>
  <c r="TI18" i="4" s="1"/>
  <c r="TH13" i="4"/>
  <c r="TH18" i="4" s="1"/>
  <c r="TG13" i="4"/>
  <c r="TG18" i="4" s="1"/>
  <c r="TF13" i="4"/>
  <c r="TF18" i="4" s="1"/>
  <c r="TE13" i="4"/>
  <c r="TE18" i="4" s="1"/>
  <c r="TD13" i="4"/>
  <c r="TD18" i="4" s="1"/>
  <c r="TC13" i="4"/>
  <c r="TC18" i="4" s="1"/>
  <c r="TB13" i="4"/>
  <c r="TB18" i="4" s="1"/>
  <c r="TA13" i="4"/>
  <c r="TA18" i="4" s="1"/>
  <c r="SZ13" i="4"/>
  <c r="SZ18" i="4" s="1"/>
  <c r="SY13" i="4"/>
  <c r="SY18" i="4" s="1"/>
  <c r="SX13" i="4"/>
  <c r="SX18" i="4" s="1"/>
  <c r="SW13" i="4"/>
  <c r="SW18" i="4" s="1"/>
  <c r="SV13" i="4"/>
  <c r="SV18" i="4" s="1"/>
  <c r="SU13" i="4"/>
  <c r="SU18" i="4" s="1"/>
  <c r="ST13" i="4"/>
  <c r="ST18" i="4" s="1"/>
  <c r="SS13" i="4"/>
  <c r="SS18" i="4" s="1"/>
  <c r="SR13" i="4"/>
  <c r="SR18" i="4" s="1"/>
  <c r="SQ13" i="4"/>
  <c r="SQ18" i="4" s="1"/>
  <c r="SP13" i="4"/>
  <c r="SP18" i="4" s="1"/>
  <c r="SO13" i="4"/>
  <c r="SO18" i="4" s="1"/>
  <c r="SN13" i="4"/>
  <c r="SM13" i="4"/>
  <c r="SK13" i="4"/>
  <c r="SK18" i="4" s="1"/>
  <c r="SJ13" i="4"/>
  <c r="SJ18" i="4" s="1"/>
  <c r="SI13" i="4"/>
  <c r="SI18" i="4" s="1"/>
  <c r="SH13" i="4"/>
  <c r="SH18" i="4" s="1"/>
  <c r="SG13" i="4"/>
  <c r="SG18" i="4" s="1"/>
  <c r="SF13" i="4"/>
  <c r="SF18" i="4" s="1"/>
  <c r="SE13" i="4"/>
  <c r="SE18" i="4" s="1"/>
  <c r="SD13" i="4"/>
  <c r="SD18" i="4" s="1"/>
  <c r="SC13" i="4"/>
  <c r="SC18" i="4" s="1"/>
  <c r="SB13" i="4"/>
  <c r="SB18" i="4" s="1"/>
  <c r="SA13" i="4"/>
  <c r="SA18" i="4" s="1"/>
  <c r="RZ13" i="4"/>
  <c r="RZ18" i="4" s="1"/>
  <c r="RY13" i="4"/>
  <c r="RY18" i="4" s="1"/>
  <c r="RX13" i="4"/>
  <c r="RX18" i="4" s="1"/>
  <c r="RW13" i="4"/>
  <c r="RW18" i="4" s="1"/>
  <c r="RV13" i="4"/>
  <c r="RV18" i="4" s="1"/>
  <c r="RU13" i="4"/>
  <c r="RU18" i="4" s="1"/>
  <c r="RT13" i="4"/>
  <c r="RT18" i="4" s="1"/>
  <c r="RS13" i="4"/>
  <c r="RS18" i="4" s="1"/>
  <c r="RR13" i="4"/>
  <c r="RR18" i="4" s="1"/>
  <c r="RQ13" i="4"/>
  <c r="RQ18" i="4" s="1"/>
  <c r="RP13" i="4"/>
  <c r="RP18" i="4" s="1"/>
  <c r="RO13" i="4"/>
  <c r="RO18" i="4" s="1"/>
  <c r="RN13" i="4"/>
  <c r="RN18" i="4" s="1"/>
  <c r="RM13" i="4"/>
  <c r="RM18" i="4" s="1"/>
  <c r="RL13" i="4"/>
  <c r="RL18" i="4" s="1"/>
  <c r="RK13" i="4"/>
  <c r="RK18" i="4" s="1"/>
  <c r="RJ13" i="4"/>
  <c r="RJ18" i="4" s="1"/>
  <c r="RI13" i="4"/>
  <c r="RI18" i="4" s="1"/>
  <c r="RH13" i="4"/>
  <c r="RF13" i="4"/>
  <c r="RF18" i="4" s="1"/>
  <c r="RE13" i="4"/>
  <c r="RE18" i="4" s="1"/>
  <c r="RD13" i="4"/>
  <c r="RD18" i="4" s="1"/>
  <c r="RC13" i="4"/>
  <c r="RC18" i="4" s="1"/>
  <c r="RB13" i="4"/>
  <c r="RB18" i="4" s="1"/>
  <c r="RA13" i="4"/>
  <c r="RA18" i="4" s="1"/>
  <c r="QZ13" i="4"/>
  <c r="QZ18" i="4" s="1"/>
  <c r="QY13" i="4"/>
  <c r="QY18" i="4" s="1"/>
  <c r="QX13" i="4"/>
  <c r="QX18" i="4" s="1"/>
  <c r="QW13" i="4"/>
  <c r="QW18" i="4" s="1"/>
  <c r="QV13" i="4"/>
  <c r="QV18" i="4" s="1"/>
  <c r="QU13" i="4"/>
  <c r="QU18" i="4" s="1"/>
  <c r="QT13" i="4"/>
  <c r="QT18" i="4" s="1"/>
  <c r="QS13" i="4"/>
  <c r="QS18" i="4" s="1"/>
  <c r="QR13" i="4"/>
  <c r="QR18" i="4" s="1"/>
  <c r="QQ13" i="4"/>
  <c r="QQ18" i="4" s="1"/>
  <c r="QP13" i="4"/>
  <c r="QP18" i="4" s="1"/>
  <c r="QO13" i="4"/>
  <c r="QO18" i="4" s="1"/>
  <c r="QN13" i="4"/>
  <c r="QN18" i="4" s="1"/>
  <c r="QM13" i="4"/>
  <c r="QM18" i="4" s="1"/>
  <c r="QL13" i="4"/>
  <c r="QL18" i="4" s="1"/>
  <c r="QK13" i="4"/>
  <c r="QK18" i="4" s="1"/>
  <c r="QJ13" i="4"/>
  <c r="QJ18" i="4" s="1"/>
  <c r="QI13" i="4"/>
  <c r="QI18" i="4" s="1"/>
  <c r="QH13" i="4"/>
  <c r="QH18" i="4" s="1"/>
  <c r="QG13" i="4"/>
  <c r="QG18" i="4" s="1"/>
  <c r="QF13" i="4"/>
  <c r="QF18" i="4" s="1"/>
  <c r="QE13" i="4"/>
  <c r="QE18" i="4" s="1"/>
  <c r="QD13" i="4"/>
  <c r="QD18" i="4" s="1"/>
  <c r="QC13" i="4"/>
  <c r="QB13" i="4"/>
  <c r="PZ13" i="4"/>
  <c r="PZ18" i="4" s="1"/>
  <c r="PY13" i="4"/>
  <c r="PY18" i="4" s="1"/>
  <c r="PX13" i="4"/>
  <c r="PX18" i="4" s="1"/>
  <c r="PW13" i="4"/>
  <c r="PW18" i="4" s="1"/>
  <c r="PV13" i="4"/>
  <c r="PV18" i="4" s="1"/>
  <c r="PU13" i="4"/>
  <c r="PU18" i="4" s="1"/>
  <c r="PT13" i="4"/>
  <c r="PT18" i="4" s="1"/>
  <c r="PS13" i="4"/>
  <c r="PS18" i="4" s="1"/>
  <c r="PR13" i="4"/>
  <c r="PR18" i="4" s="1"/>
  <c r="PQ13" i="4"/>
  <c r="PQ18" i="4" s="1"/>
  <c r="PP13" i="4"/>
  <c r="PP18" i="4" s="1"/>
  <c r="PO13" i="4"/>
  <c r="PO18" i="4" s="1"/>
  <c r="PN13" i="4"/>
  <c r="PN18" i="4" s="1"/>
  <c r="PM13" i="4"/>
  <c r="PM18" i="4" s="1"/>
  <c r="PL13" i="4"/>
  <c r="PL18" i="4" s="1"/>
  <c r="PK13" i="4"/>
  <c r="PK18" i="4" s="1"/>
  <c r="PJ13" i="4"/>
  <c r="PJ18" i="4" s="1"/>
  <c r="PI13" i="4"/>
  <c r="PI18" i="4" s="1"/>
  <c r="PH13" i="4"/>
  <c r="PH18" i="4" s="1"/>
  <c r="PG13" i="4"/>
  <c r="PG18" i="4" s="1"/>
  <c r="PF13" i="4"/>
  <c r="PF18" i="4" s="1"/>
  <c r="PE13" i="4"/>
  <c r="PE18" i="4" s="1"/>
  <c r="PD13" i="4"/>
  <c r="PD18" i="4" s="1"/>
  <c r="PC13" i="4"/>
  <c r="PB13" i="4"/>
  <c r="PB18" i="4" s="1"/>
  <c r="PA13" i="4"/>
  <c r="PA18" i="4" s="1"/>
  <c r="OZ13" i="4"/>
  <c r="OZ18" i="4" s="1"/>
  <c r="OY13" i="4"/>
  <c r="OY18" i="4" s="1"/>
  <c r="OX13" i="4"/>
  <c r="OX18" i="4" s="1"/>
  <c r="OW13" i="4"/>
  <c r="OU13" i="4"/>
  <c r="OU18" i="4" s="1"/>
  <c r="OT13" i="4"/>
  <c r="OT18" i="4" s="1"/>
  <c r="OS13" i="4"/>
  <c r="OS18" i="4" s="1"/>
  <c r="OR13" i="4"/>
  <c r="OR18" i="4" s="1"/>
  <c r="OQ13" i="4"/>
  <c r="OQ18" i="4" s="1"/>
  <c r="OP13" i="4"/>
  <c r="OP18" i="4" s="1"/>
  <c r="OO13" i="4"/>
  <c r="OO18" i="4" s="1"/>
  <c r="ON13" i="4"/>
  <c r="ON18" i="4" s="1"/>
  <c r="OM13" i="4"/>
  <c r="OM18" i="4" s="1"/>
  <c r="OL13" i="4"/>
  <c r="OL18" i="4" s="1"/>
  <c r="OK13" i="4"/>
  <c r="OK18" i="4" s="1"/>
  <c r="OJ13" i="4"/>
  <c r="OJ18" i="4" s="1"/>
  <c r="OI13" i="4"/>
  <c r="OI18" i="4" s="1"/>
  <c r="OH13" i="4"/>
  <c r="OH18" i="4" s="1"/>
  <c r="OG13" i="4"/>
  <c r="OG18" i="4" s="1"/>
  <c r="OF13" i="4"/>
  <c r="OF18" i="4" s="1"/>
  <c r="OE13" i="4"/>
  <c r="OE18" i="4" s="1"/>
  <c r="OD13" i="4"/>
  <c r="OD18" i="4" s="1"/>
  <c r="OC13" i="4"/>
  <c r="OC18" i="4" s="1"/>
  <c r="OB13" i="4"/>
  <c r="OB18" i="4" s="1"/>
  <c r="OA13" i="4"/>
  <c r="OA18" i="4" s="1"/>
  <c r="NZ13" i="4"/>
  <c r="NZ18" i="4" s="1"/>
  <c r="NY13" i="4"/>
  <c r="NY18" i="4" s="1"/>
  <c r="NX13" i="4"/>
  <c r="NX18" i="4" s="1"/>
  <c r="NW13" i="4"/>
  <c r="NW18" i="4" s="1"/>
  <c r="NV13" i="4"/>
  <c r="NV18" i="4" s="1"/>
  <c r="NU13" i="4"/>
  <c r="NU18" i="4" s="1"/>
  <c r="NT13" i="4"/>
  <c r="NT18" i="4" s="1"/>
  <c r="NS13" i="4"/>
  <c r="NS18" i="4" s="1"/>
  <c r="NR13" i="4"/>
  <c r="NQ13" i="4"/>
  <c r="NO13" i="4"/>
  <c r="NO18" i="4" s="1"/>
  <c r="NN13" i="4"/>
  <c r="NN18" i="4" s="1"/>
  <c r="NM13" i="4"/>
  <c r="NM18" i="4" s="1"/>
  <c r="NL13" i="4"/>
  <c r="NL18" i="4" s="1"/>
  <c r="NK13" i="4"/>
  <c r="NK18" i="4" s="1"/>
  <c r="NJ13" i="4"/>
  <c r="NJ18" i="4" s="1"/>
  <c r="NI13" i="4"/>
  <c r="NI18" i="4" s="1"/>
  <c r="NH13" i="4"/>
  <c r="NH18" i="4" s="1"/>
  <c r="NG13" i="4"/>
  <c r="NG18" i="4" s="1"/>
  <c r="NF13" i="4"/>
  <c r="NF18" i="4" s="1"/>
  <c r="NE13" i="4"/>
  <c r="NE18" i="4" s="1"/>
  <c r="ND13" i="4"/>
  <c r="ND18" i="4" s="1"/>
  <c r="NC13" i="4"/>
  <c r="NC18" i="4" s="1"/>
  <c r="NB13" i="4"/>
  <c r="NB18" i="4" s="1"/>
  <c r="NA13" i="4"/>
  <c r="NA18" i="4" s="1"/>
  <c r="MZ13" i="4"/>
  <c r="MZ18" i="4" s="1"/>
  <c r="MY13" i="4"/>
  <c r="MY18" i="4" s="1"/>
  <c r="MX13" i="4"/>
  <c r="MX18" i="4" s="1"/>
  <c r="MW13" i="4"/>
  <c r="MW18" i="4" s="1"/>
  <c r="MV13" i="4"/>
  <c r="MV18" i="4" s="1"/>
  <c r="MU13" i="4"/>
  <c r="MU18" i="4" s="1"/>
  <c r="MT13" i="4"/>
  <c r="MT18" i="4" s="1"/>
  <c r="MS13" i="4"/>
  <c r="MS18" i="4" s="1"/>
  <c r="MR13" i="4"/>
  <c r="MR18" i="4" s="1"/>
  <c r="MQ13" i="4"/>
  <c r="MQ18" i="4" s="1"/>
  <c r="MP13" i="4"/>
  <c r="MP18" i="4" s="1"/>
  <c r="MO13" i="4"/>
  <c r="MO18" i="4" s="1"/>
  <c r="MN13" i="4"/>
  <c r="MN18" i="4" s="1"/>
  <c r="MM13" i="4"/>
  <c r="MM18" i="4" s="1"/>
  <c r="ML13" i="4"/>
  <c r="MK13" i="4"/>
  <c r="MI13" i="4"/>
  <c r="MI18" i="4" s="1"/>
  <c r="MH13" i="4"/>
  <c r="MH18" i="4" s="1"/>
  <c r="MG13" i="4"/>
  <c r="MG18" i="4" s="1"/>
  <c r="MF13" i="4"/>
  <c r="MF18" i="4" s="1"/>
  <c r="ME13" i="4"/>
  <c r="ME18" i="4" s="1"/>
  <c r="MD13" i="4"/>
  <c r="MD18" i="4" s="1"/>
  <c r="MC13" i="4"/>
  <c r="MC18" i="4" s="1"/>
  <c r="MB13" i="4"/>
  <c r="MB18" i="4" s="1"/>
  <c r="MA13" i="4"/>
  <c r="MA18" i="4" s="1"/>
  <c r="LZ13" i="4"/>
  <c r="LZ18" i="4" s="1"/>
  <c r="LY13" i="4"/>
  <c r="LY18" i="4" s="1"/>
  <c r="LX13" i="4"/>
  <c r="LX18" i="4" s="1"/>
  <c r="LW13" i="4"/>
  <c r="LW18" i="4" s="1"/>
  <c r="LV13" i="4"/>
  <c r="LV18" i="4" s="1"/>
  <c r="LU13" i="4"/>
  <c r="LU18" i="4" s="1"/>
  <c r="LT13" i="4"/>
  <c r="LT18" i="4" s="1"/>
  <c r="LS13" i="4"/>
  <c r="LS18" i="4" s="1"/>
  <c r="LR13" i="4"/>
  <c r="LR18" i="4" s="1"/>
  <c r="LQ13" i="4"/>
  <c r="LQ18" i="4" s="1"/>
  <c r="LP13" i="4"/>
  <c r="LP18" i="4" s="1"/>
  <c r="LO13" i="4"/>
  <c r="LO18" i="4" s="1"/>
  <c r="LN13" i="4"/>
  <c r="LN18" i="4" s="1"/>
  <c r="LM13" i="4"/>
  <c r="LM18" i="4" s="1"/>
  <c r="LL13" i="4"/>
  <c r="LL18" i="4" s="1"/>
  <c r="LK13" i="4"/>
  <c r="LK18" i="4" s="1"/>
  <c r="LJ13" i="4"/>
  <c r="LJ18" i="4" s="1"/>
  <c r="LI13" i="4"/>
  <c r="LI18" i="4" s="1"/>
  <c r="LH13" i="4"/>
  <c r="LH18" i="4" s="1"/>
  <c r="LG13" i="4"/>
  <c r="LG18" i="4" s="1"/>
  <c r="LF13" i="4"/>
  <c r="LD13" i="4"/>
  <c r="LD18" i="4" s="1"/>
  <c r="LC13" i="4"/>
  <c r="LC18" i="4" s="1"/>
  <c r="LB13" i="4"/>
  <c r="LB18" i="4" s="1"/>
  <c r="LA13" i="4"/>
  <c r="LA18" i="4" s="1"/>
  <c r="KZ13" i="4"/>
  <c r="KZ18" i="4" s="1"/>
  <c r="KY13" i="4"/>
  <c r="KY18" i="4" s="1"/>
  <c r="KX13" i="4"/>
  <c r="KX18" i="4" s="1"/>
  <c r="KW13" i="4"/>
  <c r="KW18" i="4" s="1"/>
  <c r="KV13" i="4"/>
  <c r="KV18" i="4" s="1"/>
  <c r="KU13" i="4"/>
  <c r="KU18" i="4" s="1"/>
  <c r="KT13" i="4"/>
  <c r="KT18" i="4" s="1"/>
  <c r="KS13" i="4"/>
  <c r="KS18" i="4" s="1"/>
  <c r="KR13" i="4"/>
  <c r="KR18" i="4" s="1"/>
  <c r="KQ13" i="4"/>
  <c r="KQ18" i="4" s="1"/>
  <c r="KP13" i="4"/>
  <c r="KP18" i="4" s="1"/>
  <c r="KO13" i="4"/>
  <c r="KO18" i="4" s="1"/>
  <c r="KN13" i="4"/>
  <c r="KN18" i="4" s="1"/>
  <c r="KM13" i="4"/>
  <c r="KM18" i="4" s="1"/>
  <c r="KL13" i="4"/>
  <c r="KL18" i="4" s="1"/>
  <c r="KK13" i="4"/>
  <c r="KK18" i="4" s="1"/>
  <c r="KJ13" i="4"/>
  <c r="KJ18" i="4" s="1"/>
  <c r="KI13" i="4"/>
  <c r="KI18" i="4" s="1"/>
  <c r="KH13" i="4"/>
  <c r="KH18" i="4" s="1"/>
  <c r="KG13" i="4"/>
  <c r="KG18" i="4" s="1"/>
  <c r="KF13" i="4"/>
  <c r="KF18" i="4" s="1"/>
  <c r="KE13" i="4"/>
  <c r="KE18" i="4" s="1"/>
  <c r="KD13" i="4"/>
  <c r="KD18" i="4" s="1"/>
  <c r="KC13" i="4"/>
  <c r="KC18" i="4" s="1"/>
  <c r="KB13" i="4"/>
  <c r="KB18" i="4" s="1"/>
  <c r="KA13" i="4"/>
  <c r="JZ13" i="4"/>
  <c r="JX13" i="4"/>
  <c r="JX18" i="4" s="1"/>
  <c r="JW13" i="4"/>
  <c r="JW18" i="4" s="1"/>
  <c r="JV13" i="4"/>
  <c r="JV18" i="4" s="1"/>
  <c r="JU13" i="4"/>
  <c r="JU18" i="4" s="1"/>
  <c r="JT13" i="4"/>
  <c r="JT18" i="4" s="1"/>
  <c r="JS13" i="4"/>
  <c r="JS18" i="4" s="1"/>
  <c r="JR13" i="4"/>
  <c r="JR18" i="4" s="1"/>
  <c r="JQ13" i="4"/>
  <c r="JQ18" i="4" s="1"/>
  <c r="JP13" i="4"/>
  <c r="JP18" i="4" s="1"/>
  <c r="JO13" i="4"/>
  <c r="JO18" i="4" s="1"/>
  <c r="JN13" i="4"/>
  <c r="JN18" i="4" s="1"/>
  <c r="JM13" i="4"/>
  <c r="JM18" i="4" s="1"/>
  <c r="JL13" i="4"/>
  <c r="JL18" i="4" s="1"/>
  <c r="JK13" i="4"/>
  <c r="JK18" i="4" s="1"/>
  <c r="JJ13" i="4"/>
  <c r="JJ18" i="4" s="1"/>
  <c r="JI13" i="4"/>
  <c r="JI18" i="4" s="1"/>
  <c r="JH13" i="4"/>
  <c r="JH18" i="4" s="1"/>
  <c r="JG13" i="4"/>
  <c r="JG18" i="4" s="1"/>
  <c r="JF13" i="4"/>
  <c r="JF18" i="4" s="1"/>
  <c r="JE13" i="4"/>
  <c r="JE18" i="4" s="1"/>
  <c r="JD13" i="4"/>
  <c r="JD18" i="4" s="1"/>
  <c r="JC13" i="4"/>
  <c r="JC18" i="4" s="1"/>
  <c r="JB13" i="4"/>
  <c r="JB18" i="4" s="1"/>
  <c r="JA13" i="4"/>
  <c r="JA18" i="4" s="1"/>
  <c r="IZ13" i="4"/>
  <c r="IZ18" i="4" s="1"/>
  <c r="IY13" i="4"/>
  <c r="IY18" i="4" s="1"/>
  <c r="IX13" i="4"/>
  <c r="IX18" i="4" s="1"/>
  <c r="IW13" i="4"/>
  <c r="IW18" i="4" s="1"/>
  <c r="IV13" i="4"/>
  <c r="IV18" i="4" s="1"/>
  <c r="IU13" i="4"/>
  <c r="IS13" i="4"/>
  <c r="IS18" i="4" s="1"/>
  <c r="IR13" i="4"/>
  <c r="IR18" i="4" s="1"/>
  <c r="IQ13" i="4"/>
  <c r="IQ18" i="4" s="1"/>
  <c r="IP13" i="4"/>
  <c r="IP18" i="4" s="1"/>
  <c r="IO13" i="4"/>
  <c r="IO18" i="4" s="1"/>
  <c r="IN13" i="4"/>
  <c r="IN18" i="4" s="1"/>
  <c r="IM13" i="4"/>
  <c r="IM18" i="4" s="1"/>
  <c r="IL13" i="4"/>
  <c r="IL18" i="4" s="1"/>
  <c r="IK13" i="4"/>
  <c r="IK18" i="4" s="1"/>
  <c r="IJ13" i="4"/>
  <c r="IJ18" i="4" s="1"/>
  <c r="II13" i="4"/>
  <c r="II18" i="4" s="1"/>
  <c r="IH13" i="4"/>
  <c r="IH18" i="4" s="1"/>
  <c r="IG13" i="4"/>
  <c r="IG18" i="4" s="1"/>
  <c r="IF13" i="4"/>
  <c r="IF18" i="4" s="1"/>
  <c r="IE13" i="4"/>
  <c r="IE18" i="4" s="1"/>
  <c r="ID13" i="4"/>
  <c r="ID18" i="4" s="1"/>
  <c r="IC13" i="4"/>
  <c r="IC18" i="4" s="1"/>
  <c r="IB13" i="4"/>
  <c r="IB18" i="4" s="1"/>
  <c r="IA13" i="4"/>
  <c r="IA18" i="4" s="1"/>
  <c r="HZ13" i="4"/>
  <c r="HZ18" i="4" s="1"/>
  <c r="HY13" i="4"/>
  <c r="HY18" i="4" s="1"/>
  <c r="HX13" i="4"/>
  <c r="HX18" i="4" s="1"/>
  <c r="HW13" i="4"/>
  <c r="HW18" i="4" s="1"/>
  <c r="HV13" i="4"/>
  <c r="HV18" i="4" s="1"/>
  <c r="HU13" i="4"/>
  <c r="HU18" i="4" s="1"/>
  <c r="HT13" i="4"/>
  <c r="HT18" i="4" s="1"/>
  <c r="HS13" i="4"/>
  <c r="HS18" i="4" s="1"/>
  <c r="HR13" i="4"/>
  <c r="HR18" i="4" s="1"/>
  <c r="HQ13" i="4"/>
  <c r="HQ18" i="4" s="1"/>
  <c r="HP13" i="4"/>
  <c r="HP18" i="4" s="1"/>
  <c r="HO13" i="4"/>
  <c r="HM13" i="4"/>
  <c r="HM18" i="4" s="1"/>
  <c r="HL13" i="4"/>
  <c r="HL18" i="4" s="1"/>
  <c r="HK13" i="4"/>
  <c r="HK18" i="4" s="1"/>
  <c r="HJ13" i="4"/>
  <c r="HJ18" i="4" s="1"/>
  <c r="HI13" i="4"/>
  <c r="HI18" i="4" s="1"/>
  <c r="HH13" i="4"/>
  <c r="HH18" i="4" s="1"/>
  <c r="HG13" i="4"/>
  <c r="HG18" i="4" s="1"/>
  <c r="HF13" i="4"/>
  <c r="HF18" i="4" s="1"/>
  <c r="HE13" i="4"/>
  <c r="HE18" i="4" s="1"/>
  <c r="HD13" i="4"/>
  <c r="HD18" i="4" s="1"/>
  <c r="HC13" i="4"/>
  <c r="HC18" i="4" s="1"/>
  <c r="HB13" i="4"/>
  <c r="HB18" i="4" s="1"/>
  <c r="HA13" i="4"/>
  <c r="HA18" i="4" s="1"/>
  <c r="GZ13" i="4"/>
  <c r="GZ18" i="4" s="1"/>
  <c r="GY13" i="4"/>
  <c r="GY18" i="4" s="1"/>
  <c r="GX13" i="4"/>
  <c r="GX18" i="4" s="1"/>
  <c r="GW13" i="4"/>
  <c r="GW18" i="4" s="1"/>
  <c r="GV13" i="4"/>
  <c r="GV18" i="4" s="1"/>
  <c r="GU13" i="4"/>
  <c r="GU18" i="4" s="1"/>
  <c r="GT13" i="4"/>
  <c r="GT18" i="4" s="1"/>
  <c r="GS13" i="4"/>
  <c r="GS18" i="4" s="1"/>
  <c r="GR13" i="4"/>
  <c r="GR18" i="4" s="1"/>
  <c r="GQ13" i="4"/>
  <c r="GQ18" i="4" s="1"/>
  <c r="GP13" i="4"/>
  <c r="GP18" i="4" s="1"/>
  <c r="GO13" i="4"/>
  <c r="GO18" i="4" s="1"/>
  <c r="GN13" i="4"/>
  <c r="GN18" i="4" s="1"/>
  <c r="GM13" i="4"/>
  <c r="GM18" i="4" s="1"/>
  <c r="GL13" i="4"/>
  <c r="GL18" i="4" s="1"/>
  <c r="GK13" i="4"/>
  <c r="GI13" i="4"/>
  <c r="GI18" i="4" s="1"/>
  <c r="GH13" i="4"/>
  <c r="GH18" i="4" s="1"/>
  <c r="GG13" i="4"/>
  <c r="GG18" i="4" s="1"/>
  <c r="GF13" i="4"/>
  <c r="GF18" i="4" s="1"/>
  <c r="GE13" i="4"/>
  <c r="GE18" i="4" s="1"/>
  <c r="GD13" i="4"/>
  <c r="GD18" i="4" s="1"/>
  <c r="GC13" i="4"/>
  <c r="GC18" i="4" s="1"/>
  <c r="GB13" i="4"/>
  <c r="GB18" i="4" s="1"/>
  <c r="GA13" i="4"/>
  <c r="GA18" i="4" s="1"/>
  <c r="FZ13" i="4"/>
  <c r="FZ18" i="4" s="1"/>
  <c r="FY13" i="4"/>
  <c r="FY18" i="4" s="1"/>
  <c r="FX13" i="4"/>
  <c r="FX18" i="4" s="1"/>
  <c r="FW13" i="4"/>
  <c r="FW18" i="4" s="1"/>
  <c r="FV13" i="4"/>
  <c r="FV18" i="4" s="1"/>
  <c r="FU13" i="4"/>
  <c r="FU18" i="4" s="1"/>
  <c r="FT13" i="4"/>
  <c r="FT18" i="4" s="1"/>
  <c r="FS13" i="4"/>
  <c r="FS18" i="4" s="1"/>
  <c r="FR13" i="4"/>
  <c r="FR18" i="4" s="1"/>
  <c r="FQ13" i="4"/>
  <c r="FQ18" i="4" s="1"/>
  <c r="FP13" i="4"/>
  <c r="FP18" i="4" s="1"/>
  <c r="FO13" i="4"/>
  <c r="FO18" i="4" s="1"/>
  <c r="FN13" i="4"/>
  <c r="FN18" i="4" s="1"/>
  <c r="FM13" i="4"/>
  <c r="FM18" i="4" s="1"/>
  <c r="FL13" i="4"/>
  <c r="FL18" i="4" s="1"/>
  <c r="FK13" i="4"/>
  <c r="FK18" i="4" s="1"/>
  <c r="FJ13" i="4"/>
  <c r="FJ18" i="4" s="1"/>
  <c r="FI13" i="4"/>
  <c r="FI18" i="4" s="1"/>
  <c r="FH13" i="4"/>
  <c r="FH18" i="4" s="1"/>
  <c r="FG13" i="4"/>
  <c r="FG18" i="4" s="1"/>
  <c r="FF13" i="4"/>
  <c r="FF18" i="4" s="1"/>
  <c r="FE13" i="4"/>
  <c r="FC13" i="4"/>
  <c r="FC18" i="4" s="1"/>
  <c r="FB13" i="4"/>
  <c r="FB18" i="4" s="1"/>
  <c r="FA13" i="4"/>
  <c r="FA18" i="4" s="1"/>
  <c r="EZ13" i="4"/>
  <c r="EZ18" i="4" s="1"/>
  <c r="EY13" i="4"/>
  <c r="EY18" i="4" s="1"/>
  <c r="EX13" i="4"/>
  <c r="EX18" i="4" s="1"/>
  <c r="EW13" i="4"/>
  <c r="EW18" i="4" s="1"/>
  <c r="EV13" i="4"/>
  <c r="EV18" i="4" s="1"/>
  <c r="EU13" i="4"/>
  <c r="EU18" i="4" s="1"/>
  <c r="ET13" i="4"/>
  <c r="ET18" i="4" s="1"/>
  <c r="ES13" i="4"/>
  <c r="ES18" i="4" s="1"/>
  <c r="ER13" i="4"/>
  <c r="ER18" i="4" s="1"/>
  <c r="EQ13" i="4"/>
  <c r="EQ18" i="4" s="1"/>
  <c r="EP13" i="4"/>
  <c r="EP18" i="4" s="1"/>
  <c r="EO13" i="4"/>
  <c r="EO18" i="4" s="1"/>
  <c r="EN13" i="4"/>
  <c r="EN18" i="4" s="1"/>
  <c r="EM13" i="4"/>
  <c r="EM18" i="4" s="1"/>
  <c r="EL13" i="4"/>
  <c r="EL18" i="4" s="1"/>
  <c r="EK13" i="4"/>
  <c r="EK18" i="4" s="1"/>
  <c r="EJ13" i="4"/>
  <c r="EJ18" i="4" s="1"/>
  <c r="EI13" i="4"/>
  <c r="EI18" i="4" s="1"/>
  <c r="EH13" i="4"/>
  <c r="EH18" i="4" s="1"/>
  <c r="EG13" i="4"/>
  <c r="EG18" i="4" s="1"/>
  <c r="EF13" i="4"/>
  <c r="EF18" i="4" s="1"/>
  <c r="EE13" i="4"/>
  <c r="EE18" i="4" s="1"/>
  <c r="ED13" i="4"/>
  <c r="ED18" i="4" s="1"/>
  <c r="EC13" i="4"/>
  <c r="EC18" i="4" s="1"/>
  <c r="EB13" i="4"/>
  <c r="EB18" i="4" s="1"/>
  <c r="EA13" i="4"/>
  <c r="EA18" i="4" s="1"/>
  <c r="DZ13" i="4"/>
  <c r="DZ18" i="4" s="1"/>
  <c r="DY13" i="4"/>
  <c r="DW13" i="4"/>
  <c r="DW18" i="4" s="1"/>
  <c r="DV13" i="4"/>
  <c r="DV18" i="4" s="1"/>
  <c r="DU13" i="4"/>
  <c r="DU18" i="4" s="1"/>
  <c r="DT13" i="4"/>
  <c r="DT18" i="4" s="1"/>
  <c r="DS13" i="4"/>
  <c r="DS18" i="4" s="1"/>
  <c r="DR13" i="4"/>
  <c r="DR18" i="4" s="1"/>
  <c r="DQ13" i="4"/>
  <c r="DQ18" i="4" s="1"/>
  <c r="DP13" i="4"/>
  <c r="DP18" i="4" s="1"/>
  <c r="DO13" i="4"/>
  <c r="DO18" i="4" s="1"/>
  <c r="DN13" i="4"/>
  <c r="DN18" i="4" s="1"/>
  <c r="DM13" i="4"/>
  <c r="DM18" i="4" s="1"/>
  <c r="DL13" i="4"/>
  <c r="DL18" i="4" s="1"/>
  <c r="DK13" i="4"/>
  <c r="DK18" i="4" s="1"/>
  <c r="DJ13" i="4"/>
  <c r="DJ18" i="4" s="1"/>
  <c r="DI13" i="4"/>
  <c r="DI18" i="4" s="1"/>
  <c r="DH13" i="4"/>
  <c r="DH18" i="4" s="1"/>
  <c r="DG13" i="4"/>
  <c r="DG18" i="4" s="1"/>
  <c r="DF13" i="4"/>
  <c r="DF18" i="4" s="1"/>
  <c r="DE13" i="4"/>
  <c r="DE18" i="4" s="1"/>
  <c r="DD13" i="4"/>
  <c r="DD18" i="4" s="1"/>
  <c r="DC13" i="4"/>
  <c r="DC18" i="4" s="1"/>
  <c r="DB13" i="4"/>
  <c r="DB18" i="4" s="1"/>
  <c r="DA13" i="4"/>
  <c r="DA18" i="4" s="1"/>
  <c r="CZ13" i="4"/>
  <c r="CZ18" i="4" s="1"/>
  <c r="CY13" i="4"/>
  <c r="CY18" i="4" s="1"/>
  <c r="CX13" i="4"/>
  <c r="CX18" i="4" s="1"/>
  <c r="CW13" i="4"/>
  <c r="CW18" i="4" s="1"/>
  <c r="CV13" i="4"/>
  <c r="CV18" i="4" s="1"/>
  <c r="CU13" i="4"/>
  <c r="CU18" i="4" s="1"/>
  <c r="CT13" i="4"/>
  <c r="CR13" i="4"/>
  <c r="CR18" i="4" s="1"/>
  <c r="CQ13" i="4"/>
  <c r="CQ18" i="4" s="1"/>
  <c r="CP13" i="4"/>
  <c r="CP18" i="4" s="1"/>
  <c r="CO13" i="4"/>
  <c r="CO18" i="4" s="1"/>
  <c r="CN13" i="4"/>
  <c r="CN18" i="4" s="1"/>
  <c r="CM13" i="4"/>
  <c r="CM18" i="4" s="1"/>
  <c r="CL13" i="4"/>
  <c r="CL18" i="4" s="1"/>
  <c r="CK13" i="4"/>
  <c r="CK18" i="4" s="1"/>
  <c r="CJ13" i="4"/>
  <c r="CJ18" i="4" s="1"/>
  <c r="CI13" i="4"/>
  <c r="CI18" i="4" s="1"/>
  <c r="CH13" i="4"/>
  <c r="CH18" i="4" s="1"/>
  <c r="CG13" i="4"/>
  <c r="CG18" i="4" s="1"/>
  <c r="CF13" i="4"/>
  <c r="CF18" i="4" s="1"/>
  <c r="CE13" i="4"/>
  <c r="CE18" i="4" s="1"/>
  <c r="CD13" i="4"/>
  <c r="CD18" i="4" s="1"/>
  <c r="CC13" i="4"/>
  <c r="CC18" i="4" s="1"/>
  <c r="CB13" i="4"/>
  <c r="CB18" i="4" s="1"/>
  <c r="CA13" i="4"/>
  <c r="CA18" i="4" s="1"/>
  <c r="BZ13" i="4"/>
  <c r="BZ18" i="4" s="1"/>
  <c r="BY13" i="4"/>
  <c r="BY18" i="4" s="1"/>
  <c r="BX13" i="4"/>
  <c r="BX18" i="4" s="1"/>
  <c r="BW13" i="4"/>
  <c r="BW18" i="4" s="1"/>
  <c r="BV13" i="4"/>
  <c r="BV18" i="4" s="1"/>
  <c r="BU13" i="4"/>
  <c r="BU18" i="4" s="1"/>
  <c r="BT13" i="4"/>
  <c r="BT18" i="4" s="1"/>
  <c r="BS13" i="4"/>
  <c r="BS18" i="4" s="1"/>
  <c r="BR13" i="4"/>
  <c r="BR18" i="4" s="1"/>
  <c r="BQ13" i="4"/>
  <c r="BQ18" i="4" s="1"/>
  <c r="BP13" i="4"/>
  <c r="BP18" i="4" s="1"/>
  <c r="BO13" i="4"/>
  <c r="BO18" i="4" s="1"/>
  <c r="BN13" i="4"/>
  <c r="BL13" i="4"/>
  <c r="BL18" i="4" s="1"/>
  <c r="BK13" i="4"/>
  <c r="BK18" i="4" s="1"/>
  <c r="BJ13" i="4"/>
  <c r="BJ18" i="4" s="1"/>
  <c r="BI13" i="4"/>
  <c r="BI18" i="4" s="1"/>
  <c r="BH13" i="4"/>
  <c r="BH18" i="4" s="1"/>
  <c r="BG13" i="4"/>
  <c r="BG18" i="4" s="1"/>
  <c r="BF13" i="4"/>
  <c r="BF18" i="4" s="1"/>
  <c r="BE13" i="4"/>
  <c r="BE18" i="4" s="1"/>
  <c r="BD13" i="4"/>
  <c r="BD18" i="4" s="1"/>
  <c r="BC13" i="4"/>
  <c r="BC18" i="4" s="1"/>
  <c r="BB13" i="4"/>
  <c r="BB18" i="4" s="1"/>
  <c r="BA13" i="4"/>
  <c r="BA18" i="4" s="1"/>
  <c r="AZ13" i="4"/>
  <c r="AZ18" i="4" s="1"/>
  <c r="AY13" i="4"/>
  <c r="AY18" i="4" s="1"/>
  <c r="AX13" i="4"/>
  <c r="AX18" i="4" s="1"/>
  <c r="AW13" i="4"/>
  <c r="AV13" i="4"/>
  <c r="AV18" i="4" s="1"/>
  <c r="AU13" i="4"/>
  <c r="AU18" i="4" s="1"/>
  <c r="AT13" i="4"/>
  <c r="AT18" i="4" s="1"/>
  <c r="AS13" i="4"/>
  <c r="AS18" i="4" s="1"/>
  <c r="AR13" i="4"/>
  <c r="AR18" i="4" s="1"/>
  <c r="AQ13" i="4"/>
  <c r="AQ18" i="4" s="1"/>
  <c r="AP13" i="4"/>
  <c r="AP18" i="4" s="1"/>
  <c r="AO13" i="4"/>
  <c r="AO18" i="4" s="1"/>
  <c r="AN13" i="4"/>
  <c r="AN18" i="4" s="1"/>
  <c r="AM13" i="4"/>
  <c r="AM18" i="4" s="1"/>
  <c r="AL13" i="4"/>
  <c r="AL18" i="4" s="1"/>
  <c r="AK13" i="4"/>
  <c r="AK18" i="4" s="1"/>
  <c r="AJ13" i="4"/>
  <c r="AJ18" i="4" s="1"/>
  <c r="AI13" i="4"/>
  <c r="AG13" i="4"/>
  <c r="AG18" i="4" s="1"/>
  <c r="AF13" i="4"/>
  <c r="AF18" i="4" s="1"/>
  <c r="AE13" i="4"/>
  <c r="AE18" i="4" s="1"/>
  <c r="AD13" i="4"/>
  <c r="AD18" i="4" s="1"/>
  <c r="AC13" i="4"/>
  <c r="AC18" i="4" s="1"/>
  <c r="AB13" i="4"/>
  <c r="AB18" i="4" s="1"/>
  <c r="AA13" i="4"/>
  <c r="AA18" i="4" s="1"/>
  <c r="Z13" i="4"/>
  <c r="Z18" i="4" s="1"/>
  <c r="Y13" i="4"/>
  <c r="Y18" i="4" s="1"/>
  <c r="X13" i="4"/>
  <c r="X18" i="4" s="1"/>
  <c r="W13" i="4"/>
  <c r="W18" i="4" s="1"/>
  <c r="V13" i="4"/>
  <c r="V18" i="4" s="1"/>
  <c r="U13" i="4"/>
  <c r="T13" i="4"/>
  <c r="T18" i="4" s="1"/>
  <c r="S13" i="4"/>
  <c r="S18" i="4" s="1"/>
  <c r="R13" i="4"/>
  <c r="R18" i="4" s="1"/>
  <c r="Q13" i="4"/>
  <c r="Q18" i="4" s="1"/>
  <c r="P13" i="4"/>
  <c r="P18" i="4" s="1"/>
  <c r="O13" i="4"/>
  <c r="O18" i="4" s="1"/>
  <c r="N13" i="4"/>
  <c r="N18" i="4" s="1"/>
  <c r="M13" i="4"/>
  <c r="M18" i="4" s="1"/>
  <c r="L13" i="4"/>
  <c r="L18" i="4" s="1"/>
  <c r="K13" i="4"/>
  <c r="K18" i="4" s="1"/>
  <c r="J13" i="4"/>
  <c r="J18" i="4" s="1"/>
  <c r="I13" i="4"/>
  <c r="I18" i="4" s="1"/>
  <c r="H13" i="4"/>
  <c r="H18" i="4" s="1"/>
  <c r="G13" i="4"/>
  <c r="G18" i="4" s="1"/>
  <c r="F13" i="4"/>
  <c r="F18" i="4" s="1"/>
  <c r="E13" i="4"/>
  <c r="E18" i="4" s="1"/>
  <c r="D13" i="4"/>
  <c r="D18" i="4" s="1"/>
  <c r="C13" i="4"/>
  <c r="AMY10" i="4"/>
  <c r="ALT10" i="4"/>
  <c r="AKN10" i="4"/>
  <c r="AJK10" i="4"/>
  <c r="AIE10" i="4"/>
  <c r="AGY10" i="4"/>
  <c r="AFT10" i="4"/>
  <c r="AEN10" i="4"/>
  <c r="ADI10" i="4"/>
  <c r="ACC10" i="4"/>
  <c r="AAW10" i="4"/>
  <c r="ZR10" i="4"/>
  <c r="YL10" i="4"/>
  <c r="XG10" i="4"/>
  <c r="UX10" i="4"/>
  <c r="WA10" i="4" s="1"/>
  <c r="TR10" i="4"/>
  <c r="SL10" i="4"/>
  <c r="RG10" i="4"/>
  <c r="QA10" i="4"/>
  <c r="OV10" i="4"/>
  <c r="NP10" i="4"/>
  <c r="MJ10" i="4"/>
  <c r="LE10" i="4"/>
  <c r="JY10" i="4"/>
  <c r="IT10" i="4"/>
  <c r="CS10" i="4"/>
  <c r="AMY8" i="4"/>
  <c r="ALT8" i="4"/>
  <c r="AKN8" i="4"/>
  <c r="IT8" i="4"/>
  <c r="CS8" i="4"/>
  <c r="BM8" i="4"/>
  <c r="I8" i="4"/>
  <c r="G8" i="4"/>
  <c r="D8" i="4"/>
  <c r="QB7" i="4"/>
  <c r="AMY5" i="4"/>
  <c r="ALT5" i="4"/>
  <c r="AKN5" i="4"/>
  <c r="CS5" i="4"/>
  <c r="BM5" i="4"/>
  <c r="I5" i="4"/>
  <c r="G5" i="4"/>
  <c r="D5" i="4"/>
  <c r="RG3" i="4"/>
  <c r="KA3" i="4"/>
  <c r="KB3" i="4" s="1"/>
  <c r="KC3" i="4" s="1"/>
  <c r="KD3" i="4" s="1"/>
  <c r="KE3" i="4" s="1"/>
  <c r="KF3" i="4" s="1"/>
  <c r="KG3" i="4" s="1"/>
  <c r="KH3" i="4" s="1"/>
  <c r="KI3" i="4" s="1"/>
  <c r="KJ3" i="4" s="1"/>
  <c r="KK3" i="4" s="1"/>
  <c r="KL3" i="4" s="1"/>
  <c r="KM3" i="4" s="1"/>
  <c r="KN3" i="4" s="1"/>
  <c r="KO3" i="4" s="1"/>
  <c r="KP3" i="4" s="1"/>
  <c r="KQ3" i="4" s="1"/>
  <c r="KR3" i="4" s="1"/>
  <c r="KS3" i="4" s="1"/>
  <c r="KT3" i="4" s="1"/>
  <c r="KU3" i="4" s="1"/>
  <c r="KV3" i="4" s="1"/>
  <c r="KW3" i="4" s="1"/>
  <c r="KX3" i="4" s="1"/>
  <c r="KY3" i="4" s="1"/>
  <c r="KZ3" i="4" s="1"/>
  <c r="LA3" i="4" s="1"/>
  <c r="LB3" i="4" s="1"/>
  <c r="LC3" i="4" s="1"/>
  <c r="LD3" i="4" s="1"/>
  <c r="IV3" i="4"/>
  <c r="IW3" i="4" s="1"/>
  <c r="IX3" i="4" s="1"/>
  <c r="IY3" i="4" s="1"/>
  <c r="IZ3" i="4" s="1"/>
  <c r="JA3" i="4" s="1"/>
  <c r="JB3" i="4" s="1"/>
  <c r="JC3" i="4" s="1"/>
  <c r="JD3" i="4" s="1"/>
  <c r="JE3" i="4" s="1"/>
  <c r="JF3" i="4" s="1"/>
  <c r="JG3" i="4" s="1"/>
  <c r="JH3" i="4" s="1"/>
  <c r="JI3" i="4" s="1"/>
  <c r="JJ3" i="4" s="1"/>
  <c r="JK3" i="4" s="1"/>
  <c r="JL3" i="4" s="1"/>
  <c r="JM3" i="4" s="1"/>
  <c r="JN3" i="4" s="1"/>
  <c r="JO3" i="4" s="1"/>
  <c r="JP3" i="4" s="1"/>
  <c r="JQ3" i="4" s="1"/>
  <c r="JR3" i="4" s="1"/>
  <c r="JS3" i="4" s="1"/>
  <c r="JT3" i="4" s="1"/>
  <c r="JU3" i="4" s="1"/>
  <c r="JV3" i="4" s="1"/>
  <c r="JW3" i="4" s="1"/>
  <c r="JX3" i="4" s="1"/>
  <c r="HP3" i="4"/>
  <c r="HQ3" i="4" s="1"/>
  <c r="HR3" i="4" s="1"/>
  <c r="HS3" i="4" s="1"/>
  <c r="HT3" i="4" s="1"/>
  <c r="HU3" i="4" s="1"/>
  <c r="HV3" i="4" s="1"/>
  <c r="HW3" i="4" s="1"/>
  <c r="HX3" i="4" s="1"/>
  <c r="HY3" i="4" s="1"/>
  <c r="HZ3" i="4" s="1"/>
  <c r="IA3" i="4" s="1"/>
  <c r="IB3" i="4" s="1"/>
  <c r="IC3" i="4" s="1"/>
  <c r="ID3" i="4" s="1"/>
  <c r="IE3" i="4" s="1"/>
  <c r="IF3" i="4" s="1"/>
  <c r="IG3" i="4" s="1"/>
  <c r="IH3" i="4" s="1"/>
  <c r="II3" i="4" s="1"/>
  <c r="IJ3" i="4" s="1"/>
  <c r="IK3" i="4" s="1"/>
  <c r="IL3" i="4" s="1"/>
  <c r="IM3" i="4" s="1"/>
  <c r="IN3" i="4" s="1"/>
  <c r="IO3" i="4" s="1"/>
  <c r="IP3" i="4" s="1"/>
  <c r="IQ3" i="4" s="1"/>
  <c r="IR3" i="4" s="1"/>
  <c r="IS3" i="4" s="1"/>
  <c r="DZ3" i="4"/>
  <c r="EA3" i="4" s="1"/>
  <c r="EB3" i="4" s="1"/>
  <c r="EC3" i="4" s="1"/>
  <c r="ED3" i="4" s="1"/>
  <c r="EE3" i="4" s="1"/>
  <c r="EF3" i="4" s="1"/>
  <c r="EG3" i="4" s="1"/>
  <c r="EH3" i="4" s="1"/>
  <c r="EI3" i="4" s="1"/>
  <c r="EJ3" i="4" s="1"/>
  <c r="EK3" i="4" s="1"/>
  <c r="EL3" i="4" s="1"/>
  <c r="EM3" i="4" s="1"/>
  <c r="EN3" i="4" s="1"/>
  <c r="EO3" i="4" s="1"/>
  <c r="EP3" i="4" s="1"/>
  <c r="EQ3" i="4" s="1"/>
  <c r="ER3" i="4" s="1"/>
  <c r="ES3" i="4" s="1"/>
  <c r="ET3" i="4" s="1"/>
  <c r="EU3" i="4" s="1"/>
  <c r="EV3" i="4" s="1"/>
  <c r="EW3" i="4" s="1"/>
  <c r="EX3" i="4" s="1"/>
  <c r="EY3" i="4" s="1"/>
  <c r="EZ3" i="4" s="1"/>
  <c r="FA3" i="4" s="1"/>
  <c r="FB3" i="4" s="1"/>
  <c r="FC3" i="4" s="1"/>
  <c r="FE3" i="4" s="1"/>
  <c r="FF3" i="4" s="1"/>
  <c r="FG3" i="4" s="1"/>
  <c r="FH3" i="4" s="1"/>
  <c r="FI3" i="4" s="1"/>
  <c r="FJ3" i="4" s="1"/>
  <c r="FK3" i="4" s="1"/>
  <c r="FL3" i="4" s="1"/>
  <c r="FM3" i="4" s="1"/>
  <c r="FN3" i="4" s="1"/>
  <c r="FO3" i="4" s="1"/>
  <c r="FP3" i="4" s="1"/>
  <c r="FQ3" i="4" s="1"/>
  <c r="FR3" i="4" s="1"/>
  <c r="FS3" i="4" s="1"/>
  <c r="FT3" i="4" s="1"/>
  <c r="FU3" i="4" s="1"/>
  <c r="FV3" i="4" s="1"/>
  <c r="FW3" i="4" s="1"/>
  <c r="FX3" i="4" s="1"/>
  <c r="FY3" i="4" s="1"/>
  <c r="FZ3" i="4" s="1"/>
  <c r="GA3" i="4" s="1"/>
  <c r="GB3" i="4" s="1"/>
  <c r="GC3" i="4" s="1"/>
  <c r="GD3" i="4" s="1"/>
  <c r="GE3" i="4" s="1"/>
  <c r="GF3" i="4" s="1"/>
  <c r="GG3" i="4" s="1"/>
  <c r="GH3" i="4" s="1"/>
  <c r="GI3" i="4" s="1"/>
  <c r="GK3" i="4" s="1"/>
  <c r="GL3" i="4" s="1"/>
  <c r="GM3" i="4" s="1"/>
  <c r="GN3" i="4" s="1"/>
  <c r="GO3" i="4" s="1"/>
  <c r="GP3" i="4" s="1"/>
  <c r="GQ3" i="4" s="1"/>
  <c r="GR3" i="4" s="1"/>
  <c r="GS3" i="4" s="1"/>
  <c r="GT3" i="4" s="1"/>
  <c r="GU3" i="4" s="1"/>
  <c r="GV3" i="4" s="1"/>
  <c r="GW3" i="4" s="1"/>
  <c r="GX3" i="4" s="1"/>
  <c r="GY3" i="4" s="1"/>
  <c r="GZ3" i="4" s="1"/>
  <c r="HA3" i="4" s="1"/>
  <c r="HB3" i="4" s="1"/>
  <c r="HC3" i="4" s="1"/>
  <c r="HD3" i="4" s="1"/>
  <c r="HE3" i="4" s="1"/>
  <c r="HF3" i="4" s="1"/>
  <c r="HG3" i="4" s="1"/>
  <c r="HH3" i="4" s="1"/>
  <c r="HI3" i="4" s="1"/>
  <c r="HJ3" i="4" s="1"/>
  <c r="HK3" i="4" s="1"/>
  <c r="HL3" i="4" s="1"/>
  <c r="HM3" i="4" s="1"/>
  <c r="BN3" i="4"/>
  <c r="CR3" i="4" s="1"/>
  <c r="DW3" i="4" s="1"/>
  <c r="AJ3" i="4"/>
  <c r="EG48" i="2"/>
  <c r="BP39" i="2"/>
  <c r="HR36" i="2"/>
  <c r="CK33" i="2"/>
  <c r="CK26" i="4" s="1"/>
  <c r="AOD32" i="2"/>
  <c r="AOC26" i="4" s="1"/>
  <c r="AOC32" i="2"/>
  <c r="AOB26" i="4" s="1"/>
  <c r="AOB32" i="2"/>
  <c r="AOA26" i="4" s="1"/>
  <c r="AOA32" i="2"/>
  <c r="ANZ26" i="4" s="1"/>
  <c r="ANZ32" i="2"/>
  <c r="ANY26" i="4" s="1"/>
  <c r="ANY32" i="2"/>
  <c r="ANX26" i="4" s="1"/>
  <c r="ANX32" i="2"/>
  <c r="ANW26" i="4" s="1"/>
  <c r="ANV32" i="2"/>
  <c r="ANU26" i="4" s="1"/>
  <c r="ANU32" i="2"/>
  <c r="ANT26" i="4" s="1"/>
  <c r="ANS32" i="2"/>
  <c r="ANR26" i="4" s="1"/>
  <c r="ANR32" i="2"/>
  <c r="ANQ26" i="4" s="1"/>
  <c r="ANQ32" i="2"/>
  <c r="ANP26" i="4" s="1"/>
  <c r="ANP32" i="2"/>
  <c r="ANO26" i="4" s="1"/>
  <c r="ANN32" i="2"/>
  <c r="ANM26" i="4" s="1"/>
  <c r="ANM32" i="2"/>
  <c r="ANL26" i="4" s="1"/>
  <c r="ANL32" i="2"/>
  <c r="ANK26" i="4" s="1"/>
  <c r="ANK32" i="2"/>
  <c r="ANJ26" i="4" s="1"/>
  <c r="ANJ32" i="2"/>
  <c r="ANI26" i="4" s="1"/>
  <c r="ANI32" i="2"/>
  <c r="ANH26" i="4" s="1"/>
  <c r="ANH32" i="2"/>
  <c r="ANG26" i="4" s="1"/>
  <c r="ANG32" i="2"/>
  <c r="ANF26" i="4" s="1"/>
  <c r="ANF32" i="2"/>
  <c r="ANE26" i="4" s="1"/>
  <c r="ANE32" i="2"/>
  <c r="AND26" i="4" s="1"/>
  <c r="AND32" i="2"/>
  <c r="ANC26" i="4" s="1"/>
  <c r="ANC32" i="2"/>
  <c r="ANB26" i="4" s="1"/>
  <c r="ANB32" i="2"/>
  <c r="ANA26" i="4" s="1"/>
  <c r="ANA32" i="2"/>
  <c r="AMZ26" i="4" s="1"/>
  <c r="AMY32" i="2"/>
  <c r="AMX26" i="4" s="1"/>
  <c r="AMX32" i="2"/>
  <c r="AMW26" i="4" s="1"/>
  <c r="AMW32" i="2"/>
  <c r="AMV26" i="4" s="1"/>
  <c r="AMV32" i="2"/>
  <c r="AMU26" i="4" s="1"/>
  <c r="AMU32" i="2"/>
  <c r="AMT26" i="4" s="1"/>
  <c r="AMT32" i="2"/>
  <c r="AMS26" i="4" s="1"/>
  <c r="AMS32" i="2"/>
  <c r="AMR26" i="4" s="1"/>
  <c r="AMR32" i="2"/>
  <c r="AMQ26" i="4" s="1"/>
  <c r="AMQ32" i="2"/>
  <c r="AMP26" i="4" s="1"/>
  <c r="AMP32" i="2"/>
  <c r="AMO26" i="4" s="1"/>
  <c r="AMO32" i="2"/>
  <c r="AMN26" i="4" s="1"/>
  <c r="AMN32" i="2"/>
  <c r="AMM26" i="4" s="1"/>
  <c r="AMM32" i="2"/>
  <c r="AML26" i="4" s="1"/>
  <c r="AML32" i="2"/>
  <c r="AMK26" i="4" s="1"/>
  <c r="AMK32" i="2"/>
  <c r="AMJ26" i="4" s="1"/>
  <c r="AMJ32" i="2"/>
  <c r="AMI26" i="4" s="1"/>
  <c r="AMI32" i="2"/>
  <c r="AMH26" i="4" s="1"/>
  <c r="AMH32" i="2"/>
  <c r="AMG26" i="4" s="1"/>
  <c r="AMG32" i="2"/>
  <c r="AMF26" i="4" s="1"/>
  <c r="AMF32" i="2"/>
  <c r="AME26" i="4" s="1"/>
  <c r="AME32" i="2"/>
  <c r="AMD26" i="4" s="1"/>
  <c r="AMD32" i="2"/>
  <c r="AMC26" i="4" s="1"/>
  <c r="AMC32" i="2"/>
  <c r="AMB26" i="4" s="1"/>
  <c r="AMB32" i="2"/>
  <c r="AMA26" i="4" s="1"/>
  <c r="AMA32" i="2"/>
  <c r="ALZ26" i="4" s="1"/>
  <c r="ALZ32" i="2"/>
  <c r="ALY26" i="4" s="1"/>
  <c r="ALY32" i="2"/>
  <c r="ALX26" i="4" s="1"/>
  <c r="ALX32" i="2"/>
  <c r="ALW26" i="4" s="1"/>
  <c r="ALW32" i="2"/>
  <c r="ALV26" i="4" s="1"/>
  <c r="ALV32" i="2"/>
  <c r="ALT32" i="2"/>
  <c r="ALS26" i="4" s="1"/>
  <c r="ALS32" i="2"/>
  <c r="ALR26" i="4" s="1"/>
  <c r="ALR32" i="2"/>
  <c r="ALQ26" i="4" s="1"/>
  <c r="ALQ32" i="2"/>
  <c r="ALP26" i="4" s="1"/>
  <c r="ALP32" i="2"/>
  <c r="ALO26" i="4" s="1"/>
  <c r="ALO32" i="2"/>
  <c r="ALN26" i="4" s="1"/>
  <c r="ALN32" i="2"/>
  <c r="ALM26" i="4" s="1"/>
  <c r="ALM32" i="2"/>
  <c r="ALL26" i="4" s="1"/>
  <c r="ALL32" i="2"/>
  <c r="ALK26" i="4" s="1"/>
  <c r="ALK32" i="2"/>
  <c r="ALJ26" i="4" s="1"/>
  <c r="ALJ32" i="2"/>
  <c r="ALI26" i="4" s="1"/>
  <c r="ALI32" i="2"/>
  <c r="ALH26" i="4" s="1"/>
  <c r="ALH32" i="2"/>
  <c r="ALG26" i="4" s="1"/>
  <c r="ALG32" i="2"/>
  <c r="ALF26" i="4" s="1"/>
  <c r="ALF32" i="2"/>
  <c r="ALE26" i="4" s="1"/>
  <c r="ALE32" i="2"/>
  <c r="ALD26" i="4" s="1"/>
  <c r="ALB32" i="2"/>
  <c r="ALA26" i="4" s="1"/>
  <c r="ALA32" i="2"/>
  <c r="AKZ26" i="4" s="1"/>
  <c r="AKZ32" i="2"/>
  <c r="AKY26" i="4" s="1"/>
  <c r="AKY32" i="2"/>
  <c r="AKX26" i="4" s="1"/>
  <c r="AKX32" i="2"/>
  <c r="AKW26" i="4" s="1"/>
  <c r="AKW32" i="2"/>
  <c r="AKV26" i="4" s="1"/>
  <c r="AKV32" i="2"/>
  <c r="AKU26" i="4" s="1"/>
  <c r="AKU32" i="2"/>
  <c r="AKT26" i="4" s="1"/>
  <c r="AKT32" i="2"/>
  <c r="AKS26" i="4" s="1"/>
  <c r="AKS32" i="2"/>
  <c r="AKR32" i="2"/>
  <c r="AKQ26" i="4" s="1"/>
  <c r="AKQ32" i="2"/>
  <c r="AKP26" i="4" s="1"/>
  <c r="AKP32" i="2"/>
  <c r="AKO26" i="4" s="1"/>
  <c r="AKN32" i="2"/>
  <c r="AKM26" i="4" s="1"/>
  <c r="AKM32" i="2"/>
  <c r="AKL26" i="4" s="1"/>
  <c r="AKL32" i="2"/>
  <c r="AKK26" i="4" s="1"/>
  <c r="AKK32" i="2"/>
  <c r="AKJ26" i="4" s="1"/>
  <c r="AKJ32" i="2"/>
  <c r="AKI26" i="4" s="1"/>
  <c r="AKI32" i="2"/>
  <c r="AKH26" i="4" s="1"/>
  <c r="AKH32" i="2"/>
  <c r="AKG26" i="4" s="1"/>
  <c r="AKG32" i="2"/>
  <c r="AKF26" i="4" s="1"/>
  <c r="AKF32" i="2"/>
  <c r="AKE26" i="4" s="1"/>
  <c r="AKE32" i="2"/>
  <c r="AKD26" i="4" s="1"/>
  <c r="AKD32" i="2"/>
  <c r="AKC26" i="4" s="1"/>
  <c r="AKC32" i="2"/>
  <c r="AKB26" i="4" s="1"/>
  <c r="AKB32" i="2"/>
  <c r="AKA26" i="4" s="1"/>
  <c r="AKA32" i="2"/>
  <c r="AJZ26" i="4" s="1"/>
  <c r="AJZ32" i="2"/>
  <c r="AJY26" i="4" s="1"/>
  <c r="AJY32" i="2"/>
  <c r="AJX26" i="4" s="1"/>
  <c r="AJX32" i="2"/>
  <c r="AJW26" i="4" s="1"/>
  <c r="AJW32" i="2"/>
  <c r="AJV26" i="4" s="1"/>
  <c r="AJV32" i="2"/>
  <c r="AJU26" i="4" s="1"/>
  <c r="AJU32" i="2"/>
  <c r="AJT26" i="4" s="1"/>
  <c r="AJT32" i="2"/>
  <c r="AJS26" i="4" s="1"/>
  <c r="AJS32" i="2"/>
  <c r="AJR26" i="4" s="1"/>
  <c r="AJR32" i="2"/>
  <c r="AJQ26" i="4" s="1"/>
  <c r="AJQ32" i="2"/>
  <c r="AJP26" i="4" s="1"/>
  <c r="AJP32" i="2"/>
  <c r="AJO26" i="4" s="1"/>
  <c r="AJO32" i="2"/>
  <c r="AJN26" i="4" s="1"/>
  <c r="AJN32" i="2"/>
  <c r="AJM26" i="4" s="1"/>
  <c r="AJM32" i="2"/>
  <c r="AJK32" i="2"/>
  <c r="AJJ26" i="4" s="1"/>
  <c r="AJJ32" i="2"/>
  <c r="AJI26" i="4" s="1"/>
  <c r="AJI32" i="2"/>
  <c r="AJH26" i="4" s="1"/>
  <c r="AJH32" i="2"/>
  <c r="AJG26" i="4" s="1"/>
  <c r="AJG32" i="2"/>
  <c r="AJF26" i="4" s="1"/>
  <c r="AJF32" i="2"/>
  <c r="AJE26" i="4" s="1"/>
  <c r="AJE32" i="2"/>
  <c r="AJD26" i="4" s="1"/>
  <c r="AJD32" i="2"/>
  <c r="AJC26" i="4" s="1"/>
  <c r="AJC32" i="2"/>
  <c r="AJB26" i="4" s="1"/>
  <c r="AJB32" i="2"/>
  <c r="AJA26" i="4" s="1"/>
  <c r="AJA32" i="2"/>
  <c r="AIZ26" i="4" s="1"/>
  <c r="AIZ32" i="2"/>
  <c r="AIY26" i="4" s="1"/>
  <c r="AIY32" i="2"/>
  <c r="AIX26" i="4" s="1"/>
  <c r="AIX32" i="2"/>
  <c r="AIW26" i="4" s="1"/>
  <c r="AIW32" i="2"/>
  <c r="AIV26" i="4" s="1"/>
  <c r="AIV32" i="2"/>
  <c r="AIU26" i="4" s="1"/>
  <c r="AIU32" i="2"/>
  <c r="AIT26" i="4" s="1"/>
  <c r="AIT32" i="2"/>
  <c r="AIS26" i="4" s="1"/>
  <c r="AIS32" i="2"/>
  <c r="AIR26" i="4" s="1"/>
  <c r="AIR32" i="2"/>
  <c r="AIQ26" i="4" s="1"/>
  <c r="AIQ32" i="2"/>
  <c r="AIP26" i="4" s="1"/>
  <c r="AIP32" i="2"/>
  <c r="AIO26" i="4" s="1"/>
  <c r="AIO32" i="2"/>
  <c r="AIN26" i="4" s="1"/>
  <c r="AIN32" i="2"/>
  <c r="AIM26" i="4" s="1"/>
  <c r="AIM32" i="2"/>
  <c r="AIL26" i="4" s="1"/>
  <c r="AIL32" i="2"/>
  <c r="AIK26" i="4" s="1"/>
  <c r="AIK32" i="2"/>
  <c r="AIJ26" i="4" s="1"/>
  <c r="AIJ32" i="2"/>
  <c r="AII26" i="4" s="1"/>
  <c r="AII32" i="2"/>
  <c r="AIH26" i="4" s="1"/>
  <c r="AIH32" i="2"/>
  <c r="AIG26" i="4" s="1"/>
  <c r="AJK26" i="4" s="1"/>
  <c r="AIG32" i="2"/>
  <c r="AIF26" i="4" s="1"/>
  <c r="AIE32" i="2"/>
  <c r="AID26" i="4" s="1"/>
  <c r="AID32" i="2"/>
  <c r="AIC26" i="4" s="1"/>
  <c r="AIC32" i="2"/>
  <c r="AIB26" i="4" s="1"/>
  <c r="AIB32" i="2"/>
  <c r="AIA26" i="4" s="1"/>
  <c r="AIA32" i="2"/>
  <c r="AHZ26" i="4" s="1"/>
  <c r="AHZ32" i="2"/>
  <c r="AHY26" i="4" s="1"/>
  <c r="AHY32" i="2"/>
  <c r="AHX26" i="4" s="1"/>
  <c r="AHX32" i="2"/>
  <c r="AHW26" i="4" s="1"/>
  <c r="AHW32" i="2"/>
  <c r="AHV26" i="4" s="1"/>
  <c r="AHV32" i="2"/>
  <c r="AHU26" i="4" s="1"/>
  <c r="AHU32" i="2"/>
  <c r="AHT26" i="4" s="1"/>
  <c r="AHS32" i="2"/>
  <c r="AHR26" i="4" s="1"/>
  <c r="AHR32" i="2"/>
  <c r="AHQ26" i="4" s="1"/>
  <c r="AHQ32" i="2"/>
  <c r="AHP26" i="4" s="1"/>
  <c r="AHP32" i="2"/>
  <c r="AHO26" i="4" s="1"/>
  <c r="AHO32" i="2"/>
  <c r="AHN26" i="4" s="1"/>
  <c r="AHN32" i="2"/>
  <c r="AHM26" i="4" s="1"/>
  <c r="AHM32" i="2"/>
  <c r="AHL26" i="4" s="1"/>
  <c r="AHL32" i="2"/>
  <c r="AHK26" i="4" s="1"/>
  <c r="AHK32" i="2"/>
  <c r="AHJ26" i="4" s="1"/>
  <c r="AHJ32" i="2"/>
  <c r="AHI26" i="4" s="1"/>
  <c r="AHI32" i="2"/>
  <c r="AHH26" i="4" s="1"/>
  <c r="AHH32" i="2"/>
  <c r="AHG26" i="4" s="1"/>
  <c r="AHG32" i="2"/>
  <c r="AHF26" i="4" s="1"/>
  <c r="AHF32" i="2"/>
  <c r="AHE26" i="4" s="1"/>
  <c r="AHE32" i="2"/>
  <c r="AHD26" i="4" s="1"/>
  <c r="AHD32" i="2"/>
  <c r="AHC26" i="4" s="1"/>
  <c r="AHC32" i="2"/>
  <c r="AHB26" i="4" s="1"/>
  <c r="AHB32" i="2"/>
  <c r="AHA26" i="4" s="1"/>
  <c r="AHA32" i="2"/>
  <c r="AGZ26" i="4" s="1"/>
  <c r="AGY32" i="2"/>
  <c r="AGX26" i="4" s="1"/>
  <c r="AGX32" i="2"/>
  <c r="AGW26" i="4" s="1"/>
  <c r="AGW32" i="2"/>
  <c r="AGV26" i="4" s="1"/>
  <c r="AGV32" i="2"/>
  <c r="AGU26" i="4" s="1"/>
  <c r="AGU32" i="2"/>
  <c r="AGT26" i="4" s="1"/>
  <c r="AGT32" i="2"/>
  <c r="AGS26" i="4" s="1"/>
  <c r="AGS32" i="2"/>
  <c r="AGR26" i="4" s="1"/>
  <c r="AGR32" i="2"/>
  <c r="AGQ26" i="4" s="1"/>
  <c r="AGQ32" i="2"/>
  <c r="AGP26" i="4" s="1"/>
  <c r="AGP32" i="2"/>
  <c r="AGO26" i="4" s="1"/>
  <c r="AGO32" i="2"/>
  <c r="AGN26" i="4" s="1"/>
  <c r="AGN32" i="2"/>
  <c r="AGM26" i="4" s="1"/>
  <c r="AGM32" i="2"/>
  <c r="AGL26" i="4" s="1"/>
  <c r="AGL32" i="2"/>
  <c r="AGK26" i="4" s="1"/>
  <c r="AGK32" i="2"/>
  <c r="AGJ26" i="4" s="1"/>
  <c r="AGJ32" i="2"/>
  <c r="AGI26" i="4" s="1"/>
  <c r="AGI32" i="2"/>
  <c r="AGH26" i="4" s="1"/>
  <c r="AGH32" i="2"/>
  <c r="AGG26" i="4" s="1"/>
  <c r="AGG32" i="2"/>
  <c r="AGF26" i="4" s="1"/>
  <c r="AGF32" i="2"/>
  <c r="AGE26" i="4" s="1"/>
  <c r="AGD32" i="2"/>
  <c r="AGC26" i="4" s="1"/>
  <c r="AGC32" i="2"/>
  <c r="AGB26" i="4" s="1"/>
  <c r="AGB32" i="2"/>
  <c r="AGA26" i="4" s="1"/>
  <c r="AGA32" i="2"/>
  <c r="AFZ26" i="4" s="1"/>
  <c r="AFY32" i="2"/>
  <c r="AFX26" i="4" s="1"/>
  <c r="AFX32" i="2"/>
  <c r="AFW26" i="4" s="1"/>
  <c r="AFW32" i="2"/>
  <c r="AFV26" i="4" s="1"/>
  <c r="AFV32" i="2"/>
  <c r="AFU26" i="4" s="1"/>
  <c r="AFT32" i="2"/>
  <c r="AFS26" i="4" s="1"/>
  <c r="AFS32" i="2"/>
  <c r="AFR26" i="4" s="1"/>
  <c r="AFR32" i="2"/>
  <c r="AFQ26" i="4" s="1"/>
  <c r="AFQ32" i="2"/>
  <c r="AFP26" i="4" s="1"/>
  <c r="AFP32" i="2"/>
  <c r="AFO26" i="4" s="1"/>
  <c r="AFO32" i="2"/>
  <c r="AFN26" i="4" s="1"/>
  <c r="AFN32" i="2"/>
  <c r="AFM26" i="4" s="1"/>
  <c r="AFM32" i="2"/>
  <c r="AFL26" i="4" s="1"/>
  <c r="AFL32" i="2"/>
  <c r="AFK26" i="4" s="1"/>
  <c r="AFK32" i="2"/>
  <c r="AFJ26" i="4" s="1"/>
  <c r="AFJ32" i="2"/>
  <c r="AFI26" i="4" s="1"/>
  <c r="AFI32" i="2"/>
  <c r="AFH26" i="4" s="1"/>
  <c r="AFH32" i="2"/>
  <c r="AFG26" i="4" s="1"/>
  <c r="AFG32" i="2"/>
  <c r="AFF26" i="4" s="1"/>
  <c r="AFF32" i="2"/>
  <c r="AFE26" i="4" s="1"/>
  <c r="AFE32" i="2"/>
  <c r="AFD26" i="4" s="1"/>
  <c r="AFD32" i="2"/>
  <c r="AFC26" i="4" s="1"/>
  <c r="AFC32" i="2"/>
  <c r="AFB26" i="4" s="1"/>
  <c r="AFB32" i="2"/>
  <c r="AFA26" i="4" s="1"/>
  <c r="AFA32" i="2"/>
  <c r="AEZ26" i="4" s="1"/>
  <c r="AEZ32" i="2"/>
  <c r="AEY26" i="4" s="1"/>
  <c r="AEY32" i="2"/>
  <c r="AEX26" i="4" s="1"/>
  <c r="AEX32" i="2"/>
  <c r="AEW26" i="4" s="1"/>
  <c r="AEW32" i="2"/>
  <c r="AEV26" i="4" s="1"/>
  <c r="AEV32" i="2"/>
  <c r="AEU26" i="4" s="1"/>
  <c r="AEU32" i="2"/>
  <c r="AET26" i="4" s="1"/>
  <c r="AET32" i="2"/>
  <c r="AES26" i="4" s="1"/>
  <c r="AES32" i="2"/>
  <c r="AER26" i="4" s="1"/>
  <c r="AER32" i="2"/>
  <c r="AEQ26" i="4" s="1"/>
  <c r="AEQ32" i="2"/>
  <c r="AEP26" i="4" s="1"/>
  <c r="AEP32" i="2"/>
  <c r="AEN32" i="2"/>
  <c r="AEM26" i="4" s="1"/>
  <c r="AEM32" i="2"/>
  <c r="AEL26" i="4" s="1"/>
  <c r="AEL32" i="2"/>
  <c r="AEK26" i="4" s="1"/>
  <c r="AEK32" i="2"/>
  <c r="AEJ26" i="4" s="1"/>
  <c r="AEJ32" i="2"/>
  <c r="AEI26" i="4" s="1"/>
  <c r="AEI32" i="2"/>
  <c r="AEH26" i="4" s="1"/>
  <c r="AEH32" i="2"/>
  <c r="AEG26" i="4" s="1"/>
  <c r="AEG32" i="2"/>
  <c r="AEF26" i="4" s="1"/>
  <c r="AEF32" i="2"/>
  <c r="AEE26" i="4" s="1"/>
  <c r="AEE32" i="2"/>
  <c r="AED26" i="4" s="1"/>
  <c r="AED32" i="2"/>
  <c r="AEC26" i="4" s="1"/>
  <c r="AEC32" i="2"/>
  <c r="AEB26" i="4" s="1"/>
  <c r="AEB32" i="2"/>
  <c r="AEA26" i="4" s="1"/>
  <c r="ADZ32" i="2"/>
  <c r="ADY26" i="4" s="1"/>
  <c r="ADY32" i="2"/>
  <c r="ADX26" i="4" s="1"/>
  <c r="ADX32" i="2"/>
  <c r="ADW26" i="4" s="1"/>
  <c r="ADW32" i="2"/>
  <c r="ADV26" i="4" s="1"/>
  <c r="ADV32" i="2"/>
  <c r="ADU26" i="4" s="1"/>
  <c r="ADU32" i="2"/>
  <c r="ADT26" i="4" s="1"/>
  <c r="ADT32" i="2"/>
  <c r="ADS26" i="4" s="1"/>
  <c r="ADS32" i="2"/>
  <c r="ADR26" i="4" s="1"/>
  <c r="ADR32" i="2"/>
  <c r="ADQ26" i="4" s="1"/>
  <c r="ADQ32" i="2"/>
  <c r="ADP26" i="4" s="1"/>
  <c r="ADP32" i="2"/>
  <c r="ADO26" i="4" s="1"/>
  <c r="ADO32" i="2"/>
  <c r="ADN26" i="4" s="1"/>
  <c r="ADN32" i="2"/>
  <c r="ADM26" i="4" s="1"/>
  <c r="ADM32" i="2"/>
  <c r="ADL26" i="4" s="1"/>
  <c r="ADL32" i="2"/>
  <c r="ADK26" i="4" s="1"/>
  <c r="ADK32" i="2"/>
  <c r="ADI32" i="2"/>
  <c r="ADH26" i="4" s="1"/>
  <c r="ADH32" i="2"/>
  <c r="ADG26" i="4" s="1"/>
  <c r="ADG32" i="2"/>
  <c r="ADF26" i="4" s="1"/>
  <c r="ADF32" i="2"/>
  <c r="ADE26" i="4" s="1"/>
  <c r="ADE32" i="2"/>
  <c r="ADD26" i="4" s="1"/>
  <c r="ADD32" i="2"/>
  <c r="ADC26" i="4" s="1"/>
  <c r="ADC32" i="2"/>
  <c r="ADB26" i="4" s="1"/>
  <c r="ADB32" i="2"/>
  <c r="ADA26" i="4" s="1"/>
  <c r="ADA32" i="2"/>
  <c r="ACZ26" i="4" s="1"/>
  <c r="ACZ32" i="2"/>
  <c r="ACY26" i="4" s="1"/>
  <c r="ACY32" i="2"/>
  <c r="ACX26" i="4" s="1"/>
  <c r="ACX32" i="2"/>
  <c r="ACW26" i="4" s="1"/>
  <c r="ACW32" i="2"/>
  <c r="ACV26" i="4" s="1"/>
  <c r="ACV32" i="2"/>
  <c r="ACU26" i="4" s="1"/>
  <c r="ACU32" i="2"/>
  <c r="ACT26" i="4" s="1"/>
  <c r="ACT32" i="2"/>
  <c r="ACS26" i="4" s="1"/>
  <c r="ACS32" i="2"/>
  <c r="ACR26" i="4" s="1"/>
  <c r="ACR32" i="2"/>
  <c r="ACQ26" i="4" s="1"/>
  <c r="ACQ32" i="2"/>
  <c r="ACP26" i="4" s="1"/>
  <c r="ACP32" i="2"/>
  <c r="ACO26" i="4" s="1"/>
  <c r="ACO32" i="2"/>
  <c r="ACN26" i="4" s="1"/>
  <c r="ACN32" i="2"/>
  <c r="ACM26" i="4" s="1"/>
  <c r="ACM32" i="2"/>
  <c r="ACL26" i="4" s="1"/>
  <c r="ACL32" i="2"/>
  <c r="ACK26" i="4" s="1"/>
  <c r="ACK32" i="2"/>
  <c r="ACJ26" i="4" s="1"/>
  <c r="ACJ32" i="2"/>
  <c r="ACI26" i="4" s="1"/>
  <c r="ACI32" i="2"/>
  <c r="ACH26" i="4" s="1"/>
  <c r="ACH32" i="2"/>
  <c r="ACG26" i="4" s="1"/>
  <c r="ACG32" i="2"/>
  <c r="ACF26" i="4" s="1"/>
  <c r="ACF32" i="2"/>
  <c r="ACE26" i="4" s="1"/>
  <c r="ACE32" i="2"/>
  <c r="ACC32" i="2"/>
  <c r="ACB26" i="4" s="1"/>
  <c r="ACB32" i="2"/>
  <c r="ACA26" i="4" s="1"/>
  <c r="ACA32" i="2"/>
  <c r="ABZ26" i="4" s="1"/>
  <c r="ABZ32" i="2"/>
  <c r="ABY26" i="4" s="1"/>
  <c r="ABY32" i="2"/>
  <c r="ABX26" i="4" s="1"/>
  <c r="ABX32" i="2"/>
  <c r="ABW26" i="4" s="1"/>
  <c r="ABW32" i="2"/>
  <c r="ABV26" i="4" s="1"/>
  <c r="ABV32" i="2"/>
  <c r="ABU26" i="4" s="1"/>
  <c r="ABU32" i="2"/>
  <c r="ABT26" i="4" s="1"/>
  <c r="ABT32" i="2"/>
  <c r="ABS26" i="4" s="1"/>
  <c r="ABS32" i="2"/>
  <c r="ABR26" i="4" s="1"/>
  <c r="ABR32" i="2"/>
  <c r="ABQ26" i="4" s="1"/>
  <c r="ABQ32" i="2"/>
  <c r="ABP26" i="4" s="1"/>
  <c r="ABP32" i="2"/>
  <c r="ABO26" i="4" s="1"/>
  <c r="ABN32" i="2"/>
  <c r="ABM26" i="4" s="1"/>
  <c r="ABM32" i="2"/>
  <c r="ABL26" i="4" s="1"/>
  <c r="ABL32" i="2"/>
  <c r="ABK26" i="4" s="1"/>
  <c r="ABK32" i="2"/>
  <c r="ABJ26" i="4" s="1"/>
  <c r="ABJ32" i="2"/>
  <c r="ABI26" i="4" s="1"/>
  <c r="ABI32" i="2"/>
  <c r="ABH26" i="4" s="1"/>
  <c r="ABH32" i="2"/>
  <c r="ABG26" i="4" s="1"/>
  <c r="ABG32" i="2"/>
  <c r="ABF26" i="4" s="1"/>
  <c r="ABF32" i="2"/>
  <c r="ABE26" i="4" s="1"/>
  <c r="ABE32" i="2"/>
  <c r="ABD26" i="4" s="1"/>
  <c r="ABD32" i="2"/>
  <c r="ABC26" i="4" s="1"/>
  <c r="ABC32" i="2"/>
  <c r="ABB26" i="4" s="1"/>
  <c r="ABB32" i="2"/>
  <c r="ABA26" i="4" s="1"/>
  <c r="ABA32" i="2"/>
  <c r="AAZ26" i="4" s="1"/>
  <c r="AAZ32" i="2"/>
  <c r="AAY26" i="4" s="1"/>
  <c r="AAY32" i="2"/>
  <c r="AAX26" i="4" s="1"/>
  <c r="AAW32" i="2"/>
  <c r="AAV26" i="4" s="1"/>
  <c r="AAV32" i="2"/>
  <c r="AAU26" i="4" s="1"/>
  <c r="AAU32" i="2"/>
  <c r="AAT26" i="4" s="1"/>
  <c r="AAT32" i="2"/>
  <c r="AAS26" i="4" s="1"/>
  <c r="AAS32" i="2"/>
  <c r="AAR26" i="4" s="1"/>
  <c r="AAR32" i="2"/>
  <c r="AAQ26" i="4" s="1"/>
  <c r="AAQ32" i="2"/>
  <c r="AAP26" i="4" s="1"/>
  <c r="AAP32" i="2"/>
  <c r="AAO26" i="4" s="1"/>
  <c r="AAO32" i="2"/>
  <c r="AAN26" i="4" s="1"/>
  <c r="AAN32" i="2"/>
  <c r="AAM26" i="4" s="1"/>
  <c r="AAM32" i="2"/>
  <c r="AAL26" i="4" s="1"/>
  <c r="AAK32" i="2"/>
  <c r="AAJ26" i="4" s="1"/>
  <c r="AAJ32" i="2"/>
  <c r="AAI26" i="4" s="1"/>
  <c r="AAI32" i="2"/>
  <c r="AAH26" i="4" s="1"/>
  <c r="AAH32" i="2"/>
  <c r="AAG26" i="4" s="1"/>
  <c r="AAG32" i="2"/>
  <c r="AAF26" i="4" s="1"/>
  <c r="AAF32" i="2"/>
  <c r="AAE26" i="4" s="1"/>
  <c r="AAE32" i="2"/>
  <c r="AAD26" i="4" s="1"/>
  <c r="AAD32" i="2"/>
  <c r="AAC26" i="4" s="1"/>
  <c r="AAC32" i="2"/>
  <c r="AAB26" i="4" s="1"/>
  <c r="AAB32" i="2"/>
  <c r="AAA26" i="4" s="1"/>
  <c r="AAA32" i="2"/>
  <c r="ZZ26" i="4" s="1"/>
  <c r="ZZ32" i="2"/>
  <c r="ZY26" i="4" s="1"/>
  <c r="ZY32" i="2"/>
  <c r="ZX26" i="4" s="1"/>
  <c r="ZX32" i="2"/>
  <c r="ZW26" i="4" s="1"/>
  <c r="ZW32" i="2"/>
  <c r="ZV26" i="4" s="1"/>
  <c r="ZV32" i="2"/>
  <c r="ZU26" i="4" s="1"/>
  <c r="ZU32" i="2"/>
  <c r="ZT26" i="4" s="1"/>
  <c r="ZT32" i="2"/>
  <c r="ZS26" i="4" s="1"/>
  <c r="ZR32" i="2"/>
  <c r="ZQ26" i="4" s="1"/>
  <c r="ZQ32" i="2"/>
  <c r="ZP26" i="4" s="1"/>
  <c r="ZP32" i="2"/>
  <c r="ZO26" i="4" s="1"/>
  <c r="ZO32" i="2"/>
  <c r="ZN26" i="4" s="1"/>
  <c r="ZN32" i="2"/>
  <c r="ZM26" i="4" s="1"/>
  <c r="ZM32" i="2"/>
  <c r="ZL26" i="4" s="1"/>
  <c r="ZL32" i="2"/>
  <c r="ZK26" i="4" s="1"/>
  <c r="ZK32" i="2"/>
  <c r="ZJ26" i="4" s="1"/>
  <c r="ZJ32" i="2"/>
  <c r="ZI26" i="4" s="1"/>
  <c r="ZI32" i="2"/>
  <c r="ZH26" i="4" s="1"/>
  <c r="ZH32" i="2"/>
  <c r="ZG26" i="4" s="1"/>
  <c r="ZG32" i="2"/>
  <c r="ZF26" i="4" s="1"/>
  <c r="ZF32" i="2"/>
  <c r="ZE26" i="4" s="1"/>
  <c r="ZE32" i="2"/>
  <c r="ZD26" i="4" s="1"/>
  <c r="ZD32" i="2"/>
  <c r="ZC26" i="4" s="1"/>
  <c r="ZC32" i="2"/>
  <c r="ZB26" i="4" s="1"/>
  <c r="ZB32" i="2"/>
  <c r="ZA26" i="4" s="1"/>
  <c r="ZA32" i="2"/>
  <c r="YZ26" i="4" s="1"/>
  <c r="YZ32" i="2"/>
  <c r="YY26" i="4" s="1"/>
  <c r="YY32" i="2"/>
  <c r="YX26" i="4" s="1"/>
  <c r="YX32" i="2"/>
  <c r="YW26" i="4" s="1"/>
  <c r="YW32" i="2"/>
  <c r="YV26" i="4" s="1"/>
  <c r="YV32" i="2"/>
  <c r="YU26" i="4" s="1"/>
  <c r="YU32" i="2"/>
  <c r="YT26" i="4" s="1"/>
  <c r="YT32" i="2"/>
  <c r="YS26" i="4" s="1"/>
  <c r="YS32" i="2"/>
  <c r="YR26" i="4" s="1"/>
  <c r="YR32" i="2"/>
  <c r="YQ26" i="4" s="1"/>
  <c r="YQ32" i="2"/>
  <c r="YP26" i="4" s="1"/>
  <c r="YP32" i="2"/>
  <c r="YO26" i="4" s="1"/>
  <c r="YO32" i="2"/>
  <c r="YN26" i="4" s="1"/>
  <c r="YN32" i="2"/>
  <c r="YM26" i="4" s="1"/>
  <c r="ZR26" i="4" s="1"/>
  <c r="YL32" i="2"/>
  <c r="YK26" i="4" s="1"/>
  <c r="YK32" i="2"/>
  <c r="YJ26" i="4" s="1"/>
  <c r="YJ32" i="2"/>
  <c r="YI26" i="4" s="1"/>
  <c r="YI32" i="2"/>
  <c r="YH26" i="4" s="1"/>
  <c r="YH32" i="2"/>
  <c r="YG26" i="4" s="1"/>
  <c r="YG32" i="2"/>
  <c r="YF26" i="4" s="1"/>
  <c r="YF32" i="2"/>
  <c r="YE26" i="4" s="1"/>
  <c r="YE32" i="2"/>
  <c r="YD26" i="4" s="1"/>
  <c r="YD32" i="2"/>
  <c r="YC26" i="4" s="1"/>
  <c r="YC32" i="2"/>
  <c r="YB26" i="4" s="1"/>
  <c r="YB32" i="2"/>
  <c r="YA26" i="4" s="1"/>
  <c r="XZ32" i="2"/>
  <c r="XY26" i="4" s="1"/>
  <c r="XY32" i="2"/>
  <c r="XX26" i="4" s="1"/>
  <c r="XX32" i="2"/>
  <c r="XW26" i="4" s="1"/>
  <c r="XW32" i="2"/>
  <c r="XV26" i="4" s="1"/>
  <c r="XV32" i="2"/>
  <c r="XU26" i="4" s="1"/>
  <c r="XU32" i="2"/>
  <c r="XT26" i="4" s="1"/>
  <c r="XT32" i="2"/>
  <c r="XS26" i="4" s="1"/>
  <c r="XS32" i="2"/>
  <c r="XR26" i="4" s="1"/>
  <c r="XR32" i="2"/>
  <c r="XQ26" i="4" s="1"/>
  <c r="XQ32" i="2"/>
  <c r="XP26" i="4" s="1"/>
  <c r="XP32" i="2"/>
  <c r="XO26" i="4" s="1"/>
  <c r="XO32" i="2"/>
  <c r="XN26" i="4" s="1"/>
  <c r="XN32" i="2"/>
  <c r="XM26" i="4" s="1"/>
  <c r="XM32" i="2"/>
  <c r="XL26" i="4" s="1"/>
  <c r="XL32" i="2"/>
  <c r="XK26" i="4" s="1"/>
  <c r="XK32" i="2"/>
  <c r="XJ26" i="4" s="1"/>
  <c r="XJ32" i="2"/>
  <c r="XI26" i="4" s="1"/>
  <c r="XI32" i="2"/>
  <c r="XH26" i="4" s="1"/>
  <c r="XG32" i="2"/>
  <c r="XF26" i="4" s="1"/>
  <c r="XF32" i="2"/>
  <c r="XE26" i="4" s="1"/>
  <c r="XE32" i="2"/>
  <c r="XD26" i="4" s="1"/>
  <c r="XD32" i="2"/>
  <c r="XC26" i="4" s="1"/>
  <c r="XC32" i="2"/>
  <c r="XB26" i="4" s="1"/>
  <c r="XB32" i="2"/>
  <c r="XA26" i="4" s="1"/>
  <c r="XA32" i="2"/>
  <c r="WZ26" i="4" s="1"/>
  <c r="WZ32" i="2"/>
  <c r="WY26" i="4" s="1"/>
  <c r="WY32" i="2"/>
  <c r="WX26" i="4" s="1"/>
  <c r="WX32" i="2"/>
  <c r="WW26" i="4" s="1"/>
  <c r="WW32" i="2"/>
  <c r="WV26" i="4" s="1"/>
  <c r="WV32" i="2"/>
  <c r="WU26" i="4" s="1"/>
  <c r="WU32" i="2"/>
  <c r="WT26" i="4" s="1"/>
  <c r="WT32" i="2"/>
  <c r="WS26" i="4" s="1"/>
  <c r="WS32" i="2"/>
  <c r="WR26" i="4" s="1"/>
  <c r="WR32" i="2"/>
  <c r="WQ26" i="4" s="1"/>
  <c r="WQ32" i="2"/>
  <c r="WP26" i="4" s="1"/>
  <c r="WP32" i="2"/>
  <c r="WO26" i="4" s="1"/>
  <c r="WO32" i="2"/>
  <c r="WN26" i="4" s="1"/>
  <c r="WN32" i="2"/>
  <c r="WM26" i="4" s="1"/>
  <c r="WM32" i="2"/>
  <c r="WL26" i="4" s="1"/>
  <c r="WL32" i="2"/>
  <c r="WK26" i="4" s="1"/>
  <c r="WK32" i="2"/>
  <c r="WJ26" i="4" s="1"/>
  <c r="WJ32" i="2"/>
  <c r="WI26" i="4" s="1"/>
  <c r="WH32" i="2"/>
  <c r="WG26" i="4" s="1"/>
  <c r="WG32" i="2"/>
  <c r="WF26" i="4" s="1"/>
  <c r="WF32" i="2"/>
  <c r="WE26" i="4" s="1"/>
  <c r="WE32" i="2"/>
  <c r="WD26" i="4" s="1"/>
  <c r="WD32" i="2"/>
  <c r="WC26" i="4" s="1"/>
  <c r="WC32" i="2"/>
  <c r="WB26" i="4" s="1"/>
  <c r="WA32" i="2"/>
  <c r="VZ26" i="4" s="1"/>
  <c r="VZ32" i="2"/>
  <c r="VY26" i="4" s="1"/>
  <c r="VY32" i="2"/>
  <c r="VX26" i="4" s="1"/>
  <c r="VX32" i="2"/>
  <c r="VW26" i="4" s="1"/>
  <c r="VW32" i="2"/>
  <c r="VV26" i="4" s="1"/>
  <c r="VV32" i="2"/>
  <c r="VU26" i="4" s="1"/>
  <c r="VU32" i="2"/>
  <c r="VT26" i="4" s="1"/>
  <c r="VT32" i="2"/>
  <c r="VS26" i="4" s="1"/>
  <c r="VS32" i="2"/>
  <c r="VR26" i="4" s="1"/>
  <c r="VR32" i="2"/>
  <c r="VQ26" i="4" s="1"/>
  <c r="VQ32" i="2"/>
  <c r="VP26" i="4" s="1"/>
  <c r="VP32" i="2"/>
  <c r="VO26" i="4" s="1"/>
  <c r="VO32" i="2"/>
  <c r="VN26" i="4" s="1"/>
  <c r="VN32" i="2"/>
  <c r="VM26" i="4" s="1"/>
  <c r="VM32" i="2"/>
  <c r="VL26" i="4" s="1"/>
  <c r="VL32" i="2"/>
  <c r="VK26" i="4" s="1"/>
  <c r="VK32" i="2"/>
  <c r="VJ26" i="4" s="1"/>
  <c r="VJ32" i="2"/>
  <c r="VI26" i="4" s="1"/>
  <c r="VI32" i="2"/>
  <c r="VH26" i="4" s="1"/>
  <c r="VH32" i="2"/>
  <c r="VG26" i="4" s="1"/>
  <c r="VG32" i="2"/>
  <c r="VF26" i="4" s="1"/>
  <c r="VF32" i="2"/>
  <c r="VE26" i="4" s="1"/>
  <c r="VE32" i="2"/>
  <c r="VD26" i="4" s="1"/>
  <c r="VD32" i="2"/>
  <c r="VC26" i="4" s="1"/>
  <c r="VC32" i="2"/>
  <c r="VB26" i="4" s="1"/>
  <c r="VB32" i="2"/>
  <c r="VA26" i="4" s="1"/>
  <c r="VA32" i="2"/>
  <c r="UZ26" i="4" s="1"/>
  <c r="UZ32" i="2"/>
  <c r="UY26" i="4" s="1"/>
  <c r="WA26" i="4" s="1"/>
  <c r="UX32" i="2"/>
  <c r="UW26" i="4" s="1"/>
  <c r="UW32" i="2"/>
  <c r="UV26" i="4" s="1"/>
  <c r="UV32" i="2"/>
  <c r="UU26" i="4" s="1"/>
  <c r="UU32" i="2"/>
  <c r="UT26" i="4" s="1"/>
  <c r="UT32" i="2"/>
  <c r="US26" i="4" s="1"/>
  <c r="US32" i="2"/>
  <c r="UR26" i="4" s="1"/>
  <c r="UQ32" i="2"/>
  <c r="UP26" i="4" s="1"/>
  <c r="UP32" i="2"/>
  <c r="UO26" i="4" s="1"/>
  <c r="UO32" i="2"/>
  <c r="UN26" i="4" s="1"/>
  <c r="UN32" i="2"/>
  <c r="UM26" i="4" s="1"/>
  <c r="UM32" i="2"/>
  <c r="UL26" i="4" s="1"/>
  <c r="UL32" i="2"/>
  <c r="UK26" i="4" s="1"/>
  <c r="UK32" i="2"/>
  <c r="UJ26" i="4" s="1"/>
  <c r="UJ32" i="2"/>
  <c r="UI26" i="4" s="1"/>
  <c r="UI32" i="2"/>
  <c r="UH26" i="4" s="1"/>
  <c r="UG32" i="2"/>
  <c r="UF26" i="4" s="1"/>
  <c r="UF32" i="2"/>
  <c r="UE26" i="4" s="1"/>
  <c r="UE32" i="2"/>
  <c r="UD26" i="4" s="1"/>
  <c r="UD32" i="2"/>
  <c r="UC26" i="4" s="1"/>
  <c r="UC32" i="2"/>
  <c r="UB26" i="4" s="1"/>
  <c r="UB32" i="2"/>
  <c r="UA26" i="4" s="1"/>
  <c r="UA32" i="2"/>
  <c r="TZ26" i="4" s="1"/>
  <c r="TZ32" i="2"/>
  <c r="TY26" i="4" s="1"/>
  <c r="TY32" i="2"/>
  <c r="TX26" i="4" s="1"/>
  <c r="TX32" i="2"/>
  <c r="TW26" i="4" s="1"/>
  <c r="TW32" i="2"/>
  <c r="TV26" i="4" s="1"/>
  <c r="TV32" i="2"/>
  <c r="TU26" i="4" s="1"/>
  <c r="TU32" i="2"/>
  <c r="TT26" i="4" s="1"/>
  <c r="TT32" i="2"/>
  <c r="TS26" i="4" s="1"/>
  <c r="TR32" i="2"/>
  <c r="TQ26" i="4" s="1"/>
  <c r="TQ32" i="2"/>
  <c r="TP26" i="4" s="1"/>
  <c r="TP32" i="2"/>
  <c r="TO26" i="4" s="1"/>
  <c r="TO32" i="2"/>
  <c r="TN26" i="4" s="1"/>
  <c r="TN32" i="2"/>
  <c r="TM26" i="4" s="1"/>
  <c r="TM32" i="2"/>
  <c r="TL26" i="4" s="1"/>
  <c r="TL32" i="2"/>
  <c r="TK26" i="4" s="1"/>
  <c r="TK32" i="2"/>
  <c r="TJ26" i="4" s="1"/>
  <c r="TJ32" i="2"/>
  <c r="TI26" i="4" s="1"/>
  <c r="TI32" i="2"/>
  <c r="TH26" i="4" s="1"/>
  <c r="TH32" i="2"/>
  <c r="TG26" i="4" s="1"/>
  <c r="TG32" i="2"/>
  <c r="TF26" i="4" s="1"/>
  <c r="TF32" i="2"/>
  <c r="TE26" i="4" s="1"/>
  <c r="TE32" i="2"/>
  <c r="TD26" i="4" s="1"/>
  <c r="TD32" i="2"/>
  <c r="TC26" i="4" s="1"/>
  <c r="TC32" i="2"/>
  <c r="TB26" i="4" s="1"/>
  <c r="TB32" i="2"/>
  <c r="TA26" i="4" s="1"/>
  <c r="TA32" i="2"/>
  <c r="SZ26" i="4" s="1"/>
  <c r="SZ32" i="2"/>
  <c r="SY26" i="4" s="1"/>
  <c r="SY32" i="2"/>
  <c r="SX26" i="4" s="1"/>
  <c r="SX32" i="2"/>
  <c r="SW26" i="4" s="1"/>
  <c r="SW32" i="2"/>
  <c r="SV26" i="4" s="1"/>
  <c r="SV32" i="2"/>
  <c r="SU26" i="4" s="1"/>
  <c r="SU32" i="2"/>
  <c r="ST26" i="4" s="1"/>
  <c r="ST32" i="2"/>
  <c r="SS26" i="4" s="1"/>
  <c r="SS32" i="2"/>
  <c r="SR26" i="4" s="1"/>
  <c r="SR32" i="2"/>
  <c r="SQ26" i="4" s="1"/>
  <c r="SQ32" i="2"/>
  <c r="SP26" i="4" s="1"/>
  <c r="SP32" i="2"/>
  <c r="SO26" i="4" s="1"/>
  <c r="SO32" i="2"/>
  <c r="SN26" i="4" s="1"/>
  <c r="TR26" i="4" s="1"/>
  <c r="SN32" i="2"/>
  <c r="SM26" i="4" s="1"/>
  <c r="SL32" i="2"/>
  <c r="SK32" i="2"/>
  <c r="SK26" i="4" s="1"/>
  <c r="SJ32" i="2"/>
  <c r="SJ26" i="4" s="1"/>
  <c r="SI32" i="2"/>
  <c r="SI26" i="4" s="1"/>
  <c r="SH32" i="2"/>
  <c r="SH26" i="4" s="1"/>
  <c r="SG32" i="2"/>
  <c r="SG26" i="4" s="1"/>
  <c r="SF32" i="2"/>
  <c r="SF26" i="4" s="1"/>
  <c r="SE32" i="2"/>
  <c r="SE26" i="4" s="1"/>
  <c r="SD32" i="2"/>
  <c r="SD26" i="4" s="1"/>
  <c r="SC32" i="2"/>
  <c r="SC26" i="4" s="1"/>
  <c r="SB32" i="2"/>
  <c r="SB26" i="4" s="1"/>
  <c r="SA32" i="2"/>
  <c r="SA26" i="4" s="1"/>
  <c r="RZ32" i="2"/>
  <c r="RZ26" i="4" s="1"/>
  <c r="RY32" i="2"/>
  <c r="RY26" i="4" s="1"/>
  <c r="RX32" i="2"/>
  <c r="RX26" i="4" s="1"/>
  <c r="RV32" i="2"/>
  <c r="RV26" i="4" s="1"/>
  <c r="RU32" i="2"/>
  <c r="RU26" i="4" s="1"/>
  <c r="RT32" i="2"/>
  <c r="RT26" i="4" s="1"/>
  <c r="RS32" i="2"/>
  <c r="RS26" i="4" s="1"/>
  <c r="RR32" i="2"/>
  <c r="RR26" i="4" s="1"/>
  <c r="RQ32" i="2"/>
  <c r="RQ26" i="4" s="1"/>
  <c r="RP32" i="2"/>
  <c r="RP26" i="4" s="1"/>
  <c r="RO32" i="2"/>
  <c r="RO26" i="4" s="1"/>
  <c r="RN32" i="2"/>
  <c r="RN26" i="4" s="1"/>
  <c r="RM32" i="2"/>
  <c r="RM26" i="4" s="1"/>
  <c r="RL32" i="2"/>
  <c r="RL26" i="4" s="1"/>
  <c r="RK32" i="2"/>
  <c r="RK26" i="4" s="1"/>
  <c r="RH32" i="2"/>
  <c r="RH26" i="4" s="1"/>
  <c r="RF32" i="2"/>
  <c r="RF26" i="4" s="1"/>
  <c r="RE32" i="2"/>
  <c r="RE26" i="4" s="1"/>
  <c r="RD32" i="2"/>
  <c r="RD26" i="4" s="1"/>
  <c r="RC32" i="2"/>
  <c r="RC26" i="4" s="1"/>
  <c r="RB32" i="2"/>
  <c r="RB26" i="4" s="1"/>
  <c r="QZ32" i="2"/>
  <c r="QZ26" i="4" s="1"/>
  <c r="QY32" i="2"/>
  <c r="QY26" i="4" s="1"/>
  <c r="QX32" i="2"/>
  <c r="QX26" i="4" s="1"/>
  <c r="QW32" i="2"/>
  <c r="QW26" i="4" s="1"/>
  <c r="QV32" i="2"/>
  <c r="QV26" i="4" s="1"/>
  <c r="QU32" i="2"/>
  <c r="QU26" i="4" s="1"/>
  <c r="QT32" i="2"/>
  <c r="QT26" i="4" s="1"/>
  <c r="QS32" i="2"/>
  <c r="QS26" i="4" s="1"/>
  <c r="QR32" i="2"/>
  <c r="QR26" i="4" s="1"/>
  <c r="QQ32" i="2"/>
  <c r="QQ26" i="4" s="1"/>
  <c r="QP32" i="2"/>
  <c r="QP26" i="4" s="1"/>
  <c r="QO32" i="2"/>
  <c r="QO26" i="4" s="1"/>
  <c r="QN32" i="2"/>
  <c r="QN26" i="4" s="1"/>
  <c r="QM32" i="2"/>
  <c r="QM26" i="4" s="1"/>
  <c r="QL32" i="2"/>
  <c r="QL26" i="4" s="1"/>
  <c r="QK32" i="2"/>
  <c r="QK26" i="4" s="1"/>
  <c r="QJ32" i="2"/>
  <c r="QJ26" i="4" s="1"/>
  <c r="QI32" i="2"/>
  <c r="QI26" i="4" s="1"/>
  <c r="QH32" i="2"/>
  <c r="QH26" i="4" s="1"/>
  <c r="QG32" i="2"/>
  <c r="QG26" i="4" s="1"/>
  <c r="QF32" i="2"/>
  <c r="QF26" i="4" s="1"/>
  <c r="QE32" i="2"/>
  <c r="QE26" i="4" s="1"/>
  <c r="QD32" i="2"/>
  <c r="QD26" i="4" s="1"/>
  <c r="QC32" i="2"/>
  <c r="QC26" i="4" s="1"/>
  <c r="QB32" i="2"/>
  <c r="QB26" i="4" s="1"/>
  <c r="PZ32" i="2"/>
  <c r="PZ26" i="4" s="1"/>
  <c r="PY32" i="2"/>
  <c r="PY26" i="4" s="1"/>
  <c r="PX32" i="2"/>
  <c r="PX26" i="4" s="1"/>
  <c r="PW32" i="2"/>
  <c r="PW26" i="4" s="1"/>
  <c r="PU32" i="2"/>
  <c r="PU26" i="4" s="1"/>
  <c r="PT32" i="2"/>
  <c r="PT26" i="4" s="1"/>
  <c r="PS32" i="2"/>
  <c r="PS26" i="4" s="1"/>
  <c r="PR32" i="2"/>
  <c r="PR26" i="4" s="1"/>
  <c r="PQ32" i="2"/>
  <c r="PQ26" i="4" s="1"/>
  <c r="PP32" i="2"/>
  <c r="PP26" i="4" s="1"/>
  <c r="PO32" i="2"/>
  <c r="PO26" i="4" s="1"/>
  <c r="PN32" i="2"/>
  <c r="PN26" i="4" s="1"/>
  <c r="PM32" i="2"/>
  <c r="PM26" i="4" s="1"/>
  <c r="PL32" i="2"/>
  <c r="PL26" i="4" s="1"/>
  <c r="PK32" i="2"/>
  <c r="PK26" i="4" s="1"/>
  <c r="PJ32" i="2"/>
  <c r="PJ26" i="4" s="1"/>
  <c r="PI32" i="2"/>
  <c r="PI26" i="4" s="1"/>
  <c r="PH32" i="2"/>
  <c r="PH26" i="4" s="1"/>
  <c r="PG32" i="2"/>
  <c r="PG26" i="4" s="1"/>
  <c r="PE32" i="2"/>
  <c r="PE26" i="4" s="1"/>
  <c r="PC32" i="2"/>
  <c r="PC26" i="4" s="1"/>
  <c r="PA32" i="2"/>
  <c r="PA26" i="4" s="1"/>
  <c r="OZ32" i="2"/>
  <c r="OZ26" i="4" s="1"/>
  <c r="OY32" i="2"/>
  <c r="OY26" i="4" s="1"/>
  <c r="OX32" i="2"/>
  <c r="OX26" i="4" s="1"/>
  <c r="OW32" i="2"/>
  <c r="OW26" i="4" s="1"/>
  <c r="OU32" i="2"/>
  <c r="OU26" i="4" s="1"/>
  <c r="OS32" i="2"/>
  <c r="OS26" i="4" s="1"/>
  <c r="OR32" i="2"/>
  <c r="OR26" i="4" s="1"/>
  <c r="OP32" i="2"/>
  <c r="OP26" i="4" s="1"/>
  <c r="OO32" i="2"/>
  <c r="OO26" i="4" s="1"/>
  <c r="ON32" i="2"/>
  <c r="ON26" i="4" s="1"/>
  <c r="OL32" i="2"/>
  <c r="OL26" i="4" s="1"/>
  <c r="OK32" i="2"/>
  <c r="OK26" i="4" s="1"/>
  <c r="OJ32" i="2"/>
  <c r="OJ26" i="4" s="1"/>
  <c r="OH32" i="2"/>
  <c r="OH26" i="4" s="1"/>
  <c r="OG32" i="2"/>
  <c r="OG26" i="4" s="1"/>
  <c r="OF32" i="2"/>
  <c r="OF26" i="4" s="1"/>
  <c r="OD32" i="2"/>
  <c r="OD26" i="4" s="1"/>
  <c r="OC32" i="2"/>
  <c r="OC26" i="4" s="1"/>
  <c r="OB32" i="2"/>
  <c r="OB26" i="4" s="1"/>
  <c r="OA32" i="2"/>
  <c r="OA26" i="4" s="1"/>
  <c r="NZ32" i="2"/>
  <c r="NZ26" i="4" s="1"/>
  <c r="NY32" i="2"/>
  <c r="NY26" i="4" s="1"/>
  <c r="NX32" i="2"/>
  <c r="NX26" i="4" s="1"/>
  <c r="NW32" i="2"/>
  <c r="NW26" i="4" s="1"/>
  <c r="NV32" i="2"/>
  <c r="NV26" i="4" s="1"/>
  <c r="NU32" i="2"/>
  <c r="NU26" i="4" s="1"/>
  <c r="NT32" i="2"/>
  <c r="NT26" i="4" s="1"/>
  <c r="NS32" i="2"/>
  <c r="NS26" i="4" s="1"/>
  <c r="NR32" i="2"/>
  <c r="NR26" i="4" s="1"/>
  <c r="NQ32" i="2"/>
  <c r="NQ26" i="4" s="1"/>
  <c r="NO32" i="2"/>
  <c r="NO26" i="4" s="1"/>
  <c r="NM32" i="2"/>
  <c r="NM26" i="4" s="1"/>
  <c r="NK32" i="2"/>
  <c r="NK26" i="4" s="1"/>
  <c r="NJ32" i="2"/>
  <c r="NJ26" i="4" s="1"/>
  <c r="NI32" i="2"/>
  <c r="NI26" i="4" s="1"/>
  <c r="NG32" i="2"/>
  <c r="NG26" i="4" s="1"/>
  <c r="NF32" i="2"/>
  <c r="NF26" i="4" s="1"/>
  <c r="NE32" i="2"/>
  <c r="NE26" i="4" s="1"/>
  <c r="ND32" i="2"/>
  <c r="ND26" i="4" s="1"/>
  <c r="NC32" i="2"/>
  <c r="NC26" i="4" s="1"/>
  <c r="NB32" i="2"/>
  <c r="NB26" i="4" s="1"/>
  <c r="NA32" i="2"/>
  <c r="NA26" i="4" s="1"/>
  <c r="MZ32" i="2"/>
  <c r="MZ26" i="4" s="1"/>
  <c r="MY32" i="2"/>
  <c r="MY26" i="4" s="1"/>
  <c r="MX32" i="2"/>
  <c r="MX26" i="4" s="1"/>
  <c r="MW32" i="2"/>
  <c r="MW26" i="4" s="1"/>
  <c r="MV32" i="2"/>
  <c r="MV26" i="4" s="1"/>
  <c r="MU32" i="2"/>
  <c r="MU26" i="4" s="1"/>
  <c r="MT32" i="2"/>
  <c r="MT26" i="4" s="1"/>
  <c r="MS32" i="2"/>
  <c r="MS26" i="4" s="1"/>
  <c r="MR32" i="2"/>
  <c r="MR26" i="4" s="1"/>
  <c r="MQ32" i="2"/>
  <c r="MQ26" i="4" s="1"/>
  <c r="MP32" i="2"/>
  <c r="MP26" i="4" s="1"/>
  <c r="MO32" i="2"/>
  <c r="MO26" i="4" s="1"/>
  <c r="MN32" i="2"/>
  <c r="MN26" i="4" s="1"/>
  <c r="MM32" i="2"/>
  <c r="MM26" i="4" s="1"/>
  <c r="ML32" i="2"/>
  <c r="ML26" i="4" s="1"/>
  <c r="MI32" i="2"/>
  <c r="MI26" i="4" s="1"/>
  <c r="MH32" i="2"/>
  <c r="MH26" i="4" s="1"/>
  <c r="MG32" i="2"/>
  <c r="MG26" i="4" s="1"/>
  <c r="MF32" i="2"/>
  <c r="MF26" i="4" s="1"/>
  <c r="ME32" i="2"/>
  <c r="ME26" i="4" s="1"/>
  <c r="MD32" i="2"/>
  <c r="MD26" i="4" s="1"/>
  <c r="MC32" i="2"/>
  <c r="MC26" i="4" s="1"/>
  <c r="MB32" i="2"/>
  <c r="MB26" i="4" s="1"/>
  <c r="MA32" i="2"/>
  <c r="MA26" i="4" s="1"/>
  <c r="LZ32" i="2"/>
  <c r="LZ26" i="4" s="1"/>
  <c r="LX32" i="2"/>
  <c r="LX26" i="4" s="1"/>
  <c r="LW32" i="2"/>
  <c r="LW26" i="4" s="1"/>
  <c r="LU32" i="2"/>
  <c r="LU26" i="4" s="1"/>
  <c r="LR32" i="2"/>
  <c r="LR26" i="4" s="1"/>
  <c r="LQ32" i="2"/>
  <c r="LQ26" i="4" s="1"/>
  <c r="LP32" i="2"/>
  <c r="LP26" i="4" s="1"/>
  <c r="LO32" i="2"/>
  <c r="LO26" i="4" s="1"/>
  <c r="LN32" i="2"/>
  <c r="LN26" i="4" s="1"/>
  <c r="LM32" i="2"/>
  <c r="LM26" i="4" s="1"/>
  <c r="LL32" i="2"/>
  <c r="LL26" i="4" s="1"/>
  <c r="LI32" i="2"/>
  <c r="LI26" i="4" s="1"/>
  <c r="LH32" i="2"/>
  <c r="LH26" i="4" s="1"/>
  <c r="LG32" i="2"/>
  <c r="LG26" i="4" s="1"/>
  <c r="LF32" i="2"/>
  <c r="LF26" i="4" s="1"/>
  <c r="LD32" i="2"/>
  <c r="LD26" i="4" s="1"/>
  <c r="LB32" i="2"/>
  <c r="LB26" i="4" s="1"/>
  <c r="LA32" i="2"/>
  <c r="LA26" i="4" s="1"/>
  <c r="KZ32" i="2"/>
  <c r="KZ26" i="4" s="1"/>
  <c r="KY32" i="2"/>
  <c r="KY26" i="4" s="1"/>
  <c r="KW32" i="2"/>
  <c r="KW26" i="4" s="1"/>
  <c r="KT32" i="2"/>
  <c r="KT26" i="4" s="1"/>
  <c r="KS32" i="2"/>
  <c r="KS26" i="4" s="1"/>
  <c r="KR32" i="2"/>
  <c r="KR26" i="4" s="1"/>
  <c r="KQ32" i="2"/>
  <c r="KQ26" i="4" s="1"/>
  <c r="KP32" i="2"/>
  <c r="KP26" i="4" s="1"/>
  <c r="KL32" i="2"/>
  <c r="KL26" i="4" s="1"/>
  <c r="KK32" i="2"/>
  <c r="KK26" i="4" s="1"/>
  <c r="KJ32" i="2"/>
  <c r="KJ26" i="4" s="1"/>
  <c r="KH32" i="2"/>
  <c r="KH26" i="4" s="1"/>
  <c r="KF32" i="2"/>
  <c r="KF26" i="4" s="1"/>
  <c r="KE32" i="2"/>
  <c r="KE26" i="4" s="1"/>
  <c r="KD32" i="2"/>
  <c r="KD26" i="4" s="1"/>
  <c r="KC32" i="2"/>
  <c r="KC26" i="4" s="1"/>
  <c r="KB32" i="2"/>
  <c r="KB26" i="4" s="1"/>
  <c r="KA32" i="2"/>
  <c r="KA26" i="4" s="1"/>
  <c r="JZ32" i="2"/>
  <c r="JZ26" i="4" s="1"/>
  <c r="JX32" i="2"/>
  <c r="JX26" i="4" s="1"/>
  <c r="JW32" i="2"/>
  <c r="JW26" i="4" s="1"/>
  <c r="JV32" i="2"/>
  <c r="JV26" i="4" s="1"/>
  <c r="JU32" i="2"/>
  <c r="JU26" i="4" s="1"/>
  <c r="JT32" i="2"/>
  <c r="JT26" i="4" s="1"/>
  <c r="JS32" i="2"/>
  <c r="JS26" i="4" s="1"/>
  <c r="JR32" i="2"/>
  <c r="JR26" i="4" s="1"/>
  <c r="JQ32" i="2"/>
  <c r="JQ26" i="4" s="1"/>
  <c r="JP32" i="2"/>
  <c r="JP26" i="4" s="1"/>
  <c r="JO32" i="2"/>
  <c r="JO26" i="4" s="1"/>
  <c r="JN32" i="2"/>
  <c r="JN26" i="4" s="1"/>
  <c r="JM32" i="2"/>
  <c r="JM26" i="4" s="1"/>
  <c r="JL32" i="2"/>
  <c r="JL26" i="4" s="1"/>
  <c r="JK32" i="2"/>
  <c r="JK26" i="4" s="1"/>
  <c r="JJ32" i="2"/>
  <c r="JJ26" i="4" s="1"/>
  <c r="JI32" i="2"/>
  <c r="JI26" i="4" s="1"/>
  <c r="JH32" i="2"/>
  <c r="JH26" i="4" s="1"/>
  <c r="JG32" i="2"/>
  <c r="JG26" i="4" s="1"/>
  <c r="JF32" i="2"/>
  <c r="JF26" i="4" s="1"/>
  <c r="JE32" i="2"/>
  <c r="JE26" i="4" s="1"/>
  <c r="JD32" i="2"/>
  <c r="JD26" i="4" s="1"/>
  <c r="JC32" i="2"/>
  <c r="JC26" i="4" s="1"/>
  <c r="JB32" i="2"/>
  <c r="JB26" i="4" s="1"/>
  <c r="IZ32" i="2"/>
  <c r="IZ26" i="4" s="1"/>
  <c r="IY32" i="2"/>
  <c r="IY26" i="4" s="1"/>
  <c r="IX32" i="2"/>
  <c r="IX26" i="4" s="1"/>
  <c r="IW32" i="2"/>
  <c r="IW26" i="4" s="1"/>
  <c r="IV32" i="2"/>
  <c r="IV26" i="4" s="1"/>
  <c r="IS32" i="2"/>
  <c r="IS26" i="4" s="1"/>
  <c r="IR32" i="2"/>
  <c r="IR26" i="4" s="1"/>
  <c r="IQ32" i="2"/>
  <c r="IQ26" i="4" s="1"/>
  <c r="IP32" i="2"/>
  <c r="IP26" i="4" s="1"/>
  <c r="IO32" i="2"/>
  <c r="IO26" i="4" s="1"/>
  <c r="IN32" i="2"/>
  <c r="IN26" i="4" s="1"/>
  <c r="IM32" i="2"/>
  <c r="IM26" i="4" s="1"/>
  <c r="IL32" i="2"/>
  <c r="IL26" i="4" s="1"/>
  <c r="IK32" i="2"/>
  <c r="IK26" i="4" s="1"/>
  <c r="IJ32" i="2"/>
  <c r="IJ26" i="4" s="1"/>
  <c r="II32" i="2"/>
  <c r="II26" i="4" s="1"/>
  <c r="IH32" i="2"/>
  <c r="IH26" i="4" s="1"/>
  <c r="IG32" i="2"/>
  <c r="IG26" i="4" s="1"/>
  <c r="IF32" i="2"/>
  <c r="IF26" i="4" s="1"/>
  <c r="IE32" i="2"/>
  <c r="IE26" i="4" s="1"/>
  <c r="IC32" i="2"/>
  <c r="IC26" i="4" s="1"/>
  <c r="IB32" i="2"/>
  <c r="IB26" i="4" s="1"/>
  <c r="IA32" i="2"/>
  <c r="IA26" i="4" s="1"/>
  <c r="HZ32" i="2"/>
  <c r="HZ26" i="4" s="1"/>
  <c r="HY32" i="2"/>
  <c r="HY26" i="4" s="1"/>
  <c r="HX32" i="2"/>
  <c r="HX26" i="4" s="1"/>
  <c r="HW32" i="2"/>
  <c r="HW26" i="4" s="1"/>
  <c r="HV32" i="2"/>
  <c r="HV26" i="4" s="1"/>
  <c r="HT32" i="2"/>
  <c r="HT26" i="4" s="1"/>
  <c r="HS32" i="2"/>
  <c r="HS26" i="4" s="1"/>
  <c r="HR32" i="2"/>
  <c r="HR26" i="4" s="1"/>
  <c r="HQ32" i="2"/>
  <c r="HQ26" i="4" s="1"/>
  <c r="HO32" i="2"/>
  <c r="HO26" i="4" s="1"/>
  <c r="HK32" i="2"/>
  <c r="HK26" i="4" s="1"/>
  <c r="HJ32" i="2"/>
  <c r="HJ26" i="4" s="1"/>
  <c r="HI32" i="2"/>
  <c r="HI26" i="4" s="1"/>
  <c r="HH32" i="2"/>
  <c r="HH26" i="4" s="1"/>
  <c r="HF32" i="2"/>
  <c r="HF26" i="4" s="1"/>
  <c r="HE32" i="2"/>
  <c r="HE26" i="4" s="1"/>
  <c r="HC32" i="2"/>
  <c r="HC26" i="4" s="1"/>
  <c r="HB32" i="2"/>
  <c r="HB26" i="4" s="1"/>
  <c r="HA32" i="2"/>
  <c r="HA26" i="4" s="1"/>
  <c r="GZ32" i="2"/>
  <c r="GZ26" i="4" s="1"/>
  <c r="GY32" i="2"/>
  <c r="GY26" i="4" s="1"/>
  <c r="GX32" i="2"/>
  <c r="GX26" i="4" s="1"/>
  <c r="GW32" i="2"/>
  <c r="GW26" i="4" s="1"/>
  <c r="GV32" i="2"/>
  <c r="GV26" i="4" s="1"/>
  <c r="GU32" i="2"/>
  <c r="GU26" i="4" s="1"/>
  <c r="GT32" i="2"/>
  <c r="GT26" i="4" s="1"/>
  <c r="GS32" i="2"/>
  <c r="GS26" i="4" s="1"/>
  <c r="GR32" i="2"/>
  <c r="GR26" i="4" s="1"/>
  <c r="GQ32" i="2"/>
  <c r="GQ26" i="4" s="1"/>
  <c r="GP32" i="2"/>
  <c r="GP26" i="4" s="1"/>
  <c r="GO32" i="2"/>
  <c r="GO26" i="4" s="1"/>
  <c r="GN32" i="2"/>
  <c r="GN26" i="4" s="1"/>
  <c r="GM32" i="2"/>
  <c r="GM26" i="4" s="1"/>
  <c r="GL32" i="2"/>
  <c r="GL26" i="4" s="1"/>
  <c r="GK32" i="2"/>
  <c r="GK26" i="4" s="1"/>
  <c r="GI32" i="2"/>
  <c r="GI26" i="4" s="1"/>
  <c r="GH32" i="2"/>
  <c r="GH26" i="4" s="1"/>
  <c r="GG32" i="2"/>
  <c r="GG26" i="4" s="1"/>
  <c r="GF32" i="2"/>
  <c r="GF26" i="4" s="1"/>
  <c r="GE32" i="2"/>
  <c r="GE26" i="4" s="1"/>
  <c r="GD32" i="2"/>
  <c r="GD26" i="4" s="1"/>
  <c r="GC32" i="2"/>
  <c r="GC26" i="4" s="1"/>
  <c r="GB32" i="2"/>
  <c r="GB26" i="4" s="1"/>
  <c r="GA32" i="2"/>
  <c r="GA26" i="4" s="1"/>
  <c r="FZ32" i="2"/>
  <c r="FZ26" i="4" s="1"/>
  <c r="FY32" i="2"/>
  <c r="FY26" i="4" s="1"/>
  <c r="FX32" i="2"/>
  <c r="FX26" i="4" s="1"/>
  <c r="FW32" i="2"/>
  <c r="FW26" i="4" s="1"/>
  <c r="FV32" i="2"/>
  <c r="FV26" i="4" s="1"/>
  <c r="FU32" i="2"/>
  <c r="FU26" i="4" s="1"/>
  <c r="FT32" i="2"/>
  <c r="FT26" i="4" s="1"/>
  <c r="FS32" i="2"/>
  <c r="FS26" i="4" s="1"/>
  <c r="FR32" i="2"/>
  <c r="FR26" i="4" s="1"/>
  <c r="FQ32" i="2"/>
  <c r="FQ26" i="4" s="1"/>
  <c r="FP32" i="2"/>
  <c r="FP26" i="4" s="1"/>
  <c r="FO32" i="2"/>
  <c r="FO26" i="4" s="1"/>
  <c r="FN32" i="2"/>
  <c r="FN26" i="4" s="1"/>
  <c r="FM32" i="2"/>
  <c r="FM26" i="4" s="1"/>
  <c r="FL32" i="2"/>
  <c r="FL26" i="4" s="1"/>
  <c r="FK32" i="2"/>
  <c r="FK26" i="4" s="1"/>
  <c r="FJ32" i="2"/>
  <c r="FJ26" i="4" s="1"/>
  <c r="FI32" i="2"/>
  <c r="FI26" i="4" s="1"/>
  <c r="FH32" i="2"/>
  <c r="FH26" i="4" s="1"/>
  <c r="FG32" i="2"/>
  <c r="FG26" i="4" s="1"/>
  <c r="FF32" i="2"/>
  <c r="FF26" i="4" s="1"/>
  <c r="FE32" i="2"/>
  <c r="FC32" i="2"/>
  <c r="FC26" i="4" s="1"/>
  <c r="FB32" i="2"/>
  <c r="FB26" i="4" s="1"/>
  <c r="FA32" i="2"/>
  <c r="FA26" i="4" s="1"/>
  <c r="EZ32" i="2"/>
  <c r="EZ26" i="4" s="1"/>
  <c r="EY32" i="2"/>
  <c r="EY26" i="4" s="1"/>
  <c r="EX32" i="2"/>
  <c r="EX26" i="4" s="1"/>
  <c r="EW32" i="2"/>
  <c r="EW26" i="4" s="1"/>
  <c r="EV32" i="2"/>
  <c r="EV26" i="4" s="1"/>
  <c r="EU32" i="2"/>
  <c r="EU26" i="4" s="1"/>
  <c r="ET32" i="2"/>
  <c r="ET26" i="4" s="1"/>
  <c r="ES32" i="2"/>
  <c r="ES26" i="4" s="1"/>
  <c r="ER32" i="2"/>
  <c r="ER26" i="4" s="1"/>
  <c r="EQ32" i="2"/>
  <c r="EQ26" i="4" s="1"/>
  <c r="EP32" i="2"/>
  <c r="EP26" i="4" s="1"/>
  <c r="EO32" i="2"/>
  <c r="EO26" i="4" s="1"/>
  <c r="EN32" i="2"/>
  <c r="EN26" i="4" s="1"/>
  <c r="EM32" i="2"/>
  <c r="EM26" i="4" s="1"/>
  <c r="EL32" i="2"/>
  <c r="EL26" i="4" s="1"/>
  <c r="EK32" i="2"/>
  <c r="EK26" i="4" s="1"/>
  <c r="EJ32" i="2"/>
  <c r="EJ26" i="4" s="1"/>
  <c r="EI32" i="2"/>
  <c r="EI26" i="4" s="1"/>
  <c r="EH32" i="2"/>
  <c r="EH26" i="4" s="1"/>
  <c r="EG32" i="2"/>
  <c r="EG26" i="4" s="1"/>
  <c r="EF32" i="2"/>
  <c r="EF26" i="4" s="1"/>
  <c r="EE32" i="2"/>
  <c r="EE26" i="4" s="1"/>
  <c r="ED32" i="2"/>
  <c r="ED26" i="4" s="1"/>
  <c r="EC32" i="2"/>
  <c r="EC26" i="4" s="1"/>
  <c r="EB32" i="2"/>
  <c r="EB26" i="4" s="1"/>
  <c r="EA32" i="2"/>
  <c r="EA26" i="4" s="1"/>
  <c r="DZ32" i="2"/>
  <c r="DZ26" i="4" s="1"/>
  <c r="DY32" i="2"/>
  <c r="DY26" i="4" s="1"/>
  <c r="FD26" i="4" s="1"/>
  <c r="DW32" i="2"/>
  <c r="DW26" i="4" s="1"/>
  <c r="DV32" i="2"/>
  <c r="DV26" i="4" s="1"/>
  <c r="DU32" i="2"/>
  <c r="DU26" i="4" s="1"/>
  <c r="DT32" i="2"/>
  <c r="DT26" i="4" s="1"/>
  <c r="DS32" i="2"/>
  <c r="DS26" i="4" s="1"/>
  <c r="DR32" i="2"/>
  <c r="DR26" i="4" s="1"/>
  <c r="DQ32" i="2"/>
  <c r="DQ26" i="4" s="1"/>
  <c r="DP32" i="2"/>
  <c r="DP26" i="4" s="1"/>
  <c r="DO32" i="2"/>
  <c r="DO26" i="4" s="1"/>
  <c r="DN32" i="2"/>
  <c r="DN26" i="4" s="1"/>
  <c r="DM32" i="2"/>
  <c r="DM26" i="4" s="1"/>
  <c r="DL32" i="2"/>
  <c r="DL26" i="4" s="1"/>
  <c r="DK32" i="2"/>
  <c r="DK26" i="4" s="1"/>
  <c r="DJ32" i="2"/>
  <c r="DJ26" i="4" s="1"/>
  <c r="DI32" i="2"/>
  <c r="DI26" i="4" s="1"/>
  <c r="DH32" i="2"/>
  <c r="DH26" i="4" s="1"/>
  <c r="DG32" i="2"/>
  <c r="DG26" i="4" s="1"/>
  <c r="DF32" i="2"/>
  <c r="DF26" i="4" s="1"/>
  <c r="DE32" i="2"/>
  <c r="DE26" i="4" s="1"/>
  <c r="DD32" i="2"/>
  <c r="DD26" i="4" s="1"/>
  <c r="DC32" i="2"/>
  <c r="DC26" i="4" s="1"/>
  <c r="DB32" i="2"/>
  <c r="DB26" i="4" s="1"/>
  <c r="DA32" i="2"/>
  <c r="DA26" i="4" s="1"/>
  <c r="CZ32" i="2"/>
  <c r="CZ26" i="4" s="1"/>
  <c r="CY32" i="2"/>
  <c r="CY26" i="4" s="1"/>
  <c r="CX32" i="2"/>
  <c r="CX26" i="4" s="1"/>
  <c r="CW32" i="2"/>
  <c r="CW26" i="4" s="1"/>
  <c r="CV32" i="2"/>
  <c r="CV26" i="4" s="1"/>
  <c r="CU32" i="2"/>
  <c r="CU26" i="4" s="1"/>
  <c r="CT32" i="2"/>
  <c r="CR32" i="2"/>
  <c r="CR26" i="4" s="1"/>
  <c r="CQ32" i="2"/>
  <c r="CQ26" i="4" s="1"/>
  <c r="CP32" i="2"/>
  <c r="CP26" i="4" s="1"/>
  <c r="CO32" i="2"/>
  <c r="CO26" i="4" s="1"/>
  <c r="CN32" i="2"/>
  <c r="CN26" i="4" s="1"/>
  <c r="CM32" i="2"/>
  <c r="CM26" i="4" s="1"/>
  <c r="CL32" i="2"/>
  <c r="CL26" i="4" s="1"/>
  <c r="CJ32" i="2"/>
  <c r="CJ26" i="4" s="1"/>
  <c r="CI32" i="2"/>
  <c r="CI26" i="4" s="1"/>
  <c r="CH32" i="2"/>
  <c r="CH26" i="4" s="1"/>
  <c r="CG32" i="2"/>
  <c r="CG26" i="4" s="1"/>
  <c r="CF32" i="2"/>
  <c r="CF26" i="4" s="1"/>
  <c r="CE32" i="2"/>
  <c r="CE26" i="4" s="1"/>
  <c r="CD32" i="2"/>
  <c r="CD26" i="4" s="1"/>
  <c r="CC32" i="2"/>
  <c r="CC26" i="4" s="1"/>
  <c r="CB32" i="2"/>
  <c r="CB26" i="4" s="1"/>
  <c r="CA32" i="2"/>
  <c r="CA26" i="4" s="1"/>
  <c r="BZ32" i="2"/>
  <c r="BZ26" i="4" s="1"/>
  <c r="BY32" i="2"/>
  <c r="BY26" i="4" s="1"/>
  <c r="BX32" i="2"/>
  <c r="BX26" i="4" s="1"/>
  <c r="BW32" i="2"/>
  <c r="BW26" i="4" s="1"/>
  <c r="BV32" i="2"/>
  <c r="BV26" i="4" s="1"/>
  <c r="BU32" i="2"/>
  <c r="BU26" i="4" s="1"/>
  <c r="BT32" i="2"/>
  <c r="BT26" i="4" s="1"/>
  <c r="BS32" i="2"/>
  <c r="BS26" i="4" s="1"/>
  <c r="BR32" i="2"/>
  <c r="BR26" i="4" s="1"/>
  <c r="BQ32" i="2"/>
  <c r="BQ26" i="4" s="1"/>
  <c r="BO32" i="2"/>
  <c r="BO26" i="4" s="1"/>
  <c r="BN32" i="2"/>
  <c r="BL32" i="2"/>
  <c r="BL26" i="4" s="1"/>
  <c r="BK32" i="2"/>
  <c r="BK26" i="4" s="1"/>
  <c r="BJ32" i="2"/>
  <c r="BJ26" i="4" s="1"/>
  <c r="BI32" i="2"/>
  <c r="BI26" i="4" s="1"/>
  <c r="BH32" i="2"/>
  <c r="BH26" i="4" s="1"/>
  <c r="BG32" i="2"/>
  <c r="BG26" i="4" s="1"/>
  <c r="BF32" i="2"/>
  <c r="BF26" i="4" s="1"/>
  <c r="BE32" i="2"/>
  <c r="BE26" i="4" s="1"/>
  <c r="BD32" i="2"/>
  <c r="BD26" i="4" s="1"/>
  <c r="BC32" i="2"/>
  <c r="BC26" i="4" s="1"/>
  <c r="BB32" i="2"/>
  <c r="BB26" i="4" s="1"/>
  <c r="BA32" i="2"/>
  <c r="BA26" i="4" s="1"/>
  <c r="AZ32" i="2"/>
  <c r="AZ26" i="4" s="1"/>
  <c r="AY32" i="2"/>
  <c r="AY26" i="4" s="1"/>
  <c r="AX32" i="2"/>
  <c r="AX26" i="4" s="1"/>
  <c r="AW32" i="2"/>
  <c r="AW26" i="4" s="1"/>
  <c r="AV32" i="2"/>
  <c r="AV26" i="4" s="1"/>
  <c r="AT32" i="2"/>
  <c r="AT26" i="4" s="1"/>
  <c r="AS32" i="2"/>
  <c r="AS26" i="4" s="1"/>
  <c r="AR32" i="2"/>
  <c r="AR26" i="4" s="1"/>
  <c r="AQ32" i="2"/>
  <c r="AQ26" i="4" s="1"/>
  <c r="AP32" i="2"/>
  <c r="AP26" i="4" s="1"/>
  <c r="AO32" i="2"/>
  <c r="AO26" i="4" s="1"/>
  <c r="AN32" i="2"/>
  <c r="AN26" i="4" s="1"/>
  <c r="AM32" i="2"/>
  <c r="AM26" i="4" s="1"/>
  <c r="AL32" i="2"/>
  <c r="AL26" i="4" s="1"/>
  <c r="AK32" i="2"/>
  <c r="AK26" i="4" s="1"/>
  <c r="AJ32" i="2"/>
  <c r="AJ26" i="4" s="1"/>
  <c r="AI32" i="2"/>
  <c r="AG32" i="2"/>
  <c r="AG26" i="4" s="1"/>
  <c r="AF32" i="2"/>
  <c r="AF26" i="4" s="1"/>
  <c r="AE32" i="2"/>
  <c r="AE26" i="4" s="1"/>
  <c r="AD32" i="2"/>
  <c r="AD26" i="4" s="1"/>
  <c r="AC32" i="2"/>
  <c r="AC26" i="4" s="1"/>
  <c r="AB32" i="2"/>
  <c r="AB26" i="4" s="1"/>
  <c r="AA32" i="2"/>
  <c r="AA26" i="4" s="1"/>
  <c r="Z32" i="2"/>
  <c r="Z26" i="4" s="1"/>
  <c r="Y32" i="2"/>
  <c r="Y26" i="4" s="1"/>
  <c r="X32" i="2"/>
  <c r="X26" i="4" s="1"/>
  <c r="W32" i="2"/>
  <c r="W26" i="4" s="1"/>
  <c r="V32" i="2"/>
  <c r="V26" i="4" s="1"/>
  <c r="U32" i="2"/>
  <c r="U26" i="4" s="1"/>
  <c r="T32" i="2"/>
  <c r="T26" i="4" s="1"/>
  <c r="S32" i="2"/>
  <c r="S26" i="4" s="1"/>
  <c r="R32" i="2"/>
  <c r="R26" i="4" s="1"/>
  <c r="Q32" i="2"/>
  <c r="Q26" i="4" s="1"/>
  <c r="P32" i="2"/>
  <c r="P26" i="4" s="1"/>
  <c r="O32" i="2"/>
  <c r="O26" i="4" s="1"/>
  <c r="N32" i="2"/>
  <c r="N26" i="4" s="1"/>
  <c r="M32" i="2"/>
  <c r="M26" i="4" s="1"/>
  <c r="L32" i="2"/>
  <c r="L26" i="4" s="1"/>
  <c r="K32" i="2"/>
  <c r="K26" i="4" s="1"/>
  <c r="J32" i="2"/>
  <c r="J26" i="4" s="1"/>
  <c r="I32" i="2"/>
  <c r="I26" i="4" s="1"/>
  <c r="H32" i="2"/>
  <c r="H26" i="4" s="1"/>
  <c r="G32" i="2"/>
  <c r="G26" i="4" s="1"/>
  <c r="F32" i="2"/>
  <c r="F26" i="4" s="1"/>
  <c r="E32" i="2"/>
  <c r="E26" i="4" s="1"/>
  <c r="D32" i="2"/>
  <c r="D26" i="4" s="1"/>
  <c r="C32" i="2"/>
  <c r="AMZ31" i="2"/>
  <c r="ALU31" i="2"/>
  <c r="AKO31" i="2"/>
  <c r="AJL31" i="2"/>
  <c r="AIF31" i="2"/>
  <c r="AGZ31" i="2"/>
  <c r="AFU31" i="2"/>
  <c r="AEO31" i="2"/>
  <c r="ADJ31" i="2"/>
  <c r="ACD31" i="2"/>
  <c r="AAX31" i="2"/>
  <c r="ZS31" i="2"/>
  <c r="YM31" i="2"/>
  <c r="XH31" i="2"/>
  <c r="WB31" i="2"/>
  <c r="UY31" i="2"/>
  <c r="TS31" i="2"/>
  <c r="SM31" i="2"/>
  <c r="RA31" i="2"/>
  <c r="QA31" i="2"/>
  <c r="OV31" i="2"/>
  <c r="NP31" i="2"/>
  <c r="LV31" i="2"/>
  <c r="LV32" i="2" s="1"/>
  <c r="LV26" i="4" s="1"/>
  <c r="LS31" i="2"/>
  <c r="LS32" i="2" s="1"/>
  <c r="LS26" i="4" s="1"/>
  <c r="LK31" i="2"/>
  <c r="LE31" i="2"/>
  <c r="JY31" i="2"/>
  <c r="IT31" i="2"/>
  <c r="HN31" i="2"/>
  <c r="GJ31" i="2"/>
  <c r="FD31" i="2"/>
  <c r="DX31" i="2"/>
  <c r="CS31" i="2"/>
  <c r="BM31" i="2"/>
  <c r="AH31" i="2"/>
  <c r="AMZ30" i="2"/>
  <c r="ALU30" i="2"/>
  <c r="AKO30" i="2"/>
  <c r="AJL30" i="2"/>
  <c r="AIF30" i="2"/>
  <c r="AGZ30" i="2"/>
  <c r="AFU30" i="2"/>
  <c r="AMZ29" i="2"/>
  <c r="ALU29" i="2"/>
  <c r="AKO29" i="2"/>
  <c r="AMZ28" i="2"/>
  <c r="ALU28" i="2"/>
  <c r="AKO28" i="2"/>
  <c r="AJL28" i="2"/>
  <c r="AIF28" i="2"/>
  <c r="AGZ28" i="2"/>
  <c r="AFU28" i="2"/>
  <c r="AEO28" i="2"/>
  <c r="ADJ28" i="2"/>
  <c r="AMZ27" i="2"/>
  <c r="ALU27" i="2"/>
  <c r="AKO27" i="2"/>
  <c r="AJL27" i="2"/>
  <c r="AIF27" i="2"/>
  <c r="AGZ27" i="2"/>
  <c r="AFU27" i="2"/>
  <c r="AEO27" i="2"/>
  <c r="ADJ27" i="2"/>
  <c r="ACD27" i="2"/>
  <c r="AAX27" i="2"/>
  <c r="ZS27" i="2"/>
  <c r="YM27" i="2"/>
  <c r="XH27" i="2"/>
  <c r="WB27" i="2"/>
  <c r="UY27" i="2"/>
  <c r="TS27" i="2"/>
  <c r="RJ27" i="2"/>
  <c r="RJ32" i="2" s="1"/>
  <c r="RJ26" i="4" s="1"/>
  <c r="RI27" i="2"/>
  <c r="RG27" i="2"/>
  <c r="PV27" i="2"/>
  <c r="PV32" i="2" s="1"/>
  <c r="PV26" i="4" s="1"/>
  <c r="PF27" i="2"/>
  <c r="PF32" i="2" s="1"/>
  <c r="PF26" i="4" s="1"/>
  <c r="PD27" i="2"/>
  <c r="PD32" i="2" s="1"/>
  <c r="PD26" i="4" s="1"/>
  <c r="PB27" i="2"/>
  <c r="OT27" i="2"/>
  <c r="OT32" i="2" s="1"/>
  <c r="OT26" i="4" s="1"/>
  <c r="OQ27" i="2"/>
  <c r="OQ32" i="2" s="1"/>
  <c r="OQ26" i="4" s="1"/>
  <c r="OM27" i="2"/>
  <c r="OM32" i="2" s="1"/>
  <c r="OM26" i="4" s="1"/>
  <c r="OI27" i="2"/>
  <c r="NN27" i="2"/>
  <c r="NN32" i="2" s="1"/>
  <c r="NN26" i="4" s="1"/>
  <c r="NL27" i="2"/>
  <c r="NL32" i="2" s="1"/>
  <c r="NL26" i="4" s="1"/>
  <c r="NH27" i="2"/>
  <c r="MK27" i="2"/>
  <c r="MK32" i="2" s="1"/>
  <c r="MK26" i="4" s="1"/>
  <c r="LY27" i="2"/>
  <c r="LY32" i="2" s="1"/>
  <c r="LY26" i="4" s="1"/>
  <c r="LJ27" i="2"/>
  <c r="LC27" i="2"/>
  <c r="LC32" i="2" s="1"/>
  <c r="LC26" i="4" s="1"/>
  <c r="KX27" i="2"/>
  <c r="KX32" i="2" s="1"/>
  <c r="KX26" i="4" s="1"/>
  <c r="KV27" i="2"/>
  <c r="KV32" i="2" s="1"/>
  <c r="KV26" i="4" s="1"/>
  <c r="KU27" i="2"/>
  <c r="KU32" i="2" s="1"/>
  <c r="KU26" i="4" s="1"/>
  <c r="KM27" i="2"/>
  <c r="KM32" i="2" s="1"/>
  <c r="KM26" i="4" s="1"/>
  <c r="KI27" i="2"/>
  <c r="KI32" i="2" s="1"/>
  <c r="KI26" i="4" s="1"/>
  <c r="KG27" i="2"/>
  <c r="JA27" i="2"/>
  <c r="JA32" i="2" s="1"/>
  <c r="JA26" i="4" s="1"/>
  <c r="IU27" i="2"/>
  <c r="HU27" i="2"/>
  <c r="HU32" i="2" s="1"/>
  <c r="HU26" i="4" s="1"/>
  <c r="HP27" i="2"/>
  <c r="HM27" i="2"/>
  <c r="HM32" i="2" s="1"/>
  <c r="HM26" i="4" s="1"/>
  <c r="HL27" i="2"/>
  <c r="HL32" i="2" s="1"/>
  <c r="HL26" i="4" s="1"/>
  <c r="HG27" i="2"/>
  <c r="HG32" i="2" s="1"/>
  <c r="HG26" i="4" s="1"/>
  <c r="HD27" i="2"/>
  <c r="GJ27" i="2"/>
  <c r="AMZ26" i="2"/>
  <c r="ALU26" i="2"/>
  <c r="AKO26" i="2"/>
  <c r="AJL26" i="2"/>
  <c r="AIF26" i="2"/>
  <c r="AGZ26" i="2"/>
  <c r="AFU26" i="2"/>
  <c r="AEO26" i="2"/>
  <c r="ADJ26" i="2"/>
  <c r="ACD26" i="2"/>
  <c r="AAX26" i="2"/>
  <c r="ZS26" i="2"/>
  <c r="YM26" i="2"/>
  <c r="XH26" i="2"/>
  <c r="WB26" i="2"/>
  <c r="UY26" i="2"/>
  <c r="TS26" i="2"/>
  <c r="SM26" i="2"/>
  <c r="RG26" i="2"/>
  <c r="QA26" i="2"/>
  <c r="OV26" i="2"/>
  <c r="NP26" i="2"/>
  <c r="MJ26" i="2"/>
  <c r="LE26" i="2"/>
  <c r="JY26" i="2"/>
  <c r="IT26" i="2"/>
  <c r="HN26" i="2"/>
  <c r="GJ26" i="2"/>
  <c r="FD26" i="2"/>
  <c r="AMZ25" i="2"/>
  <c r="ALU25" i="2"/>
  <c r="AKO25" i="2"/>
  <c r="AJL25" i="2"/>
  <c r="AIF25" i="2"/>
  <c r="AGZ25" i="2"/>
  <c r="AFU25" i="2"/>
  <c r="AEO25" i="2"/>
  <c r="ADJ25" i="2"/>
  <c r="ACD25" i="2"/>
  <c r="AAX25" i="2"/>
  <c r="ZS25" i="2"/>
  <c r="YM25" i="2"/>
  <c r="XH25" i="2"/>
  <c r="WB25" i="2"/>
  <c r="UY25" i="2"/>
  <c r="TS25" i="2"/>
  <c r="SM25" i="2"/>
  <c r="RG25" i="2"/>
  <c r="QA25" i="2"/>
  <c r="OV25" i="2"/>
  <c r="NP25" i="2"/>
  <c r="MJ25" i="2"/>
  <c r="LE25" i="2"/>
  <c r="JY25" i="2"/>
  <c r="IT25" i="2"/>
  <c r="HN25" i="2"/>
  <c r="FD25" i="2"/>
  <c r="DX25" i="2"/>
  <c r="AMZ24" i="2"/>
  <c r="ALU24" i="2"/>
  <c r="AKO24" i="2"/>
  <c r="AJL24" i="2"/>
  <c r="AIF24" i="2"/>
  <c r="AGZ24" i="2"/>
  <c r="AFU24" i="2"/>
  <c r="AEO24" i="2"/>
  <c r="ADJ24" i="2"/>
  <c r="ACD24" i="2"/>
  <c r="AAX24" i="2"/>
  <c r="ZS24" i="2"/>
  <c r="YM24" i="2"/>
  <c r="XH24" i="2"/>
  <c r="WB24" i="2"/>
  <c r="UY24" i="2"/>
  <c r="TS24" i="2"/>
  <c r="SM24" i="2"/>
  <c r="RG24" i="2"/>
  <c r="QA24" i="2"/>
  <c r="OV24" i="2"/>
  <c r="NP24" i="2"/>
  <c r="MJ24" i="2"/>
  <c r="LE24" i="2"/>
  <c r="JY24" i="2"/>
  <c r="IT24" i="2"/>
  <c r="HN24" i="2"/>
  <c r="GJ24" i="2"/>
  <c r="FD24" i="2"/>
  <c r="DX24" i="2"/>
  <c r="CS24" i="2"/>
  <c r="AMZ23" i="2"/>
  <c r="ALU23" i="2"/>
  <c r="AKO23" i="2"/>
  <c r="AJL23" i="2"/>
  <c r="AIF23" i="2"/>
  <c r="AGZ23" i="2"/>
  <c r="AFU23" i="2"/>
  <c r="AEO23" i="2"/>
  <c r="ADJ23" i="2"/>
  <c r="ACD23" i="2"/>
  <c r="AAX23" i="2"/>
  <c r="ZS23" i="2"/>
  <c r="YM23" i="2"/>
  <c r="XH23" i="2"/>
  <c r="WB23" i="2"/>
  <c r="UY23" i="2"/>
  <c r="TS23" i="2"/>
  <c r="SM23" i="2"/>
  <c r="RG23" i="2"/>
  <c r="QA23" i="2"/>
  <c r="OV23" i="2"/>
  <c r="NP23" i="2"/>
  <c r="MJ23" i="2"/>
  <c r="LE23" i="2"/>
  <c r="JY23" i="2"/>
  <c r="IT23" i="2"/>
  <c r="HN23" i="2"/>
  <c r="FD23" i="2"/>
  <c r="CS23" i="2"/>
  <c r="AMZ22" i="2"/>
  <c r="ALU22" i="2"/>
  <c r="AKO22" i="2"/>
  <c r="AJL22" i="2"/>
  <c r="AIF22" i="2"/>
  <c r="AGZ22" i="2"/>
  <c r="AFU22" i="2"/>
  <c r="AEO22" i="2"/>
  <c r="ADJ22" i="2"/>
  <c r="ACD22" i="2"/>
  <c r="AAX22" i="2"/>
  <c r="ZS22" i="2"/>
  <c r="YM22" i="2"/>
  <c r="XH22" i="2"/>
  <c r="WB22" i="2"/>
  <c r="UY22" i="2"/>
  <c r="TS22" i="2"/>
  <c r="SM22" i="2"/>
  <c r="RG22" i="2"/>
  <c r="QA22" i="2"/>
  <c r="OV22" i="2"/>
  <c r="NP22" i="2"/>
  <c r="MJ22" i="2"/>
  <c r="LE22" i="2"/>
  <c r="JY22" i="2"/>
  <c r="IT22" i="2"/>
  <c r="HN22" i="2"/>
  <c r="GJ22" i="2"/>
  <c r="FD22" i="2"/>
  <c r="CS22" i="2"/>
  <c r="AMZ21" i="2"/>
  <c r="ALU21" i="2"/>
  <c r="AKO21" i="2"/>
  <c r="AJL21" i="2"/>
  <c r="AIF21" i="2"/>
  <c r="AGZ21" i="2"/>
  <c r="AFU21" i="2"/>
  <c r="AEO21" i="2"/>
  <c r="ADJ21" i="2"/>
  <c r="ACD21" i="2"/>
  <c r="AAX21" i="2"/>
  <c r="ZS21" i="2"/>
  <c r="YM21" i="2"/>
  <c r="XH21" i="2"/>
  <c r="WB21" i="2"/>
  <c r="UY21" i="2"/>
  <c r="TS21" i="2"/>
  <c r="SM21" i="2"/>
  <c r="RG21" i="2"/>
  <c r="QA21" i="2"/>
  <c r="OV21" i="2"/>
  <c r="NP21" i="2"/>
  <c r="MJ21" i="2"/>
  <c r="LE21" i="2"/>
  <c r="JY21" i="2"/>
  <c r="IT21" i="2"/>
  <c r="HN21" i="2"/>
  <c r="FD21" i="2"/>
  <c r="CS21" i="2"/>
  <c r="AMZ20" i="2"/>
  <c r="ALU20" i="2"/>
  <c r="AKO20" i="2"/>
  <c r="AJL20" i="2"/>
  <c r="AIF20" i="2"/>
  <c r="AGZ20" i="2"/>
  <c r="AFU20" i="2"/>
  <c r="AEO20" i="2"/>
  <c r="ADJ20" i="2"/>
  <c r="ACD20" i="2"/>
  <c r="AAX20" i="2"/>
  <c r="ZS20" i="2"/>
  <c r="YM20" i="2"/>
  <c r="XH20" i="2"/>
  <c r="WB20" i="2"/>
  <c r="UY20" i="2"/>
  <c r="TS20" i="2"/>
  <c r="RW20" i="2"/>
  <c r="RG20" i="2"/>
  <c r="QA20" i="2"/>
  <c r="OV20" i="2"/>
  <c r="NP20" i="2"/>
  <c r="MJ20" i="2"/>
  <c r="LE20" i="2"/>
  <c r="JY20" i="2"/>
  <c r="IT20" i="2"/>
  <c r="HN20" i="2"/>
  <c r="GJ20" i="2"/>
  <c r="FD20" i="2"/>
  <c r="CS20" i="2"/>
  <c r="AMZ19" i="2"/>
  <c r="ALU19" i="2"/>
  <c r="AKO19" i="2"/>
  <c r="AJL19" i="2"/>
  <c r="AIF19" i="2"/>
  <c r="AGZ19" i="2"/>
  <c r="AFU19" i="2"/>
  <c r="AEO19" i="2"/>
  <c r="ADJ19" i="2"/>
  <c r="ACD19" i="2"/>
  <c r="AAX19" i="2"/>
  <c r="ZS19" i="2"/>
  <c r="YM19" i="2"/>
  <c r="XH19" i="2"/>
  <c r="WB19" i="2"/>
  <c r="AMZ18" i="2"/>
  <c r="ALU18" i="2"/>
  <c r="AKO18" i="2"/>
  <c r="AJL18" i="2"/>
  <c r="AIF18" i="2"/>
  <c r="AGZ18" i="2"/>
  <c r="AFU18" i="2"/>
  <c r="AEO18" i="2"/>
  <c r="ADJ18" i="2"/>
  <c r="ACD18" i="2"/>
  <c r="AAX18" i="2"/>
  <c r="ZS18" i="2"/>
  <c r="YM18" i="2"/>
  <c r="XH18" i="2"/>
  <c r="WB18" i="2"/>
  <c r="UY18" i="2"/>
  <c r="TS18" i="2"/>
  <c r="SM18" i="2"/>
  <c r="RG18" i="2"/>
  <c r="QA18" i="2"/>
  <c r="OV18" i="2"/>
  <c r="NP18" i="2"/>
  <c r="MJ18" i="2"/>
  <c r="LE18" i="2"/>
  <c r="JY18" i="2"/>
  <c r="IT18" i="2"/>
  <c r="HN18" i="2"/>
  <c r="GJ18" i="2"/>
  <c r="FD18" i="2"/>
  <c r="DX18" i="2"/>
  <c r="CS18" i="2"/>
  <c r="AMZ17" i="2"/>
  <c r="ALU17" i="2"/>
  <c r="AKO17" i="2"/>
  <c r="AJL17" i="2"/>
  <c r="AIF17" i="2"/>
  <c r="AGZ17" i="2"/>
  <c r="AFU17" i="2"/>
  <c r="AEO17" i="2"/>
  <c r="ADJ17" i="2"/>
  <c r="ACD17" i="2"/>
  <c r="AAX17" i="2"/>
  <c r="ZS17" i="2"/>
  <c r="YM17" i="2"/>
  <c r="XH17" i="2"/>
  <c r="WB17" i="2"/>
  <c r="UY17" i="2"/>
  <c r="TS17" i="2"/>
  <c r="SM17" i="2"/>
  <c r="RG17" i="2"/>
  <c r="QA17" i="2"/>
  <c r="OV17" i="2"/>
  <c r="NP17" i="2"/>
  <c r="MJ17" i="2"/>
  <c r="LE17" i="2"/>
  <c r="JY17" i="2"/>
  <c r="IT17" i="2"/>
  <c r="HN17" i="2"/>
  <c r="GJ17" i="2"/>
  <c r="FD17" i="2"/>
  <c r="CS17" i="2"/>
  <c r="BM17" i="2"/>
  <c r="ANO16" i="2"/>
  <c r="ANO32" i="2" s="1"/>
  <c r="ANN26" i="4" s="1"/>
  <c r="AMZ16" i="2"/>
  <c r="ALD16" i="2"/>
  <c r="ALD32" i="2" s="1"/>
  <c r="ALC26" i="4" s="1"/>
  <c r="ALC16" i="2"/>
  <c r="AKO16" i="2"/>
  <c r="AJL16" i="2"/>
  <c r="AIF16" i="2"/>
  <c r="AGE16" i="2"/>
  <c r="AFU16" i="2"/>
  <c r="AEO16" i="2"/>
  <c r="ADJ16" i="2"/>
  <c r="ACD16" i="2"/>
  <c r="AAX16" i="2"/>
  <c r="ZS16" i="2"/>
  <c r="YM16" i="2"/>
  <c r="XH16" i="2"/>
  <c r="WB16" i="2"/>
  <c r="UY16" i="2"/>
  <c r="TS16" i="2"/>
  <c r="SM16" i="2"/>
  <c r="RG16" i="2"/>
  <c r="QA16" i="2"/>
  <c r="OV16" i="2"/>
  <c r="NP16" i="2"/>
  <c r="MJ16" i="2"/>
  <c r="LE16" i="2"/>
  <c r="JY16" i="2"/>
  <c r="IT16" i="2"/>
  <c r="HN16" i="2"/>
  <c r="GJ16" i="2"/>
  <c r="FD16" i="2"/>
  <c r="DX16" i="2"/>
  <c r="CS16" i="2"/>
  <c r="BM16" i="2"/>
  <c r="AMZ15" i="2"/>
  <c r="ALU15" i="2"/>
  <c r="AKO15" i="2"/>
  <c r="AJL15" i="2"/>
  <c r="AIF15" i="2"/>
  <c r="AGZ15" i="2"/>
  <c r="AFU15" i="2"/>
  <c r="AEO15" i="2"/>
  <c r="ADJ15" i="2"/>
  <c r="ACD15" i="2"/>
  <c r="AAX15" i="2"/>
  <c r="ZS15" i="2"/>
  <c r="YM15" i="2"/>
  <c r="XH15" i="2"/>
  <c r="WB15" i="2"/>
  <c r="UY15" i="2"/>
  <c r="TS15" i="2"/>
  <c r="SM15" i="2"/>
  <c r="RG15" i="2"/>
  <c r="QA15" i="2"/>
  <c r="OV15" i="2"/>
  <c r="NP15" i="2"/>
  <c r="MJ15" i="2"/>
  <c r="LE15" i="2"/>
  <c r="JY15" i="2"/>
  <c r="IT15" i="2"/>
  <c r="HN15" i="2"/>
  <c r="FD15" i="2"/>
  <c r="DX15" i="2"/>
  <c r="CS15" i="2"/>
  <c r="BM15" i="2"/>
  <c r="ANW14" i="2"/>
  <c r="ANW32" i="2" s="1"/>
  <c r="ANV26" i="4" s="1"/>
  <c r="ANT14" i="2"/>
  <c r="ANT32" i="2" s="1"/>
  <c r="ANS26" i="4" s="1"/>
  <c r="AMZ14" i="2"/>
  <c r="ALU14" i="2"/>
  <c r="AKO14" i="2"/>
  <c r="AJL14" i="2"/>
  <c r="AHT14" i="2"/>
  <c r="AGZ14" i="2"/>
  <c r="AFU14" i="2"/>
  <c r="AEA14" i="2"/>
  <c r="ADJ14" i="2"/>
  <c r="ABO14" i="2"/>
  <c r="AAL14" i="2"/>
  <c r="ZS14" i="2"/>
  <c r="YA14" i="2"/>
  <c r="XH14" i="2"/>
  <c r="WB14" i="2"/>
  <c r="UR14" i="2"/>
  <c r="UR32" i="2" s="1"/>
  <c r="UQ26" i="4" s="1"/>
  <c r="UH14" i="2"/>
  <c r="TS14" i="2"/>
  <c r="SM14" i="2"/>
  <c r="RG14" i="2"/>
  <c r="QA14" i="2"/>
  <c r="OE14" i="2"/>
  <c r="NP14" i="2"/>
  <c r="LT14" i="2"/>
  <c r="KO14" i="2"/>
  <c r="KO32" i="2" s="1"/>
  <c r="KO26" i="4" s="1"/>
  <c r="KN14" i="2"/>
  <c r="JY14" i="2"/>
  <c r="IT14" i="2"/>
  <c r="HN14" i="2"/>
  <c r="GJ14" i="2"/>
  <c r="FD14" i="2"/>
  <c r="DX14" i="2"/>
  <c r="CS14" i="2"/>
  <c r="AU14" i="2"/>
  <c r="AMZ13" i="2"/>
  <c r="ALU13" i="2"/>
  <c r="AKO13" i="2"/>
  <c r="AJL13" i="2"/>
  <c r="AIF13" i="2"/>
  <c r="AFZ13" i="2"/>
  <c r="AFU13" i="2"/>
  <c r="AEO13" i="2"/>
  <c r="ADJ13" i="2"/>
  <c r="ACD13" i="2"/>
  <c r="AAX13" i="2"/>
  <c r="ZS13" i="2"/>
  <c r="YM13" i="2"/>
  <c r="XH13" i="2"/>
  <c r="WB13" i="2"/>
  <c r="UY13" i="2"/>
  <c r="TS13" i="2"/>
  <c r="SM13" i="2"/>
  <c r="RG13" i="2"/>
  <c r="QA13" i="2"/>
  <c r="OV13" i="2"/>
  <c r="NP13" i="2"/>
  <c r="MJ13" i="2"/>
  <c r="LE13" i="2"/>
  <c r="JY13" i="2"/>
  <c r="IT13" i="2"/>
  <c r="HN13" i="2"/>
  <c r="GJ13" i="2"/>
  <c r="FD13" i="2"/>
  <c r="DX13" i="2"/>
  <c r="BP13" i="2"/>
  <c r="BM13" i="2"/>
  <c r="AH13" i="2"/>
  <c r="AMZ12" i="2"/>
  <c r="ALU12" i="2"/>
  <c r="AKO12" i="2"/>
  <c r="AJL12" i="2"/>
  <c r="AIF12" i="2"/>
  <c r="AGZ12" i="2"/>
  <c r="AFU12" i="2"/>
  <c r="AEO12" i="2"/>
  <c r="ADJ12" i="2"/>
  <c r="ACD12" i="2"/>
  <c r="AAX12" i="2"/>
  <c r="ZS12" i="2"/>
  <c r="YM12" i="2"/>
  <c r="XH12" i="2"/>
  <c r="WB12" i="2"/>
  <c r="UY12" i="2"/>
  <c r="TS12" i="2"/>
  <c r="SM12" i="2"/>
  <c r="RG12" i="2"/>
  <c r="QA12" i="2"/>
  <c r="OV12" i="2"/>
  <c r="NP12" i="2"/>
  <c r="MJ12" i="2"/>
  <c r="LE12" i="2"/>
  <c r="JY12" i="2"/>
  <c r="IT12" i="2"/>
  <c r="HN12" i="2"/>
  <c r="FD12" i="2"/>
  <c r="DX12" i="2"/>
  <c r="CS12" i="2"/>
  <c r="BM12" i="2"/>
  <c r="AH12" i="2"/>
  <c r="AMZ11" i="2"/>
  <c r="ALU11" i="2"/>
  <c r="AKO11" i="2"/>
  <c r="AJL11" i="2"/>
  <c r="AIF11" i="2"/>
  <c r="AGZ11" i="2"/>
  <c r="AFU11" i="2"/>
  <c r="AEO11" i="2"/>
  <c r="ADJ11" i="2"/>
  <c r="ACD11" i="2"/>
  <c r="AAX11" i="2"/>
  <c r="ZS11" i="2"/>
  <c r="YM11" i="2"/>
  <c r="XH11" i="2"/>
  <c r="WB11" i="2"/>
  <c r="UY11" i="2"/>
  <c r="TS11" i="2"/>
  <c r="SM11" i="2"/>
  <c r="RG11" i="2"/>
  <c r="QA11" i="2"/>
  <c r="OV11" i="2"/>
  <c r="NP11" i="2"/>
  <c r="MJ11" i="2"/>
  <c r="LE11" i="2"/>
  <c r="JY11" i="2"/>
  <c r="IT11" i="2"/>
  <c r="HN11" i="2"/>
  <c r="GJ11" i="2"/>
  <c r="FD11" i="2"/>
  <c r="DX11" i="2"/>
  <c r="CS11" i="2"/>
  <c r="BM11" i="2"/>
  <c r="AH11" i="2"/>
  <c r="AMZ10" i="2"/>
  <c r="ALU10" i="2"/>
  <c r="AKO10" i="2"/>
  <c r="AJL10" i="2"/>
  <c r="AIF10" i="2"/>
  <c r="AGZ10" i="2"/>
  <c r="AFU10" i="2"/>
  <c r="AEO10" i="2"/>
  <c r="ADJ10" i="2"/>
  <c r="ACD10" i="2"/>
  <c r="AAX10" i="2"/>
  <c r="ZS10" i="2"/>
  <c r="YM10" i="2"/>
  <c r="XH10" i="2"/>
  <c r="WB10" i="2"/>
  <c r="UY10" i="2"/>
  <c r="TS10" i="2"/>
  <c r="SM10" i="2"/>
  <c r="RG10" i="2"/>
  <c r="QA10" i="2"/>
  <c r="OV10" i="2"/>
  <c r="NP10" i="2"/>
  <c r="MJ10" i="2"/>
  <c r="LE10" i="2"/>
  <c r="JY10" i="2"/>
  <c r="IT10" i="2"/>
  <c r="HN10" i="2"/>
  <c r="GJ10" i="2"/>
  <c r="FD10" i="2"/>
  <c r="DX10" i="2"/>
  <c r="CS10" i="2"/>
  <c r="BM10" i="2"/>
  <c r="AH10" i="2"/>
  <c r="AMZ9" i="2"/>
  <c r="ALU9" i="2"/>
  <c r="AKO9" i="2"/>
  <c r="AJL9" i="2"/>
  <c r="AIF9" i="2"/>
  <c r="AGZ9" i="2"/>
  <c r="AFU9" i="2"/>
  <c r="AEO9" i="2"/>
  <c r="ADJ9" i="2"/>
  <c r="ACD9" i="2"/>
  <c r="AAX9" i="2"/>
  <c r="ZS9" i="2"/>
  <c r="YM9" i="2"/>
  <c r="XH9" i="2"/>
  <c r="WB9" i="2"/>
  <c r="UY9" i="2"/>
  <c r="TS9" i="2"/>
  <c r="SM9" i="2"/>
  <c r="RG9" i="2"/>
  <c r="QA9" i="2"/>
  <c r="OV9" i="2"/>
  <c r="NP9" i="2"/>
  <c r="MJ9" i="2"/>
  <c r="LE9" i="2"/>
  <c r="JY9" i="2"/>
  <c r="IT9" i="2"/>
  <c r="HN9" i="2"/>
  <c r="GJ9" i="2"/>
  <c r="FD9" i="2"/>
  <c r="DX9" i="2"/>
  <c r="CS9" i="2"/>
  <c r="BM9" i="2"/>
  <c r="AH9" i="2"/>
  <c r="AMZ8" i="2"/>
  <c r="ALU8" i="2"/>
  <c r="AKO8" i="2"/>
  <c r="AJL8" i="2"/>
  <c r="AIF8" i="2"/>
  <c r="AGZ8" i="2"/>
  <c r="AFU8" i="2"/>
  <c r="AEO8" i="2"/>
  <c r="ADJ8" i="2"/>
  <c r="ACD8" i="2"/>
  <c r="AAX8" i="2"/>
  <c r="ZS8" i="2"/>
  <c r="YM8" i="2"/>
  <c r="XH8" i="2"/>
  <c r="WB8" i="2"/>
  <c r="UY8" i="2"/>
  <c r="TS8" i="2"/>
  <c r="SM8" i="2"/>
  <c r="RG8" i="2"/>
  <c r="QA8" i="2"/>
  <c r="OV8" i="2"/>
  <c r="NP8" i="2"/>
  <c r="MJ8" i="2"/>
  <c r="LE8" i="2"/>
  <c r="JY8" i="2"/>
  <c r="IT8" i="2"/>
  <c r="HN8" i="2"/>
  <c r="FD8" i="2"/>
  <c r="CS8" i="2"/>
  <c r="BM8" i="2"/>
  <c r="AH8" i="2"/>
  <c r="AMZ7" i="2"/>
  <c r="ALU7" i="2"/>
  <c r="AKO7" i="2"/>
  <c r="AJL7" i="2"/>
  <c r="AIF7" i="2"/>
  <c r="AGZ7" i="2"/>
  <c r="AFU7" i="2"/>
  <c r="AEO7" i="2"/>
  <c r="ADJ7" i="2"/>
  <c r="ACD7" i="2"/>
  <c r="AAX7" i="2"/>
  <c r="ZS7" i="2"/>
  <c r="YM7" i="2"/>
  <c r="XH7" i="2"/>
  <c r="WB7" i="2"/>
  <c r="UY7" i="2"/>
  <c r="TS7" i="2"/>
  <c r="SM7" i="2"/>
  <c r="RG7" i="2"/>
  <c r="QA7" i="2"/>
  <c r="OV7" i="2"/>
  <c r="NP7" i="2"/>
  <c r="MJ7" i="2"/>
  <c r="LE7" i="2"/>
  <c r="JY7" i="2"/>
  <c r="IT7" i="2"/>
  <c r="HN7" i="2"/>
  <c r="GJ7" i="2"/>
  <c r="FD7" i="2"/>
  <c r="DX7" i="2"/>
  <c r="CS7" i="2"/>
  <c r="BM7" i="2"/>
  <c r="AH7" i="2"/>
  <c r="AMZ6" i="2"/>
  <c r="ALU6" i="2"/>
  <c r="AKO6" i="2"/>
  <c r="AJL6" i="2"/>
  <c r="AIF6" i="2"/>
  <c r="AGZ6" i="2"/>
  <c r="AFU6" i="2"/>
  <c r="AEO6" i="2"/>
  <c r="ADJ6" i="2"/>
  <c r="ACD6" i="2"/>
  <c r="AAX6" i="2"/>
  <c r="ZS6" i="2"/>
  <c r="YM6" i="2"/>
  <c r="XH6" i="2"/>
  <c r="WB6" i="2"/>
  <c r="UY6" i="2"/>
  <c r="TS6" i="2"/>
  <c r="SM6" i="2"/>
  <c r="RG6" i="2"/>
  <c r="QA6" i="2"/>
  <c r="OV6" i="2"/>
  <c r="NP6" i="2"/>
  <c r="MJ6" i="2"/>
  <c r="LE6" i="2"/>
  <c r="JY6" i="2"/>
  <c r="IT6" i="2"/>
  <c r="HN6" i="2"/>
  <c r="GJ6" i="2"/>
  <c r="FD6" i="2"/>
  <c r="DX6" i="2"/>
  <c r="CS6" i="2"/>
  <c r="BM6" i="2"/>
  <c r="AH6" i="2"/>
  <c r="AMZ5" i="2"/>
  <c r="ALU5" i="2"/>
  <c r="AKO5" i="2"/>
  <c r="AJL5" i="2"/>
  <c r="AIF5" i="2"/>
  <c r="AGZ5" i="2"/>
  <c r="AFU5" i="2"/>
  <c r="AEO5" i="2"/>
  <c r="ADJ5" i="2"/>
  <c r="ACD5" i="2"/>
  <c r="AAX5" i="2"/>
  <c r="ZS5" i="2"/>
  <c r="YM5" i="2"/>
  <c r="WI5" i="2"/>
  <c r="WB5" i="2"/>
  <c r="UY5" i="2"/>
  <c r="TS5" i="2"/>
  <c r="SM5" i="2"/>
  <c r="RG5" i="2"/>
  <c r="QA5" i="2"/>
  <c r="OV5" i="2"/>
  <c r="NP5" i="2"/>
  <c r="MJ5" i="2"/>
  <c r="LE5" i="2"/>
  <c r="JY5" i="2"/>
  <c r="ID5" i="2"/>
  <c r="HN5" i="2"/>
  <c r="GJ5" i="2"/>
  <c r="FD5" i="2"/>
  <c r="DX5" i="2"/>
  <c r="CS5" i="2"/>
  <c r="BM5" i="2"/>
  <c r="AH5" i="2"/>
  <c r="AMZ4" i="2"/>
  <c r="ALU4" i="2"/>
  <c r="AKO4" i="2"/>
  <c r="AJL4" i="2"/>
  <c r="AIF4" i="2"/>
  <c r="AGZ4" i="2"/>
  <c r="AFU4" i="2"/>
  <c r="AEO4" i="2"/>
  <c r="ADJ4" i="2"/>
  <c r="ACD4" i="2"/>
  <c r="AAX4" i="2"/>
  <c r="ZS4" i="2"/>
  <c r="YM4" i="2"/>
  <c r="XH4" i="2"/>
  <c r="WB4" i="2"/>
  <c r="UY4" i="2"/>
  <c r="TS4" i="2"/>
  <c r="SM4" i="2"/>
  <c r="RG4" i="2"/>
  <c r="QA4" i="2"/>
  <c r="OV4" i="2"/>
  <c r="NP4" i="2"/>
  <c r="MJ4" i="2"/>
  <c r="LE4" i="2"/>
  <c r="JY4" i="2"/>
  <c r="IT4" i="2"/>
  <c r="HN4" i="2"/>
  <c r="GJ4" i="2"/>
  <c r="FD4" i="2"/>
  <c r="DX4" i="2"/>
  <c r="CS4" i="2"/>
  <c r="BM4" i="2"/>
  <c r="AH4" i="2"/>
  <c r="AMZ3" i="2"/>
  <c r="ALU3" i="2"/>
  <c r="AKO3" i="2"/>
  <c r="AJL3" i="2"/>
  <c r="AJL32" i="2" s="1"/>
  <c r="AIF3" i="2"/>
  <c r="AGZ3" i="2"/>
  <c r="AFU3" i="2"/>
  <c r="AEO3" i="2"/>
  <c r="ADJ3" i="2"/>
  <c r="ACD3" i="2"/>
  <c r="AAX3" i="2"/>
  <c r="ZS3" i="2"/>
  <c r="ZS32" i="2" s="1"/>
  <c r="YM3" i="2"/>
  <c r="XH3" i="2"/>
  <c r="WB3" i="2"/>
  <c r="WB32" i="2" s="1"/>
  <c r="UY3" i="2"/>
  <c r="TS3" i="2"/>
  <c r="TS32" i="2" s="1"/>
  <c r="SM3" i="2"/>
  <c r="RG3" i="2"/>
  <c r="QA3" i="2"/>
  <c r="OV3" i="2"/>
  <c r="NP3" i="2"/>
  <c r="MJ3" i="2"/>
  <c r="LE3" i="2"/>
  <c r="JY3" i="2"/>
  <c r="IT3" i="2"/>
  <c r="HN3" i="2"/>
  <c r="GJ3" i="2"/>
  <c r="FD3" i="2"/>
  <c r="DX3" i="2"/>
  <c r="CS3" i="2"/>
  <c r="AH3" i="2"/>
  <c r="KA2" i="2"/>
  <c r="KB2" i="2" s="1"/>
  <c r="KC2" i="2" s="1"/>
  <c r="KD2" i="2" s="1"/>
  <c r="KE2" i="2" s="1"/>
  <c r="KF2" i="2" s="1"/>
  <c r="KG2" i="2" s="1"/>
  <c r="KH2" i="2" s="1"/>
  <c r="KI2" i="2" s="1"/>
  <c r="KJ2" i="2" s="1"/>
  <c r="KK2" i="2" s="1"/>
  <c r="KL2" i="2" s="1"/>
  <c r="KM2" i="2" s="1"/>
  <c r="KN2" i="2" s="1"/>
  <c r="KO2" i="2" s="1"/>
  <c r="KP2" i="2" s="1"/>
  <c r="KQ2" i="2" s="1"/>
  <c r="KR2" i="2" s="1"/>
  <c r="KS2" i="2" s="1"/>
  <c r="KT2" i="2" s="1"/>
  <c r="KU2" i="2" s="1"/>
  <c r="KV2" i="2" s="1"/>
  <c r="KW2" i="2" s="1"/>
  <c r="KX2" i="2" s="1"/>
  <c r="KY2" i="2" s="1"/>
  <c r="KZ2" i="2" s="1"/>
  <c r="LA2" i="2" s="1"/>
  <c r="LB2" i="2" s="1"/>
  <c r="LC2" i="2" s="1"/>
  <c r="LD2" i="2" s="1"/>
  <c r="IV2" i="2"/>
  <c r="IW2" i="2" s="1"/>
  <c r="IX2" i="2" s="1"/>
  <c r="IY2" i="2" s="1"/>
  <c r="IZ2" i="2" s="1"/>
  <c r="JA2" i="2" s="1"/>
  <c r="JB2" i="2" s="1"/>
  <c r="JC2" i="2" s="1"/>
  <c r="JD2" i="2" s="1"/>
  <c r="JE2" i="2" s="1"/>
  <c r="JF2" i="2" s="1"/>
  <c r="JG2" i="2" s="1"/>
  <c r="JH2" i="2" s="1"/>
  <c r="JI2" i="2" s="1"/>
  <c r="JJ2" i="2" s="1"/>
  <c r="JK2" i="2" s="1"/>
  <c r="JL2" i="2" s="1"/>
  <c r="JM2" i="2" s="1"/>
  <c r="JN2" i="2" s="1"/>
  <c r="JO2" i="2" s="1"/>
  <c r="JP2" i="2" s="1"/>
  <c r="JQ2" i="2" s="1"/>
  <c r="JR2" i="2" s="1"/>
  <c r="JS2" i="2" s="1"/>
  <c r="JT2" i="2" s="1"/>
  <c r="JU2" i="2" s="1"/>
  <c r="JV2" i="2" s="1"/>
  <c r="JW2" i="2" s="1"/>
  <c r="JX2" i="2" s="1"/>
  <c r="HP2" i="2"/>
  <c r="HQ2" i="2" s="1"/>
  <c r="HR2" i="2" s="1"/>
  <c r="HS2" i="2" s="1"/>
  <c r="HT2" i="2" s="1"/>
  <c r="HU2" i="2" s="1"/>
  <c r="HV2" i="2" s="1"/>
  <c r="HW2" i="2" s="1"/>
  <c r="HX2" i="2" s="1"/>
  <c r="HY2" i="2" s="1"/>
  <c r="HZ2" i="2" s="1"/>
  <c r="IA2" i="2" s="1"/>
  <c r="IB2" i="2" s="1"/>
  <c r="IC2" i="2" s="1"/>
  <c r="ID2" i="2" s="1"/>
  <c r="IE2" i="2" s="1"/>
  <c r="IF2" i="2" s="1"/>
  <c r="IG2" i="2" s="1"/>
  <c r="IH2" i="2" s="1"/>
  <c r="II2" i="2" s="1"/>
  <c r="IJ2" i="2" s="1"/>
  <c r="IK2" i="2" s="1"/>
  <c r="IL2" i="2" s="1"/>
  <c r="IM2" i="2" s="1"/>
  <c r="IN2" i="2" s="1"/>
  <c r="IO2" i="2" s="1"/>
  <c r="IP2" i="2" s="1"/>
  <c r="IQ2" i="2" s="1"/>
  <c r="IR2" i="2" s="1"/>
  <c r="IS2" i="2" s="1"/>
  <c r="DZ2" i="2"/>
  <c r="EA2" i="2" s="1"/>
  <c r="EB2" i="2" s="1"/>
  <c r="EC2" i="2" s="1"/>
  <c r="ED2" i="2" s="1"/>
  <c r="EE2" i="2" s="1"/>
  <c r="EF2" i="2" s="1"/>
  <c r="EG2" i="2" s="1"/>
  <c r="EH2" i="2" s="1"/>
  <c r="EI2" i="2" s="1"/>
  <c r="EJ2" i="2" s="1"/>
  <c r="EK2" i="2" s="1"/>
  <c r="EL2" i="2" s="1"/>
  <c r="EM2" i="2" s="1"/>
  <c r="EN2" i="2" s="1"/>
  <c r="EO2" i="2" s="1"/>
  <c r="EP2" i="2" s="1"/>
  <c r="EQ2" i="2" s="1"/>
  <c r="ER2" i="2" s="1"/>
  <c r="ES2" i="2" s="1"/>
  <c r="ET2" i="2" s="1"/>
  <c r="EU2" i="2" s="1"/>
  <c r="EV2" i="2" s="1"/>
  <c r="EW2" i="2" s="1"/>
  <c r="EX2" i="2" s="1"/>
  <c r="EY2" i="2" s="1"/>
  <c r="EZ2" i="2" s="1"/>
  <c r="FA2" i="2" s="1"/>
  <c r="FB2" i="2" s="1"/>
  <c r="FC2" i="2" s="1"/>
  <c r="FE2" i="2" s="1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V2" i="2" s="1"/>
  <c r="FW2" i="2" s="1"/>
  <c r="FX2" i="2" s="1"/>
  <c r="FY2" i="2" s="1"/>
  <c r="FZ2" i="2" s="1"/>
  <c r="GA2" i="2" s="1"/>
  <c r="GB2" i="2" s="1"/>
  <c r="GC2" i="2" s="1"/>
  <c r="GD2" i="2" s="1"/>
  <c r="GE2" i="2" s="1"/>
  <c r="GF2" i="2" s="1"/>
  <c r="GG2" i="2" s="1"/>
  <c r="GH2" i="2" s="1"/>
  <c r="GI2" i="2" s="1"/>
  <c r="GK2" i="2" s="1"/>
  <c r="GL2" i="2" s="1"/>
  <c r="GM2" i="2" s="1"/>
  <c r="GN2" i="2" s="1"/>
  <c r="GO2" i="2" s="1"/>
  <c r="GP2" i="2" s="1"/>
  <c r="GQ2" i="2" s="1"/>
  <c r="GR2" i="2" s="1"/>
  <c r="GS2" i="2" s="1"/>
  <c r="GT2" i="2" s="1"/>
  <c r="GU2" i="2" s="1"/>
  <c r="GV2" i="2" s="1"/>
  <c r="GW2" i="2" s="1"/>
  <c r="GX2" i="2" s="1"/>
  <c r="GY2" i="2" s="1"/>
  <c r="GZ2" i="2" s="1"/>
  <c r="HA2" i="2" s="1"/>
  <c r="HB2" i="2" s="1"/>
  <c r="HC2" i="2" s="1"/>
  <c r="HD2" i="2" s="1"/>
  <c r="HE2" i="2" s="1"/>
  <c r="HF2" i="2" s="1"/>
  <c r="HG2" i="2" s="1"/>
  <c r="HH2" i="2" s="1"/>
  <c r="HI2" i="2" s="1"/>
  <c r="HJ2" i="2" s="1"/>
  <c r="HK2" i="2" s="1"/>
  <c r="HL2" i="2" s="1"/>
  <c r="HM2" i="2" s="1"/>
  <c r="BN2" i="2"/>
  <c r="CR2" i="2" s="1"/>
  <c r="DW2" i="2" s="1"/>
  <c r="AJ2" i="2"/>
  <c r="ADQ17" i="1"/>
  <c r="ADQ19" i="1" s="1"/>
  <c r="ADQ21" i="1" s="1"/>
  <c r="ADP17" i="1"/>
  <c r="BW13" i="1"/>
  <c r="BW12" i="1"/>
  <c r="AMX8" i="1"/>
  <c r="ALS8" i="1"/>
  <c r="AJJ8" i="1"/>
  <c r="AKM8" i="1" s="1"/>
  <c r="AID8" i="1"/>
  <c r="AGX8" i="1"/>
  <c r="AFS8" i="1"/>
  <c r="AEM8" i="1"/>
  <c r="ACB8" i="1"/>
  <c r="AAV8" i="1"/>
  <c r="YN8" i="1"/>
  <c r="YK8" i="1"/>
  <c r="XF8" i="1"/>
  <c r="TQ8" i="1"/>
  <c r="SK8" i="1"/>
  <c r="PZ8" i="1"/>
  <c r="OU8" i="1"/>
  <c r="NO8" i="1"/>
  <c r="LD8" i="1"/>
  <c r="MI8" i="1" s="1"/>
  <c r="JX8" i="1"/>
  <c r="IS8" i="1"/>
  <c r="HM8" i="1"/>
  <c r="DW8" i="1"/>
  <c r="CR8" i="1"/>
  <c r="BL8" i="1"/>
  <c r="AG8" i="1"/>
  <c r="AMX7" i="1"/>
  <c r="ALS7" i="1"/>
  <c r="AKM7" i="1"/>
  <c r="AJJ7" i="1"/>
  <c r="AID7" i="1"/>
  <c r="AGX7" i="1"/>
  <c r="AFS7" i="1"/>
  <c r="AEM7" i="1"/>
  <c r="ADH7" i="1"/>
  <c r="ACB7" i="1"/>
  <c r="AAV7" i="1"/>
  <c r="ZQ7" i="1"/>
  <c r="YK7" i="1"/>
  <c r="XF7" i="1"/>
  <c r="VZ7" i="1"/>
  <c r="UW7" i="1"/>
  <c r="TQ7" i="1"/>
  <c r="SK7" i="1"/>
  <c r="RF7" i="1"/>
  <c r="PB7" i="1"/>
  <c r="OU7" i="1"/>
  <c r="NO7" i="1"/>
  <c r="LD7" i="1"/>
  <c r="MI7" i="1" s="1"/>
  <c r="JX7" i="1"/>
  <c r="IS7" i="1"/>
  <c r="HM7" i="1"/>
  <c r="GI7" i="1"/>
  <c r="FC7" i="1"/>
  <c r="DW7" i="1"/>
  <c r="CR7" i="1"/>
  <c r="AV7" i="1"/>
  <c r="B7" i="1"/>
  <c r="AMX6" i="1"/>
  <c r="ALS6" i="1"/>
  <c r="AKM6" i="1"/>
  <c r="AJJ6" i="1"/>
  <c r="AID6" i="1"/>
  <c r="AGX6" i="1"/>
  <c r="AFS6" i="1"/>
  <c r="AEM6" i="1"/>
  <c r="ADH6" i="1"/>
  <c r="ACB6" i="1"/>
  <c r="AAV6" i="1"/>
  <c r="ZQ6" i="1"/>
  <c r="XF6" i="1"/>
  <c r="YK6" i="1" s="1"/>
  <c r="VZ6" i="1"/>
  <c r="UW6" i="1"/>
  <c r="TQ6" i="1"/>
  <c r="SK6" i="1"/>
  <c r="RF6" i="1"/>
  <c r="PZ6" i="1"/>
  <c r="OU6" i="1"/>
  <c r="NO6" i="1"/>
  <c r="LD6" i="1"/>
  <c r="MI6" i="1" s="1"/>
  <c r="JX6" i="1"/>
  <c r="IS6" i="1"/>
  <c r="HM6" i="1"/>
  <c r="GI6" i="1"/>
  <c r="FC6" i="1"/>
  <c r="DW6" i="1"/>
  <c r="CR6" i="1"/>
  <c r="AV6" i="1"/>
  <c r="T6" i="1"/>
  <c r="AMX5" i="1"/>
  <c r="ALS5" i="1"/>
  <c r="AJJ5" i="1"/>
  <c r="AKM5" i="1" s="1"/>
  <c r="AID5" i="1"/>
  <c r="AGX5" i="1"/>
  <c r="AFS5" i="1"/>
  <c r="AEM5" i="1"/>
  <c r="ADH5" i="1"/>
  <c r="ACB5" i="1"/>
  <c r="AAV5" i="1"/>
  <c r="ZQ5" i="1"/>
  <c r="XF5" i="1"/>
  <c r="YK5" i="1" s="1"/>
  <c r="VZ5" i="1"/>
  <c r="UW5" i="1"/>
  <c r="TQ5" i="1"/>
  <c r="SK5" i="1"/>
  <c r="RF5" i="1"/>
  <c r="PZ5" i="1"/>
  <c r="OU5" i="1"/>
  <c r="NO5" i="1"/>
  <c r="LD5" i="1"/>
  <c r="MI5" i="1" s="1"/>
  <c r="JX5" i="1"/>
  <c r="IS5" i="1"/>
  <c r="HM5" i="1"/>
  <c r="GI5" i="1"/>
  <c r="FC5" i="1"/>
  <c r="DW5" i="1"/>
  <c r="CR5" i="1"/>
  <c r="BL5" i="1"/>
  <c r="AG5" i="1"/>
  <c r="AMX4" i="1"/>
  <c r="ALS4" i="1"/>
  <c r="AJJ4" i="1"/>
  <c r="AKM4" i="1" s="1"/>
  <c r="AID4" i="1"/>
  <c r="AGX4" i="1"/>
  <c r="AFS4" i="1"/>
  <c r="AEM4" i="1"/>
  <c r="ADH4" i="1"/>
  <c r="ACB4" i="1"/>
  <c r="AAV4" i="1"/>
  <c r="ZQ4" i="1"/>
  <c r="XF4" i="1"/>
  <c r="YK4" i="1" s="1"/>
  <c r="VZ4" i="1"/>
  <c r="UW4" i="1"/>
  <c r="TQ4" i="1"/>
  <c r="SK4" i="1"/>
  <c r="RF4" i="1"/>
  <c r="PZ4" i="1"/>
  <c r="OU4" i="1"/>
  <c r="NO4" i="1"/>
  <c r="LD4" i="1"/>
  <c r="MI4" i="1" s="1"/>
  <c r="JX4" i="1"/>
  <c r="IS4" i="1"/>
  <c r="HM4" i="1"/>
  <c r="GI4" i="1"/>
  <c r="FC4" i="1"/>
  <c r="DW4" i="1"/>
  <c r="CR4" i="1"/>
  <c r="BL4" i="1"/>
  <c r="AG4" i="1"/>
  <c r="JZ3" i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IU3" i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HN3" i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DY3" i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BM3" i="1"/>
  <c r="CQ3" i="1" s="1"/>
  <c r="DV3" i="1" s="1"/>
  <c r="AI3" i="1"/>
  <c r="CM48" i="3"/>
  <c r="CO48" i="3" s="1"/>
  <c r="YX43" i="3"/>
  <c r="YX45" i="3" s="1"/>
  <c r="YZ45" i="3" s="1"/>
  <c r="ZB42" i="3"/>
  <c r="ZB44" i="3" s="1"/>
  <c r="AMJ40" i="3"/>
  <c r="MA39" i="3"/>
  <c r="GK35" i="3"/>
  <c r="HO35" i="3" s="1"/>
  <c r="AMZ33" i="3"/>
  <c r="ALU33" i="3"/>
  <c r="AKO33" i="3"/>
  <c r="AJL33" i="3"/>
  <c r="AIF33" i="3"/>
  <c r="AGZ33" i="3"/>
  <c r="AFU33" i="3"/>
  <c r="AEO33" i="3"/>
  <c r="ADJ33" i="3"/>
  <c r="ACD33" i="3"/>
  <c r="AAX33" i="3"/>
  <c r="ZS33" i="3"/>
  <c r="YM33" i="3"/>
  <c r="XH33" i="3"/>
  <c r="UY33" i="3"/>
  <c r="WB33" i="3" s="1"/>
  <c r="TS33" i="3"/>
  <c r="SM33" i="3"/>
  <c r="RH33" i="3"/>
  <c r="QB33" i="3"/>
  <c r="OW33" i="3"/>
  <c r="NQ33" i="3"/>
  <c r="MK33" i="3"/>
  <c r="LF33" i="3"/>
  <c r="JZ33" i="3"/>
  <c r="IU33" i="3"/>
  <c r="GK33" i="3"/>
  <c r="HO33" i="3" s="1"/>
  <c r="DY33" i="3"/>
  <c r="AI33" i="3"/>
  <c r="AOF32" i="3"/>
  <c r="AOF34" i="3" s="1"/>
  <c r="AOE32" i="3"/>
  <c r="AOE34" i="3" s="1"/>
  <c r="AOD32" i="3"/>
  <c r="AOD34" i="3" s="1"/>
  <c r="AOC7" i="4" s="1"/>
  <c r="AOE31" i="3"/>
  <c r="AOD31" i="3"/>
  <c r="D31" i="3"/>
  <c r="AOC29" i="3"/>
  <c r="AOC31" i="3" s="1"/>
  <c r="AOB29" i="3"/>
  <c r="AOB31" i="3" s="1"/>
  <c r="AOA29" i="3"/>
  <c r="AOA31" i="3" s="1"/>
  <c r="ANZ29" i="3"/>
  <c r="ANZ31" i="3" s="1"/>
  <c r="ANY29" i="3"/>
  <c r="ANY31" i="3" s="1"/>
  <c r="ANX29" i="3"/>
  <c r="ANX31" i="3" s="1"/>
  <c r="ANW29" i="3"/>
  <c r="ANW31" i="3" s="1"/>
  <c r="ANV29" i="3"/>
  <c r="ANV31" i="3" s="1"/>
  <c r="ANU29" i="3"/>
  <c r="ANU31" i="3" s="1"/>
  <c r="ANT29" i="3"/>
  <c r="ANT31" i="3" s="1"/>
  <c r="ANS29" i="3"/>
  <c r="ANS31" i="3" s="1"/>
  <c r="ANR29" i="3"/>
  <c r="ANR31" i="3" s="1"/>
  <c r="ANQ29" i="3"/>
  <c r="ANQ31" i="3" s="1"/>
  <c r="ANP29" i="3"/>
  <c r="ANP31" i="3" s="1"/>
  <c r="ANO29" i="3"/>
  <c r="ANO31" i="3" s="1"/>
  <c r="ANN29" i="3"/>
  <c r="ANN31" i="3" s="1"/>
  <c r="ANM29" i="3"/>
  <c r="ANM31" i="3" s="1"/>
  <c r="ANL29" i="3"/>
  <c r="ANL31" i="3" s="1"/>
  <c r="ANK29" i="3"/>
  <c r="ANK31" i="3" s="1"/>
  <c r="ANJ29" i="3"/>
  <c r="ANJ31" i="3" s="1"/>
  <c r="ANI29" i="3"/>
  <c r="ANI31" i="3" s="1"/>
  <c r="ANH29" i="3"/>
  <c r="ANH31" i="3" s="1"/>
  <c r="ANG29" i="3"/>
  <c r="ANG31" i="3" s="1"/>
  <c r="ANF29" i="3"/>
  <c r="ANF31" i="3" s="1"/>
  <c r="ANE29" i="3"/>
  <c r="ANE31" i="3" s="1"/>
  <c r="AND29" i="3"/>
  <c r="AND31" i="3" s="1"/>
  <c r="ANC29" i="3"/>
  <c r="ANC31" i="3" s="1"/>
  <c r="ANB29" i="3"/>
  <c r="ANB31" i="3" s="1"/>
  <c r="ANA29" i="3"/>
  <c r="ANA31" i="3" s="1"/>
  <c r="AMY29" i="3"/>
  <c r="AMY31" i="3" s="1"/>
  <c r="AMX29" i="3"/>
  <c r="AMX31" i="3" s="1"/>
  <c r="AMW29" i="3"/>
  <c r="AMW31" i="3" s="1"/>
  <c r="AMV29" i="3"/>
  <c r="AMV31" i="3" s="1"/>
  <c r="AMU29" i="3"/>
  <c r="AMU31" i="3" s="1"/>
  <c r="AMT29" i="3"/>
  <c r="AMT31" i="3" s="1"/>
  <c r="AMS29" i="3"/>
  <c r="AMS31" i="3" s="1"/>
  <c r="AMR29" i="3"/>
  <c r="AMR31" i="3" s="1"/>
  <c r="AMQ29" i="3"/>
  <c r="AMQ31" i="3" s="1"/>
  <c r="AMP29" i="3"/>
  <c r="AMP31" i="3" s="1"/>
  <c r="AMO29" i="3"/>
  <c r="AMO31" i="3" s="1"/>
  <c r="AMN29" i="3"/>
  <c r="AMN31" i="3" s="1"/>
  <c r="AMM29" i="3"/>
  <c r="AMM31" i="3" s="1"/>
  <c r="AML29" i="3"/>
  <c r="AML31" i="3" s="1"/>
  <c r="AMK29" i="3"/>
  <c r="AMK31" i="3" s="1"/>
  <c r="AMJ29" i="3"/>
  <c r="AMJ31" i="3" s="1"/>
  <c r="AMI29" i="3"/>
  <c r="AMI31" i="3" s="1"/>
  <c r="AMH29" i="3"/>
  <c r="AMH31" i="3" s="1"/>
  <c r="AMG29" i="3"/>
  <c r="AMG31" i="3" s="1"/>
  <c r="AMF29" i="3"/>
  <c r="AMF31" i="3" s="1"/>
  <c r="AME29" i="3"/>
  <c r="AME31" i="3" s="1"/>
  <c r="AMD29" i="3"/>
  <c r="AMD31" i="3" s="1"/>
  <c r="AMC29" i="3"/>
  <c r="AMC31" i="3" s="1"/>
  <c r="AMB29" i="3"/>
  <c r="AMB31" i="3" s="1"/>
  <c r="AMA29" i="3"/>
  <c r="AMA31" i="3" s="1"/>
  <c r="ALZ29" i="3"/>
  <c r="ALZ31" i="3" s="1"/>
  <c r="ALY29" i="3"/>
  <c r="ALY31" i="3" s="1"/>
  <c r="ALX29" i="3"/>
  <c r="ALX31" i="3" s="1"/>
  <c r="ALW29" i="3"/>
  <c r="ALW31" i="3" s="1"/>
  <c r="ALV29" i="3"/>
  <c r="ALV31" i="3" s="1"/>
  <c r="ALT29" i="3"/>
  <c r="ALT31" i="3" s="1"/>
  <c r="ALS29" i="3"/>
  <c r="ALS31" i="3" s="1"/>
  <c r="ALR29" i="3"/>
  <c r="ALR31" i="3" s="1"/>
  <c r="ALQ29" i="3"/>
  <c r="ALQ31" i="3" s="1"/>
  <c r="ALP29" i="3"/>
  <c r="ALP31" i="3" s="1"/>
  <c r="ALO29" i="3"/>
  <c r="ALO31" i="3" s="1"/>
  <c r="ALN29" i="3"/>
  <c r="ALN31" i="3" s="1"/>
  <c r="ALM29" i="3"/>
  <c r="ALM31" i="3" s="1"/>
  <c r="ALL29" i="3"/>
  <c r="ALL31" i="3" s="1"/>
  <c r="ALK29" i="3"/>
  <c r="ALK31" i="3" s="1"/>
  <c r="ALJ29" i="3"/>
  <c r="ALJ31" i="3" s="1"/>
  <c r="ALI29" i="3"/>
  <c r="ALI31" i="3" s="1"/>
  <c r="ALH29" i="3"/>
  <c r="ALH31" i="3" s="1"/>
  <c r="ALG29" i="3"/>
  <c r="ALG31" i="3" s="1"/>
  <c r="ALF29" i="3"/>
  <c r="ALF31" i="3" s="1"/>
  <c r="ALE29" i="3"/>
  <c r="ALE31" i="3" s="1"/>
  <c r="ALD29" i="3"/>
  <c r="ALD31" i="3" s="1"/>
  <c r="ALC29" i="3"/>
  <c r="ALC31" i="3" s="1"/>
  <c r="ALB29" i="3"/>
  <c r="ALB31" i="3" s="1"/>
  <c r="ALA29" i="3"/>
  <c r="ALA31" i="3" s="1"/>
  <c r="AKZ29" i="3"/>
  <c r="AKZ31" i="3" s="1"/>
  <c r="AKY29" i="3"/>
  <c r="AKY31" i="3" s="1"/>
  <c r="AKX29" i="3"/>
  <c r="AKX31" i="3" s="1"/>
  <c r="AKW29" i="3"/>
  <c r="AKW31" i="3" s="1"/>
  <c r="AKV29" i="3"/>
  <c r="AKV31" i="3" s="1"/>
  <c r="AKU29" i="3"/>
  <c r="AKU31" i="3" s="1"/>
  <c r="AKT29" i="3"/>
  <c r="AKT31" i="3" s="1"/>
  <c r="AKS29" i="3"/>
  <c r="AKS31" i="3" s="1"/>
  <c r="AKR29" i="3"/>
  <c r="AKR31" i="3" s="1"/>
  <c r="AKQ29" i="3"/>
  <c r="AKQ31" i="3" s="1"/>
  <c r="AKP29" i="3"/>
  <c r="AKP31" i="3" s="1"/>
  <c r="AKN29" i="3"/>
  <c r="AKN31" i="3" s="1"/>
  <c r="AKM29" i="3"/>
  <c r="AKM31" i="3" s="1"/>
  <c r="AKL29" i="3"/>
  <c r="AKL31" i="3" s="1"/>
  <c r="AKK29" i="3"/>
  <c r="AKK31" i="3" s="1"/>
  <c r="AKJ29" i="3"/>
  <c r="AKJ31" i="3" s="1"/>
  <c r="AKI29" i="3"/>
  <c r="AKI31" i="3" s="1"/>
  <c r="AKH29" i="3"/>
  <c r="AKH31" i="3" s="1"/>
  <c r="AKG29" i="3"/>
  <c r="AKG31" i="3" s="1"/>
  <c r="AKF29" i="3"/>
  <c r="AKF31" i="3" s="1"/>
  <c r="AKE29" i="3"/>
  <c r="AKE31" i="3" s="1"/>
  <c r="AKD29" i="3"/>
  <c r="AKD31" i="3" s="1"/>
  <c r="AKC29" i="3"/>
  <c r="AKC31" i="3" s="1"/>
  <c r="AKB29" i="3"/>
  <c r="AKB31" i="3" s="1"/>
  <c r="AKA29" i="3"/>
  <c r="AKA31" i="3" s="1"/>
  <c r="AJZ29" i="3"/>
  <c r="AJZ31" i="3" s="1"/>
  <c r="AJY29" i="3"/>
  <c r="AJY31" i="3" s="1"/>
  <c r="AJX29" i="3"/>
  <c r="AJX31" i="3" s="1"/>
  <c r="AJW29" i="3"/>
  <c r="AJW31" i="3" s="1"/>
  <c r="AJV29" i="3"/>
  <c r="AJV31" i="3" s="1"/>
  <c r="AJU29" i="3"/>
  <c r="AJU31" i="3" s="1"/>
  <c r="AJT29" i="3"/>
  <c r="AJT31" i="3" s="1"/>
  <c r="AJS29" i="3"/>
  <c r="AJS31" i="3" s="1"/>
  <c r="AJR29" i="3"/>
  <c r="AJR31" i="3" s="1"/>
  <c r="AJQ29" i="3"/>
  <c r="AJQ31" i="3" s="1"/>
  <c r="AJP29" i="3"/>
  <c r="AJP31" i="3" s="1"/>
  <c r="AJO29" i="3"/>
  <c r="AJO31" i="3" s="1"/>
  <c r="AJN29" i="3"/>
  <c r="AJN31" i="3" s="1"/>
  <c r="AJM29" i="3"/>
  <c r="AJM31" i="3" s="1"/>
  <c r="AJK29" i="3"/>
  <c r="AJK31" i="3" s="1"/>
  <c r="AJJ29" i="3"/>
  <c r="AJJ31" i="3" s="1"/>
  <c r="AJI29" i="3"/>
  <c r="AJI31" i="3" s="1"/>
  <c r="AJH29" i="3"/>
  <c r="AJH31" i="3" s="1"/>
  <c r="AJG29" i="3"/>
  <c r="AJG31" i="3" s="1"/>
  <c r="AJF29" i="3"/>
  <c r="AJF31" i="3" s="1"/>
  <c r="AJE29" i="3"/>
  <c r="AJE31" i="3" s="1"/>
  <c r="AJD29" i="3"/>
  <c r="AJD31" i="3" s="1"/>
  <c r="AJC29" i="3"/>
  <c r="AJC31" i="3" s="1"/>
  <c r="AJB29" i="3"/>
  <c r="AJB31" i="3" s="1"/>
  <c r="AJA29" i="3"/>
  <c r="AJA31" i="3" s="1"/>
  <c r="AIZ29" i="3"/>
  <c r="AIZ31" i="3" s="1"/>
  <c r="AIY29" i="3"/>
  <c r="AIY31" i="3" s="1"/>
  <c r="AIX29" i="3"/>
  <c r="AIX31" i="3" s="1"/>
  <c r="AIW29" i="3"/>
  <c r="AIW31" i="3" s="1"/>
  <c r="AIV29" i="3"/>
  <c r="AIV31" i="3" s="1"/>
  <c r="AIU29" i="3"/>
  <c r="AIU31" i="3" s="1"/>
  <c r="AIT29" i="3"/>
  <c r="AIT31" i="3" s="1"/>
  <c r="AIS29" i="3"/>
  <c r="AIS31" i="3" s="1"/>
  <c r="AIR29" i="3"/>
  <c r="AIR31" i="3" s="1"/>
  <c r="AIQ29" i="3"/>
  <c r="AIQ31" i="3" s="1"/>
  <c r="AIP29" i="3"/>
  <c r="AIP31" i="3" s="1"/>
  <c r="AIO29" i="3"/>
  <c r="AIO31" i="3" s="1"/>
  <c r="AIN29" i="3"/>
  <c r="AIN31" i="3" s="1"/>
  <c r="AIM29" i="3"/>
  <c r="AIM31" i="3" s="1"/>
  <c r="AIL29" i="3"/>
  <c r="AIL31" i="3" s="1"/>
  <c r="AIK29" i="3"/>
  <c r="AIK31" i="3" s="1"/>
  <c r="AIJ29" i="3"/>
  <c r="AIJ31" i="3" s="1"/>
  <c r="AII29" i="3"/>
  <c r="AII31" i="3" s="1"/>
  <c r="AIH29" i="3"/>
  <c r="AIH31" i="3" s="1"/>
  <c r="AIG29" i="3"/>
  <c r="AIG31" i="3" s="1"/>
  <c r="AIE29" i="3"/>
  <c r="AIE31" i="3" s="1"/>
  <c r="AID29" i="3"/>
  <c r="AID31" i="3" s="1"/>
  <c r="AIC29" i="3"/>
  <c r="AIC31" i="3" s="1"/>
  <c r="AIB29" i="3"/>
  <c r="AIB31" i="3" s="1"/>
  <c r="AIA29" i="3"/>
  <c r="AIA31" i="3" s="1"/>
  <c r="AHZ29" i="3"/>
  <c r="AHZ31" i="3" s="1"/>
  <c r="AHY29" i="3"/>
  <c r="AHY31" i="3" s="1"/>
  <c r="AHX29" i="3"/>
  <c r="AHX31" i="3" s="1"/>
  <c r="AHW29" i="3"/>
  <c r="AHW31" i="3" s="1"/>
  <c r="AHV29" i="3"/>
  <c r="AHV31" i="3" s="1"/>
  <c r="AHU29" i="3"/>
  <c r="AHU31" i="3" s="1"/>
  <c r="AHT29" i="3"/>
  <c r="AHT31" i="3" s="1"/>
  <c r="AHS29" i="3"/>
  <c r="AHS31" i="3" s="1"/>
  <c r="AHR29" i="3"/>
  <c r="AHR31" i="3" s="1"/>
  <c r="AHQ29" i="3"/>
  <c r="AHQ31" i="3" s="1"/>
  <c r="AHP29" i="3"/>
  <c r="AHP31" i="3" s="1"/>
  <c r="AHO29" i="3"/>
  <c r="AHO31" i="3" s="1"/>
  <c r="AHN29" i="3"/>
  <c r="AHN31" i="3" s="1"/>
  <c r="AHM29" i="3"/>
  <c r="AHM31" i="3" s="1"/>
  <c r="AHL29" i="3"/>
  <c r="AHL31" i="3" s="1"/>
  <c r="AHK29" i="3"/>
  <c r="AHK31" i="3" s="1"/>
  <c r="AHJ29" i="3"/>
  <c r="AHJ31" i="3" s="1"/>
  <c r="AHI29" i="3"/>
  <c r="AHI31" i="3" s="1"/>
  <c r="AHH29" i="3"/>
  <c r="AHH31" i="3" s="1"/>
  <c r="AHG29" i="3"/>
  <c r="AHG31" i="3" s="1"/>
  <c r="AHF29" i="3"/>
  <c r="AHF31" i="3" s="1"/>
  <c r="AHE29" i="3"/>
  <c r="AHE31" i="3" s="1"/>
  <c r="AHD29" i="3"/>
  <c r="AHD31" i="3" s="1"/>
  <c r="AHC29" i="3"/>
  <c r="AHC31" i="3" s="1"/>
  <c r="AHB29" i="3"/>
  <c r="AHB31" i="3" s="1"/>
  <c r="AHA29" i="3"/>
  <c r="AHA31" i="3" s="1"/>
  <c r="AGY29" i="3"/>
  <c r="AGY31" i="3" s="1"/>
  <c r="AGX29" i="3"/>
  <c r="AGX31" i="3" s="1"/>
  <c r="AGW29" i="3"/>
  <c r="AGW31" i="3" s="1"/>
  <c r="AGV29" i="3"/>
  <c r="AGV31" i="3" s="1"/>
  <c r="AGU29" i="3"/>
  <c r="AGU31" i="3" s="1"/>
  <c r="AGT29" i="3"/>
  <c r="AGT31" i="3" s="1"/>
  <c r="AGS29" i="3"/>
  <c r="AGS31" i="3" s="1"/>
  <c r="AGR29" i="3"/>
  <c r="AGR31" i="3" s="1"/>
  <c r="AGQ29" i="3"/>
  <c r="AGQ31" i="3" s="1"/>
  <c r="AGP29" i="3"/>
  <c r="AGP31" i="3" s="1"/>
  <c r="AGO29" i="3"/>
  <c r="AGO31" i="3" s="1"/>
  <c r="AGN29" i="3"/>
  <c r="AGN31" i="3" s="1"/>
  <c r="AGM29" i="3"/>
  <c r="AGM31" i="3" s="1"/>
  <c r="AGL29" i="3"/>
  <c r="AGL31" i="3" s="1"/>
  <c r="AGK29" i="3"/>
  <c r="AGK31" i="3" s="1"/>
  <c r="AGJ29" i="3"/>
  <c r="AGJ31" i="3" s="1"/>
  <c r="AGI29" i="3"/>
  <c r="AGI31" i="3" s="1"/>
  <c r="AGH29" i="3"/>
  <c r="AGH31" i="3" s="1"/>
  <c r="AGG29" i="3"/>
  <c r="AGG31" i="3" s="1"/>
  <c r="AGF29" i="3"/>
  <c r="AGF31" i="3" s="1"/>
  <c r="AGE29" i="3"/>
  <c r="AGE31" i="3" s="1"/>
  <c r="AGD29" i="3"/>
  <c r="AGD31" i="3" s="1"/>
  <c r="AGC29" i="3"/>
  <c r="AGC31" i="3" s="1"/>
  <c r="AGB29" i="3"/>
  <c r="AGB31" i="3" s="1"/>
  <c r="AGA29" i="3"/>
  <c r="AGA31" i="3" s="1"/>
  <c r="AFZ29" i="3"/>
  <c r="AFZ31" i="3" s="1"/>
  <c r="AFY29" i="3"/>
  <c r="AFY31" i="3" s="1"/>
  <c r="AFX29" i="3"/>
  <c r="AFX31" i="3" s="1"/>
  <c r="AFW29" i="3"/>
  <c r="AFW31" i="3" s="1"/>
  <c r="AFV29" i="3"/>
  <c r="AFV31" i="3" s="1"/>
  <c r="AFT29" i="3"/>
  <c r="AFT31" i="3" s="1"/>
  <c r="AFS29" i="3"/>
  <c r="AFS31" i="3" s="1"/>
  <c r="AFR29" i="3"/>
  <c r="AFR31" i="3" s="1"/>
  <c r="AFQ29" i="3"/>
  <c r="AFQ31" i="3" s="1"/>
  <c r="AFP29" i="3"/>
  <c r="AFP31" i="3" s="1"/>
  <c r="AFO29" i="3"/>
  <c r="AFO31" i="3" s="1"/>
  <c r="AFN29" i="3"/>
  <c r="AFN31" i="3" s="1"/>
  <c r="AFM29" i="3"/>
  <c r="AFM31" i="3" s="1"/>
  <c r="AFL29" i="3"/>
  <c r="AFL31" i="3" s="1"/>
  <c r="AFK29" i="3"/>
  <c r="AFK31" i="3" s="1"/>
  <c r="AFJ29" i="3"/>
  <c r="AFJ31" i="3" s="1"/>
  <c r="AFI29" i="3"/>
  <c r="AFI31" i="3" s="1"/>
  <c r="AFH29" i="3"/>
  <c r="AFH31" i="3" s="1"/>
  <c r="AFG29" i="3"/>
  <c r="AFG31" i="3" s="1"/>
  <c r="AFF29" i="3"/>
  <c r="AFF31" i="3" s="1"/>
  <c r="AFE29" i="3"/>
  <c r="AFE31" i="3" s="1"/>
  <c r="AFD29" i="3"/>
  <c r="AFD31" i="3" s="1"/>
  <c r="AFC29" i="3"/>
  <c r="AFC31" i="3" s="1"/>
  <c r="AFB29" i="3"/>
  <c r="AFB31" i="3" s="1"/>
  <c r="AFA29" i="3"/>
  <c r="AFA31" i="3" s="1"/>
  <c r="AEZ29" i="3"/>
  <c r="AEZ31" i="3" s="1"/>
  <c r="AEY29" i="3"/>
  <c r="AEY31" i="3" s="1"/>
  <c r="AEX29" i="3"/>
  <c r="AEX31" i="3" s="1"/>
  <c r="AEW29" i="3"/>
  <c r="AEW31" i="3" s="1"/>
  <c r="AEV29" i="3"/>
  <c r="AEV31" i="3" s="1"/>
  <c r="AEU29" i="3"/>
  <c r="AEU31" i="3" s="1"/>
  <c r="AET29" i="3"/>
  <c r="AET31" i="3" s="1"/>
  <c r="AES29" i="3"/>
  <c r="AES31" i="3" s="1"/>
  <c r="AER29" i="3"/>
  <c r="AER31" i="3" s="1"/>
  <c r="AEQ29" i="3"/>
  <c r="AEQ31" i="3" s="1"/>
  <c r="AEP29" i="3"/>
  <c r="AEP31" i="3" s="1"/>
  <c r="AEN29" i="3"/>
  <c r="AEN31" i="3" s="1"/>
  <c r="AEM29" i="3"/>
  <c r="AEM31" i="3" s="1"/>
  <c r="AEL29" i="3"/>
  <c r="AEL31" i="3" s="1"/>
  <c r="AEK29" i="3"/>
  <c r="AEK31" i="3" s="1"/>
  <c r="AEJ29" i="3"/>
  <c r="AEJ31" i="3" s="1"/>
  <c r="AEI29" i="3"/>
  <c r="AEI31" i="3" s="1"/>
  <c r="AEH29" i="3"/>
  <c r="AEH31" i="3" s="1"/>
  <c r="AEG29" i="3"/>
  <c r="AEG31" i="3" s="1"/>
  <c r="AEF29" i="3"/>
  <c r="AEF31" i="3" s="1"/>
  <c r="AEE29" i="3"/>
  <c r="AEE31" i="3" s="1"/>
  <c r="AED29" i="3"/>
  <c r="AED31" i="3" s="1"/>
  <c r="AEC29" i="3"/>
  <c r="AEC31" i="3" s="1"/>
  <c r="AEB29" i="3"/>
  <c r="AEB31" i="3" s="1"/>
  <c r="AEA29" i="3"/>
  <c r="AEA31" i="3" s="1"/>
  <c r="ADZ29" i="3"/>
  <c r="ADZ31" i="3" s="1"/>
  <c r="ADY29" i="3"/>
  <c r="ADY31" i="3" s="1"/>
  <c r="ADX29" i="3"/>
  <c r="ADX31" i="3" s="1"/>
  <c r="ADW29" i="3"/>
  <c r="ADW31" i="3" s="1"/>
  <c r="ADV29" i="3"/>
  <c r="ADV31" i="3" s="1"/>
  <c r="ADU29" i="3"/>
  <c r="ADU31" i="3" s="1"/>
  <c r="ADT29" i="3"/>
  <c r="ADT31" i="3" s="1"/>
  <c r="ADS29" i="3"/>
  <c r="ADS31" i="3" s="1"/>
  <c r="ADR29" i="3"/>
  <c r="ADR31" i="3" s="1"/>
  <c r="ADQ29" i="3"/>
  <c r="ADQ31" i="3" s="1"/>
  <c r="ADP29" i="3"/>
  <c r="ADP31" i="3" s="1"/>
  <c r="ADO29" i="3"/>
  <c r="ADO31" i="3" s="1"/>
  <c r="ADN29" i="3"/>
  <c r="ADN31" i="3" s="1"/>
  <c r="ADM29" i="3"/>
  <c r="ADM31" i="3" s="1"/>
  <c r="ADL29" i="3"/>
  <c r="ADL31" i="3" s="1"/>
  <c r="ADK29" i="3"/>
  <c r="ADK31" i="3" s="1"/>
  <c r="ADI29" i="3"/>
  <c r="ADI31" i="3" s="1"/>
  <c r="ADH29" i="3"/>
  <c r="ADH31" i="3" s="1"/>
  <c r="ADG29" i="3"/>
  <c r="ADG31" i="3" s="1"/>
  <c r="ADF29" i="3"/>
  <c r="ADF31" i="3" s="1"/>
  <c r="ADE29" i="3"/>
  <c r="ADE31" i="3" s="1"/>
  <c r="ADD29" i="3"/>
  <c r="ADD31" i="3" s="1"/>
  <c r="ADC29" i="3"/>
  <c r="ADC31" i="3" s="1"/>
  <c r="ADB29" i="3"/>
  <c r="ADB31" i="3" s="1"/>
  <c r="ADA29" i="3"/>
  <c r="ADA31" i="3" s="1"/>
  <c r="ACZ29" i="3"/>
  <c r="ACZ31" i="3" s="1"/>
  <c r="ACY29" i="3"/>
  <c r="ACY31" i="3" s="1"/>
  <c r="ACX29" i="3"/>
  <c r="ACX31" i="3" s="1"/>
  <c r="ACW29" i="3"/>
  <c r="ACW31" i="3" s="1"/>
  <c r="ACV29" i="3"/>
  <c r="ACV31" i="3" s="1"/>
  <c r="ACU29" i="3"/>
  <c r="ACU31" i="3" s="1"/>
  <c r="ACT29" i="3"/>
  <c r="ACT31" i="3" s="1"/>
  <c r="ACS29" i="3"/>
  <c r="ACS31" i="3" s="1"/>
  <c r="ACR29" i="3"/>
  <c r="ACR31" i="3" s="1"/>
  <c r="ACQ29" i="3"/>
  <c r="ACQ31" i="3" s="1"/>
  <c r="ACP29" i="3"/>
  <c r="ACP31" i="3" s="1"/>
  <c r="ACO29" i="3"/>
  <c r="ACO31" i="3" s="1"/>
  <c r="ACN29" i="3"/>
  <c r="ACN31" i="3" s="1"/>
  <c r="ACM29" i="3"/>
  <c r="ACM31" i="3" s="1"/>
  <c r="ACL29" i="3"/>
  <c r="ACL31" i="3" s="1"/>
  <c r="ACK29" i="3"/>
  <c r="ACK31" i="3" s="1"/>
  <c r="ACJ29" i="3"/>
  <c r="ACJ31" i="3" s="1"/>
  <c r="ACI29" i="3"/>
  <c r="ACI31" i="3" s="1"/>
  <c r="ACH29" i="3"/>
  <c r="ACH31" i="3" s="1"/>
  <c r="ACG29" i="3"/>
  <c r="ACG31" i="3" s="1"/>
  <c r="ACF29" i="3"/>
  <c r="ACF31" i="3" s="1"/>
  <c r="ACE29" i="3"/>
  <c r="ACE31" i="3" s="1"/>
  <c r="ACC29" i="3"/>
  <c r="ACC31" i="3" s="1"/>
  <c r="ACB29" i="3"/>
  <c r="ACB31" i="3" s="1"/>
  <c r="ACA29" i="3"/>
  <c r="ACA31" i="3" s="1"/>
  <c r="ABZ29" i="3"/>
  <c r="ABZ31" i="3" s="1"/>
  <c r="ABY29" i="3"/>
  <c r="ABY31" i="3" s="1"/>
  <c r="ABX29" i="3"/>
  <c r="ABX31" i="3" s="1"/>
  <c r="ABW29" i="3"/>
  <c r="ABW31" i="3" s="1"/>
  <c r="ABV29" i="3"/>
  <c r="ABV31" i="3" s="1"/>
  <c r="ABU29" i="3"/>
  <c r="ABU31" i="3" s="1"/>
  <c r="ABT29" i="3"/>
  <c r="ABT31" i="3" s="1"/>
  <c r="ABS29" i="3"/>
  <c r="ABS31" i="3" s="1"/>
  <c r="ABR29" i="3"/>
  <c r="ABR31" i="3" s="1"/>
  <c r="ABQ29" i="3"/>
  <c r="ABQ31" i="3" s="1"/>
  <c r="ABP29" i="3"/>
  <c r="ABP31" i="3" s="1"/>
  <c r="ABO29" i="3"/>
  <c r="ABO31" i="3" s="1"/>
  <c r="ABN29" i="3"/>
  <c r="ABN31" i="3" s="1"/>
  <c r="ABM29" i="3"/>
  <c r="ABM31" i="3" s="1"/>
  <c r="ABL29" i="3"/>
  <c r="ABL31" i="3" s="1"/>
  <c r="ABK29" i="3"/>
  <c r="ABK31" i="3" s="1"/>
  <c r="ABJ29" i="3"/>
  <c r="ABJ31" i="3" s="1"/>
  <c r="ABI29" i="3"/>
  <c r="ABI31" i="3" s="1"/>
  <c r="ABH29" i="3"/>
  <c r="ABH31" i="3" s="1"/>
  <c r="ABG29" i="3"/>
  <c r="ABG31" i="3" s="1"/>
  <c r="ABF29" i="3"/>
  <c r="ABF31" i="3" s="1"/>
  <c r="ABE29" i="3"/>
  <c r="ABE31" i="3" s="1"/>
  <c r="ABD29" i="3"/>
  <c r="ABD31" i="3" s="1"/>
  <c r="ABC29" i="3"/>
  <c r="ABC31" i="3" s="1"/>
  <c r="ABB29" i="3"/>
  <c r="ABB31" i="3" s="1"/>
  <c r="ABA29" i="3"/>
  <c r="ABA31" i="3" s="1"/>
  <c r="AAZ29" i="3"/>
  <c r="AAZ31" i="3" s="1"/>
  <c r="AAY29" i="3"/>
  <c r="AAY31" i="3" s="1"/>
  <c r="AAW29" i="3"/>
  <c r="AAW31" i="3" s="1"/>
  <c r="AAV29" i="3"/>
  <c r="AAV31" i="3" s="1"/>
  <c r="AAU29" i="3"/>
  <c r="AAU31" i="3" s="1"/>
  <c r="AAT29" i="3"/>
  <c r="AAT31" i="3" s="1"/>
  <c r="AAS29" i="3"/>
  <c r="AAS31" i="3" s="1"/>
  <c r="AAR29" i="3"/>
  <c r="AAR31" i="3" s="1"/>
  <c r="AAQ29" i="3"/>
  <c r="AAQ31" i="3" s="1"/>
  <c r="AAP29" i="3"/>
  <c r="AAP31" i="3" s="1"/>
  <c r="AAO29" i="3"/>
  <c r="AAO31" i="3" s="1"/>
  <c r="AAN29" i="3"/>
  <c r="AAN31" i="3" s="1"/>
  <c r="AAM29" i="3"/>
  <c r="AAM31" i="3" s="1"/>
  <c r="AAL29" i="3"/>
  <c r="AAL31" i="3" s="1"/>
  <c r="AAK29" i="3"/>
  <c r="AAK31" i="3" s="1"/>
  <c r="AAJ29" i="3"/>
  <c r="AAJ31" i="3" s="1"/>
  <c r="AAI29" i="3"/>
  <c r="AAI31" i="3" s="1"/>
  <c r="AAH29" i="3"/>
  <c r="AAH31" i="3" s="1"/>
  <c r="AAG29" i="3"/>
  <c r="AAG31" i="3" s="1"/>
  <c r="AAF29" i="3"/>
  <c r="AAF31" i="3" s="1"/>
  <c r="AAE29" i="3"/>
  <c r="AAE31" i="3" s="1"/>
  <c r="AAD29" i="3"/>
  <c r="AAD31" i="3" s="1"/>
  <c r="AAC29" i="3"/>
  <c r="AAC31" i="3" s="1"/>
  <c r="AAB29" i="3"/>
  <c r="AAB31" i="3" s="1"/>
  <c r="AAA29" i="3"/>
  <c r="AAA31" i="3" s="1"/>
  <c r="ZZ29" i="3"/>
  <c r="ZZ31" i="3" s="1"/>
  <c r="ZY29" i="3"/>
  <c r="ZY31" i="3" s="1"/>
  <c r="ZX29" i="3"/>
  <c r="ZX31" i="3" s="1"/>
  <c r="ZW29" i="3"/>
  <c r="ZW31" i="3" s="1"/>
  <c r="ZV29" i="3"/>
  <c r="ZV31" i="3" s="1"/>
  <c r="ZU29" i="3"/>
  <c r="ZU31" i="3" s="1"/>
  <c r="ZT29" i="3"/>
  <c r="ZT31" i="3" s="1"/>
  <c r="ZR29" i="3"/>
  <c r="ZR31" i="3" s="1"/>
  <c r="ZQ29" i="3"/>
  <c r="ZQ31" i="3" s="1"/>
  <c r="ZP29" i="3"/>
  <c r="ZP31" i="3" s="1"/>
  <c r="ZO29" i="3"/>
  <c r="ZO31" i="3" s="1"/>
  <c r="ZN29" i="3"/>
  <c r="ZN31" i="3" s="1"/>
  <c r="ZM29" i="3"/>
  <c r="ZM31" i="3" s="1"/>
  <c r="ZL29" i="3"/>
  <c r="ZL31" i="3" s="1"/>
  <c r="ZK29" i="3"/>
  <c r="ZK31" i="3" s="1"/>
  <c r="ZJ29" i="3"/>
  <c r="ZJ31" i="3" s="1"/>
  <c r="ZI29" i="3"/>
  <c r="ZI31" i="3" s="1"/>
  <c r="ZH29" i="3"/>
  <c r="ZH31" i="3" s="1"/>
  <c r="ZG29" i="3"/>
  <c r="ZG31" i="3" s="1"/>
  <c r="ZF29" i="3"/>
  <c r="ZF31" i="3" s="1"/>
  <c r="ZE29" i="3"/>
  <c r="ZE31" i="3" s="1"/>
  <c r="ZD29" i="3"/>
  <c r="ZD31" i="3" s="1"/>
  <c r="ZC29" i="3"/>
  <c r="ZC31" i="3" s="1"/>
  <c r="ZB29" i="3"/>
  <c r="ZB31" i="3" s="1"/>
  <c r="ZA29" i="3"/>
  <c r="ZA31" i="3" s="1"/>
  <c r="YZ29" i="3"/>
  <c r="YZ31" i="3" s="1"/>
  <c r="YY29" i="3"/>
  <c r="YY31" i="3" s="1"/>
  <c r="YX29" i="3"/>
  <c r="YX31" i="3" s="1"/>
  <c r="YW29" i="3"/>
  <c r="YW31" i="3" s="1"/>
  <c r="YV29" i="3"/>
  <c r="YV31" i="3" s="1"/>
  <c r="YU29" i="3"/>
  <c r="YU31" i="3" s="1"/>
  <c r="YT29" i="3"/>
  <c r="YT31" i="3" s="1"/>
  <c r="YS29" i="3"/>
  <c r="YS31" i="3" s="1"/>
  <c r="YR29" i="3"/>
  <c r="YR31" i="3" s="1"/>
  <c r="YQ29" i="3"/>
  <c r="YQ31" i="3" s="1"/>
  <c r="YP29" i="3"/>
  <c r="YP31" i="3" s="1"/>
  <c r="YO29" i="3"/>
  <c r="YO31" i="3" s="1"/>
  <c r="YN29" i="3"/>
  <c r="YN31" i="3" s="1"/>
  <c r="YL29" i="3"/>
  <c r="YL31" i="3" s="1"/>
  <c r="YK29" i="3"/>
  <c r="YK31" i="3" s="1"/>
  <c r="YJ29" i="3"/>
  <c r="YJ31" i="3" s="1"/>
  <c r="YI29" i="3"/>
  <c r="YI31" i="3" s="1"/>
  <c r="YH29" i="3"/>
  <c r="YH31" i="3" s="1"/>
  <c r="YG29" i="3"/>
  <c r="YG31" i="3" s="1"/>
  <c r="YF29" i="3"/>
  <c r="YF31" i="3" s="1"/>
  <c r="YE29" i="3"/>
  <c r="YE31" i="3" s="1"/>
  <c r="YD29" i="3"/>
  <c r="YD31" i="3" s="1"/>
  <c r="YC29" i="3"/>
  <c r="YC31" i="3" s="1"/>
  <c r="YB29" i="3"/>
  <c r="YB31" i="3" s="1"/>
  <c r="YA29" i="3"/>
  <c r="YA31" i="3" s="1"/>
  <c r="XZ29" i="3"/>
  <c r="XZ31" i="3" s="1"/>
  <c r="XY29" i="3"/>
  <c r="XY31" i="3" s="1"/>
  <c r="XX29" i="3"/>
  <c r="XX31" i="3" s="1"/>
  <c r="XW29" i="3"/>
  <c r="XW31" i="3" s="1"/>
  <c r="XV29" i="3"/>
  <c r="XV31" i="3" s="1"/>
  <c r="XU29" i="3"/>
  <c r="XU31" i="3" s="1"/>
  <c r="XT29" i="3"/>
  <c r="XT31" i="3" s="1"/>
  <c r="XS29" i="3"/>
  <c r="XS31" i="3" s="1"/>
  <c r="XR29" i="3"/>
  <c r="XR31" i="3" s="1"/>
  <c r="XQ29" i="3"/>
  <c r="XQ31" i="3" s="1"/>
  <c r="XP29" i="3"/>
  <c r="XP31" i="3" s="1"/>
  <c r="XO29" i="3"/>
  <c r="XO31" i="3" s="1"/>
  <c r="XN29" i="3"/>
  <c r="XN31" i="3" s="1"/>
  <c r="XM29" i="3"/>
  <c r="XM31" i="3" s="1"/>
  <c r="XL29" i="3"/>
  <c r="XL31" i="3" s="1"/>
  <c r="XK29" i="3"/>
  <c r="XK31" i="3" s="1"/>
  <c r="XJ29" i="3"/>
  <c r="XJ31" i="3" s="1"/>
  <c r="XI29" i="3"/>
  <c r="XI31" i="3" s="1"/>
  <c r="XG29" i="3"/>
  <c r="XG31" i="3" s="1"/>
  <c r="XF29" i="3"/>
  <c r="XF31" i="3" s="1"/>
  <c r="XE29" i="3"/>
  <c r="XE31" i="3" s="1"/>
  <c r="XD29" i="3"/>
  <c r="XD31" i="3" s="1"/>
  <c r="XC29" i="3"/>
  <c r="XC31" i="3" s="1"/>
  <c r="XB29" i="3"/>
  <c r="XB31" i="3" s="1"/>
  <c r="XA29" i="3"/>
  <c r="XA31" i="3" s="1"/>
  <c r="WZ29" i="3"/>
  <c r="WZ31" i="3" s="1"/>
  <c r="WY29" i="3"/>
  <c r="WY31" i="3" s="1"/>
  <c r="WX29" i="3"/>
  <c r="WX31" i="3" s="1"/>
  <c r="WW29" i="3"/>
  <c r="WW31" i="3" s="1"/>
  <c r="WV29" i="3"/>
  <c r="WV31" i="3" s="1"/>
  <c r="WU29" i="3"/>
  <c r="WU31" i="3" s="1"/>
  <c r="WT29" i="3"/>
  <c r="WT31" i="3" s="1"/>
  <c r="WS29" i="3"/>
  <c r="WS31" i="3" s="1"/>
  <c r="WR29" i="3"/>
  <c r="WR31" i="3" s="1"/>
  <c r="WQ29" i="3"/>
  <c r="WQ31" i="3" s="1"/>
  <c r="WP29" i="3"/>
  <c r="WP31" i="3" s="1"/>
  <c r="WO29" i="3"/>
  <c r="WO31" i="3" s="1"/>
  <c r="WN29" i="3"/>
  <c r="WN31" i="3" s="1"/>
  <c r="WM29" i="3"/>
  <c r="WM31" i="3" s="1"/>
  <c r="WL29" i="3"/>
  <c r="WL31" i="3" s="1"/>
  <c r="WK29" i="3"/>
  <c r="WK31" i="3" s="1"/>
  <c r="WJ29" i="3"/>
  <c r="WJ31" i="3" s="1"/>
  <c r="WI29" i="3"/>
  <c r="WI31" i="3" s="1"/>
  <c r="WH29" i="3"/>
  <c r="WH31" i="3" s="1"/>
  <c r="WG29" i="3"/>
  <c r="WG31" i="3" s="1"/>
  <c r="WF29" i="3"/>
  <c r="WF31" i="3" s="1"/>
  <c r="WE29" i="3"/>
  <c r="WE31" i="3" s="1"/>
  <c r="WD29" i="3"/>
  <c r="WD31" i="3" s="1"/>
  <c r="WC29" i="3"/>
  <c r="WC31" i="3" s="1"/>
  <c r="WA29" i="3"/>
  <c r="WA31" i="3" s="1"/>
  <c r="VZ29" i="3"/>
  <c r="VZ31" i="3" s="1"/>
  <c r="VY29" i="3"/>
  <c r="VY31" i="3" s="1"/>
  <c r="VX29" i="3"/>
  <c r="VX31" i="3" s="1"/>
  <c r="VW29" i="3"/>
  <c r="VW31" i="3" s="1"/>
  <c r="VV29" i="3"/>
  <c r="VV31" i="3" s="1"/>
  <c r="VU29" i="3"/>
  <c r="VU31" i="3" s="1"/>
  <c r="VT29" i="3"/>
  <c r="VT31" i="3" s="1"/>
  <c r="VS29" i="3"/>
  <c r="VS31" i="3" s="1"/>
  <c r="VR29" i="3"/>
  <c r="VR31" i="3" s="1"/>
  <c r="VQ29" i="3"/>
  <c r="VQ31" i="3" s="1"/>
  <c r="VP29" i="3"/>
  <c r="VP31" i="3" s="1"/>
  <c r="VO29" i="3"/>
  <c r="VO31" i="3" s="1"/>
  <c r="VN29" i="3"/>
  <c r="VN31" i="3" s="1"/>
  <c r="VM29" i="3"/>
  <c r="VM31" i="3" s="1"/>
  <c r="VL29" i="3"/>
  <c r="VL31" i="3" s="1"/>
  <c r="VK29" i="3"/>
  <c r="VK31" i="3" s="1"/>
  <c r="VJ29" i="3"/>
  <c r="VJ31" i="3" s="1"/>
  <c r="VI29" i="3"/>
  <c r="VI31" i="3" s="1"/>
  <c r="VH29" i="3"/>
  <c r="VH31" i="3" s="1"/>
  <c r="VG29" i="3"/>
  <c r="VG31" i="3" s="1"/>
  <c r="VF29" i="3"/>
  <c r="VF31" i="3" s="1"/>
  <c r="VE29" i="3"/>
  <c r="VE31" i="3" s="1"/>
  <c r="VD29" i="3"/>
  <c r="VD31" i="3" s="1"/>
  <c r="VC29" i="3"/>
  <c r="VC31" i="3" s="1"/>
  <c r="VB29" i="3"/>
  <c r="VB31" i="3" s="1"/>
  <c r="VA29" i="3"/>
  <c r="VA31" i="3" s="1"/>
  <c r="UZ29" i="3"/>
  <c r="UZ31" i="3" s="1"/>
  <c r="UX29" i="3"/>
  <c r="UX31" i="3" s="1"/>
  <c r="UX32" i="3" s="1"/>
  <c r="UX34" i="3" s="1"/>
  <c r="UW7" i="4" s="1"/>
  <c r="UW29" i="3"/>
  <c r="UW31" i="3" s="1"/>
  <c r="UW32" i="3" s="1"/>
  <c r="UW34" i="3" s="1"/>
  <c r="UV7" i="4" s="1"/>
  <c r="UV29" i="3"/>
  <c r="UV31" i="3" s="1"/>
  <c r="UV32" i="3" s="1"/>
  <c r="UV34" i="3" s="1"/>
  <c r="UU7" i="4" s="1"/>
  <c r="UU29" i="3"/>
  <c r="UU31" i="3" s="1"/>
  <c r="UU32" i="3" s="1"/>
  <c r="UU34" i="3" s="1"/>
  <c r="UT7" i="4" s="1"/>
  <c r="UT29" i="3"/>
  <c r="UT31" i="3" s="1"/>
  <c r="UT32" i="3" s="1"/>
  <c r="UT34" i="3" s="1"/>
  <c r="US7" i="4" s="1"/>
  <c r="US29" i="3"/>
  <c r="US31" i="3" s="1"/>
  <c r="US32" i="3" s="1"/>
  <c r="US34" i="3" s="1"/>
  <c r="UR7" i="4" s="1"/>
  <c r="UR29" i="3"/>
  <c r="UR31" i="3" s="1"/>
  <c r="UR32" i="3" s="1"/>
  <c r="UR34" i="3" s="1"/>
  <c r="UQ7" i="4" s="1"/>
  <c r="UQ29" i="3"/>
  <c r="UQ31" i="3" s="1"/>
  <c r="UQ32" i="3" s="1"/>
  <c r="UQ34" i="3" s="1"/>
  <c r="UP7" i="4" s="1"/>
  <c r="UP29" i="3"/>
  <c r="UP31" i="3" s="1"/>
  <c r="UP32" i="3" s="1"/>
  <c r="UP34" i="3" s="1"/>
  <c r="UO7" i="4" s="1"/>
  <c r="UO29" i="3"/>
  <c r="UO31" i="3" s="1"/>
  <c r="UO32" i="3" s="1"/>
  <c r="UO34" i="3" s="1"/>
  <c r="UN7" i="4" s="1"/>
  <c r="UN29" i="3"/>
  <c r="UN31" i="3" s="1"/>
  <c r="UN32" i="3" s="1"/>
  <c r="UN34" i="3" s="1"/>
  <c r="UM7" i="4" s="1"/>
  <c r="UM29" i="3"/>
  <c r="UM31" i="3" s="1"/>
  <c r="UM32" i="3" s="1"/>
  <c r="UM34" i="3" s="1"/>
  <c r="UL7" i="4" s="1"/>
  <c r="UL29" i="3"/>
  <c r="UL31" i="3" s="1"/>
  <c r="UL32" i="3" s="1"/>
  <c r="UL34" i="3" s="1"/>
  <c r="UK7" i="4" s="1"/>
  <c r="UK29" i="3"/>
  <c r="UK31" i="3" s="1"/>
  <c r="UK32" i="3" s="1"/>
  <c r="UK34" i="3" s="1"/>
  <c r="UJ7" i="4" s="1"/>
  <c r="UJ29" i="3"/>
  <c r="UJ31" i="3" s="1"/>
  <c r="UJ32" i="3" s="1"/>
  <c r="UJ34" i="3" s="1"/>
  <c r="UI7" i="4" s="1"/>
  <c r="UI29" i="3"/>
  <c r="UI31" i="3" s="1"/>
  <c r="UI32" i="3" s="1"/>
  <c r="UI34" i="3" s="1"/>
  <c r="UH7" i="4" s="1"/>
  <c r="UH29" i="3"/>
  <c r="UH31" i="3" s="1"/>
  <c r="UH32" i="3" s="1"/>
  <c r="UH34" i="3" s="1"/>
  <c r="UG7" i="4" s="1"/>
  <c r="UG29" i="3"/>
  <c r="UG31" i="3" s="1"/>
  <c r="UG32" i="3" s="1"/>
  <c r="UG34" i="3" s="1"/>
  <c r="UF7" i="4" s="1"/>
  <c r="UF29" i="3"/>
  <c r="UF31" i="3" s="1"/>
  <c r="UF32" i="3" s="1"/>
  <c r="UF34" i="3" s="1"/>
  <c r="UE7" i="4" s="1"/>
  <c r="UE29" i="3"/>
  <c r="UE31" i="3" s="1"/>
  <c r="UE32" i="3" s="1"/>
  <c r="UE34" i="3" s="1"/>
  <c r="UD7" i="4" s="1"/>
  <c r="UD29" i="3"/>
  <c r="UD31" i="3" s="1"/>
  <c r="UD32" i="3" s="1"/>
  <c r="UD34" i="3" s="1"/>
  <c r="UC7" i="4" s="1"/>
  <c r="UC29" i="3"/>
  <c r="UC31" i="3" s="1"/>
  <c r="UC32" i="3" s="1"/>
  <c r="UC34" i="3" s="1"/>
  <c r="UB7" i="4" s="1"/>
  <c r="UB29" i="3"/>
  <c r="UB31" i="3" s="1"/>
  <c r="UB32" i="3" s="1"/>
  <c r="UB34" i="3" s="1"/>
  <c r="UA7" i="4" s="1"/>
  <c r="UA29" i="3"/>
  <c r="UA31" i="3" s="1"/>
  <c r="UA32" i="3" s="1"/>
  <c r="UA34" i="3" s="1"/>
  <c r="TZ7" i="4" s="1"/>
  <c r="TZ29" i="3"/>
  <c r="TZ31" i="3" s="1"/>
  <c r="TZ32" i="3" s="1"/>
  <c r="TZ34" i="3" s="1"/>
  <c r="TY7" i="4" s="1"/>
  <c r="TY29" i="3"/>
  <c r="TY31" i="3" s="1"/>
  <c r="TY32" i="3" s="1"/>
  <c r="TY34" i="3" s="1"/>
  <c r="TX7" i="4" s="1"/>
  <c r="TX29" i="3"/>
  <c r="TX31" i="3" s="1"/>
  <c r="TX32" i="3" s="1"/>
  <c r="TX34" i="3" s="1"/>
  <c r="TW7" i="4" s="1"/>
  <c r="TW29" i="3"/>
  <c r="TW31" i="3" s="1"/>
  <c r="TW32" i="3" s="1"/>
  <c r="TW34" i="3" s="1"/>
  <c r="TV7" i="4" s="1"/>
  <c r="TV29" i="3"/>
  <c r="TV31" i="3" s="1"/>
  <c r="TV32" i="3" s="1"/>
  <c r="TV34" i="3" s="1"/>
  <c r="TU7" i="4" s="1"/>
  <c r="TU29" i="3"/>
  <c r="TU31" i="3" s="1"/>
  <c r="TU32" i="3" s="1"/>
  <c r="TU34" i="3" s="1"/>
  <c r="TT7" i="4" s="1"/>
  <c r="TT29" i="3"/>
  <c r="TT31" i="3" s="1"/>
  <c r="TR29" i="3"/>
  <c r="TR31" i="3" s="1"/>
  <c r="TR32" i="3" s="1"/>
  <c r="TR34" i="3" s="1"/>
  <c r="TQ7" i="4" s="1"/>
  <c r="TQ29" i="3"/>
  <c r="TQ31" i="3" s="1"/>
  <c r="TQ32" i="3" s="1"/>
  <c r="TQ34" i="3" s="1"/>
  <c r="TP7" i="4" s="1"/>
  <c r="TP29" i="3"/>
  <c r="TP31" i="3" s="1"/>
  <c r="TP32" i="3" s="1"/>
  <c r="TP34" i="3" s="1"/>
  <c r="TO7" i="4" s="1"/>
  <c r="TO29" i="3"/>
  <c r="TO31" i="3" s="1"/>
  <c r="TO32" i="3" s="1"/>
  <c r="TO34" i="3" s="1"/>
  <c r="TN7" i="4" s="1"/>
  <c r="TN29" i="3"/>
  <c r="TN31" i="3" s="1"/>
  <c r="TN32" i="3" s="1"/>
  <c r="TN34" i="3" s="1"/>
  <c r="TM7" i="4" s="1"/>
  <c r="TM29" i="3"/>
  <c r="TM31" i="3" s="1"/>
  <c r="TM32" i="3" s="1"/>
  <c r="TM34" i="3" s="1"/>
  <c r="TL7" i="4" s="1"/>
  <c r="TL29" i="3"/>
  <c r="TL31" i="3" s="1"/>
  <c r="TL32" i="3" s="1"/>
  <c r="TL34" i="3" s="1"/>
  <c r="TK7" i="4" s="1"/>
  <c r="TK29" i="3"/>
  <c r="TK31" i="3" s="1"/>
  <c r="TK32" i="3" s="1"/>
  <c r="TK34" i="3" s="1"/>
  <c r="TJ7" i="4" s="1"/>
  <c r="TJ29" i="3"/>
  <c r="TJ31" i="3" s="1"/>
  <c r="TJ32" i="3" s="1"/>
  <c r="TJ34" i="3" s="1"/>
  <c r="TI7" i="4" s="1"/>
  <c r="TI29" i="3"/>
  <c r="TI31" i="3" s="1"/>
  <c r="TI32" i="3" s="1"/>
  <c r="TI34" i="3" s="1"/>
  <c r="TH7" i="4" s="1"/>
  <c r="TH29" i="3"/>
  <c r="TH31" i="3" s="1"/>
  <c r="TH32" i="3" s="1"/>
  <c r="TH34" i="3" s="1"/>
  <c r="TG7" i="4" s="1"/>
  <c r="TG29" i="3"/>
  <c r="TG31" i="3" s="1"/>
  <c r="TG32" i="3" s="1"/>
  <c r="TG34" i="3" s="1"/>
  <c r="TF7" i="4" s="1"/>
  <c r="TF29" i="3"/>
  <c r="TF31" i="3" s="1"/>
  <c r="TF32" i="3" s="1"/>
  <c r="TF34" i="3" s="1"/>
  <c r="TE7" i="4" s="1"/>
  <c r="TE29" i="3"/>
  <c r="TE31" i="3" s="1"/>
  <c r="TE32" i="3" s="1"/>
  <c r="TE34" i="3" s="1"/>
  <c r="TD7" i="4" s="1"/>
  <c r="TD29" i="3"/>
  <c r="TD31" i="3" s="1"/>
  <c r="TD32" i="3" s="1"/>
  <c r="TD34" i="3" s="1"/>
  <c r="TC7" i="4" s="1"/>
  <c r="TC29" i="3"/>
  <c r="TC31" i="3" s="1"/>
  <c r="TC32" i="3" s="1"/>
  <c r="TC34" i="3" s="1"/>
  <c r="TB7" i="4" s="1"/>
  <c r="TB29" i="3"/>
  <c r="TB31" i="3" s="1"/>
  <c r="TB32" i="3" s="1"/>
  <c r="TB34" i="3" s="1"/>
  <c r="TA7" i="4" s="1"/>
  <c r="TA29" i="3"/>
  <c r="TA31" i="3" s="1"/>
  <c r="TA32" i="3" s="1"/>
  <c r="TA34" i="3" s="1"/>
  <c r="SZ7" i="4" s="1"/>
  <c r="SZ29" i="3"/>
  <c r="SZ31" i="3" s="1"/>
  <c r="SZ32" i="3" s="1"/>
  <c r="SZ34" i="3" s="1"/>
  <c r="SY7" i="4" s="1"/>
  <c r="SY29" i="3"/>
  <c r="SY31" i="3" s="1"/>
  <c r="SY32" i="3" s="1"/>
  <c r="SY34" i="3" s="1"/>
  <c r="SX7" i="4" s="1"/>
  <c r="SX29" i="3"/>
  <c r="SX31" i="3" s="1"/>
  <c r="SX32" i="3" s="1"/>
  <c r="SX34" i="3" s="1"/>
  <c r="SW7" i="4" s="1"/>
  <c r="SW29" i="3"/>
  <c r="SW31" i="3" s="1"/>
  <c r="SW32" i="3" s="1"/>
  <c r="SW34" i="3" s="1"/>
  <c r="SV7" i="4" s="1"/>
  <c r="SV29" i="3"/>
  <c r="SV31" i="3" s="1"/>
  <c r="SV32" i="3" s="1"/>
  <c r="SV34" i="3" s="1"/>
  <c r="SU7" i="4" s="1"/>
  <c r="SU29" i="3"/>
  <c r="SU31" i="3" s="1"/>
  <c r="SU32" i="3" s="1"/>
  <c r="SU34" i="3" s="1"/>
  <c r="ST7" i="4" s="1"/>
  <c r="ST29" i="3"/>
  <c r="ST31" i="3" s="1"/>
  <c r="ST32" i="3" s="1"/>
  <c r="ST34" i="3" s="1"/>
  <c r="SS7" i="4" s="1"/>
  <c r="SS29" i="3"/>
  <c r="SS31" i="3" s="1"/>
  <c r="SS32" i="3" s="1"/>
  <c r="SS34" i="3" s="1"/>
  <c r="SR7" i="4" s="1"/>
  <c r="SR29" i="3"/>
  <c r="SR31" i="3" s="1"/>
  <c r="SR32" i="3" s="1"/>
  <c r="SR34" i="3" s="1"/>
  <c r="SQ7" i="4" s="1"/>
  <c r="SQ29" i="3"/>
  <c r="SQ31" i="3" s="1"/>
  <c r="SQ32" i="3" s="1"/>
  <c r="SQ34" i="3" s="1"/>
  <c r="SP7" i="4" s="1"/>
  <c r="SP29" i="3"/>
  <c r="SP31" i="3" s="1"/>
  <c r="SP32" i="3" s="1"/>
  <c r="SP34" i="3" s="1"/>
  <c r="SO7" i="4" s="1"/>
  <c r="SO29" i="3"/>
  <c r="SO31" i="3" s="1"/>
  <c r="SN29" i="3"/>
  <c r="SN31" i="3" s="1"/>
  <c r="SN32" i="3" s="1"/>
  <c r="SN34" i="3" s="1"/>
  <c r="SM7" i="4" s="1"/>
  <c r="SL29" i="3"/>
  <c r="SL31" i="3" s="1"/>
  <c r="SL32" i="3" s="1"/>
  <c r="SL34" i="3" s="1"/>
  <c r="SK7" i="4" s="1"/>
  <c r="SK29" i="3"/>
  <c r="SK31" i="3" s="1"/>
  <c r="SK32" i="3" s="1"/>
  <c r="SK34" i="3" s="1"/>
  <c r="SJ7" i="4" s="1"/>
  <c r="SJ29" i="3"/>
  <c r="SJ31" i="3" s="1"/>
  <c r="SJ32" i="3" s="1"/>
  <c r="SJ34" i="3" s="1"/>
  <c r="SI7" i="4" s="1"/>
  <c r="SI29" i="3"/>
  <c r="SI31" i="3" s="1"/>
  <c r="SI32" i="3" s="1"/>
  <c r="SI34" i="3" s="1"/>
  <c r="SH7" i="4" s="1"/>
  <c r="SH29" i="3"/>
  <c r="SH31" i="3" s="1"/>
  <c r="SH32" i="3" s="1"/>
  <c r="SH34" i="3" s="1"/>
  <c r="SG7" i="4" s="1"/>
  <c r="SG29" i="3"/>
  <c r="SG31" i="3" s="1"/>
  <c r="SG32" i="3" s="1"/>
  <c r="SG34" i="3" s="1"/>
  <c r="SF7" i="4" s="1"/>
  <c r="SF29" i="3"/>
  <c r="SF31" i="3" s="1"/>
  <c r="SF32" i="3" s="1"/>
  <c r="SF34" i="3" s="1"/>
  <c r="SE7" i="4" s="1"/>
  <c r="SE29" i="3"/>
  <c r="SE31" i="3" s="1"/>
  <c r="SE32" i="3" s="1"/>
  <c r="SE34" i="3" s="1"/>
  <c r="SD7" i="4" s="1"/>
  <c r="SD29" i="3"/>
  <c r="SD31" i="3" s="1"/>
  <c r="SD32" i="3" s="1"/>
  <c r="SD34" i="3" s="1"/>
  <c r="SC7" i="4" s="1"/>
  <c r="SC29" i="3"/>
  <c r="SC31" i="3" s="1"/>
  <c r="SC32" i="3" s="1"/>
  <c r="SC34" i="3" s="1"/>
  <c r="SB7" i="4" s="1"/>
  <c r="SB29" i="3"/>
  <c r="SB31" i="3" s="1"/>
  <c r="SB32" i="3" s="1"/>
  <c r="SB34" i="3" s="1"/>
  <c r="SA7" i="4" s="1"/>
  <c r="SA29" i="3"/>
  <c r="SA31" i="3" s="1"/>
  <c r="SA32" i="3" s="1"/>
  <c r="SA34" i="3" s="1"/>
  <c r="RZ7" i="4" s="1"/>
  <c r="RZ29" i="3"/>
  <c r="RZ31" i="3" s="1"/>
  <c r="RZ32" i="3" s="1"/>
  <c r="RZ34" i="3" s="1"/>
  <c r="RY7" i="4" s="1"/>
  <c r="RY29" i="3"/>
  <c r="RY31" i="3" s="1"/>
  <c r="RY32" i="3" s="1"/>
  <c r="RY34" i="3" s="1"/>
  <c r="RX7" i="4" s="1"/>
  <c r="RX29" i="3"/>
  <c r="RX31" i="3" s="1"/>
  <c r="RX32" i="3" s="1"/>
  <c r="RX34" i="3" s="1"/>
  <c r="RW7" i="4" s="1"/>
  <c r="RW29" i="3"/>
  <c r="RW31" i="3" s="1"/>
  <c r="RW32" i="3" s="1"/>
  <c r="RW34" i="3" s="1"/>
  <c r="RV7" i="4" s="1"/>
  <c r="RV29" i="3"/>
  <c r="RV31" i="3" s="1"/>
  <c r="RV32" i="3" s="1"/>
  <c r="RV34" i="3" s="1"/>
  <c r="RU7" i="4" s="1"/>
  <c r="RU29" i="3"/>
  <c r="RU31" i="3" s="1"/>
  <c r="RU32" i="3" s="1"/>
  <c r="RU34" i="3" s="1"/>
  <c r="RT7" i="4" s="1"/>
  <c r="RT29" i="3"/>
  <c r="RT31" i="3" s="1"/>
  <c r="RT32" i="3" s="1"/>
  <c r="RT34" i="3" s="1"/>
  <c r="RS7" i="4" s="1"/>
  <c r="RS29" i="3"/>
  <c r="RS31" i="3" s="1"/>
  <c r="RS32" i="3" s="1"/>
  <c r="RS34" i="3" s="1"/>
  <c r="RR7" i="4" s="1"/>
  <c r="RR29" i="3"/>
  <c r="RR31" i="3" s="1"/>
  <c r="RR32" i="3" s="1"/>
  <c r="RR34" i="3" s="1"/>
  <c r="RQ7" i="4" s="1"/>
  <c r="RQ29" i="3"/>
  <c r="RQ31" i="3" s="1"/>
  <c r="RQ32" i="3" s="1"/>
  <c r="RQ34" i="3" s="1"/>
  <c r="RP7" i="4" s="1"/>
  <c r="RP29" i="3"/>
  <c r="RP31" i="3" s="1"/>
  <c r="RP32" i="3" s="1"/>
  <c r="RP34" i="3" s="1"/>
  <c r="RO7" i="4" s="1"/>
  <c r="RO29" i="3"/>
  <c r="RO31" i="3" s="1"/>
  <c r="RO32" i="3" s="1"/>
  <c r="RO34" i="3" s="1"/>
  <c r="RN7" i="4" s="1"/>
  <c r="RN29" i="3"/>
  <c r="RN31" i="3" s="1"/>
  <c r="RN32" i="3" s="1"/>
  <c r="RN34" i="3" s="1"/>
  <c r="RM7" i="4" s="1"/>
  <c r="RM29" i="3"/>
  <c r="RM31" i="3" s="1"/>
  <c r="RM32" i="3" s="1"/>
  <c r="RM34" i="3" s="1"/>
  <c r="RL7" i="4" s="1"/>
  <c r="RL29" i="3"/>
  <c r="RL31" i="3" s="1"/>
  <c r="RL32" i="3" s="1"/>
  <c r="RL34" i="3" s="1"/>
  <c r="RK7" i="4" s="1"/>
  <c r="RK29" i="3"/>
  <c r="RK31" i="3" s="1"/>
  <c r="RK32" i="3" s="1"/>
  <c r="RK34" i="3" s="1"/>
  <c r="RJ7" i="4" s="1"/>
  <c r="RJ29" i="3"/>
  <c r="RJ31" i="3" s="1"/>
  <c r="RJ32" i="3" s="1"/>
  <c r="RJ34" i="3" s="1"/>
  <c r="RI7" i="4" s="1"/>
  <c r="RI29" i="3"/>
  <c r="RI31" i="3" s="1"/>
  <c r="RG29" i="3"/>
  <c r="RG31" i="3" s="1"/>
  <c r="RG32" i="3" s="1"/>
  <c r="RG34" i="3" s="1"/>
  <c r="RF7" i="4" s="1"/>
  <c r="RF29" i="3"/>
  <c r="RF31" i="3" s="1"/>
  <c r="RF32" i="3" s="1"/>
  <c r="RF34" i="3" s="1"/>
  <c r="RE7" i="4" s="1"/>
  <c r="RE29" i="3"/>
  <c r="RE31" i="3" s="1"/>
  <c r="RE32" i="3" s="1"/>
  <c r="RE34" i="3" s="1"/>
  <c r="RD7" i="4" s="1"/>
  <c r="RD29" i="3"/>
  <c r="RD31" i="3" s="1"/>
  <c r="RD32" i="3" s="1"/>
  <c r="RD34" i="3" s="1"/>
  <c r="RC7" i="4" s="1"/>
  <c r="RC29" i="3"/>
  <c r="RC31" i="3" s="1"/>
  <c r="RC32" i="3" s="1"/>
  <c r="RC34" i="3" s="1"/>
  <c r="RB7" i="4" s="1"/>
  <c r="RB29" i="3"/>
  <c r="RB31" i="3" s="1"/>
  <c r="RB32" i="3" s="1"/>
  <c r="RB34" i="3" s="1"/>
  <c r="RA7" i="4" s="1"/>
  <c r="RA29" i="3"/>
  <c r="RA31" i="3" s="1"/>
  <c r="RA32" i="3" s="1"/>
  <c r="RA34" i="3" s="1"/>
  <c r="QZ7" i="4" s="1"/>
  <c r="QZ29" i="3"/>
  <c r="QZ31" i="3" s="1"/>
  <c r="QZ32" i="3" s="1"/>
  <c r="QZ34" i="3" s="1"/>
  <c r="QY7" i="4" s="1"/>
  <c r="QY29" i="3"/>
  <c r="QY31" i="3" s="1"/>
  <c r="QY32" i="3" s="1"/>
  <c r="QY34" i="3" s="1"/>
  <c r="QX7" i="4" s="1"/>
  <c r="QX29" i="3"/>
  <c r="QX31" i="3" s="1"/>
  <c r="QX32" i="3" s="1"/>
  <c r="QX34" i="3" s="1"/>
  <c r="QW7" i="4" s="1"/>
  <c r="QW29" i="3"/>
  <c r="QW31" i="3" s="1"/>
  <c r="QW32" i="3" s="1"/>
  <c r="QW34" i="3" s="1"/>
  <c r="QV7" i="4" s="1"/>
  <c r="QV29" i="3"/>
  <c r="QV31" i="3" s="1"/>
  <c r="QV32" i="3" s="1"/>
  <c r="QV34" i="3" s="1"/>
  <c r="QU7" i="4" s="1"/>
  <c r="QU29" i="3"/>
  <c r="QU31" i="3" s="1"/>
  <c r="QU32" i="3" s="1"/>
  <c r="QU34" i="3" s="1"/>
  <c r="QT7" i="4" s="1"/>
  <c r="QT29" i="3"/>
  <c r="QT31" i="3" s="1"/>
  <c r="QT32" i="3" s="1"/>
  <c r="QT34" i="3" s="1"/>
  <c r="QS7" i="4" s="1"/>
  <c r="QS29" i="3"/>
  <c r="QS31" i="3" s="1"/>
  <c r="QS32" i="3" s="1"/>
  <c r="QS34" i="3" s="1"/>
  <c r="QR7" i="4" s="1"/>
  <c r="QR29" i="3"/>
  <c r="QR31" i="3" s="1"/>
  <c r="QR32" i="3" s="1"/>
  <c r="QR34" i="3" s="1"/>
  <c r="QQ7" i="4" s="1"/>
  <c r="QQ29" i="3"/>
  <c r="QQ31" i="3" s="1"/>
  <c r="QQ32" i="3" s="1"/>
  <c r="QQ34" i="3" s="1"/>
  <c r="QP7" i="4" s="1"/>
  <c r="QP29" i="3"/>
  <c r="QP31" i="3" s="1"/>
  <c r="QP32" i="3" s="1"/>
  <c r="QP34" i="3" s="1"/>
  <c r="QO7" i="4" s="1"/>
  <c r="QO29" i="3"/>
  <c r="QO31" i="3" s="1"/>
  <c r="QO32" i="3" s="1"/>
  <c r="QO34" i="3" s="1"/>
  <c r="QN7" i="4" s="1"/>
  <c r="QN29" i="3"/>
  <c r="QN31" i="3" s="1"/>
  <c r="QN32" i="3" s="1"/>
  <c r="QN34" i="3" s="1"/>
  <c r="QM7" i="4" s="1"/>
  <c r="QM29" i="3"/>
  <c r="QM31" i="3" s="1"/>
  <c r="QM32" i="3" s="1"/>
  <c r="QM34" i="3" s="1"/>
  <c r="QL7" i="4" s="1"/>
  <c r="QL29" i="3"/>
  <c r="QL31" i="3" s="1"/>
  <c r="QL32" i="3" s="1"/>
  <c r="QL34" i="3" s="1"/>
  <c r="QK7" i="4" s="1"/>
  <c r="QK29" i="3"/>
  <c r="QK31" i="3" s="1"/>
  <c r="QK32" i="3" s="1"/>
  <c r="QK34" i="3" s="1"/>
  <c r="QJ7" i="4" s="1"/>
  <c r="QJ29" i="3"/>
  <c r="QJ31" i="3" s="1"/>
  <c r="QJ32" i="3" s="1"/>
  <c r="QJ34" i="3" s="1"/>
  <c r="QI7" i="4" s="1"/>
  <c r="QI29" i="3"/>
  <c r="QI31" i="3" s="1"/>
  <c r="QI32" i="3" s="1"/>
  <c r="QI34" i="3" s="1"/>
  <c r="QH7" i="4" s="1"/>
  <c r="QH29" i="3"/>
  <c r="QH31" i="3" s="1"/>
  <c r="QH32" i="3" s="1"/>
  <c r="QH34" i="3" s="1"/>
  <c r="QG7" i="4" s="1"/>
  <c r="QG29" i="3"/>
  <c r="QG31" i="3" s="1"/>
  <c r="QG32" i="3" s="1"/>
  <c r="QG34" i="3" s="1"/>
  <c r="QF7" i="4" s="1"/>
  <c r="QF29" i="3"/>
  <c r="QF31" i="3" s="1"/>
  <c r="QF32" i="3" s="1"/>
  <c r="QF34" i="3" s="1"/>
  <c r="QE7" i="4" s="1"/>
  <c r="QE29" i="3"/>
  <c r="QE31" i="3" s="1"/>
  <c r="QE32" i="3" s="1"/>
  <c r="QE34" i="3" s="1"/>
  <c r="QD7" i="4" s="1"/>
  <c r="QD29" i="3"/>
  <c r="QD31" i="3" s="1"/>
  <c r="QC29" i="3"/>
  <c r="QC31" i="3" s="1"/>
  <c r="QC32" i="3" s="1"/>
  <c r="QA29" i="3"/>
  <c r="QA31" i="3" s="1"/>
  <c r="QA32" i="3" s="1"/>
  <c r="QA34" i="3" s="1"/>
  <c r="PZ7" i="4" s="1"/>
  <c r="PZ29" i="3"/>
  <c r="PZ31" i="3" s="1"/>
  <c r="PZ32" i="3" s="1"/>
  <c r="PZ34" i="3" s="1"/>
  <c r="PY7" i="4" s="1"/>
  <c r="PY29" i="3"/>
  <c r="PY31" i="3" s="1"/>
  <c r="PY32" i="3" s="1"/>
  <c r="PY34" i="3" s="1"/>
  <c r="PX7" i="4" s="1"/>
  <c r="PX29" i="3"/>
  <c r="PX31" i="3" s="1"/>
  <c r="PX32" i="3" s="1"/>
  <c r="PX34" i="3" s="1"/>
  <c r="PW7" i="4" s="1"/>
  <c r="PW29" i="3"/>
  <c r="PW31" i="3" s="1"/>
  <c r="PW32" i="3" s="1"/>
  <c r="PW34" i="3" s="1"/>
  <c r="PV7" i="4" s="1"/>
  <c r="PV29" i="3"/>
  <c r="PV31" i="3" s="1"/>
  <c r="PV32" i="3" s="1"/>
  <c r="PV34" i="3" s="1"/>
  <c r="PU7" i="4" s="1"/>
  <c r="PU29" i="3"/>
  <c r="PU31" i="3" s="1"/>
  <c r="PU32" i="3" s="1"/>
  <c r="PU34" i="3" s="1"/>
  <c r="PT7" i="4" s="1"/>
  <c r="PT29" i="3"/>
  <c r="PT31" i="3" s="1"/>
  <c r="PT32" i="3" s="1"/>
  <c r="PT34" i="3" s="1"/>
  <c r="PS7" i="4" s="1"/>
  <c r="PS29" i="3"/>
  <c r="PS31" i="3" s="1"/>
  <c r="PS32" i="3" s="1"/>
  <c r="PS34" i="3" s="1"/>
  <c r="PR7" i="4" s="1"/>
  <c r="PR29" i="3"/>
  <c r="PR31" i="3" s="1"/>
  <c r="PR32" i="3" s="1"/>
  <c r="PR34" i="3" s="1"/>
  <c r="PQ7" i="4" s="1"/>
  <c r="PQ29" i="3"/>
  <c r="PQ31" i="3" s="1"/>
  <c r="PQ32" i="3" s="1"/>
  <c r="PQ34" i="3" s="1"/>
  <c r="PP7" i="4" s="1"/>
  <c r="PP29" i="3"/>
  <c r="PP31" i="3" s="1"/>
  <c r="PP32" i="3" s="1"/>
  <c r="PP34" i="3" s="1"/>
  <c r="PO7" i="4" s="1"/>
  <c r="PO29" i="3"/>
  <c r="PO31" i="3" s="1"/>
  <c r="PO32" i="3" s="1"/>
  <c r="PO34" i="3" s="1"/>
  <c r="PN7" i="4" s="1"/>
  <c r="PN29" i="3"/>
  <c r="PN31" i="3" s="1"/>
  <c r="PN32" i="3" s="1"/>
  <c r="PN34" i="3" s="1"/>
  <c r="PM7" i="4" s="1"/>
  <c r="PM29" i="3"/>
  <c r="PM31" i="3" s="1"/>
  <c r="PM32" i="3" s="1"/>
  <c r="PM34" i="3" s="1"/>
  <c r="PL7" i="4" s="1"/>
  <c r="PL29" i="3"/>
  <c r="PL31" i="3" s="1"/>
  <c r="PL32" i="3" s="1"/>
  <c r="PL34" i="3" s="1"/>
  <c r="PK7" i="4" s="1"/>
  <c r="PK29" i="3"/>
  <c r="PK31" i="3" s="1"/>
  <c r="PK32" i="3" s="1"/>
  <c r="PK34" i="3" s="1"/>
  <c r="PJ7" i="4" s="1"/>
  <c r="PJ29" i="3"/>
  <c r="PJ31" i="3" s="1"/>
  <c r="PJ32" i="3" s="1"/>
  <c r="PJ34" i="3" s="1"/>
  <c r="PI7" i="4" s="1"/>
  <c r="PI29" i="3"/>
  <c r="PI31" i="3" s="1"/>
  <c r="PI32" i="3" s="1"/>
  <c r="PI34" i="3" s="1"/>
  <c r="PH7" i="4" s="1"/>
  <c r="PH29" i="3"/>
  <c r="PH31" i="3" s="1"/>
  <c r="PH32" i="3" s="1"/>
  <c r="PH34" i="3" s="1"/>
  <c r="PG7" i="4" s="1"/>
  <c r="PG29" i="3"/>
  <c r="PG31" i="3" s="1"/>
  <c r="PG32" i="3" s="1"/>
  <c r="PG34" i="3" s="1"/>
  <c r="PF7" i="4" s="1"/>
  <c r="PF29" i="3"/>
  <c r="PF31" i="3" s="1"/>
  <c r="PF32" i="3" s="1"/>
  <c r="PF34" i="3" s="1"/>
  <c r="PE7" i="4" s="1"/>
  <c r="PE29" i="3"/>
  <c r="PE31" i="3" s="1"/>
  <c r="PE32" i="3" s="1"/>
  <c r="PE34" i="3" s="1"/>
  <c r="PD7" i="4" s="1"/>
  <c r="PD29" i="3"/>
  <c r="PD31" i="3" s="1"/>
  <c r="PD32" i="3" s="1"/>
  <c r="PD34" i="3" s="1"/>
  <c r="PC7" i="4" s="1"/>
  <c r="PC29" i="3"/>
  <c r="PC31" i="3" s="1"/>
  <c r="PC32" i="3" s="1"/>
  <c r="PC34" i="3" s="1"/>
  <c r="PB7" i="4" s="1"/>
  <c r="PB29" i="3"/>
  <c r="PB31" i="3" s="1"/>
  <c r="PB32" i="3" s="1"/>
  <c r="PB34" i="3" s="1"/>
  <c r="PA7" i="4" s="1"/>
  <c r="PA29" i="3"/>
  <c r="PA31" i="3" s="1"/>
  <c r="PA32" i="3" s="1"/>
  <c r="PA34" i="3" s="1"/>
  <c r="OZ7" i="4" s="1"/>
  <c r="OZ29" i="3"/>
  <c r="OZ31" i="3" s="1"/>
  <c r="OZ32" i="3" s="1"/>
  <c r="OZ34" i="3" s="1"/>
  <c r="OY7" i="4" s="1"/>
  <c r="OY29" i="3"/>
  <c r="OY31" i="3" s="1"/>
  <c r="OY32" i="3" s="1"/>
  <c r="OY34" i="3" s="1"/>
  <c r="OX7" i="4" s="1"/>
  <c r="OX29" i="3"/>
  <c r="OX31" i="3" s="1"/>
  <c r="OV29" i="3"/>
  <c r="OV31" i="3" s="1"/>
  <c r="OV32" i="3" s="1"/>
  <c r="OV34" i="3" s="1"/>
  <c r="OU7" i="4" s="1"/>
  <c r="OU29" i="3"/>
  <c r="OU31" i="3" s="1"/>
  <c r="OU32" i="3" s="1"/>
  <c r="OU34" i="3" s="1"/>
  <c r="OT7" i="4" s="1"/>
  <c r="OT29" i="3"/>
  <c r="OT31" i="3" s="1"/>
  <c r="OT32" i="3" s="1"/>
  <c r="OT34" i="3" s="1"/>
  <c r="OS7" i="4" s="1"/>
  <c r="OS29" i="3"/>
  <c r="OS31" i="3" s="1"/>
  <c r="OS32" i="3" s="1"/>
  <c r="OS34" i="3" s="1"/>
  <c r="OR7" i="4" s="1"/>
  <c r="OR29" i="3"/>
  <c r="OR31" i="3" s="1"/>
  <c r="OR32" i="3" s="1"/>
  <c r="OR34" i="3" s="1"/>
  <c r="OQ7" i="4" s="1"/>
  <c r="OQ29" i="3"/>
  <c r="OQ31" i="3" s="1"/>
  <c r="OQ32" i="3" s="1"/>
  <c r="OQ34" i="3" s="1"/>
  <c r="OP7" i="4" s="1"/>
  <c r="OP29" i="3"/>
  <c r="OP31" i="3" s="1"/>
  <c r="OP32" i="3" s="1"/>
  <c r="OP34" i="3" s="1"/>
  <c r="OO7" i="4" s="1"/>
  <c r="OO29" i="3"/>
  <c r="OO31" i="3" s="1"/>
  <c r="OO32" i="3" s="1"/>
  <c r="OO34" i="3" s="1"/>
  <c r="ON7" i="4" s="1"/>
  <c r="ON29" i="3"/>
  <c r="ON31" i="3" s="1"/>
  <c r="ON32" i="3" s="1"/>
  <c r="ON34" i="3" s="1"/>
  <c r="OM7" i="4" s="1"/>
  <c r="OM29" i="3"/>
  <c r="OM31" i="3" s="1"/>
  <c r="OM32" i="3" s="1"/>
  <c r="OM34" i="3" s="1"/>
  <c r="OL7" i="4" s="1"/>
  <c r="OL29" i="3"/>
  <c r="OL31" i="3" s="1"/>
  <c r="OL32" i="3" s="1"/>
  <c r="OL34" i="3" s="1"/>
  <c r="OK7" i="4" s="1"/>
  <c r="OK29" i="3"/>
  <c r="OK31" i="3" s="1"/>
  <c r="OK32" i="3" s="1"/>
  <c r="OK34" i="3" s="1"/>
  <c r="OJ7" i="4" s="1"/>
  <c r="OJ29" i="3"/>
  <c r="OJ31" i="3" s="1"/>
  <c r="OJ32" i="3" s="1"/>
  <c r="OJ34" i="3" s="1"/>
  <c r="OI7" i="4" s="1"/>
  <c r="OI29" i="3"/>
  <c r="OI31" i="3" s="1"/>
  <c r="OI32" i="3" s="1"/>
  <c r="OI34" i="3" s="1"/>
  <c r="OH7" i="4" s="1"/>
  <c r="OH29" i="3"/>
  <c r="OH31" i="3" s="1"/>
  <c r="OH32" i="3" s="1"/>
  <c r="OH34" i="3" s="1"/>
  <c r="OG7" i="4" s="1"/>
  <c r="OG29" i="3"/>
  <c r="OG31" i="3" s="1"/>
  <c r="OG32" i="3" s="1"/>
  <c r="OG34" i="3" s="1"/>
  <c r="OF7" i="4" s="1"/>
  <c r="OF29" i="3"/>
  <c r="OF31" i="3" s="1"/>
  <c r="OF32" i="3" s="1"/>
  <c r="OF34" i="3" s="1"/>
  <c r="OE7" i="4" s="1"/>
  <c r="OE29" i="3"/>
  <c r="OE31" i="3" s="1"/>
  <c r="OE32" i="3" s="1"/>
  <c r="OE34" i="3" s="1"/>
  <c r="OD7" i="4" s="1"/>
  <c r="OD29" i="3"/>
  <c r="OD31" i="3" s="1"/>
  <c r="OD32" i="3" s="1"/>
  <c r="OD34" i="3" s="1"/>
  <c r="OC7" i="4" s="1"/>
  <c r="OC29" i="3"/>
  <c r="OC31" i="3" s="1"/>
  <c r="OC32" i="3" s="1"/>
  <c r="OC34" i="3" s="1"/>
  <c r="OB7" i="4" s="1"/>
  <c r="OB29" i="3"/>
  <c r="OB31" i="3" s="1"/>
  <c r="OB32" i="3" s="1"/>
  <c r="OB34" i="3" s="1"/>
  <c r="OA7" i="4" s="1"/>
  <c r="OA29" i="3"/>
  <c r="OA31" i="3" s="1"/>
  <c r="OA32" i="3" s="1"/>
  <c r="OA34" i="3" s="1"/>
  <c r="NZ7" i="4" s="1"/>
  <c r="NZ29" i="3"/>
  <c r="NZ31" i="3" s="1"/>
  <c r="NZ32" i="3" s="1"/>
  <c r="NZ34" i="3" s="1"/>
  <c r="NY7" i="4" s="1"/>
  <c r="NY29" i="3"/>
  <c r="NY31" i="3" s="1"/>
  <c r="NY32" i="3" s="1"/>
  <c r="NY34" i="3" s="1"/>
  <c r="NX7" i="4" s="1"/>
  <c r="NX29" i="3"/>
  <c r="NX31" i="3" s="1"/>
  <c r="NX32" i="3" s="1"/>
  <c r="NX34" i="3" s="1"/>
  <c r="NW7" i="4" s="1"/>
  <c r="NW29" i="3"/>
  <c r="NW31" i="3" s="1"/>
  <c r="NW32" i="3" s="1"/>
  <c r="NW34" i="3" s="1"/>
  <c r="NV7" i="4" s="1"/>
  <c r="NV29" i="3"/>
  <c r="NV31" i="3" s="1"/>
  <c r="NV32" i="3" s="1"/>
  <c r="NV34" i="3" s="1"/>
  <c r="NU7" i="4" s="1"/>
  <c r="NU29" i="3"/>
  <c r="NU31" i="3" s="1"/>
  <c r="NU32" i="3" s="1"/>
  <c r="NU34" i="3" s="1"/>
  <c r="NT7" i="4" s="1"/>
  <c r="NT29" i="3"/>
  <c r="NT31" i="3" s="1"/>
  <c r="NT32" i="3" s="1"/>
  <c r="NT34" i="3" s="1"/>
  <c r="NS7" i="4" s="1"/>
  <c r="NS29" i="3"/>
  <c r="NS31" i="3" s="1"/>
  <c r="NR29" i="3"/>
  <c r="NR31" i="3" s="1"/>
  <c r="NR32" i="3" s="1"/>
  <c r="NP29" i="3"/>
  <c r="NP31" i="3" s="1"/>
  <c r="NP32" i="3" s="1"/>
  <c r="NP34" i="3" s="1"/>
  <c r="NO7" i="4" s="1"/>
  <c r="NO29" i="3"/>
  <c r="NO31" i="3" s="1"/>
  <c r="NO32" i="3" s="1"/>
  <c r="NO34" i="3" s="1"/>
  <c r="NN7" i="4" s="1"/>
  <c r="NN29" i="3"/>
  <c r="NN31" i="3" s="1"/>
  <c r="NN32" i="3" s="1"/>
  <c r="NN34" i="3" s="1"/>
  <c r="NM7" i="4" s="1"/>
  <c r="NM29" i="3"/>
  <c r="NM31" i="3" s="1"/>
  <c r="NM32" i="3" s="1"/>
  <c r="NM34" i="3" s="1"/>
  <c r="NL7" i="4" s="1"/>
  <c r="NL29" i="3"/>
  <c r="NL31" i="3" s="1"/>
  <c r="NL32" i="3" s="1"/>
  <c r="NL34" i="3" s="1"/>
  <c r="NK7" i="4" s="1"/>
  <c r="NK29" i="3"/>
  <c r="NK31" i="3" s="1"/>
  <c r="NK32" i="3" s="1"/>
  <c r="NK34" i="3" s="1"/>
  <c r="NJ7" i="4" s="1"/>
  <c r="NJ29" i="3"/>
  <c r="NJ31" i="3" s="1"/>
  <c r="NJ32" i="3" s="1"/>
  <c r="NJ34" i="3" s="1"/>
  <c r="NI7" i="4" s="1"/>
  <c r="NI29" i="3"/>
  <c r="NI31" i="3" s="1"/>
  <c r="NI32" i="3" s="1"/>
  <c r="NI34" i="3" s="1"/>
  <c r="NH7" i="4" s="1"/>
  <c r="NH29" i="3"/>
  <c r="NH31" i="3" s="1"/>
  <c r="NH32" i="3" s="1"/>
  <c r="NH34" i="3" s="1"/>
  <c r="NG7" i="4" s="1"/>
  <c r="NG29" i="3"/>
  <c r="NG31" i="3" s="1"/>
  <c r="NG32" i="3" s="1"/>
  <c r="NG34" i="3" s="1"/>
  <c r="NF7" i="4" s="1"/>
  <c r="NF29" i="3"/>
  <c r="NF31" i="3" s="1"/>
  <c r="NF32" i="3" s="1"/>
  <c r="NF34" i="3" s="1"/>
  <c r="NE7" i="4" s="1"/>
  <c r="NE29" i="3"/>
  <c r="NE31" i="3" s="1"/>
  <c r="NE32" i="3" s="1"/>
  <c r="NE34" i="3" s="1"/>
  <c r="ND7" i="4" s="1"/>
  <c r="ND29" i="3"/>
  <c r="ND31" i="3" s="1"/>
  <c r="ND32" i="3" s="1"/>
  <c r="ND34" i="3" s="1"/>
  <c r="NC7" i="4" s="1"/>
  <c r="NC29" i="3"/>
  <c r="NC31" i="3" s="1"/>
  <c r="NC32" i="3" s="1"/>
  <c r="NC34" i="3" s="1"/>
  <c r="NB7" i="4" s="1"/>
  <c r="NB29" i="3"/>
  <c r="NB31" i="3" s="1"/>
  <c r="NB32" i="3" s="1"/>
  <c r="NB34" i="3" s="1"/>
  <c r="NA7" i="4" s="1"/>
  <c r="NA29" i="3"/>
  <c r="NA31" i="3" s="1"/>
  <c r="NA32" i="3" s="1"/>
  <c r="NA34" i="3" s="1"/>
  <c r="MZ7" i="4" s="1"/>
  <c r="MZ29" i="3"/>
  <c r="MZ31" i="3" s="1"/>
  <c r="MZ32" i="3" s="1"/>
  <c r="MZ34" i="3" s="1"/>
  <c r="MY7" i="4" s="1"/>
  <c r="MY29" i="3"/>
  <c r="MY31" i="3" s="1"/>
  <c r="MY32" i="3" s="1"/>
  <c r="MY34" i="3" s="1"/>
  <c r="MX7" i="4" s="1"/>
  <c r="MX29" i="3"/>
  <c r="MX31" i="3" s="1"/>
  <c r="MX32" i="3" s="1"/>
  <c r="MX34" i="3" s="1"/>
  <c r="MW7" i="4" s="1"/>
  <c r="MW29" i="3"/>
  <c r="MW31" i="3" s="1"/>
  <c r="MW32" i="3" s="1"/>
  <c r="MW34" i="3" s="1"/>
  <c r="MV7" i="4" s="1"/>
  <c r="MV29" i="3"/>
  <c r="MV31" i="3" s="1"/>
  <c r="MV32" i="3" s="1"/>
  <c r="MV34" i="3" s="1"/>
  <c r="MU7" i="4" s="1"/>
  <c r="MU29" i="3"/>
  <c r="MU31" i="3" s="1"/>
  <c r="MU32" i="3" s="1"/>
  <c r="MU34" i="3" s="1"/>
  <c r="MT7" i="4" s="1"/>
  <c r="MT29" i="3"/>
  <c r="MT31" i="3" s="1"/>
  <c r="MT32" i="3" s="1"/>
  <c r="MT34" i="3" s="1"/>
  <c r="MS7" i="4" s="1"/>
  <c r="MS29" i="3"/>
  <c r="MS31" i="3" s="1"/>
  <c r="MS32" i="3" s="1"/>
  <c r="MS34" i="3" s="1"/>
  <c r="MR7" i="4" s="1"/>
  <c r="MR29" i="3"/>
  <c r="MR31" i="3" s="1"/>
  <c r="MR32" i="3" s="1"/>
  <c r="MR34" i="3" s="1"/>
  <c r="MQ7" i="4" s="1"/>
  <c r="MQ29" i="3"/>
  <c r="MQ31" i="3" s="1"/>
  <c r="MQ32" i="3" s="1"/>
  <c r="MQ34" i="3" s="1"/>
  <c r="MP7" i="4" s="1"/>
  <c r="MP29" i="3"/>
  <c r="MP31" i="3" s="1"/>
  <c r="MP32" i="3" s="1"/>
  <c r="MP34" i="3" s="1"/>
  <c r="MO7" i="4" s="1"/>
  <c r="MO29" i="3"/>
  <c r="MO31" i="3" s="1"/>
  <c r="MO32" i="3" s="1"/>
  <c r="MO34" i="3" s="1"/>
  <c r="MN7" i="4" s="1"/>
  <c r="MN29" i="3"/>
  <c r="MN31" i="3" s="1"/>
  <c r="MN32" i="3" s="1"/>
  <c r="MN34" i="3" s="1"/>
  <c r="MM7" i="4" s="1"/>
  <c r="MM29" i="3"/>
  <c r="MM31" i="3" s="1"/>
  <c r="ML29" i="3"/>
  <c r="ML31" i="3" s="1"/>
  <c r="ML32" i="3" s="1"/>
  <c r="MJ29" i="3"/>
  <c r="MJ31" i="3" s="1"/>
  <c r="MJ32" i="3" s="1"/>
  <c r="MJ34" i="3" s="1"/>
  <c r="MI7" i="4" s="1"/>
  <c r="MI29" i="3"/>
  <c r="MI31" i="3" s="1"/>
  <c r="MI32" i="3" s="1"/>
  <c r="MI34" i="3" s="1"/>
  <c r="MH7" i="4" s="1"/>
  <c r="MH29" i="3"/>
  <c r="MH31" i="3" s="1"/>
  <c r="MH32" i="3" s="1"/>
  <c r="MH34" i="3" s="1"/>
  <c r="MG7" i="4" s="1"/>
  <c r="MG29" i="3"/>
  <c r="MG31" i="3" s="1"/>
  <c r="MG32" i="3" s="1"/>
  <c r="MG34" i="3" s="1"/>
  <c r="MF7" i="4" s="1"/>
  <c r="MF29" i="3"/>
  <c r="MF31" i="3" s="1"/>
  <c r="MF32" i="3" s="1"/>
  <c r="MF34" i="3" s="1"/>
  <c r="ME7" i="4" s="1"/>
  <c r="ME29" i="3"/>
  <c r="ME31" i="3" s="1"/>
  <c r="ME32" i="3" s="1"/>
  <c r="ME34" i="3" s="1"/>
  <c r="MD7" i="4" s="1"/>
  <c r="MD29" i="3"/>
  <c r="MD31" i="3" s="1"/>
  <c r="MD32" i="3" s="1"/>
  <c r="MD34" i="3" s="1"/>
  <c r="MC7" i="4" s="1"/>
  <c r="MC29" i="3"/>
  <c r="MC31" i="3" s="1"/>
  <c r="MC32" i="3" s="1"/>
  <c r="MC34" i="3" s="1"/>
  <c r="MB7" i="4" s="1"/>
  <c r="MB29" i="3"/>
  <c r="MB31" i="3" s="1"/>
  <c r="MB32" i="3" s="1"/>
  <c r="MB34" i="3" s="1"/>
  <c r="MA7" i="4" s="1"/>
  <c r="MA29" i="3"/>
  <c r="MA31" i="3" s="1"/>
  <c r="MA32" i="3" s="1"/>
  <c r="MA34" i="3" s="1"/>
  <c r="LZ7" i="4" s="1"/>
  <c r="LZ29" i="3"/>
  <c r="LZ31" i="3" s="1"/>
  <c r="LZ32" i="3" s="1"/>
  <c r="LZ34" i="3" s="1"/>
  <c r="LY7" i="4" s="1"/>
  <c r="LY29" i="3"/>
  <c r="LY31" i="3" s="1"/>
  <c r="LY32" i="3" s="1"/>
  <c r="LY34" i="3" s="1"/>
  <c r="LX7" i="4" s="1"/>
  <c r="LX29" i="3"/>
  <c r="LX31" i="3" s="1"/>
  <c r="LX32" i="3" s="1"/>
  <c r="LX34" i="3" s="1"/>
  <c r="LW7" i="4" s="1"/>
  <c r="LW29" i="3"/>
  <c r="LW31" i="3" s="1"/>
  <c r="LW32" i="3" s="1"/>
  <c r="LW34" i="3" s="1"/>
  <c r="LV7" i="4" s="1"/>
  <c r="LV29" i="3"/>
  <c r="LV31" i="3" s="1"/>
  <c r="LV32" i="3" s="1"/>
  <c r="LV34" i="3" s="1"/>
  <c r="LU7" i="4" s="1"/>
  <c r="LU29" i="3"/>
  <c r="LU31" i="3" s="1"/>
  <c r="LU32" i="3" s="1"/>
  <c r="LU34" i="3" s="1"/>
  <c r="LT7" i="4" s="1"/>
  <c r="LT29" i="3"/>
  <c r="LT31" i="3" s="1"/>
  <c r="LT32" i="3" s="1"/>
  <c r="LT34" i="3" s="1"/>
  <c r="LS7" i="4" s="1"/>
  <c r="LS29" i="3"/>
  <c r="LS31" i="3" s="1"/>
  <c r="LS32" i="3" s="1"/>
  <c r="LS34" i="3" s="1"/>
  <c r="LR7" i="4" s="1"/>
  <c r="LR29" i="3"/>
  <c r="LR31" i="3" s="1"/>
  <c r="LR32" i="3" s="1"/>
  <c r="LR34" i="3" s="1"/>
  <c r="LQ7" i="4" s="1"/>
  <c r="LQ29" i="3"/>
  <c r="LQ31" i="3" s="1"/>
  <c r="LQ32" i="3" s="1"/>
  <c r="LQ34" i="3" s="1"/>
  <c r="LP7" i="4" s="1"/>
  <c r="LP29" i="3"/>
  <c r="LP31" i="3" s="1"/>
  <c r="LP32" i="3" s="1"/>
  <c r="LP34" i="3" s="1"/>
  <c r="LO7" i="4" s="1"/>
  <c r="LO29" i="3"/>
  <c r="LO31" i="3" s="1"/>
  <c r="LO32" i="3" s="1"/>
  <c r="LO34" i="3" s="1"/>
  <c r="LN7" i="4" s="1"/>
  <c r="LN29" i="3"/>
  <c r="LN31" i="3" s="1"/>
  <c r="LN32" i="3" s="1"/>
  <c r="LN34" i="3" s="1"/>
  <c r="LM7" i="4" s="1"/>
  <c r="LM29" i="3"/>
  <c r="LM31" i="3" s="1"/>
  <c r="LM32" i="3" s="1"/>
  <c r="LM34" i="3" s="1"/>
  <c r="LL7" i="4" s="1"/>
  <c r="LL29" i="3"/>
  <c r="LL31" i="3" s="1"/>
  <c r="LL32" i="3" s="1"/>
  <c r="LL34" i="3" s="1"/>
  <c r="LK7" i="4" s="1"/>
  <c r="LK29" i="3"/>
  <c r="LK31" i="3" s="1"/>
  <c r="LK32" i="3" s="1"/>
  <c r="LK34" i="3" s="1"/>
  <c r="LJ7" i="4" s="1"/>
  <c r="LJ29" i="3"/>
  <c r="LJ31" i="3" s="1"/>
  <c r="LJ32" i="3" s="1"/>
  <c r="LJ34" i="3" s="1"/>
  <c r="LI7" i="4" s="1"/>
  <c r="LI29" i="3"/>
  <c r="LI31" i="3" s="1"/>
  <c r="LI32" i="3" s="1"/>
  <c r="LI34" i="3" s="1"/>
  <c r="LH7" i="4" s="1"/>
  <c r="LH29" i="3"/>
  <c r="LH31" i="3" s="1"/>
  <c r="LH32" i="3" s="1"/>
  <c r="LH34" i="3" s="1"/>
  <c r="LG7" i="4" s="1"/>
  <c r="LG29" i="3"/>
  <c r="LG31" i="3" s="1"/>
  <c r="LE29" i="3"/>
  <c r="LE31" i="3" s="1"/>
  <c r="LE32" i="3" s="1"/>
  <c r="LE34" i="3" s="1"/>
  <c r="LD7" i="4" s="1"/>
  <c r="LD29" i="3"/>
  <c r="LD31" i="3" s="1"/>
  <c r="LD32" i="3" s="1"/>
  <c r="LD34" i="3" s="1"/>
  <c r="LC7" i="4" s="1"/>
  <c r="LC29" i="3"/>
  <c r="LC31" i="3" s="1"/>
  <c r="LC32" i="3" s="1"/>
  <c r="LC34" i="3" s="1"/>
  <c r="LB7" i="4" s="1"/>
  <c r="LB29" i="3"/>
  <c r="LB31" i="3" s="1"/>
  <c r="LB32" i="3" s="1"/>
  <c r="LB34" i="3" s="1"/>
  <c r="LA7" i="4" s="1"/>
  <c r="LA29" i="3"/>
  <c r="LA31" i="3" s="1"/>
  <c r="LA32" i="3" s="1"/>
  <c r="LA34" i="3" s="1"/>
  <c r="KZ7" i="4" s="1"/>
  <c r="KZ29" i="3"/>
  <c r="KZ31" i="3" s="1"/>
  <c r="KZ32" i="3" s="1"/>
  <c r="KZ34" i="3" s="1"/>
  <c r="KY7" i="4" s="1"/>
  <c r="KY29" i="3"/>
  <c r="KY31" i="3" s="1"/>
  <c r="KY32" i="3" s="1"/>
  <c r="KY34" i="3" s="1"/>
  <c r="KX7" i="4" s="1"/>
  <c r="KX29" i="3"/>
  <c r="KX31" i="3" s="1"/>
  <c r="KX32" i="3" s="1"/>
  <c r="KX34" i="3" s="1"/>
  <c r="KW7" i="4" s="1"/>
  <c r="KW29" i="3"/>
  <c r="KW31" i="3" s="1"/>
  <c r="KW32" i="3" s="1"/>
  <c r="KW34" i="3" s="1"/>
  <c r="KV7" i="4" s="1"/>
  <c r="KV29" i="3"/>
  <c r="KV31" i="3" s="1"/>
  <c r="KV32" i="3" s="1"/>
  <c r="KV34" i="3" s="1"/>
  <c r="KU7" i="4" s="1"/>
  <c r="KU29" i="3"/>
  <c r="KU31" i="3" s="1"/>
  <c r="KU32" i="3" s="1"/>
  <c r="KU34" i="3" s="1"/>
  <c r="KT7" i="4" s="1"/>
  <c r="KT29" i="3"/>
  <c r="KT31" i="3" s="1"/>
  <c r="KT32" i="3" s="1"/>
  <c r="KT34" i="3" s="1"/>
  <c r="KS7" i="4" s="1"/>
  <c r="KS29" i="3"/>
  <c r="KS31" i="3" s="1"/>
  <c r="KS32" i="3" s="1"/>
  <c r="KS34" i="3" s="1"/>
  <c r="KR7" i="4" s="1"/>
  <c r="KR29" i="3"/>
  <c r="KR31" i="3" s="1"/>
  <c r="KR32" i="3" s="1"/>
  <c r="KR34" i="3" s="1"/>
  <c r="KQ7" i="4" s="1"/>
  <c r="KQ29" i="3"/>
  <c r="KQ31" i="3" s="1"/>
  <c r="KQ32" i="3" s="1"/>
  <c r="KQ34" i="3" s="1"/>
  <c r="KP7" i="4" s="1"/>
  <c r="KP29" i="3"/>
  <c r="KP31" i="3" s="1"/>
  <c r="KP32" i="3" s="1"/>
  <c r="KP34" i="3" s="1"/>
  <c r="KO7" i="4" s="1"/>
  <c r="KO29" i="3"/>
  <c r="KO31" i="3" s="1"/>
  <c r="KO32" i="3" s="1"/>
  <c r="KO34" i="3" s="1"/>
  <c r="KN7" i="4" s="1"/>
  <c r="KN29" i="3"/>
  <c r="KN31" i="3" s="1"/>
  <c r="KN32" i="3" s="1"/>
  <c r="KN34" i="3" s="1"/>
  <c r="KM7" i="4" s="1"/>
  <c r="KM29" i="3"/>
  <c r="KM31" i="3" s="1"/>
  <c r="KM32" i="3" s="1"/>
  <c r="KM34" i="3" s="1"/>
  <c r="KL7" i="4" s="1"/>
  <c r="KL29" i="3"/>
  <c r="KL31" i="3" s="1"/>
  <c r="KL32" i="3" s="1"/>
  <c r="KL34" i="3" s="1"/>
  <c r="KK7" i="4" s="1"/>
  <c r="KK29" i="3"/>
  <c r="KK31" i="3" s="1"/>
  <c r="KK32" i="3" s="1"/>
  <c r="KK34" i="3" s="1"/>
  <c r="KJ7" i="4" s="1"/>
  <c r="KJ29" i="3"/>
  <c r="KJ31" i="3" s="1"/>
  <c r="KJ32" i="3" s="1"/>
  <c r="KJ34" i="3" s="1"/>
  <c r="KI7" i="4" s="1"/>
  <c r="KI29" i="3"/>
  <c r="KI31" i="3" s="1"/>
  <c r="KI32" i="3" s="1"/>
  <c r="KI34" i="3" s="1"/>
  <c r="KH7" i="4" s="1"/>
  <c r="KH29" i="3"/>
  <c r="KH31" i="3" s="1"/>
  <c r="KH32" i="3" s="1"/>
  <c r="KH34" i="3" s="1"/>
  <c r="KG7" i="4" s="1"/>
  <c r="KG29" i="3"/>
  <c r="KG31" i="3" s="1"/>
  <c r="KG32" i="3" s="1"/>
  <c r="KG34" i="3" s="1"/>
  <c r="KF7" i="4" s="1"/>
  <c r="KF29" i="3"/>
  <c r="KF31" i="3" s="1"/>
  <c r="KF32" i="3" s="1"/>
  <c r="KF34" i="3" s="1"/>
  <c r="KE7" i="4" s="1"/>
  <c r="KE29" i="3"/>
  <c r="KE31" i="3" s="1"/>
  <c r="KE32" i="3" s="1"/>
  <c r="KE34" i="3" s="1"/>
  <c r="KD7" i="4" s="1"/>
  <c r="KD29" i="3"/>
  <c r="KD31" i="3" s="1"/>
  <c r="KD32" i="3" s="1"/>
  <c r="KD34" i="3" s="1"/>
  <c r="KC7" i="4" s="1"/>
  <c r="KC29" i="3"/>
  <c r="KC31" i="3" s="1"/>
  <c r="KC32" i="3" s="1"/>
  <c r="KC34" i="3" s="1"/>
  <c r="KB7" i="4" s="1"/>
  <c r="KB29" i="3"/>
  <c r="KB31" i="3" s="1"/>
  <c r="KA29" i="3"/>
  <c r="KA31" i="3" s="1"/>
  <c r="KA32" i="3" s="1"/>
  <c r="JY29" i="3"/>
  <c r="JY31" i="3" s="1"/>
  <c r="JY32" i="3" s="1"/>
  <c r="JY34" i="3" s="1"/>
  <c r="JX7" i="4" s="1"/>
  <c r="JX29" i="3"/>
  <c r="JX31" i="3" s="1"/>
  <c r="JX32" i="3" s="1"/>
  <c r="JX34" i="3" s="1"/>
  <c r="JW7" i="4" s="1"/>
  <c r="JW29" i="3"/>
  <c r="JW31" i="3" s="1"/>
  <c r="JW32" i="3" s="1"/>
  <c r="JW34" i="3" s="1"/>
  <c r="JV7" i="4" s="1"/>
  <c r="JV29" i="3"/>
  <c r="JV31" i="3" s="1"/>
  <c r="JV32" i="3" s="1"/>
  <c r="JV34" i="3" s="1"/>
  <c r="JU7" i="4" s="1"/>
  <c r="JU29" i="3"/>
  <c r="JU31" i="3" s="1"/>
  <c r="JU32" i="3" s="1"/>
  <c r="JU34" i="3" s="1"/>
  <c r="JT7" i="4" s="1"/>
  <c r="JT29" i="3"/>
  <c r="JT31" i="3" s="1"/>
  <c r="JT32" i="3" s="1"/>
  <c r="JT34" i="3" s="1"/>
  <c r="JS7" i="4" s="1"/>
  <c r="JS29" i="3"/>
  <c r="JS31" i="3" s="1"/>
  <c r="JS32" i="3" s="1"/>
  <c r="JS34" i="3" s="1"/>
  <c r="JR7" i="4" s="1"/>
  <c r="JR29" i="3"/>
  <c r="JR31" i="3" s="1"/>
  <c r="JR32" i="3" s="1"/>
  <c r="JR34" i="3" s="1"/>
  <c r="JQ7" i="4" s="1"/>
  <c r="JQ29" i="3"/>
  <c r="JQ31" i="3" s="1"/>
  <c r="JQ32" i="3" s="1"/>
  <c r="JQ34" i="3" s="1"/>
  <c r="JP7" i="4" s="1"/>
  <c r="JP29" i="3"/>
  <c r="JP31" i="3" s="1"/>
  <c r="JP32" i="3" s="1"/>
  <c r="JP34" i="3" s="1"/>
  <c r="JO7" i="4" s="1"/>
  <c r="JO29" i="3"/>
  <c r="JO31" i="3" s="1"/>
  <c r="JO32" i="3" s="1"/>
  <c r="JO34" i="3" s="1"/>
  <c r="JN7" i="4" s="1"/>
  <c r="JN29" i="3"/>
  <c r="JN31" i="3" s="1"/>
  <c r="JN32" i="3" s="1"/>
  <c r="JN34" i="3" s="1"/>
  <c r="JM7" i="4" s="1"/>
  <c r="JM29" i="3"/>
  <c r="JM31" i="3" s="1"/>
  <c r="JM32" i="3" s="1"/>
  <c r="JM34" i="3" s="1"/>
  <c r="JL7" i="4" s="1"/>
  <c r="JL29" i="3"/>
  <c r="JL31" i="3" s="1"/>
  <c r="JL32" i="3" s="1"/>
  <c r="JL34" i="3" s="1"/>
  <c r="JK7" i="4" s="1"/>
  <c r="JK29" i="3"/>
  <c r="JK31" i="3" s="1"/>
  <c r="JK32" i="3" s="1"/>
  <c r="JK34" i="3" s="1"/>
  <c r="JJ7" i="4" s="1"/>
  <c r="JJ29" i="3"/>
  <c r="JJ31" i="3" s="1"/>
  <c r="JJ32" i="3" s="1"/>
  <c r="JJ34" i="3" s="1"/>
  <c r="JI7" i="4" s="1"/>
  <c r="JI29" i="3"/>
  <c r="JI31" i="3" s="1"/>
  <c r="JI32" i="3" s="1"/>
  <c r="JI34" i="3" s="1"/>
  <c r="JH7" i="4" s="1"/>
  <c r="JH29" i="3"/>
  <c r="JH31" i="3" s="1"/>
  <c r="JH32" i="3" s="1"/>
  <c r="JH34" i="3" s="1"/>
  <c r="JG7" i="4" s="1"/>
  <c r="JG29" i="3"/>
  <c r="JG31" i="3" s="1"/>
  <c r="JG32" i="3" s="1"/>
  <c r="JG34" i="3" s="1"/>
  <c r="JF7" i="4" s="1"/>
  <c r="JF29" i="3"/>
  <c r="JF31" i="3" s="1"/>
  <c r="JF32" i="3" s="1"/>
  <c r="JF34" i="3" s="1"/>
  <c r="JE7" i="4" s="1"/>
  <c r="JE29" i="3"/>
  <c r="JE31" i="3" s="1"/>
  <c r="JE32" i="3" s="1"/>
  <c r="JE34" i="3" s="1"/>
  <c r="JD7" i="4" s="1"/>
  <c r="JD29" i="3"/>
  <c r="JD31" i="3" s="1"/>
  <c r="JD32" i="3" s="1"/>
  <c r="JD34" i="3" s="1"/>
  <c r="JC7" i="4" s="1"/>
  <c r="JC29" i="3"/>
  <c r="JC31" i="3" s="1"/>
  <c r="JC32" i="3" s="1"/>
  <c r="JC34" i="3" s="1"/>
  <c r="JB7" i="4" s="1"/>
  <c r="JB29" i="3"/>
  <c r="JB31" i="3" s="1"/>
  <c r="JB32" i="3" s="1"/>
  <c r="JB34" i="3" s="1"/>
  <c r="JA7" i="4" s="1"/>
  <c r="JA29" i="3"/>
  <c r="JA31" i="3" s="1"/>
  <c r="JA32" i="3" s="1"/>
  <c r="JA34" i="3" s="1"/>
  <c r="IZ7" i="4" s="1"/>
  <c r="IZ29" i="3"/>
  <c r="IZ31" i="3" s="1"/>
  <c r="IZ32" i="3" s="1"/>
  <c r="IZ34" i="3" s="1"/>
  <c r="IY7" i="4" s="1"/>
  <c r="IY29" i="3"/>
  <c r="IY31" i="3" s="1"/>
  <c r="IY32" i="3" s="1"/>
  <c r="IY34" i="3" s="1"/>
  <c r="IX7" i="4" s="1"/>
  <c r="IX29" i="3"/>
  <c r="IX31" i="3" s="1"/>
  <c r="IX32" i="3" s="1"/>
  <c r="IX34" i="3" s="1"/>
  <c r="IW7" i="4" s="1"/>
  <c r="IW29" i="3"/>
  <c r="IW31" i="3" s="1"/>
  <c r="IW32" i="3" s="1"/>
  <c r="IW34" i="3" s="1"/>
  <c r="IV7" i="4" s="1"/>
  <c r="IV29" i="3"/>
  <c r="IV31" i="3" s="1"/>
  <c r="IT29" i="3"/>
  <c r="IT31" i="3" s="1"/>
  <c r="IS29" i="3"/>
  <c r="IS31" i="3" s="1"/>
  <c r="IR29" i="3"/>
  <c r="IR31" i="3" s="1"/>
  <c r="IQ29" i="3"/>
  <c r="IQ31" i="3" s="1"/>
  <c r="IP29" i="3"/>
  <c r="IP31" i="3" s="1"/>
  <c r="IO29" i="3"/>
  <c r="IO31" i="3" s="1"/>
  <c r="IN29" i="3"/>
  <c r="IN31" i="3" s="1"/>
  <c r="IM29" i="3"/>
  <c r="IM31" i="3" s="1"/>
  <c r="IL29" i="3"/>
  <c r="IL31" i="3" s="1"/>
  <c r="IK29" i="3"/>
  <c r="IK31" i="3" s="1"/>
  <c r="IJ29" i="3"/>
  <c r="IJ31" i="3" s="1"/>
  <c r="II29" i="3"/>
  <c r="II31" i="3" s="1"/>
  <c r="IH29" i="3"/>
  <c r="IH31" i="3" s="1"/>
  <c r="IG29" i="3"/>
  <c r="IG31" i="3" s="1"/>
  <c r="IF29" i="3"/>
  <c r="IF31" i="3" s="1"/>
  <c r="IE29" i="3"/>
  <c r="IE31" i="3" s="1"/>
  <c r="ID29" i="3"/>
  <c r="ID31" i="3" s="1"/>
  <c r="IC29" i="3"/>
  <c r="IC31" i="3" s="1"/>
  <c r="IB29" i="3"/>
  <c r="IB31" i="3" s="1"/>
  <c r="IA29" i="3"/>
  <c r="IA31" i="3" s="1"/>
  <c r="HZ29" i="3"/>
  <c r="HZ31" i="3" s="1"/>
  <c r="HY29" i="3"/>
  <c r="HY31" i="3" s="1"/>
  <c r="HX29" i="3"/>
  <c r="HX31" i="3" s="1"/>
  <c r="HW29" i="3"/>
  <c r="HW31" i="3" s="1"/>
  <c r="HV29" i="3"/>
  <c r="HV31" i="3" s="1"/>
  <c r="HU29" i="3"/>
  <c r="HU31" i="3" s="1"/>
  <c r="HT29" i="3"/>
  <c r="HT31" i="3" s="1"/>
  <c r="HS29" i="3"/>
  <c r="HS31" i="3" s="1"/>
  <c r="HR29" i="3"/>
  <c r="HR31" i="3" s="1"/>
  <c r="HQ29" i="3"/>
  <c r="HQ31" i="3" s="1"/>
  <c r="HP29" i="3"/>
  <c r="HN29" i="3"/>
  <c r="HN31" i="3" s="1"/>
  <c r="HM29" i="3"/>
  <c r="HM31" i="3" s="1"/>
  <c r="HL29" i="3"/>
  <c r="HL31" i="3" s="1"/>
  <c r="HK29" i="3"/>
  <c r="HK31" i="3" s="1"/>
  <c r="HJ29" i="3"/>
  <c r="HJ31" i="3" s="1"/>
  <c r="HI29" i="3"/>
  <c r="HI31" i="3" s="1"/>
  <c r="HH29" i="3"/>
  <c r="HH31" i="3" s="1"/>
  <c r="HG29" i="3"/>
  <c r="HG31" i="3" s="1"/>
  <c r="HF29" i="3"/>
  <c r="HF31" i="3" s="1"/>
  <c r="HE29" i="3"/>
  <c r="HE31" i="3" s="1"/>
  <c r="HD29" i="3"/>
  <c r="HD31" i="3" s="1"/>
  <c r="HC29" i="3"/>
  <c r="HC31" i="3" s="1"/>
  <c r="HB29" i="3"/>
  <c r="HB31" i="3" s="1"/>
  <c r="HA29" i="3"/>
  <c r="HA31" i="3" s="1"/>
  <c r="GZ29" i="3"/>
  <c r="GZ31" i="3" s="1"/>
  <c r="GY29" i="3"/>
  <c r="GY31" i="3" s="1"/>
  <c r="GX29" i="3"/>
  <c r="GX31" i="3" s="1"/>
  <c r="GW29" i="3"/>
  <c r="GW31" i="3" s="1"/>
  <c r="GV29" i="3"/>
  <c r="GV31" i="3" s="1"/>
  <c r="GU29" i="3"/>
  <c r="GU31" i="3" s="1"/>
  <c r="GT29" i="3"/>
  <c r="GT31" i="3" s="1"/>
  <c r="GS29" i="3"/>
  <c r="GS31" i="3" s="1"/>
  <c r="GR29" i="3"/>
  <c r="GR31" i="3" s="1"/>
  <c r="GQ29" i="3"/>
  <c r="GQ31" i="3" s="1"/>
  <c r="GP29" i="3"/>
  <c r="GP31" i="3" s="1"/>
  <c r="GO29" i="3"/>
  <c r="GO31" i="3" s="1"/>
  <c r="GN29" i="3"/>
  <c r="GN31" i="3" s="1"/>
  <c r="GM29" i="3"/>
  <c r="GM31" i="3" s="1"/>
  <c r="GL29" i="3"/>
  <c r="GJ29" i="3"/>
  <c r="GJ31" i="3" s="1"/>
  <c r="GI29" i="3"/>
  <c r="GI31" i="3" s="1"/>
  <c r="GH29" i="3"/>
  <c r="GH31" i="3" s="1"/>
  <c r="GG29" i="3"/>
  <c r="GG31" i="3" s="1"/>
  <c r="GF29" i="3"/>
  <c r="GF31" i="3" s="1"/>
  <c r="GE29" i="3"/>
  <c r="GE31" i="3" s="1"/>
  <c r="GD29" i="3"/>
  <c r="GD31" i="3" s="1"/>
  <c r="GC29" i="3"/>
  <c r="GC31" i="3" s="1"/>
  <c r="GB29" i="3"/>
  <c r="GB31" i="3" s="1"/>
  <c r="GA29" i="3"/>
  <c r="GA31" i="3" s="1"/>
  <c r="FZ29" i="3"/>
  <c r="FZ31" i="3" s="1"/>
  <c r="FY29" i="3"/>
  <c r="FY31" i="3" s="1"/>
  <c r="FX29" i="3"/>
  <c r="FX31" i="3" s="1"/>
  <c r="FW29" i="3"/>
  <c r="FW31" i="3" s="1"/>
  <c r="FV29" i="3"/>
  <c r="FV31" i="3" s="1"/>
  <c r="FU29" i="3"/>
  <c r="FU31" i="3" s="1"/>
  <c r="FT29" i="3"/>
  <c r="FT31" i="3" s="1"/>
  <c r="FS29" i="3"/>
  <c r="FS31" i="3" s="1"/>
  <c r="FR29" i="3"/>
  <c r="FR31" i="3" s="1"/>
  <c r="FQ29" i="3"/>
  <c r="FQ31" i="3" s="1"/>
  <c r="FP29" i="3"/>
  <c r="FP31" i="3" s="1"/>
  <c r="FO29" i="3"/>
  <c r="FO31" i="3" s="1"/>
  <c r="FN29" i="3"/>
  <c r="FN31" i="3" s="1"/>
  <c r="FM29" i="3"/>
  <c r="FM31" i="3" s="1"/>
  <c r="FL29" i="3"/>
  <c r="FL31" i="3" s="1"/>
  <c r="FK29" i="3"/>
  <c r="FK31" i="3" s="1"/>
  <c r="FJ29" i="3"/>
  <c r="FJ31" i="3" s="1"/>
  <c r="FI29" i="3"/>
  <c r="FI31" i="3" s="1"/>
  <c r="FH29" i="3"/>
  <c r="FH31" i="3" s="1"/>
  <c r="FG29" i="3"/>
  <c r="FG31" i="3" s="1"/>
  <c r="FF29" i="3"/>
  <c r="FD29" i="3"/>
  <c r="FD31" i="3" s="1"/>
  <c r="FC29" i="3"/>
  <c r="FC31" i="3" s="1"/>
  <c r="FB29" i="3"/>
  <c r="FB31" i="3" s="1"/>
  <c r="FA29" i="3"/>
  <c r="FA31" i="3" s="1"/>
  <c r="EZ29" i="3"/>
  <c r="EZ31" i="3" s="1"/>
  <c r="EY29" i="3"/>
  <c r="EY31" i="3" s="1"/>
  <c r="EX29" i="3"/>
  <c r="EX31" i="3" s="1"/>
  <c r="EW29" i="3"/>
  <c r="EW31" i="3" s="1"/>
  <c r="EV29" i="3"/>
  <c r="EV31" i="3" s="1"/>
  <c r="EU29" i="3"/>
  <c r="EU31" i="3" s="1"/>
  <c r="ET29" i="3"/>
  <c r="ET31" i="3" s="1"/>
  <c r="ES29" i="3"/>
  <c r="ES31" i="3" s="1"/>
  <c r="ER29" i="3"/>
  <c r="ER31" i="3" s="1"/>
  <c r="EQ29" i="3"/>
  <c r="EQ31" i="3" s="1"/>
  <c r="EP29" i="3"/>
  <c r="EP31" i="3" s="1"/>
  <c r="EO29" i="3"/>
  <c r="EO31" i="3" s="1"/>
  <c r="EN29" i="3"/>
  <c r="EN31" i="3" s="1"/>
  <c r="EM29" i="3"/>
  <c r="EM31" i="3" s="1"/>
  <c r="EL29" i="3"/>
  <c r="EL31" i="3" s="1"/>
  <c r="EK29" i="3"/>
  <c r="EK31" i="3" s="1"/>
  <c r="EJ29" i="3"/>
  <c r="EJ31" i="3" s="1"/>
  <c r="EI29" i="3"/>
  <c r="EI31" i="3" s="1"/>
  <c r="EH29" i="3"/>
  <c r="EH31" i="3" s="1"/>
  <c r="EG29" i="3"/>
  <c r="EG31" i="3" s="1"/>
  <c r="EF29" i="3"/>
  <c r="EF31" i="3" s="1"/>
  <c r="EE29" i="3"/>
  <c r="EE31" i="3" s="1"/>
  <c r="ED29" i="3"/>
  <c r="ED31" i="3" s="1"/>
  <c r="EC29" i="3"/>
  <c r="EC31" i="3" s="1"/>
  <c r="EB29" i="3"/>
  <c r="EB31" i="3" s="1"/>
  <c r="EA29" i="3"/>
  <c r="EA31" i="3" s="1"/>
  <c r="DZ29" i="3"/>
  <c r="DZ31" i="3" s="1"/>
  <c r="DX29" i="3"/>
  <c r="DX31" i="3" s="1"/>
  <c r="DW29" i="3"/>
  <c r="DW31" i="3" s="1"/>
  <c r="DV29" i="3"/>
  <c r="DV31" i="3" s="1"/>
  <c r="DU29" i="3"/>
  <c r="DU31" i="3" s="1"/>
  <c r="DT29" i="3"/>
  <c r="DT31" i="3" s="1"/>
  <c r="DS29" i="3"/>
  <c r="DS31" i="3" s="1"/>
  <c r="DR29" i="3"/>
  <c r="DR31" i="3" s="1"/>
  <c r="DQ29" i="3"/>
  <c r="DQ31" i="3" s="1"/>
  <c r="DP29" i="3"/>
  <c r="DP31" i="3" s="1"/>
  <c r="DO29" i="3"/>
  <c r="DO31" i="3" s="1"/>
  <c r="DN29" i="3"/>
  <c r="DN31" i="3" s="1"/>
  <c r="DM29" i="3"/>
  <c r="DM31" i="3" s="1"/>
  <c r="DL29" i="3"/>
  <c r="DL31" i="3" s="1"/>
  <c r="DK29" i="3"/>
  <c r="DK31" i="3" s="1"/>
  <c r="DJ29" i="3"/>
  <c r="DJ31" i="3" s="1"/>
  <c r="DI29" i="3"/>
  <c r="DI31" i="3" s="1"/>
  <c r="DH29" i="3"/>
  <c r="DH31" i="3" s="1"/>
  <c r="DG29" i="3"/>
  <c r="DG31" i="3" s="1"/>
  <c r="DF29" i="3"/>
  <c r="DF31" i="3" s="1"/>
  <c r="DE29" i="3"/>
  <c r="DE31" i="3" s="1"/>
  <c r="DD29" i="3"/>
  <c r="DD31" i="3" s="1"/>
  <c r="DC29" i="3"/>
  <c r="DC31" i="3" s="1"/>
  <c r="DB29" i="3"/>
  <c r="DB31" i="3" s="1"/>
  <c r="DA29" i="3"/>
  <c r="DA31" i="3" s="1"/>
  <c r="CZ29" i="3"/>
  <c r="CZ31" i="3" s="1"/>
  <c r="CY29" i="3"/>
  <c r="CY31" i="3" s="1"/>
  <c r="CX29" i="3"/>
  <c r="CX31" i="3" s="1"/>
  <c r="CW29" i="3"/>
  <c r="CW31" i="3" s="1"/>
  <c r="CV29" i="3"/>
  <c r="CV31" i="3" s="1"/>
  <c r="CU29" i="3"/>
  <c r="CU31" i="3" s="1"/>
  <c r="CS29" i="3"/>
  <c r="CS31" i="3" s="1"/>
  <c r="CR29" i="3"/>
  <c r="CR31" i="3" s="1"/>
  <c r="CQ29" i="3"/>
  <c r="CQ31" i="3" s="1"/>
  <c r="CP29" i="3"/>
  <c r="CP31" i="3" s="1"/>
  <c r="CO29" i="3"/>
  <c r="CO31" i="3" s="1"/>
  <c r="CN29" i="3"/>
  <c r="CN31" i="3" s="1"/>
  <c r="CM29" i="3"/>
  <c r="CM31" i="3" s="1"/>
  <c r="CL29" i="3"/>
  <c r="CL31" i="3" s="1"/>
  <c r="CK29" i="3"/>
  <c r="CK31" i="3" s="1"/>
  <c r="CJ29" i="3"/>
  <c r="CJ31" i="3" s="1"/>
  <c r="CI29" i="3"/>
  <c r="CI31" i="3" s="1"/>
  <c r="CH29" i="3"/>
  <c r="CH31" i="3" s="1"/>
  <c r="CG29" i="3"/>
  <c r="CG31" i="3" s="1"/>
  <c r="CF29" i="3"/>
  <c r="CF31" i="3" s="1"/>
  <c r="CE29" i="3"/>
  <c r="CE31" i="3" s="1"/>
  <c r="CD29" i="3"/>
  <c r="CD31" i="3" s="1"/>
  <c r="CC29" i="3"/>
  <c r="CC31" i="3" s="1"/>
  <c r="CB29" i="3"/>
  <c r="CB31" i="3" s="1"/>
  <c r="CA29" i="3"/>
  <c r="CA31" i="3" s="1"/>
  <c r="BZ29" i="3"/>
  <c r="BZ31" i="3" s="1"/>
  <c r="BY29" i="3"/>
  <c r="BY31" i="3" s="1"/>
  <c r="BX29" i="3"/>
  <c r="BX31" i="3" s="1"/>
  <c r="BW29" i="3"/>
  <c r="BW31" i="3" s="1"/>
  <c r="BV29" i="3"/>
  <c r="BV31" i="3" s="1"/>
  <c r="BU29" i="3"/>
  <c r="BU31" i="3" s="1"/>
  <c r="BT29" i="3"/>
  <c r="BT31" i="3" s="1"/>
  <c r="BS29" i="3"/>
  <c r="BS31" i="3" s="1"/>
  <c r="BR29" i="3"/>
  <c r="BR31" i="3" s="1"/>
  <c r="BQ29" i="3"/>
  <c r="BQ31" i="3" s="1"/>
  <c r="BP29" i="3"/>
  <c r="BP31" i="3" s="1"/>
  <c r="BO29" i="3"/>
  <c r="BO31" i="3" s="1"/>
  <c r="BM29" i="3"/>
  <c r="BM31" i="3" s="1"/>
  <c r="BL29" i="3"/>
  <c r="BL31" i="3" s="1"/>
  <c r="BK29" i="3"/>
  <c r="BK31" i="3" s="1"/>
  <c r="BJ29" i="3"/>
  <c r="BJ31" i="3" s="1"/>
  <c r="BI29" i="3"/>
  <c r="BI31" i="3" s="1"/>
  <c r="BH29" i="3"/>
  <c r="BH31" i="3" s="1"/>
  <c r="BG29" i="3"/>
  <c r="BG31" i="3" s="1"/>
  <c r="BF29" i="3"/>
  <c r="BF31" i="3" s="1"/>
  <c r="BE29" i="3"/>
  <c r="BE31" i="3" s="1"/>
  <c r="BD29" i="3"/>
  <c r="BD31" i="3" s="1"/>
  <c r="BC29" i="3"/>
  <c r="BC31" i="3" s="1"/>
  <c r="BB29" i="3"/>
  <c r="BB31" i="3" s="1"/>
  <c r="BA29" i="3"/>
  <c r="BA31" i="3" s="1"/>
  <c r="AZ29" i="3"/>
  <c r="AZ31" i="3" s="1"/>
  <c r="AY29" i="3"/>
  <c r="AY31" i="3" s="1"/>
  <c r="AX29" i="3"/>
  <c r="AX31" i="3" s="1"/>
  <c r="AW29" i="3"/>
  <c r="AW31" i="3" s="1"/>
  <c r="AV29" i="3"/>
  <c r="AV31" i="3" s="1"/>
  <c r="AU29" i="3"/>
  <c r="AU31" i="3" s="1"/>
  <c r="AT29" i="3"/>
  <c r="AT31" i="3" s="1"/>
  <c r="AS29" i="3"/>
  <c r="AS31" i="3" s="1"/>
  <c r="AR29" i="3"/>
  <c r="AR31" i="3" s="1"/>
  <c r="AQ29" i="3"/>
  <c r="AQ31" i="3" s="1"/>
  <c r="AP29" i="3"/>
  <c r="AP31" i="3" s="1"/>
  <c r="AO29" i="3"/>
  <c r="AO31" i="3" s="1"/>
  <c r="AN29" i="3"/>
  <c r="AN31" i="3" s="1"/>
  <c r="AM29" i="3"/>
  <c r="AM31" i="3" s="1"/>
  <c r="AL29" i="3"/>
  <c r="AL31" i="3" s="1"/>
  <c r="AK29" i="3"/>
  <c r="AK31" i="3" s="1"/>
  <c r="AJ29" i="3"/>
  <c r="AJ31" i="3" s="1"/>
  <c r="AH29" i="3"/>
  <c r="AH31" i="3" s="1"/>
  <c r="AG29" i="3"/>
  <c r="AG31" i="3" s="1"/>
  <c r="AF29" i="3"/>
  <c r="AF31" i="3" s="1"/>
  <c r="AE29" i="3"/>
  <c r="AE31" i="3" s="1"/>
  <c r="AD29" i="3"/>
  <c r="AD31" i="3" s="1"/>
  <c r="AC29" i="3"/>
  <c r="AC31" i="3" s="1"/>
  <c r="AB29" i="3"/>
  <c r="AB31" i="3" s="1"/>
  <c r="AA29" i="3"/>
  <c r="AA31" i="3" s="1"/>
  <c r="Z29" i="3"/>
  <c r="Z31" i="3" s="1"/>
  <c r="Y29" i="3"/>
  <c r="Y31" i="3" s="1"/>
  <c r="X29" i="3"/>
  <c r="X31" i="3" s="1"/>
  <c r="W29" i="3"/>
  <c r="W31" i="3" s="1"/>
  <c r="V29" i="3"/>
  <c r="V31" i="3" s="1"/>
  <c r="U29" i="3"/>
  <c r="U31" i="3" s="1"/>
  <c r="T29" i="3"/>
  <c r="T31" i="3" s="1"/>
  <c r="S29" i="3"/>
  <c r="S31" i="3" s="1"/>
  <c r="R29" i="3"/>
  <c r="R31" i="3" s="1"/>
  <c r="Q29" i="3"/>
  <c r="Q31" i="3" s="1"/>
  <c r="P29" i="3"/>
  <c r="P31" i="3" s="1"/>
  <c r="O29" i="3"/>
  <c r="O31" i="3" s="1"/>
  <c r="N29" i="3"/>
  <c r="N31" i="3" s="1"/>
  <c r="M29" i="3"/>
  <c r="M31" i="3" s="1"/>
  <c r="L29" i="3"/>
  <c r="L31" i="3" s="1"/>
  <c r="K29" i="3"/>
  <c r="K31" i="3" s="1"/>
  <c r="J29" i="3"/>
  <c r="J31" i="3" s="1"/>
  <c r="I29" i="3"/>
  <c r="I31" i="3" s="1"/>
  <c r="H29" i="3"/>
  <c r="H31" i="3" s="1"/>
  <c r="G29" i="3"/>
  <c r="G31" i="3" s="1"/>
  <c r="F29" i="3"/>
  <c r="F31" i="3" s="1"/>
  <c r="E29" i="3"/>
  <c r="E31" i="3" s="1"/>
  <c r="AOF28" i="3"/>
  <c r="AOE28" i="3"/>
  <c r="AOD28" i="3"/>
  <c r="D28" i="3"/>
  <c r="AOC26" i="3"/>
  <c r="AOC28" i="3" s="1"/>
  <c r="AOB26" i="3"/>
  <c r="AOB28" i="3" s="1"/>
  <c r="AOA26" i="3"/>
  <c r="AOA28" i="3" s="1"/>
  <c r="ANZ26" i="3"/>
  <c r="ANZ28" i="3" s="1"/>
  <c r="ANY26" i="3"/>
  <c r="ANY28" i="3" s="1"/>
  <c r="ANX26" i="3"/>
  <c r="ANX28" i="3" s="1"/>
  <c r="ANW26" i="3"/>
  <c r="ANW28" i="3" s="1"/>
  <c r="ANV26" i="3"/>
  <c r="ANV28" i="3" s="1"/>
  <c r="ANU26" i="3"/>
  <c r="ANU28" i="3" s="1"/>
  <c r="ANT26" i="3"/>
  <c r="ANT28" i="3" s="1"/>
  <c r="ANS26" i="3"/>
  <c r="ANS28" i="3" s="1"/>
  <c r="ANR26" i="3"/>
  <c r="ANR28" i="3" s="1"/>
  <c r="ANQ26" i="3"/>
  <c r="ANQ28" i="3" s="1"/>
  <c r="ANP26" i="3"/>
  <c r="ANP28" i="3" s="1"/>
  <c r="ANO26" i="3"/>
  <c r="ANO28" i="3" s="1"/>
  <c r="ANN26" i="3"/>
  <c r="ANN28" i="3" s="1"/>
  <c r="ANM26" i="3"/>
  <c r="ANM28" i="3" s="1"/>
  <c r="ANL26" i="3"/>
  <c r="ANL28" i="3" s="1"/>
  <c r="ANK26" i="3"/>
  <c r="ANK28" i="3" s="1"/>
  <c r="ANJ26" i="3"/>
  <c r="ANJ28" i="3" s="1"/>
  <c r="ANI26" i="3"/>
  <c r="ANI28" i="3" s="1"/>
  <c r="ANH26" i="3"/>
  <c r="ANH28" i="3" s="1"/>
  <c r="ANG26" i="3"/>
  <c r="ANG28" i="3" s="1"/>
  <c r="ANF26" i="3"/>
  <c r="ANF28" i="3" s="1"/>
  <c r="ANE26" i="3"/>
  <c r="ANE28" i="3" s="1"/>
  <c r="AND26" i="3"/>
  <c r="AND28" i="3" s="1"/>
  <c r="ANC26" i="3"/>
  <c r="ANC28" i="3" s="1"/>
  <c r="ANB26" i="3"/>
  <c r="ANB28" i="3" s="1"/>
  <c r="ANA26" i="3"/>
  <c r="ANA28" i="3" s="1"/>
  <c r="AMY26" i="3"/>
  <c r="AMY28" i="3" s="1"/>
  <c r="AMX26" i="3"/>
  <c r="AMX28" i="3" s="1"/>
  <c r="AMW26" i="3"/>
  <c r="AMW28" i="3" s="1"/>
  <c r="AMV26" i="3"/>
  <c r="AMV28" i="3" s="1"/>
  <c r="AMU26" i="3"/>
  <c r="AMU28" i="3" s="1"/>
  <c r="AMT26" i="3"/>
  <c r="AMT28" i="3" s="1"/>
  <c r="AMS26" i="3"/>
  <c r="AMS28" i="3" s="1"/>
  <c r="AMR26" i="3"/>
  <c r="AMR28" i="3" s="1"/>
  <c r="AMQ26" i="3"/>
  <c r="AMQ28" i="3" s="1"/>
  <c r="AMP26" i="3"/>
  <c r="AMP28" i="3" s="1"/>
  <c r="AMO26" i="3"/>
  <c r="AMO28" i="3" s="1"/>
  <c r="AMN26" i="3"/>
  <c r="AMN28" i="3" s="1"/>
  <c r="AMM26" i="3"/>
  <c r="AMM28" i="3" s="1"/>
  <c r="AML26" i="3"/>
  <c r="AML28" i="3" s="1"/>
  <c r="AMK26" i="3"/>
  <c r="AMK28" i="3" s="1"/>
  <c r="AMJ26" i="3"/>
  <c r="AMJ28" i="3" s="1"/>
  <c r="AMI26" i="3"/>
  <c r="AMI28" i="3" s="1"/>
  <c r="AMH26" i="3"/>
  <c r="AMH28" i="3" s="1"/>
  <c r="AMG26" i="3"/>
  <c r="AMG28" i="3" s="1"/>
  <c r="AMF26" i="3"/>
  <c r="AMF28" i="3" s="1"/>
  <c r="AME26" i="3"/>
  <c r="AME28" i="3" s="1"/>
  <c r="AMD26" i="3"/>
  <c r="AMD28" i="3" s="1"/>
  <c r="AMC26" i="3"/>
  <c r="AMC28" i="3" s="1"/>
  <c r="AMB26" i="3"/>
  <c r="AMB28" i="3" s="1"/>
  <c r="AMA26" i="3"/>
  <c r="AMA28" i="3" s="1"/>
  <c r="ALZ26" i="3"/>
  <c r="ALZ28" i="3" s="1"/>
  <c r="ALY26" i="3"/>
  <c r="ALY28" i="3" s="1"/>
  <c r="ALX26" i="3"/>
  <c r="ALX28" i="3" s="1"/>
  <c r="ALW26" i="3"/>
  <c r="ALW28" i="3" s="1"/>
  <c r="ALV26" i="3"/>
  <c r="ALV28" i="3" s="1"/>
  <c r="AMZ28" i="3" s="1"/>
  <c r="ALT26" i="3"/>
  <c r="ALT28" i="3" s="1"/>
  <c r="ALS26" i="3"/>
  <c r="ALS28" i="3" s="1"/>
  <c r="ALR26" i="3"/>
  <c r="ALR28" i="3" s="1"/>
  <c r="ALQ26" i="3"/>
  <c r="ALQ28" i="3" s="1"/>
  <c r="ALP26" i="3"/>
  <c r="ALP28" i="3" s="1"/>
  <c r="ALO26" i="3"/>
  <c r="ALO28" i="3" s="1"/>
  <c r="ALN26" i="3"/>
  <c r="ALN28" i="3" s="1"/>
  <c r="ALM26" i="3"/>
  <c r="ALM28" i="3" s="1"/>
  <c r="ALL26" i="3"/>
  <c r="ALL28" i="3" s="1"/>
  <c r="ALK26" i="3"/>
  <c r="ALK28" i="3" s="1"/>
  <c r="ALJ26" i="3"/>
  <c r="ALJ28" i="3" s="1"/>
  <c r="ALI26" i="3"/>
  <c r="ALI28" i="3" s="1"/>
  <c r="ALH26" i="3"/>
  <c r="ALH28" i="3" s="1"/>
  <c r="ALG26" i="3"/>
  <c r="ALG28" i="3" s="1"/>
  <c r="ALF26" i="3"/>
  <c r="ALF28" i="3" s="1"/>
  <c r="ALE26" i="3"/>
  <c r="ALE28" i="3" s="1"/>
  <c r="ALD26" i="3"/>
  <c r="ALD28" i="3" s="1"/>
  <c r="ALC26" i="3"/>
  <c r="ALC28" i="3" s="1"/>
  <c r="ALB26" i="3"/>
  <c r="ALB28" i="3" s="1"/>
  <c r="ALA26" i="3"/>
  <c r="ALA28" i="3" s="1"/>
  <c r="AKZ26" i="3"/>
  <c r="AKZ28" i="3" s="1"/>
  <c r="AKY26" i="3"/>
  <c r="AKY28" i="3" s="1"/>
  <c r="AKX26" i="3"/>
  <c r="AKX28" i="3" s="1"/>
  <c r="AKW26" i="3"/>
  <c r="AKW28" i="3" s="1"/>
  <c r="AKV26" i="3"/>
  <c r="AKV28" i="3" s="1"/>
  <c r="AKU26" i="3"/>
  <c r="AKU28" i="3" s="1"/>
  <c r="AKT26" i="3"/>
  <c r="AKT28" i="3" s="1"/>
  <c r="AKS26" i="3"/>
  <c r="AKS28" i="3" s="1"/>
  <c r="AKR26" i="3"/>
  <c r="AKR28" i="3" s="1"/>
  <c r="AKQ26" i="3"/>
  <c r="AKQ28" i="3" s="1"/>
  <c r="AKP26" i="3"/>
  <c r="AKP28" i="3" s="1"/>
  <c r="ALU28" i="3" s="1"/>
  <c r="AKN26" i="3"/>
  <c r="AKN28" i="3" s="1"/>
  <c r="AKM26" i="3"/>
  <c r="AKM28" i="3" s="1"/>
  <c r="AKL26" i="3"/>
  <c r="AKL28" i="3" s="1"/>
  <c r="AKK26" i="3"/>
  <c r="AKK28" i="3" s="1"/>
  <c r="AKJ26" i="3"/>
  <c r="AKJ28" i="3" s="1"/>
  <c r="AKI26" i="3"/>
  <c r="AKI28" i="3" s="1"/>
  <c r="AKH26" i="3"/>
  <c r="AKH28" i="3" s="1"/>
  <c r="AKG26" i="3"/>
  <c r="AKG28" i="3" s="1"/>
  <c r="AKF26" i="3"/>
  <c r="AKF28" i="3" s="1"/>
  <c r="AKE26" i="3"/>
  <c r="AKE28" i="3" s="1"/>
  <c r="AKD26" i="3"/>
  <c r="AKD28" i="3" s="1"/>
  <c r="AKC26" i="3"/>
  <c r="AKC28" i="3" s="1"/>
  <c r="AKB26" i="3"/>
  <c r="AKB28" i="3" s="1"/>
  <c r="AKA26" i="3"/>
  <c r="AKA28" i="3" s="1"/>
  <c r="AJZ26" i="3"/>
  <c r="AJZ28" i="3" s="1"/>
  <c r="AJY26" i="3"/>
  <c r="AJY28" i="3" s="1"/>
  <c r="AJX26" i="3"/>
  <c r="AJX28" i="3" s="1"/>
  <c r="AJW26" i="3"/>
  <c r="AJW28" i="3" s="1"/>
  <c r="AJV26" i="3"/>
  <c r="AJV28" i="3" s="1"/>
  <c r="AJU26" i="3"/>
  <c r="AJU28" i="3" s="1"/>
  <c r="AJT26" i="3"/>
  <c r="AJT28" i="3" s="1"/>
  <c r="AJS26" i="3"/>
  <c r="AJS28" i="3" s="1"/>
  <c r="AJR26" i="3"/>
  <c r="AJR28" i="3" s="1"/>
  <c r="AJQ26" i="3"/>
  <c r="AJQ28" i="3" s="1"/>
  <c r="AJP26" i="3"/>
  <c r="AJP28" i="3" s="1"/>
  <c r="AJO26" i="3"/>
  <c r="AJO28" i="3" s="1"/>
  <c r="AJN26" i="3"/>
  <c r="AJN28" i="3" s="1"/>
  <c r="AJM26" i="3"/>
  <c r="AJM28" i="3" s="1"/>
  <c r="AKO28" i="3" s="1"/>
  <c r="AJK26" i="3"/>
  <c r="AJK28" i="3" s="1"/>
  <c r="AJJ26" i="3"/>
  <c r="AJJ28" i="3" s="1"/>
  <c r="AJI26" i="3"/>
  <c r="AJI28" i="3" s="1"/>
  <c r="AJH26" i="3"/>
  <c r="AJH28" i="3" s="1"/>
  <c r="AJG26" i="3"/>
  <c r="AJG28" i="3" s="1"/>
  <c r="AJF26" i="3"/>
  <c r="AJF28" i="3" s="1"/>
  <c r="AJE26" i="3"/>
  <c r="AJE28" i="3" s="1"/>
  <c r="AJD26" i="3"/>
  <c r="AJD28" i="3" s="1"/>
  <c r="AJC26" i="3"/>
  <c r="AJC28" i="3" s="1"/>
  <c r="AJB26" i="3"/>
  <c r="AJB28" i="3" s="1"/>
  <c r="AJA26" i="3"/>
  <c r="AJA28" i="3" s="1"/>
  <c r="AIZ26" i="3"/>
  <c r="AIZ28" i="3" s="1"/>
  <c r="AIY26" i="3"/>
  <c r="AIY28" i="3" s="1"/>
  <c r="AIX26" i="3"/>
  <c r="AIX28" i="3" s="1"/>
  <c r="AIW26" i="3"/>
  <c r="AIW28" i="3" s="1"/>
  <c r="AIV26" i="3"/>
  <c r="AIV28" i="3" s="1"/>
  <c r="AIU26" i="3"/>
  <c r="AIU28" i="3" s="1"/>
  <c r="AIT26" i="3"/>
  <c r="AIT28" i="3" s="1"/>
  <c r="AIS26" i="3"/>
  <c r="AIS28" i="3" s="1"/>
  <c r="AIR26" i="3"/>
  <c r="AIR28" i="3" s="1"/>
  <c r="AIQ26" i="3"/>
  <c r="AIQ28" i="3" s="1"/>
  <c r="AIP26" i="3"/>
  <c r="AIP28" i="3" s="1"/>
  <c r="AIO26" i="3"/>
  <c r="AIO28" i="3" s="1"/>
  <c r="AIN26" i="3"/>
  <c r="AIN28" i="3" s="1"/>
  <c r="AIM26" i="3"/>
  <c r="AIM28" i="3" s="1"/>
  <c r="AIL26" i="3"/>
  <c r="AIL28" i="3" s="1"/>
  <c r="AIK26" i="3"/>
  <c r="AIK28" i="3" s="1"/>
  <c r="AIJ26" i="3"/>
  <c r="AIJ28" i="3" s="1"/>
  <c r="AII26" i="3"/>
  <c r="AII28" i="3" s="1"/>
  <c r="AIH26" i="3"/>
  <c r="AIH28" i="3" s="1"/>
  <c r="AIG26" i="3"/>
  <c r="AIG28" i="3" s="1"/>
  <c r="AJL28" i="3" s="1"/>
  <c r="AIE26" i="3"/>
  <c r="AIE28" i="3" s="1"/>
  <c r="AID26" i="3"/>
  <c r="AID28" i="3" s="1"/>
  <c r="AIC26" i="3"/>
  <c r="AIC28" i="3" s="1"/>
  <c r="AIB26" i="3"/>
  <c r="AIB28" i="3" s="1"/>
  <c r="AIA26" i="3"/>
  <c r="AIA28" i="3" s="1"/>
  <c r="AHZ26" i="3"/>
  <c r="AHZ28" i="3" s="1"/>
  <c r="AHY26" i="3"/>
  <c r="AHY28" i="3" s="1"/>
  <c r="AHX26" i="3"/>
  <c r="AHX28" i="3" s="1"/>
  <c r="AHW26" i="3"/>
  <c r="AHW28" i="3" s="1"/>
  <c r="AHV26" i="3"/>
  <c r="AHV28" i="3" s="1"/>
  <c r="AHU26" i="3"/>
  <c r="AHU28" i="3" s="1"/>
  <c r="AHT26" i="3"/>
  <c r="AHT28" i="3" s="1"/>
  <c r="AHS26" i="3"/>
  <c r="AHS28" i="3" s="1"/>
  <c r="AHR26" i="3"/>
  <c r="AHR28" i="3" s="1"/>
  <c r="AHQ26" i="3"/>
  <c r="AHQ28" i="3" s="1"/>
  <c r="AHP26" i="3"/>
  <c r="AHP28" i="3" s="1"/>
  <c r="AHO26" i="3"/>
  <c r="AHO28" i="3" s="1"/>
  <c r="AHN26" i="3"/>
  <c r="AHN28" i="3" s="1"/>
  <c r="AHM26" i="3"/>
  <c r="AHM28" i="3" s="1"/>
  <c r="AHL26" i="3"/>
  <c r="AHL28" i="3" s="1"/>
  <c r="AHK26" i="3"/>
  <c r="AHK28" i="3" s="1"/>
  <c r="AHJ26" i="3"/>
  <c r="AHJ28" i="3" s="1"/>
  <c r="AHI26" i="3"/>
  <c r="AHI28" i="3" s="1"/>
  <c r="AHH26" i="3"/>
  <c r="AHH28" i="3" s="1"/>
  <c r="AHG26" i="3"/>
  <c r="AHG28" i="3" s="1"/>
  <c r="AHF26" i="3"/>
  <c r="AHF28" i="3" s="1"/>
  <c r="AHE26" i="3"/>
  <c r="AHE28" i="3" s="1"/>
  <c r="AHD26" i="3"/>
  <c r="AHD28" i="3" s="1"/>
  <c r="AHC26" i="3"/>
  <c r="AHC28" i="3" s="1"/>
  <c r="AHB26" i="3"/>
  <c r="AHB28" i="3" s="1"/>
  <c r="AHA26" i="3"/>
  <c r="AHA28" i="3" s="1"/>
  <c r="AIF28" i="3" s="1"/>
  <c r="AGY26" i="3"/>
  <c r="AGY28" i="3" s="1"/>
  <c r="AGX26" i="3"/>
  <c r="AGX28" i="3" s="1"/>
  <c r="AGW26" i="3"/>
  <c r="AGW28" i="3" s="1"/>
  <c r="AGV26" i="3"/>
  <c r="AGV28" i="3" s="1"/>
  <c r="AGU26" i="3"/>
  <c r="AGU28" i="3" s="1"/>
  <c r="AGT26" i="3"/>
  <c r="AGT28" i="3" s="1"/>
  <c r="AGS26" i="3"/>
  <c r="AGS28" i="3" s="1"/>
  <c r="AGR26" i="3"/>
  <c r="AGR28" i="3" s="1"/>
  <c r="AGQ26" i="3"/>
  <c r="AGQ28" i="3" s="1"/>
  <c r="AGP26" i="3"/>
  <c r="AGP28" i="3" s="1"/>
  <c r="AGO26" i="3"/>
  <c r="AGO28" i="3" s="1"/>
  <c r="AGN26" i="3"/>
  <c r="AGN28" i="3" s="1"/>
  <c r="AGM26" i="3"/>
  <c r="AGM28" i="3" s="1"/>
  <c r="AGL26" i="3"/>
  <c r="AGL28" i="3" s="1"/>
  <c r="AGK26" i="3"/>
  <c r="AGK28" i="3" s="1"/>
  <c r="AGJ26" i="3"/>
  <c r="AGJ28" i="3" s="1"/>
  <c r="AGI26" i="3"/>
  <c r="AGI28" i="3" s="1"/>
  <c r="AGH26" i="3"/>
  <c r="AGH28" i="3" s="1"/>
  <c r="AGG26" i="3"/>
  <c r="AGG28" i="3" s="1"/>
  <c r="AGF26" i="3"/>
  <c r="AGF28" i="3" s="1"/>
  <c r="AGE26" i="3"/>
  <c r="AGE28" i="3" s="1"/>
  <c r="AGD26" i="3"/>
  <c r="AGD28" i="3" s="1"/>
  <c r="AGC26" i="3"/>
  <c r="AGC28" i="3" s="1"/>
  <c r="AGB26" i="3"/>
  <c r="AGB28" i="3" s="1"/>
  <c r="AGA26" i="3"/>
  <c r="AGA28" i="3" s="1"/>
  <c r="AFZ26" i="3"/>
  <c r="AFZ28" i="3" s="1"/>
  <c r="AFY26" i="3"/>
  <c r="AFY28" i="3" s="1"/>
  <c r="AFX26" i="3"/>
  <c r="AFX28" i="3" s="1"/>
  <c r="AFW26" i="3"/>
  <c r="AFW28" i="3" s="1"/>
  <c r="AFV26" i="3"/>
  <c r="AFV28" i="3" s="1"/>
  <c r="AGZ28" i="3" s="1"/>
  <c r="AFT26" i="3"/>
  <c r="AFT28" i="3" s="1"/>
  <c r="AFS26" i="3"/>
  <c r="AFS28" i="3" s="1"/>
  <c r="AFR26" i="3"/>
  <c r="AFR28" i="3" s="1"/>
  <c r="AFQ26" i="3"/>
  <c r="AFQ28" i="3" s="1"/>
  <c r="AFP26" i="3"/>
  <c r="AFP28" i="3" s="1"/>
  <c r="AFO26" i="3"/>
  <c r="AFO28" i="3" s="1"/>
  <c r="AFN26" i="3"/>
  <c r="AFN28" i="3" s="1"/>
  <c r="AFM26" i="3"/>
  <c r="AFM28" i="3" s="1"/>
  <c r="AFL26" i="3"/>
  <c r="AFL28" i="3" s="1"/>
  <c r="AFK26" i="3"/>
  <c r="AFK28" i="3" s="1"/>
  <c r="AFJ26" i="3"/>
  <c r="AFJ28" i="3" s="1"/>
  <c r="AFI26" i="3"/>
  <c r="AFI28" i="3" s="1"/>
  <c r="AFH26" i="3"/>
  <c r="AFH28" i="3" s="1"/>
  <c r="AFG26" i="3"/>
  <c r="AFG28" i="3" s="1"/>
  <c r="AFF26" i="3"/>
  <c r="AFF28" i="3" s="1"/>
  <c r="AFE26" i="3"/>
  <c r="AFE28" i="3" s="1"/>
  <c r="AFD26" i="3"/>
  <c r="AFD28" i="3" s="1"/>
  <c r="AFC26" i="3"/>
  <c r="AFC28" i="3" s="1"/>
  <c r="AFB26" i="3"/>
  <c r="AFB28" i="3" s="1"/>
  <c r="AFA26" i="3"/>
  <c r="AFA28" i="3" s="1"/>
  <c r="AEZ26" i="3"/>
  <c r="AEZ28" i="3" s="1"/>
  <c r="AEY26" i="3"/>
  <c r="AEY28" i="3" s="1"/>
  <c r="AEX26" i="3"/>
  <c r="AEX28" i="3" s="1"/>
  <c r="AEW26" i="3"/>
  <c r="AEW28" i="3" s="1"/>
  <c r="AEV26" i="3"/>
  <c r="AEV28" i="3" s="1"/>
  <c r="AEU26" i="3"/>
  <c r="AEU28" i="3" s="1"/>
  <c r="AET26" i="3"/>
  <c r="AET28" i="3" s="1"/>
  <c r="AES26" i="3"/>
  <c r="AES28" i="3" s="1"/>
  <c r="AER26" i="3"/>
  <c r="AER28" i="3" s="1"/>
  <c r="AEQ26" i="3"/>
  <c r="AEQ28" i="3" s="1"/>
  <c r="AEP26" i="3"/>
  <c r="AEP28" i="3" s="1"/>
  <c r="AFU28" i="3" s="1"/>
  <c r="AEN26" i="3"/>
  <c r="AEN28" i="3" s="1"/>
  <c r="AEM26" i="3"/>
  <c r="AEM28" i="3" s="1"/>
  <c r="AEL26" i="3"/>
  <c r="AEL28" i="3" s="1"/>
  <c r="AEK26" i="3"/>
  <c r="AEK28" i="3" s="1"/>
  <c r="AEJ26" i="3"/>
  <c r="AEJ28" i="3" s="1"/>
  <c r="AEI26" i="3"/>
  <c r="AEI28" i="3" s="1"/>
  <c r="AEH26" i="3"/>
  <c r="AEH28" i="3" s="1"/>
  <c r="AEG26" i="3"/>
  <c r="AEG28" i="3" s="1"/>
  <c r="AEF26" i="3"/>
  <c r="AEF28" i="3" s="1"/>
  <c r="AEE26" i="3"/>
  <c r="AEE28" i="3" s="1"/>
  <c r="AED26" i="3"/>
  <c r="AED28" i="3" s="1"/>
  <c r="AEC26" i="3"/>
  <c r="AEC28" i="3" s="1"/>
  <c r="AEB26" i="3"/>
  <c r="AEB28" i="3" s="1"/>
  <c r="AEA26" i="3"/>
  <c r="AEA28" i="3" s="1"/>
  <c r="ADZ26" i="3"/>
  <c r="ADZ28" i="3" s="1"/>
  <c r="ADY26" i="3"/>
  <c r="ADY28" i="3" s="1"/>
  <c r="ADX26" i="3"/>
  <c r="ADX28" i="3" s="1"/>
  <c r="ADW26" i="3"/>
  <c r="ADW28" i="3" s="1"/>
  <c r="ADV26" i="3"/>
  <c r="ADV28" i="3" s="1"/>
  <c r="ADU26" i="3"/>
  <c r="ADU28" i="3" s="1"/>
  <c r="ADT26" i="3"/>
  <c r="ADT28" i="3" s="1"/>
  <c r="ADS26" i="3"/>
  <c r="ADS28" i="3" s="1"/>
  <c r="ADR26" i="3"/>
  <c r="ADR28" i="3" s="1"/>
  <c r="ADQ26" i="3"/>
  <c r="ADQ28" i="3" s="1"/>
  <c r="ADP26" i="3"/>
  <c r="ADP28" i="3" s="1"/>
  <c r="ADO26" i="3"/>
  <c r="ADO28" i="3" s="1"/>
  <c r="ADN26" i="3"/>
  <c r="ADN28" i="3" s="1"/>
  <c r="ADM26" i="3"/>
  <c r="ADM28" i="3" s="1"/>
  <c r="ADL26" i="3"/>
  <c r="ADL28" i="3" s="1"/>
  <c r="ADK26" i="3"/>
  <c r="ADK28" i="3" s="1"/>
  <c r="AEO28" i="3" s="1"/>
  <c r="ADI26" i="3"/>
  <c r="ADI28" i="3" s="1"/>
  <c r="ADH26" i="3"/>
  <c r="ADH28" i="3" s="1"/>
  <c r="ADG26" i="3"/>
  <c r="ADG28" i="3" s="1"/>
  <c r="ADF26" i="3"/>
  <c r="ADF28" i="3" s="1"/>
  <c r="ADE26" i="3"/>
  <c r="ADE28" i="3" s="1"/>
  <c r="ADD26" i="3"/>
  <c r="ADD28" i="3" s="1"/>
  <c r="ADC26" i="3"/>
  <c r="ADC28" i="3" s="1"/>
  <c r="ADB26" i="3"/>
  <c r="ADB28" i="3" s="1"/>
  <c r="ADA26" i="3"/>
  <c r="ADA28" i="3" s="1"/>
  <c r="ACZ26" i="3"/>
  <c r="ACZ28" i="3" s="1"/>
  <c r="ACY26" i="3"/>
  <c r="ACY28" i="3" s="1"/>
  <c r="ACX26" i="3"/>
  <c r="ACX28" i="3" s="1"/>
  <c r="ACW26" i="3"/>
  <c r="ACW28" i="3" s="1"/>
  <c r="ACV26" i="3"/>
  <c r="ACV28" i="3" s="1"/>
  <c r="ACU26" i="3"/>
  <c r="ACU28" i="3" s="1"/>
  <c r="ACT26" i="3"/>
  <c r="ACT28" i="3" s="1"/>
  <c r="ACS26" i="3"/>
  <c r="ACS28" i="3" s="1"/>
  <c r="ACR26" i="3"/>
  <c r="ACR28" i="3" s="1"/>
  <c r="ACQ26" i="3"/>
  <c r="ACQ28" i="3" s="1"/>
  <c r="ACP26" i="3"/>
  <c r="ACP28" i="3" s="1"/>
  <c r="ACO26" i="3"/>
  <c r="ACO28" i="3" s="1"/>
  <c r="ACN26" i="3"/>
  <c r="ACN28" i="3" s="1"/>
  <c r="ACM26" i="3"/>
  <c r="ACM28" i="3" s="1"/>
  <c r="ACL26" i="3"/>
  <c r="ACL28" i="3" s="1"/>
  <c r="ACK26" i="3"/>
  <c r="ACK28" i="3" s="1"/>
  <c r="ACJ26" i="3"/>
  <c r="ACJ28" i="3" s="1"/>
  <c r="ACI26" i="3"/>
  <c r="ACI28" i="3" s="1"/>
  <c r="ACH26" i="3"/>
  <c r="ACH28" i="3" s="1"/>
  <c r="ACG26" i="3"/>
  <c r="ACG28" i="3" s="1"/>
  <c r="ACF26" i="3"/>
  <c r="ACF28" i="3" s="1"/>
  <c r="ACE26" i="3"/>
  <c r="ACE28" i="3" s="1"/>
  <c r="ADJ28" i="3" s="1"/>
  <c r="ACC26" i="3"/>
  <c r="ACC28" i="3" s="1"/>
  <c r="ACB26" i="3"/>
  <c r="ACB28" i="3" s="1"/>
  <c r="ACA26" i="3"/>
  <c r="ACA28" i="3" s="1"/>
  <c r="ABZ26" i="3"/>
  <c r="ABZ28" i="3" s="1"/>
  <c r="ABY26" i="3"/>
  <c r="ABY28" i="3" s="1"/>
  <c r="ABX26" i="3"/>
  <c r="ABX28" i="3" s="1"/>
  <c r="ABW26" i="3"/>
  <c r="ABW28" i="3" s="1"/>
  <c r="ABV26" i="3"/>
  <c r="ABV28" i="3" s="1"/>
  <c r="ABU26" i="3"/>
  <c r="ABU28" i="3" s="1"/>
  <c r="ABT26" i="3"/>
  <c r="ABT28" i="3" s="1"/>
  <c r="ABS26" i="3"/>
  <c r="ABS28" i="3" s="1"/>
  <c r="ABR26" i="3"/>
  <c r="ABR28" i="3" s="1"/>
  <c r="ABQ26" i="3"/>
  <c r="ABQ28" i="3" s="1"/>
  <c r="ABP26" i="3"/>
  <c r="ABP28" i="3" s="1"/>
  <c r="ABO26" i="3"/>
  <c r="ABO28" i="3" s="1"/>
  <c r="ABN26" i="3"/>
  <c r="ABN28" i="3" s="1"/>
  <c r="ABM26" i="3"/>
  <c r="ABM28" i="3" s="1"/>
  <c r="ABL26" i="3"/>
  <c r="ABL28" i="3" s="1"/>
  <c r="ABK26" i="3"/>
  <c r="ABK28" i="3" s="1"/>
  <c r="ABJ26" i="3"/>
  <c r="ABJ28" i="3" s="1"/>
  <c r="ABI26" i="3"/>
  <c r="ABI28" i="3" s="1"/>
  <c r="ABH26" i="3"/>
  <c r="ABH28" i="3" s="1"/>
  <c r="ABG26" i="3"/>
  <c r="ABG28" i="3" s="1"/>
  <c r="ABF26" i="3"/>
  <c r="ABF28" i="3" s="1"/>
  <c r="ABE26" i="3"/>
  <c r="ABE28" i="3" s="1"/>
  <c r="ABD26" i="3"/>
  <c r="ABD28" i="3" s="1"/>
  <c r="ABC26" i="3"/>
  <c r="ABC28" i="3" s="1"/>
  <c r="ABB26" i="3"/>
  <c r="ABB28" i="3" s="1"/>
  <c r="ABA26" i="3"/>
  <c r="ABA28" i="3" s="1"/>
  <c r="AAZ26" i="3"/>
  <c r="AAZ28" i="3" s="1"/>
  <c r="AAY26" i="3"/>
  <c r="AAY28" i="3" s="1"/>
  <c r="ACD28" i="3" s="1"/>
  <c r="AAW26" i="3"/>
  <c r="AAW28" i="3" s="1"/>
  <c r="AAV26" i="3"/>
  <c r="AAV28" i="3" s="1"/>
  <c r="AAU26" i="3"/>
  <c r="AAU28" i="3" s="1"/>
  <c r="AAT26" i="3"/>
  <c r="AAT28" i="3" s="1"/>
  <c r="AAS26" i="3"/>
  <c r="AAS28" i="3" s="1"/>
  <c r="AAR26" i="3"/>
  <c r="AAR28" i="3" s="1"/>
  <c r="AAQ26" i="3"/>
  <c r="AAQ28" i="3" s="1"/>
  <c r="AAP26" i="3"/>
  <c r="AAP28" i="3" s="1"/>
  <c r="AAO26" i="3"/>
  <c r="AAO28" i="3" s="1"/>
  <c r="AAN26" i="3"/>
  <c r="AAN28" i="3" s="1"/>
  <c r="AAM26" i="3"/>
  <c r="AAM28" i="3" s="1"/>
  <c r="AAL26" i="3"/>
  <c r="AAL28" i="3" s="1"/>
  <c r="AAK26" i="3"/>
  <c r="AAK28" i="3" s="1"/>
  <c r="AAJ26" i="3"/>
  <c r="AAJ28" i="3" s="1"/>
  <c r="AAI26" i="3"/>
  <c r="AAI28" i="3" s="1"/>
  <c r="AAH26" i="3"/>
  <c r="AAH28" i="3" s="1"/>
  <c r="AAG26" i="3"/>
  <c r="AAG28" i="3" s="1"/>
  <c r="AAF26" i="3"/>
  <c r="AAF28" i="3" s="1"/>
  <c r="AAE26" i="3"/>
  <c r="AAE28" i="3" s="1"/>
  <c r="AAD26" i="3"/>
  <c r="AAD28" i="3" s="1"/>
  <c r="AAC26" i="3"/>
  <c r="AAC28" i="3" s="1"/>
  <c r="AAB26" i="3"/>
  <c r="AAB28" i="3" s="1"/>
  <c r="AAA26" i="3"/>
  <c r="AAA28" i="3" s="1"/>
  <c r="ZZ26" i="3"/>
  <c r="ZZ28" i="3" s="1"/>
  <c r="ZY26" i="3"/>
  <c r="ZY28" i="3" s="1"/>
  <c r="ZX26" i="3"/>
  <c r="ZX28" i="3" s="1"/>
  <c r="ZW26" i="3"/>
  <c r="ZW28" i="3" s="1"/>
  <c r="ZV26" i="3"/>
  <c r="ZV28" i="3" s="1"/>
  <c r="ZU26" i="3"/>
  <c r="ZU28" i="3" s="1"/>
  <c r="ZT26" i="3"/>
  <c r="ZT28" i="3" s="1"/>
  <c r="AAX28" i="3" s="1"/>
  <c r="ZR26" i="3"/>
  <c r="ZR28" i="3" s="1"/>
  <c r="ZQ26" i="3"/>
  <c r="ZQ28" i="3" s="1"/>
  <c r="ZP26" i="3"/>
  <c r="ZP28" i="3" s="1"/>
  <c r="ZO26" i="3"/>
  <c r="ZO28" i="3" s="1"/>
  <c r="ZN26" i="3"/>
  <c r="ZN28" i="3" s="1"/>
  <c r="ZM26" i="3"/>
  <c r="ZM28" i="3" s="1"/>
  <c r="ZL26" i="3"/>
  <c r="ZL28" i="3" s="1"/>
  <c r="ZK26" i="3"/>
  <c r="ZK28" i="3" s="1"/>
  <c r="ZJ26" i="3"/>
  <c r="ZJ28" i="3" s="1"/>
  <c r="ZI26" i="3"/>
  <c r="ZI28" i="3" s="1"/>
  <c r="ZH26" i="3"/>
  <c r="ZH28" i="3" s="1"/>
  <c r="ZG26" i="3"/>
  <c r="ZG28" i="3" s="1"/>
  <c r="ZF26" i="3"/>
  <c r="ZF28" i="3" s="1"/>
  <c r="ZE26" i="3"/>
  <c r="ZE28" i="3" s="1"/>
  <c r="ZD26" i="3"/>
  <c r="ZD28" i="3" s="1"/>
  <c r="ZC26" i="3"/>
  <c r="ZC28" i="3" s="1"/>
  <c r="ZB26" i="3"/>
  <c r="ZB28" i="3" s="1"/>
  <c r="ZA26" i="3"/>
  <c r="ZA28" i="3" s="1"/>
  <c r="YZ26" i="3"/>
  <c r="YZ28" i="3" s="1"/>
  <c r="YY26" i="3"/>
  <c r="YY28" i="3" s="1"/>
  <c r="YX26" i="3"/>
  <c r="YX28" i="3" s="1"/>
  <c r="YW26" i="3"/>
  <c r="YW28" i="3" s="1"/>
  <c r="YV26" i="3"/>
  <c r="YV28" i="3" s="1"/>
  <c r="YU26" i="3"/>
  <c r="YU28" i="3" s="1"/>
  <c r="YT26" i="3"/>
  <c r="YT28" i="3" s="1"/>
  <c r="YS26" i="3"/>
  <c r="YS28" i="3" s="1"/>
  <c r="YR26" i="3"/>
  <c r="YR28" i="3" s="1"/>
  <c r="YQ26" i="3"/>
  <c r="YQ28" i="3" s="1"/>
  <c r="YP26" i="3"/>
  <c r="YP28" i="3" s="1"/>
  <c r="YO26" i="3"/>
  <c r="YO28" i="3" s="1"/>
  <c r="YN26" i="3"/>
  <c r="YN28" i="3" s="1"/>
  <c r="ZS28" i="3" s="1"/>
  <c r="YL26" i="3"/>
  <c r="YL28" i="3" s="1"/>
  <c r="YK26" i="3"/>
  <c r="YK28" i="3" s="1"/>
  <c r="YJ26" i="3"/>
  <c r="YJ28" i="3" s="1"/>
  <c r="YI26" i="3"/>
  <c r="YI28" i="3" s="1"/>
  <c r="YH26" i="3"/>
  <c r="YH28" i="3" s="1"/>
  <c r="YG26" i="3"/>
  <c r="YG28" i="3" s="1"/>
  <c r="YF26" i="3"/>
  <c r="YF28" i="3" s="1"/>
  <c r="YE26" i="3"/>
  <c r="YE28" i="3" s="1"/>
  <c r="YD26" i="3"/>
  <c r="YD28" i="3" s="1"/>
  <c r="YC26" i="3"/>
  <c r="YC28" i="3" s="1"/>
  <c r="YB26" i="3"/>
  <c r="YB28" i="3" s="1"/>
  <c r="YA26" i="3"/>
  <c r="YA28" i="3" s="1"/>
  <c r="XZ26" i="3"/>
  <c r="XZ28" i="3" s="1"/>
  <c r="XY26" i="3"/>
  <c r="XY28" i="3" s="1"/>
  <c r="XX26" i="3"/>
  <c r="XX28" i="3" s="1"/>
  <c r="XW26" i="3"/>
  <c r="XW28" i="3" s="1"/>
  <c r="XV26" i="3"/>
  <c r="XV28" i="3" s="1"/>
  <c r="XU26" i="3"/>
  <c r="XU28" i="3" s="1"/>
  <c r="XT26" i="3"/>
  <c r="XT28" i="3" s="1"/>
  <c r="XS26" i="3"/>
  <c r="XS28" i="3" s="1"/>
  <c r="XR26" i="3"/>
  <c r="XR28" i="3" s="1"/>
  <c r="XQ26" i="3"/>
  <c r="XQ28" i="3" s="1"/>
  <c r="XP26" i="3"/>
  <c r="XP28" i="3" s="1"/>
  <c r="XO26" i="3"/>
  <c r="XO28" i="3" s="1"/>
  <c r="XN26" i="3"/>
  <c r="XN28" i="3" s="1"/>
  <c r="XM26" i="3"/>
  <c r="XM28" i="3" s="1"/>
  <c r="XL26" i="3"/>
  <c r="XL28" i="3" s="1"/>
  <c r="XK26" i="3"/>
  <c r="XK28" i="3" s="1"/>
  <c r="XJ26" i="3"/>
  <c r="XJ28" i="3" s="1"/>
  <c r="XI26" i="3"/>
  <c r="XI28" i="3" s="1"/>
  <c r="XG26" i="3"/>
  <c r="XG28" i="3" s="1"/>
  <c r="XF26" i="3"/>
  <c r="XF28" i="3" s="1"/>
  <c r="XE26" i="3"/>
  <c r="XE28" i="3" s="1"/>
  <c r="XD26" i="3"/>
  <c r="XD28" i="3" s="1"/>
  <c r="XC26" i="3"/>
  <c r="XC28" i="3" s="1"/>
  <c r="XB26" i="3"/>
  <c r="XB28" i="3" s="1"/>
  <c r="XA26" i="3"/>
  <c r="XA28" i="3" s="1"/>
  <c r="WZ26" i="3"/>
  <c r="WZ28" i="3" s="1"/>
  <c r="WY26" i="3"/>
  <c r="WY28" i="3" s="1"/>
  <c r="WX26" i="3"/>
  <c r="WX28" i="3" s="1"/>
  <c r="WW26" i="3"/>
  <c r="WW28" i="3" s="1"/>
  <c r="WV26" i="3"/>
  <c r="WV28" i="3" s="1"/>
  <c r="WU26" i="3"/>
  <c r="WU28" i="3" s="1"/>
  <c r="WT26" i="3"/>
  <c r="WT28" i="3" s="1"/>
  <c r="WS26" i="3"/>
  <c r="WS28" i="3" s="1"/>
  <c r="WR26" i="3"/>
  <c r="WR28" i="3" s="1"/>
  <c r="WQ26" i="3"/>
  <c r="WQ28" i="3" s="1"/>
  <c r="WP26" i="3"/>
  <c r="WP28" i="3" s="1"/>
  <c r="WO26" i="3"/>
  <c r="WO28" i="3" s="1"/>
  <c r="WN26" i="3"/>
  <c r="WN28" i="3" s="1"/>
  <c r="WM26" i="3"/>
  <c r="WM28" i="3" s="1"/>
  <c r="WL26" i="3"/>
  <c r="WL28" i="3" s="1"/>
  <c r="WK26" i="3"/>
  <c r="WK28" i="3" s="1"/>
  <c r="WJ26" i="3"/>
  <c r="WJ28" i="3" s="1"/>
  <c r="WI26" i="3"/>
  <c r="WI28" i="3" s="1"/>
  <c r="WH26" i="3"/>
  <c r="WH28" i="3" s="1"/>
  <c r="WG26" i="3"/>
  <c r="WG28" i="3" s="1"/>
  <c r="WF26" i="3"/>
  <c r="WF28" i="3" s="1"/>
  <c r="WE26" i="3"/>
  <c r="WE28" i="3" s="1"/>
  <c r="WD26" i="3"/>
  <c r="WD28" i="3" s="1"/>
  <c r="WC26" i="3"/>
  <c r="WC28" i="3" s="1"/>
  <c r="XH28" i="3" s="1"/>
  <c r="YM28" i="3" s="1"/>
  <c r="WA26" i="3"/>
  <c r="WA28" i="3" s="1"/>
  <c r="VZ26" i="3"/>
  <c r="VZ28" i="3" s="1"/>
  <c r="VY26" i="3"/>
  <c r="VY28" i="3" s="1"/>
  <c r="VX26" i="3"/>
  <c r="VX28" i="3" s="1"/>
  <c r="VW26" i="3"/>
  <c r="VW28" i="3" s="1"/>
  <c r="VV26" i="3"/>
  <c r="VV28" i="3" s="1"/>
  <c r="VU26" i="3"/>
  <c r="VU28" i="3" s="1"/>
  <c r="VT26" i="3"/>
  <c r="VT28" i="3" s="1"/>
  <c r="VS26" i="3"/>
  <c r="VS28" i="3" s="1"/>
  <c r="VR26" i="3"/>
  <c r="VR28" i="3" s="1"/>
  <c r="VQ26" i="3"/>
  <c r="VQ28" i="3" s="1"/>
  <c r="VP26" i="3"/>
  <c r="VP28" i="3" s="1"/>
  <c r="VO26" i="3"/>
  <c r="VO28" i="3" s="1"/>
  <c r="VN26" i="3"/>
  <c r="VN28" i="3" s="1"/>
  <c r="VM26" i="3"/>
  <c r="VM28" i="3" s="1"/>
  <c r="VL26" i="3"/>
  <c r="VL28" i="3" s="1"/>
  <c r="VK26" i="3"/>
  <c r="VK28" i="3" s="1"/>
  <c r="VJ26" i="3"/>
  <c r="VJ28" i="3" s="1"/>
  <c r="VI26" i="3"/>
  <c r="VI28" i="3" s="1"/>
  <c r="VH26" i="3"/>
  <c r="VH28" i="3" s="1"/>
  <c r="VG26" i="3"/>
  <c r="VG28" i="3" s="1"/>
  <c r="VF26" i="3"/>
  <c r="VF28" i="3" s="1"/>
  <c r="VE26" i="3"/>
  <c r="VE28" i="3" s="1"/>
  <c r="VD26" i="3"/>
  <c r="VD28" i="3" s="1"/>
  <c r="VC26" i="3"/>
  <c r="VC28" i="3" s="1"/>
  <c r="VB26" i="3"/>
  <c r="VB28" i="3" s="1"/>
  <c r="VA26" i="3"/>
  <c r="VA28" i="3" s="1"/>
  <c r="UZ26" i="3"/>
  <c r="UZ28" i="3" s="1"/>
  <c r="WB28" i="3" s="1"/>
  <c r="UX26" i="3"/>
  <c r="UX28" i="3" s="1"/>
  <c r="UW26" i="3"/>
  <c r="UW28" i="3" s="1"/>
  <c r="UV26" i="3"/>
  <c r="UV28" i="3" s="1"/>
  <c r="UU26" i="3"/>
  <c r="UU28" i="3" s="1"/>
  <c r="UT26" i="3"/>
  <c r="UT28" i="3" s="1"/>
  <c r="US26" i="3"/>
  <c r="US28" i="3" s="1"/>
  <c r="UR26" i="3"/>
  <c r="UR28" i="3" s="1"/>
  <c r="UQ26" i="3"/>
  <c r="UQ28" i="3" s="1"/>
  <c r="UP26" i="3"/>
  <c r="UP28" i="3" s="1"/>
  <c r="UO26" i="3"/>
  <c r="UO28" i="3" s="1"/>
  <c r="UN26" i="3"/>
  <c r="UN28" i="3" s="1"/>
  <c r="UM26" i="3"/>
  <c r="UM28" i="3" s="1"/>
  <c r="UL26" i="3"/>
  <c r="UL28" i="3" s="1"/>
  <c r="UK26" i="3"/>
  <c r="UK28" i="3" s="1"/>
  <c r="UJ26" i="3"/>
  <c r="UJ28" i="3" s="1"/>
  <c r="UI26" i="3"/>
  <c r="UI28" i="3" s="1"/>
  <c r="UH26" i="3"/>
  <c r="UH28" i="3" s="1"/>
  <c r="UG26" i="3"/>
  <c r="UG28" i="3" s="1"/>
  <c r="UF26" i="3"/>
  <c r="UF28" i="3" s="1"/>
  <c r="UE26" i="3"/>
  <c r="UE28" i="3" s="1"/>
  <c r="UD26" i="3"/>
  <c r="UD28" i="3" s="1"/>
  <c r="UC26" i="3"/>
  <c r="UC28" i="3" s="1"/>
  <c r="UB26" i="3"/>
  <c r="UB28" i="3" s="1"/>
  <c r="UA26" i="3"/>
  <c r="UA28" i="3" s="1"/>
  <c r="TZ26" i="3"/>
  <c r="TZ28" i="3" s="1"/>
  <c r="TY26" i="3"/>
  <c r="TY28" i="3" s="1"/>
  <c r="TX26" i="3"/>
  <c r="TX28" i="3" s="1"/>
  <c r="TW26" i="3"/>
  <c r="TW28" i="3" s="1"/>
  <c r="TV26" i="3"/>
  <c r="TV28" i="3" s="1"/>
  <c r="TU26" i="3"/>
  <c r="TU28" i="3" s="1"/>
  <c r="TT26" i="3"/>
  <c r="TT28" i="3" s="1"/>
  <c r="UY28" i="3" s="1"/>
  <c r="TR26" i="3"/>
  <c r="TR28" i="3" s="1"/>
  <c r="TQ26" i="3"/>
  <c r="TQ28" i="3" s="1"/>
  <c r="TP26" i="3"/>
  <c r="TP28" i="3" s="1"/>
  <c r="TO26" i="3"/>
  <c r="TO28" i="3" s="1"/>
  <c r="TN26" i="3"/>
  <c r="TN28" i="3" s="1"/>
  <c r="TM26" i="3"/>
  <c r="TM28" i="3" s="1"/>
  <c r="TL26" i="3"/>
  <c r="TL28" i="3" s="1"/>
  <c r="TK26" i="3"/>
  <c r="TK28" i="3" s="1"/>
  <c r="TJ26" i="3"/>
  <c r="TJ28" i="3" s="1"/>
  <c r="TI26" i="3"/>
  <c r="TI28" i="3" s="1"/>
  <c r="TH26" i="3"/>
  <c r="TH28" i="3" s="1"/>
  <c r="TG26" i="3"/>
  <c r="TG28" i="3" s="1"/>
  <c r="TF26" i="3"/>
  <c r="TF28" i="3" s="1"/>
  <c r="TE26" i="3"/>
  <c r="TE28" i="3" s="1"/>
  <c r="TD26" i="3"/>
  <c r="TD28" i="3" s="1"/>
  <c r="TC26" i="3"/>
  <c r="TC28" i="3" s="1"/>
  <c r="TB26" i="3"/>
  <c r="TB28" i="3" s="1"/>
  <c r="TA26" i="3"/>
  <c r="TA28" i="3" s="1"/>
  <c r="SZ26" i="3"/>
  <c r="SZ28" i="3" s="1"/>
  <c r="SY26" i="3"/>
  <c r="SY28" i="3" s="1"/>
  <c r="SX26" i="3"/>
  <c r="SX28" i="3" s="1"/>
  <c r="SW26" i="3"/>
  <c r="SW28" i="3" s="1"/>
  <c r="SV26" i="3"/>
  <c r="SV28" i="3" s="1"/>
  <c r="SU26" i="3"/>
  <c r="SU28" i="3" s="1"/>
  <c r="ST26" i="3"/>
  <c r="ST28" i="3" s="1"/>
  <c r="SS26" i="3"/>
  <c r="SS28" i="3" s="1"/>
  <c r="SR26" i="3"/>
  <c r="SR28" i="3" s="1"/>
  <c r="SQ26" i="3"/>
  <c r="SQ28" i="3" s="1"/>
  <c r="SP26" i="3"/>
  <c r="SP28" i="3" s="1"/>
  <c r="SO26" i="3"/>
  <c r="SO28" i="3" s="1"/>
  <c r="TS28" i="3" s="1"/>
  <c r="SN26" i="3"/>
  <c r="SN28" i="3" s="1"/>
  <c r="SL26" i="3"/>
  <c r="SL28" i="3" s="1"/>
  <c r="SK26" i="3"/>
  <c r="SK28" i="3" s="1"/>
  <c r="SJ26" i="3"/>
  <c r="SJ28" i="3" s="1"/>
  <c r="SI26" i="3"/>
  <c r="SI28" i="3" s="1"/>
  <c r="SH26" i="3"/>
  <c r="SH28" i="3" s="1"/>
  <c r="SG26" i="3"/>
  <c r="SG28" i="3" s="1"/>
  <c r="SF26" i="3"/>
  <c r="SF28" i="3" s="1"/>
  <c r="SE26" i="3"/>
  <c r="SE28" i="3" s="1"/>
  <c r="SD26" i="3"/>
  <c r="SD28" i="3" s="1"/>
  <c r="SC26" i="3"/>
  <c r="SC28" i="3" s="1"/>
  <c r="SB26" i="3"/>
  <c r="SB28" i="3" s="1"/>
  <c r="SA26" i="3"/>
  <c r="SA28" i="3" s="1"/>
  <c r="RZ26" i="3"/>
  <c r="RZ28" i="3" s="1"/>
  <c r="RY26" i="3"/>
  <c r="RY28" i="3" s="1"/>
  <c r="RX26" i="3"/>
  <c r="RX28" i="3" s="1"/>
  <c r="RW26" i="3"/>
  <c r="RW28" i="3" s="1"/>
  <c r="RV26" i="3"/>
  <c r="RV28" i="3" s="1"/>
  <c r="RU26" i="3"/>
  <c r="RU28" i="3" s="1"/>
  <c r="RT26" i="3"/>
  <c r="RT28" i="3" s="1"/>
  <c r="RS26" i="3"/>
  <c r="RS28" i="3" s="1"/>
  <c r="RR26" i="3"/>
  <c r="RR28" i="3" s="1"/>
  <c r="RQ26" i="3"/>
  <c r="RQ28" i="3" s="1"/>
  <c r="RP26" i="3"/>
  <c r="RP28" i="3" s="1"/>
  <c r="RO26" i="3"/>
  <c r="RO28" i="3" s="1"/>
  <c r="RN26" i="3"/>
  <c r="RN28" i="3" s="1"/>
  <c r="RM26" i="3"/>
  <c r="RM28" i="3" s="1"/>
  <c r="RL26" i="3"/>
  <c r="RL28" i="3" s="1"/>
  <c r="RK26" i="3"/>
  <c r="RK28" i="3" s="1"/>
  <c r="RJ26" i="3"/>
  <c r="RJ28" i="3" s="1"/>
  <c r="RI26" i="3"/>
  <c r="RI28" i="3" s="1"/>
  <c r="SM28" i="3" s="1"/>
  <c r="RG26" i="3"/>
  <c r="RG28" i="3" s="1"/>
  <c r="RF26" i="3"/>
  <c r="RF28" i="3" s="1"/>
  <c r="RE26" i="3"/>
  <c r="RE28" i="3" s="1"/>
  <c r="RD26" i="3"/>
  <c r="RD28" i="3" s="1"/>
  <c r="RC26" i="3"/>
  <c r="RC28" i="3" s="1"/>
  <c r="RB26" i="3"/>
  <c r="RB28" i="3" s="1"/>
  <c r="RA26" i="3"/>
  <c r="RA28" i="3" s="1"/>
  <c r="QZ26" i="3"/>
  <c r="QZ28" i="3" s="1"/>
  <c r="QY26" i="3"/>
  <c r="QY28" i="3" s="1"/>
  <c r="QX26" i="3"/>
  <c r="QX28" i="3" s="1"/>
  <c r="QW26" i="3"/>
  <c r="QW28" i="3" s="1"/>
  <c r="QV26" i="3"/>
  <c r="QV28" i="3" s="1"/>
  <c r="QU26" i="3"/>
  <c r="QU28" i="3" s="1"/>
  <c r="QT26" i="3"/>
  <c r="QT28" i="3" s="1"/>
  <c r="QS26" i="3"/>
  <c r="QS28" i="3" s="1"/>
  <c r="QR26" i="3"/>
  <c r="QR28" i="3" s="1"/>
  <c r="QQ26" i="3"/>
  <c r="QQ28" i="3" s="1"/>
  <c r="QP26" i="3"/>
  <c r="QP28" i="3" s="1"/>
  <c r="QO26" i="3"/>
  <c r="QO28" i="3" s="1"/>
  <c r="QN26" i="3"/>
  <c r="QN28" i="3" s="1"/>
  <c r="QM26" i="3"/>
  <c r="QM28" i="3" s="1"/>
  <c r="QL26" i="3"/>
  <c r="QL28" i="3" s="1"/>
  <c r="QK26" i="3"/>
  <c r="QK28" i="3" s="1"/>
  <c r="QJ26" i="3"/>
  <c r="QJ28" i="3" s="1"/>
  <c r="QI26" i="3"/>
  <c r="QI28" i="3" s="1"/>
  <c r="QH26" i="3"/>
  <c r="QH28" i="3" s="1"/>
  <c r="QG26" i="3"/>
  <c r="QG28" i="3" s="1"/>
  <c r="QF26" i="3"/>
  <c r="QF28" i="3" s="1"/>
  <c r="QE26" i="3"/>
  <c r="QE28" i="3" s="1"/>
  <c r="QD26" i="3"/>
  <c r="QD28" i="3" s="1"/>
  <c r="RH28" i="3" s="1"/>
  <c r="QC26" i="3"/>
  <c r="QC28" i="3" s="1"/>
  <c r="QA26" i="3"/>
  <c r="QA28" i="3" s="1"/>
  <c r="PZ26" i="3"/>
  <c r="PZ28" i="3" s="1"/>
  <c r="PY26" i="3"/>
  <c r="PY28" i="3" s="1"/>
  <c r="PX26" i="3"/>
  <c r="PX28" i="3" s="1"/>
  <c r="PW26" i="3"/>
  <c r="PW28" i="3" s="1"/>
  <c r="PV26" i="3"/>
  <c r="PV28" i="3" s="1"/>
  <c r="PU26" i="3"/>
  <c r="PU28" i="3" s="1"/>
  <c r="PT26" i="3"/>
  <c r="PT28" i="3" s="1"/>
  <c r="PS26" i="3"/>
  <c r="PS28" i="3" s="1"/>
  <c r="PR26" i="3"/>
  <c r="PR28" i="3" s="1"/>
  <c r="PQ26" i="3"/>
  <c r="PQ28" i="3" s="1"/>
  <c r="PP26" i="3"/>
  <c r="PP28" i="3" s="1"/>
  <c r="PO26" i="3"/>
  <c r="PO28" i="3" s="1"/>
  <c r="PN26" i="3"/>
  <c r="PN28" i="3" s="1"/>
  <c r="PM26" i="3"/>
  <c r="PM28" i="3" s="1"/>
  <c r="PL26" i="3"/>
  <c r="PL28" i="3" s="1"/>
  <c r="PK26" i="3"/>
  <c r="PK28" i="3" s="1"/>
  <c r="PJ26" i="3"/>
  <c r="PJ28" i="3" s="1"/>
  <c r="PI26" i="3"/>
  <c r="PI28" i="3" s="1"/>
  <c r="PH26" i="3"/>
  <c r="PH28" i="3" s="1"/>
  <c r="PG26" i="3"/>
  <c r="PG28" i="3" s="1"/>
  <c r="PF26" i="3"/>
  <c r="PF28" i="3" s="1"/>
  <c r="PE26" i="3"/>
  <c r="PE28" i="3" s="1"/>
  <c r="PD26" i="3"/>
  <c r="PD28" i="3" s="1"/>
  <c r="PC26" i="3"/>
  <c r="PC28" i="3" s="1"/>
  <c r="PB26" i="3"/>
  <c r="PB28" i="3" s="1"/>
  <c r="PA26" i="3"/>
  <c r="PA28" i="3" s="1"/>
  <c r="OZ26" i="3"/>
  <c r="OZ28" i="3" s="1"/>
  <c r="OY26" i="3"/>
  <c r="OY28" i="3" s="1"/>
  <c r="OX26" i="3"/>
  <c r="OX28" i="3" s="1"/>
  <c r="QB28" i="3" s="1"/>
  <c r="OV26" i="3"/>
  <c r="OV28" i="3" s="1"/>
  <c r="OU26" i="3"/>
  <c r="OU28" i="3" s="1"/>
  <c r="OT26" i="3"/>
  <c r="OT28" i="3" s="1"/>
  <c r="OS26" i="3"/>
  <c r="OS28" i="3" s="1"/>
  <c r="OR26" i="3"/>
  <c r="OR28" i="3" s="1"/>
  <c r="OQ26" i="3"/>
  <c r="OQ28" i="3" s="1"/>
  <c r="OP26" i="3"/>
  <c r="OP28" i="3" s="1"/>
  <c r="OO26" i="3"/>
  <c r="OO28" i="3" s="1"/>
  <c r="ON26" i="3"/>
  <c r="ON28" i="3" s="1"/>
  <c r="OM26" i="3"/>
  <c r="OM28" i="3" s="1"/>
  <c r="OL26" i="3"/>
  <c r="OL28" i="3" s="1"/>
  <c r="OK26" i="3"/>
  <c r="OK28" i="3" s="1"/>
  <c r="OJ26" i="3"/>
  <c r="OJ28" i="3" s="1"/>
  <c r="OI26" i="3"/>
  <c r="OI28" i="3" s="1"/>
  <c r="OH26" i="3"/>
  <c r="OH28" i="3" s="1"/>
  <c r="OG26" i="3"/>
  <c r="OG28" i="3" s="1"/>
  <c r="OF26" i="3"/>
  <c r="OF28" i="3" s="1"/>
  <c r="OE26" i="3"/>
  <c r="OE28" i="3" s="1"/>
  <c r="OD26" i="3"/>
  <c r="OD28" i="3" s="1"/>
  <c r="OC26" i="3"/>
  <c r="OC28" i="3" s="1"/>
  <c r="OB26" i="3"/>
  <c r="OB28" i="3" s="1"/>
  <c r="OA26" i="3"/>
  <c r="OA28" i="3" s="1"/>
  <c r="NZ26" i="3"/>
  <c r="NZ28" i="3" s="1"/>
  <c r="NY26" i="3"/>
  <c r="NY28" i="3" s="1"/>
  <c r="NX26" i="3"/>
  <c r="NX28" i="3" s="1"/>
  <c r="NW26" i="3"/>
  <c r="NW28" i="3" s="1"/>
  <c r="NV26" i="3"/>
  <c r="NV28" i="3" s="1"/>
  <c r="NU26" i="3"/>
  <c r="NU28" i="3" s="1"/>
  <c r="NT26" i="3"/>
  <c r="NT28" i="3" s="1"/>
  <c r="NS26" i="3"/>
  <c r="NS28" i="3" s="1"/>
  <c r="NR26" i="3"/>
  <c r="NR28" i="3" s="1"/>
  <c r="OW28" i="3" s="1"/>
  <c r="NP26" i="3"/>
  <c r="NP28" i="3" s="1"/>
  <c r="NO26" i="3"/>
  <c r="NO28" i="3" s="1"/>
  <c r="NN26" i="3"/>
  <c r="NN28" i="3" s="1"/>
  <c r="NM26" i="3"/>
  <c r="NM28" i="3" s="1"/>
  <c r="NL26" i="3"/>
  <c r="NL28" i="3" s="1"/>
  <c r="NK26" i="3"/>
  <c r="NK28" i="3" s="1"/>
  <c r="NJ26" i="3"/>
  <c r="NJ28" i="3" s="1"/>
  <c r="NI26" i="3"/>
  <c r="NI28" i="3" s="1"/>
  <c r="NH26" i="3"/>
  <c r="NH28" i="3" s="1"/>
  <c r="NG26" i="3"/>
  <c r="NG28" i="3" s="1"/>
  <c r="NF26" i="3"/>
  <c r="NF28" i="3" s="1"/>
  <c r="NE26" i="3"/>
  <c r="NE28" i="3" s="1"/>
  <c r="ND26" i="3"/>
  <c r="ND28" i="3" s="1"/>
  <c r="NC26" i="3"/>
  <c r="NC28" i="3" s="1"/>
  <c r="NB26" i="3"/>
  <c r="NB28" i="3" s="1"/>
  <c r="NA26" i="3"/>
  <c r="NA28" i="3" s="1"/>
  <c r="MZ26" i="3"/>
  <c r="MZ28" i="3" s="1"/>
  <c r="MY26" i="3"/>
  <c r="MY28" i="3" s="1"/>
  <c r="MX26" i="3"/>
  <c r="MX28" i="3" s="1"/>
  <c r="MW26" i="3"/>
  <c r="MW28" i="3" s="1"/>
  <c r="MV26" i="3"/>
  <c r="MV28" i="3" s="1"/>
  <c r="MU26" i="3"/>
  <c r="MU28" i="3" s="1"/>
  <c r="MT26" i="3"/>
  <c r="MT28" i="3" s="1"/>
  <c r="MS26" i="3"/>
  <c r="MS28" i="3" s="1"/>
  <c r="MR26" i="3"/>
  <c r="MR28" i="3" s="1"/>
  <c r="MQ26" i="3"/>
  <c r="MQ28" i="3" s="1"/>
  <c r="MP26" i="3"/>
  <c r="MP28" i="3" s="1"/>
  <c r="MO26" i="3"/>
  <c r="MO28" i="3" s="1"/>
  <c r="MN26" i="3"/>
  <c r="MN28" i="3" s="1"/>
  <c r="MM26" i="3"/>
  <c r="MM28" i="3" s="1"/>
  <c r="ML26" i="3"/>
  <c r="ML28" i="3" s="1"/>
  <c r="NQ28" i="3" s="1"/>
  <c r="MJ26" i="3"/>
  <c r="MJ28" i="3" s="1"/>
  <c r="MI26" i="3"/>
  <c r="MI28" i="3" s="1"/>
  <c r="MH26" i="3"/>
  <c r="MH28" i="3" s="1"/>
  <c r="MG26" i="3"/>
  <c r="MG28" i="3" s="1"/>
  <c r="MF26" i="3"/>
  <c r="MF28" i="3" s="1"/>
  <c r="ME26" i="3"/>
  <c r="ME28" i="3" s="1"/>
  <c r="MD26" i="3"/>
  <c r="MD28" i="3" s="1"/>
  <c r="MC26" i="3"/>
  <c r="MC28" i="3" s="1"/>
  <c r="MB26" i="3"/>
  <c r="MB28" i="3" s="1"/>
  <c r="MA26" i="3"/>
  <c r="MA28" i="3" s="1"/>
  <c r="LZ26" i="3"/>
  <c r="LZ28" i="3" s="1"/>
  <c r="LY26" i="3"/>
  <c r="LY28" i="3" s="1"/>
  <c r="LX26" i="3"/>
  <c r="LX28" i="3" s="1"/>
  <c r="LW26" i="3"/>
  <c r="LW28" i="3" s="1"/>
  <c r="LV26" i="3"/>
  <c r="LV28" i="3" s="1"/>
  <c r="LU26" i="3"/>
  <c r="LU28" i="3" s="1"/>
  <c r="LT26" i="3"/>
  <c r="LT28" i="3" s="1"/>
  <c r="LS26" i="3"/>
  <c r="LS28" i="3" s="1"/>
  <c r="LR26" i="3"/>
  <c r="LR28" i="3" s="1"/>
  <c r="LQ26" i="3"/>
  <c r="LQ28" i="3" s="1"/>
  <c r="LP26" i="3"/>
  <c r="LP28" i="3" s="1"/>
  <c r="LO26" i="3"/>
  <c r="LO28" i="3" s="1"/>
  <c r="LN26" i="3"/>
  <c r="LN28" i="3" s="1"/>
  <c r="LM26" i="3"/>
  <c r="LM28" i="3" s="1"/>
  <c r="LL26" i="3"/>
  <c r="LL28" i="3" s="1"/>
  <c r="LK26" i="3"/>
  <c r="LK28" i="3" s="1"/>
  <c r="LJ26" i="3"/>
  <c r="LJ28" i="3" s="1"/>
  <c r="LI26" i="3"/>
  <c r="LI28" i="3" s="1"/>
  <c r="LH26" i="3"/>
  <c r="LH28" i="3" s="1"/>
  <c r="LG26" i="3"/>
  <c r="LG28" i="3" s="1"/>
  <c r="LE26" i="3"/>
  <c r="LE28" i="3" s="1"/>
  <c r="LD26" i="3"/>
  <c r="LD28" i="3" s="1"/>
  <c r="LC26" i="3"/>
  <c r="LC28" i="3" s="1"/>
  <c r="LB26" i="3"/>
  <c r="LB28" i="3" s="1"/>
  <c r="LA26" i="3"/>
  <c r="LA28" i="3" s="1"/>
  <c r="KZ26" i="3"/>
  <c r="KZ28" i="3" s="1"/>
  <c r="KY26" i="3"/>
  <c r="KY28" i="3" s="1"/>
  <c r="KX26" i="3"/>
  <c r="KX28" i="3" s="1"/>
  <c r="KW26" i="3"/>
  <c r="KW28" i="3" s="1"/>
  <c r="KV26" i="3"/>
  <c r="KV28" i="3" s="1"/>
  <c r="KU26" i="3"/>
  <c r="KU28" i="3" s="1"/>
  <c r="KT26" i="3"/>
  <c r="KT28" i="3" s="1"/>
  <c r="KS26" i="3"/>
  <c r="KS28" i="3" s="1"/>
  <c r="KR26" i="3"/>
  <c r="KR28" i="3" s="1"/>
  <c r="KQ26" i="3"/>
  <c r="KQ28" i="3" s="1"/>
  <c r="KP26" i="3"/>
  <c r="KP28" i="3" s="1"/>
  <c r="KO26" i="3"/>
  <c r="KO28" i="3" s="1"/>
  <c r="KN26" i="3"/>
  <c r="KN28" i="3" s="1"/>
  <c r="KM26" i="3"/>
  <c r="KM28" i="3" s="1"/>
  <c r="KL26" i="3"/>
  <c r="KL28" i="3" s="1"/>
  <c r="KK26" i="3"/>
  <c r="KK28" i="3" s="1"/>
  <c r="KJ26" i="3"/>
  <c r="KJ28" i="3" s="1"/>
  <c r="KI26" i="3"/>
  <c r="KI28" i="3" s="1"/>
  <c r="KH26" i="3"/>
  <c r="KH28" i="3" s="1"/>
  <c r="KG26" i="3"/>
  <c r="KG28" i="3" s="1"/>
  <c r="KF26" i="3"/>
  <c r="KF28" i="3" s="1"/>
  <c r="KE26" i="3"/>
  <c r="KE28" i="3" s="1"/>
  <c r="KD26" i="3"/>
  <c r="KD28" i="3" s="1"/>
  <c r="KC26" i="3"/>
  <c r="KC28" i="3" s="1"/>
  <c r="KB26" i="3"/>
  <c r="KB28" i="3" s="1"/>
  <c r="KA26" i="3"/>
  <c r="KA28" i="3" s="1"/>
  <c r="LF28" i="3" s="1"/>
  <c r="MK28" i="3" s="1"/>
  <c r="JY26" i="3"/>
  <c r="JY28" i="3" s="1"/>
  <c r="JX26" i="3"/>
  <c r="JX28" i="3" s="1"/>
  <c r="JW26" i="3"/>
  <c r="JW28" i="3" s="1"/>
  <c r="JV26" i="3"/>
  <c r="JV28" i="3" s="1"/>
  <c r="JU26" i="3"/>
  <c r="JU28" i="3" s="1"/>
  <c r="JT26" i="3"/>
  <c r="JT28" i="3" s="1"/>
  <c r="JS26" i="3"/>
  <c r="JS28" i="3" s="1"/>
  <c r="JR26" i="3"/>
  <c r="JR28" i="3" s="1"/>
  <c r="JQ26" i="3"/>
  <c r="JQ28" i="3" s="1"/>
  <c r="JP26" i="3"/>
  <c r="JP28" i="3" s="1"/>
  <c r="JO26" i="3"/>
  <c r="JO28" i="3" s="1"/>
  <c r="JN26" i="3"/>
  <c r="JN28" i="3" s="1"/>
  <c r="JM26" i="3"/>
  <c r="JM28" i="3" s="1"/>
  <c r="JL26" i="3"/>
  <c r="JL28" i="3" s="1"/>
  <c r="JK26" i="3"/>
  <c r="JK28" i="3" s="1"/>
  <c r="JJ26" i="3"/>
  <c r="JJ28" i="3" s="1"/>
  <c r="JI26" i="3"/>
  <c r="JI28" i="3" s="1"/>
  <c r="JH26" i="3"/>
  <c r="JH28" i="3" s="1"/>
  <c r="JG26" i="3"/>
  <c r="JG28" i="3" s="1"/>
  <c r="JF26" i="3"/>
  <c r="JF28" i="3" s="1"/>
  <c r="JE26" i="3"/>
  <c r="JE28" i="3" s="1"/>
  <c r="JD26" i="3"/>
  <c r="JD28" i="3" s="1"/>
  <c r="JC26" i="3"/>
  <c r="JC28" i="3" s="1"/>
  <c r="JB26" i="3"/>
  <c r="JB28" i="3" s="1"/>
  <c r="JA26" i="3"/>
  <c r="JA28" i="3" s="1"/>
  <c r="IZ26" i="3"/>
  <c r="IZ28" i="3" s="1"/>
  <c r="IY26" i="3"/>
  <c r="IY28" i="3" s="1"/>
  <c r="IX26" i="3"/>
  <c r="IX28" i="3" s="1"/>
  <c r="IW26" i="3"/>
  <c r="IW28" i="3" s="1"/>
  <c r="IV26" i="3"/>
  <c r="IV28" i="3" s="1"/>
  <c r="JZ28" i="3" s="1"/>
  <c r="IT26" i="3"/>
  <c r="IT28" i="3" s="1"/>
  <c r="IS26" i="3"/>
  <c r="IS28" i="3" s="1"/>
  <c r="IR26" i="3"/>
  <c r="IR28" i="3" s="1"/>
  <c r="IQ26" i="3"/>
  <c r="IQ28" i="3" s="1"/>
  <c r="IP26" i="3"/>
  <c r="IP28" i="3" s="1"/>
  <c r="IO26" i="3"/>
  <c r="IO28" i="3" s="1"/>
  <c r="IN26" i="3"/>
  <c r="IN28" i="3" s="1"/>
  <c r="IM26" i="3"/>
  <c r="IM28" i="3" s="1"/>
  <c r="IL26" i="3"/>
  <c r="IL28" i="3" s="1"/>
  <c r="IK26" i="3"/>
  <c r="IK28" i="3" s="1"/>
  <c r="IJ26" i="3"/>
  <c r="IJ28" i="3" s="1"/>
  <c r="II26" i="3"/>
  <c r="II28" i="3" s="1"/>
  <c r="IH26" i="3"/>
  <c r="IH28" i="3" s="1"/>
  <c r="IG26" i="3"/>
  <c r="IG28" i="3" s="1"/>
  <c r="IF26" i="3"/>
  <c r="IF28" i="3" s="1"/>
  <c r="IE26" i="3"/>
  <c r="IE28" i="3" s="1"/>
  <c r="ID26" i="3"/>
  <c r="ID28" i="3" s="1"/>
  <c r="IC26" i="3"/>
  <c r="IC28" i="3" s="1"/>
  <c r="IB26" i="3"/>
  <c r="IB28" i="3" s="1"/>
  <c r="IA26" i="3"/>
  <c r="IA28" i="3" s="1"/>
  <c r="HZ26" i="3"/>
  <c r="HZ28" i="3" s="1"/>
  <c r="HY26" i="3"/>
  <c r="HY28" i="3" s="1"/>
  <c r="HX26" i="3"/>
  <c r="HX28" i="3" s="1"/>
  <c r="HW26" i="3"/>
  <c r="HW28" i="3" s="1"/>
  <c r="HV26" i="3"/>
  <c r="HV28" i="3" s="1"/>
  <c r="HU26" i="3"/>
  <c r="HU28" i="3" s="1"/>
  <c r="HT26" i="3"/>
  <c r="HT28" i="3" s="1"/>
  <c r="HS26" i="3"/>
  <c r="HS28" i="3" s="1"/>
  <c r="HR26" i="3"/>
  <c r="HR28" i="3" s="1"/>
  <c r="HQ26" i="3"/>
  <c r="HQ28" i="3" s="1"/>
  <c r="HP26" i="3"/>
  <c r="HN26" i="3"/>
  <c r="HN28" i="3" s="1"/>
  <c r="HM26" i="3"/>
  <c r="HM28" i="3" s="1"/>
  <c r="HL26" i="3"/>
  <c r="HL28" i="3" s="1"/>
  <c r="HK26" i="3"/>
  <c r="HK28" i="3" s="1"/>
  <c r="HJ26" i="3"/>
  <c r="HJ28" i="3" s="1"/>
  <c r="HI26" i="3"/>
  <c r="HI28" i="3" s="1"/>
  <c r="HH26" i="3"/>
  <c r="HH28" i="3" s="1"/>
  <c r="HG26" i="3"/>
  <c r="HG28" i="3" s="1"/>
  <c r="HF26" i="3"/>
  <c r="HF28" i="3" s="1"/>
  <c r="HE26" i="3"/>
  <c r="HE28" i="3" s="1"/>
  <c r="HD26" i="3"/>
  <c r="HD28" i="3" s="1"/>
  <c r="HC26" i="3"/>
  <c r="HC28" i="3" s="1"/>
  <c r="HB26" i="3"/>
  <c r="HB28" i="3" s="1"/>
  <c r="HA26" i="3"/>
  <c r="HA28" i="3" s="1"/>
  <c r="GZ26" i="3"/>
  <c r="GZ28" i="3" s="1"/>
  <c r="GY26" i="3"/>
  <c r="GY28" i="3" s="1"/>
  <c r="GX26" i="3"/>
  <c r="GX28" i="3" s="1"/>
  <c r="GW26" i="3"/>
  <c r="GW28" i="3" s="1"/>
  <c r="GV26" i="3"/>
  <c r="GV28" i="3" s="1"/>
  <c r="GU26" i="3"/>
  <c r="GU28" i="3" s="1"/>
  <c r="GT26" i="3"/>
  <c r="GT28" i="3" s="1"/>
  <c r="GS26" i="3"/>
  <c r="GS28" i="3" s="1"/>
  <c r="GR26" i="3"/>
  <c r="GR28" i="3" s="1"/>
  <c r="GQ26" i="3"/>
  <c r="GQ28" i="3" s="1"/>
  <c r="GP26" i="3"/>
  <c r="GP28" i="3" s="1"/>
  <c r="GO26" i="3"/>
  <c r="GO28" i="3" s="1"/>
  <c r="GN26" i="3"/>
  <c r="GN28" i="3" s="1"/>
  <c r="GM26" i="3"/>
  <c r="GM28" i="3" s="1"/>
  <c r="GL26" i="3"/>
  <c r="GJ26" i="3"/>
  <c r="GJ28" i="3" s="1"/>
  <c r="GI26" i="3"/>
  <c r="GI28" i="3" s="1"/>
  <c r="GH26" i="3"/>
  <c r="GH28" i="3" s="1"/>
  <c r="GG26" i="3"/>
  <c r="GG28" i="3" s="1"/>
  <c r="GF26" i="3"/>
  <c r="GF28" i="3" s="1"/>
  <c r="GE26" i="3"/>
  <c r="GE28" i="3" s="1"/>
  <c r="GD26" i="3"/>
  <c r="GD28" i="3" s="1"/>
  <c r="GC26" i="3"/>
  <c r="GC28" i="3" s="1"/>
  <c r="GB26" i="3"/>
  <c r="GB28" i="3" s="1"/>
  <c r="GA26" i="3"/>
  <c r="GA28" i="3" s="1"/>
  <c r="FZ26" i="3"/>
  <c r="FZ28" i="3" s="1"/>
  <c r="FY26" i="3"/>
  <c r="FY28" i="3" s="1"/>
  <c r="FX26" i="3"/>
  <c r="FX28" i="3" s="1"/>
  <c r="FW26" i="3"/>
  <c r="FW28" i="3" s="1"/>
  <c r="FV26" i="3"/>
  <c r="FV28" i="3" s="1"/>
  <c r="FU26" i="3"/>
  <c r="FU28" i="3" s="1"/>
  <c r="FT26" i="3"/>
  <c r="FT28" i="3" s="1"/>
  <c r="FS26" i="3"/>
  <c r="FS28" i="3" s="1"/>
  <c r="FR26" i="3"/>
  <c r="FR28" i="3" s="1"/>
  <c r="FQ26" i="3"/>
  <c r="FQ28" i="3" s="1"/>
  <c r="FP26" i="3"/>
  <c r="FP28" i="3" s="1"/>
  <c r="FO26" i="3"/>
  <c r="FO28" i="3" s="1"/>
  <c r="FN26" i="3"/>
  <c r="FN28" i="3" s="1"/>
  <c r="FM26" i="3"/>
  <c r="FM28" i="3" s="1"/>
  <c r="FL26" i="3"/>
  <c r="FL28" i="3" s="1"/>
  <c r="FK26" i="3"/>
  <c r="FK28" i="3" s="1"/>
  <c r="FJ26" i="3"/>
  <c r="FJ28" i="3" s="1"/>
  <c r="FI26" i="3"/>
  <c r="FI28" i="3" s="1"/>
  <c r="FH26" i="3"/>
  <c r="FH28" i="3" s="1"/>
  <c r="FG26" i="3"/>
  <c r="FG28" i="3" s="1"/>
  <c r="FF26" i="3"/>
  <c r="FD26" i="3"/>
  <c r="FD28" i="3" s="1"/>
  <c r="FC26" i="3"/>
  <c r="FC28" i="3" s="1"/>
  <c r="FB26" i="3"/>
  <c r="FB28" i="3" s="1"/>
  <c r="FA26" i="3"/>
  <c r="FA28" i="3" s="1"/>
  <c r="EZ26" i="3"/>
  <c r="EZ28" i="3" s="1"/>
  <c r="EY26" i="3"/>
  <c r="EY28" i="3" s="1"/>
  <c r="EX26" i="3"/>
  <c r="EX28" i="3" s="1"/>
  <c r="EW26" i="3"/>
  <c r="EW28" i="3" s="1"/>
  <c r="EV26" i="3"/>
  <c r="EV28" i="3" s="1"/>
  <c r="EU26" i="3"/>
  <c r="EU28" i="3" s="1"/>
  <c r="ET26" i="3"/>
  <c r="ET28" i="3" s="1"/>
  <c r="ES26" i="3"/>
  <c r="ES28" i="3" s="1"/>
  <c r="ER26" i="3"/>
  <c r="ER28" i="3" s="1"/>
  <c r="EQ26" i="3"/>
  <c r="EQ28" i="3" s="1"/>
  <c r="EP26" i="3"/>
  <c r="EP28" i="3" s="1"/>
  <c r="EO26" i="3"/>
  <c r="EO28" i="3" s="1"/>
  <c r="EN26" i="3"/>
  <c r="EN28" i="3" s="1"/>
  <c r="EM26" i="3"/>
  <c r="EM28" i="3" s="1"/>
  <c r="EL26" i="3"/>
  <c r="EL28" i="3" s="1"/>
  <c r="EK26" i="3"/>
  <c r="EK28" i="3" s="1"/>
  <c r="EJ26" i="3"/>
  <c r="EJ28" i="3" s="1"/>
  <c r="EI26" i="3"/>
  <c r="EI28" i="3" s="1"/>
  <c r="EH26" i="3"/>
  <c r="EH28" i="3" s="1"/>
  <c r="EG26" i="3"/>
  <c r="EG28" i="3" s="1"/>
  <c r="EF26" i="3"/>
  <c r="EF28" i="3" s="1"/>
  <c r="EE26" i="3"/>
  <c r="EE28" i="3" s="1"/>
  <c r="ED26" i="3"/>
  <c r="ED28" i="3" s="1"/>
  <c r="EC26" i="3"/>
  <c r="EC28" i="3" s="1"/>
  <c r="EB26" i="3"/>
  <c r="EB28" i="3" s="1"/>
  <c r="EA26" i="3"/>
  <c r="EA28" i="3" s="1"/>
  <c r="DZ26" i="3"/>
  <c r="DZ28" i="3" s="1"/>
  <c r="FE28" i="3" s="1"/>
  <c r="DX26" i="3"/>
  <c r="DX28" i="3" s="1"/>
  <c r="DW26" i="3"/>
  <c r="DW28" i="3" s="1"/>
  <c r="DV26" i="3"/>
  <c r="DV28" i="3" s="1"/>
  <c r="DU26" i="3"/>
  <c r="DU28" i="3" s="1"/>
  <c r="DT26" i="3"/>
  <c r="DT28" i="3" s="1"/>
  <c r="DS26" i="3"/>
  <c r="DS28" i="3" s="1"/>
  <c r="DR26" i="3"/>
  <c r="DR28" i="3" s="1"/>
  <c r="DQ26" i="3"/>
  <c r="DQ28" i="3" s="1"/>
  <c r="DP26" i="3"/>
  <c r="DP28" i="3" s="1"/>
  <c r="DO26" i="3"/>
  <c r="DO28" i="3" s="1"/>
  <c r="DN26" i="3"/>
  <c r="DN28" i="3" s="1"/>
  <c r="DM26" i="3"/>
  <c r="DM28" i="3" s="1"/>
  <c r="DL26" i="3"/>
  <c r="DL28" i="3" s="1"/>
  <c r="DK26" i="3"/>
  <c r="DK28" i="3" s="1"/>
  <c r="DJ26" i="3"/>
  <c r="DJ28" i="3" s="1"/>
  <c r="DI26" i="3"/>
  <c r="DI28" i="3" s="1"/>
  <c r="DH26" i="3"/>
  <c r="DH28" i="3" s="1"/>
  <c r="DG26" i="3"/>
  <c r="DG28" i="3" s="1"/>
  <c r="DF26" i="3"/>
  <c r="DF28" i="3" s="1"/>
  <c r="DE26" i="3"/>
  <c r="DE28" i="3" s="1"/>
  <c r="DD26" i="3"/>
  <c r="DD28" i="3" s="1"/>
  <c r="DC26" i="3"/>
  <c r="DC28" i="3" s="1"/>
  <c r="DB26" i="3"/>
  <c r="DB28" i="3" s="1"/>
  <c r="DA26" i="3"/>
  <c r="DA28" i="3" s="1"/>
  <c r="CZ26" i="3"/>
  <c r="CZ28" i="3" s="1"/>
  <c r="CY26" i="3"/>
  <c r="CY28" i="3" s="1"/>
  <c r="CX26" i="3"/>
  <c r="CX28" i="3" s="1"/>
  <c r="CW26" i="3"/>
  <c r="CW28" i="3" s="1"/>
  <c r="CV26" i="3"/>
  <c r="CV28" i="3" s="1"/>
  <c r="CU26" i="3"/>
  <c r="CU28" i="3" s="1"/>
  <c r="DY28" i="3" s="1"/>
  <c r="CS26" i="3"/>
  <c r="CS28" i="3" s="1"/>
  <c r="CR26" i="3"/>
  <c r="CR28" i="3" s="1"/>
  <c r="CQ26" i="3"/>
  <c r="CQ28" i="3" s="1"/>
  <c r="CP26" i="3"/>
  <c r="CP28" i="3" s="1"/>
  <c r="CO26" i="3"/>
  <c r="CO28" i="3" s="1"/>
  <c r="CN26" i="3"/>
  <c r="CN28" i="3" s="1"/>
  <c r="CM26" i="3"/>
  <c r="CM28" i="3" s="1"/>
  <c r="CL26" i="3"/>
  <c r="CL28" i="3" s="1"/>
  <c r="CK26" i="3"/>
  <c r="CK28" i="3" s="1"/>
  <c r="CJ26" i="3"/>
  <c r="CJ28" i="3" s="1"/>
  <c r="CI26" i="3"/>
  <c r="CI28" i="3" s="1"/>
  <c r="CH26" i="3"/>
  <c r="CH28" i="3" s="1"/>
  <c r="CG26" i="3"/>
  <c r="CG28" i="3" s="1"/>
  <c r="CF26" i="3"/>
  <c r="CF28" i="3" s="1"/>
  <c r="CE26" i="3"/>
  <c r="CE28" i="3" s="1"/>
  <c r="CD26" i="3"/>
  <c r="CD28" i="3" s="1"/>
  <c r="CC26" i="3"/>
  <c r="CC28" i="3" s="1"/>
  <c r="CB26" i="3"/>
  <c r="CB28" i="3" s="1"/>
  <c r="CA26" i="3"/>
  <c r="CA28" i="3" s="1"/>
  <c r="BZ26" i="3"/>
  <c r="BZ28" i="3" s="1"/>
  <c r="BY26" i="3"/>
  <c r="BY28" i="3" s="1"/>
  <c r="BX26" i="3"/>
  <c r="BX28" i="3" s="1"/>
  <c r="BW26" i="3"/>
  <c r="BW28" i="3" s="1"/>
  <c r="BV26" i="3"/>
  <c r="BV28" i="3" s="1"/>
  <c r="BU26" i="3"/>
  <c r="BU28" i="3" s="1"/>
  <c r="BT26" i="3"/>
  <c r="BT28" i="3" s="1"/>
  <c r="BS26" i="3"/>
  <c r="BS28" i="3" s="1"/>
  <c r="BR26" i="3"/>
  <c r="BR28" i="3" s="1"/>
  <c r="BQ26" i="3"/>
  <c r="BQ28" i="3" s="1"/>
  <c r="BP26" i="3"/>
  <c r="BP28" i="3" s="1"/>
  <c r="BO26" i="3"/>
  <c r="BO28" i="3" s="1"/>
  <c r="CT28" i="3" s="1"/>
  <c r="BM26" i="3"/>
  <c r="BM28" i="3" s="1"/>
  <c r="BL26" i="3"/>
  <c r="BL28" i="3" s="1"/>
  <c r="BK26" i="3"/>
  <c r="BK28" i="3" s="1"/>
  <c r="BJ26" i="3"/>
  <c r="BJ28" i="3" s="1"/>
  <c r="BI26" i="3"/>
  <c r="BI28" i="3" s="1"/>
  <c r="BH26" i="3"/>
  <c r="BH28" i="3" s="1"/>
  <c r="BG26" i="3"/>
  <c r="BG28" i="3" s="1"/>
  <c r="BF26" i="3"/>
  <c r="BF28" i="3" s="1"/>
  <c r="BE26" i="3"/>
  <c r="BE28" i="3" s="1"/>
  <c r="BD26" i="3"/>
  <c r="BD28" i="3" s="1"/>
  <c r="BC26" i="3"/>
  <c r="BC28" i="3" s="1"/>
  <c r="BB26" i="3"/>
  <c r="BB28" i="3" s="1"/>
  <c r="BA26" i="3"/>
  <c r="BA28" i="3" s="1"/>
  <c r="AZ26" i="3"/>
  <c r="AZ28" i="3" s="1"/>
  <c r="AY26" i="3"/>
  <c r="AY28" i="3" s="1"/>
  <c r="AX26" i="3"/>
  <c r="AX28" i="3" s="1"/>
  <c r="AW26" i="3"/>
  <c r="AW28" i="3" s="1"/>
  <c r="AV26" i="3"/>
  <c r="AV28" i="3" s="1"/>
  <c r="AU26" i="3"/>
  <c r="AU28" i="3" s="1"/>
  <c r="AT26" i="3"/>
  <c r="AT28" i="3" s="1"/>
  <c r="AS26" i="3"/>
  <c r="AS28" i="3" s="1"/>
  <c r="AR26" i="3"/>
  <c r="AR28" i="3" s="1"/>
  <c r="AQ26" i="3"/>
  <c r="AQ28" i="3" s="1"/>
  <c r="AP26" i="3"/>
  <c r="AP28" i="3" s="1"/>
  <c r="AO26" i="3"/>
  <c r="AO28" i="3" s="1"/>
  <c r="AN26" i="3"/>
  <c r="AN28" i="3" s="1"/>
  <c r="AM26" i="3"/>
  <c r="AM28" i="3" s="1"/>
  <c r="AL26" i="3"/>
  <c r="AL28" i="3" s="1"/>
  <c r="AK26" i="3"/>
  <c r="AK28" i="3" s="1"/>
  <c r="AJ26" i="3"/>
  <c r="AJ28" i="3" s="1"/>
  <c r="BN28" i="3" s="1"/>
  <c r="AH26" i="3"/>
  <c r="AH28" i="3" s="1"/>
  <c r="AG26" i="3"/>
  <c r="AG28" i="3" s="1"/>
  <c r="AF26" i="3"/>
  <c r="AF28" i="3" s="1"/>
  <c r="AE26" i="3"/>
  <c r="AE28" i="3" s="1"/>
  <c r="AD26" i="3"/>
  <c r="AD28" i="3" s="1"/>
  <c r="AC26" i="3"/>
  <c r="AC28" i="3" s="1"/>
  <c r="AB26" i="3"/>
  <c r="AB28" i="3" s="1"/>
  <c r="AA26" i="3"/>
  <c r="AA28" i="3" s="1"/>
  <c r="Z26" i="3"/>
  <c r="Z28" i="3" s="1"/>
  <c r="Y26" i="3"/>
  <c r="Y28" i="3" s="1"/>
  <c r="X26" i="3"/>
  <c r="X28" i="3" s="1"/>
  <c r="W26" i="3"/>
  <c r="W28" i="3" s="1"/>
  <c r="V26" i="3"/>
  <c r="V28" i="3" s="1"/>
  <c r="U26" i="3"/>
  <c r="U28" i="3" s="1"/>
  <c r="T26" i="3"/>
  <c r="T28" i="3" s="1"/>
  <c r="S26" i="3"/>
  <c r="S28" i="3" s="1"/>
  <c r="R26" i="3"/>
  <c r="R28" i="3" s="1"/>
  <c r="Q26" i="3"/>
  <c r="Q28" i="3" s="1"/>
  <c r="P26" i="3"/>
  <c r="P28" i="3" s="1"/>
  <c r="O26" i="3"/>
  <c r="O28" i="3" s="1"/>
  <c r="N26" i="3"/>
  <c r="N28" i="3" s="1"/>
  <c r="M26" i="3"/>
  <c r="M28" i="3" s="1"/>
  <c r="L26" i="3"/>
  <c r="L28" i="3" s="1"/>
  <c r="K26" i="3"/>
  <c r="K28" i="3" s="1"/>
  <c r="J26" i="3"/>
  <c r="J28" i="3" s="1"/>
  <c r="I26" i="3"/>
  <c r="I28" i="3" s="1"/>
  <c r="H26" i="3"/>
  <c r="H28" i="3" s="1"/>
  <c r="G26" i="3"/>
  <c r="G28" i="3" s="1"/>
  <c r="F26" i="3"/>
  <c r="F28" i="3" s="1"/>
  <c r="E26" i="3"/>
  <c r="E28" i="3" s="1"/>
  <c r="AOF25" i="3"/>
  <c r="AOE25" i="3"/>
  <c r="AOD25" i="3"/>
  <c r="D25" i="3"/>
  <c r="AOC23" i="3"/>
  <c r="AOC25" i="3" s="1"/>
  <c r="AOB23" i="3"/>
  <c r="AOB25" i="3" s="1"/>
  <c r="AOA23" i="3"/>
  <c r="AOA25" i="3" s="1"/>
  <c r="ANZ23" i="3"/>
  <c r="ANZ25" i="3" s="1"/>
  <c r="ANY23" i="3"/>
  <c r="ANY25" i="3" s="1"/>
  <c r="ANX23" i="3"/>
  <c r="ANX25" i="3" s="1"/>
  <c r="ANW23" i="3"/>
  <c r="ANW25" i="3" s="1"/>
  <c r="ANV23" i="3"/>
  <c r="ANV25" i="3" s="1"/>
  <c r="ANU23" i="3"/>
  <c r="ANU25" i="3" s="1"/>
  <c r="ANT23" i="3"/>
  <c r="ANT25" i="3" s="1"/>
  <c r="ANS23" i="3"/>
  <c r="ANS25" i="3" s="1"/>
  <c r="ANR23" i="3"/>
  <c r="ANR25" i="3" s="1"/>
  <c r="ANQ23" i="3"/>
  <c r="ANQ25" i="3" s="1"/>
  <c r="ANP23" i="3"/>
  <c r="ANP25" i="3" s="1"/>
  <c r="ANO23" i="3"/>
  <c r="ANO25" i="3" s="1"/>
  <c r="ANN23" i="3"/>
  <c r="ANN25" i="3" s="1"/>
  <c r="ANM23" i="3"/>
  <c r="ANM25" i="3" s="1"/>
  <c r="ANL23" i="3"/>
  <c r="ANL25" i="3" s="1"/>
  <c r="ANK23" i="3"/>
  <c r="ANK25" i="3" s="1"/>
  <c r="ANJ23" i="3"/>
  <c r="ANJ25" i="3" s="1"/>
  <c r="ANI23" i="3"/>
  <c r="ANI25" i="3" s="1"/>
  <c r="ANH23" i="3"/>
  <c r="ANH25" i="3" s="1"/>
  <c r="ANG23" i="3"/>
  <c r="ANG25" i="3" s="1"/>
  <c r="ANF23" i="3"/>
  <c r="ANF25" i="3" s="1"/>
  <c r="ANE23" i="3"/>
  <c r="ANE25" i="3" s="1"/>
  <c r="AND23" i="3"/>
  <c r="AND25" i="3" s="1"/>
  <c r="ANC23" i="3"/>
  <c r="ANC25" i="3" s="1"/>
  <c r="ANB23" i="3"/>
  <c r="ANB25" i="3" s="1"/>
  <c r="ANA23" i="3"/>
  <c r="ANA25" i="3" s="1"/>
  <c r="AMY23" i="3"/>
  <c r="AMY25" i="3" s="1"/>
  <c r="AMX23" i="3"/>
  <c r="AMX25" i="3" s="1"/>
  <c r="AMW23" i="3"/>
  <c r="AMW25" i="3" s="1"/>
  <c r="AMV23" i="3"/>
  <c r="AMV25" i="3" s="1"/>
  <c r="AMU23" i="3"/>
  <c r="AMU25" i="3" s="1"/>
  <c r="AMT23" i="3"/>
  <c r="AMT25" i="3" s="1"/>
  <c r="AMS23" i="3"/>
  <c r="AMS25" i="3" s="1"/>
  <c r="AMR23" i="3"/>
  <c r="AMR25" i="3" s="1"/>
  <c r="AMQ23" i="3"/>
  <c r="AMQ25" i="3" s="1"/>
  <c r="AMP23" i="3"/>
  <c r="AMP25" i="3" s="1"/>
  <c r="AMO23" i="3"/>
  <c r="AMO25" i="3" s="1"/>
  <c r="AMN23" i="3"/>
  <c r="AMN25" i="3" s="1"/>
  <c r="AMM23" i="3"/>
  <c r="AMM25" i="3" s="1"/>
  <c r="AML23" i="3"/>
  <c r="AML25" i="3" s="1"/>
  <c r="AMK23" i="3"/>
  <c r="AMK25" i="3" s="1"/>
  <c r="AMJ23" i="3"/>
  <c r="AMJ25" i="3" s="1"/>
  <c r="AMI23" i="3"/>
  <c r="AMI25" i="3" s="1"/>
  <c r="AMH23" i="3"/>
  <c r="AMH25" i="3" s="1"/>
  <c r="AMG23" i="3"/>
  <c r="AMG25" i="3" s="1"/>
  <c r="AMF23" i="3"/>
  <c r="AMF25" i="3" s="1"/>
  <c r="AME23" i="3"/>
  <c r="AME25" i="3" s="1"/>
  <c r="AMD23" i="3"/>
  <c r="AMD25" i="3" s="1"/>
  <c r="AMC23" i="3"/>
  <c r="AMC25" i="3" s="1"/>
  <c r="AMB23" i="3"/>
  <c r="AMB25" i="3" s="1"/>
  <c r="AMA23" i="3"/>
  <c r="AMA25" i="3" s="1"/>
  <c r="ALZ23" i="3"/>
  <c r="ALZ25" i="3" s="1"/>
  <c r="ALY23" i="3"/>
  <c r="ALY25" i="3" s="1"/>
  <c r="ALX23" i="3"/>
  <c r="ALX25" i="3" s="1"/>
  <c r="ALW23" i="3"/>
  <c r="ALW25" i="3" s="1"/>
  <c r="ALV23" i="3"/>
  <c r="ALV25" i="3" s="1"/>
  <c r="AMZ25" i="3" s="1"/>
  <c r="ALT23" i="3"/>
  <c r="ALT25" i="3" s="1"/>
  <c r="ALS23" i="3"/>
  <c r="ALS25" i="3" s="1"/>
  <c r="ALR23" i="3"/>
  <c r="ALR25" i="3" s="1"/>
  <c r="ALQ23" i="3"/>
  <c r="ALQ25" i="3" s="1"/>
  <c r="ALP23" i="3"/>
  <c r="ALP25" i="3" s="1"/>
  <c r="ALO23" i="3"/>
  <c r="ALO25" i="3" s="1"/>
  <c r="ALN23" i="3"/>
  <c r="ALN25" i="3" s="1"/>
  <c r="ALM23" i="3"/>
  <c r="ALM25" i="3" s="1"/>
  <c r="ALL23" i="3"/>
  <c r="ALL25" i="3" s="1"/>
  <c r="ALK23" i="3"/>
  <c r="ALK25" i="3" s="1"/>
  <c r="ALJ23" i="3"/>
  <c r="ALJ25" i="3" s="1"/>
  <c r="ALI23" i="3"/>
  <c r="ALI25" i="3" s="1"/>
  <c r="ALH23" i="3"/>
  <c r="ALH25" i="3" s="1"/>
  <c r="ALG23" i="3"/>
  <c r="ALG25" i="3" s="1"/>
  <c r="ALF23" i="3"/>
  <c r="ALF25" i="3" s="1"/>
  <c r="ALE23" i="3"/>
  <c r="ALE25" i="3" s="1"/>
  <c r="ALD23" i="3"/>
  <c r="ALD25" i="3" s="1"/>
  <c r="ALC23" i="3"/>
  <c r="ALC25" i="3" s="1"/>
  <c r="ALB23" i="3"/>
  <c r="ALB25" i="3" s="1"/>
  <c r="ALA23" i="3"/>
  <c r="ALA25" i="3" s="1"/>
  <c r="AKZ23" i="3"/>
  <c r="AKZ25" i="3" s="1"/>
  <c r="AKY23" i="3"/>
  <c r="AKY25" i="3" s="1"/>
  <c r="AKX23" i="3"/>
  <c r="AKX25" i="3" s="1"/>
  <c r="AKW23" i="3"/>
  <c r="AKW25" i="3" s="1"/>
  <c r="AKV23" i="3"/>
  <c r="AKV25" i="3" s="1"/>
  <c r="AKU23" i="3"/>
  <c r="AKU25" i="3" s="1"/>
  <c r="AKT23" i="3"/>
  <c r="AKT25" i="3" s="1"/>
  <c r="AKS23" i="3"/>
  <c r="AKS25" i="3" s="1"/>
  <c r="AKR23" i="3"/>
  <c r="AKR25" i="3" s="1"/>
  <c r="AKQ23" i="3"/>
  <c r="AKQ25" i="3" s="1"/>
  <c r="AKP23" i="3"/>
  <c r="AKP25" i="3" s="1"/>
  <c r="ALU25" i="3" s="1"/>
  <c r="AKN23" i="3"/>
  <c r="AKN25" i="3" s="1"/>
  <c r="AKM23" i="3"/>
  <c r="AKM25" i="3" s="1"/>
  <c r="AKL23" i="3"/>
  <c r="AKL25" i="3" s="1"/>
  <c r="AKK23" i="3"/>
  <c r="AKK25" i="3" s="1"/>
  <c r="AKJ23" i="3"/>
  <c r="AKJ25" i="3" s="1"/>
  <c r="AKI23" i="3"/>
  <c r="AKI25" i="3" s="1"/>
  <c r="AKH23" i="3"/>
  <c r="AKH25" i="3" s="1"/>
  <c r="AKG23" i="3"/>
  <c r="AKG25" i="3" s="1"/>
  <c r="AKF23" i="3"/>
  <c r="AKF25" i="3" s="1"/>
  <c r="AKE23" i="3"/>
  <c r="AKE25" i="3" s="1"/>
  <c r="AKD23" i="3"/>
  <c r="AKD25" i="3" s="1"/>
  <c r="AKC23" i="3"/>
  <c r="AKC25" i="3" s="1"/>
  <c r="AKB23" i="3"/>
  <c r="AKB25" i="3" s="1"/>
  <c r="AKA23" i="3"/>
  <c r="AKA25" i="3" s="1"/>
  <c r="AJZ23" i="3"/>
  <c r="AJZ25" i="3" s="1"/>
  <c r="AJY23" i="3"/>
  <c r="AJY25" i="3" s="1"/>
  <c r="AJX23" i="3"/>
  <c r="AJX25" i="3" s="1"/>
  <c r="AJW23" i="3"/>
  <c r="AJW25" i="3" s="1"/>
  <c r="AJV23" i="3"/>
  <c r="AJV25" i="3" s="1"/>
  <c r="AJU23" i="3"/>
  <c r="AJU25" i="3" s="1"/>
  <c r="AJT23" i="3"/>
  <c r="AJT25" i="3" s="1"/>
  <c r="AJS23" i="3"/>
  <c r="AJS25" i="3" s="1"/>
  <c r="AJR23" i="3"/>
  <c r="AJR25" i="3" s="1"/>
  <c r="AJQ23" i="3"/>
  <c r="AJQ25" i="3" s="1"/>
  <c r="AJP23" i="3"/>
  <c r="AJP25" i="3" s="1"/>
  <c r="AJO23" i="3"/>
  <c r="AJO25" i="3" s="1"/>
  <c r="AJN23" i="3"/>
  <c r="AJN25" i="3" s="1"/>
  <c r="AJM23" i="3"/>
  <c r="AJM25" i="3" s="1"/>
  <c r="AKO25" i="3" s="1"/>
  <c r="AJK23" i="3"/>
  <c r="AJK25" i="3" s="1"/>
  <c r="AJJ23" i="3"/>
  <c r="AJJ25" i="3" s="1"/>
  <c r="AJI23" i="3"/>
  <c r="AJI25" i="3" s="1"/>
  <c r="AJH23" i="3"/>
  <c r="AJH25" i="3" s="1"/>
  <c r="AJG23" i="3"/>
  <c r="AJG25" i="3" s="1"/>
  <c r="AJF23" i="3"/>
  <c r="AJF25" i="3" s="1"/>
  <c r="AJE23" i="3"/>
  <c r="AJE25" i="3" s="1"/>
  <c r="AJD23" i="3"/>
  <c r="AJD25" i="3" s="1"/>
  <c r="AJC23" i="3"/>
  <c r="AJC25" i="3" s="1"/>
  <c r="AJB23" i="3"/>
  <c r="AJB25" i="3" s="1"/>
  <c r="AJA23" i="3"/>
  <c r="AJA25" i="3" s="1"/>
  <c r="AIZ23" i="3"/>
  <c r="AIZ25" i="3" s="1"/>
  <c r="AIY23" i="3"/>
  <c r="AIY25" i="3" s="1"/>
  <c r="AIX23" i="3"/>
  <c r="AIX25" i="3" s="1"/>
  <c r="AIW23" i="3"/>
  <c r="AIW25" i="3" s="1"/>
  <c r="AIV23" i="3"/>
  <c r="AIV25" i="3" s="1"/>
  <c r="AIU23" i="3"/>
  <c r="AIU25" i="3" s="1"/>
  <c r="AIT23" i="3"/>
  <c r="AIT25" i="3" s="1"/>
  <c r="AIS23" i="3"/>
  <c r="AIS25" i="3" s="1"/>
  <c r="AIR23" i="3"/>
  <c r="AIR25" i="3" s="1"/>
  <c r="AIQ23" i="3"/>
  <c r="AIQ25" i="3" s="1"/>
  <c r="AIP23" i="3"/>
  <c r="AIP25" i="3" s="1"/>
  <c r="AIO23" i="3"/>
  <c r="AIO25" i="3" s="1"/>
  <c r="AIN23" i="3"/>
  <c r="AIN25" i="3" s="1"/>
  <c r="AIM23" i="3"/>
  <c r="AIM25" i="3" s="1"/>
  <c r="AIL23" i="3"/>
  <c r="AIL25" i="3" s="1"/>
  <c r="AIK23" i="3"/>
  <c r="AIK25" i="3" s="1"/>
  <c r="AIJ23" i="3"/>
  <c r="AIJ25" i="3" s="1"/>
  <c r="AII23" i="3"/>
  <c r="AII25" i="3" s="1"/>
  <c r="AIH23" i="3"/>
  <c r="AIH25" i="3" s="1"/>
  <c r="AIG23" i="3"/>
  <c r="AIG25" i="3" s="1"/>
  <c r="AJL25" i="3" s="1"/>
  <c r="AIE23" i="3"/>
  <c r="AIE25" i="3" s="1"/>
  <c r="AID23" i="3"/>
  <c r="AID25" i="3" s="1"/>
  <c r="AIC23" i="3"/>
  <c r="AIC25" i="3" s="1"/>
  <c r="AIB23" i="3"/>
  <c r="AIB25" i="3" s="1"/>
  <c r="AIA23" i="3"/>
  <c r="AIA25" i="3" s="1"/>
  <c r="AHZ23" i="3"/>
  <c r="AHZ25" i="3" s="1"/>
  <c r="AHY23" i="3"/>
  <c r="AHY25" i="3" s="1"/>
  <c r="AHX23" i="3"/>
  <c r="AHX25" i="3" s="1"/>
  <c r="AHW23" i="3"/>
  <c r="AHW25" i="3" s="1"/>
  <c r="AHV23" i="3"/>
  <c r="AHV25" i="3" s="1"/>
  <c r="AHU23" i="3"/>
  <c r="AHU25" i="3" s="1"/>
  <c r="AHT23" i="3"/>
  <c r="AHT25" i="3" s="1"/>
  <c r="AHS23" i="3"/>
  <c r="AHS25" i="3" s="1"/>
  <c r="AHR23" i="3"/>
  <c r="AHR25" i="3" s="1"/>
  <c r="AHQ23" i="3"/>
  <c r="AHQ25" i="3" s="1"/>
  <c r="AHP23" i="3"/>
  <c r="AHP25" i="3" s="1"/>
  <c r="AHO23" i="3"/>
  <c r="AHO25" i="3" s="1"/>
  <c r="AHN23" i="3"/>
  <c r="AHN25" i="3" s="1"/>
  <c r="AHM23" i="3"/>
  <c r="AHM25" i="3" s="1"/>
  <c r="AHL23" i="3"/>
  <c r="AHL25" i="3" s="1"/>
  <c r="AHK23" i="3"/>
  <c r="AHK25" i="3" s="1"/>
  <c r="AHJ23" i="3"/>
  <c r="AHJ25" i="3" s="1"/>
  <c r="AHI23" i="3"/>
  <c r="AHI25" i="3" s="1"/>
  <c r="AHH23" i="3"/>
  <c r="AHH25" i="3" s="1"/>
  <c r="AHG23" i="3"/>
  <c r="AHG25" i="3" s="1"/>
  <c r="AHF23" i="3"/>
  <c r="AHF25" i="3" s="1"/>
  <c r="AHE23" i="3"/>
  <c r="AHE25" i="3" s="1"/>
  <c r="AHD23" i="3"/>
  <c r="AHD25" i="3" s="1"/>
  <c r="AHC23" i="3"/>
  <c r="AHC25" i="3" s="1"/>
  <c r="AHB23" i="3"/>
  <c r="AHB25" i="3" s="1"/>
  <c r="AHA23" i="3"/>
  <c r="AHA25" i="3" s="1"/>
  <c r="AIF25" i="3" s="1"/>
  <c r="AGY23" i="3"/>
  <c r="AGY25" i="3" s="1"/>
  <c r="AGX23" i="3"/>
  <c r="AGX25" i="3" s="1"/>
  <c r="AGW23" i="3"/>
  <c r="AGW25" i="3" s="1"/>
  <c r="AGV23" i="3"/>
  <c r="AGV25" i="3" s="1"/>
  <c r="AGU23" i="3"/>
  <c r="AGU25" i="3" s="1"/>
  <c r="AGT23" i="3"/>
  <c r="AGT25" i="3" s="1"/>
  <c r="AGS23" i="3"/>
  <c r="AGS25" i="3" s="1"/>
  <c r="AGR23" i="3"/>
  <c r="AGR25" i="3" s="1"/>
  <c r="AGQ23" i="3"/>
  <c r="AGQ25" i="3" s="1"/>
  <c r="AGP23" i="3"/>
  <c r="AGP25" i="3" s="1"/>
  <c r="AGO23" i="3"/>
  <c r="AGO25" i="3" s="1"/>
  <c r="AGN23" i="3"/>
  <c r="AGN25" i="3" s="1"/>
  <c r="AGM23" i="3"/>
  <c r="AGM25" i="3" s="1"/>
  <c r="AGL23" i="3"/>
  <c r="AGL25" i="3" s="1"/>
  <c r="AGK23" i="3"/>
  <c r="AGK25" i="3" s="1"/>
  <c r="AGJ23" i="3"/>
  <c r="AGJ25" i="3" s="1"/>
  <c r="AGI23" i="3"/>
  <c r="AGI25" i="3" s="1"/>
  <c r="AGH23" i="3"/>
  <c r="AGH25" i="3" s="1"/>
  <c r="AGG23" i="3"/>
  <c r="AGG25" i="3" s="1"/>
  <c r="AGF23" i="3"/>
  <c r="AGF25" i="3" s="1"/>
  <c r="AGE23" i="3"/>
  <c r="AGE25" i="3" s="1"/>
  <c r="AGD23" i="3"/>
  <c r="AGD25" i="3" s="1"/>
  <c r="AGC23" i="3"/>
  <c r="AGC25" i="3" s="1"/>
  <c r="AGB23" i="3"/>
  <c r="AGB25" i="3" s="1"/>
  <c r="AGA23" i="3"/>
  <c r="AGA25" i="3" s="1"/>
  <c r="AFZ23" i="3"/>
  <c r="AFZ25" i="3" s="1"/>
  <c r="AFY23" i="3"/>
  <c r="AFY25" i="3" s="1"/>
  <c r="AFX23" i="3"/>
  <c r="AFX25" i="3" s="1"/>
  <c r="AFW23" i="3"/>
  <c r="AFW25" i="3" s="1"/>
  <c r="AFV23" i="3"/>
  <c r="AFV25" i="3" s="1"/>
  <c r="AGZ25" i="3" s="1"/>
  <c r="AFT23" i="3"/>
  <c r="AFT25" i="3" s="1"/>
  <c r="AFS23" i="3"/>
  <c r="AFS25" i="3" s="1"/>
  <c r="AFR23" i="3"/>
  <c r="AFR25" i="3" s="1"/>
  <c r="AFQ23" i="3"/>
  <c r="AFQ25" i="3" s="1"/>
  <c r="AFP23" i="3"/>
  <c r="AFP25" i="3" s="1"/>
  <c r="AFO23" i="3"/>
  <c r="AFO25" i="3" s="1"/>
  <c r="AFN23" i="3"/>
  <c r="AFN25" i="3" s="1"/>
  <c r="AFM23" i="3"/>
  <c r="AFM25" i="3" s="1"/>
  <c r="AFL23" i="3"/>
  <c r="AFL25" i="3" s="1"/>
  <c r="AFK23" i="3"/>
  <c r="AFK25" i="3" s="1"/>
  <c r="AFJ23" i="3"/>
  <c r="AFJ25" i="3" s="1"/>
  <c r="AFI23" i="3"/>
  <c r="AFI25" i="3" s="1"/>
  <c r="AFH23" i="3"/>
  <c r="AFH25" i="3" s="1"/>
  <c r="AFG23" i="3"/>
  <c r="AFG25" i="3" s="1"/>
  <c r="AFF23" i="3"/>
  <c r="AFF25" i="3" s="1"/>
  <c r="AFE23" i="3"/>
  <c r="AFE25" i="3" s="1"/>
  <c r="AFD23" i="3"/>
  <c r="AFD25" i="3" s="1"/>
  <c r="AFC23" i="3"/>
  <c r="AFC25" i="3" s="1"/>
  <c r="AFB23" i="3"/>
  <c r="AFB25" i="3" s="1"/>
  <c r="AFA23" i="3"/>
  <c r="AFA25" i="3" s="1"/>
  <c r="AEZ23" i="3"/>
  <c r="AEZ25" i="3" s="1"/>
  <c r="AEY23" i="3"/>
  <c r="AEY25" i="3" s="1"/>
  <c r="AEX23" i="3"/>
  <c r="AEX25" i="3" s="1"/>
  <c r="AEW23" i="3"/>
  <c r="AEW25" i="3" s="1"/>
  <c r="AEV23" i="3"/>
  <c r="AEV25" i="3" s="1"/>
  <c r="AEU23" i="3"/>
  <c r="AEU25" i="3" s="1"/>
  <c r="AET23" i="3"/>
  <c r="AET25" i="3" s="1"/>
  <c r="AES23" i="3"/>
  <c r="AES25" i="3" s="1"/>
  <c r="AER23" i="3"/>
  <c r="AER25" i="3" s="1"/>
  <c r="AEQ23" i="3"/>
  <c r="AEQ25" i="3" s="1"/>
  <c r="AEP23" i="3"/>
  <c r="AEP25" i="3" s="1"/>
  <c r="AFU25" i="3" s="1"/>
  <c r="AEN23" i="3"/>
  <c r="AEN25" i="3" s="1"/>
  <c r="AEM23" i="3"/>
  <c r="AEM25" i="3" s="1"/>
  <c r="AEL23" i="3"/>
  <c r="AEL25" i="3" s="1"/>
  <c r="AEK23" i="3"/>
  <c r="AEK25" i="3" s="1"/>
  <c r="AEJ23" i="3"/>
  <c r="AEJ25" i="3" s="1"/>
  <c r="AEI23" i="3"/>
  <c r="AEI25" i="3" s="1"/>
  <c r="AEH23" i="3"/>
  <c r="AEH25" i="3" s="1"/>
  <c r="AEG23" i="3"/>
  <c r="AEG25" i="3" s="1"/>
  <c r="AEF23" i="3"/>
  <c r="AEF25" i="3" s="1"/>
  <c r="AEE23" i="3"/>
  <c r="AEE25" i="3" s="1"/>
  <c r="AED23" i="3"/>
  <c r="AED25" i="3" s="1"/>
  <c r="AEC23" i="3"/>
  <c r="AEC25" i="3" s="1"/>
  <c r="AEB23" i="3"/>
  <c r="AEB25" i="3" s="1"/>
  <c r="AEA23" i="3"/>
  <c r="AEA25" i="3" s="1"/>
  <c r="ADZ23" i="3"/>
  <c r="ADZ25" i="3" s="1"/>
  <c r="ADY23" i="3"/>
  <c r="ADY25" i="3" s="1"/>
  <c r="ADX23" i="3"/>
  <c r="ADX25" i="3" s="1"/>
  <c r="ADW23" i="3"/>
  <c r="ADW25" i="3" s="1"/>
  <c r="ADV23" i="3"/>
  <c r="ADV25" i="3" s="1"/>
  <c r="ADU23" i="3"/>
  <c r="ADU25" i="3" s="1"/>
  <c r="ADT23" i="3"/>
  <c r="ADT25" i="3" s="1"/>
  <c r="ADS23" i="3"/>
  <c r="ADS25" i="3" s="1"/>
  <c r="ADR23" i="3"/>
  <c r="ADR25" i="3" s="1"/>
  <c r="ADQ23" i="3"/>
  <c r="ADQ25" i="3" s="1"/>
  <c r="ADP23" i="3"/>
  <c r="ADP25" i="3" s="1"/>
  <c r="ADO23" i="3"/>
  <c r="ADO25" i="3" s="1"/>
  <c r="ADN23" i="3"/>
  <c r="ADN25" i="3" s="1"/>
  <c r="ADM23" i="3"/>
  <c r="ADM25" i="3" s="1"/>
  <c r="ADL23" i="3"/>
  <c r="ADL25" i="3" s="1"/>
  <c r="ADK23" i="3"/>
  <c r="ADK25" i="3" s="1"/>
  <c r="AEO25" i="3" s="1"/>
  <c r="ADI23" i="3"/>
  <c r="ADI25" i="3" s="1"/>
  <c r="ADH23" i="3"/>
  <c r="ADH25" i="3" s="1"/>
  <c r="ADG23" i="3"/>
  <c r="ADG25" i="3" s="1"/>
  <c r="ADF23" i="3"/>
  <c r="ADF25" i="3" s="1"/>
  <c r="ADE23" i="3"/>
  <c r="ADE25" i="3" s="1"/>
  <c r="ADD23" i="3"/>
  <c r="ADD25" i="3" s="1"/>
  <c r="ADC23" i="3"/>
  <c r="ADC25" i="3" s="1"/>
  <c r="ADB23" i="3"/>
  <c r="ADB25" i="3" s="1"/>
  <c r="ADA23" i="3"/>
  <c r="ADA25" i="3" s="1"/>
  <c r="ACZ23" i="3"/>
  <c r="ACZ25" i="3" s="1"/>
  <c r="ACY23" i="3"/>
  <c r="ACY25" i="3" s="1"/>
  <c r="ACX23" i="3"/>
  <c r="ACX25" i="3" s="1"/>
  <c r="ACW23" i="3"/>
  <c r="ACW25" i="3" s="1"/>
  <c r="ACV23" i="3"/>
  <c r="ACV25" i="3" s="1"/>
  <c r="ACU23" i="3"/>
  <c r="ACU25" i="3" s="1"/>
  <c r="ACT23" i="3"/>
  <c r="ACT25" i="3" s="1"/>
  <c r="ACS23" i="3"/>
  <c r="ACS25" i="3" s="1"/>
  <c r="ACR23" i="3"/>
  <c r="ACR25" i="3" s="1"/>
  <c r="ACQ23" i="3"/>
  <c r="ACQ25" i="3" s="1"/>
  <c r="ACP23" i="3"/>
  <c r="ACP25" i="3" s="1"/>
  <c r="ACO23" i="3"/>
  <c r="ACO25" i="3" s="1"/>
  <c r="ACN23" i="3"/>
  <c r="ACN25" i="3" s="1"/>
  <c r="ACM23" i="3"/>
  <c r="ACM25" i="3" s="1"/>
  <c r="ACL23" i="3"/>
  <c r="ACL25" i="3" s="1"/>
  <c r="ACK23" i="3"/>
  <c r="ACK25" i="3" s="1"/>
  <c r="ACJ23" i="3"/>
  <c r="ACJ25" i="3" s="1"/>
  <c r="ACI23" i="3"/>
  <c r="ACI25" i="3" s="1"/>
  <c r="ACH23" i="3"/>
  <c r="ACH25" i="3" s="1"/>
  <c r="ACG23" i="3"/>
  <c r="ACG25" i="3" s="1"/>
  <c r="ACF23" i="3"/>
  <c r="ACF25" i="3" s="1"/>
  <c r="ACE23" i="3"/>
  <c r="ACE25" i="3" s="1"/>
  <c r="ADJ25" i="3" s="1"/>
  <c r="ACC23" i="3"/>
  <c r="ACC25" i="3" s="1"/>
  <c r="ACB23" i="3"/>
  <c r="ACB25" i="3" s="1"/>
  <c r="ACA23" i="3"/>
  <c r="ACA25" i="3" s="1"/>
  <c r="ABZ23" i="3"/>
  <c r="ABZ25" i="3" s="1"/>
  <c r="ABY23" i="3"/>
  <c r="ABY25" i="3" s="1"/>
  <c r="ABX23" i="3"/>
  <c r="ABX25" i="3" s="1"/>
  <c r="ABW23" i="3"/>
  <c r="ABW25" i="3" s="1"/>
  <c r="ABV23" i="3"/>
  <c r="ABV25" i="3" s="1"/>
  <c r="ABU23" i="3"/>
  <c r="ABU25" i="3" s="1"/>
  <c r="ABT23" i="3"/>
  <c r="ABT25" i="3" s="1"/>
  <c r="ABS23" i="3"/>
  <c r="ABS25" i="3" s="1"/>
  <c r="ABR23" i="3"/>
  <c r="ABR25" i="3" s="1"/>
  <c r="ABQ23" i="3"/>
  <c r="ABQ25" i="3" s="1"/>
  <c r="ABP23" i="3"/>
  <c r="ABP25" i="3" s="1"/>
  <c r="ABO23" i="3"/>
  <c r="ABO25" i="3" s="1"/>
  <c r="ABN23" i="3"/>
  <c r="ABN25" i="3" s="1"/>
  <c r="ABM23" i="3"/>
  <c r="ABM25" i="3" s="1"/>
  <c r="ABL23" i="3"/>
  <c r="ABL25" i="3" s="1"/>
  <c r="ABK23" i="3"/>
  <c r="ABK25" i="3" s="1"/>
  <c r="ABJ23" i="3"/>
  <c r="ABJ25" i="3" s="1"/>
  <c r="ABI23" i="3"/>
  <c r="ABI25" i="3" s="1"/>
  <c r="ABH23" i="3"/>
  <c r="ABH25" i="3" s="1"/>
  <c r="ABG23" i="3"/>
  <c r="ABG25" i="3" s="1"/>
  <c r="ABF23" i="3"/>
  <c r="ABF25" i="3" s="1"/>
  <c r="ABE23" i="3"/>
  <c r="ABE25" i="3" s="1"/>
  <c r="ABD23" i="3"/>
  <c r="ABD25" i="3" s="1"/>
  <c r="ABC23" i="3"/>
  <c r="ABC25" i="3" s="1"/>
  <c r="ABB23" i="3"/>
  <c r="ABB25" i="3" s="1"/>
  <c r="ABA23" i="3"/>
  <c r="ABA25" i="3" s="1"/>
  <c r="AAZ23" i="3"/>
  <c r="AAZ25" i="3" s="1"/>
  <c r="AAY23" i="3"/>
  <c r="AAY25" i="3" s="1"/>
  <c r="ACD25" i="3" s="1"/>
  <c r="AAW23" i="3"/>
  <c r="AAW25" i="3" s="1"/>
  <c r="AAV23" i="3"/>
  <c r="AAV25" i="3" s="1"/>
  <c r="AAU23" i="3"/>
  <c r="AAU25" i="3" s="1"/>
  <c r="AAT23" i="3"/>
  <c r="AAT25" i="3" s="1"/>
  <c r="AAS23" i="3"/>
  <c r="AAS25" i="3" s="1"/>
  <c r="AAR23" i="3"/>
  <c r="AAR25" i="3" s="1"/>
  <c r="AAQ23" i="3"/>
  <c r="AAQ25" i="3" s="1"/>
  <c r="AAP23" i="3"/>
  <c r="AAP25" i="3" s="1"/>
  <c r="AAO23" i="3"/>
  <c r="AAO25" i="3" s="1"/>
  <c r="AAN23" i="3"/>
  <c r="AAN25" i="3" s="1"/>
  <c r="AAM23" i="3"/>
  <c r="AAM25" i="3" s="1"/>
  <c r="AAL23" i="3"/>
  <c r="AAL25" i="3" s="1"/>
  <c r="AAK23" i="3"/>
  <c r="AAK25" i="3" s="1"/>
  <c r="AAJ23" i="3"/>
  <c r="AAJ25" i="3" s="1"/>
  <c r="AAI23" i="3"/>
  <c r="AAI25" i="3" s="1"/>
  <c r="AAH23" i="3"/>
  <c r="AAH25" i="3" s="1"/>
  <c r="AAG23" i="3"/>
  <c r="AAG25" i="3" s="1"/>
  <c r="AAF23" i="3"/>
  <c r="AAF25" i="3" s="1"/>
  <c r="AAE23" i="3"/>
  <c r="AAE25" i="3" s="1"/>
  <c r="AAD23" i="3"/>
  <c r="AAD25" i="3" s="1"/>
  <c r="AAC23" i="3"/>
  <c r="AAC25" i="3" s="1"/>
  <c r="AAB23" i="3"/>
  <c r="AAB25" i="3" s="1"/>
  <c r="AAA23" i="3"/>
  <c r="AAA25" i="3" s="1"/>
  <c r="ZZ23" i="3"/>
  <c r="ZZ25" i="3" s="1"/>
  <c r="ZY23" i="3"/>
  <c r="ZY25" i="3" s="1"/>
  <c r="ZX23" i="3"/>
  <c r="ZX25" i="3" s="1"/>
  <c r="ZW23" i="3"/>
  <c r="ZW25" i="3" s="1"/>
  <c r="ZV23" i="3"/>
  <c r="ZV25" i="3" s="1"/>
  <c r="ZU23" i="3"/>
  <c r="ZU25" i="3" s="1"/>
  <c r="ZT23" i="3"/>
  <c r="ZT25" i="3" s="1"/>
  <c r="AAX25" i="3" s="1"/>
  <c r="ZR23" i="3"/>
  <c r="ZR25" i="3" s="1"/>
  <c r="ZQ23" i="3"/>
  <c r="ZQ25" i="3" s="1"/>
  <c r="ZP23" i="3"/>
  <c r="ZP25" i="3" s="1"/>
  <c r="ZO23" i="3"/>
  <c r="ZO25" i="3" s="1"/>
  <c r="ZN23" i="3"/>
  <c r="ZN25" i="3" s="1"/>
  <c r="ZM23" i="3"/>
  <c r="ZM25" i="3" s="1"/>
  <c r="ZL23" i="3"/>
  <c r="ZL25" i="3" s="1"/>
  <c r="ZK23" i="3"/>
  <c r="ZK25" i="3" s="1"/>
  <c r="ZJ23" i="3"/>
  <c r="ZJ25" i="3" s="1"/>
  <c r="ZI23" i="3"/>
  <c r="ZI25" i="3" s="1"/>
  <c r="ZH23" i="3"/>
  <c r="ZH25" i="3" s="1"/>
  <c r="ZG23" i="3"/>
  <c r="ZG25" i="3" s="1"/>
  <c r="ZF23" i="3"/>
  <c r="ZF25" i="3" s="1"/>
  <c r="ZE23" i="3"/>
  <c r="ZE25" i="3" s="1"/>
  <c r="ZD23" i="3"/>
  <c r="ZD25" i="3" s="1"/>
  <c r="ZC23" i="3"/>
  <c r="ZC25" i="3" s="1"/>
  <c r="ZB23" i="3"/>
  <c r="ZB25" i="3" s="1"/>
  <c r="ZA23" i="3"/>
  <c r="ZA25" i="3" s="1"/>
  <c r="YZ23" i="3"/>
  <c r="YZ25" i="3" s="1"/>
  <c r="YY23" i="3"/>
  <c r="YY25" i="3" s="1"/>
  <c r="YX23" i="3"/>
  <c r="YX25" i="3" s="1"/>
  <c r="YW23" i="3"/>
  <c r="YW25" i="3" s="1"/>
  <c r="YV23" i="3"/>
  <c r="YV25" i="3" s="1"/>
  <c r="YU23" i="3"/>
  <c r="YU25" i="3" s="1"/>
  <c r="YT23" i="3"/>
  <c r="YT25" i="3" s="1"/>
  <c r="YS23" i="3"/>
  <c r="YS25" i="3" s="1"/>
  <c r="YR23" i="3"/>
  <c r="YR25" i="3" s="1"/>
  <c r="YQ23" i="3"/>
  <c r="YQ25" i="3" s="1"/>
  <c r="YP23" i="3"/>
  <c r="YP25" i="3" s="1"/>
  <c r="YO23" i="3"/>
  <c r="YO25" i="3" s="1"/>
  <c r="YN23" i="3"/>
  <c r="YN25" i="3" s="1"/>
  <c r="ZS25" i="3" s="1"/>
  <c r="YL23" i="3"/>
  <c r="YL25" i="3" s="1"/>
  <c r="YK23" i="3"/>
  <c r="YK25" i="3" s="1"/>
  <c r="YJ23" i="3"/>
  <c r="YJ25" i="3" s="1"/>
  <c r="YI23" i="3"/>
  <c r="YI25" i="3" s="1"/>
  <c r="YH23" i="3"/>
  <c r="YH25" i="3" s="1"/>
  <c r="YG23" i="3"/>
  <c r="YG25" i="3" s="1"/>
  <c r="YF23" i="3"/>
  <c r="YF25" i="3" s="1"/>
  <c r="YE23" i="3"/>
  <c r="YE25" i="3" s="1"/>
  <c r="YD23" i="3"/>
  <c r="YD25" i="3" s="1"/>
  <c r="YC23" i="3"/>
  <c r="YC25" i="3" s="1"/>
  <c r="YB23" i="3"/>
  <c r="YB25" i="3" s="1"/>
  <c r="YA23" i="3"/>
  <c r="YA25" i="3" s="1"/>
  <c r="XZ23" i="3"/>
  <c r="XZ25" i="3" s="1"/>
  <c r="XY23" i="3"/>
  <c r="XY25" i="3" s="1"/>
  <c r="XX23" i="3"/>
  <c r="XX25" i="3" s="1"/>
  <c r="XW23" i="3"/>
  <c r="XW25" i="3" s="1"/>
  <c r="XV23" i="3"/>
  <c r="XV25" i="3" s="1"/>
  <c r="XU23" i="3"/>
  <c r="XU25" i="3" s="1"/>
  <c r="XT23" i="3"/>
  <c r="XT25" i="3" s="1"/>
  <c r="XS23" i="3"/>
  <c r="XS25" i="3" s="1"/>
  <c r="XR23" i="3"/>
  <c r="XR25" i="3" s="1"/>
  <c r="XQ23" i="3"/>
  <c r="XQ25" i="3" s="1"/>
  <c r="XP23" i="3"/>
  <c r="XP25" i="3" s="1"/>
  <c r="XO23" i="3"/>
  <c r="XO25" i="3" s="1"/>
  <c r="XN23" i="3"/>
  <c r="XN25" i="3" s="1"/>
  <c r="XM23" i="3"/>
  <c r="XM25" i="3" s="1"/>
  <c r="XL23" i="3"/>
  <c r="XL25" i="3" s="1"/>
  <c r="XK23" i="3"/>
  <c r="XK25" i="3" s="1"/>
  <c r="XJ23" i="3"/>
  <c r="XJ25" i="3" s="1"/>
  <c r="XI23" i="3"/>
  <c r="XI25" i="3" s="1"/>
  <c r="XG23" i="3"/>
  <c r="XG25" i="3" s="1"/>
  <c r="XF23" i="3"/>
  <c r="XF25" i="3" s="1"/>
  <c r="XE23" i="3"/>
  <c r="XE25" i="3" s="1"/>
  <c r="XD23" i="3"/>
  <c r="XD25" i="3" s="1"/>
  <c r="XC23" i="3"/>
  <c r="XC25" i="3" s="1"/>
  <c r="XB23" i="3"/>
  <c r="XB25" i="3" s="1"/>
  <c r="XA23" i="3"/>
  <c r="XA25" i="3" s="1"/>
  <c r="WZ23" i="3"/>
  <c r="WZ25" i="3" s="1"/>
  <c r="WY23" i="3"/>
  <c r="WY25" i="3" s="1"/>
  <c r="WX23" i="3"/>
  <c r="WX25" i="3" s="1"/>
  <c r="WW23" i="3"/>
  <c r="WW25" i="3" s="1"/>
  <c r="WV23" i="3"/>
  <c r="WV25" i="3" s="1"/>
  <c r="WU23" i="3"/>
  <c r="WU25" i="3" s="1"/>
  <c r="WT23" i="3"/>
  <c r="WT25" i="3" s="1"/>
  <c r="WS23" i="3"/>
  <c r="WS25" i="3" s="1"/>
  <c r="WR23" i="3"/>
  <c r="WR25" i="3" s="1"/>
  <c r="WQ23" i="3"/>
  <c r="WQ25" i="3" s="1"/>
  <c r="WP23" i="3"/>
  <c r="WP25" i="3" s="1"/>
  <c r="WO23" i="3"/>
  <c r="WO25" i="3" s="1"/>
  <c r="WN23" i="3"/>
  <c r="WN25" i="3" s="1"/>
  <c r="WM23" i="3"/>
  <c r="WM25" i="3" s="1"/>
  <c r="WL23" i="3"/>
  <c r="WL25" i="3" s="1"/>
  <c r="WK23" i="3"/>
  <c r="WK25" i="3" s="1"/>
  <c r="WJ23" i="3"/>
  <c r="WJ25" i="3" s="1"/>
  <c r="WI23" i="3"/>
  <c r="WI25" i="3" s="1"/>
  <c r="WH23" i="3"/>
  <c r="WH25" i="3" s="1"/>
  <c r="WG23" i="3"/>
  <c r="WG25" i="3" s="1"/>
  <c r="WF23" i="3"/>
  <c r="WF25" i="3" s="1"/>
  <c r="WE23" i="3"/>
  <c r="WE25" i="3" s="1"/>
  <c r="WD23" i="3"/>
  <c r="WD25" i="3" s="1"/>
  <c r="WC23" i="3"/>
  <c r="WC25" i="3" s="1"/>
  <c r="XH25" i="3" s="1"/>
  <c r="YM25" i="3" s="1"/>
  <c r="WA23" i="3"/>
  <c r="WA25" i="3" s="1"/>
  <c r="VZ23" i="3"/>
  <c r="VZ25" i="3" s="1"/>
  <c r="VY23" i="3"/>
  <c r="VY25" i="3" s="1"/>
  <c r="VX23" i="3"/>
  <c r="VX25" i="3" s="1"/>
  <c r="VW23" i="3"/>
  <c r="VW25" i="3" s="1"/>
  <c r="VV23" i="3"/>
  <c r="VV25" i="3" s="1"/>
  <c r="VU23" i="3"/>
  <c r="VU25" i="3" s="1"/>
  <c r="VT23" i="3"/>
  <c r="VT25" i="3" s="1"/>
  <c r="VS23" i="3"/>
  <c r="VS25" i="3" s="1"/>
  <c r="VR23" i="3"/>
  <c r="VR25" i="3" s="1"/>
  <c r="VQ23" i="3"/>
  <c r="VQ25" i="3" s="1"/>
  <c r="VP23" i="3"/>
  <c r="VP25" i="3" s="1"/>
  <c r="VO23" i="3"/>
  <c r="VO25" i="3" s="1"/>
  <c r="VN23" i="3"/>
  <c r="VN25" i="3" s="1"/>
  <c r="VM23" i="3"/>
  <c r="VM25" i="3" s="1"/>
  <c r="VL23" i="3"/>
  <c r="VL25" i="3" s="1"/>
  <c r="VK23" i="3"/>
  <c r="VK25" i="3" s="1"/>
  <c r="VJ23" i="3"/>
  <c r="VJ25" i="3" s="1"/>
  <c r="VI23" i="3"/>
  <c r="VI25" i="3" s="1"/>
  <c r="VH23" i="3"/>
  <c r="VH25" i="3" s="1"/>
  <c r="VG23" i="3"/>
  <c r="VG25" i="3" s="1"/>
  <c r="VF23" i="3"/>
  <c r="VF25" i="3" s="1"/>
  <c r="VE23" i="3"/>
  <c r="VE25" i="3" s="1"/>
  <c r="VD23" i="3"/>
  <c r="VD25" i="3" s="1"/>
  <c r="VC23" i="3"/>
  <c r="VC25" i="3" s="1"/>
  <c r="VB23" i="3"/>
  <c r="VB25" i="3" s="1"/>
  <c r="VA23" i="3"/>
  <c r="VA25" i="3" s="1"/>
  <c r="UZ23" i="3"/>
  <c r="UZ25" i="3" s="1"/>
  <c r="WB25" i="3" s="1"/>
  <c r="UX23" i="3"/>
  <c r="UX25" i="3" s="1"/>
  <c r="UW23" i="3"/>
  <c r="UW25" i="3" s="1"/>
  <c r="UV23" i="3"/>
  <c r="UV25" i="3" s="1"/>
  <c r="UU23" i="3"/>
  <c r="UU25" i="3" s="1"/>
  <c r="UT23" i="3"/>
  <c r="UT25" i="3" s="1"/>
  <c r="US23" i="3"/>
  <c r="US25" i="3" s="1"/>
  <c r="UR23" i="3"/>
  <c r="UR25" i="3" s="1"/>
  <c r="UQ23" i="3"/>
  <c r="UQ25" i="3" s="1"/>
  <c r="UP23" i="3"/>
  <c r="UP25" i="3" s="1"/>
  <c r="UO23" i="3"/>
  <c r="UO25" i="3" s="1"/>
  <c r="UN23" i="3"/>
  <c r="UN25" i="3" s="1"/>
  <c r="UM23" i="3"/>
  <c r="UM25" i="3" s="1"/>
  <c r="UL23" i="3"/>
  <c r="UL25" i="3" s="1"/>
  <c r="UK23" i="3"/>
  <c r="UK25" i="3" s="1"/>
  <c r="UJ23" i="3"/>
  <c r="UJ25" i="3" s="1"/>
  <c r="UI23" i="3"/>
  <c r="UI25" i="3" s="1"/>
  <c r="UH23" i="3"/>
  <c r="UH25" i="3" s="1"/>
  <c r="UG23" i="3"/>
  <c r="UG25" i="3" s="1"/>
  <c r="UF23" i="3"/>
  <c r="UF25" i="3" s="1"/>
  <c r="UE23" i="3"/>
  <c r="UE25" i="3" s="1"/>
  <c r="UD23" i="3"/>
  <c r="UD25" i="3" s="1"/>
  <c r="UC23" i="3"/>
  <c r="UC25" i="3" s="1"/>
  <c r="UB23" i="3"/>
  <c r="UB25" i="3" s="1"/>
  <c r="UA23" i="3"/>
  <c r="UA25" i="3" s="1"/>
  <c r="TZ23" i="3"/>
  <c r="TZ25" i="3" s="1"/>
  <c r="TY23" i="3"/>
  <c r="TY25" i="3" s="1"/>
  <c r="TX23" i="3"/>
  <c r="TX25" i="3" s="1"/>
  <c r="TW23" i="3"/>
  <c r="TW25" i="3" s="1"/>
  <c r="TV23" i="3"/>
  <c r="TV25" i="3" s="1"/>
  <c r="TU23" i="3"/>
  <c r="TU25" i="3" s="1"/>
  <c r="TT23" i="3"/>
  <c r="TT25" i="3" s="1"/>
  <c r="UY25" i="3" s="1"/>
  <c r="TR23" i="3"/>
  <c r="TR25" i="3" s="1"/>
  <c r="TQ23" i="3"/>
  <c r="TQ25" i="3" s="1"/>
  <c r="TP23" i="3"/>
  <c r="TP25" i="3" s="1"/>
  <c r="TO23" i="3"/>
  <c r="TO25" i="3" s="1"/>
  <c r="TN23" i="3"/>
  <c r="TN25" i="3" s="1"/>
  <c r="TM23" i="3"/>
  <c r="TM25" i="3" s="1"/>
  <c r="TL23" i="3"/>
  <c r="TL25" i="3" s="1"/>
  <c r="TK23" i="3"/>
  <c r="TK25" i="3" s="1"/>
  <c r="TJ23" i="3"/>
  <c r="TJ25" i="3" s="1"/>
  <c r="TI23" i="3"/>
  <c r="TI25" i="3" s="1"/>
  <c r="TH23" i="3"/>
  <c r="TH25" i="3" s="1"/>
  <c r="TG23" i="3"/>
  <c r="TG25" i="3" s="1"/>
  <c r="TF23" i="3"/>
  <c r="TF25" i="3" s="1"/>
  <c r="TE23" i="3"/>
  <c r="TE25" i="3" s="1"/>
  <c r="TD23" i="3"/>
  <c r="TD25" i="3" s="1"/>
  <c r="TC23" i="3"/>
  <c r="TC25" i="3" s="1"/>
  <c r="TB23" i="3"/>
  <c r="TB25" i="3" s="1"/>
  <c r="TA23" i="3"/>
  <c r="TA25" i="3" s="1"/>
  <c r="SZ23" i="3"/>
  <c r="SZ25" i="3" s="1"/>
  <c r="SY23" i="3"/>
  <c r="SY25" i="3" s="1"/>
  <c r="SX23" i="3"/>
  <c r="SX25" i="3" s="1"/>
  <c r="SW23" i="3"/>
  <c r="SW25" i="3" s="1"/>
  <c r="SV23" i="3"/>
  <c r="SV25" i="3" s="1"/>
  <c r="SU23" i="3"/>
  <c r="SU25" i="3" s="1"/>
  <c r="ST23" i="3"/>
  <c r="ST25" i="3" s="1"/>
  <c r="SS23" i="3"/>
  <c r="SS25" i="3" s="1"/>
  <c r="SR23" i="3"/>
  <c r="SR25" i="3" s="1"/>
  <c r="SQ23" i="3"/>
  <c r="SQ25" i="3" s="1"/>
  <c r="SP23" i="3"/>
  <c r="SP25" i="3" s="1"/>
  <c r="SO23" i="3"/>
  <c r="SO25" i="3" s="1"/>
  <c r="TS25" i="3" s="1"/>
  <c r="SN23" i="3"/>
  <c r="SN25" i="3" s="1"/>
  <c r="SL23" i="3"/>
  <c r="SL25" i="3" s="1"/>
  <c r="SK23" i="3"/>
  <c r="SK25" i="3" s="1"/>
  <c r="SJ23" i="3"/>
  <c r="SJ25" i="3" s="1"/>
  <c r="SI23" i="3"/>
  <c r="SI25" i="3" s="1"/>
  <c r="SH23" i="3"/>
  <c r="SH25" i="3" s="1"/>
  <c r="SG23" i="3"/>
  <c r="SG25" i="3" s="1"/>
  <c r="SF23" i="3"/>
  <c r="SF25" i="3" s="1"/>
  <c r="SE23" i="3"/>
  <c r="SE25" i="3" s="1"/>
  <c r="SD23" i="3"/>
  <c r="SD25" i="3" s="1"/>
  <c r="SC23" i="3"/>
  <c r="SC25" i="3" s="1"/>
  <c r="SB23" i="3"/>
  <c r="SB25" i="3" s="1"/>
  <c r="SA23" i="3"/>
  <c r="SA25" i="3" s="1"/>
  <c r="RZ23" i="3"/>
  <c r="RZ25" i="3" s="1"/>
  <c r="RY23" i="3"/>
  <c r="RY25" i="3" s="1"/>
  <c r="RX23" i="3"/>
  <c r="RX25" i="3" s="1"/>
  <c r="RW23" i="3"/>
  <c r="RW25" i="3" s="1"/>
  <c r="RV23" i="3"/>
  <c r="RV25" i="3" s="1"/>
  <c r="RU23" i="3"/>
  <c r="RU25" i="3" s="1"/>
  <c r="RT23" i="3"/>
  <c r="RT25" i="3" s="1"/>
  <c r="RS23" i="3"/>
  <c r="RS25" i="3" s="1"/>
  <c r="RR23" i="3"/>
  <c r="RR25" i="3" s="1"/>
  <c r="RQ23" i="3"/>
  <c r="RQ25" i="3" s="1"/>
  <c r="RP23" i="3"/>
  <c r="RP25" i="3" s="1"/>
  <c r="RO23" i="3"/>
  <c r="RO25" i="3" s="1"/>
  <c r="RN23" i="3"/>
  <c r="RN25" i="3" s="1"/>
  <c r="RM23" i="3"/>
  <c r="RM25" i="3" s="1"/>
  <c r="RL23" i="3"/>
  <c r="RL25" i="3" s="1"/>
  <c r="RK23" i="3"/>
  <c r="RK25" i="3" s="1"/>
  <c r="RJ23" i="3"/>
  <c r="RJ25" i="3" s="1"/>
  <c r="RI23" i="3"/>
  <c r="RI25" i="3" s="1"/>
  <c r="SM25" i="3" s="1"/>
  <c r="RG23" i="3"/>
  <c r="RG25" i="3" s="1"/>
  <c r="RF23" i="3"/>
  <c r="RF25" i="3" s="1"/>
  <c r="RE23" i="3"/>
  <c r="RE25" i="3" s="1"/>
  <c r="RD23" i="3"/>
  <c r="RD25" i="3" s="1"/>
  <c r="RC23" i="3"/>
  <c r="RC25" i="3" s="1"/>
  <c r="RB23" i="3"/>
  <c r="RB25" i="3" s="1"/>
  <c r="RA23" i="3"/>
  <c r="RA25" i="3" s="1"/>
  <c r="QZ23" i="3"/>
  <c r="QZ25" i="3" s="1"/>
  <c r="QY23" i="3"/>
  <c r="QY25" i="3" s="1"/>
  <c r="QX23" i="3"/>
  <c r="QX25" i="3" s="1"/>
  <c r="QW23" i="3"/>
  <c r="QW25" i="3" s="1"/>
  <c r="QV23" i="3"/>
  <c r="QV25" i="3" s="1"/>
  <c r="QU23" i="3"/>
  <c r="QU25" i="3" s="1"/>
  <c r="QT23" i="3"/>
  <c r="QT25" i="3" s="1"/>
  <c r="QS23" i="3"/>
  <c r="QS25" i="3" s="1"/>
  <c r="QR23" i="3"/>
  <c r="QR25" i="3" s="1"/>
  <c r="QQ23" i="3"/>
  <c r="QQ25" i="3" s="1"/>
  <c r="QP23" i="3"/>
  <c r="QP25" i="3" s="1"/>
  <c r="QO23" i="3"/>
  <c r="QO25" i="3" s="1"/>
  <c r="QN23" i="3"/>
  <c r="QN25" i="3" s="1"/>
  <c r="QM23" i="3"/>
  <c r="QM25" i="3" s="1"/>
  <c r="QL23" i="3"/>
  <c r="QL25" i="3" s="1"/>
  <c r="QK23" i="3"/>
  <c r="QK25" i="3" s="1"/>
  <c r="QJ23" i="3"/>
  <c r="QJ25" i="3" s="1"/>
  <c r="QI23" i="3"/>
  <c r="QI25" i="3" s="1"/>
  <c r="QH23" i="3"/>
  <c r="QH25" i="3" s="1"/>
  <c r="QG23" i="3"/>
  <c r="QG25" i="3" s="1"/>
  <c r="QF23" i="3"/>
  <c r="QF25" i="3" s="1"/>
  <c r="QE23" i="3"/>
  <c r="QE25" i="3" s="1"/>
  <c r="QD23" i="3"/>
  <c r="QD25" i="3" s="1"/>
  <c r="RH25" i="3" s="1"/>
  <c r="QC23" i="3"/>
  <c r="QC25" i="3" s="1"/>
  <c r="QA23" i="3"/>
  <c r="QA25" i="3" s="1"/>
  <c r="PZ23" i="3"/>
  <c r="PZ25" i="3" s="1"/>
  <c r="PY23" i="3"/>
  <c r="PY25" i="3" s="1"/>
  <c r="PX23" i="3"/>
  <c r="PX25" i="3" s="1"/>
  <c r="PW23" i="3"/>
  <c r="PW25" i="3" s="1"/>
  <c r="PV23" i="3"/>
  <c r="PV25" i="3" s="1"/>
  <c r="PU23" i="3"/>
  <c r="PU25" i="3" s="1"/>
  <c r="PT23" i="3"/>
  <c r="PT25" i="3" s="1"/>
  <c r="PS23" i="3"/>
  <c r="PS25" i="3" s="1"/>
  <c r="PR23" i="3"/>
  <c r="PR25" i="3" s="1"/>
  <c r="PQ23" i="3"/>
  <c r="PQ25" i="3" s="1"/>
  <c r="PP23" i="3"/>
  <c r="PP25" i="3" s="1"/>
  <c r="PO23" i="3"/>
  <c r="PO25" i="3" s="1"/>
  <c r="PN23" i="3"/>
  <c r="PN25" i="3" s="1"/>
  <c r="PM23" i="3"/>
  <c r="PM25" i="3" s="1"/>
  <c r="PL23" i="3"/>
  <c r="PL25" i="3" s="1"/>
  <c r="PK23" i="3"/>
  <c r="PK25" i="3" s="1"/>
  <c r="PJ23" i="3"/>
  <c r="PJ25" i="3" s="1"/>
  <c r="PI23" i="3"/>
  <c r="PI25" i="3" s="1"/>
  <c r="PH23" i="3"/>
  <c r="PH25" i="3" s="1"/>
  <c r="PG23" i="3"/>
  <c r="PG25" i="3" s="1"/>
  <c r="PF23" i="3"/>
  <c r="PF25" i="3" s="1"/>
  <c r="PE23" i="3"/>
  <c r="PE25" i="3" s="1"/>
  <c r="PD23" i="3"/>
  <c r="PD25" i="3" s="1"/>
  <c r="PC23" i="3"/>
  <c r="PC25" i="3" s="1"/>
  <c r="PB23" i="3"/>
  <c r="PB25" i="3" s="1"/>
  <c r="PA23" i="3"/>
  <c r="PA25" i="3" s="1"/>
  <c r="OZ23" i="3"/>
  <c r="OZ25" i="3" s="1"/>
  <c r="OY23" i="3"/>
  <c r="OY25" i="3" s="1"/>
  <c r="OX23" i="3"/>
  <c r="OX25" i="3" s="1"/>
  <c r="QB25" i="3" s="1"/>
  <c r="OV23" i="3"/>
  <c r="OV25" i="3" s="1"/>
  <c r="OU23" i="3"/>
  <c r="OU25" i="3" s="1"/>
  <c r="OT23" i="3"/>
  <c r="OT25" i="3" s="1"/>
  <c r="OS23" i="3"/>
  <c r="OS25" i="3" s="1"/>
  <c r="OR23" i="3"/>
  <c r="OR25" i="3" s="1"/>
  <c r="OQ23" i="3"/>
  <c r="OQ25" i="3" s="1"/>
  <c r="OP23" i="3"/>
  <c r="OP25" i="3" s="1"/>
  <c r="OO23" i="3"/>
  <c r="OO25" i="3" s="1"/>
  <c r="ON23" i="3"/>
  <c r="ON25" i="3" s="1"/>
  <c r="OM23" i="3"/>
  <c r="OM25" i="3" s="1"/>
  <c r="OL23" i="3"/>
  <c r="OL25" i="3" s="1"/>
  <c r="OK23" i="3"/>
  <c r="OK25" i="3" s="1"/>
  <c r="OJ23" i="3"/>
  <c r="OJ25" i="3" s="1"/>
  <c r="OI23" i="3"/>
  <c r="OI25" i="3" s="1"/>
  <c r="OH23" i="3"/>
  <c r="OH25" i="3" s="1"/>
  <c r="OG23" i="3"/>
  <c r="OG25" i="3" s="1"/>
  <c r="OF23" i="3"/>
  <c r="OF25" i="3" s="1"/>
  <c r="OE23" i="3"/>
  <c r="OE25" i="3" s="1"/>
  <c r="OD23" i="3"/>
  <c r="OD25" i="3" s="1"/>
  <c r="OC23" i="3"/>
  <c r="OC25" i="3" s="1"/>
  <c r="OB23" i="3"/>
  <c r="OB25" i="3" s="1"/>
  <c r="OA23" i="3"/>
  <c r="OA25" i="3" s="1"/>
  <c r="NZ23" i="3"/>
  <c r="NZ25" i="3" s="1"/>
  <c r="NY23" i="3"/>
  <c r="NY25" i="3" s="1"/>
  <c r="NX23" i="3"/>
  <c r="NX25" i="3" s="1"/>
  <c r="NW23" i="3"/>
  <c r="NW25" i="3" s="1"/>
  <c r="NV23" i="3"/>
  <c r="NV25" i="3" s="1"/>
  <c r="NU23" i="3"/>
  <c r="NU25" i="3" s="1"/>
  <c r="NT23" i="3"/>
  <c r="NT25" i="3" s="1"/>
  <c r="NS23" i="3"/>
  <c r="NS25" i="3" s="1"/>
  <c r="NR23" i="3"/>
  <c r="NR25" i="3" s="1"/>
  <c r="OW25" i="3" s="1"/>
  <c r="NP23" i="3"/>
  <c r="NP25" i="3" s="1"/>
  <c r="NO23" i="3"/>
  <c r="NO25" i="3" s="1"/>
  <c r="NN23" i="3"/>
  <c r="NN25" i="3" s="1"/>
  <c r="NM23" i="3"/>
  <c r="NM25" i="3" s="1"/>
  <c r="NL23" i="3"/>
  <c r="NL25" i="3" s="1"/>
  <c r="NK23" i="3"/>
  <c r="NK25" i="3" s="1"/>
  <c r="NJ23" i="3"/>
  <c r="NJ25" i="3" s="1"/>
  <c r="NI23" i="3"/>
  <c r="NI25" i="3" s="1"/>
  <c r="NH23" i="3"/>
  <c r="NH25" i="3" s="1"/>
  <c r="NG23" i="3"/>
  <c r="NG25" i="3" s="1"/>
  <c r="NF23" i="3"/>
  <c r="NF25" i="3" s="1"/>
  <c r="NE23" i="3"/>
  <c r="NE25" i="3" s="1"/>
  <c r="ND23" i="3"/>
  <c r="ND25" i="3" s="1"/>
  <c r="NC23" i="3"/>
  <c r="NC25" i="3" s="1"/>
  <c r="NB23" i="3"/>
  <c r="NB25" i="3" s="1"/>
  <c r="NA23" i="3"/>
  <c r="NA25" i="3" s="1"/>
  <c r="MZ23" i="3"/>
  <c r="MZ25" i="3" s="1"/>
  <c r="MY23" i="3"/>
  <c r="MY25" i="3" s="1"/>
  <c r="MX23" i="3"/>
  <c r="MX25" i="3" s="1"/>
  <c r="MW23" i="3"/>
  <c r="MW25" i="3" s="1"/>
  <c r="MV23" i="3"/>
  <c r="MV25" i="3" s="1"/>
  <c r="MU23" i="3"/>
  <c r="MU25" i="3" s="1"/>
  <c r="MT23" i="3"/>
  <c r="MT25" i="3" s="1"/>
  <c r="MS23" i="3"/>
  <c r="MS25" i="3" s="1"/>
  <c r="MR23" i="3"/>
  <c r="MR25" i="3" s="1"/>
  <c r="MQ23" i="3"/>
  <c r="MQ25" i="3" s="1"/>
  <c r="MP23" i="3"/>
  <c r="MP25" i="3" s="1"/>
  <c r="MO23" i="3"/>
  <c r="MO25" i="3" s="1"/>
  <c r="MN23" i="3"/>
  <c r="MN25" i="3" s="1"/>
  <c r="MM23" i="3"/>
  <c r="MM25" i="3" s="1"/>
  <c r="ML23" i="3"/>
  <c r="ML25" i="3" s="1"/>
  <c r="NQ25" i="3" s="1"/>
  <c r="MJ23" i="3"/>
  <c r="MJ25" i="3" s="1"/>
  <c r="MI23" i="3"/>
  <c r="MI25" i="3" s="1"/>
  <c r="MH23" i="3"/>
  <c r="MH25" i="3" s="1"/>
  <c r="MG23" i="3"/>
  <c r="MG25" i="3" s="1"/>
  <c r="MF23" i="3"/>
  <c r="MF25" i="3" s="1"/>
  <c r="ME23" i="3"/>
  <c r="ME25" i="3" s="1"/>
  <c r="MD23" i="3"/>
  <c r="MD25" i="3" s="1"/>
  <c r="MC23" i="3"/>
  <c r="MC25" i="3" s="1"/>
  <c r="MB23" i="3"/>
  <c r="MB25" i="3" s="1"/>
  <c r="MA23" i="3"/>
  <c r="MA25" i="3" s="1"/>
  <c r="LZ23" i="3"/>
  <c r="LZ25" i="3" s="1"/>
  <c r="LY23" i="3"/>
  <c r="LY25" i="3" s="1"/>
  <c r="LX23" i="3"/>
  <c r="LX25" i="3" s="1"/>
  <c r="LW23" i="3"/>
  <c r="LW25" i="3" s="1"/>
  <c r="LV23" i="3"/>
  <c r="LV25" i="3" s="1"/>
  <c r="LU23" i="3"/>
  <c r="LU25" i="3" s="1"/>
  <c r="LT23" i="3"/>
  <c r="LT25" i="3" s="1"/>
  <c r="LS23" i="3"/>
  <c r="LS25" i="3" s="1"/>
  <c r="LR23" i="3"/>
  <c r="LR25" i="3" s="1"/>
  <c r="LQ23" i="3"/>
  <c r="LQ25" i="3" s="1"/>
  <c r="LP23" i="3"/>
  <c r="LP25" i="3" s="1"/>
  <c r="LO23" i="3"/>
  <c r="LO25" i="3" s="1"/>
  <c r="LN23" i="3"/>
  <c r="LN25" i="3" s="1"/>
  <c r="LM23" i="3"/>
  <c r="LM25" i="3" s="1"/>
  <c r="LL23" i="3"/>
  <c r="LL25" i="3" s="1"/>
  <c r="LK23" i="3"/>
  <c r="LK25" i="3" s="1"/>
  <c r="LJ23" i="3"/>
  <c r="LJ25" i="3" s="1"/>
  <c r="LI23" i="3"/>
  <c r="LI25" i="3" s="1"/>
  <c r="LH23" i="3"/>
  <c r="LH25" i="3" s="1"/>
  <c r="LG23" i="3"/>
  <c r="LG25" i="3" s="1"/>
  <c r="LE23" i="3"/>
  <c r="LE25" i="3" s="1"/>
  <c r="LD23" i="3"/>
  <c r="LD25" i="3" s="1"/>
  <c r="LC23" i="3"/>
  <c r="LC25" i="3" s="1"/>
  <c r="LB23" i="3"/>
  <c r="LB25" i="3" s="1"/>
  <c r="LA23" i="3"/>
  <c r="LA25" i="3" s="1"/>
  <c r="KZ23" i="3"/>
  <c r="KZ25" i="3" s="1"/>
  <c r="KY23" i="3"/>
  <c r="KY25" i="3" s="1"/>
  <c r="KX23" i="3"/>
  <c r="KX25" i="3" s="1"/>
  <c r="KW23" i="3"/>
  <c r="KW25" i="3" s="1"/>
  <c r="KV23" i="3"/>
  <c r="KV25" i="3" s="1"/>
  <c r="KU23" i="3"/>
  <c r="KU25" i="3" s="1"/>
  <c r="KT23" i="3"/>
  <c r="KT25" i="3" s="1"/>
  <c r="KS23" i="3"/>
  <c r="KS25" i="3" s="1"/>
  <c r="KR23" i="3"/>
  <c r="KR25" i="3" s="1"/>
  <c r="KQ23" i="3"/>
  <c r="KQ25" i="3" s="1"/>
  <c r="KP23" i="3"/>
  <c r="KP25" i="3" s="1"/>
  <c r="KO23" i="3"/>
  <c r="KO25" i="3" s="1"/>
  <c r="KN23" i="3"/>
  <c r="KN25" i="3" s="1"/>
  <c r="KM23" i="3"/>
  <c r="KM25" i="3" s="1"/>
  <c r="KL23" i="3"/>
  <c r="KL25" i="3" s="1"/>
  <c r="KK23" i="3"/>
  <c r="KK25" i="3" s="1"/>
  <c r="KJ23" i="3"/>
  <c r="KJ25" i="3" s="1"/>
  <c r="KI23" i="3"/>
  <c r="KI25" i="3" s="1"/>
  <c r="KH23" i="3"/>
  <c r="KH25" i="3" s="1"/>
  <c r="KG23" i="3"/>
  <c r="KG25" i="3" s="1"/>
  <c r="KF23" i="3"/>
  <c r="KF25" i="3" s="1"/>
  <c r="KE23" i="3"/>
  <c r="KE25" i="3" s="1"/>
  <c r="KD23" i="3"/>
  <c r="KD25" i="3" s="1"/>
  <c r="KC23" i="3"/>
  <c r="KC25" i="3" s="1"/>
  <c r="KB23" i="3"/>
  <c r="KB25" i="3" s="1"/>
  <c r="KA23" i="3"/>
  <c r="KA25" i="3" s="1"/>
  <c r="LF25" i="3" s="1"/>
  <c r="MK25" i="3" s="1"/>
  <c r="JY23" i="3"/>
  <c r="JY25" i="3" s="1"/>
  <c r="JX23" i="3"/>
  <c r="JX25" i="3" s="1"/>
  <c r="JW23" i="3"/>
  <c r="JW25" i="3" s="1"/>
  <c r="JV23" i="3"/>
  <c r="JV25" i="3" s="1"/>
  <c r="JU23" i="3"/>
  <c r="JU25" i="3" s="1"/>
  <c r="JT23" i="3"/>
  <c r="JT25" i="3" s="1"/>
  <c r="JS23" i="3"/>
  <c r="JS25" i="3" s="1"/>
  <c r="JR23" i="3"/>
  <c r="JR25" i="3" s="1"/>
  <c r="JQ23" i="3"/>
  <c r="JQ25" i="3" s="1"/>
  <c r="JP23" i="3"/>
  <c r="JP25" i="3" s="1"/>
  <c r="JO23" i="3"/>
  <c r="JO25" i="3" s="1"/>
  <c r="JN23" i="3"/>
  <c r="JN25" i="3" s="1"/>
  <c r="JM23" i="3"/>
  <c r="JM25" i="3" s="1"/>
  <c r="JL23" i="3"/>
  <c r="JL25" i="3" s="1"/>
  <c r="JK23" i="3"/>
  <c r="JK25" i="3" s="1"/>
  <c r="JJ23" i="3"/>
  <c r="JJ25" i="3" s="1"/>
  <c r="JI23" i="3"/>
  <c r="JI25" i="3" s="1"/>
  <c r="JH23" i="3"/>
  <c r="JH25" i="3" s="1"/>
  <c r="JG23" i="3"/>
  <c r="JG25" i="3" s="1"/>
  <c r="JF23" i="3"/>
  <c r="JF25" i="3" s="1"/>
  <c r="JE23" i="3"/>
  <c r="JE25" i="3" s="1"/>
  <c r="JD23" i="3"/>
  <c r="JD25" i="3" s="1"/>
  <c r="JC23" i="3"/>
  <c r="JC25" i="3" s="1"/>
  <c r="JB23" i="3"/>
  <c r="JB25" i="3" s="1"/>
  <c r="JA23" i="3"/>
  <c r="JA25" i="3" s="1"/>
  <c r="IZ23" i="3"/>
  <c r="IZ25" i="3" s="1"/>
  <c r="IY23" i="3"/>
  <c r="IY25" i="3" s="1"/>
  <c r="IX23" i="3"/>
  <c r="IX25" i="3" s="1"/>
  <c r="IW23" i="3"/>
  <c r="IW25" i="3" s="1"/>
  <c r="IV23" i="3"/>
  <c r="IV25" i="3" s="1"/>
  <c r="JZ25" i="3" s="1"/>
  <c r="IT23" i="3"/>
  <c r="IT25" i="3" s="1"/>
  <c r="IS23" i="3"/>
  <c r="IS25" i="3" s="1"/>
  <c r="IR23" i="3"/>
  <c r="IR25" i="3" s="1"/>
  <c r="IQ23" i="3"/>
  <c r="IQ25" i="3" s="1"/>
  <c r="IP23" i="3"/>
  <c r="IP25" i="3" s="1"/>
  <c r="IO23" i="3"/>
  <c r="IO25" i="3" s="1"/>
  <c r="IN23" i="3"/>
  <c r="IN25" i="3" s="1"/>
  <c r="IM23" i="3"/>
  <c r="IM25" i="3" s="1"/>
  <c r="IL23" i="3"/>
  <c r="IL25" i="3" s="1"/>
  <c r="IK23" i="3"/>
  <c r="IK25" i="3" s="1"/>
  <c r="IJ23" i="3"/>
  <c r="IJ25" i="3" s="1"/>
  <c r="II23" i="3"/>
  <c r="II25" i="3" s="1"/>
  <c r="IH23" i="3"/>
  <c r="IH25" i="3" s="1"/>
  <c r="IG23" i="3"/>
  <c r="IG25" i="3" s="1"/>
  <c r="IF23" i="3"/>
  <c r="IF25" i="3" s="1"/>
  <c r="IE23" i="3"/>
  <c r="IE25" i="3" s="1"/>
  <c r="ID23" i="3"/>
  <c r="ID25" i="3" s="1"/>
  <c r="IC23" i="3"/>
  <c r="IC25" i="3" s="1"/>
  <c r="IB23" i="3"/>
  <c r="IB25" i="3" s="1"/>
  <c r="IA23" i="3"/>
  <c r="IA25" i="3" s="1"/>
  <c r="HZ23" i="3"/>
  <c r="HZ25" i="3" s="1"/>
  <c r="HY23" i="3"/>
  <c r="HY25" i="3" s="1"/>
  <c r="HX23" i="3"/>
  <c r="HX25" i="3" s="1"/>
  <c r="HW23" i="3"/>
  <c r="HW25" i="3" s="1"/>
  <c r="HV23" i="3"/>
  <c r="HV25" i="3" s="1"/>
  <c r="HU23" i="3"/>
  <c r="HU25" i="3" s="1"/>
  <c r="HT23" i="3"/>
  <c r="HT25" i="3" s="1"/>
  <c r="HS23" i="3"/>
  <c r="HS25" i="3" s="1"/>
  <c r="HR23" i="3"/>
  <c r="HR25" i="3" s="1"/>
  <c r="HQ23" i="3"/>
  <c r="HQ25" i="3" s="1"/>
  <c r="HP23" i="3"/>
  <c r="HN23" i="3"/>
  <c r="HN25" i="3" s="1"/>
  <c r="HM23" i="3"/>
  <c r="HM25" i="3" s="1"/>
  <c r="HL23" i="3"/>
  <c r="HL25" i="3" s="1"/>
  <c r="HK23" i="3"/>
  <c r="HK25" i="3" s="1"/>
  <c r="HJ23" i="3"/>
  <c r="HJ25" i="3" s="1"/>
  <c r="HI23" i="3"/>
  <c r="HI25" i="3" s="1"/>
  <c r="HH23" i="3"/>
  <c r="HH25" i="3" s="1"/>
  <c r="HG23" i="3"/>
  <c r="HG25" i="3" s="1"/>
  <c r="HF23" i="3"/>
  <c r="HF25" i="3" s="1"/>
  <c r="HE23" i="3"/>
  <c r="HE25" i="3" s="1"/>
  <c r="HD23" i="3"/>
  <c r="HD25" i="3" s="1"/>
  <c r="HC23" i="3"/>
  <c r="HC25" i="3" s="1"/>
  <c r="HB23" i="3"/>
  <c r="HB25" i="3" s="1"/>
  <c r="HA23" i="3"/>
  <c r="HA25" i="3" s="1"/>
  <c r="GZ23" i="3"/>
  <c r="GZ25" i="3" s="1"/>
  <c r="GY23" i="3"/>
  <c r="GY25" i="3" s="1"/>
  <c r="GX23" i="3"/>
  <c r="GX25" i="3" s="1"/>
  <c r="GW23" i="3"/>
  <c r="GW25" i="3" s="1"/>
  <c r="GV23" i="3"/>
  <c r="GV25" i="3" s="1"/>
  <c r="GU23" i="3"/>
  <c r="GU25" i="3" s="1"/>
  <c r="GT23" i="3"/>
  <c r="GT25" i="3" s="1"/>
  <c r="GS23" i="3"/>
  <c r="GS25" i="3" s="1"/>
  <c r="GR23" i="3"/>
  <c r="GR25" i="3" s="1"/>
  <c r="GQ23" i="3"/>
  <c r="GQ25" i="3" s="1"/>
  <c r="GP23" i="3"/>
  <c r="GP25" i="3" s="1"/>
  <c r="GO23" i="3"/>
  <c r="GO25" i="3" s="1"/>
  <c r="GN23" i="3"/>
  <c r="GN25" i="3" s="1"/>
  <c r="GM23" i="3"/>
  <c r="GM25" i="3" s="1"/>
  <c r="GL23" i="3"/>
  <c r="GJ23" i="3"/>
  <c r="GJ25" i="3" s="1"/>
  <c r="GI23" i="3"/>
  <c r="GI25" i="3" s="1"/>
  <c r="GH23" i="3"/>
  <c r="GH25" i="3" s="1"/>
  <c r="GG23" i="3"/>
  <c r="GG25" i="3" s="1"/>
  <c r="GF23" i="3"/>
  <c r="GF25" i="3" s="1"/>
  <c r="GE23" i="3"/>
  <c r="GE25" i="3" s="1"/>
  <c r="GD23" i="3"/>
  <c r="GD25" i="3" s="1"/>
  <c r="GC23" i="3"/>
  <c r="GC25" i="3" s="1"/>
  <c r="GB23" i="3"/>
  <c r="GB25" i="3" s="1"/>
  <c r="GA23" i="3"/>
  <c r="GA25" i="3" s="1"/>
  <c r="FZ23" i="3"/>
  <c r="FZ25" i="3" s="1"/>
  <c r="FY23" i="3"/>
  <c r="FY25" i="3" s="1"/>
  <c r="FX23" i="3"/>
  <c r="FX25" i="3" s="1"/>
  <c r="FW23" i="3"/>
  <c r="FW25" i="3" s="1"/>
  <c r="FV23" i="3"/>
  <c r="FV25" i="3" s="1"/>
  <c r="FU23" i="3"/>
  <c r="FU25" i="3" s="1"/>
  <c r="FT23" i="3"/>
  <c r="FT25" i="3" s="1"/>
  <c r="FS23" i="3"/>
  <c r="FS25" i="3" s="1"/>
  <c r="FR23" i="3"/>
  <c r="FR25" i="3" s="1"/>
  <c r="FQ23" i="3"/>
  <c r="FQ25" i="3" s="1"/>
  <c r="FP23" i="3"/>
  <c r="FP25" i="3" s="1"/>
  <c r="FO23" i="3"/>
  <c r="FO25" i="3" s="1"/>
  <c r="FN23" i="3"/>
  <c r="FN25" i="3" s="1"/>
  <c r="FM23" i="3"/>
  <c r="FM25" i="3" s="1"/>
  <c r="FL23" i="3"/>
  <c r="FL25" i="3" s="1"/>
  <c r="FK23" i="3"/>
  <c r="FK25" i="3" s="1"/>
  <c r="FJ23" i="3"/>
  <c r="FJ25" i="3" s="1"/>
  <c r="FI23" i="3"/>
  <c r="FI25" i="3" s="1"/>
  <c r="FH23" i="3"/>
  <c r="FH25" i="3" s="1"/>
  <c r="FG23" i="3"/>
  <c r="FG25" i="3" s="1"/>
  <c r="FF23" i="3"/>
  <c r="FD23" i="3"/>
  <c r="FD25" i="3" s="1"/>
  <c r="FC23" i="3"/>
  <c r="FC25" i="3" s="1"/>
  <c r="FB23" i="3"/>
  <c r="FB25" i="3" s="1"/>
  <c r="FA23" i="3"/>
  <c r="FA25" i="3" s="1"/>
  <c r="EZ23" i="3"/>
  <c r="EZ25" i="3" s="1"/>
  <c r="EY23" i="3"/>
  <c r="EY25" i="3" s="1"/>
  <c r="EX23" i="3"/>
  <c r="EX25" i="3" s="1"/>
  <c r="EW23" i="3"/>
  <c r="EW25" i="3" s="1"/>
  <c r="EV23" i="3"/>
  <c r="EV25" i="3" s="1"/>
  <c r="EU23" i="3"/>
  <c r="EU25" i="3" s="1"/>
  <c r="ET23" i="3"/>
  <c r="ET25" i="3" s="1"/>
  <c r="ES23" i="3"/>
  <c r="ES25" i="3" s="1"/>
  <c r="ER23" i="3"/>
  <c r="ER25" i="3" s="1"/>
  <c r="EQ23" i="3"/>
  <c r="EQ25" i="3" s="1"/>
  <c r="EP23" i="3"/>
  <c r="EP25" i="3" s="1"/>
  <c r="EO23" i="3"/>
  <c r="EO25" i="3" s="1"/>
  <c r="EN23" i="3"/>
  <c r="EN25" i="3" s="1"/>
  <c r="EM23" i="3"/>
  <c r="EM25" i="3" s="1"/>
  <c r="EL23" i="3"/>
  <c r="EL25" i="3" s="1"/>
  <c r="EK23" i="3"/>
  <c r="EK25" i="3" s="1"/>
  <c r="EJ23" i="3"/>
  <c r="EJ25" i="3" s="1"/>
  <c r="EI23" i="3"/>
  <c r="EI25" i="3" s="1"/>
  <c r="EH23" i="3"/>
  <c r="EH25" i="3" s="1"/>
  <c r="EG23" i="3"/>
  <c r="EG25" i="3" s="1"/>
  <c r="EF23" i="3"/>
  <c r="EF25" i="3" s="1"/>
  <c r="EE23" i="3"/>
  <c r="EE25" i="3" s="1"/>
  <c r="ED23" i="3"/>
  <c r="ED25" i="3" s="1"/>
  <c r="EC23" i="3"/>
  <c r="EC25" i="3" s="1"/>
  <c r="EB23" i="3"/>
  <c r="EB25" i="3" s="1"/>
  <c r="EA23" i="3"/>
  <c r="EA25" i="3" s="1"/>
  <c r="DZ23" i="3"/>
  <c r="DZ25" i="3" s="1"/>
  <c r="FE25" i="3" s="1"/>
  <c r="DX23" i="3"/>
  <c r="DX25" i="3" s="1"/>
  <c r="DW23" i="3"/>
  <c r="DW25" i="3" s="1"/>
  <c r="DV23" i="3"/>
  <c r="DV25" i="3" s="1"/>
  <c r="DU23" i="3"/>
  <c r="DU25" i="3" s="1"/>
  <c r="DT23" i="3"/>
  <c r="DT25" i="3" s="1"/>
  <c r="DS23" i="3"/>
  <c r="DS25" i="3" s="1"/>
  <c r="DR23" i="3"/>
  <c r="DR25" i="3" s="1"/>
  <c r="DQ23" i="3"/>
  <c r="DQ25" i="3" s="1"/>
  <c r="DP23" i="3"/>
  <c r="DP25" i="3" s="1"/>
  <c r="DO23" i="3"/>
  <c r="DO25" i="3" s="1"/>
  <c r="DN23" i="3"/>
  <c r="DN25" i="3" s="1"/>
  <c r="DM23" i="3"/>
  <c r="DM25" i="3" s="1"/>
  <c r="DL23" i="3"/>
  <c r="DL25" i="3" s="1"/>
  <c r="DK23" i="3"/>
  <c r="DK25" i="3" s="1"/>
  <c r="DJ23" i="3"/>
  <c r="DJ25" i="3" s="1"/>
  <c r="DI23" i="3"/>
  <c r="DI25" i="3" s="1"/>
  <c r="DH23" i="3"/>
  <c r="DH25" i="3" s="1"/>
  <c r="DG23" i="3"/>
  <c r="DG25" i="3" s="1"/>
  <c r="DF23" i="3"/>
  <c r="DF25" i="3" s="1"/>
  <c r="DE23" i="3"/>
  <c r="DE25" i="3" s="1"/>
  <c r="DD23" i="3"/>
  <c r="DD25" i="3" s="1"/>
  <c r="DC23" i="3"/>
  <c r="DC25" i="3" s="1"/>
  <c r="DB23" i="3"/>
  <c r="DB25" i="3" s="1"/>
  <c r="DA23" i="3"/>
  <c r="DA25" i="3" s="1"/>
  <c r="CZ23" i="3"/>
  <c r="CZ25" i="3" s="1"/>
  <c r="CY23" i="3"/>
  <c r="CY25" i="3" s="1"/>
  <c r="CX23" i="3"/>
  <c r="CX25" i="3" s="1"/>
  <c r="CW23" i="3"/>
  <c r="CW25" i="3" s="1"/>
  <c r="CV23" i="3"/>
  <c r="CV25" i="3" s="1"/>
  <c r="CU23" i="3"/>
  <c r="CU25" i="3" s="1"/>
  <c r="DY25" i="3" s="1"/>
  <c r="CS23" i="3"/>
  <c r="CS25" i="3" s="1"/>
  <c r="CR23" i="3"/>
  <c r="CR25" i="3" s="1"/>
  <c r="CQ23" i="3"/>
  <c r="CQ25" i="3" s="1"/>
  <c r="CP23" i="3"/>
  <c r="CP25" i="3" s="1"/>
  <c r="CO23" i="3"/>
  <c r="CO25" i="3" s="1"/>
  <c r="CN23" i="3"/>
  <c r="CN25" i="3" s="1"/>
  <c r="CM23" i="3"/>
  <c r="CM25" i="3" s="1"/>
  <c r="CL23" i="3"/>
  <c r="CL25" i="3" s="1"/>
  <c r="CK23" i="3"/>
  <c r="CK25" i="3" s="1"/>
  <c r="CJ23" i="3"/>
  <c r="CJ25" i="3" s="1"/>
  <c r="CI23" i="3"/>
  <c r="CI25" i="3" s="1"/>
  <c r="CH23" i="3"/>
  <c r="CH25" i="3" s="1"/>
  <c r="CG23" i="3"/>
  <c r="CG25" i="3" s="1"/>
  <c r="CF23" i="3"/>
  <c r="CF25" i="3" s="1"/>
  <c r="CE23" i="3"/>
  <c r="CE25" i="3" s="1"/>
  <c r="CD23" i="3"/>
  <c r="CD25" i="3" s="1"/>
  <c r="CC23" i="3"/>
  <c r="CC25" i="3" s="1"/>
  <c r="CB23" i="3"/>
  <c r="CB25" i="3" s="1"/>
  <c r="CA23" i="3"/>
  <c r="CA25" i="3" s="1"/>
  <c r="BZ23" i="3"/>
  <c r="BZ25" i="3" s="1"/>
  <c r="BY23" i="3"/>
  <c r="BY25" i="3" s="1"/>
  <c r="BX23" i="3"/>
  <c r="BX25" i="3" s="1"/>
  <c r="BW23" i="3"/>
  <c r="BW25" i="3" s="1"/>
  <c r="BV23" i="3"/>
  <c r="BV25" i="3" s="1"/>
  <c r="BU23" i="3"/>
  <c r="BU25" i="3" s="1"/>
  <c r="BT23" i="3"/>
  <c r="BT25" i="3" s="1"/>
  <c r="BS23" i="3"/>
  <c r="BS25" i="3" s="1"/>
  <c r="BR23" i="3"/>
  <c r="BR25" i="3" s="1"/>
  <c r="BQ23" i="3"/>
  <c r="BQ25" i="3" s="1"/>
  <c r="BP23" i="3"/>
  <c r="BP25" i="3" s="1"/>
  <c r="BO23" i="3"/>
  <c r="BO25" i="3" s="1"/>
  <c r="CT25" i="3" s="1"/>
  <c r="BM23" i="3"/>
  <c r="BM25" i="3" s="1"/>
  <c r="BL23" i="3"/>
  <c r="BL25" i="3" s="1"/>
  <c r="BK23" i="3"/>
  <c r="BK25" i="3" s="1"/>
  <c r="BJ23" i="3"/>
  <c r="BJ25" i="3" s="1"/>
  <c r="BI23" i="3"/>
  <c r="BI25" i="3" s="1"/>
  <c r="BH23" i="3"/>
  <c r="BH25" i="3" s="1"/>
  <c r="BG23" i="3"/>
  <c r="BG25" i="3" s="1"/>
  <c r="BF23" i="3"/>
  <c r="BF25" i="3" s="1"/>
  <c r="BE23" i="3"/>
  <c r="BE25" i="3" s="1"/>
  <c r="BD23" i="3"/>
  <c r="BD25" i="3" s="1"/>
  <c r="BC23" i="3"/>
  <c r="BC25" i="3" s="1"/>
  <c r="BB23" i="3"/>
  <c r="BB25" i="3" s="1"/>
  <c r="BA23" i="3"/>
  <c r="BA25" i="3" s="1"/>
  <c r="AZ23" i="3"/>
  <c r="AZ25" i="3" s="1"/>
  <c r="AY23" i="3"/>
  <c r="AY25" i="3" s="1"/>
  <c r="AX23" i="3"/>
  <c r="AX25" i="3" s="1"/>
  <c r="AW23" i="3"/>
  <c r="AW25" i="3" s="1"/>
  <c r="AV23" i="3"/>
  <c r="AV25" i="3" s="1"/>
  <c r="AU23" i="3"/>
  <c r="AU25" i="3" s="1"/>
  <c r="AT23" i="3"/>
  <c r="AT25" i="3" s="1"/>
  <c r="AS23" i="3"/>
  <c r="AS25" i="3" s="1"/>
  <c r="AR23" i="3"/>
  <c r="AR25" i="3" s="1"/>
  <c r="AQ23" i="3"/>
  <c r="AQ25" i="3" s="1"/>
  <c r="AP23" i="3"/>
  <c r="AP25" i="3" s="1"/>
  <c r="AO23" i="3"/>
  <c r="AO25" i="3" s="1"/>
  <c r="AN23" i="3"/>
  <c r="AN25" i="3" s="1"/>
  <c r="AM23" i="3"/>
  <c r="AM25" i="3" s="1"/>
  <c r="AL23" i="3"/>
  <c r="AL25" i="3" s="1"/>
  <c r="AK23" i="3"/>
  <c r="AK25" i="3" s="1"/>
  <c r="AJ23" i="3"/>
  <c r="AJ25" i="3" s="1"/>
  <c r="BN25" i="3" s="1"/>
  <c r="AH23" i="3"/>
  <c r="AH25" i="3" s="1"/>
  <c r="AG23" i="3"/>
  <c r="AG25" i="3" s="1"/>
  <c r="AF23" i="3"/>
  <c r="AF25" i="3" s="1"/>
  <c r="AE23" i="3"/>
  <c r="AE25" i="3" s="1"/>
  <c r="AD23" i="3"/>
  <c r="AD25" i="3" s="1"/>
  <c r="AC23" i="3"/>
  <c r="AC25" i="3" s="1"/>
  <c r="AB23" i="3"/>
  <c r="AB25" i="3" s="1"/>
  <c r="AA23" i="3"/>
  <c r="AA25" i="3" s="1"/>
  <c r="Z23" i="3"/>
  <c r="Z25" i="3" s="1"/>
  <c r="Y23" i="3"/>
  <c r="Y25" i="3" s="1"/>
  <c r="X23" i="3"/>
  <c r="X25" i="3" s="1"/>
  <c r="W23" i="3"/>
  <c r="W25" i="3" s="1"/>
  <c r="V23" i="3"/>
  <c r="V25" i="3" s="1"/>
  <c r="U23" i="3"/>
  <c r="U25" i="3" s="1"/>
  <c r="T23" i="3"/>
  <c r="T25" i="3" s="1"/>
  <c r="S23" i="3"/>
  <c r="S25" i="3" s="1"/>
  <c r="R23" i="3"/>
  <c r="R25" i="3" s="1"/>
  <c r="Q23" i="3"/>
  <c r="Q25" i="3" s="1"/>
  <c r="P23" i="3"/>
  <c r="P25" i="3" s="1"/>
  <c r="O23" i="3"/>
  <c r="O25" i="3" s="1"/>
  <c r="N23" i="3"/>
  <c r="N25" i="3" s="1"/>
  <c r="M23" i="3"/>
  <c r="M25" i="3" s="1"/>
  <c r="L23" i="3"/>
  <c r="L25" i="3" s="1"/>
  <c r="K23" i="3"/>
  <c r="K25" i="3" s="1"/>
  <c r="J23" i="3"/>
  <c r="J25" i="3" s="1"/>
  <c r="I23" i="3"/>
  <c r="I25" i="3" s="1"/>
  <c r="H23" i="3"/>
  <c r="H25" i="3" s="1"/>
  <c r="G23" i="3"/>
  <c r="G25" i="3" s="1"/>
  <c r="F23" i="3"/>
  <c r="F25" i="3" s="1"/>
  <c r="E23" i="3"/>
  <c r="E25" i="3" s="1"/>
  <c r="D22" i="3"/>
  <c r="AI22" i="3" s="1"/>
  <c r="AOD20" i="3"/>
  <c r="AOD22" i="3" s="1"/>
  <c r="AOC20" i="3"/>
  <c r="AOC22" i="3" s="1"/>
  <c r="AOB20" i="3"/>
  <c r="AOB22" i="3" s="1"/>
  <c r="AOA20" i="3"/>
  <c r="AOA22" i="3" s="1"/>
  <c r="ANZ20" i="3"/>
  <c r="ANZ22" i="3" s="1"/>
  <c r="ANY20" i="3"/>
  <c r="ANY22" i="3" s="1"/>
  <c r="ANX20" i="3"/>
  <c r="ANX22" i="3" s="1"/>
  <c r="ANW20" i="3"/>
  <c r="ANW22" i="3" s="1"/>
  <c r="ANV20" i="3"/>
  <c r="ANV22" i="3" s="1"/>
  <c r="ANU20" i="3"/>
  <c r="ANU22" i="3" s="1"/>
  <c r="ANT20" i="3"/>
  <c r="ANT22" i="3" s="1"/>
  <c r="ANS20" i="3"/>
  <c r="ANS22" i="3" s="1"/>
  <c r="ANR20" i="3"/>
  <c r="ANR22" i="3" s="1"/>
  <c r="ANQ20" i="3"/>
  <c r="ANQ22" i="3" s="1"/>
  <c r="ANP20" i="3"/>
  <c r="ANP22" i="3" s="1"/>
  <c r="ANO20" i="3"/>
  <c r="ANO22" i="3" s="1"/>
  <c r="ANN20" i="3"/>
  <c r="ANN22" i="3" s="1"/>
  <c r="ANM20" i="3"/>
  <c r="ANM22" i="3" s="1"/>
  <c r="ANL20" i="3"/>
  <c r="ANL22" i="3" s="1"/>
  <c r="ANK20" i="3"/>
  <c r="ANK22" i="3" s="1"/>
  <c r="ANJ20" i="3"/>
  <c r="ANJ22" i="3" s="1"/>
  <c r="ANI20" i="3"/>
  <c r="ANI22" i="3" s="1"/>
  <c r="ANH20" i="3"/>
  <c r="ANH22" i="3" s="1"/>
  <c r="ANG20" i="3"/>
  <c r="ANG22" i="3" s="1"/>
  <c r="ANF20" i="3"/>
  <c r="ANF22" i="3" s="1"/>
  <c r="ANE20" i="3"/>
  <c r="ANE22" i="3" s="1"/>
  <c r="AND20" i="3"/>
  <c r="AND22" i="3" s="1"/>
  <c r="ANC20" i="3"/>
  <c r="ANC22" i="3" s="1"/>
  <c r="ANB20" i="3"/>
  <c r="ANB22" i="3" s="1"/>
  <c r="ANA20" i="3"/>
  <c r="ANA22" i="3" s="1"/>
  <c r="AMY20" i="3"/>
  <c r="AMY22" i="3" s="1"/>
  <c r="AMX20" i="3"/>
  <c r="AMX22" i="3" s="1"/>
  <c r="AMW20" i="3"/>
  <c r="AMW22" i="3" s="1"/>
  <c r="AMV20" i="3"/>
  <c r="AMV22" i="3" s="1"/>
  <c r="AMU20" i="3"/>
  <c r="AMU22" i="3" s="1"/>
  <c r="AMT20" i="3"/>
  <c r="AMT22" i="3" s="1"/>
  <c r="AMS20" i="3"/>
  <c r="AMS22" i="3" s="1"/>
  <c r="AMR20" i="3"/>
  <c r="AMR22" i="3" s="1"/>
  <c r="AMQ20" i="3"/>
  <c r="AMQ22" i="3" s="1"/>
  <c r="AMP20" i="3"/>
  <c r="AMP22" i="3" s="1"/>
  <c r="AMO20" i="3"/>
  <c r="AMO22" i="3" s="1"/>
  <c r="AMN20" i="3"/>
  <c r="AMN22" i="3" s="1"/>
  <c r="AMM20" i="3"/>
  <c r="AMM22" i="3" s="1"/>
  <c r="AML20" i="3"/>
  <c r="AML22" i="3" s="1"/>
  <c r="AMK20" i="3"/>
  <c r="AMK22" i="3" s="1"/>
  <c r="AMJ20" i="3"/>
  <c r="AMJ22" i="3" s="1"/>
  <c r="AMI20" i="3"/>
  <c r="AMI22" i="3" s="1"/>
  <c r="AMH20" i="3"/>
  <c r="AMH22" i="3" s="1"/>
  <c r="AMG20" i="3"/>
  <c r="AMG22" i="3" s="1"/>
  <c r="AMF20" i="3"/>
  <c r="AMF22" i="3" s="1"/>
  <c r="AME20" i="3"/>
  <c r="AME22" i="3" s="1"/>
  <c r="AMD20" i="3"/>
  <c r="AMD22" i="3" s="1"/>
  <c r="AMC20" i="3"/>
  <c r="AMC22" i="3" s="1"/>
  <c r="AMB20" i="3"/>
  <c r="AMB22" i="3" s="1"/>
  <c r="AMA20" i="3"/>
  <c r="AMA22" i="3" s="1"/>
  <c r="ALZ20" i="3"/>
  <c r="ALZ22" i="3" s="1"/>
  <c r="ALY20" i="3"/>
  <c r="ALY22" i="3" s="1"/>
  <c r="ALX20" i="3"/>
  <c r="ALX22" i="3" s="1"/>
  <c r="ALW20" i="3"/>
  <c r="ALW22" i="3" s="1"/>
  <c r="ALV20" i="3"/>
  <c r="ALV22" i="3" s="1"/>
  <c r="AMZ22" i="3" s="1"/>
  <c r="ALT20" i="3"/>
  <c r="ALT22" i="3" s="1"/>
  <c r="ALS20" i="3"/>
  <c r="ALS22" i="3" s="1"/>
  <c r="ALR20" i="3"/>
  <c r="ALR22" i="3" s="1"/>
  <c r="ALQ20" i="3"/>
  <c r="ALQ22" i="3" s="1"/>
  <c r="ALP20" i="3"/>
  <c r="ALP22" i="3" s="1"/>
  <c r="ALO20" i="3"/>
  <c r="ALO22" i="3" s="1"/>
  <c r="ALN20" i="3"/>
  <c r="ALN22" i="3" s="1"/>
  <c r="ALM20" i="3"/>
  <c r="ALM22" i="3" s="1"/>
  <c r="ALL20" i="3"/>
  <c r="ALL22" i="3" s="1"/>
  <c r="ALK20" i="3"/>
  <c r="ALK22" i="3" s="1"/>
  <c r="ALJ20" i="3"/>
  <c r="ALJ22" i="3" s="1"/>
  <c r="ALI20" i="3"/>
  <c r="ALI22" i="3" s="1"/>
  <c r="ALH20" i="3"/>
  <c r="ALH22" i="3" s="1"/>
  <c r="ALG20" i="3"/>
  <c r="ALG22" i="3" s="1"/>
  <c r="ALF20" i="3"/>
  <c r="ALF22" i="3" s="1"/>
  <c r="ALE20" i="3"/>
  <c r="ALE22" i="3" s="1"/>
  <c r="ALD20" i="3"/>
  <c r="ALD22" i="3" s="1"/>
  <c r="ALC20" i="3"/>
  <c r="ALC22" i="3" s="1"/>
  <c r="ALB20" i="3"/>
  <c r="ALB22" i="3" s="1"/>
  <c r="ALA20" i="3"/>
  <c r="ALA22" i="3" s="1"/>
  <c r="AKZ20" i="3"/>
  <c r="AKZ22" i="3" s="1"/>
  <c r="AKY20" i="3"/>
  <c r="AKY22" i="3" s="1"/>
  <c r="AKX20" i="3"/>
  <c r="AKX22" i="3" s="1"/>
  <c r="AKW20" i="3"/>
  <c r="AKW22" i="3" s="1"/>
  <c r="AKV20" i="3"/>
  <c r="AKV22" i="3" s="1"/>
  <c r="AKU20" i="3"/>
  <c r="AKU22" i="3" s="1"/>
  <c r="AKT20" i="3"/>
  <c r="AKT22" i="3" s="1"/>
  <c r="AKS20" i="3"/>
  <c r="AKS22" i="3" s="1"/>
  <c r="AKR20" i="3"/>
  <c r="AKR22" i="3" s="1"/>
  <c r="AKQ20" i="3"/>
  <c r="AKQ22" i="3" s="1"/>
  <c r="AKP20" i="3"/>
  <c r="AKP22" i="3" s="1"/>
  <c r="ALU22" i="3" s="1"/>
  <c r="AKN20" i="3"/>
  <c r="AKN22" i="3" s="1"/>
  <c r="AKM20" i="3"/>
  <c r="AKM22" i="3" s="1"/>
  <c r="AKL20" i="3"/>
  <c r="AKL22" i="3" s="1"/>
  <c r="AKK20" i="3"/>
  <c r="AKK22" i="3" s="1"/>
  <c r="AKJ20" i="3"/>
  <c r="AKJ22" i="3" s="1"/>
  <c r="AKI20" i="3"/>
  <c r="AKI22" i="3" s="1"/>
  <c r="AKH20" i="3"/>
  <c r="AKH22" i="3" s="1"/>
  <c r="AKG20" i="3"/>
  <c r="AKG22" i="3" s="1"/>
  <c r="AKF20" i="3"/>
  <c r="AKF22" i="3" s="1"/>
  <c r="AKE20" i="3"/>
  <c r="AKE22" i="3" s="1"/>
  <c r="AKD20" i="3"/>
  <c r="AKD22" i="3" s="1"/>
  <c r="AKC20" i="3"/>
  <c r="AKC22" i="3" s="1"/>
  <c r="AKB20" i="3"/>
  <c r="AKB22" i="3" s="1"/>
  <c r="AKA20" i="3"/>
  <c r="AKA22" i="3" s="1"/>
  <c r="AJZ20" i="3"/>
  <c r="AJZ22" i="3" s="1"/>
  <c r="AJY20" i="3"/>
  <c r="AJY22" i="3" s="1"/>
  <c r="AJX20" i="3"/>
  <c r="AJX22" i="3" s="1"/>
  <c r="AJW20" i="3"/>
  <c r="AJW22" i="3" s="1"/>
  <c r="AJV20" i="3"/>
  <c r="AJV22" i="3" s="1"/>
  <c r="AJU20" i="3"/>
  <c r="AJU22" i="3" s="1"/>
  <c r="AJT20" i="3"/>
  <c r="AJT22" i="3" s="1"/>
  <c r="AJS20" i="3"/>
  <c r="AJS22" i="3" s="1"/>
  <c r="AJR20" i="3"/>
  <c r="AJR22" i="3" s="1"/>
  <c r="AJQ20" i="3"/>
  <c r="AJQ22" i="3" s="1"/>
  <c r="AJP20" i="3"/>
  <c r="AJP22" i="3" s="1"/>
  <c r="AJO20" i="3"/>
  <c r="AJO22" i="3" s="1"/>
  <c r="AJN20" i="3"/>
  <c r="AJN22" i="3" s="1"/>
  <c r="AJM20" i="3"/>
  <c r="AJM22" i="3" s="1"/>
  <c r="AKO22" i="3" s="1"/>
  <c r="AJK20" i="3"/>
  <c r="AJK22" i="3" s="1"/>
  <c r="AJJ20" i="3"/>
  <c r="AJJ22" i="3" s="1"/>
  <c r="AJI20" i="3"/>
  <c r="AJI22" i="3" s="1"/>
  <c r="AJH20" i="3"/>
  <c r="AJH22" i="3" s="1"/>
  <c r="AJG20" i="3"/>
  <c r="AJG22" i="3" s="1"/>
  <c r="AJF20" i="3"/>
  <c r="AJF22" i="3" s="1"/>
  <c r="AJE20" i="3"/>
  <c r="AJE22" i="3" s="1"/>
  <c r="AJD20" i="3"/>
  <c r="AJD22" i="3" s="1"/>
  <c r="AJC20" i="3"/>
  <c r="AJC22" i="3" s="1"/>
  <c r="AJB20" i="3"/>
  <c r="AJB22" i="3" s="1"/>
  <c r="AJA20" i="3"/>
  <c r="AJA22" i="3" s="1"/>
  <c r="AIZ20" i="3"/>
  <c r="AIZ22" i="3" s="1"/>
  <c r="AIY20" i="3"/>
  <c r="AIY22" i="3" s="1"/>
  <c r="AIX20" i="3"/>
  <c r="AIX22" i="3" s="1"/>
  <c r="AIW20" i="3"/>
  <c r="AIW22" i="3" s="1"/>
  <c r="AIV20" i="3"/>
  <c r="AIV22" i="3" s="1"/>
  <c r="AIU20" i="3"/>
  <c r="AIU22" i="3" s="1"/>
  <c r="AIT20" i="3"/>
  <c r="AIT22" i="3" s="1"/>
  <c r="AIS20" i="3"/>
  <c r="AIS22" i="3" s="1"/>
  <c r="AIR20" i="3"/>
  <c r="AIR22" i="3" s="1"/>
  <c r="AIQ20" i="3"/>
  <c r="AIQ22" i="3" s="1"/>
  <c r="AIP20" i="3"/>
  <c r="AIP22" i="3" s="1"/>
  <c r="AIO20" i="3"/>
  <c r="AIO22" i="3" s="1"/>
  <c r="AIN20" i="3"/>
  <c r="AIN22" i="3" s="1"/>
  <c r="AIM20" i="3"/>
  <c r="AIM22" i="3" s="1"/>
  <c r="AIL20" i="3"/>
  <c r="AIL22" i="3" s="1"/>
  <c r="AIK20" i="3"/>
  <c r="AIK22" i="3" s="1"/>
  <c r="AIJ20" i="3"/>
  <c r="AIJ22" i="3" s="1"/>
  <c r="AII20" i="3"/>
  <c r="AII22" i="3" s="1"/>
  <c r="AIH20" i="3"/>
  <c r="AIH22" i="3" s="1"/>
  <c r="AIG20" i="3"/>
  <c r="AIG22" i="3" s="1"/>
  <c r="AJL22" i="3" s="1"/>
  <c r="AIE20" i="3"/>
  <c r="AIE22" i="3" s="1"/>
  <c r="AID20" i="3"/>
  <c r="AID22" i="3" s="1"/>
  <c r="AIC20" i="3"/>
  <c r="AIC22" i="3" s="1"/>
  <c r="AIB20" i="3"/>
  <c r="AIB22" i="3" s="1"/>
  <c r="AIA20" i="3"/>
  <c r="AIA22" i="3" s="1"/>
  <c r="AHZ20" i="3"/>
  <c r="AHZ22" i="3" s="1"/>
  <c r="AHY20" i="3"/>
  <c r="AHY22" i="3" s="1"/>
  <c r="AHX20" i="3"/>
  <c r="AHX22" i="3" s="1"/>
  <c r="AHW20" i="3"/>
  <c r="AHW22" i="3" s="1"/>
  <c r="AHV20" i="3"/>
  <c r="AHV22" i="3" s="1"/>
  <c r="AHU20" i="3"/>
  <c r="AHU22" i="3" s="1"/>
  <c r="AHT20" i="3"/>
  <c r="AHT22" i="3" s="1"/>
  <c r="AHS20" i="3"/>
  <c r="AHS22" i="3" s="1"/>
  <c r="AHR20" i="3"/>
  <c r="AHR22" i="3" s="1"/>
  <c r="AHQ20" i="3"/>
  <c r="AHQ22" i="3" s="1"/>
  <c r="AHP20" i="3"/>
  <c r="AHP22" i="3" s="1"/>
  <c r="AHO20" i="3"/>
  <c r="AHO22" i="3" s="1"/>
  <c r="AHN20" i="3"/>
  <c r="AHN22" i="3" s="1"/>
  <c r="AHM20" i="3"/>
  <c r="AHM22" i="3" s="1"/>
  <c r="AHL20" i="3"/>
  <c r="AHL22" i="3" s="1"/>
  <c r="AHK20" i="3"/>
  <c r="AHK22" i="3" s="1"/>
  <c r="AHJ20" i="3"/>
  <c r="AHJ22" i="3" s="1"/>
  <c r="AHI20" i="3"/>
  <c r="AHI22" i="3" s="1"/>
  <c r="AHH20" i="3"/>
  <c r="AHH22" i="3" s="1"/>
  <c r="AHG20" i="3"/>
  <c r="AHG22" i="3" s="1"/>
  <c r="AHF20" i="3"/>
  <c r="AHF22" i="3" s="1"/>
  <c r="AHE20" i="3"/>
  <c r="AHE22" i="3" s="1"/>
  <c r="AHD20" i="3"/>
  <c r="AHD22" i="3" s="1"/>
  <c r="AHC20" i="3"/>
  <c r="AHC22" i="3" s="1"/>
  <c r="AHB20" i="3"/>
  <c r="AHB22" i="3" s="1"/>
  <c r="AHA20" i="3"/>
  <c r="AHA22" i="3" s="1"/>
  <c r="AIF22" i="3" s="1"/>
  <c r="AGY20" i="3"/>
  <c r="AGY22" i="3" s="1"/>
  <c r="AGX20" i="3"/>
  <c r="AGX22" i="3" s="1"/>
  <c r="AGW20" i="3"/>
  <c r="AGW22" i="3" s="1"/>
  <c r="AGV20" i="3"/>
  <c r="AGV22" i="3" s="1"/>
  <c r="AGU20" i="3"/>
  <c r="AGU22" i="3" s="1"/>
  <c r="AGT20" i="3"/>
  <c r="AGT22" i="3" s="1"/>
  <c r="AGS20" i="3"/>
  <c r="AGS22" i="3" s="1"/>
  <c r="AGR20" i="3"/>
  <c r="AGR22" i="3" s="1"/>
  <c r="AGQ20" i="3"/>
  <c r="AGQ22" i="3" s="1"/>
  <c r="AGP20" i="3"/>
  <c r="AGP22" i="3" s="1"/>
  <c r="AGO20" i="3"/>
  <c r="AGO22" i="3" s="1"/>
  <c r="AGN20" i="3"/>
  <c r="AGN22" i="3" s="1"/>
  <c r="AGM20" i="3"/>
  <c r="AGM22" i="3" s="1"/>
  <c r="AGL20" i="3"/>
  <c r="AGL22" i="3" s="1"/>
  <c r="AGK20" i="3"/>
  <c r="AGK22" i="3" s="1"/>
  <c r="AGJ20" i="3"/>
  <c r="AGJ22" i="3" s="1"/>
  <c r="AGI20" i="3"/>
  <c r="AGI22" i="3" s="1"/>
  <c r="AGH20" i="3"/>
  <c r="AGH22" i="3" s="1"/>
  <c r="AGG20" i="3"/>
  <c r="AGG22" i="3" s="1"/>
  <c r="AGF20" i="3"/>
  <c r="AGF22" i="3" s="1"/>
  <c r="AGE20" i="3"/>
  <c r="AGE22" i="3" s="1"/>
  <c r="AGD20" i="3"/>
  <c r="AGD22" i="3" s="1"/>
  <c r="AGC20" i="3"/>
  <c r="AGC22" i="3" s="1"/>
  <c r="AGB20" i="3"/>
  <c r="AGB22" i="3" s="1"/>
  <c r="AGA20" i="3"/>
  <c r="AGA22" i="3" s="1"/>
  <c r="AFZ20" i="3"/>
  <c r="AFZ22" i="3" s="1"/>
  <c r="AFY20" i="3"/>
  <c r="AFY22" i="3" s="1"/>
  <c r="AFX20" i="3"/>
  <c r="AFX22" i="3" s="1"/>
  <c r="AFW20" i="3"/>
  <c r="AFW22" i="3" s="1"/>
  <c r="AFV20" i="3"/>
  <c r="AFV22" i="3" s="1"/>
  <c r="AGZ22" i="3" s="1"/>
  <c r="AFT20" i="3"/>
  <c r="AFT22" i="3" s="1"/>
  <c r="AFS20" i="3"/>
  <c r="AFS22" i="3" s="1"/>
  <c r="AFR20" i="3"/>
  <c r="AFR22" i="3" s="1"/>
  <c r="AFQ20" i="3"/>
  <c r="AFQ22" i="3" s="1"/>
  <c r="AFP20" i="3"/>
  <c r="AFP22" i="3" s="1"/>
  <c r="AFO20" i="3"/>
  <c r="AFO22" i="3" s="1"/>
  <c r="AFN20" i="3"/>
  <c r="AFN22" i="3" s="1"/>
  <c r="AFM20" i="3"/>
  <c r="AFM22" i="3" s="1"/>
  <c r="AFL20" i="3"/>
  <c r="AFL22" i="3" s="1"/>
  <c r="AFK20" i="3"/>
  <c r="AFK22" i="3" s="1"/>
  <c r="AFJ20" i="3"/>
  <c r="AFJ22" i="3" s="1"/>
  <c r="AFI20" i="3"/>
  <c r="AFI22" i="3" s="1"/>
  <c r="AFH20" i="3"/>
  <c r="AFH22" i="3" s="1"/>
  <c r="AFG20" i="3"/>
  <c r="AFG22" i="3" s="1"/>
  <c r="AFF20" i="3"/>
  <c r="AFF22" i="3" s="1"/>
  <c r="AFE20" i="3"/>
  <c r="AFE22" i="3" s="1"/>
  <c r="AFD20" i="3"/>
  <c r="AFD22" i="3" s="1"/>
  <c r="AFC20" i="3"/>
  <c r="AFC22" i="3" s="1"/>
  <c r="AFB20" i="3"/>
  <c r="AFB22" i="3" s="1"/>
  <c r="AFA20" i="3"/>
  <c r="AFA22" i="3" s="1"/>
  <c r="AEZ20" i="3"/>
  <c r="AEZ22" i="3" s="1"/>
  <c r="AEY20" i="3"/>
  <c r="AEY22" i="3" s="1"/>
  <c r="AEX20" i="3"/>
  <c r="AEX22" i="3" s="1"/>
  <c r="AEW20" i="3"/>
  <c r="AEW22" i="3" s="1"/>
  <c r="AEV20" i="3"/>
  <c r="AEV22" i="3" s="1"/>
  <c r="AEU20" i="3"/>
  <c r="AEU22" i="3" s="1"/>
  <c r="AET20" i="3"/>
  <c r="AET22" i="3" s="1"/>
  <c r="AES20" i="3"/>
  <c r="AES22" i="3" s="1"/>
  <c r="AER20" i="3"/>
  <c r="AER22" i="3" s="1"/>
  <c r="AEQ20" i="3"/>
  <c r="AEQ22" i="3" s="1"/>
  <c r="AEP20" i="3"/>
  <c r="AEP22" i="3" s="1"/>
  <c r="AFU22" i="3" s="1"/>
  <c r="AEN20" i="3"/>
  <c r="AEN22" i="3" s="1"/>
  <c r="AEM20" i="3"/>
  <c r="AEM22" i="3" s="1"/>
  <c r="AEL20" i="3"/>
  <c r="AEL22" i="3" s="1"/>
  <c r="AEK20" i="3"/>
  <c r="AEK22" i="3" s="1"/>
  <c r="AEJ20" i="3"/>
  <c r="AEJ22" i="3" s="1"/>
  <c r="AEI20" i="3"/>
  <c r="AEI22" i="3" s="1"/>
  <c r="AEH20" i="3"/>
  <c r="AEH22" i="3" s="1"/>
  <c r="AEG20" i="3"/>
  <c r="AEG22" i="3" s="1"/>
  <c r="AEF20" i="3"/>
  <c r="AEF22" i="3" s="1"/>
  <c r="AEE20" i="3"/>
  <c r="AEE22" i="3" s="1"/>
  <c r="AED20" i="3"/>
  <c r="AED22" i="3" s="1"/>
  <c r="AEC20" i="3"/>
  <c r="AEC22" i="3" s="1"/>
  <c r="AEB20" i="3"/>
  <c r="AEB22" i="3" s="1"/>
  <c r="AEA20" i="3"/>
  <c r="AEA22" i="3" s="1"/>
  <c r="ADZ20" i="3"/>
  <c r="ADZ22" i="3" s="1"/>
  <c r="ADY20" i="3"/>
  <c r="ADY22" i="3" s="1"/>
  <c r="ADX20" i="3"/>
  <c r="ADX22" i="3" s="1"/>
  <c r="ADW20" i="3"/>
  <c r="ADW22" i="3" s="1"/>
  <c r="ADV20" i="3"/>
  <c r="ADV22" i="3" s="1"/>
  <c r="ADU20" i="3"/>
  <c r="ADU22" i="3" s="1"/>
  <c r="ADT20" i="3"/>
  <c r="ADT22" i="3" s="1"/>
  <c r="ADS20" i="3"/>
  <c r="ADS22" i="3" s="1"/>
  <c r="ADR20" i="3"/>
  <c r="ADR22" i="3" s="1"/>
  <c r="ADQ20" i="3"/>
  <c r="ADQ22" i="3" s="1"/>
  <c r="ADP20" i="3"/>
  <c r="ADP22" i="3" s="1"/>
  <c r="ADO20" i="3"/>
  <c r="ADO22" i="3" s="1"/>
  <c r="ADN20" i="3"/>
  <c r="ADN22" i="3" s="1"/>
  <c r="ADM20" i="3"/>
  <c r="ADM22" i="3" s="1"/>
  <c r="ADL20" i="3"/>
  <c r="ADL22" i="3" s="1"/>
  <c r="ADK20" i="3"/>
  <c r="ADK22" i="3" s="1"/>
  <c r="AEO22" i="3" s="1"/>
  <c r="ADI20" i="3"/>
  <c r="ADI22" i="3" s="1"/>
  <c r="ADH20" i="3"/>
  <c r="ADH22" i="3" s="1"/>
  <c r="ADG20" i="3"/>
  <c r="ADG22" i="3" s="1"/>
  <c r="ADF20" i="3"/>
  <c r="ADF22" i="3" s="1"/>
  <c r="ADE20" i="3"/>
  <c r="ADE22" i="3" s="1"/>
  <c r="ADD20" i="3"/>
  <c r="ADD22" i="3" s="1"/>
  <c r="ADC20" i="3"/>
  <c r="ADC22" i="3" s="1"/>
  <c r="ADB20" i="3"/>
  <c r="ADB22" i="3" s="1"/>
  <c r="ADA20" i="3"/>
  <c r="ADA22" i="3" s="1"/>
  <c r="ACZ20" i="3"/>
  <c r="ACZ22" i="3" s="1"/>
  <c r="ACY20" i="3"/>
  <c r="ACY22" i="3" s="1"/>
  <c r="ACX20" i="3"/>
  <c r="ACX22" i="3" s="1"/>
  <c r="ACW20" i="3"/>
  <c r="ACW22" i="3" s="1"/>
  <c r="ACV20" i="3"/>
  <c r="ACV22" i="3" s="1"/>
  <c r="ACU20" i="3"/>
  <c r="ACU22" i="3" s="1"/>
  <c r="ACT20" i="3"/>
  <c r="ACT22" i="3" s="1"/>
  <c r="ACS20" i="3"/>
  <c r="ACS22" i="3" s="1"/>
  <c r="ACR20" i="3"/>
  <c r="ACR22" i="3" s="1"/>
  <c r="ACQ20" i="3"/>
  <c r="ACQ22" i="3" s="1"/>
  <c r="ACP20" i="3"/>
  <c r="ACP22" i="3" s="1"/>
  <c r="ACO20" i="3"/>
  <c r="ACO22" i="3" s="1"/>
  <c r="ACN20" i="3"/>
  <c r="ACN22" i="3" s="1"/>
  <c r="ACM20" i="3"/>
  <c r="ACM22" i="3" s="1"/>
  <c r="ACL20" i="3"/>
  <c r="ACL22" i="3" s="1"/>
  <c r="ACK20" i="3"/>
  <c r="ACK22" i="3" s="1"/>
  <c r="ACJ20" i="3"/>
  <c r="ACJ22" i="3" s="1"/>
  <c r="ACI20" i="3"/>
  <c r="ACI22" i="3" s="1"/>
  <c r="ACH20" i="3"/>
  <c r="ACH22" i="3" s="1"/>
  <c r="ACG20" i="3"/>
  <c r="ACG22" i="3" s="1"/>
  <c r="ACF20" i="3"/>
  <c r="ACF22" i="3" s="1"/>
  <c r="ACE20" i="3"/>
  <c r="ACE22" i="3" s="1"/>
  <c r="ADJ22" i="3" s="1"/>
  <c r="ACC20" i="3"/>
  <c r="ACC22" i="3" s="1"/>
  <c r="ACB20" i="3"/>
  <c r="ACB22" i="3" s="1"/>
  <c r="ACA20" i="3"/>
  <c r="ACA22" i="3" s="1"/>
  <c r="ABZ20" i="3"/>
  <c r="ABZ22" i="3" s="1"/>
  <c r="ABY20" i="3"/>
  <c r="ABY22" i="3" s="1"/>
  <c r="ABX20" i="3"/>
  <c r="ABX22" i="3" s="1"/>
  <c r="ABW20" i="3"/>
  <c r="ABW22" i="3" s="1"/>
  <c r="ABV20" i="3"/>
  <c r="ABV22" i="3" s="1"/>
  <c r="ABU20" i="3"/>
  <c r="ABU22" i="3" s="1"/>
  <c r="ABT20" i="3"/>
  <c r="ABT22" i="3" s="1"/>
  <c r="ABS20" i="3"/>
  <c r="ABS22" i="3" s="1"/>
  <c r="ABR20" i="3"/>
  <c r="ABR22" i="3" s="1"/>
  <c r="ABQ20" i="3"/>
  <c r="ABQ22" i="3" s="1"/>
  <c r="ABP20" i="3"/>
  <c r="ABP22" i="3" s="1"/>
  <c r="ABO20" i="3"/>
  <c r="ABO22" i="3" s="1"/>
  <c r="ABN20" i="3"/>
  <c r="ABN22" i="3" s="1"/>
  <c r="ABM20" i="3"/>
  <c r="ABM22" i="3" s="1"/>
  <c r="ABL20" i="3"/>
  <c r="ABL22" i="3" s="1"/>
  <c r="ABK20" i="3"/>
  <c r="ABK22" i="3" s="1"/>
  <c r="ABJ20" i="3"/>
  <c r="ABJ22" i="3" s="1"/>
  <c r="ABI20" i="3"/>
  <c r="ABI22" i="3" s="1"/>
  <c r="ABH20" i="3"/>
  <c r="ABH22" i="3" s="1"/>
  <c r="ABG20" i="3"/>
  <c r="ABG22" i="3" s="1"/>
  <c r="ABF20" i="3"/>
  <c r="ABF22" i="3" s="1"/>
  <c r="ABE20" i="3"/>
  <c r="ABE22" i="3" s="1"/>
  <c r="ABD20" i="3"/>
  <c r="ABD22" i="3" s="1"/>
  <c r="ABC20" i="3"/>
  <c r="ABC22" i="3" s="1"/>
  <c r="ABB20" i="3"/>
  <c r="ABB22" i="3" s="1"/>
  <c r="ABA20" i="3"/>
  <c r="ABA22" i="3" s="1"/>
  <c r="AAZ20" i="3"/>
  <c r="AAZ22" i="3" s="1"/>
  <c r="AAY20" i="3"/>
  <c r="AAY22" i="3" s="1"/>
  <c r="ACD22" i="3" s="1"/>
  <c r="AAW20" i="3"/>
  <c r="AAW22" i="3" s="1"/>
  <c r="AAV20" i="3"/>
  <c r="AAV22" i="3" s="1"/>
  <c r="AAU20" i="3"/>
  <c r="AAU22" i="3" s="1"/>
  <c r="AAT20" i="3"/>
  <c r="AAT22" i="3" s="1"/>
  <c r="AAS20" i="3"/>
  <c r="AAS22" i="3" s="1"/>
  <c r="AAR20" i="3"/>
  <c r="AAR22" i="3" s="1"/>
  <c r="AAQ20" i="3"/>
  <c r="AAQ22" i="3" s="1"/>
  <c r="AAP20" i="3"/>
  <c r="AAP22" i="3" s="1"/>
  <c r="AAO20" i="3"/>
  <c r="AAO22" i="3" s="1"/>
  <c r="AAN20" i="3"/>
  <c r="AAN22" i="3" s="1"/>
  <c r="AAM20" i="3"/>
  <c r="AAM22" i="3" s="1"/>
  <c r="AAL20" i="3"/>
  <c r="AAL22" i="3" s="1"/>
  <c r="AAK20" i="3"/>
  <c r="AAK22" i="3" s="1"/>
  <c r="AAJ20" i="3"/>
  <c r="AAJ22" i="3" s="1"/>
  <c r="AAI20" i="3"/>
  <c r="AAI22" i="3" s="1"/>
  <c r="AAH20" i="3"/>
  <c r="AAH22" i="3" s="1"/>
  <c r="AAG20" i="3"/>
  <c r="AAG22" i="3" s="1"/>
  <c r="AAF20" i="3"/>
  <c r="AAF22" i="3" s="1"/>
  <c r="AAE20" i="3"/>
  <c r="AAE22" i="3" s="1"/>
  <c r="AAD20" i="3"/>
  <c r="AAD22" i="3" s="1"/>
  <c r="AAC20" i="3"/>
  <c r="AAC22" i="3" s="1"/>
  <c r="AAB20" i="3"/>
  <c r="AAB22" i="3" s="1"/>
  <c r="AAA20" i="3"/>
  <c r="AAA22" i="3" s="1"/>
  <c r="ZZ20" i="3"/>
  <c r="ZZ22" i="3" s="1"/>
  <c r="ZY20" i="3"/>
  <c r="ZY22" i="3" s="1"/>
  <c r="ZX20" i="3"/>
  <c r="ZX22" i="3" s="1"/>
  <c r="ZW20" i="3"/>
  <c r="ZW22" i="3" s="1"/>
  <c r="ZV20" i="3"/>
  <c r="ZV22" i="3" s="1"/>
  <c r="ZU20" i="3"/>
  <c r="ZU22" i="3" s="1"/>
  <c r="ZT20" i="3"/>
  <c r="ZT22" i="3" s="1"/>
  <c r="AAX22" i="3" s="1"/>
  <c r="ZR20" i="3"/>
  <c r="ZR22" i="3" s="1"/>
  <c r="ZQ20" i="3"/>
  <c r="ZQ22" i="3" s="1"/>
  <c r="ZP20" i="3"/>
  <c r="ZP22" i="3" s="1"/>
  <c r="ZO20" i="3"/>
  <c r="ZO22" i="3" s="1"/>
  <c r="ZN20" i="3"/>
  <c r="ZN22" i="3" s="1"/>
  <c r="ZM20" i="3"/>
  <c r="ZM22" i="3" s="1"/>
  <c r="ZL20" i="3"/>
  <c r="ZL22" i="3" s="1"/>
  <c r="ZK20" i="3"/>
  <c r="ZK22" i="3" s="1"/>
  <c r="ZJ20" i="3"/>
  <c r="ZJ22" i="3" s="1"/>
  <c r="ZI20" i="3"/>
  <c r="ZI22" i="3" s="1"/>
  <c r="ZH20" i="3"/>
  <c r="ZH22" i="3" s="1"/>
  <c r="ZG20" i="3"/>
  <c r="ZG22" i="3" s="1"/>
  <c r="ZF20" i="3"/>
  <c r="ZF22" i="3" s="1"/>
  <c r="ZE20" i="3"/>
  <c r="ZE22" i="3" s="1"/>
  <c r="ZD20" i="3"/>
  <c r="ZD22" i="3" s="1"/>
  <c r="ZC20" i="3"/>
  <c r="ZC22" i="3" s="1"/>
  <c r="ZB20" i="3"/>
  <c r="ZB22" i="3" s="1"/>
  <c r="ZA20" i="3"/>
  <c r="ZA22" i="3" s="1"/>
  <c r="YZ20" i="3"/>
  <c r="YZ22" i="3" s="1"/>
  <c r="YY20" i="3"/>
  <c r="YY22" i="3" s="1"/>
  <c r="YX20" i="3"/>
  <c r="YX22" i="3" s="1"/>
  <c r="YW20" i="3"/>
  <c r="YW22" i="3" s="1"/>
  <c r="YV20" i="3"/>
  <c r="YV22" i="3" s="1"/>
  <c r="YU20" i="3"/>
  <c r="YU22" i="3" s="1"/>
  <c r="YT20" i="3"/>
  <c r="YT22" i="3" s="1"/>
  <c r="YS20" i="3"/>
  <c r="YS22" i="3" s="1"/>
  <c r="YR20" i="3"/>
  <c r="YR22" i="3" s="1"/>
  <c r="YQ20" i="3"/>
  <c r="YQ22" i="3" s="1"/>
  <c r="YP20" i="3"/>
  <c r="YP22" i="3" s="1"/>
  <c r="YO20" i="3"/>
  <c r="YO22" i="3" s="1"/>
  <c r="YN20" i="3"/>
  <c r="YN22" i="3" s="1"/>
  <c r="ZS22" i="3" s="1"/>
  <c r="YL20" i="3"/>
  <c r="YL22" i="3" s="1"/>
  <c r="YK20" i="3"/>
  <c r="YK22" i="3" s="1"/>
  <c r="YJ20" i="3"/>
  <c r="YJ22" i="3" s="1"/>
  <c r="YI20" i="3"/>
  <c r="YI22" i="3" s="1"/>
  <c r="YH20" i="3"/>
  <c r="YH22" i="3" s="1"/>
  <c r="YG20" i="3"/>
  <c r="YG22" i="3" s="1"/>
  <c r="YF20" i="3"/>
  <c r="YF22" i="3" s="1"/>
  <c r="YE20" i="3"/>
  <c r="YE22" i="3" s="1"/>
  <c r="YD20" i="3"/>
  <c r="YD22" i="3" s="1"/>
  <c r="YC20" i="3"/>
  <c r="YC22" i="3" s="1"/>
  <c r="YB20" i="3"/>
  <c r="YB22" i="3" s="1"/>
  <c r="YA20" i="3"/>
  <c r="YA22" i="3" s="1"/>
  <c r="XZ20" i="3"/>
  <c r="XZ22" i="3" s="1"/>
  <c r="XY20" i="3"/>
  <c r="XY22" i="3" s="1"/>
  <c r="XX20" i="3"/>
  <c r="XX22" i="3" s="1"/>
  <c r="XW20" i="3"/>
  <c r="XW22" i="3" s="1"/>
  <c r="XV20" i="3"/>
  <c r="XV22" i="3" s="1"/>
  <c r="XU20" i="3"/>
  <c r="XU22" i="3" s="1"/>
  <c r="XT20" i="3"/>
  <c r="XT22" i="3" s="1"/>
  <c r="XS20" i="3"/>
  <c r="XS22" i="3" s="1"/>
  <c r="XR20" i="3"/>
  <c r="XR22" i="3" s="1"/>
  <c r="XQ20" i="3"/>
  <c r="XQ22" i="3" s="1"/>
  <c r="XP20" i="3"/>
  <c r="XP22" i="3" s="1"/>
  <c r="XO20" i="3"/>
  <c r="XO22" i="3" s="1"/>
  <c r="XN20" i="3"/>
  <c r="XN22" i="3" s="1"/>
  <c r="XM20" i="3"/>
  <c r="XM22" i="3" s="1"/>
  <c r="XL20" i="3"/>
  <c r="XL22" i="3" s="1"/>
  <c r="XK20" i="3"/>
  <c r="XK22" i="3" s="1"/>
  <c r="XJ20" i="3"/>
  <c r="XJ22" i="3" s="1"/>
  <c r="XI20" i="3"/>
  <c r="XI22" i="3" s="1"/>
  <c r="XG20" i="3"/>
  <c r="XG22" i="3" s="1"/>
  <c r="XF20" i="3"/>
  <c r="XF22" i="3" s="1"/>
  <c r="XE20" i="3"/>
  <c r="XE22" i="3" s="1"/>
  <c r="XD20" i="3"/>
  <c r="XD22" i="3" s="1"/>
  <c r="XC20" i="3"/>
  <c r="XC22" i="3" s="1"/>
  <c r="XB20" i="3"/>
  <c r="XB22" i="3" s="1"/>
  <c r="XA20" i="3"/>
  <c r="XA22" i="3" s="1"/>
  <c r="WZ20" i="3"/>
  <c r="WZ22" i="3" s="1"/>
  <c r="WY20" i="3"/>
  <c r="WY22" i="3" s="1"/>
  <c r="WX20" i="3"/>
  <c r="WX22" i="3" s="1"/>
  <c r="WW20" i="3"/>
  <c r="WW22" i="3" s="1"/>
  <c r="WV20" i="3"/>
  <c r="WV22" i="3" s="1"/>
  <c r="WU20" i="3"/>
  <c r="WU22" i="3" s="1"/>
  <c r="WT20" i="3"/>
  <c r="WT22" i="3" s="1"/>
  <c r="WS20" i="3"/>
  <c r="WS22" i="3" s="1"/>
  <c r="WR20" i="3"/>
  <c r="WR22" i="3" s="1"/>
  <c r="WQ20" i="3"/>
  <c r="WQ22" i="3" s="1"/>
  <c r="WP20" i="3"/>
  <c r="WP22" i="3" s="1"/>
  <c r="WO20" i="3"/>
  <c r="WO22" i="3" s="1"/>
  <c r="WN20" i="3"/>
  <c r="WN22" i="3" s="1"/>
  <c r="WM20" i="3"/>
  <c r="WM22" i="3" s="1"/>
  <c r="WL20" i="3"/>
  <c r="WL22" i="3" s="1"/>
  <c r="WK20" i="3"/>
  <c r="WK22" i="3" s="1"/>
  <c r="WJ20" i="3"/>
  <c r="WJ22" i="3" s="1"/>
  <c r="WI20" i="3"/>
  <c r="WI22" i="3" s="1"/>
  <c r="WH20" i="3"/>
  <c r="WH22" i="3" s="1"/>
  <c r="WG20" i="3"/>
  <c r="WG22" i="3" s="1"/>
  <c r="WF20" i="3"/>
  <c r="WF22" i="3" s="1"/>
  <c r="WE20" i="3"/>
  <c r="WE22" i="3" s="1"/>
  <c r="WD20" i="3"/>
  <c r="WD22" i="3" s="1"/>
  <c r="WC20" i="3"/>
  <c r="WC22" i="3" s="1"/>
  <c r="XH22" i="3" s="1"/>
  <c r="WA20" i="3"/>
  <c r="WA22" i="3" s="1"/>
  <c r="VZ20" i="3"/>
  <c r="VZ22" i="3" s="1"/>
  <c r="VY20" i="3"/>
  <c r="VY22" i="3" s="1"/>
  <c r="VX20" i="3"/>
  <c r="VX22" i="3" s="1"/>
  <c r="VW20" i="3"/>
  <c r="VW22" i="3" s="1"/>
  <c r="VV20" i="3"/>
  <c r="VV22" i="3" s="1"/>
  <c r="VU20" i="3"/>
  <c r="VU22" i="3" s="1"/>
  <c r="VT20" i="3"/>
  <c r="VT22" i="3" s="1"/>
  <c r="VS20" i="3"/>
  <c r="VS22" i="3" s="1"/>
  <c r="VR20" i="3"/>
  <c r="VR22" i="3" s="1"/>
  <c r="VQ20" i="3"/>
  <c r="VQ22" i="3" s="1"/>
  <c r="VP20" i="3"/>
  <c r="VP22" i="3" s="1"/>
  <c r="VO20" i="3"/>
  <c r="VO22" i="3" s="1"/>
  <c r="VN20" i="3"/>
  <c r="VN22" i="3" s="1"/>
  <c r="VM20" i="3"/>
  <c r="VM22" i="3" s="1"/>
  <c r="VL20" i="3"/>
  <c r="VL22" i="3" s="1"/>
  <c r="VK20" i="3"/>
  <c r="VK22" i="3" s="1"/>
  <c r="VJ20" i="3"/>
  <c r="VJ22" i="3" s="1"/>
  <c r="VI20" i="3"/>
  <c r="VI22" i="3" s="1"/>
  <c r="VH20" i="3"/>
  <c r="VH22" i="3" s="1"/>
  <c r="VG20" i="3"/>
  <c r="VG22" i="3" s="1"/>
  <c r="VF20" i="3"/>
  <c r="VF22" i="3" s="1"/>
  <c r="VE20" i="3"/>
  <c r="VE22" i="3" s="1"/>
  <c r="VD20" i="3"/>
  <c r="VD22" i="3" s="1"/>
  <c r="VC20" i="3"/>
  <c r="VC22" i="3" s="1"/>
  <c r="VB20" i="3"/>
  <c r="VB22" i="3" s="1"/>
  <c r="VA20" i="3"/>
  <c r="VA22" i="3" s="1"/>
  <c r="UZ20" i="3"/>
  <c r="UZ22" i="3" s="1"/>
  <c r="WB22" i="3" s="1"/>
  <c r="UX20" i="3"/>
  <c r="UX22" i="3" s="1"/>
  <c r="UW20" i="3"/>
  <c r="UW22" i="3" s="1"/>
  <c r="UV20" i="3"/>
  <c r="UV22" i="3" s="1"/>
  <c r="UU20" i="3"/>
  <c r="UU22" i="3" s="1"/>
  <c r="UT20" i="3"/>
  <c r="UT22" i="3" s="1"/>
  <c r="US20" i="3"/>
  <c r="US22" i="3" s="1"/>
  <c r="UR20" i="3"/>
  <c r="UR22" i="3" s="1"/>
  <c r="UQ20" i="3"/>
  <c r="UQ22" i="3" s="1"/>
  <c r="UP20" i="3"/>
  <c r="UP22" i="3" s="1"/>
  <c r="UO20" i="3"/>
  <c r="UO22" i="3" s="1"/>
  <c r="UN20" i="3"/>
  <c r="UN22" i="3" s="1"/>
  <c r="UM20" i="3"/>
  <c r="UM22" i="3" s="1"/>
  <c r="UL20" i="3"/>
  <c r="UL22" i="3" s="1"/>
  <c r="UK20" i="3"/>
  <c r="UK22" i="3" s="1"/>
  <c r="UJ20" i="3"/>
  <c r="UJ22" i="3" s="1"/>
  <c r="UI20" i="3"/>
  <c r="UI22" i="3" s="1"/>
  <c r="UH20" i="3"/>
  <c r="UH22" i="3" s="1"/>
  <c r="UG20" i="3"/>
  <c r="UG22" i="3" s="1"/>
  <c r="UF20" i="3"/>
  <c r="UF22" i="3" s="1"/>
  <c r="UE20" i="3"/>
  <c r="UE22" i="3" s="1"/>
  <c r="UD20" i="3"/>
  <c r="UD22" i="3" s="1"/>
  <c r="UC20" i="3"/>
  <c r="UC22" i="3" s="1"/>
  <c r="UB20" i="3"/>
  <c r="UB22" i="3" s="1"/>
  <c r="UA20" i="3"/>
  <c r="UA22" i="3" s="1"/>
  <c r="TZ20" i="3"/>
  <c r="TZ22" i="3" s="1"/>
  <c r="TY20" i="3"/>
  <c r="TY22" i="3" s="1"/>
  <c r="TX20" i="3"/>
  <c r="TX22" i="3" s="1"/>
  <c r="TW20" i="3"/>
  <c r="TW22" i="3" s="1"/>
  <c r="TV20" i="3"/>
  <c r="TV22" i="3" s="1"/>
  <c r="TU20" i="3"/>
  <c r="TU22" i="3" s="1"/>
  <c r="TT20" i="3"/>
  <c r="TT22" i="3" s="1"/>
  <c r="UY22" i="3" s="1"/>
  <c r="TR20" i="3"/>
  <c r="TR22" i="3" s="1"/>
  <c r="TQ20" i="3"/>
  <c r="TQ22" i="3" s="1"/>
  <c r="TP20" i="3"/>
  <c r="TP22" i="3" s="1"/>
  <c r="TO20" i="3"/>
  <c r="TO22" i="3" s="1"/>
  <c r="TN20" i="3"/>
  <c r="TN22" i="3" s="1"/>
  <c r="TM20" i="3"/>
  <c r="TM22" i="3" s="1"/>
  <c r="TL20" i="3"/>
  <c r="TL22" i="3" s="1"/>
  <c r="TK20" i="3"/>
  <c r="TK22" i="3" s="1"/>
  <c r="TJ20" i="3"/>
  <c r="TJ22" i="3" s="1"/>
  <c r="TI20" i="3"/>
  <c r="TI22" i="3" s="1"/>
  <c r="TH20" i="3"/>
  <c r="TH22" i="3" s="1"/>
  <c r="TG20" i="3"/>
  <c r="TG22" i="3" s="1"/>
  <c r="TF20" i="3"/>
  <c r="TF22" i="3" s="1"/>
  <c r="TE20" i="3"/>
  <c r="TE22" i="3" s="1"/>
  <c r="TD20" i="3"/>
  <c r="TD22" i="3" s="1"/>
  <c r="TC20" i="3"/>
  <c r="TC22" i="3" s="1"/>
  <c r="TB20" i="3"/>
  <c r="TB22" i="3" s="1"/>
  <c r="TA20" i="3"/>
  <c r="TA22" i="3" s="1"/>
  <c r="SZ20" i="3"/>
  <c r="SZ22" i="3" s="1"/>
  <c r="SY20" i="3"/>
  <c r="SY22" i="3" s="1"/>
  <c r="SX20" i="3"/>
  <c r="SX22" i="3" s="1"/>
  <c r="SW20" i="3"/>
  <c r="SW22" i="3" s="1"/>
  <c r="SV20" i="3"/>
  <c r="SV22" i="3" s="1"/>
  <c r="SU20" i="3"/>
  <c r="SU22" i="3" s="1"/>
  <c r="ST20" i="3"/>
  <c r="ST22" i="3" s="1"/>
  <c r="SS20" i="3"/>
  <c r="SS22" i="3" s="1"/>
  <c r="SR20" i="3"/>
  <c r="SR22" i="3" s="1"/>
  <c r="SQ20" i="3"/>
  <c r="SQ22" i="3" s="1"/>
  <c r="SP20" i="3"/>
  <c r="SP22" i="3" s="1"/>
  <c r="SO20" i="3"/>
  <c r="SO22" i="3" s="1"/>
  <c r="TS22" i="3" s="1"/>
  <c r="SN20" i="3"/>
  <c r="SN22" i="3" s="1"/>
  <c r="SL20" i="3"/>
  <c r="SL22" i="3" s="1"/>
  <c r="SK20" i="3"/>
  <c r="SK22" i="3" s="1"/>
  <c r="SJ20" i="3"/>
  <c r="SJ22" i="3" s="1"/>
  <c r="SI20" i="3"/>
  <c r="SI22" i="3" s="1"/>
  <c r="SH20" i="3"/>
  <c r="SH22" i="3" s="1"/>
  <c r="SG20" i="3"/>
  <c r="SG22" i="3" s="1"/>
  <c r="SF20" i="3"/>
  <c r="SF22" i="3" s="1"/>
  <c r="SE20" i="3"/>
  <c r="SE22" i="3" s="1"/>
  <c r="SD20" i="3"/>
  <c r="SD22" i="3" s="1"/>
  <c r="SC20" i="3"/>
  <c r="SC22" i="3" s="1"/>
  <c r="SB20" i="3"/>
  <c r="SB22" i="3" s="1"/>
  <c r="SA20" i="3"/>
  <c r="SA22" i="3" s="1"/>
  <c r="RZ20" i="3"/>
  <c r="RZ22" i="3" s="1"/>
  <c r="RY20" i="3"/>
  <c r="RY22" i="3" s="1"/>
  <c r="RX20" i="3"/>
  <c r="RX22" i="3" s="1"/>
  <c r="RW20" i="3"/>
  <c r="RW22" i="3" s="1"/>
  <c r="RV20" i="3"/>
  <c r="RV22" i="3" s="1"/>
  <c r="RU20" i="3"/>
  <c r="RU22" i="3" s="1"/>
  <c r="RT20" i="3"/>
  <c r="RT22" i="3" s="1"/>
  <c r="RS20" i="3"/>
  <c r="RS22" i="3" s="1"/>
  <c r="RR20" i="3"/>
  <c r="RR22" i="3" s="1"/>
  <c r="RQ20" i="3"/>
  <c r="RQ22" i="3" s="1"/>
  <c r="RP20" i="3"/>
  <c r="RP22" i="3" s="1"/>
  <c r="RO20" i="3"/>
  <c r="RO22" i="3" s="1"/>
  <c r="RN20" i="3"/>
  <c r="RN22" i="3" s="1"/>
  <c r="RM20" i="3"/>
  <c r="RM22" i="3" s="1"/>
  <c r="RL20" i="3"/>
  <c r="RL22" i="3" s="1"/>
  <c r="RK20" i="3"/>
  <c r="RK22" i="3" s="1"/>
  <c r="RJ20" i="3"/>
  <c r="RJ22" i="3" s="1"/>
  <c r="RI20" i="3"/>
  <c r="RI22" i="3" s="1"/>
  <c r="SM22" i="3" s="1"/>
  <c r="RG20" i="3"/>
  <c r="RG22" i="3" s="1"/>
  <c r="RF20" i="3"/>
  <c r="RF22" i="3" s="1"/>
  <c r="RE20" i="3"/>
  <c r="RE22" i="3" s="1"/>
  <c r="RD20" i="3"/>
  <c r="RD22" i="3" s="1"/>
  <c r="RC20" i="3"/>
  <c r="RC22" i="3" s="1"/>
  <c r="RB20" i="3"/>
  <c r="RB22" i="3" s="1"/>
  <c r="RA20" i="3"/>
  <c r="RA22" i="3" s="1"/>
  <c r="QZ20" i="3"/>
  <c r="QZ22" i="3" s="1"/>
  <c r="QY20" i="3"/>
  <c r="QY22" i="3" s="1"/>
  <c r="QX20" i="3"/>
  <c r="QX22" i="3" s="1"/>
  <c r="QW20" i="3"/>
  <c r="QW22" i="3" s="1"/>
  <c r="QV20" i="3"/>
  <c r="QV22" i="3" s="1"/>
  <c r="QU20" i="3"/>
  <c r="QU22" i="3" s="1"/>
  <c r="QT20" i="3"/>
  <c r="QT22" i="3" s="1"/>
  <c r="QS20" i="3"/>
  <c r="QS22" i="3" s="1"/>
  <c r="QR20" i="3"/>
  <c r="QR22" i="3" s="1"/>
  <c r="QQ20" i="3"/>
  <c r="QQ22" i="3" s="1"/>
  <c r="QP20" i="3"/>
  <c r="QP22" i="3" s="1"/>
  <c r="QO20" i="3"/>
  <c r="QO22" i="3" s="1"/>
  <c r="QN20" i="3"/>
  <c r="QN22" i="3" s="1"/>
  <c r="QM20" i="3"/>
  <c r="QM22" i="3" s="1"/>
  <c r="QL20" i="3"/>
  <c r="QL22" i="3" s="1"/>
  <c r="QK20" i="3"/>
  <c r="QK22" i="3" s="1"/>
  <c r="QJ20" i="3"/>
  <c r="QJ22" i="3" s="1"/>
  <c r="QI20" i="3"/>
  <c r="QI22" i="3" s="1"/>
  <c r="QH20" i="3"/>
  <c r="QH22" i="3" s="1"/>
  <c r="QG20" i="3"/>
  <c r="QG22" i="3" s="1"/>
  <c r="QF20" i="3"/>
  <c r="QF22" i="3" s="1"/>
  <c r="QE20" i="3"/>
  <c r="QE22" i="3" s="1"/>
  <c r="QD20" i="3"/>
  <c r="QD22" i="3" s="1"/>
  <c r="RH22" i="3" s="1"/>
  <c r="QC20" i="3"/>
  <c r="QC22" i="3" s="1"/>
  <c r="QA20" i="3"/>
  <c r="QA22" i="3" s="1"/>
  <c r="PZ20" i="3"/>
  <c r="PZ22" i="3" s="1"/>
  <c r="PY20" i="3"/>
  <c r="PY22" i="3" s="1"/>
  <c r="PX20" i="3"/>
  <c r="PX22" i="3" s="1"/>
  <c r="PW20" i="3"/>
  <c r="PW22" i="3" s="1"/>
  <c r="PV20" i="3"/>
  <c r="PV22" i="3" s="1"/>
  <c r="PU20" i="3"/>
  <c r="PU22" i="3" s="1"/>
  <c r="PT20" i="3"/>
  <c r="PT22" i="3" s="1"/>
  <c r="PS20" i="3"/>
  <c r="PS22" i="3" s="1"/>
  <c r="PR20" i="3"/>
  <c r="PR22" i="3" s="1"/>
  <c r="PQ20" i="3"/>
  <c r="PQ22" i="3" s="1"/>
  <c r="PP20" i="3"/>
  <c r="PP22" i="3" s="1"/>
  <c r="PO20" i="3"/>
  <c r="PO22" i="3" s="1"/>
  <c r="PN20" i="3"/>
  <c r="PN22" i="3" s="1"/>
  <c r="PM20" i="3"/>
  <c r="PM22" i="3" s="1"/>
  <c r="PL20" i="3"/>
  <c r="PL22" i="3" s="1"/>
  <c r="PK20" i="3"/>
  <c r="PK22" i="3" s="1"/>
  <c r="PJ20" i="3"/>
  <c r="PJ22" i="3" s="1"/>
  <c r="PI20" i="3"/>
  <c r="PI22" i="3" s="1"/>
  <c r="PH20" i="3"/>
  <c r="PH22" i="3" s="1"/>
  <c r="PG20" i="3"/>
  <c r="PG22" i="3" s="1"/>
  <c r="PF20" i="3"/>
  <c r="PF22" i="3" s="1"/>
  <c r="PE20" i="3"/>
  <c r="PE22" i="3" s="1"/>
  <c r="PD20" i="3"/>
  <c r="PD22" i="3" s="1"/>
  <c r="PC20" i="3"/>
  <c r="PC22" i="3" s="1"/>
  <c r="PB20" i="3"/>
  <c r="PB22" i="3" s="1"/>
  <c r="PA20" i="3"/>
  <c r="PA22" i="3" s="1"/>
  <c r="OZ20" i="3"/>
  <c r="OZ22" i="3" s="1"/>
  <c r="OY20" i="3"/>
  <c r="OY22" i="3" s="1"/>
  <c r="OX20" i="3"/>
  <c r="OX22" i="3" s="1"/>
  <c r="QB22" i="3" s="1"/>
  <c r="OV20" i="3"/>
  <c r="OV22" i="3" s="1"/>
  <c r="OU20" i="3"/>
  <c r="OU22" i="3" s="1"/>
  <c r="OT20" i="3"/>
  <c r="OT22" i="3" s="1"/>
  <c r="OS20" i="3"/>
  <c r="OS22" i="3" s="1"/>
  <c r="OR20" i="3"/>
  <c r="OR22" i="3" s="1"/>
  <c r="OQ20" i="3"/>
  <c r="OQ22" i="3" s="1"/>
  <c r="OP20" i="3"/>
  <c r="OP22" i="3" s="1"/>
  <c r="OO20" i="3"/>
  <c r="OO22" i="3" s="1"/>
  <c r="ON20" i="3"/>
  <c r="ON22" i="3" s="1"/>
  <c r="OM20" i="3"/>
  <c r="OM22" i="3" s="1"/>
  <c r="OL20" i="3"/>
  <c r="OL22" i="3" s="1"/>
  <c r="OK20" i="3"/>
  <c r="OK22" i="3" s="1"/>
  <c r="OJ20" i="3"/>
  <c r="OJ22" i="3" s="1"/>
  <c r="OI20" i="3"/>
  <c r="OI22" i="3" s="1"/>
  <c r="OH20" i="3"/>
  <c r="OH22" i="3" s="1"/>
  <c r="OG20" i="3"/>
  <c r="OG22" i="3" s="1"/>
  <c r="OF20" i="3"/>
  <c r="OF22" i="3" s="1"/>
  <c r="OE20" i="3"/>
  <c r="OE22" i="3" s="1"/>
  <c r="OD20" i="3"/>
  <c r="OD22" i="3" s="1"/>
  <c r="OC20" i="3"/>
  <c r="OC22" i="3" s="1"/>
  <c r="OB20" i="3"/>
  <c r="OB22" i="3" s="1"/>
  <c r="OA20" i="3"/>
  <c r="OA22" i="3" s="1"/>
  <c r="NZ20" i="3"/>
  <c r="NZ22" i="3" s="1"/>
  <c r="NY20" i="3"/>
  <c r="NY22" i="3" s="1"/>
  <c r="NX20" i="3"/>
  <c r="NX22" i="3" s="1"/>
  <c r="NW20" i="3"/>
  <c r="NW22" i="3" s="1"/>
  <c r="NV20" i="3"/>
  <c r="NV22" i="3" s="1"/>
  <c r="NU20" i="3"/>
  <c r="NU22" i="3" s="1"/>
  <c r="NT20" i="3"/>
  <c r="NT22" i="3" s="1"/>
  <c r="NS20" i="3"/>
  <c r="NS22" i="3" s="1"/>
  <c r="NR20" i="3"/>
  <c r="NR22" i="3" s="1"/>
  <c r="OW22" i="3" s="1"/>
  <c r="NP20" i="3"/>
  <c r="NP22" i="3" s="1"/>
  <c r="NO20" i="3"/>
  <c r="NO22" i="3" s="1"/>
  <c r="NN20" i="3"/>
  <c r="NN22" i="3" s="1"/>
  <c r="NM20" i="3"/>
  <c r="NM22" i="3" s="1"/>
  <c r="NL20" i="3"/>
  <c r="NL22" i="3" s="1"/>
  <c r="NK20" i="3"/>
  <c r="NK22" i="3" s="1"/>
  <c r="NJ20" i="3"/>
  <c r="NJ22" i="3" s="1"/>
  <c r="NI20" i="3"/>
  <c r="NI22" i="3" s="1"/>
  <c r="NH20" i="3"/>
  <c r="NH22" i="3" s="1"/>
  <c r="NG20" i="3"/>
  <c r="NG22" i="3" s="1"/>
  <c r="NF20" i="3"/>
  <c r="NF22" i="3" s="1"/>
  <c r="NE20" i="3"/>
  <c r="NE22" i="3" s="1"/>
  <c r="ND20" i="3"/>
  <c r="ND22" i="3" s="1"/>
  <c r="NC20" i="3"/>
  <c r="NC22" i="3" s="1"/>
  <c r="NB20" i="3"/>
  <c r="NB22" i="3" s="1"/>
  <c r="NA20" i="3"/>
  <c r="NA22" i="3" s="1"/>
  <c r="MZ20" i="3"/>
  <c r="MZ22" i="3" s="1"/>
  <c r="MY20" i="3"/>
  <c r="MY22" i="3" s="1"/>
  <c r="MX20" i="3"/>
  <c r="MX22" i="3" s="1"/>
  <c r="MW20" i="3"/>
  <c r="MW22" i="3" s="1"/>
  <c r="MV20" i="3"/>
  <c r="MV22" i="3" s="1"/>
  <c r="MU20" i="3"/>
  <c r="MU22" i="3" s="1"/>
  <c r="MT20" i="3"/>
  <c r="MT22" i="3" s="1"/>
  <c r="MS20" i="3"/>
  <c r="MS22" i="3" s="1"/>
  <c r="MR20" i="3"/>
  <c r="MR22" i="3" s="1"/>
  <c r="MQ20" i="3"/>
  <c r="MQ22" i="3" s="1"/>
  <c r="MP20" i="3"/>
  <c r="MP22" i="3" s="1"/>
  <c r="MO20" i="3"/>
  <c r="MO22" i="3" s="1"/>
  <c r="MN20" i="3"/>
  <c r="MN22" i="3" s="1"/>
  <c r="MM20" i="3"/>
  <c r="MM22" i="3" s="1"/>
  <c r="ML20" i="3"/>
  <c r="ML22" i="3" s="1"/>
  <c r="NQ22" i="3" s="1"/>
  <c r="MJ20" i="3"/>
  <c r="MJ22" i="3" s="1"/>
  <c r="MI20" i="3"/>
  <c r="MI22" i="3" s="1"/>
  <c r="MH20" i="3"/>
  <c r="MH22" i="3" s="1"/>
  <c r="MG20" i="3"/>
  <c r="MG22" i="3" s="1"/>
  <c r="MF20" i="3"/>
  <c r="MF22" i="3" s="1"/>
  <c r="ME20" i="3"/>
  <c r="ME22" i="3" s="1"/>
  <c r="MD20" i="3"/>
  <c r="MD22" i="3" s="1"/>
  <c r="MC20" i="3"/>
  <c r="MC22" i="3" s="1"/>
  <c r="MB20" i="3"/>
  <c r="MB22" i="3" s="1"/>
  <c r="MA20" i="3"/>
  <c r="MA22" i="3" s="1"/>
  <c r="LZ20" i="3"/>
  <c r="LZ22" i="3" s="1"/>
  <c r="LY20" i="3"/>
  <c r="LY22" i="3" s="1"/>
  <c r="LX20" i="3"/>
  <c r="LX22" i="3" s="1"/>
  <c r="LW20" i="3"/>
  <c r="LW22" i="3" s="1"/>
  <c r="LV20" i="3"/>
  <c r="LV22" i="3" s="1"/>
  <c r="LU20" i="3"/>
  <c r="LU22" i="3" s="1"/>
  <c r="LT20" i="3"/>
  <c r="LT22" i="3" s="1"/>
  <c r="LS20" i="3"/>
  <c r="LS22" i="3" s="1"/>
  <c r="LR20" i="3"/>
  <c r="LR22" i="3" s="1"/>
  <c r="LQ20" i="3"/>
  <c r="LQ22" i="3" s="1"/>
  <c r="LP20" i="3"/>
  <c r="LP22" i="3" s="1"/>
  <c r="LO20" i="3"/>
  <c r="LO22" i="3" s="1"/>
  <c r="LN20" i="3"/>
  <c r="LN22" i="3" s="1"/>
  <c r="LM20" i="3"/>
  <c r="LM22" i="3" s="1"/>
  <c r="LL20" i="3"/>
  <c r="LL22" i="3" s="1"/>
  <c r="LK20" i="3"/>
  <c r="LK22" i="3" s="1"/>
  <c r="LJ20" i="3"/>
  <c r="LJ22" i="3" s="1"/>
  <c r="LI20" i="3"/>
  <c r="LI22" i="3" s="1"/>
  <c r="LH20" i="3"/>
  <c r="LH22" i="3" s="1"/>
  <c r="LG20" i="3"/>
  <c r="LG22" i="3" s="1"/>
  <c r="LE20" i="3"/>
  <c r="LE22" i="3" s="1"/>
  <c r="LD20" i="3"/>
  <c r="LD22" i="3" s="1"/>
  <c r="LC20" i="3"/>
  <c r="LC22" i="3" s="1"/>
  <c r="LB20" i="3"/>
  <c r="LB22" i="3" s="1"/>
  <c r="LA20" i="3"/>
  <c r="LA22" i="3" s="1"/>
  <c r="KZ20" i="3"/>
  <c r="KZ22" i="3" s="1"/>
  <c r="KY20" i="3"/>
  <c r="KY22" i="3" s="1"/>
  <c r="KX20" i="3"/>
  <c r="KX22" i="3" s="1"/>
  <c r="KW20" i="3"/>
  <c r="KW22" i="3" s="1"/>
  <c r="KV20" i="3"/>
  <c r="KV22" i="3" s="1"/>
  <c r="KU20" i="3"/>
  <c r="KU22" i="3" s="1"/>
  <c r="KT20" i="3"/>
  <c r="KT22" i="3" s="1"/>
  <c r="KS20" i="3"/>
  <c r="KS22" i="3" s="1"/>
  <c r="KR20" i="3"/>
  <c r="KR22" i="3" s="1"/>
  <c r="KQ20" i="3"/>
  <c r="KQ22" i="3" s="1"/>
  <c r="KP20" i="3"/>
  <c r="KP22" i="3" s="1"/>
  <c r="KO20" i="3"/>
  <c r="KO22" i="3" s="1"/>
  <c r="KN20" i="3"/>
  <c r="KN22" i="3" s="1"/>
  <c r="KM20" i="3"/>
  <c r="KM22" i="3" s="1"/>
  <c r="KL20" i="3"/>
  <c r="KL22" i="3" s="1"/>
  <c r="KK20" i="3"/>
  <c r="KK22" i="3" s="1"/>
  <c r="KJ20" i="3"/>
  <c r="KJ22" i="3" s="1"/>
  <c r="KI20" i="3"/>
  <c r="KI22" i="3" s="1"/>
  <c r="KH20" i="3"/>
  <c r="KH22" i="3" s="1"/>
  <c r="KG20" i="3"/>
  <c r="KG22" i="3" s="1"/>
  <c r="KF20" i="3"/>
  <c r="KF22" i="3" s="1"/>
  <c r="KE20" i="3"/>
  <c r="KE22" i="3" s="1"/>
  <c r="KD20" i="3"/>
  <c r="KD22" i="3" s="1"/>
  <c r="KC20" i="3"/>
  <c r="KC22" i="3" s="1"/>
  <c r="KB20" i="3"/>
  <c r="KB22" i="3" s="1"/>
  <c r="KA20" i="3"/>
  <c r="KA22" i="3" s="1"/>
  <c r="LF22" i="3" s="1"/>
  <c r="JY20" i="3"/>
  <c r="JY22" i="3" s="1"/>
  <c r="JX20" i="3"/>
  <c r="JX22" i="3" s="1"/>
  <c r="JW20" i="3"/>
  <c r="JW22" i="3" s="1"/>
  <c r="JV20" i="3"/>
  <c r="JV22" i="3" s="1"/>
  <c r="JU20" i="3"/>
  <c r="JU22" i="3" s="1"/>
  <c r="JT20" i="3"/>
  <c r="JT22" i="3" s="1"/>
  <c r="JS20" i="3"/>
  <c r="JS22" i="3" s="1"/>
  <c r="JR20" i="3"/>
  <c r="JR22" i="3" s="1"/>
  <c r="JQ20" i="3"/>
  <c r="JQ22" i="3" s="1"/>
  <c r="JP20" i="3"/>
  <c r="JP22" i="3" s="1"/>
  <c r="JO20" i="3"/>
  <c r="JO22" i="3" s="1"/>
  <c r="JN20" i="3"/>
  <c r="JN22" i="3" s="1"/>
  <c r="JM20" i="3"/>
  <c r="JM22" i="3" s="1"/>
  <c r="JL20" i="3"/>
  <c r="JL22" i="3" s="1"/>
  <c r="JK20" i="3"/>
  <c r="JK22" i="3" s="1"/>
  <c r="JJ20" i="3"/>
  <c r="JJ22" i="3" s="1"/>
  <c r="JI20" i="3"/>
  <c r="JI22" i="3" s="1"/>
  <c r="JH20" i="3"/>
  <c r="JH22" i="3" s="1"/>
  <c r="JG20" i="3"/>
  <c r="JG22" i="3" s="1"/>
  <c r="JF20" i="3"/>
  <c r="JF22" i="3" s="1"/>
  <c r="JE20" i="3"/>
  <c r="JE22" i="3" s="1"/>
  <c r="JD20" i="3"/>
  <c r="JD22" i="3" s="1"/>
  <c r="JC20" i="3"/>
  <c r="JC22" i="3" s="1"/>
  <c r="JB20" i="3"/>
  <c r="JB22" i="3" s="1"/>
  <c r="JA20" i="3"/>
  <c r="JA22" i="3" s="1"/>
  <c r="IZ20" i="3"/>
  <c r="IZ22" i="3" s="1"/>
  <c r="IY20" i="3"/>
  <c r="IY22" i="3" s="1"/>
  <c r="IX20" i="3"/>
  <c r="IX22" i="3" s="1"/>
  <c r="IW20" i="3"/>
  <c r="IW22" i="3" s="1"/>
  <c r="IV20" i="3"/>
  <c r="IV22" i="3" s="1"/>
  <c r="JZ22" i="3" s="1"/>
  <c r="IT20" i="3"/>
  <c r="IT22" i="3" s="1"/>
  <c r="IS20" i="3"/>
  <c r="IS22" i="3" s="1"/>
  <c r="IR20" i="3"/>
  <c r="IR22" i="3" s="1"/>
  <c r="IQ20" i="3"/>
  <c r="IQ22" i="3" s="1"/>
  <c r="IP20" i="3"/>
  <c r="IP22" i="3" s="1"/>
  <c r="IO20" i="3"/>
  <c r="IO22" i="3" s="1"/>
  <c r="IN20" i="3"/>
  <c r="IN22" i="3" s="1"/>
  <c r="IM20" i="3"/>
  <c r="IM22" i="3" s="1"/>
  <c r="IL20" i="3"/>
  <c r="IL22" i="3" s="1"/>
  <c r="IK20" i="3"/>
  <c r="IK22" i="3" s="1"/>
  <c r="IJ20" i="3"/>
  <c r="IJ22" i="3" s="1"/>
  <c r="II20" i="3"/>
  <c r="II22" i="3" s="1"/>
  <c r="IH20" i="3"/>
  <c r="IH22" i="3" s="1"/>
  <c r="IG20" i="3"/>
  <c r="IG22" i="3" s="1"/>
  <c r="IF20" i="3"/>
  <c r="IF22" i="3" s="1"/>
  <c r="IE20" i="3"/>
  <c r="IE22" i="3" s="1"/>
  <c r="ID20" i="3"/>
  <c r="ID22" i="3" s="1"/>
  <c r="IC20" i="3"/>
  <c r="IC22" i="3" s="1"/>
  <c r="IB20" i="3"/>
  <c r="IB22" i="3" s="1"/>
  <c r="IA20" i="3"/>
  <c r="IA22" i="3" s="1"/>
  <c r="HZ20" i="3"/>
  <c r="HZ22" i="3" s="1"/>
  <c r="HY20" i="3"/>
  <c r="HY22" i="3" s="1"/>
  <c r="HX20" i="3"/>
  <c r="HX22" i="3" s="1"/>
  <c r="HW20" i="3"/>
  <c r="HW22" i="3" s="1"/>
  <c r="HV20" i="3"/>
  <c r="HV22" i="3" s="1"/>
  <c r="HU20" i="3"/>
  <c r="HU22" i="3" s="1"/>
  <c r="HT20" i="3"/>
  <c r="HT22" i="3" s="1"/>
  <c r="HS20" i="3"/>
  <c r="HS22" i="3" s="1"/>
  <c r="HR20" i="3"/>
  <c r="HR22" i="3" s="1"/>
  <c r="HQ20" i="3"/>
  <c r="HQ22" i="3" s="1"/>
  <c r="HP20" i="3"/>
  <c r="HP22" i="3" s="1"/>
  <c r="HN20" i="3"/>
  <c r="HN22" i="3" s="1"/>
  <c r="HM20" i="3"/>
  <c r="HM22" i="3" s="1"/>
  <c r="HL20" i="3"/>
  <c r="HL22" i="3" s="1"/>
  <c r="HK20" i="3"/>
  <c r="HK22" i="3" s="1"/>
  <c r="HJ20" i="3"/>
  <c r="HJ22" i="3" s="1"/>
  <c r="HI20" i="3"/>
  <c r="HI22" i="3" s="1"/>
  <c r="HH20" i="3"/>
  <c r="HH22" i="3" s="1"/>
  <c r="HG20" i="3"/>
  <c r="HG22" i="3" s="1"/>
  <c r="HF20" i="3"/>
  <c r="HF22" i="3" s="1"/>
  <c r="HE20" i="3"/>
  <c r="HE22" i="3" s="1"/>
  <c r="HD20" i="3"/>
  <c r="HD22" i="3" s="1"/>
  <c r="HC20" i="3"/>
  <c r="HC22" i="3" s="1"/>
  <c r="HB20" i="3"/>
  <c r="HB22" i="3" s="1"/>
  <c r="HA20" i="3"/>
  <c r="HA22" i="3" s="1"/>
  <c r="GZ20" i="3"/>
  <c r="GZ22" i="3" s="1"/>
  <c r="GY20" i="3"/>
  <c r="GY22" i="3" s="1"/>
  <c r="GX20" i="3"/>
  <c r="GX22" i="3" s="1"/>
  <c r="GW20" i="3"/>
  <c r="GW22" i="3" s="1"/>
  <c r="GV20" i="3"/>
  <c r="GV22" i="3" s="1"/>
  <c r="GU20" i="3"/>
  <c r="GU22" i="3" s="1"/>
  <c r="GT20" i="3"/>
  <c r="GT22" i="3" s="1"/>
  <c r="GS20" i="3"/>
  <c r="GS22" i="3" s="1"/>
  <c r="GR20" i="3"/>
  <c r="GR22" i="3" s="1"/>
  <c r="GQ20" i="3"/>
  <c r="GQ22" i="3" s="1"/>
  <c r="GP20" i="3"/>
  <c r="GP22" i="3" s="1"/>
  <c r="GO20" i="3"/>
  <c r="GO22" i="3" s="1"/>
  <c r="GN20" i="3"/>
  <c r="GN22" i="3" s="1"/>
  <c r="GM20" i="3"/>
  <c r="GM22" i="3" s="1"/>
  <c r="GL20" i="3"/>
  <c r="GL22" i="3" s="1"/>
  <c r="GJ20" i="3"/>
  <c r="GJ22" i="3" s="1"/>
  <c r="GI20" i="3"/>
  <c r="GI22" i="3" s="1"/>
  <c r="GH20" i="3"/>
  <c r="GH22" i="3" s="1"/>
  <c r="GG20" i="3"/>
  <c r="GG22" i="3" s="1"/>
  <c r="GF20" i="3"/>
  <c r="GF22" i="3" s="1"/>
  <c r="GE20" i="3"/>
  <c r="GE22" i="3" s="1"/>
  <c r="GD20" i="3"/>
  <c r="GD22" i="3" s="1"/>
  <c r="GC20" i="3"/>
  <c r="GC22" i="3" s="1"/>
  <c r="GB20" i="3"/>
  <c r="GB22" i="3" s="1"/>
  <c r="GA20" i="3"/>
  <c r="GA22" i="3" s="1"/>
  <c r="FZ20" i="3"/>
  <c r="FZ22" i="3" s="1"/>
  <c r="FY20" i="3"/>
  <c r="FY22" i="3" s="1"/>
  <c r="FX20" i="3"/>
  <c r="FX22" i="3" s="1"/>
  <c r="FW20" i="3"/>
  <c r="FW22" i="3" s="1"/>
  <c r="FV20" i="3"/>
  <c r="FV22" i="3" s="1"/>
  <c r="FU20" i="3"/>
  <c r="FU22" i="3" s="1"/>
  <c r="FT20" i="3"/>
  <c r="FT22" i="3" s="1"/>
  <c r="FS20" i="3"/>
  <c r="FS22" i="3" s="1"/>
  <c r="FR20" i="3"/>
  <c r="FR22" i="3" s="1"/>
  <c r="FQ20" i="3"/>
  <c r="FQ22" i="3" s="1"/>
  <c r="FP20" i="3"/>
  <c r="FP22" i="3" s="1"/>
  <c r="FO20" i="3"/>
  <c r="FO22" i="3" s="1"/>
  <c r="FN20" i="3"/>
  <c r="FN22" i="3" s="1"/>
  <c r="FM20" i="3"/>
  <c r="FM22" i="3" s="1"/>
  <c r="FL20" i="3"/>
  <c r="FL22" i="3" s="1"/>
  <c r="FK20" i="3"/>
  <c r="FK22" i="3" s="1"/>
  <c r="FJ20" i="3"/>
  <c r="FJ22" i="3" s="1"/>
  <c r="FI20" i="3"/>
  <c r="FI22" i="3" s="1"/>
  <c r="FH20" i="3"/>
  <c r="FH22" i="3" s="1"/>
  <c r="FG20" i="3"/>
  <c r="FG22" i="3" s="1"/>
  <c r="FF20" i="3"/>
  <c r="FF22" i="3" s="1"/>
  <c r="FD20" i="3"/>
  <c r="FD22" i="3" s="1"/>
  <c r="FC20" i="3"/>
  <c r="FC22" i="3" s="1"/>
  <c r="FB20" i="3"/>
  <c r="FB22" i="3" s="1"/>
  <c r="FA20" i="3"/>
  <c r="FA22" i="3" s="1"/>
  <c r="EZ20" i="3"/>
  <c r="EZ22" i="3" s="1"/>
  <c r="EY20" i="3"/>
  <c r="EY22" i="3" s="1"/>
  <c r="EX20" i="3"/>
  <c r="EX22" i="3" s="1"/>
  <c r="EW20" i="3"/>
  <c r="EW22" i="3" s="1"/>
  <c r="EV20" i="3"/>
  <c r="EV22" i="3" s="1"/>
  <c r="EU20" i="3"/>
  <c r="EU22" i="3" s="1"/>
  <c r="ET20" i="3"/>
  <c r="ET22" i="3" s="1"/>
  <c r="ES20" i="3"/>
  <c r="ES22" i="3" s="1"/>
  <c r="ER20" i="3"/>
  <c r="ER22" i="3" s="1"/>
  <c r="EQ20" i="3"/>
  <c r="EQ22" i="3" s="1"/>
  <c r="EP20" i="3"/>
  <c r="EP22" i="3" s="1"/>
  <c r="EO20" i="3"/>
  <c r="EO22" i="3" s="1"/>
  <c r="EN20" i="3"/>
  <c r="EN22" i="3" s="1"/>
  <c r="EM20" i="3"/>
  <c r="EM22" i="3" s="1"/>
  <c r="EL20" i="3"/>
  <c r="EL22" i="3" s="1"/>
  <c r="EK20" i="3"/>
  <c r="EK22" i="3" s="1"/>
  <c r="EJ20" i="3"/>
  <c r="EJ22" i="3" s="1"/>
  <c r="EI20" i="3"/>
  <c r="EI22" i="3" s="1"/>
  <c r="EH20" i="3"/>
  <c r="EH22" i="3" s="1"/>
  <c r="EG20" i="3"/>
  <c r="EG22" i="3" s="1"/>
  <c r="EF20" i="3"/>
  <c r="EF22" i="3" s="1"/>
  <c r="EE20" i="3"/>
  <c r="EE22" i="3" s="1"/>
  <c r="ED20" i="3"/>
  <c r="ED22" i="3" s="1"/>
  <c r="EC20" i="3"/>
  <c r="EC22" i="3" s="1"/>
  <c r="EB20" i="3"/>
  <c r="EB22" i="3" s="1"/>
  <c r="EA20" i="3"/>
  <c r="EA22" i="3" s="1"/>
  <c r="DZ20" i="3"/>
  <c r="DZ22" i="3" s="1"/>
  <c r="FE22" i="3" s="1"/>
  <c r="DX20" i="3"/>
  <c r="DX22" i="3" s="1"/>
  <c r="DW20" i="3"/>
  <c r="DW22" i="3" s="1"/>
  <c r="DV20" i="3"/>
  <c r="DV22" i="3" s="1"/>
  <c r="DU20" i="3"/>
  <c r="DU22" i="3" s="1"/>
  <c r="DT20" i="3"/>
  <c r="DT22" i="3" s="1"/>
  <c r="DS20" i="3"/>
  <c r="DS22" i="3" s="1"/>
  <c r="DR20" i="3"/>
  <c r="DR22" i="3" s="1"/>
  <c r="DQ20" i="3"/>
  <c r="DQ22" i="3" s="1"/>
  <c r="DP20" i="3"/>
  <c r="DP22" i="3" s="1"/>
  <c r="DO20" i="3"/>
  <c r="DO22" i="3" s="1"/>
  <c r="DN20" i="3"/>
  <c r="DN22" i="3" s="1"/>
  <c r="DM20" i="3"/>
  <c r="DM22" i="3" s="1"/>
  <c r="DL20" i="3"/>
  <c r="DL22" i="3" s="1"/>
  <c r="DK20" i="3"/>
  <c r="DK22" i="3" s="1"/>
  <c r="DJ20" i="3"/>
  <c r="DJ22" i="3" s="1"/>
  <c r="DI20" i="3"/>
  <c r="DI22" i="3" s="1"/>
  <c r="DH20" i="3"/>
  <c r="DH22" i="3" s="1"/>
  <c r="DG20" i="3"/>
  <c r="DG22" i="3" s="1"/>
  <c r="DF20" i="3"/>
  <c r="DF22" i="3" s="1"/>
  <c r="DE20" i="3"/>
  <c r="DE22" i="3" s="1"/>
  <c r="DD20" i="3"/>
  <c r="DD22" i="3" s="1"/>
  <c r="DC20" i="3"/>
  <c r="DC22" i="3" s="1"/>
  <c r="DB20" i="3"/>
  <c r="DB22" i="3" s="1"/>
  <c r="DA20" i="3"/>
  <c r="DA22" i="3" s="1"/>
  <c r="CZ20" i="3"/>
  <c r="CZ22" i="3" s="1"/>
  <c r="CY20" i="3"/>
  <c r="CY22" i="3" s="1"/>
  <c r="CX20" i="3"/>
  <c r="CX22" i="3" s="1"/>
  <c r="CW20" i="3"/>
  <c r="CW22" i="3" s="1"/>
  <c r="CV20" i="3"/>
  <c r="CV22" i="3" s="1"/>
  <c r="CU20" i="3"/>
  <c r="CU22" i="3" s="1"/>
  <c r="DY22" i="3" s="1"/>
  <c r="CS20" i="3"/>
  <c r="CS22" i="3" s="1"/>
  <c r="CR20" i="3"/>
  <c r="CR22" i="3" s="1"/>
  <c r="CQ20" i="3"/>
  <c r="CQ22" i="3" s="1"/>
  <c r="CP20" i="3"/>
  <c r="CP22" i="3" s="1"/>
  <c r="CO20" i="3"/>
  <c r="CO22" i="3" s="1"/>
  <c r="CN20" i="3"/>
  <c r="CN22" i="3" s="1"/>
  <c r="CM20" i="3"/>
  <c r="CM22" i="3" s="1"/>
  <c r="CL20" i="3"/>
  <c r="CL22" i="3" s="1"/>
  <c r="CK20" i="3"/>
  <c r="CK22" i="3" s="1"/>
  <c r="CJ20" i="3"/>
  <c r="CJ22" i="3" s="1"/>
  <c r="CI20" i="3"/>
  <c r="CI22" i="3" s="1"/>
  <c r="CH20" i="3"/>
  <c r="CH22" i="3" s="1"/>
  <c r="CG20" i="3"/>
  <c r="CG22" i="3" s="1"/>
  <c r="CF20" i="3"/>
  <c r="CF22" i="3" s="1"/>
  <c r="CE20" i="3"/>
  <c r="CE22" i="3" s="1"/>
  <c r="CD20" i="3"/>
  <c r="CD22" i="3" s="1"/>
  <c r="CC20" i="3"/>
  <c r="CC22" i="3" s="1"/>
  <c r="CB20" i="3"/>
  <c r="CB22" i="3" s="1"/>
  <c r="CA20" i="3"/>
  <c r="CA22" i="3" s="1"/>
  <c r="BZ20" i="3"/>
  <c r="BZ22" i="3" s="1"/>
  <c r="BY20" i="3"/>
  <c r="BY22" i="3" s="1"/>
  <c r="BX20" i="3"/>
  <c r="BX22" i="3" s="1"/>
  <c r="BW20" i="3"/>
  <c r="BW22" i="3" s="1"/>
  <c r="BV20" i="3"/>
  <c r="BV22" i="3" s="1"/>
  <c r="BU20" i="3"/>
  <c r="BU22" i="3" s="1"/>
  <c r="BT20" i="3"/>
  <c r="BT22" i="3" s="1"/>
  <c r="BS20" i="3"/>
  <c r="BS22" i="3" s="1"/>
  <c r="BR20" i="3"/>
  <c r="BR22" i="3" s="1"/>
  <c r="BQ20" i="3"/>
  <c r="BQ22" i="3" s="1"/>
  <c r="BP20" i="3"/>
  <c r="BP22" i="3" s="1"/>
  <c r="BO20" i="3"/>
  <c r="BO22" i="3" s="1"/>
  <c r="CT22" i="3" s="1"/>
  <c r="BM20" i="3"/>
  <c r="BM22" i="3" s="1"/>
  <c r="BL20" i="3"/>
  <c r="BL22" i="3" s="1"/>
  <c r="BK20" i="3"/>
  <c r="BK22" i="3" s="1"/>
  <c r="BJ20" i="3"/>
  <c r="BJ22" i="3" s="1"/>
  <c r="BI20" i="3"/>
  <c r="BI22" i="3" s="1"/>
  <c r="BH20" i="3"/>
  <c r="BH22" i="3" s="1"/>
  <c r="BG20" i="3"/>
  <c r="BG22" i="3" s="1"/>
  <c r="BF20" i="3"/>
  <c r="BF22" i="3" s="1"/>
  <c r="BE20" i="3"/>
  <c r="BE22" i="3" s="1"/>
  <c r="BD20" i="3"/>
  <c r="BD22" i="3" s="1"/>
  <c r="BC20" i="3"/>
  <c r="BC22" i="3" s="1"/>
  <c r="BB20" i="3"/>
  <c r="BB22" i="3" s="1"/>
  <c r="BA20" i="3"/>
  <c r="BA22" i="3" s="1"/>
  <c r="AZ20" i="3"/>
  <c r="AZ22" i="3" s="1"/>
  <c r="AY20" i="3"/>
  <c r="AY22" i="3" s="1"/>
  <c r="AX20" i="3"/>
  <c r="AX22" i="3" s="1"/>
  <c r="AW20" i="3"/>
  <c r="AW22" i="3" s="1"/>
  <c r="AV20" i="3"/>
  <c r="AV22" i="3" s="1"/>
  <c r="AU20" i="3"/>
  <c r="AU22" i="3" s="1"/>
  <c r="AT20" i="3"/>
  <c r="AT22" i="3" s="1"/>
  <c r="AS20" i="3"/>
  <c r="AS22" i="3" s="1"/>
  <c r="AR20" i="3"/>
  <c r="AR22" i="3" s="1"/>
  <c r="AQ20" i="3"/>
  <c r="AQ22" i="3" s="1"/>
  <c r="AP20" i="3"/>
  <c r="AP22" i="3" s="1"/>
  <c r="AO20" i="3"/>
  <c r="AO22" i="3" s="1"/>
  <c r="AN20" i="3"/>
  <c r="AN22" i="3" s="1"/>
  <c r="AM20" i="3"/>
  <c r="AM22" i="3" s="1"/>
  <c r="AL20" i="3"/>
  <c r="AL22" i="3" s="1"/>
  <c r="AK20" i="3"/>
  <c r="AK22" i="3" s="1"/>
  <c r="AJ20" i="3"/>
  <c r="AJ22" i="3" s="1"/>
  <c r="BN22" i="3" s="1"/>
  <c r="AH20" i="3"/>
  <c r="AH22" i="3" s="1"/>
  <c r="AG20" i="3"/>
  <c r="AG22" i="3" s="1"/>
  <c r="AF20" i="3"/>
  <c r="AF22" i="3" s="1"/>
  <c r="AE20" i="3"/>
  <c r="AE22" i="3" s="1"/>
  <c r="AD20" i="3"/>
  <c r="AD22" i="3" s="1"/>
  <c r="AC20" i="3"/>
  <c r="AC22" i="3" s="1"/>
  <c r="AB20" i="3"/>
  <c r="AB22" i="3" s="1"/>
  <c r="AA20" i="3"/>
  <c r="AA22" i="3" s="1"/>
  <c r="Z20" i="3"/>
  <c r="Z22" i="3" s="1"/>
  <c r="Y20" i="3"/>
  <c r="Y22" i="3" s="1"/>
  <c r="X20" i="3"/>
  <c r="X22" i="3" s="1"/>
  <c r="W20" i="3"/>
  <c r="W22" i="3" s="1"/>
  <c r="V20" i="3"/>
  <c r="V22" i="3" s="1"/>
  <c r="U20" i="3"/>
  <c r="U22" i="3" s="1"/>
  <c r="T20" i="3"/>
  <c r="T22" i="3" s="1"/>
  <c r="S20" i="3"/>
  <c r="S22" i="3" s="1"/>
  <c r="R20" i="3"/>
  <c r="R22" i="3" s="1"/>
  <c r="Q20" i="3"/>
  <c r="Q22" i="3" s="1"/>
  <c r="P20" i="3"/>
  <c r="P22" i="3" s="1"/>
  <c r="O20" i="3"/>
  <c r="O22" i="3" s="1"/>
  <c r="N20" i="3"/>
  <c r="N22" i="3" s="1"/>
  <c r="M20" i="3"/>
  <c r="M22" i="3" s="1"/>
  <c r="L20" i="3"/>
  <c r="L22" i="3" s="1"/>
  <c r="K20" i="3"/>
  <c r="K22" i="3" s="1"/>
  <c r="J20" i="3"/>
  <c r="J22" i="3" s="1"/>
  <c r="I20" i="3"/>
  <c r="I22" i="3" s="1"/>
  <c r="H20" i="3"/>
  <c r="H22" i="3" s="1"/>
  <c r="G20" i="3"/>
  <c r="G22" i="3" s="1"/>
  <c r="F20" i="3"/>
  <c r="F22" i="3" s="1"/>
  <c r="E20" i="3"/>
  <c r="E22" i="3" s="1"/>
  <c r="ALU19" i="3"/>
  <c r="AMZ19" i="3" s="1"/>
  <c r="AJL19" i="3"/>
  <c r="AKO19" i="3" s="1"/>
  <c r="AIF19" i="3"/>
  <c r="AFU19" i="3"/>
  <c r="AGZ19" i="3" s="1"/>
  <c r="ADJ19" i="3"/>
  <c r="AEO19" i="3" s="1"/>
  <c r="ACD19" i="3"/>
  <c r="ZS19" i="3"/>
  <c r="AAX19" i="3" s="1"/>
  <c r="XH19" i="3"/>
  <c r="YM19" i="3" s="1"/>
  <c r="UY19" i="3"/>
  <c r="WB19" i="3" s="1"/>
  <c r="TS19" i="3"/>
  <c r="RH19" i="3"/>
  <c r="SM19" i="3" s="1"/>
  <c r="OW19" i="3"/>
  <c r="QB19" i="3" s="1"/>
  <c r="NQ19" i="3"/>
  <c r="LF19" i="3"/>
  <c r="MK19" i="3" s="1"/>
  <c r="IU19" i="3"/>
  <c r="JZ19" i="3" s="1"/>
  <c r="GK19" i="3"/>
  <c r="HO19" i="3" s="1"/>
  <c r="AMZ17" i="3"/>
  <c r="ALU17" i="3"/>
  <c r="AKO17" i="3"/>
  <c r="AJL17" i="3"/>
  <c r="AIF17" i="3"/>
  <c r="AGZ17" i="3"/>
  <c r="AFU17" i="3"/>
  <c r="AEO17" i="3"/>
  <c r="ADJ17" i="3"/>
  <c r="ACD17" i="3"/>
  <c r="ZS17" i="3"/>
  <c r="AAX17" i="3" s="1"/>
  <c r="XH17" i="3"/>
  <c r="YM17" i="3" s="1"/>
  <c r="UY17" i="3"/>
  <c r="WB17" i="3" s="1"/>
  <c r="TS17" i="3"/>
  <c r="RH17" i="3"/>
  <c r="SM17" i="3" s="1"/>
  <c r="OW17" i="3"/>
  <c r="QB17" i="3" s="1"/>
  <c r="NQ17" i="3"/>
  <c r="LF17" i="3"/>
  <c r="MK17" i="3" s="1"/>
  <c r="IU17" i="3"/>
  <c r="JZ17" i="3" s="1"/>
  <c r="GK17" i="3"/>
  <c r="HO17" i="3" s="1"/>
  <c r="DY17" i="3"/>
  <c r="AI17" i="3"/>
  <c r="AOE15" i="3"/>
  <c r="AOD15" i="3"/>
  <c r="D15" i="3"/>
  <c r="AOC13" i="3"/>
  <c r="AOC15" i="3" s="1"/>
  <c r="AOB13" i="3"/>
  <c r="AOB15" i="3" s="1"/>
  <c r="AOA13" i="3"/>
  <c r="AOA15" i="3" s="1"/>
  <c r="ANZ13" i="3"/>
  <c r="ANZ15" i="3" s="1"/>
  <c r="ANY13" i="3"/>
  <c r="ANY15" i="3" s="1"/>
  <c r="ANX13" i="3"/>
  <c r="ANX15" i="3" s="1"/>
  <c r="ANW13" i="3"/>
  <c r="ANW15" i="3" s="1"/>
  <c r="ANV13" i="3"/>
  <c r="ANV15" i="3" s="1"/>
  <c r="ANU13" i="3"/>
  <c r="ANU15" i="3" s="1"/>
  <c r="ANT13" i="3"/>
  <c r="ANT15" i="3" s="1"/>
  <c r="ANS13" i="3"/>
  <c r="ANS15" i="3" s="1"/>
  <c r="ANR13" i="3"/>
  <c r="ANR15" i="3" s="1"/>
  <c r="ANQ13" i="3"/>
  <c r="ANQ15" i="3" s="1"/>
  <c r="ANP13" i="3"/>
  <c r="ANP15" i="3" s="1"/>
  <c r="ANO13" i="3"/>
  <c r="ANO15" i="3" s="1"/>
  <c r="ANN13" i="3"/>
  <c r="ANN15" i="3" s="1"/>
  <c r="ANM13" i="3"/>
  <c r="ANM15" i="3" s="1"/>
  <c r="ANL13" i="3"/>
  <c r="ANL15" i="3" s="1"/>
  <c r="ANK13" i="3"/>
  <c r="ANK15" i="3" s="1"/>
  <c r="ANJ13" i="3"/>
  <c r="ANJ15" i="3" s="1"/>
  <c r="ANI13" i="3"/>
  <c r="ANI15" i="3" s="1"/>
  <c r="ANH13" i="3"/>
  <c r="ANH15" i="3" s="1"/>
  <c r="ANG13" i="3"/>
  <c r="ANG15" i="3" s="1"/>
  <c r="ANF13" i="3"/>
  <c r="ANF15" i="3" s="1"/>
  <c r="ANE13" i="3"/>
  <c r="ANE15" i="3" s="1"/>
  <c r="AND13" i="3"/>
  <c r="AND15" i="3" s="1"/>
  <c r="ANC13" i="3"/>
  <c r="ANC15" i="3" s="1"/>
  <c r="ANB13" i="3"/>
  <c r="ANB15" i="3" s="1"/>
  <c r="ANA13" i="3"/>
  <c r="ANA15" i="3" s="1"/>
  <c r="AMY13" i="3"/>
  <c r="AMY15" i="3" s="1"/>
  <c r="AMX13" i="3"/>
  <c r="AMX15" i="3" s="1"/>
  <c r="AMW13" i="3"/>
  <c r="AMW15" i="3" s="1"/>
  <c r="AMV13" i="3"/>
  <c r="AMV15" i="3" s="1"/>
  <c r="AMU13" i="3"/>
  <c r="AMU15" i="3" s="1"/>
  <c r="AMT13" i="3"/>
  <c r="AMT15" i="3" s="1"/>
  <c r="AMS13" i="3"/>
  <c r="AMS15" i="3" s="1"/>
  <c r="AMR13" i="3"/>
  <c r="AMR15" i="3" s="1"/>
  <c r="AMQ13" i="3"/>
  <c r="AMQ15" i="3" s="1"/>
  <c r="AMP13" i="3"/>
  <c r="AMP15" i="3" s="1"/>
  <c r="AMO13" i="3"/>
  <c r="AMO15" i="3" s="1"/>
  <c r="AMN13" i="3"/>
  <c r="AMN15" i="3" s="1"/>
  <c r="AMM13" i="3"/>
  <c r="AMM15" i="3" s="1"/>
  <c r="AML13" i="3"/>
  <c r="AML15" i="3" s="1"/>
  <c r="AMK13" i="3"/>
  <c r="AMK15" i="3" s="1"/>
  <c r="AMJ13" i="3"/>
  <c r="AMJ15" i="3" s="1"/>
  <c r="AMI13" i="3"/>
  <c r="AMI15" i="3" s="1"/>
  <c r="AMH13" i="3"/>
  <c r="AMH15" i="3" s="1"/>
  <c r="AMG13" i="3"/>
  <c r="AMG15" i="3" s="1"/>
  <c r="AMF13" i="3"/>
  <c r="AMF15" i="3" s="1"/>
  <c r="AME13" i="3"/>
  <c r="AME15" i="3" s="1"/>
  <c r="AMD13" i="3"/>
  <c r="AMD15" i="3" s="1"/>
  <c r="AMC13" i="3"/>
  <c r="AMC15" i="3" s="1"/>
  <c r="AMB13" i="3"/>
  <c r="AMB15" i="3" s="1"/>
  <c r="AMA13" i="3"/>
  <c r="AMA15" i="3" s="1"/>
  <c r="ALZ13" i="3"/>
  <c r="ALZ15" i="3" s="1"/>
  <c r="ALY13" i="3"/>
  <c r="ALY15" i="3" s="1"/>
  <c r="ALX13" i="3"/>
  <c r="ALX15" i="3" s="1"/>
  <c r="ALW13" i="3"/>
  <c r="ALW15" i="3" s="1"/>
  <c r="ALV13" i="3"/>
  <c r="ALV15" i="3" s="1"/>
  <c r="ALT13" i="3"/>
  <c r="ALT15" i="3" s="1"/>
  <c r="ALS13" i="3"/>
  <c r="ALS15" i="3" s="1"/>
  <c r="ALR13" i="3"/>
  <c r="ALR15" i="3" s="1"/>
  <c r="ALQ13" i="3"/>
  <c r="ALQ15" i="3" s="1"/>
  <c r="ALP13" i="3"/>
  <c r="ALP15" i="3" s="1"/>
  <c r="ALO13" i="3"/>
  <c r="ALO15" i="3" s="1"/>
  <c r="ALN13" i="3"/>
  <c r="ALN15" i="3" s="1"/>
  <c r="ALM13" i="3"/>
  <c r="ALM15" i="3" s="1"/>
  <c r="ALL13" i="3"/>
  <c r="ALL15" i="3" s="1"/>
  <c r="ALK13" i="3"/>
  <c r="ALK15" i="3" s="1"/>
  <c r="ALJ13" i="3"/>
  <c r="ALJ15" i="3" s="1"/>
  <c r="ALI13" i="3"/>
  <c r="ALI15" i="3" s="1"/>
  <c r="ALH13" i="3"/>
  <c r="ALH15" i="3" s="1"/>
  <c r="ALG13" i="3"/>
  <c r="ALG15" i="3" s="1"/>
  <c r="ALF13" i="3"/>
  <c r="ALF15" i="3" s="1"/>
  <c r="ALE13" i="3"/>
  <c r="ALE15" i="3" s="1"/>
  <c r="ALD13" i="3"/>
  <c r="ALD15" i="3" s="1"/>
  <c r="ALC13" i="3"/>
  <c r="ALC15" i="3" s="1"/>
  <c r="ALB13" i="3"/>
  <c r="ALB15" i="3" s="1"/>
  <c r="ALA13" i="3"/>
  <c r="ALA15" i="3" s="1"/>
  <c r="AKZ13" i="3"/>
  <c r="AKZ15" i="3" s="1"/>
  <c r="AKY13" i="3"/>
  <c r="AKY15" i="3" s="1"/>
  <c r="AKX13" i="3"/>
  <c r="AKX15" i="3" s="1"/>
  <c r="AKW13" i="3"/>
  <c r="AKW15" i="3" s="1"/>
  <c r="AKV13" i="3"/>
  <c r="AKV15" i="3" s="1"/>
  <c r="AKU13" i="3"/>
  <c r="AKU15" i="3" s="1"/>
  <c r="AKT13" i="3"/>
  <c r="AKT15" i="3" s="1"/>
  <c r="AKS13" i="3"/>
  <c r="AKS15" i="3" s="1"/>
  <c r="AKR13" i="3"/>
  <c r="AKR15" i="3" s="1"/>
  <c r="AKQ13" i="3"/>
  <c r="AKQ15" i="3" s="1"/>
  <c r="AKP13" i="3"/>
  <c r="AKP15" i="3" s="1"/>
  <c r="AKN13" i="3"/>
  <c r="AKN15" i="3" s="1"/>
  <c r="AKM13" i="3"/>
  <c r="AKM15" i="3" s="1"/>
  <c r="AKL13" i="3"/>
  <c r="AKL15" i="3" s="1"/>
  <c r="AKK13" i="3"/>
  <c r="AKK15" i="3" s="1"/>
  <c r="AKJ13" i="3"/>
  <c r="AKJ15" i="3" s="1"/>
  <c r="AKI13" i="3"/>
  <c r="AKI15" i="3" s="1"/>
  <c r="AKH13" i="3"/>
  <c r="AKH15" i="3" s="1"/>
  <c r="AKG13" i="3"/>
  <c r="AKG15" i="3" s="1"/>
  <c r="AKF13" i="3"/>
  <c r="AKF15" i="3" s="1"/>
  <c r="AKE13" i="3"/>
  <c r="AKE15" i="3" s="1"/>
  <c r="AKD13" i="3"/>
  <c r="AKD15" i="3" s="1"/>
  <c r="AKC13" i="3"/>
  <c r="AKC15" i="3" s="1"/>
  <c r="AKB13" i="3"/>
  <c r="AKB15" i="3" s="1"/>
  <c r="AKA13" i="3"/>
  <c r="AKA15" i="3" s="1"/>
  <c r="AJZ13" i="3"/>
  <c r="AJZ15" i="3" s="1"/>
  <c r="AJY13" i="3"/>
  <c r="AJY15" i="3" s="1"/>
  <c r="AJX13" i="3"/>
  <c r="AJX15" i="3" s="1"/>
  <c r="AJW13" i="3"/>
  <c r="AJW15" i="3" s="1"/>
  <c r="AJV13" i="3"/>
  <c r="AJV15" i="3" s="1"/>
  <c r="AJU13" i="3"/>
  <c r="AJU15" i="3" s="1"/>
  <c r="AJT13" i="3"/>
  <c r="AJT15" i="3" s="1"/>
  <c r="AJS13" i="3"/>
  <c r="AJS15" i="3" s="1"/>
  <c r="AJR13" i="3"/>
  <c r="AJR15" i="3" s="1"/>
  <c r="AJQ13" i="3"/>
  <c r="AJQ15" i="3" s="1"/>
  <c r="AJP13" i="3"/>
  <c r="AJP15" i="3" s="1"/>
  <c r="AJO13" i="3"/>
  <c r="AJO15" i="3" s="1"/>
  <c r="AJN13" i="3"/>
  <c r="AJN15" i="3" s="1"/>
  <c r="AJM13" i="3"/>
  <c r="AJM15" i="3" s="1"/>
  <c r="AJK13" i="3"/>
  <c r="AJK15" i="3" s="1"/>
  <c r="AJJ13" i="3"/>
  <c r="AJJ15" i="3" s="1"/>
  <c r="AJI13" i="3"/>
  <c r="AJI15" i="3" s="1"/>
  <c r="AJH13" i="3"/>
  <c r="AJH15" i="3" s="1"/>
  <c r="AJG13" i="3"/>
  <c r="AJG15" i="3" s="1"/>
  <c r="AJF13" i="3"/>
  <c r="AJF15" i="3" s="1"/>
  <c r="AJE13" i="3"/>
  <c r="AJE15" i="3" s="1"/>
  <c r="AJD13" i="3"/>
  <c r="AJD15" i="3" s="1"/>
  <c r="AJC13" i="3"/>
  <c r="AJC15" i="3" s="1"/>
  <c r="AJB13" i="3"/>
  <c r="AJB15" i="3" s="1"/>
  <c r="AJA13" i="3"/>
  <c r="AJA15" i="3" s="1"/>
  <c r="AIZ13" i="3"/>
  <c r="AIZ15" i="3" s="1"/>
  <c r="AIY13" i="3"/>
  <c r="AIY15" i="3" s="1"/>
  <c r="AIX13" i="3"/>
  <c r="AIX15" i="3" s="1"/>
  <c r="AIW13" i="3"/>
  <c r="AIW15" i="3" s="1"/>
  <c r="AIV13" i="3"/>
  <c r="AIV15" i="3" s="1"/>
  <c r="AIU13" i="3"/>
  <c r="AIU15" i="3" s="1"/>
  <c r="AIT13" i="3"/>
  <c r="AIT15" i="3" s="1"/>
  <c r="AIS13" i="3"/>
  <c r="AIS15" i="3" s="1"/>
  <c r="AIR13" i="3"/>
  <c r="AIR15" i="3" s="1"/>
  <c r="AIQ13" i="3"/>
  <c r="AIQ15" i="3" s="1"/>
  <c r="AIP13" i="3"/>
  <c r="AIP15" i="3" s="1"/>
  <c r="AIO13" i="3"/>
  <c r="AIO15" i="3" s="1"/>
  <c r="AIN13" i="3"/>
  <c r="AIN15" i="3" s="1"/>
  <c r="AIM13" i="3"/>
  <c r="AIM15" i="3" s="1"/>
  <c r="AIL13" i="3"/>
  <c r="AIL15" i="3" s="1"/>
  <c r="AIK13" i="3"/>
  <c r="AIK15" i="3" s="1"/>
  <c r="AIJ13" i="3"/>
  <c r="AIJ15" i="3" s="1"/>
  <c r="AII13" i="3"/>
  <c r="AII15" i="3" s="1"/>
  <c r="AIH13" i="3"/>
  <c r="AIH15" i="3" s="1"/>
  <c r="AIG13" i="3"/>
  <c r="AIG15" i="3" s="1"/>
  <c r="AIE13" i="3"/>
  <c r="AIE15" i="3" s="1"/>
  <c r="AID13" i="3"/>
  <c r="AID15" i="3" s="1"/>
  <c r="AIC13" i="3"/>
  <c r="AIC15" i="3" s="1"/>
  <c r="AIB13" i="3"/>
  <c r="AIB15" i="3" s="1"/>
  <c r="AIA13" i="3"/>
  <c r="AIA15" i="3" s="1"/>
  <c r="AHZ13" i="3"/>
  <c r="AHZ15" i="3" s="1"/>
  <c r="AHY13" i="3"/>
  <c r="AHY15" i="3" s="1"/>
  <c r="AHX13" i="3"/>
  <c r="AHX15" i="3" s="1"/>
  <c r="AHW13" i="3"/>
  <c r="AHW15" i="3" s="1"/>
  <c r="AHV13" i="3"/>
  <c r="AHV15" i="3" s="1"/>
  <c r="AHU13" i="3"/>
  <c r="AHU15" i="3" s="1"/>
  <c r="AHT13" i="3"/>
  <c r="AHT15" i="3" s="1"/>
  <c r="AHS13" i="3"/>
  <c r="AHS15" i="3" s="1"/>
  <c r="AHR13" i="3"/>
  <c r="AHR15" i="3" s="1"/>
  <c r="AHQ13" i="3"/>
  <c r="AHQ15" i="3" s="1"/>
  <c r="AHP13" i="3"/>
  <c r="AHP15" i="3" s="1"/>
  <c r="AHO13" i="3"/>
  <c r="AHO15" i="3" s="1"/>
  <c r="AHN13" i="3"/>
  <c r="AHN15" i="3" s="1"/>
  <c r="AHM13" i="3"/>
  <c r="AHM15" i="3" s="1"/>
  <c r="AHL13" i="3"/>
  <c r="AHL15" i="3" s="1"/>
  <c r="AHK13" i="3"/>
  <c r="AHK15" i="3" s="1"/>
  <c r="AHJ13" i="3"/>
  <c r="AHJ15" i="3" s="1"/>
  <c r="AHI13" i="3"/>
  <c r="AHI15" i="3" s="1"/>
  <c r="AHH13" i="3"/>
  <c r="AHH15" i="3" s="1"/>
  <c r="AHG13" i="3"/>
  <c r="AHG15" i="3" s="1"/>
  <c r="AHF13" i="3"/>
  <c r="AHF15" i="3" s="1"/>
  <c r="AHE13" i="3"/>
  <c r="AHE15" i="3" s="1"/>
  <c r="AHD13" i="3"/>
  <c r="AHD15" i="3" s="1"/>
  <c r="AHC13" i="3"/>
  <c r="AHC15" i="3" s="1"/>
  <c r="AHB13" i="3"/>
  <c r="AHB15" i="3" s="1"/>
  <c r="AHA13" i="3"/>
  <c r="AHA15" i="3" s="1"/>
  <c r="AGY13" i="3"/>
  <c r="AGY15" i="3" s="1"/>
  <c r="AGX13" i="3"/>
  <c r="AGX15" i="3" s="1"/>
  <c r="AGW13" i="3"/>
  <c r="AGW15" i="3" s="1"/>
  <c r="AGV13" i="3"/>
  <c r="AGV15" i="3" s="1"/>
  <c r="AGU13" i="3"/>
  <c r="AGU15" i="3" s="1"/>
  <c r="AGT13" i="3"/>
  <c r="AGT15" i="3" s="1"/>
  <c r="AGS13" i="3"/>
  <c r="AGS15" i="3" s="1"/>
  <c r="AGR13" i="3"/>
  <c r="AGR15" i="3" s="1"/>
  <c r="AGQ13" i="3"/>
  <c r="AGQ15" i="3" s="1"/>
  <c r="AGP13" i="3"/>
  <c r="AGP15" i="3" s="1"/>
  <c r="AGO13" i="3"/>
  <c r="AGO15" i="3" s="1"/>
  <c r="AGN13" i="3"/>
  <c r="AGN15" i="3" s="1"/>
  <c r="AGM13" i="3"/>
  <c r="AGM15" i="3" s="1"/>
  <c r="AGL13" i="3"/>
  <c r="AGL15" i="3" s="1"/>
  <c r="AGK13" i="3"/>
  <c r="AGK15" i="3" s="1"/>
  <c r="AGJ13" i="3"/>
  <c r="AGJ15" i="3" s="1"/>
  <c r="AGI13" i="3"/>
  <c r="AGI15" i="3" s="1"/>
  <c r="AGH13" i="3"/>
  <c r="AGH15" i="3" s="1"/>
  <c r="AGG13" i="3"/>
  <c r="AGG15" i="3" s="1"/>
  <c r="AGF13" i="3"/>
  <c r="AGF15" i="3" s="1"/>
  <c r="AGE13" i="3"/>
  <c r="AGE15" i="3" s="1"/>
  <c r="AGD13" i="3"/>
  <c r="AGD15" i="3" s="1"/>
  <c r="AGC13" i="3"/>
  <c r="AGC15" i="3" s="1"/>
  <c r="AGB13" i="3"/>
  <c r="AGB15" i="3" s="1"/>
  <c r="AGA13" i="3"/>
  <c r="AGA15" i="3" s="1"/>
  <c r="AFZ13" i="3"/>
  <c r="AFZ15" i="3" s="1"/>
  <c r="AFY13" i="3"/>
  <c r="AFY15" i="3" s="1"/>
  <c r="AFX13" i="3"/>
  <c r="AFX15" i="3" s="1"/>
  <c r="AFW13" i="3"/>
  <c r="AFW15" i="3" s="1"/>
  <c r="AFV13" i="3"/>
  <c r="AFV15" i="3" s="1"/>
  <c r="AFT13" i="3"/>
  <c r="AFT15" i="3" s="1"/>
  <c r="AFS13" i="3"/>
  <c r="AFS15" i="3" s="1"/>
  <c r="AFR13" i="3"/>
  <c r="AFR15" i="3" s="1"/>
  <c r="AFQ13" i="3"/>
  <c r="AFQ15" i="3" s="1"/>
  <c r="AFP13" i="3"/>
  <c r="AFP15" i="3" s="1"/>
  <c r="AFO13" i="3"/>
  <c r="AFO15" i="3" s="1"/>
  <c r="AFN13" i="3"/>
  <c r="AFN15" i="3" s="1"/>
  <c r="AFM13" i="3"/>
  <c r="AFM15" i="3" s="1"/>
  <c r="AFL13" i="3"/>
  <c r="AFL15" i="3" s="1"/>
  <c r="AFK13" i="3"/>
  <c r="AFK15" i="3" s="1"/>
  <c r="AFJ13" i="3"/>
  <c r="AFJ15" i="3" s="1"/>
  <c r="AFI13" i="3"/>
  <c r="AFI15" i="3" s="1"/>
  <c r="AFH13" i="3"/>
  <c r="AFH15" i="3" s="1"/>
  <c r="AFG13" i="3"/>
  <c r="AFG15" i="3" s="1"/>
  <c r="AFF13" i="3"/>
  <c r="AFF15" i="3" s="1"/>
  <c r="AFE13" i="3"/>
  <c r="AFE15" i="3" s="1"/>
  <c r="AFD13" i="3"/>
  <c r="AFD15" i="3" s="1"/>
  <c r="AFC13" i="3"/>
  <c r="AFC15" i="3" s="1"/>
  <c r="AFB13" i="3"/>
  <c r="AFB15" i="3" s="1"/>
  <c r="AFA13" i="3"/>
  <c r="AFA15" i="3" s="1"/>
  <c r="AEZ13" i="3"/>
  <c r="AEZ15" i="3" s="1"/>
  <c r="AEY13" i="3"/>
  <c r="AEY15" i="3" s="1"/>
  <c r="AEX13" i="3"/>
  <c r="AEX15" i="3" s="1"/>
  <c r="AEW13" i="3"/>
  <c r="AEW15" i="3" s="1"/>
  <c r="AEV13" i="3"/>
  <c r="AEV15" i="3" s="1"/>
  <c r="AEU13" i="3"/>
  <c r="AEU15" i="3" s="1"/>
  <c r="AET13" i="3"/>
  <c r="AET15" i="3" s="1"/>
  <c r="AES13" i="3"/>
  <c r="AES15" i="3" s="1"/>
  <c r="AER13" i="3"/>
  <c r="AER15" i="3" s="1"/>
  <c r="AEQ13" i="3"/>
  <c r="AEQ15" i="3" s="1"/>
  <c r="AEP13" i="3"/>
  <c r="AEP15" i="3" s="1"/>
  <c r="AEN13" i="3"/>
  <c r="AEN15" i="3" s="1"/>
  <c r="AEM13" i="3"/>
  <c r="AEM15" i="3" s="1"/>
  <c r="AEL13" i="3"/>
  <c r="AEL15" i="3" s="1"/>
  <c r="AEK13" i="3"/>
  <c r="AEK15" i="3" s="1"/>
  <c r="AEJ13" i="3"/>
  <c r="AEJ15" i="3" s="1"/>
  <c r="AEI13" i="3"/>
  <c r="AEI15" i="3" s="1"/>
  <c r="AEH13" i="3"/>
  <c r="AEH15" i="3" s="1"/>
  <c r="AEG13" i="3"/>
  <c r="AEG15" i="3" s="1"/>
  <c r="AEF13" i="3"/>
  <c r="AEF15" i="3" s="1"/>
  <c r="AEE13" i="3"/>
  <c r="AEE15" i="3" s="1"/>
  <c r="AED13" i="3"/>
  <c r="AED15" i="3" s="1"/>
  <c r="AEC13" i="3"/>
  <c r="AEC15" i="3" s="1"/>
  <c r="AEB13" i="3"/>
  <c r="AEB15" i="3" s="1"/>
  <c r="AEA13" i="3"/>
  <c r="AEA15" i="3" s="1"/>
  <c r="ADZ13" i="3"/>
  <c r="ADZ15" i="3" s="1"/>
  <c r="ADY13" i="3"/>
  <c r="ADY15" i="3" s="1"/>
  <c r="ADX13" i="3"/>
  <c r="ADX15" i="3" s="1"/>
  <c r="ADW13" i="3"/>
  <c r="ADW15" i="3" s="1"/>
  <c r="ADV13" i="3"/>
  <c r="ADV15" i="3" s="1"/>
  <c r="ADU13" i="3"/>
  <c r="ADU15" i="3" s="1"/>
  <c r="ADT13" i="3"/>
  <c r="ADT15" i="3" s="1"/>
  <c r="ADS13" i="3"/>
  <c r="ADS15" i="3" s="1"/>
  <c r="ADR13" i="3"/>
  <c r="ADR15" i="3" s="1"/>
  <c r="ADQ13" i="3"/>
  <c r="ADQ15" i="3" s="1"/>
  <c r="ADP13" i="3"/>
  <c r="ADP15" i="3" s="1"/>
  <c r="ADO13" i="3"/>
  <c r="ADO15" i="3" s="1"/>
  <c r="ADN13" i="3"/>
  <c r="ADN15" i="3" s="1"/>
  <c r="ADM13" i="3"/>
  <c r="ADM15" i="3" s="1"/>
  <c r="ADL13" i="3"/>
  <c r="ADL15" i="3" s="1"/>
  <c r="ADK13" i="3"/>
  <c r="ADK15" i="3" s="1"/>
  <c r="ADI13" i="3"/>
  <c r="ADI15" i="3" s="1"/>
  <c r="ADH13" i="3"/>
  <c r="ADH15" i="3" s="1"/>
  <c r="ADG13" i="3"/>
  <c r="ADG15" i="3" s="1"/>
  <c r="ADF13" i="3"/>
  <c r="ADF15" i="3" s="1"/>
  <c r="ADE13" i="3"/>
  <c r="ADE15" i="3" s="1"/>
  <c r="ADD13" i="3"/>
  <c r="ADD15" i="3" s="1"/>
  <c r="ADC13" i="3"/>
  <c r="ADC15" i="3" s="1"/>
  <c r="ADB13" i="3"/>
  <c r="ADB15" i="3" s="1"/>
  <c r="ADA13" i="3"/>
  <c r="ADA15" i="3" s="1"/>
  <c r="ACZ13" i="3"/>
  <c r="ACZ15" i="3" s="1"/>
  <c r="ACY13" i="3"/>
  <c r="ACY15" i="3" s="1"/>
  <c r="ACX13" i="3"/>
  <c r="ACX15" i="3" s="1"/>
  <c r="ACW13" i="3"/>
  <c r="ACW15" i="3" s="1"/>
  <c r="ACV13" i="3"/>
  <c r="ACV15" i="3" s="1"/>
  <c r="ACU13" i="3"/>
  <c r="ACU15" i="3" s="1"/>
  <c r="ACT13" i="3"/>
  <c r="ACT15" i="3" s="1"/>
  <c r="ACS13" i="3"/>
  <c r="ACS15" i="3" s="1"/>
  <c r="ACR13" i="3"/>
  <c r="ACR15" i="3" s="1"/>
  <c r="ACQ13" i="3"/>
  <c r="ACQ15" i="3" s="1"/>
  <c r="ACP13" i="3"/>
  <c r="ACP15" i="3" s="1"/>
  <c r="ACO13" i="3"/>
  <c r="ACO15" i="3" s="1"/>
  <c r="ACN13" i="3"/>
  <c r="ACN15" i="3" s="1"/>
  <c r="ACM13" i="3"/>
  <c r="ACM15" i="3" s="1"/>
  <c r="ACL13" i="3"/>
  <c r="ACL15" i="3" s="1"/>
  <c r="ACK13" i="3"/>
  <c r="ACK15" i="3" s="1"/>
  <c r="ACJ13" i="3"/>
  <c r="ACJ15" i="3" s="1"/>
  <c r="ACI13" i="3"/>
  <c r="ACI15" i="3" s="1"/>
  <c r="ACH13" i="3"/>
  <c r="ACH15" i="3" s="1"/>
  <c r="ACG13" i="3"/>
  <c r="ACG15" i="3" s="1"/>
  <c r="ACF13" i="3"/>
  <c r="ACF15" i="3" s="1"/>
  <c r="ACE13" i="3"/>
  <c r="ACE15" i="3" s="1"/>
  <c r="ACC13" i="3"/>
  <c r="ACC15" i="3" s="1"/>
  <c r="ACB13" i="3"/>
  <c r="ACB15" i="3" s="1"/>
  <c r="ACA13" i="3"/>
  <c r="ACA15" i="3" s="1"/>
  <c r="ABZ13" i="3"/>
  <c r="ABZ15" i="3" s="1"/>
  <c r="ABY13" i="3"/>
  <c r="ABY15" i="3" s="1"/>
  <c r="ABX13" i="3"/>
  <c r="ABX15" i="3" s="1"/>
  <c r="ABW13" i="3"/>
  <c r="ABW15" i="3" s="1"/>
  <c r="ABV13" i="3"/>
  <c r="ABV15" i="3" s="1"/>
  <c r="ABU13" i="3"/>
  <c r="ABU15" i="3" s="1"/>
  <c r="ABT13" i="3"/>
  <c r="ABT15" i="3" s="1"/>
  <c r="ABS13" i="3"/>
  <c r="ABS15" i="3" s="1"/>
  <c r="ABR13" i="3"/>
  <c r="ABR15" i="3" s="1"/>
  <c r="ABQ13" i="3"/>
  <c r="ABQ15" i="3" s="1"/>
  <c r="ABP13" i="3"/>
  <c r="ABP15" i="3" s="1"/>
  <c r="ABO13" i="3"/>
  <c r="ABO15" i="3" s="1"/>
  <c r="ABN13" i="3"/>
  <c r="ABN15" i="3" s="1"/>
  <c r="ABM13" i="3"/>
  <c r="ABM15" i="3" s="1"/>
  <c r="ABL13" i="3"/>
  <c r="ABL15" i="3" s="1"/>
  <c r="ABK13" i="3"/>
  <c r="ABK15" i="3" s="1"/>
  <c r="ABJ13" i="3"/>
  <c r="ABJ15" i="3" s="1"/>
  <c r="ABI13" i="3"/>
  <c r="ABI15" i="3" s="1"/>
  <c r="ABH13" i="3"/>
  <c r="ABH15" i="3" s="1"/>
  <c r="ABG13" i="3"/>
  <c r="ABG15" i="3" s="1"/>
  <c r="ABF13" i="3"/>
  <c r="ABF15" i="3" s="1"/>
  <c r="ABE13" i="3"/>
  <c r="ABE15" i="3" s="1"/>
  <c r="ABD13" i="3"/>
  <c r="ABD15" i="3" s="1"/>
  <c r="ABC13" i="3"/>
  <c r="ABC15" i="3" s="1"/>
  <c r="ABB13" i="3"/>
  <c r="ABB15" i="3" s="1"/>
  <c r="ABA13" i="3"/>
  <c r="ABA15" i="3" s="1"/>
  <c r="AAZ13" i="3"/>
  <c r="AAZ15" i="3" s="1"/>
  <c r="AAY13" i="3"/>
  <c r="AAY15" i="3" s="1"/>
  <c r="AAW13" i="3"/>
  <c r="AAW15" i="3" s="1"/>
  <c r="AAV13" i="3"/>
  <c r="AAV15" i="3" s="1"/>
  <c r="AAU13" i="3"/>
  <c r="AAU15" i="3" s="1"/>
  <c r="AAT13" i="3"/>
  <c r="AAT15" i="3" s="1"/>
  <c r="AAS13" i="3"/>
  <c r="AAS15" i="3" s="1"/>
  <c r="AAR13" i="3"/>
  <c r="AAR15" i="3" s="1"/>
  <c r="AAQ13" i="3"/>
  <c r="AAQ15" i="3" s="1"/>
  <c r="AAP13" i="3"/>
  <c r="AAP15" i="3" s="1"/>
  <c r="AAO13" i="3"/>
  <c r="AAO15" i="3" s="1"/>
  <c r="AAN13" i="3"/>
  <c r="AAN15" i="3" s="1"/>
  <c r="AAM13" i="3"/>
  <c r="AAM15" i="3" s="1"/>
  <c r="AAL13" i="3"/>
  <c r="AAL15" i="3" s="1"/>
  <c r="AAK13" i="3"/>
  <c r="AAK15" i="3" s="1"/>
  <c r="AAJ13" i="3"/>
  <c r="AAJ15" i="3" s="1"/>
  <c r="AAI13" i="3"/>
  <c r="AAI15" i="3" s="1"/>
  <c r="AAH13" i="3"/>
  <c r="AAH15" i="3" s="1"/>
  <c r="AAG13" i="3"/>
  <c r="AAG15" i="3" s="1"/>
  <c r="AAF13" i="3"/>
  <c r="AAF15" i="3" s="1"/>
  <c r="AAE13" i="3"/>
  <c r="AAE15" i="3" s="1"/>
  <c r="AAD13" i="3"/>
  <c r="AAD15" i="3" s="1"/>
  <c r="AAC13" i="3"/>
  <c r="AAC15" i="3" s="1"/>
  <c r="AAB13" i="3"/>
  <c r="AAB15" i="3" s="1"/>
  <c r="AAA13" i="3"/>
  <c r="AAA15" i="3" s="1"/>
  <c r="ZZ13" i="3"/>
  <c r="ZZ15" i="3" s="1"/>
  <c r="ZY13" i="3"/>
  <c r="ZY15" i="3" s="1"/>
  <c r="ZX13" i="3"/>
  <c r="ZX15" i="3" s="1"/>
  <c r="ZW13" i="3"/>
  <c r="ZW15" i="3" s="1"/>
  <c r="ZV13" i="3"/>
  <c r="ZV15" i="3" s="1"/>
  <c r="ZU13" i="3"/>
  <c r="ZU15" i="3" s="1"/>
  <c r="ZT13" i="3"/>
  <c r="ZT15" i="3" s="1"/>
  <c r="ZR13" i="3"/>
  <c r="ZR15" i="3" s="1"/>
  <c r="ZQ13" i="3"/>
  <c r="ZQ15" i="3" s="1"/>
  <c r="ZP13" i="3"/>
  <c r="ZP15" i="3" s="1"/>
  <c r="ZO13" i="3"/>
  <c r="ZO15" i="3" s="1"/>
  <c r="ZN13" i="3"/>
  <c r="ZN15" i="3" s="1"/>
  <c r="ZM13" i="3"/>
  <c r="ZM15" i="3" s="1"/>
  <c r="ZL13" i="3"/>
  <c r="ZL15" i="3" s="1"/>
  <c r="ZK13" i="3"/>
  <c r="ZK15" i="3" s="1"/>
  <c r="ZJ13" i="3"/>
  <c r="ZJ15" i="3" s="1"/>
  <c r="ZI13" i="3"/>
  <c r="ZI15" i="3" s="1"/>
  <c r="ZH13" i="3"/>
  <c r="ZH15" i="3" s="1"/>
  <c r="ZG13" i="3"/>
  <c r="ZG15" i="3" s="1"/>
  <c r="ZF13" i="3"/>
  <c r="ZF15" i="3" s="1"/>
  <c r="ZE13" i="3"/>
  <c r="ZE15" i="3" s="1"/>
  <c r="ZD13" i="3"/>
  <c r="ZD15" i="3" s="1"/>
  <c r="ZC13" i="3"/>
  <c r="ZC15" i="3" s="1"/>
  <c r="ZB13" i="3"/>
  <c r="ZB15" i="3" s="1"/>
  <c r="ZA13" i="3"/>
  <c r="ZA15" i="3" s="1"/>
  <c r="YZ13" i="3"/>
  <c r="YZ15" i="3" s="1"/>
  <c r="YY13" i="3"/>
  <c r="YY15" i="3" s="1"/>
  <c r="YX13" i="3"/>
  <c r="YX15" i="3" s="1"/>
  <c r="YW13" i="3"/>
  <c r="YW15" i="3" s="1"/>
  <c r="YV13" i="3"/>
  <c r="YV15" i="3" s="1"/>
  <c r="YU13" i="3"/>
  <c r="YU15" i="3" s="1"/>
  <c r="YT13" i="3"/>
  <c r="YT15" i="3" s="1"/>
  <c r="YS13" i="3"/>
  <c r="YS15" i="3" s="1"/>
  <c r="YR13" i="3"/>
  <c r="YR15" i="3" s="1"/>
  <c r="YQ13" i="3"/>
  <c r="YQ15" i="3" s="1"/>
  <c r="YP13" i="3"/>
  <c r="YP15" i="3" s="1"/>
  <c r="YO13" i="3"/>
  <c r="YO15" i="3" s="1"/>
  <c r="YN13" i="3"/>
  <c r="YN15" i="3" s="1"/>
  <c r="YL13" i="3"/>
  <c r="YL15" i="3" s="1"/>
  <c r="YK13" i="3"/>
  <c r="YK15" i="3" s="1"/>
  <c r="YJ13" i="3"/>
  <c r="YJ15" i="3" s="1"/>
  <c r="YI13" i="3"/>
  <c r="YI15" i="3" s="1"/>
  <c r="YH13" i="3"/>
  <c r="YH15" i="3" s="1"/>
  <c r="YG13" i="3"/>
  <c r="YG15" i="3" s="1"/>
  <c r="YF13" i="3"/>
  <c r="YF15" i="3" s="1"/>
  <c r="YE13" i="3"/>
  <c r="YE15" i="3" s="1"/>
  <c r="YD13" i="3"/>
  <c r="YD15" i="3" s="1"/>
  <c r="YC13" i="3"/>
  <c r="YC15" i="3" s="1"/>
  <c r="YB13" i="3"/>
  <c r="YB15" i="3" s="1"/>
  <c r="YA13" i="3"/>
  <c r="YA15" i="3" s="1"/>
  <c r="XZ13" i="3"/>
  <c r="XZ15" i="3" s="1"/>
  <c r="XY13" i="3"/>
  <c r="XY15" i="3" s="1"/>
  <c r="XX13" i="3"/>
  <c r="XX15" i="3" s="1"/>
  <c r="XW13" i="3"/>
  <c r="XW15" i="3" s="1"/>
  <c r="XV13" i="3"/>
  <c r="XV15" i="3" s="1"/>
  <c r="XU13" i="3"/>
  <c r="XU15" i="3" s="1"/>
  <c r="XT13" i="3"/>
  <c r="XT15" i="3" s="1"/>
  <c r="XS13" i="3"/>
  <c r="XS15" i="3" s="1"/>
  <c r="XR13" i="3"/>
  <c r="XR15" i="3" s="1"/>
  <c r="XQ13" i="3"/>
  <c r="XQ15" i="3" s="1"/>
  <c r="XP13" i="3"/>
  <c r="XP15" i="3" s="1"/>
  <c r="XO13" i="3"/>
  <c r="XO15" i="3" s="1"/>
  <c r="XN13" i="3"/>
  <c r="XN15" i="3" s="1"/>
  <c r="XM13" i="3"/>
  <c r="XM15" i="3" s="1"/>
  <c r="XL13" i="3"/>
  <c r="XL15" i="3" s="1"/>
  <c r="XK13" i="3"/>
  <c r="XK15" i="3" s="1"/>
  <c r="XJ13" i="3"/>
  <c r="XJ15" i="3" s="1"/>
  <c r="XI13" i="3"/>
  <c r="XI15" i="3" s="1"/>
  <c r="XG13" i="3"/>
  <c r="XG15" i="3" s="1"/>
  <c r="XF13" i="3"/>
  <c r="XF15" i="3" s="1"/>
  <c r="XE13" i="3"/>
  <c r="XE15" i="3" s="1"/>
  <c r="XD13" i="3"/>
  <c r="XD15" i="3" s="1"/>
  <c r="XC13" i="3"/>
  <c r="XC15" i="3" s="1"/>
  <c r="XB13" i="3"/>
  <c r="XB15" i="3" s="1"/>
  <c r="XA13" i="3"/>
  <c r="XA15" i="3" s="1"/>
  <c r="WZ13" i="3"/>
  <c r="WZ15" i="3" s="1"/>
  <c r="WY13" i="3"/>
  <c r="WY15" i="3" s="1"/>
  <c r="WX13" i="3"/>
  <c r="WX15" i="3" s="1"/>
  <c r="WW13" i="3"/>
  <c r="WW15" i="3" s="1"/>
  <c r="WV13" i="3"/>
  <c r="WV15" i="3" s="1"/>
  <c r="WU13" i="3"/>
  <c r="WU15" i="3" s="1"/>
  <c r="WT13" i="3"/>
  <c r="WT15" i="3" s="1"/>
  <c r="WS13" i="3"/>
  <c r="WS15" i="3" s="1"/>
  <c r="WR13" i="3"/>
  <c r="WR15" i="3" s="1"/>
  <c r="WQ13" i="3"/>
  <c r="WQ15" i="3" s="1"/>
  <c r="WP13" i="3"/>
  <c r="WP15" i="3" s="1"/>
  <c r="WO13" i="3"/>
  <c r="WO15" i="3" s="1"/>
  <c r="WN13" i="3"/>
  <c r="WN15" i="3" s="1"/>
  <c r="WM13" i="3"/>
  <c r="WM15" i="3" s="1"/>
  <c r="WL13" i="3"/>
  <c r="WL15" i="3" s="1"/>
  <c r="WK13" i="3"/>
  <c r="WK15" i="3" s="1"/>
  <c r="WJ13" i="3"/>
  <c r="WJ15" i="3" s="1"/>
  <c r="WI13" i="3"/>
  <c r="WI15" i="3" s="1"/>
  <c r="WH13" i="3"/>
  <c r="WH15" i="3" s="1"/>
  <c r="WG13" i="3"/>
  <c r="WG15" i="3" s="1"/>
  <c r="WF13" i="3"/>
  <c r="WF15" i="3" s="1"/>
  <c r="WE13" i="3"/>
  <c r="WE15" i="3" s="1"/>
  <c r="WD13" i="3"/>
  <c r="WD15" i="3" s="1"/>
  <c r="WC13" i="3"/>
  <c r="WC15" i="3" s="1"/>
  <c r="WA13" i="3"/>
  <c r="WA15" i="3" s="1"/>
  <c r="VZ13" i="3"/>
  <c r="VZ15" i="3" s="1"/>
  <c r="VY13" i="3"/>
  <c r="VY15" i="3" s="1"/>
  <c r="VX13" i="3"/>
  <c r="VX15" i="3" s="1"/>
  <c r="VW13" i="3"/>
  <c r="VW15" i="3" s="1"/>
  <c r="VV13" i="3"/>
  <c r="VV15" i="3" s="1"/>
  <c r="VU13" i="3"/>
  <c r="VU15" i="3" s="1"/>
  <c r="VT13" i="3"/>
  <c r="VT15" i="3" s="1"/>
  <c r="VS13" i="3"/>
  <c r="VS15" i="3" s="1"/>
  <c r="VR13" i="3"/>
  <c r="VR15" i="3" s="1"/>
  <c r="VQ13" i="3"/>
  <c r="VQ15" i="3" s="1"/>
  <c r="VP13" i="3"/>
  <c r="VP15" i="3" s="1"/>
  <c r="VO13" i="3"/>
  <c r="VO15" i="3" s="1"/>
  <c r="VN13" i="3"/>
  <c r="VN15" i="3" s="1"/>
  <c r="VM13" i="3"/>
  <c r="VM15" i="3" s="1"/>
  <c r="VL13" i="3"/>
  <c r="VL15" i="3" s="1"/>
  <c r="VK13" i="3"/>
  <c r="VK15" i="3" s="1"/>
  <c r="VJ13" i="3"/>
  <c r="VJ15" i="3" s="1"/>
  <c r="VI13" i="3"/>
  <c r="VI15" i="3" s="1"/>
  <c r="VH13" i="3"/>
  <c r="VH15" i="3" s="1"/>
  <c r="VG13" i="3"/>
  <c r="VG15" i="3" s="1"/>
  <c r="VF13" i="3"/>
  <c r="VF15" i="3" s="1"/>
  <c r="VE13" i="3"/>
  <c r="VE15" i="3" s="1"/>
  <c r="VD13" i="3"/>
  <c r="VD15" i="3" s="1"/>
  <c r="VC13" i="3"/>
  <c r="VC15" i="3" s="1"/>
  <c r="VB13" i="3"/>
  <c r="VB15" i="3" s="1"/>
  <c r="VA13" i="3"/>
  <c r="VA15" i="3" s="1"/>
  <c r="UZ13" i="3"/>
  <c r="UZ15" i="3" s="1"/>
  <c r="UX13" i="3"/>
  <c r="UX15" i="3" s="1"/>
  <c r="UW13" i="3"/>
  <c r="UW15" i="3" s="1"/>
  <c r="UV13" i="3"/>
  <c r="UV15" i="3" s="1"/>
  <c r="UU13" i="3"/>
  <c r="UU15" i="3" s="1"/>
  <c r="UT13" i="3"/>
  <c r="UT15" i="3" s="1"/>
  <c r="US13" i="3"/>
  <c r="US15" i="3" s="1"/>
  <c r="UR13" i="3"/>
  <c r="UR15" i="3" s="1"/>
  <c r="UQ13" i="3"/>
  <c r="UQ15" i="3" s="1"/>
  <c r="UP13" i="3"/>
  <c r="UP15" i="3" s="1"/>
  <c r="UO13" i="3"/>
  <c r="UO15" i="3" s="1"/>
  <c r="UN13" i="3"/>
  <c r="UN15" i="3" s="1"/>
  <c r="UM13" i="3"/>
  <c r="UM15" i="3" s="1"/>
  <c r="UL13" i="3"/>
  <c r="UL15" i="3" s="1"/>
  <c r="UK13" i="3"/>
  <c r="UK15" i="3" s="1"/>
  <c r="UJ13" i="3"/>
  <c r="UJ15" i="3" s="1"/>
  <c r="UI13" i="3"/>
  <c r="UI15" i="3" s="1"/>
  <c r="UH13" i="3"/>
  <c r="UH15" i="3" s="1"/>
  <c r="UG13" i="3"/>
  <c r="UG15" i="3" s="1"/>
  <c r="UF13" i="3"/>
  <c r="UF15" i="3" s="1"/>
  <c r="UE13" i="3"/>
  <c r="UE15" i="3" s="1"/>
  <c r="UD13" i="3"/>
  <c r="UD15" i="3" s="1"/>
  <c r="UC13" i="3"/>
  <c r="UC15" i="3" s="1"/>
  <c r="UB13" i="3"/>
  <c r="UB15" i="3" s="1"/>
  <c r="UA13" i="3"/>
  <c r="UA15" i="3" s="1"/>
  <c r="TZ13" i="3"/>
  <c r="TZ15" i="3" s="1"/>
  <c r="TY13" i="3"/>
  <c r="TY15" i="3" s="1"/>
  <c r="TX13" i="3"/>
  <c r="TX15" i="3" s="1"/>
  <c r="TW13" i="3"/>
  <c r="TW15" i="3" s="1"/>
  <c r="TV13" i="3"/>
  <c r="TV15" i="3" s="1"/>
  <c r="TU13" i="3"/>
  <c r="TU15" i="3" s="1"/>
  <c r="TT13" i="3"/>
  <c r="TT15" i="3" s="1"/>
  <c r="TR13" i="3"/>
  <c r="TR15" i="3" s="1"/>
  <c r="TQ13" i="3"/>
  <c r="TQ15" i="3" s="1"/>
  <c r="TP13" i="3"/>
  <c r="TP15" i="3" s="1"/>
  <c r="TO13" i="3"/>
  <c r="TO15" i="3" s="1"/>
  <c r="TN13" i="3"/>
  <c r="TN15" i="3" s="1"/>
  <c r="TM13" i="3"/>
  <c r="TM15" i="3" s="1"/>
  <c r="TL13" i="3"/>
  <c r="TL15" i="3" s="1"/>
  <c r="TK13" i="3"/>
  <c r="TK15" i="3" s="1"/>
  <c r="TJ13" i="3"/>
  <c r="TJ15" i="3" s="1"/>
  <c r="TI13" i="3"/>
  <c r="TI15" i="3" s="1"/>
  <c r="TH13" i="3"/>
  <c r="TH15" i="3" s="1"/>
  <c r="TG13" i="3"/>
  <c r="TG15" i="3" s="1"/>
  <c r="TF13" i="3"/>
  <c r="TF15" i="3" s="1"/>
  <c r="TE13" i="3"/>
  <c r="TE15" i="3" s="1"/>
  <c r="TD13" i="3"/>
  <c r="TD15" i="3" s="1"/>
  <c r="TC13" i="3"/>
  <c r="TC15" i="3" s="1"/>
  <c r="TB13" i="3"/>
  <c r="TB15" i="3" s="1"/>
  <c r="TA13" i="3"/>
  <c r="TA15" i="3" s="1"/>
  <c r="SZ13" i="3"/>
  <c r="SZ15" i="3" s="1"/>
  <c r="SY13" i="3"/>
  <c r="SY15" i="3" s="1"/>
  <c r="SX13" i="3"/>
  <c r="SX15" i="3" s="1"/>
  <c r="SW13" i="3"/>
  <c r="SW15" i="3" s="1"/>
  <c r="SV13" i="3"/>
  <c r="SV15" i="3" s="1"/>
  <c r="SU13" i="3"/>
  <c r="SU15" i="3" s="1"/>
  <c r="ST13" i="3"/>
  <c r="ST15" i="3" s="1"/>
  <c r="SS13" i="3"/>
  <c r="SS15" i="3" s="1"/>
  <c r="SR13" i="3"/>
  <c r="SR15" i="3" s="1"/>
  <c r="SQ13" i="3"/>
  <c r="SQ15" i="3" s="1"/>
  <c r="SP13" i="3"/>
  <c r="SP15" i="3" s="1"/>
  <c r="SO13" i="3"/>
  <c r="SO15" i="3" s="1"/>
  <c r="SN13" i="3"/>
  <c r="SN15" i="3" s="1"/>
  <c r="SL13" i="3"/>
  <c r="SL15" i="3" s="1"/>
  <c r="SK13" i="3"/>
  <c r="SK15" i="3" s="1"/>
  <c r="SJ13" i="3"/>
  <c r="SJ15" i="3" s="1"/>
  <c r="SI13" i="3"/>
  <c r="SI15" i="3" s="1"/>
  <c r="SH13" i="3"/>
  <c r="SH15" i="3" s="1"/>
  <c r="SG13" i="3"/>
  <c r="SG15" i="3" s="1"/>
  <c r="SF13" i="3"/>
  <c r="SF15" i="3" s="1"/>
  <c r="SE13" i="3"/>
  <c r="SE15" i="3" s="1"/>
  <c r="SD13" i="3"/>
  <c r="SD15" i="3" s="1"/>
  <c r="SC13" i="3"/>
  <c r="SC15" i="3" s="1"/>
  <c r="SB13" i="3"/>
  <c r="SB15" i="3" s="1"/>
  <c r="SA13" i="3"/>
  <c r="SA15" i="3" s="1"/>
  <c r="RZ13" i="3"/>
  <c r="RZ15" i="3" s="1"/>
  <c r="RY13" i="3"/>
  <c r="RY15" i="3" s="1"/>
  <c r="RX13" i="3"/>
  <c r="RX15" i="3" s="1"/>
  <c r="RW13" i="3"/>
  <c r="RW15" i="3" s="1"/>
  <c r="RV13" i="3"/>
  <c r="RV15" i="3" s="1"/>
  <c r="RU13" i="3"/>
  <c r="RU15" i="3" s="1"/>
  <c r="RT13" i="3"/>
  <c r="RT15" i="3" s="1"/>
  <c r="RS13" i="3"/>
  <c r="RS15" i="3" s="1"/>
  <c r="RR13" i="3"/>
  <c r="RR15" i="3" s="1"/>
  <c r="RQ13" i="3"/>
  <c r="RQ15" i="3" s="1"/>
  <c r="RP13" i="3"/>
  <c r="RP15" i="3" s="1"/>
  <c r="RO13" i="3"/>
  <c r="RO15" i="3" s="1"/>
  <c r="RN13" i="3"/>
  <c r="RN15" i="3" s="1"/>
  <c r="RM13" i="3"/>
  <c r="RM15" i="3" s="1"/>
  <c r="RL13" i="3"/>
  <c r="RL15" i="3" s="1"/>
  <c r="RK13" i="3"/>
  <c r="RK15" i="3" s="1"/>
  <c r="RJ13" i="3"/>
  <c r="RJ15" i="3" s="1"/>
  <c r="RI13" i="3"/>
  <c r="RI15" i="3" s="1"/>
  <c r="RG13" i="3"/>
  <c r="RG15" i="3" s="1"/>
  <c r="RF13" i="3"/>
  <c r="RF15" i="3" s="1"/>
  <c r="RE13" i="3"/>
  <c r="RE15" i="3" s="1"/>
  <c r="RD13" i="3"/>
  <c r="RD15" i="3" s="1"/>
  <c r="RC13" i="3"/>
  <c r="RC15" i="3" s="1"/>
  <c r="RB13" i="3"/>
  <c r="RB15" i="3" s="1"/>
  <c r="RA13" i="3"/>
  <c r="RA15" i="3" s="1"/>
  <c r="QZ13" i="3"/>
  <c r="QZ15" i="3" s="1"/>
  <c r="QY13" i="3"/>
  <c r="QY15" i="3" s="1"/>
  <c r="QX13" i="3"/>
  <c r="QX15" i="3" s="1"/>
  <c r="QW13" i="3"/>
  <c r="QW15" i="3" s="1"/>
  <c r="QV13" i="3"/>
  <c r="QV15" i="3" s="1"/>
  <c r="QU13" i="3"/>
  <c r="QU15" i="3" s="1"/>
  <c r="QT13" i="3"/>
  <c r="QT15" i="3" s="1"/>
  <c r="QS13" i="3"/>
  <c r="QS15" i="3" s="1"/>
  <c r="QR13" i="3"/>
  <c r="QR15" i="3" s="1"/>
  <c r="QQ13" i="3"/>
  <c r="QQ15" i="3" s="1"/>
  <c r="QP13" i="3"/>
  <c r="QP15" i="3" s="1"/>
  <c r="QO13" i="3"/>
  <c r="QO15" i="3" s="1"/>
  <c r="QN13" i="3"/>
  <c r="QN15" i="3" s="1"/>
  <c r="QM13" i="3"/>
  <c r="QM15" i="3" s="1"/>
  <c r="QL13" i="3"/>
  <c r="QL15" i="3" s="1"/>
  <c r="QK13" i="3"/>
  <c r="QK15" i="3" s="1"/>
  <c r="QJ13" i="3"/>
  <c r="QJ15" i="3" s="1"/>
  <c r="QI13" i="3"/>
  <c r="QI15" i="3" s="1"/>
  <c r="QH13" i="3"/>
  <c r="QH15" i="3" s="1"/>
  <c r="QG13" i="3"/>
  <c r="QG15" i="3" s="1"/>
  <c r="QF13" i="3"/>
  <c r="QF15" i="3" s="1"/>
  <c r="QE13" i="3"/>
  <c r="QE15" i="3" s="1"/>
  <c r="QD13" i="3"/>
  <c r="QD15" i="3" s="1"/>
  <c r="QC13" i="3"/>
  <c r="QC15" i="3" s="1"/>
  <c r="QA13" i="3"/>
  <c r="QA15" i="3" s="1"/>
  <c r="PZ13" i="3"/>
  <c r="PZ15" i="3" s="1"/>
  <c r="PY13" i="3"/>
  <c r="PY15" i="3" s="1"/>
  <c r="PX13" i="3"/>
  <c r="PX15" i="3" s="1"/>
  <c r="PW13" i="3"/>
  <c r="PW15" i="3" s="1"/>
  <c r="PV13" i="3"/>
  <c r="PV15" i="3" s="1"/>
  <c r="PU13" i="3"/>
  <c r="PU15" i="3" s="1"/>
  <c r="PT13" i="3"/>
  <c r="PT15" i="3" s="1"/>
  <c r="PS13" i="3"/>
  <c r="PS15" i="3" s="1"/>
  <c r="PR13" i="3"/>
  <c r="PR15" i="3" s="1"/>
  <c r="PQ13" i="3"/>
  <c r="PQ15" i="3" s="1"/>
  <c r="PP13" i="3"/>
  <c r="PP15" i="3" s="1"/>
  <c r="PO13" i="3"/>
  <c r="PO15" i="3" s="1"/>
  <c r="PN13" i="3"/>
  <c r="PN15" i="3" s="1"/>
  <c r="PM13" i="3"/>
  <c r="PM15" i="3" s="1"/>
  <c r="PL13" i="3"/>
  <c r="PL15" i="3" s="1"/>
  <c r="PK13" i="3"/>
  <c r="PK15" i="3" s="1"/>
  <c r="PJ13" i="3"/>
  <c r="PJ15" i="3" s="1"/>
  <c r="PI13" i="3"/>
  <c r="PI15" i="3" s="1"/>
  <c r="PH13" i="3"/>
  <c r="PH15" i="3" s="1"/>
  <c r="PG13" i="3"/>
  <c r="PG15" i="3" s="1"/>
  <c r="PF13" i="3"/>
  <c r="PF15" i="3" s="1"/>
  <c r="PE13" i="3"/>
  <c r="PE15" i="3" s="1"/>
  <c r="PD13" i="3"/>
  <c r="PD15" i="3" s="1"/>
  <c r="PC13" i="3"/>
  <c r="PC15" i="3" s="1"/>
  <c r="PB13" i="3"/>
  <c r="PB15" i="3" s="1"/>
  <c r="PA13" i="3"/>
  <c r="PA15" i="3" s="1"/>
  <c r="OZ13" i="3"/>
  <c r="OZ15" i="3" s="1"/>
  <c r="OY13" i="3"/>
  <c r="OY15" i="3" s="1"/>
  <c r="OX13" i="3"/>
  <c r="OX15" i="3" s="1"/>
  <c r="OV13" i="3"/>
  <c r="OV15" i="3" s="1"/>
  <c r="OU13" i="3"/>
  <c r="OU15" i="3" s="1"/>
  <c r="OT13" i="3"/>
  <c r="OT15" i="3" s="1"/>
  <c r="OS13" i="3"/>
  <c r="OS15" i="3" s="1"/>
  <c r="OR13" i="3"/>
  <c r="OR15" i="3" s="1"/>
  <c r="OQ13" i="3"/>
  <c r="OQ15" i="3" s="1"/>
  <c r="OP13" i="3"/>
  <c r="OP15" i="3" s="1"/>
  <c r="OO13" i="3"/>
  <c r="OO15" i="3" s="1"/>
  <c r="ON13" i="3"/>
  <c r="ON15" i="3" s="1"/>
  <c r="OM13" i="3"/>
  <c r="OM15" i="3" s="1"/>
  <c r="OL13" i="3"/>
  <c r="OL15" i="3" s="1"/>
  <c r="OK13" i="3"/>
  <c r="OK15" i="3" s="1"/>
  <c r="OJ13" i="3"/>
  <c r="OJ15" i="3" s="1"/>
  <c r="OI13" i="3"/>
  <c r="OI15" i="3" s="1"/>
  <c r="OH13" i="3"/>
  <c r="OH15" i="3" s="1"/>
  <c r="OG13" i="3"/>
  <c r="OG15" i="3" s="1"/>
  <c r="OF13" i="3"/>
  <c r="OF15" i="3" s="1"/>
  <c r="OE13" i="3"/>
  <c r="OE15" i="3" s="1"/>
  <c r="OD13" i="3"/>
  <c r="OD15" i="3" s="1"/>
  <c r="OC13" i="3"/>
  <c r="OC15" i="3" s="1"/>
  <c r="OB13" i="3"/>
  <c r="OB15" i="3" s="1"/>
  <c r="OA13" i="3"/>
  <c r="OA15" i="3" s="1"/>
  <c r="NZ13" i="3"/>
  <c r="NZ15" i="3" s="1"/>
  <c r="NY13" i="3"/>
  <c r="NY15" i="3" s="1"/>
  <c r="NX13" i="3"/>
  <c r="NX15" i="3" s="1"/>
  <c r="NW13" i="3"/>
  <c r="NW15" i="3" s="1"/>
  <c r="NV13" i="3"/>
  <c r="NV15" i="3" s="1"/>
  <c r="NU13" i="3"/>
  <c r="NU15" i="3" s="1"/>
  <c r="NT13" i="3"/>
  <c r="NT15" i="3" s="1"/>
  <c r="NS13" i="3"/>
  <c r="NS15" i="3" s="1"/>
  <c r="NR13" i="3"/>
  <c r="NR15" i="3" s="1"/>
  <c r="NP13" i="3"/>
  <c r="NP15" i="3" s="1"/>
  <c r="NO13" i="3"/>
  <c r="NO15" i="3" s="1"/>
  <c r="NN13" i="3"/>
  <c r="NN15" i="3" s="1"/>
  <c r="NM13" i="3"/>
  <c r="NM15" i="3" s="1"/>
  <c r="NL13" i="3"/>
  <c r="NL15" i="3" s="1"/>
  <c r="NK13" i="3"/>
  <c r="NK15" i="3" s="1"/>
  <c r="NJ13" i="3"/>
  <c r="NJ15" i="3" s="1"/>
  <c r="NI13" i="3"/>
  <c r="NI15" i="3" s="1"/>
  <c r="NH13" i="3"/>
  <c r="NH15" i="3" s="1"/>
  <c r="NG13" i="3"/>
  <c r="NG15" i="3" s="1"/>
  <c r="NF13" i="3"/>
  <c r="NF15" i="3" s="1"/>
  <c r="NE13" i="3"/>
  <c r="NE15" i="3" s="1"/>
  <c r="ND13" i="3"/>
  <c r="ND15" i="3" s="1"/>
  <c r="NC13" i="3"/>
  <c r="NC15" i="3" s="1"/>
  <c r="NB13" i="3"/>
  <c r="NB15" i="3" s="1"/>
  <c r="NA13" i="3"/>
  <c r="NA15" i="3" s="1"/>
  <c r="MZ13" i="3"/>
  <c r="MZ15" i="3" s="1"/>
  <c r="MY13" i="3"/>
  <c r="MY15" i="3" s="1"/>
  <c r="MX13" i="3"/>
  <c r="MX15" i="3" s="1"/>
  <c r="MW13" i="3"/>
  <c r="MW15" i="3" s="1"/>
  <c r="MV13" i="3"/>
  <c r="MV15" i="3" s="1"/>
  <c r="MU13" i="3"/>
  <c r="MU15" i="3" s="1"/>
  <c r="MT13" i="3"/>
  <c r="MT15" i="3" s="1"/>
  <c r="MS13" i="3"/>
  <c r="MS15" i="3" s="1"/>
  <c r="MR13" i="3"/>
  <c r="MR15" i="3" s="1"/>
  <c r="MQ13" i="3"/>
  <c r="MQ15" i="3" s="1"/>
  <c r="MP13" i="3"/>
  <c r="MP15" i="3" s="1"/>
  <c r="MO13" i="3"/>
  <c r="MO15" i="3" s="1"/>
  <c r="MN13" i="3"/>
  <c r="MN15" i="3" s="1"/>
  <c r="MM13" i="3"/>
  <c r="MM15" i="3" s="1"/>
  <c r="ML13" i="3"/>
  <c r="ML15" i="3" s="1"/>
  <c r="MJ13" i="3"/>
  <c r="MJ15" i="3" s="1"/>
  <c r="MI13" i="3"/>
  <c r="MI15" i="3" s="1"/>
  <c r="MH13" i="3"/>
  <c r="MH15" i="3" s="1"/>
  <c r="MG13" i="3"/>
  <c r="MG15" i="3" s="1"/>
  <c r="MF13" i="3"/>
  <c r="MF15" i="3" s="1"/>
  <c r="ME13" i="3"/>
  <c r="ME15" i="3" s="1"/>
  <c r="MD13" i="3"/>
  <c r="MD15" i="3" s="1"/>
  <c r="MC13" i="3"/>
  <c r="MC15" i="3" s="1"/>
  <c r="MB13" i="3"/>
  <c r="MB15" i="3" s="1"/>
  <c r="MA13" i="3"/>
  <c r="MA15" i="3" s="1"/>
  <c r="LZ13" i="3"/>
  <c r="LZ15" i="3" s="1"/>
  <c r="LY13" i="3"/>
  <c r="LY15" i="3" s="1"/>
  <c r="LX13" i="3"/>
  <c r="LX15" i="3" s="1"/>
  <c r="LW13" i="3"/>
  <c r="LW15" i="3" s="1"/>
  <c r="LV13" i="3"/>
  <c r="LV15" i="3" s="1"/>
  <c r="LU13" i="3"/>
  <c r="LU15" i="3" s="1"/>
  <c r="LT13" i="3"/>
  <c r="LT15" i="3" s="1"/>
  <c r="LS13" i="3"/>
  <c r="LS15" i="3" s="1"/>
  <c r="LR13" i="3"/>
  <c r="LR15" i="3" s="1"/>
  <c r="LQ13" i="3"/>
  <c r="LQ15" i="3" s="1"/>
  <c r="LP13" i="3"/>
  <c r="LP15" i="3" s="1"/>
  <c r="LO13" i="3"/>
  <c r="LO15" i="3" s="1"/>
  <c r="LN13" i="3"/>
  <c r="LN15" i="3" s="1"/>
  <c r="LM13" i="3"/>
  <c r="LM15" i="3" s="1"/>
  <c r="LL13" i="3"/>
  <c r="LL15" i="3" s="1"/>
  <c r="LK13" i="3"/>
  <c r="LK15" i="3" s="1"/>
  <c r="LJ13" i="3"/>
  <c r="LJ15" i="3" s="1"/>
  <c r="LI13" i="3"/>
  <c r="LI15" i="3" s="1"/>
  <c r="LH13" i="3"/>
  <c r="LH15" i="3" s="1"/>
  <c r="LG13" i="3"/>
  <c r="LG15" i="3" s="1"/>
  <c r="LE13" i="3"/>
  <c r="LE15" i="3" s="1"/>
  <c r="LD13" i="3"/>
  <c r="LD15" i="3" s="1"/>
  <c r="LC13" i="3"/>
  <c r="LC15" i="3" s="1"/>
  <c r="LB13" i="3"/>
  <c r="LB15" i="3" s="1"/>
  <c r="LA13" i="3"/>
  <c r="LA15" i="3" s="1"/>
  <c r="KZ13" i="3"/>
  <c r="KZ15" i="3" s="1"/>
  <c r="KY13" i="3"/>
  <c r="KY15" i="3" s="1"/>
  <c r="KX13" i="3"/>
  <c r="KX15" i="3" s="1"/>
  <c r="KW13" i="3"/>
  <c r="KW15" i="3" s="1"/>
  <c r="KV13" i="3"/>
  <c r="KV15" i="3" s="1"/>
  <c r="KU13" i="3"/>
  <c r="KU15" i="3" s="1"/>
  <c r="KT13" i="3"/>
  <c r="KT15" i="3" s="1"/>
  <c r="KS13" i="3"/>
  <c r="KS15" i="3" s="1"/>
  <c r="KR13" i="3"/>
  <c r="KR15" i="3" s="1"/>
  <c r="KQ13" i="3"/>
  <c r="KQ15" i="3" s="1"/>
  <c r="KP13" i="3"/>
  <c r="KP15" i="3" s="1"/>
  <c r="KO13" i="3"/>
  <c r="KO15" i="3" s="1"/>
  <c r="KN13" i="3"/>
  <c r="KN15" i="3" s="1"/>
  <c r="KM13" i="3"/>
  <c r="KM15" i="3" s="1"/>
  <c r="KL13" i="3"/>
  <c r="KL15" i="3" s="1"/>
  <c r="KK13" i="3"/>
  <c r="KK15" i="3" s="1"/>
  <c r="KJ13" i="3"/>
  <c r="KJ15" i="3" s="1"/>
  <c r="KI13" i="3"/>
  <c r="KI15" i="3" s="1"/>
  <c r="KH13" i="3"/>
  <c r="KH15" i="3" s="1"/>
  <c r="KG13" i="3"/>
  <c r="KG15" i="3" s="1"/>
  <c r="KF13" i="3"/>
  <c r="KF15" i="3" s="1"/>
  <c r="KE13" i="3"/>
  <c r="KE15" i="3" s="1"/>
  <c r="KD13" i="3"/>
  <c r="KD15" i="3" s="1"/>
  <c r="KC13" i="3"/>
  <c r="KC15" i="3" s="1"/>
  <c r="KB13" i="3"/>
  <c r="KB15" i="3" s="1"/>
  <c r="KA13" i="3"/>
  <c r="KA15" i="3" s="1"/>
  <c r="JY13" i="3"/>
  <c r="JY15" i="3" s="1"/>
  <c r="JX13" i="3"/>
  <c r="JX15" i="3" s="1"/>
  <c r="JW13" i="3"/>
  <c r="JW15" i="3" s="1"/>
  <c r="JV13" i="3"/>
  <c r="JV15" i="3" s="1"/>
  <c r="JU13" i="3"/>
  <c r="JU15" i="3" s="1"/>
  <c r="JT13" i="3"/>
  <c r="JT15" i="3" s="1"/>
  <c r="JS13" i="3"/>
  <c r="JS15" i="3" s="1"/>
  <c r="JR13" i="3"/>
  <c r="JR15" i="3" s="1"/>
  <c r="JQ13" i="3"/>
  <c r="JQ15" i="3" s="1"/>
  <c r="JP13" i="3"/>
  <c r="JP15" i="3" s="1"/>
  <c r="JO13" i="3"/>
  <c r="JO15" i="3" s="1"/>
  <c r="JN13" i="3"/>
  <c r="JN15" i="3" s="1"/>
  <c r="JM13" i="3"/>
  <c r="JM15" i="3" s="1"/>
  <c r="JL13" i="3"/>
  <c r="JL15" i="3" s="1"/>
  <c r="JK13" i="3"/>
  <c r="JK15" i="3" s="1"/>
  <c r="JJ13" i="3"/>
  <c r="JJ15" i="3" s="1"/>
  <c r="JI13" i="3"/>
  <c r="JI15" i="3" s="1"/>
  <c r="JH13" i="3"/>
  <c r="JH15" i="3" s="1"/>
  <c r="JG13" i="3"/>
  <c r="JG15" i="3" s="1"/>
  <c r="JF13" i="3"/>
  <c r="JF15" i="3" s="1"/>
  <c r="JE13" i="3"/>
  <c r="JE15" i="3" s="1"/>
  <c r="JD13" i="3"/>
  <c r="JD15" i="3" s="1"/>
  <c r="JC13" i="3"/>
  <c r="JC15" i="3" s="1"/>
  <c r="JB13" i="3"/>
  <c r="JB15" i="3" s="1"/>
  <c r="JA13" i="3"/>
  <c r="JA15" i="3" s="1"/>
  <c r="IZ13" i="3"/>
  <c r="IZ15" i="3" s="1"/>
  <c r="IY13" i="3"/>
  <c r="IY15" i="3" s="1"/>
  <c r="IX13" i="3"/>
  <c r="IX15" i="3" s="1"/>
  <c r="IW13" i="3"/>
  <c r="IW15" i="3" s="1"/>
  <c r="IV13" i="3"/>
  <c r="IV15" i="3" s="1"/>
  <c r="IT13" i="3"/>
  <c r="IT15" i="3" s="1"/>
  <c r="IS13" i="3"/>
  <c r="IS15" i="3" s="1"/>
  <c r="IR13" i="3"/>
  <c r="IR15" i="3" s="1"/>
  <c r="IQ13" i="3"/>
  <c r="IQ15" i="3" s="1"/>
  <c r="IP13" i="3"/>
  <c r="IP15" i="3" s="1"/>
  <c r="IO13" i="3"/>
  <c r="IO15" i="3" s="1"/>
  <c r="IN13" i="3"/>
  <c r="IN15" i="3" s="1"/>
  <c r="IM13" i="3"/>
  <c r="IM15" i="3" s="1"/>
  <c r="IL13" i="3"/>
  <c r="IL15" i="3" s="1"/>
  <c r="IK13" i="3"/>
  <c r="IK15" i="3" s="1"/>
  <c r="IJ13" i="3"/>
  <c r="IJ15" i="3" s="1"/>
  <c r="II13" i="3"/>
  <c r="II15" i="3" s="1"/>
  <c r="IH13" i="3"/>
  <c r="IH15" i="3" s="1"/>
  <c r="IG13" i="3"/>
  <c r="IG15" i="3" s="1"/>
  <c r="IF13" i="3"/>
  <c r="IF15" i="3" s="1"/>
  <c r="IE13" i="3"/>
  <c r="IE15" i="3" s="1"/>
  <c r="ID13" i="3"/>
  <c r="ID15" i="3" s="1"/>
  <c r="IC13" i="3"/>
  <c r="IC15" i="3" s="1"/>
  <c r="IB13" i="3"/>
  <c r="IB15" i="3" s="1"/>
  <c r="IA13" i="3"/>
  <c r="IA15" i="3" s="1"/>
  <c r="HZ13" i="3"/>
  <c r="HZ15" i="3" s="1"/>
  <c r="HY13" i="3"/>
  <c r="HY15" i="3" s="1"/>
  <c r="HX13" i="3"/>
  <c r="HX15" i="3" s="1"/>
  <c r="HW13" i="3"/>
  <c r="HW15" i="3" s="1"/>
  <c r="HV13" i="3"/>
  <c r="HV15" i="3" s="1"/>
  <c r="HU13" i="3"/>
  <c r="HU15" i="3" s="1"/>
  <c r="HT13" i="3"/>
  <c r="HT15" i="3" s="1"/>
  <c r="HS13" i="3"/>
  <c r="HS15" i="3" s="1"/>
  <c r="HR13" i="3"/>
  <c r="HR15" i="3" s="1"/>
  <c r="HQ13" i="3"/>
  <c r="HQ15" i="3" s="1"/>
  <c r="HP13" i="3"/>
  <c r="HN13" i="3"/>
  <c r="HN15" i="3" s="1"/>
  <c r="HM13" i="3"/>
  <c r="HM15" i="3" s="1"/>
  <c r="HL13" i="3"/>
  <c r="HL15" i="3" s="1"/>
  <c r="HK13" i="3"/>
  <c r="HK15" i="3" s="1"/>
  <c r="HJ13" i="3"/>
  <c r="HJ15" i="3" s="1"/>
  <c r="HI13" i="3"/>
  <c r="HI15" i="3" s="1"/>
  <c r="HH13" i="3"/>
  <c r="HH15" i="3" s="1"/>
  <c r="HG13" i="3"/>
  <c r="HG15" i="3" s="1"/>
  <c r="HF13" i="3"/>
  <c r="HF15" i="3" s="1"/>
  <c r="HE13" i="3"/>
  <c r="HE15" i="3" s="1"/>
  <c r="HD13" i="3"/>
  <c r="HD15" i="3" s="1"/>
  <c r="HC13" i="3"/>
  <c r="HC15" i="3" s="1"/>
  <c r="HB13" i="3"/>
  <c r="HB15" i="3" s="1"/>
  <c r="HA13" i="3"/>
  <c r="HA15" i="3" s="1"/>
  <c r="GZ13" i="3"/>
  <c r="GZ15" i="3" s="1"/>
  <c r="GY13" i="3"/>
  <c r="GY15" i="3" s="1"/>
  <c r="GX13" i="3"/>
  <c r="GX15" i="3" s="1"/>
  <c r="GW13" i="3"/>
  <c r="GW15" i="3" s="1"/>
  <c r="GV13" i="3"/>
  <c r="GV15" i="3" s="1"/>
  <c r="GU13" i="3"/>
  <c r="GU15" i="3" s="1"/>
  <c r="GT13" i="3"/>
  <c r="GT15" i="3" s="1"/>
  <c r="GS13" i="3"/>
  <c r="GS15" i="3" s="1"/>
  <c r="GR13" i="3"/>
  <c r="GR15" i="3" s="1"/>
  <c r="GQ13" i="3"/>
  <c r="GQ15" i="3" s="1"/>
  <c r="GP13" i="3"/>
  <c r="GP15" i="3" s="1"/>
  <c r="GO13" i="3"/>
  <c r="GO15" i="3" s="1"/>
  <c r="GN13" i="3"/>
  <c r="GN15" i="3" s="1"/>
  <c r="GM13" i="3"/>
  <c r="GM15" i="3" s="1"/>
  <c r="GL13" i="3"/>
  <c r="GJ13" i="3"/>
  <c r="GJ15" i="3" s="1"/>
  <c r="GI13" i="3"/>
  <c r="GI15" i="3" s="1"/>
  <c r="GH13" i="3"/>
  <c r="GH15" i="3" s="1"/>
  <c r="GG13" i="3"/>
  <c r="GG15" i="3" s="1"/>
  <c r="GF13" i="3"/>
  <c r="GF15" i="3" s="1"/>
  <c r="GE13" i="3"/>
  <c r="GE15" i="3" s="1"/>
  <c r="GD13" i="3"/>
  <c r="GD15" i="3" s="1"/>
  <c r="GC13" i="3"/>
  <c r="GC15" i="3" s="1"/>
  <c r="GB13" i="3"/>
  <c r="GB15" i="3" s="1"/>
  <c r="GA13" i="3"/>
  <c r="GA15" i="3" s="1"/>
  <c r="FZ13" i="3"/>
  <c r="FZ15" i="3" s="1"/>
  <c r="FY13" i="3"/>
  <c r="FY15" i="3" s="1"/>
  <c r="FX13" i="3"/>
  <c r="FX15" i="3" s="1"/>
  <c r="FW13" i="3"/>
  <c r="FW15" i="3" s="1"/>
  <c r="FV13" i="3"/>
  <c r="FV15" i="3" s="1"/>
  <c r="FU13" i="3"/>
  <c r="FU15" i="3" s="1"/>
  <c r="FT13" i="3"/>
  <c r="FT15" i="3" s="1"/>
  <c r="FS13" i="3"/>
  <c r="FS15" i="3" s="1"/>
  <c r="FR13" i="3"/>
  <c r="FR15" i="3" s="1"/>
  <c r="FQ13" i="3"/>
  <c r="FQ15" i="3" s="1"/>
  <c r="FP13" i="3"/>
  <c r="FP15" i="3" s="1"/>
  <c r="FO13" i="3"/>
  <c r="FO15" i="3" s="1"/>
  <c r="FN13" i="3"/>
  <c r="FN15" i="3" s="1"/>
  <c r="FM13" i="3"/>
  <c r="FM15" i="3" s="1"/>
  <c r="FL13" i="3"/>
  <c r="FL15" i="3" s="1"/>
  <c r="FK13" i="3"/>
  <c r="FK15" i="3" s="1"/>
  <c r="FJ13" i="3"/>
  <c r="FJ15" i="3" s="1"/>
  <c r="FI13" i="3"/>
  <c r="FI15" i="3" s="1"/>
  <c r="FH13" i="3"/>
  <c r="FH15" i="3" s="1"/>
  <c r="FG13" i="3"/>
  <c r="FG15" i="3" s="1"/>
  <c r="FF13" i="3"/>
  <c r="FD13" i="3"/>
  <c r="FD15" i="3" s="1"/>
  <c r="FC13" i="3"/>
  <c r="FC15" i="3" s="1"/>
  <c r="FB13" i="3"/>
  <c r="FB15" i="3" s="1"/>
  <c r="FA13" i="3"/>
  <c r="FA15" i="3" s="1"/>
  <c r="EZ13" i="3"/>
  <c r="EZ15" i="3" s="1"/>
  <c r="EY13" i="3"/>
  <c r="EY15" i="3" s="1"/>
  <c r="EX13" i="3"/>
  <c r="EX15" i="3" s="1"/>
  <c r="EW13" i="3"/>
  <c r="EW15" i="3" s="1"/>
  <c r="EV13" i="3"/>
  <c r="EV15" i="3" s="1"/>
  <c r="EU13" i="3"/>
  <c r="EU15" i="3" s="1"/>
  <c r="ET13" i="3"/>
  <c r="ET15" i="3" s="1"/>
  <c r="ES13" i="3"/>
  <c r="ES15" i="3" s="1"/>
  <c r="ER13" i="3"/>
  <c r="ER15" i="3" s="1"/>
  <c r="EQ13" i="3"/>
  <c r="EQ15" i="3" s="1"/>
  <c r="EP13" i="3"/>
  <c r="EP15" i="3" s="1"/>
  <c r="EO13" i="3"/>
  <c r="EO15" i="3" s="1"/>
  <c r="EN13" i="3"/>
  <c r="EN15" i="3" s="1"/>
  <c r="EM13" i="3"/>
  <c r="EM15" i="3" s="1"/>
  <c r="EL13" i="3"/>
  <c r="EL15" i="3" s="1"/>
  <c r="EK13" i="3"/>
  <c r="EK15" i="3" s="1"/>
  <c r="EJ13" i="3"/>
  <c r="EJ15" i="3" s="1"/>
  <c r="EI13" i="3"/>
  <c r="EI15" i="3" s="1"/>
  <c r="EH13" i="3"/>
  <c r="EH15" i="3" s="1"/>
  <c r="EG13" i="3"/>
  <c r="EG15" i="3" s="1"/>
  <c r="EF13" i="3"/>
  <c r="EF15" i="3" s="1"/>
  <c r="EE13" i="3"/>
  <c r="EE15" i="3" s="1"/>
  <c r="ED13" i="3"/>
  <c r="ED15" i="3" s="1"/>
  <c r="EC13" i="3"/>
  <c r="EC15" i="3" s="1"/>
  <c r="EB13" i="3"/>
  <c r="EB15" i="3" s="1"/>
  <c r="EA13" i="3"/>
  <c r="EA15" i="3" s="1"/>
  <c r="DZ13" i="3"/>
  <c r="DZ15" i="3" s="1"/>
  <c r="DX13" i="3"/>
  <c r="DX15" i="3" s="1"/>
  <c r="DW13" i="3"/>
  <c r="DW15" i="3" s="1"/>
  <c r="DV13" i="3"/>
  <c r="DV15" i="3" s="1"/>
  <c r="DU13" i="3"/>
  <c r="DU15" i="3" s="1"/>
  <c r="DT13" i="3"/>
  <c r="DT15" i="3" s="1"/>
  <c r="DS13" i="3"/>
  <c r="DS15" i="3" s="1"/>
  <c r="DR13" i="3"/>
  <c r="DR15" i="3" s="1"/>
  <c r="DQ13" i="3"/>
  <c r="DQ15" i="3" s="1"/>
  <c r="DP13" i="3"/>
  <c r="DP15" i="3" s="1"/>
  <c r="DO13" i="3"/>
  <c r="DO15" i="3" s="1"/>
  <c r="DN13" i="3"/>
  <c r="DN15" i="3" s="1"/>
  <c r="DM13" i="3"/>
  <c r="DM15" i="3" s="1"/>
  <c r="DL13" i="3"/>
  <c r="DL15" i="3" s="1"/>
  <c r="DK13" i="3"/>
  <c r="DK15" i="3" s="1"/>
  <c r="DJ13" i="3"/>
  <c r="DJ15" i="3" s="1"/>
  <c r="DI13" i="3"/>
  <c r="DI15" i="3" s="1"/>
  <c r="DH13" i="3"/>
  <c r="DH15" i="3" s="1"/>
  <c r="DG13" i="3"/>
  <c r="DG15" i="3" s="1"/>
  <c r="DF13" i="3"/>
  <c r="DF15" i="3" s="1"/>
  <c r="DE13" i="3"/>
  <c r="DE15" i="3" s="1"/>
  <c r="DD13" i="3"/>
  <c r="DD15" i="3" s="1"/>
  <c r="DC13" i="3"/>
  <c r="DC15" i="3" s="1"/>
  <c r="DB13" i="3"/>
  <c r="DB15" i="3" s="1"/>
  <c r="DA13" i="3"/>
  <c r="DA15" i="3" s="1"/>
  <c r="CZ13" i="3"/>
  <c r="CZ15" i="3" s="1"/>
  <c r="CY13" i="3"/>
  <c r="CY15" i="3" s="1"/>
  <c r="CX13" i="3"/>
  <c r="CX15" i="3" s="1"/>
  <c r="CW13" i="3"/>
  <c r="CW15" i="3" s="1"/>
  <c r="CV13" i="3"/>
  <c r="CV15" i="3" s="1"/>
  <c r="CU13" i="3"/>
  <c r="CU15" i="3" s="1"/>
  <c r="CS13" i="3"/>
  <c r="CS15" i="3" s="1"/>
  <c r="CR13" i="3"/>
  <c r="CR15" i="3" s="1"/>
  <c r="CQ13" i="3"/>
  <c r="CQ15" i="3" s="1"/>
  <c r="CP13" i="3"/>
  <c r="CP15" i="3" s="1"/>
  <c r="CO13" i="3"/>
  <c r="CO15" i="3" s="1"/>
  <c r="CN13" i="3"/>
  <c r="CN15" i="3" s="1"/>
  <c r="CM13" i="3"/>
  <c r="CM15" i="3" s="1"/>
  <c r="CL13" i="3"/>
  <c r="CL15" i="3" s="1"/>
  <c r="CK13" i="3"/>
  <c r="CK15" i="3" s="1"/>
  <c r="CJ13" i="3"/>
  <c r="CJ15" i="3" s="1"/>
  <c r="CI13" i="3"/>
  <c r="CI15" i="3" s="1"/>
  <c r="CH13" i="3"/>
  <c r="CH15" i="3" s="1"/>
  <c r="CG13" i="3"/>
  <c r="CG15" i="3" s="1"/>
  <c r="CF13" i="3"/>
  <c r="CF15" i="3" s="1"/>
  <c r="CE13" i="3"/>
  <c r="CE15" i="3" s="1"/>
  <c r="CD13" i="3"/>
  <c r="CD15" i="3" s="1"/>
  <c r="CC13" i="3"/>
  <c r="CC15" i="3" s="1"/>
  <c r="CB13" i="3"/>
  <c r="CB15" i="3" s="1"/>
  <c r="CA13" i="3"/>
  <c r="CA15" i="3" s="1"/>
  <c r="BZ13" i="3"/>
  <c r="BZ15" i="3" s="1"/>
  <c r="BY13" i="3"/>
  <c r="BY15" i="3" s="1"/>
  <c r="BX13" i="3"/>
  <c r="BX15" i="3" s="1"/>
  <c r="BW13" i="3"/>
  <c r="BW15" i="3" s="1"/>
  <c r="BV13" i="3"/>
  <c r="BV15" i="3" s="1"/>
  <c r="BU13" i="3"/>
  <c r="BU15" i="3" s="1"/>
  <c r="BT13" i="3"/>
  <c r="BT15" i="3" s="1"/>
  <c r="BS13" i="3"/>
  <c r="BS15" i="3" s="1"/>
  <c r="BR13" i="3"/>
  <c r="BR15" i="3" s="1"/>
  <c r="BQ13" i="3"/>
  <c r="BQ15" i="3" s="1"/>
  <c r="BP13" i="3"/>
  <c r="BP15" i="3" s="1"/>
  <c r="BO13" i="3"/>
  <c r="BO15" i="3" s="1"/>
  <c r="BM13" i="3"/>
  <c r="BM15" i="3" s="1"/>
  <c r="BL13" i="3"/>
  <c r="BL15" i="3" s="1"/>
  <c r="BK13" i="3"/>
  <c r="BK15" i="3" s="1"/>
  <c r="BJ13" i="3"/>
  <c r="BJ15" i="3" s="1"/>
  <c r="BI13" i="3"/>
  <c r="BI15" i="3" s="1"/>
  <c r="BH13" i="3"/>
  <c r="BH15" i="3" s="1"/>
  <c r="BG13" i="3"/>
  <c r="BG15" i="3" s="1"/>
  <c r="BF13" i="3"/>
  <c r="BF15" i="3" s="1"/>
  <c r="BE13" i="3"/>
  <c r="BE15" i="3" s="1"/>
  <c r="BD13" i="3"/>
  <c r="BD15" i="3" s="1"/>
  <c r="BC13" i="3"/>
  <c r="BC15" i="3" s="1"/>
  <c r="BB13" i="3"/>
  <c r="BB15" i="3" s="1"/>
  <c r="BA13" i="3"/>
  <c r="BA15" i="3" s="1"/>
  <c r="AZ13" i="3"/>
  <c r="AZ15" i="3" s="1"/>
  <c r="AY13" i="3"/>
  <c r="AY15" i="3" s="1"/>
  <c r="AX13" i="3"/>
  <c r="AX15" i="3" s="1"/>
  <c r="AW13" i="3"/>
  <c r="AW15" i="3" s="1"/>
  <c r="AV13" i="3"/>
  <c r="AV15" i="3" s="1"/>
  <c r="AU13" i="3"/>
  <c r="AU15" i="3" s="1"/>
  <c r="AT13" i="3"/>
  <c r="AT15" i="3" s="1"/>
  <c r="AS13" i="3"/>
  <c r="AS15" i="3" s="1"/>
  <c r="AR13" i="3"/>
  <c r="AR15" i="3" s="1"/>
  <c r="AQ13" i="3"/>
  <c r="AQ15" i="3" s="1"/>
  <c r="AP13" i="3"/>
  <c r="AP15" i="3" s="1"/>
  <c r="AO13" i="3"/>
  <c r="AO15" i="3" s="1"/>
  <c r="AN13" i="3"/>
  <c r="AN15" i="3" s="1"/>
  <c r="AM13" i="3"/>
  <c r="AM15" i="3" s="1"/>
  <c r="AL13" i="3"/>
  <c r="AL15" i="3" s="1"/>
  <c r="AK13" i="3"/>
  <c r="AK15" i="3" s="1"/>
  <c r="AJ13" i="3"/>
  <c r="AJ15" i="3" s="1"/>
  <c r="AH13" i="3"/>
  <c r="AH15" i="3" s="1"/>
  <c r="AG13" i="3"/>
  <c r="AG15" i="3" s="1"/>
  <c r="AF13" i="3"/>
  <c r="AF15" i="3" s="1"/>
  <c r="AE13" i="3"/>
  <c r="AE15" i="3" s="1"/>
  <c r="AD13" i="3"/>
  <c r="AD15" i="3" s="1"/>
  <c r="AC13" i="3"/>
  <c r="AC15" i="3" s="1"/>
  <c r="AB13" i="3"/>
  <c r="AB15" i="3" s="1"/>
  <c r="AA13" i="3"/>
  <c r="AA15" i="3" s="1"/>
  <c r="Z13" i="3"/>
  <c r="Z15" i="3" s="1"/>
  <c r="Y13" i="3"/>
  <c r="Y15" i="3" s="1"/>
  <c r="X13" i="3"/>
  <c r="X15" i="3" s="1"/>
  <c r="W13" i="3"/>
  <c r="W15" i="3" s="1"/>
  <c r="V13" i="3"/>
  <c r="V15" i="3" s="1"/>
  <c r="U13" i="3"/>
  <c r="U15" i="3" s="1"/>
  <c r="T13" i="3"/>
  <c r="T15" i="3" s="1"/>
  <c r="S13" i="3"/>
  <c r="S15" i="3" s="1"/>
  <c r="R13" i="3"/>
  <c r="R15" i="3" s="1"/>
  <c r="Q13" i="3"/>
  <c r="Q15" i="3" s="1"/>
  <c r="P13" i="3"/>
  <c r="P15" i="3" s="1"/>
  <c r="O13" i="3"/>
  <c r="O15" i="3" s="1"/>
  <c r="N13" i="3"/>
  <c r="N15" i="3" s="1"/>
  <c r="M13" i="3"/>
  <c r="M15" i="3" s="1"/>
  <c r="L13" i="3"/>
  <c r="L15" i="3" s="1"/>
  <c r="K13" i="3"/>
  <c r="K15" i="3" s="1"/>
  <c r="J13" i="3"/>
  <c r="J15" i="3" s="1"/>
  <c r="I13" i="3"/>
  <c r="I15" i="3" s="1"/>
  <c r="H13" i="3"/>
  <c r="H15" i="3" s="1"/>
  <c r="G13" i="3"/>
  <c r="G15" i="3" s="1"/>
  <c r="F13" i="3"/>
  <c r="F15" i="3" s="1"/>
  <c r="E13" i="3"/>
  <c r="E15" i="3" s="1"/>
  <c r="AOE12" i="3"/>
  <c r="AOD12" i="3"/>
  <c r="D12" i="3"/>
  <c r="AOC10" i="3"/>
  <c r="AOC12" i="3" s="1"/>
  <c r="AOB10" i="3"/>
  <c r="AOB12" i="3" s="1"/>
  <c r="AOA10" i="3"/>
  <c r="AOA12" i="3" s="1"/>
  <c r="ANZ10" i="3"/>
  <c r="ANZ12" i="3" s="1"/>
  <c r="ANY10" i="3"/>
  <c r="ANY12" i="3" s="1"/>
  <c r="ANX10" i="3"/>
  <c r="ANX12" i="3" s="1"/>
  <c r="ANW10" i="3"/>
  <c r="ANW12" i="3" s="1"/>
  <c r="ANV10" i="3"/>
  <c r="ANV12" i="3" s="1"/>
  <c r="ANU10" i="3"/>
  <c r="ANU12" i="3" s="1"/>
  <c r="ANT10" i="3"/>
  <c r="ANT12" i="3" s="1"/>
  <c r="ANS10" i="3"/>
  <c r="ANS12" i="3" s="1"/>
  <c r="ANR10" i="3"/>
  <c r="ANR12" i="3" s="1"/>
  <c r="ANQ10" i="3"/>
  <c r="ANQ12" i="3" s="1"/>
  <c r="ANP10" i="3"/>
  <c r="ANP12" i="3" s="1"/>
  <c r="ANO10" i="3"/>
  <c r="ANO12" i="3" s="1"/>
  <c r="ANN10" i="3"/>
  <c r="ANN12" i="3" s="1"/>
  <c r="ANM10" i="3"/>
  <c r="ANM12" i="3" s="1"/>
  <c r="ANL10" i="3"/>
  <c r="ANL12" i="3" s="1"/>
  <c r="ANK10" i="3"/>
  <c r="ANK12" i="3" s="1"/>
  <c r="ANJ10" i="3"/>
  <c r="ANJ12" i="3" s="1"/>
  <c r="ANI10" i="3"/>
  <c r="ANI12" i="3" s="1"/>
  <c r="ANH10" i="3"/>
  <c r="ANH12" i="3" s="1"/>
  <c r="ANG10" i="3"/>
  <c r="ANG12" i="3" s="1"/>
  <c r="ANF10" i="3"/>
  <c r="ANF12" i="3" s="1"/>
  <c r="ANE10" i="3"/>
  <c r="ANE12" i="3" s="1"/>
  <c r="AND10" i="3"/>
  <c r="AND12" i="3" s="1"/>
  <c r="ANC10" i="3"/>
  <c r="ANC12" i="3" s="1"/>
  <c r="ANB10" i="3"/>
  <c r="ANB12" i="3" s="1"/>
  <c r="ANA10" i="3"/>
  <c r="ANA12" i="3" s="1"/>
  <c r="AMY10" i="3"/>
  <c r="AMY12" i="3" s="1"/>
  <c r="AMX10" i="3"/>
  <c r="AMX12" i="3" s="1"/>
  <c r="AMW10" i="3"/>
  <c r="AMW12" i="3" s="1"/>
  <c r="AMV10" i="3"/>
  <c r="AMV12" i="3" s="1"/>
  <c r="AMU10" i="3"/>
  <c r="AMU12" i="3" s="1"/>
  <c r="AMT10" i="3"/>
  <c r="AMT12" i="3" s="1"/>
  <c r="AMS10" i="3"/>
  <c r="AMS12" i="3" s="1"/>
  <c r="AMR10" i="3"/>
  <c r="AMR12" i="3" s="1"/>
  <c r="AMQ10" i="3"/>
  <c r="AMQ12" i="3" s="1"/>
  <c r="AMP10" i="3"/>
  <c r="AMP12" i="3" s="1"/>
  <c r="AMO10" i="3"/>
  <c r="AMO12" i="3" s="1"/>
  <c r="AMN10" i="3"/>
  <c r="AMN12" i="3" s="1"/>
  <c r="AMM10" i="3"/>
  <c r="AMM12" i="3" s="1"/>
  <c r="AML10" i="3"/>
  <c r="AML12" i="3" s="1"/>
  <c r="AMK10" i="3"/>
  <c r="AMK12" i="3" s="1"/>
  <c r="AMJ10" i="3"/>
  <c r="AMJ12" i="3" s="1"/>
  <c r="AMI10" i="3"/>
  <c r="AMI12" i="3" s="1"/>
  <c r="AMH10" i="3"/>
  <c r="AMH12" i="3" s="1"/>
  <c r="AMG10" i="3"/>
  <c r="AMG12" i="3" s="1"/>
  <c r="AMF10" i="3"/>
  <c r="AMF12" i="3" s="1"/>
  <c r="AME10" i="3"/>
  <c r="AME12" i="3" s="1"/>
  <c r="AMD10" i="3"/>
  <c r="AMD12" i="3" s="1"/>
  <c r="AMC10" i="3"/>
  <c r="AMC12" i="3" s="1"/>
  <c r="AMB10" i="3"/>
  <c r="AMB12" i="3" s="1"/>
  <c r="AMA10" i="3"/>
  <c r="AMA12" i="3" s="1"/>
  <c r="ALZ10" i="3"/>
  <c r="ALZ12" i="3" s="1"/>
  <c r="ALY10" i="3"/>
  <c r="ALY12" i="3" s="1"/>
  <c r="ALX10" i="3"/>
  <c r="ALX12" i="3" s="1"/>
  <c r="ALW10" i="3"/>
  <c r="ALW12" i="3" s="1"/>
  <c r="ALV10" i="3"/>
  <c r="ALV12" i="3" s="1"/>
  <c r="ALT10" i="3"/>
  <c r="ALT12" i="3" s="1"/>
  <c r="ALS10" i="3"/>
  <c r="ALS12" i="3" s="1"/>
  <c r="ALR10" i="3"/>
  <c r="ALR12" i="3" s="1"/>
  <c r="ALQ10" i="3"/>
  <c r="ALQ12" i="3" s="1"/>
  <c r="ALP10" i="3"/>
  <c r="ALP12" i="3" s="1"/>
  <c r="ALO10" i="3"/>
  <c r="ALO12" i="3" s="1"/>
  <c r="ALN10" i="3"/>
  <c r="ALN12" i="3" s="1"/>
  <c r="ALM10" i="3"/>
  <c r="ALM12" i="3" s="1"/>
  <c r="ALL10" i="3"/>
  <c r="ALL12" i="3" s="1"/>
  <c r="ALK10" i="3"/>
  <c r="ALK12" i="3" s="1"/>
  <c r="ALJ10" i="3"/>
  <c r="ALJ12" i="3" s="1"/>
  <c r="ALI10" i="3"/>
  <c r="ALI12" i="3" s="1"/>
  <c r="ALH10" i="3"/>
  <c r="ALH12" i="3" s="1"/>
  <c r="ALG10" i="3"/>
  <c r="ALG12" i="3" s="1"/>
  <c r="ALF10" i="3"/>
  <c r="ALF12" i="3" s="1"/>
  <c r="ALE10" i="3"/>
  <c r="ALE12" i="3" s="1"/>
  <c r="ALD10" i="3"/>
  <c r="ALD12" i="3" s="1"/>
  <c r="ALC10" i="3"/>
  <c r="ALC12" i="3" s="1"/>
  <c r="ALB10" i="3"/>
  <c r="ALB12" i="3" s="1"/>
  <c r="ALA10" i="3"/>
  <c r="ALA12" i="3" s="1"/>
  <c r="AKZ10" i="3"/>
  <c r="AKZ12" i="3" s="1"/>
  <c r="AKY10" i="3"/>
  <c r="AKY12" i="3" s="1"/>
  <c r="AKX10" i="3"/>
  <c r="AKX12" i="3" s="1"/>
  <c r="AKW10" i="3"/>
  <c r="AKW12" i="3" s="1"/>
  <c r="AKV10" i="3"/>
  <c r="AKV12" i="3" s="1"/>
  <c r="AKU10" i="3"/>
  <c r="AKU12" i="3" s="1"/>
  <c r="AKT10" i="3"/>
  <c r="AKT12" i="3" s="1"/>
  <c r="AKS10" i="3"/>
  <c r="AKS12" i="3" s="1"/>
  <c r="AKR10" i="3"/>
  <c r="AKR12" i="3" s="1"/>
  <c r="AKQ10" i="3"/>
  <c r="AKQ12" i="3" s="1"/>
  <c r="AKP10" i="3"/>
  <c r="AKP12" i="3" s="1"/>
  <c r="ALU12" i="3" s="1"/>
  <c r="AKN10" i="3"/>
  <c r="AKN12" i="3" s="1"/>
  <c r="AKM10" i="3"/>
  <c r="AKM12" i="3" s="1"/>
  <c r="AKL10" i="3"/>
  <c r="AKL12" i="3" s="1"/>
  <c r="AKK10" i="3"/>
  <c r="AKK12" i="3" s="1"/>
  <c r="AKJ10" i="3"/>
  <c r="AKJ12" i="3" s="1"/>
  <c r="AKI10" i="3"/>
  <c r="AKI12" i="3" s="1"/>
  <c r="AKH10" i="3"/>
  <c r="AKH12" i="3" s="1"/>
  <c r="AKG10" i="3"/>
  <c r="AKG12" i="3" s="1"/>
  <c r="AKF10" i="3"/>
  <c r="AKF12" i="3" s="1"/>
  <c r="AKE10" i="3"/>
  <c r="AKE12" i="3" s="1"/>
  <c r="AKD10" i="3"/>
  <c r="AKD12" i="3" s="1"/>
  <c r="AKC10" i="3"/>
  <c r="AKC12" i="3" s="1"/>
  <c r="AKB10" i="3"/>
  <c r="AKB12" i="3" s="1"/>
  <c r="AKA10" i="3"/>
  <c r="AKA12" i="3" s="1"/>
  <c r="AJZ10" i="3"/>
  <c r="AJZ12" i="3" s="1"/>
  <c r="AJY10" i="3"/>
  <c r="AJY12" i="3" s="1"/>
  <c r="AJX10" i="3"/>
  <c r="AJX12" i="3" s="1"/>
  <c r="AJW10" i="3"/>
  <c r="AJW12" i="3" s="1"/>
  <c r="AJV10" i="3"/>
  <c r="AJV12" i="3" s="1"/>
  <c r="AJU10" i="3"/>
  <c r="AJU12" i="3" s="1"/>
  <c r="AJT10" i="3"/>
  <c r="AJT12" i="3" s="1"/>
  <c r="AJS10" i="3"/>
  <c r="AJS12" i="3" s="1"/>
  <c r="AJR10" i="3"/>
  <c r="AJR12" i="3" s="1"/>
  <c r="AJQ10" i="3"/>
  <c r="AJQ12" i="3" s="1"/>
  <c r="AJP10" i="3"/>
  <c r="AJP12" i="3" s="1"/>
  <c r="AJO10" i="3"/>
  <c r="AJO12" i="3" s="1"/>
  <c r="AJN10" i="3"/>
  <c r="AJN12" i="3" s="1"/>
  <c r="AJM10" i="3"/>
  <c r="AJM12" i="3" s="1"/>
  <c r="AKO12" i="3" s="1"/>
  <c r="AJK10" i="3"/>
  <c r="AJK12" i="3" s="1"/>
  <c r="AJJ10" i="3"/>
  <c r="AJJ12" i="3" s="1"/>
  <c r="AJI10" i="3"/>
  <c r="AJI12" i="3" s="1"/>
  <c r="AJH10" i="3"/>
  <c r="AJH12" i="3" s="1"/>
  <c r="AJG10" i="3"/>
  <c r="AJG12" i="3" s="1"/>
  <c r="AJF10" i="3"/>
  <c r="AJF12" i="3" s="1"/>
  <c r="AJE10" i="3"/>
  <c r="AJE12" i="3" s="1"/>
  <c r="AJD10" i="3"/>
  <c r="AJD12" i="3" s="1"/>
  <c r="AJC10" i="3"/>
  <c r="AJC12" i="3" s="1"/>
  <c r="AJB10" i="3"/>
  <c r="AJB12" i="3" s="1"/>
  <c r="AJA10" i="3"/>
  <c r="AJA12" i="3" s="1"/>
  <c r="AIZ10" i="3"/>
  <c r="AIZ12" i="3" s="1"/>
  <c r="AIY10" i="3"/>
  <c r="AIY12" i="3" s="1"/>
  <c r="AIX10" i="3"/>
  <c r="AIX12" i="3" s="1"/>
  <c r="AIW10" i="3"/>
  <c r="AIW12" i="3" s="1"/>
  <c r="AIV10" i="3"/>
  <c r="AIV12" i="3" s="1"/>
  <c r="AIU10" i="3"/>
  <c r="AIU12" i="3" s="1"/>
  <c r="AIT10" i="3"/>
  <c r="AIT12" i="3" s="1"/>
  <c r="AIS10" i="3"/>
  <c r="AIS12" i="3" s="1"/>
  <c r="AIR10" i="3"/>
  <c r="AIR12" i="3" s="1"/>
  <c r="AIQ10" i="3"/>
  <c r="AIQ12" i="3" s="1"/>
  <c r="AIP10" i="3"/>
  <c r="AIP12" i="3" s="1"/>
  <c r="AIO10" i="3"/>
  <c r="AIO12" i="3" s="1"/>
  <c r="AIN10" i="3"/>
  <c r="AIN12" i="3" s="1"/>
  <c r="AIM10" i="3"/>
  <c r="AIM12" i="3" s="1"/>
  <c r="AIL10" i="3"/>
  <c r="AIL12" i="3" s="1"/>
  <c r="AIK10" i="3"/>
  <c r="AIK12" i="3" s="1"/>
  <c r="AIJ10" i="3"/>
  <c r="AIJ12" i="3" s="1"/>
  <c r="AII10" i="3"/>
  <c r="AII12" i="3" s="1"/>
  <c r="AIH10" i="3"/>
  <c r="AIH12" i="3" s="1"/>
  <c r="AIG10" i="3"/>
  <c r="AIG12" i="3" s="1"/>
  <c r="AJL12" i="3" s="1"/>
  <c r="AIE10" i="3"/>
  <c r="AIE12" i="3" s="1"/>
  <c r="AID10" i="3"/>
  <c r="AID12" i="3" s="1"/>
  <c r="AIC10" i="3"/>
  <c r="AIC12" i="3" s="1"/>
  <c r="AIB10" i="3"/>
  <c r="AIB12" i="3" s="1"/>
  <c r="AIA10" i="3"/>
  <c r="AIA12" i="3" s="1"/>
  <c r="AHZ10" i="3"/>
  <c r="AHZ12" i="3" s="1"/>
  <c r="AHY10" i="3"/>
  <c r="AHY12" i="3" s="1"/>
  <c r="AHX10" i="3"/>
  <c r="AHX12" i="3" s="1"/>
  <c r="AHW10" i="3"/>
  <c r="AHW12" i="3" s="1"/>
  <c r="AHV10" i="3"/>
  <c r="AHV12" i="3" s="1"/>
  <c r="AHU10" i="3"/>
  <c r="AHU12" i="3" s="1"/>
  <c r="AHT10" i="3"/>
  <c r="AHT12" i="3" s="1"/>
  <c r="AHS10" i="3"/>
  <c r="AHS12" i="3" s="1"/>
  <c r="AHR10" i="3"/>
  <c r="AHR12" i="3" s="1"/>
  <c r="AHQ10" i="3"/>
  <c r="AHQ12" i="3" s="1"/>
  <c r="AHP10" i="3"/>
  <c r="AHP12" i="3" s="1"/>
  <c r="AHO10" i="3"/>
  <c r="AHO12" i="3" s="1"/>
  <c r="AHN10" i="3"/>
  <c r="AHN12" i="3" s="1"/>
  <c r="AHM10" i="3"/>
  <c r="AHM12" i="3" s="1"/>
  <c r="AHL10" i="3"/>
  <c r="AHL12" i="3" s="1"/>
  <c r="AHK10" i="3"/>
  <c r="AHK12" i="3" s="1"/>
  <c r="AHJ10" i="3"/>
  <c r="AHJ12" i="3" s="1"/>
  <c r="AHI10" i="3"/>
  <c r="AHI12" i="3" s="1"/>
  <c r="AHH10" i="3"/>
  <c r="AHH12" i="3" s="1"/>
  <c r="AHG10" i="3"/>
  <c r="AHG12" i="3" s="1"/>
  <c r="AHF10" i="3"/>
  <c r="AHF12" i="3" s="1"/>
  <c r="AHE10" i="3"/>
  <c r="AHE12" i="3" s="1"/>
  <c r="AHD10" i="3"/>
  <c r="AHD12" i="3" s="1"/>
  <c r="AHC10" i="3"/>
  <c r="AHC12" i="3" s="1"/>
  <c r="AHB10" i="3"/>
  <c r="AHB12" i="3" s="1"/>
  <c r="AHA10" i="3"/>
  <c r="AHA12" i="3" s="1"/>
  <c r="AIF12" i="3" s="1"/>
  <c r="AGY10" i="3"/>
  <c r="AGY12" i="3" s="1"/>
  <c r="AGX10" i="3"/>
  <c r="AGX12" i="3" s="1"/>
  <c r="AGW10" i="3"/>
  <c r="AGW12" i="3" s="1"/>
  <c r="AGV10" i="3"/>
  <c r="AGV12" i="3" s="1"/>
  <c r="AGU10" i="3"/>
  <c r="AGU12" i="3" s="1"/>
  <c r="AGT10" i="3"/>
  <c r="AGT12" i="3" s="1"/>
  <c r="AGS10" i="3"/>
  <c r="AGS12" i="3" s="1"/>
  <c r="AGR10" i="3"/>
  <c r="AGR12" i="3" s="1"/>
  <c r="AGQ10" i="3"/>
  <c r="AGQ12" i="3" s="1"/>
  <c r="AGP10" i="3"/>
  <c r="AGP12" i="3" s="1"/>
  <c r="AGO10" i="3"/>
  <c r="AGO12" i="3" s="1"/>
  <c r="AGN10" i="3"/>
  <c r="AGN12" i="3" s="1"/>
  <c r="AGM10" i="3"/>
  <c r="AGM12" i="3" s="1"/>
  <c r="AGL10" i="3"/>
  <c r="AGL12" i="3" s="1"/>
  <c r="AGK10" i="3"/>
  <c r="AGK12" i="3" s="1"/>
  <c r="AGJ10" i="3"/>
  <c r="AGJ12" i="3" s="1"/>
  <c r="AGI10" i="3"/>
  <c r="AGI12" i="3" s="1"/>
  <c r="AGH10" i="3"/>
  <c r="AGH12" i="3" s="1"/>
  <c r="AGG10" i="3"/>
  <c r="AGG12" i="3" s="1"/>
  <c r="AGF10" i="3"/>
  <c r="AGF12" i="3" s="1"/>
  <c r="AGE10" i="3"/>
  <c r="AGE12" i="3" s="1"/>
  <c r="AGD10" i="3"/>
  <c r="AGD12" i="3" s="1"/>
  <c r="AGC10" i="3"/>
  <c r="AGC12" i="3" s="1"/>
  <c r="AGB10" i="3"/>
  <c r="AGB12" i="3" s="1"/>
  <c r="AGA10" i="3"/>
  <c r="AGA12" i="3" s="1"/>
  <c r="AFZ10" i="3"/>
  <c r="AFZ12" i="3" s="1"/>
  <c r="AFY10" i="3"/>
  <c r="AFY12" i="3" s="1"/>
  <c r="AFX10" i="3"/>
  <c r="AFX12" i="3" s="1"/>
  <c r="AFW10" i="3"/>
  <c r="AFW12" i="3" s="1"/>
  <c r="AFV10" i="3"/>
  <c r="AFV12" i="3" s="1"/>
  <c r="AGZ12" i="3" s="1"/>
  <c r="AFT10" i="3"/>
  <c r="AFT12" i="3" s="1"/>
  <c r="AFS10" i="3"/>
  <c r="AFS12" i="3" s="1"/>
  <c r="AFR10" i="3"/>
  <c r="AFR12" i="3" s="1"/>
  <c r="AFQ10" i="3"/>
  <c r="AFQ12" i="3" s="1"/>
  <c r="AFP10" i="3"/>
  <c r="AFP12" i="3" s="1"/>
  <c r="AFO10" i="3"/>
  <c r="AFO12" i="3" s="1"/>
  <c r="AFN10" i="3"/>
  <c r="AFN12" i="3" s="1"/>
  <c r="AFM10" i="3"/>
  <c r="AFM12" i="3" s="1"/>
  <c r="AFL10" i="3"/>
  <c r="AFL12" i="3" s="1"/>
  <c r="AFK10" i="3"/>
  <c r="AFK12" i="3" s="1"/>
  <c r="AFJ10" i="3"/>
  <c r="AFJ12" i="3" s="1"/>
  <c r="AFI10" i="3"/>
  <c r="AFI12" i="3" s="1"/>
  <c r="AFH10" i="3"/>
  <c r="AFH12" i="3" s="1"/>
  <c r="AFG10" i="3"/>
  <c r="AFG12" i="3" s="1"/>
  <c r="AFF10" i="3"/>
  <c r="AFF12" i="3" s="1"/>
  <c r="AFE10" i="3"/>
  <c r="AFE12" i="3" s="1"/>
  <c r="AFD10" i="3"/>
  <c r="AFD12" i="3" s="1"/>
  <c r="AFC10" i="3"/>
  <c r="AFC12" i="3" s="1"/>
  <c r="AFB10" i="3"/>
  <c r="AFB12" i="3" s="1"/>
  <c r="AFA10" i="3"/>
  <c r="AFA12" i="3" s="1"/>
  <c r="AEZ10" i="3"/>
  <c r="AEZ12" i="3" s="1"/>
  <c r="AEY10" i="3"/>
  <c r="AEY12" i="3" s="1"/>
  <c r="AEX10" i="3"/>
  <c r="AEX12" i="3" s="1"/>
  <c r="AEW10" i="3"/>
  <c r="AEW12" i="3" s="1"/>
  <c r="AEV10" i="3"/>
  <c r="AEV12" i="3" s="1"/>
  <c r="AEU10" i="3"/>
  <c r="AEU12" i="3" s="1"/>
  <c r="AET10" i="3"/>
  <c r="AET12" i="3" s="1"/>
  <c r="AES10" i="3"/>
  <c r="AES12" i="3" s="1"/>
  <c r="AER10" i="3"/>
  <c r="AER12" i="3" s="1"/>
  <c r="AEQ10" i="3"/>
  <c r="AEQ12" i="3" s="1"/>
  <c r="AEP10" i="3"/>
  <c r="AEP12" i="3" s="1"/>
  <c r="AFU12" i="3" s="1"/>
  <c r="AEN10" i="3"/>
  <c r="AEN12" i="3" s="1"/>
  <c r="AEM10" i="3"/>
  <c r="AEM12" i="3" s="1"/>
  <c r="AEL10" i="3"/>
  <c r="AEL12" i="3" s="1"/>
  <c r="AEK10" i="3"/>
  <c r="AEK12" i="3" s="1"/>
  <c r="AEJ10" i="3"/>
  <c r="AEJ12" i="3" s="1"/>
  <c r="AEI10" i="3"/>
  <c r="AEI12" i="3" s="1"/>
  <c r="AEH10" i="3"/>
  <c r="AEH12" i="3" s="1"/>
  <c r="AEG10" i="3"/>
  <c r="AEG12" i="3" s="1"/>
  <c r="AEF10" i="3"/>
  <c r="AEF12" i="3" s="1"/>
  <c r="AEE10" i="3"/>
  <c r="AEE12" i="3" s="1"/>
  <c r="AED10" i="3"/>
  <c r="AED12" i="3" s="1"/>
  <c r="AEC10" i="3"/>
  <c r="AEC12" i="3" s="1"/>
  <c r="AEB10" i="3"/>
  <c r="AEB12" i="3" s="1"/>
  <c r="AEA10" i="3"/>
  <c r="AEA12" i="3" s="1"/>
  <c r="ADZ10" i="3"/>
  <c r="ADZ12" i="3" s="1"/>
  <c r="ADY10" i="3"/>
  <c r="ADY12" i="3" s="1"/>
  <c r="ADX10" i="3"/>
  <c r="ADX12" i="3" s="1"/>
  <c r="ADW10" i="3"/>
  <c r="ADW12" i="3" s="1"/>
  <c r="ADV10" i="3"/>
  <c r="ADV12" i="3" s="1"/>
  <c r="ADU10" i="3"/>
  <c r="ADU12" i="3" s="1"/>
  <c r="ADT10" i="3"/>
  <c r="ADT12" i="3" s="1"/>
  <c r="ADS10" i="3"/>
  <c r="ADS12" i="3" s="1"/>
  <c r="ADR10" i="3"/>
  <c r="ADR12" i="3" s="1"/>
  <c r="ADQ10" i="3"/>
  <c r="ADQ12" i="3" s="1"/>
  <c r="ADP10" i="3"/>
  <c r="ADP12" i="3" s="1"/>
  <c r="ADO10" i="3"/>
  <c r="ADO12" i="3" s="1"/>
  <c r="ADN10" i="3"/>
  <c r="ADN12" i="3" s="1"/>
  <c r="ADM10" i="3"/>
  <c r="ADM12" i="3" s="1"/>
  <c r="ADL10" i="3"/>
  <c r="ADL12" i="3" s="1"/>
  <c r="ADK10" i="3"/>
  <c r="ADK12" i="3" s="1"/>
  <c r="AEO12" i="3" s="1"/>
  <c r="ADI10" i="3"/>
  <c r="ADI12" i="3" s="1"/>
  <c r="ADH10" i="3"/>
  <c r="ADH12" i="3" s="1"/>
  <c r="ADG10" i="3"/>
  <c r="ADG12" i="3" s="1"/>
  <c r="ADF10" i="3"/>
  <c r="ADF12" i="3" s="1"/>
  <c r="ADE10" i="3"/>
  <c r="ADE12" i="3" s="1"/>
  <c r="ADD10" i="3"/>
  <c r="ADD12" i="3" s="1"/>
  <c r="ADC10" i="3"/>
  <c r="ADC12" i="3" s="1"/>
  <c r="ADB10" i="3"/>
  <c r="ADB12" i="3" s="1"/>
  <c r="ADA10" i="3"/>
  <c r="ADA12" i="3" s="1"/>
  <c r="ACZ10" i="3"/>
  <c r="ACZ12" i="3" s="1"/>
  <c r="ACY10" i="3"/>
  <c r="ACY12" i="3" s="1"/>
  <c r="ACX10" i="3"/>
  <c r="ACX12" i="3" s="1"/>
  <c r="ACW10" i="3"/>
  <c r="ACW12" i="3" s="1"/>
  <c r="ACV10" i="3"/>
  <c r="ACV12" i="3" s="1"/>
  <c r="ACU10" i="3"/>
  <c r="ACU12" i="3" s="1"/>
  <c r="ACT10" i="3"/>
  <c r="ACT12" i="3" s="1"/>
  <c r="ACS10" i="3"/>
  <c r="ACS12" i="3" s="1"/>
  <c r="ACR10" i="3"/>
  <c r="ACR12" i="3" s="1"/>
  <c r="ACQ10" i="3"/>
  <c r="ACQ12" i="3" s="1"/>
  <c r="ACP10" i="3"/>
  <c r="ACP12" i="3" s="1"/>
  <c r="ACO10" i="3"/>
  <c r="ACO12" i="3" s="1"/>
  <c r="ACN10" i="3"/>
  <c r="ACN12" i="3" s="1"/>
  <c r="ACM10" i="3"/>
  <c r="ACM12" i="3" s="1"/>
  <c r="ACL10" i="3"/>
  <c r="ACL12" i="3" s="1"/>
  <c r="ACK10" i="3"/>
  <c r="ACK12" i="3" s="1"/>
  <c r="ACJ10" i="3"/>
  <c r="ACJ12" i="3" s="1"/>
  <c r="ACI10" i="3"/>
  <c r="ACI12" i="3" s="1"/>
  <c r="ACH10" i="3"/>
  <c r="ACH12" i="3" s="1"/>
  <c r="ACG10" i="3"/>
  <c r="ACG12" i="3" s="1"/>
  <c r="ACF10" i="3"/>
  <c r="ACF12" i="3" s="1"/>
  <c r="ACE10" i="3"/>
  <c r="ACE12" i="3" s="1"/>
  <c r="ADJ12" i="3" s="1"/>
  <c r="ACC10" i="3"/>
  <c r="ACC12" i="3" s="1"/>
  <c r="ACB10" i="3"/>
  <c r="ACB12" i="3" s="1"/>
  <c r="ACA10" i="3"/>
  <c r="ACA12" i="3" s="1"/>
  <c r="ABZ10" i="3"/>
  <c r="ABZ12" i="3" s="1"/>
  <c r="ABY10" i="3"/>
  <c r="ABY12" i="3" s="1"/>
  <c r="ABX10" i="3"/>
  <c r="ABX12" i="3" s="1"/>
  <c r="ABW10" i="3"/>
  <c r="ABW12" i="3" s="1"/>
  <c r="ABV10" i="3"/>
  <c r="ABV12" i="3" s="1"/>
  <c r="ABU10" i="3"/>
  <c r="ABU12" i="3" s="1"/>
  <c r="ABT10" i="3"/>
  <c r="ABT12" i="3" s="1"/>
  <c r="ABS10" i="3"/>
  <c r="ABS12" i="3" s="1"/>
  <c r="ABR10" i="3"/>
  <c r="ABR12" i="3" s="1"/>
  <c r="ABQ10" i="3"/>
  <c r="ABQ12" i="3" s="1"/>
  <c r="ABP10" i="3"/>
  <c r="ABP12" i="3" s="1"/>
  <c r="ABO10" i="3"/>
  <c r="ABO12" i="3" s="1"/>
  <c r="ABN10" i="3"/>
  <c r="ABN12" i="3" s="1"/>
  <c r="ABM10" i="3"/>
  <c r="ABM12" i="3" s="1"/>
  <c r="ABL10" i="3"/>
  <c r="ABL12" i="3" s="1"/>
  <c r="ABK10" i="3"/>
  <c r="ABK12" i="3" s="1"/>
  <c r="ABJ10" i="3"/>
  <c r="ABJ12" i="3" s="1"/>
  <c r="ABI10" i="3"/>
  <c r="ABI12" i="3" s="1"/>
  <c r="ABH10" i="3"/>
  <c r="ABH12" i="3" s="1"/>
  <c r="ABG10" i="3"/>
  <c r="ABG12" i="3" s="1"/>
  <c r="ABF10" i="3"/>
  <c r="ABF12" i="3" s="1"/>
  <c r="ABE10" i="3"/>
  <c r="ABE12" i="3" s="1"/>
  <c r="ABD10" i="3"/>
  <c r="ABD12" i="3" s="1"/>
  <c r="ABC10" i="3"/>
  <c r="ABC12" i="3" s="1"/>
  <c r="ABB10" i="3"/>
  <c r="ABB12" i="3" s="1"/>
  <c r="ABA10" i="3"/>
  <c r="ABA12" i="3" s="1"/>
  <c r="AAZ10" i="3"/>
  <c r="AAZ12" i="3" s="1"/>
  <c r="AAY10" i="3"/>
  <c r="AAY12" i="3" s="1"/>
  <c r="ACD12" i="3" s="1"/>
  <c r="AAW10" i="3"/>
  <c r="AAW12" i="3" s="1"/>
  <c r="AAV10" i="3"/>
  <c r="AAV12" i="3" s="1"/>
  <c r="AAU10" i="3"/>
  <c r="AAU12" i="3" s="1"/>
  <c r="AAT10" i="3"/>
  <c r="AAT12" i="3" s="1"/>
  <c r="AAS10" i="3"/>
  <c r="AAS12" i="3" s="1"/>
  <c r="AAR10" i="3"/>
  <c r="AAR12" i="3" s="1"/>
  <c r="AAQ10" i="3"/>
  <c r="AAQ12" i="3" s="1"/>
  <c r="AAP10" i="3"/>
  <c r="AAP12" i="3" s="1"/>
  <c r="AAO10" i="3"/>
  <c r="AAO12" i="3" s="1"/>
  <c r="AAN10" i="3"/>
  <c r="AAN12" i="3" s="1"/>
  <c r="AAM10" i="3"/>
  <c r="AAM12" i="3" s="1"/>
  <c r="AAL10" i="3"/>
  <c r="AAL12" i="3" s="1"/>
  <c r="AAK10" i="3"/>
  <c r="AAK12" i="3" s="1"/>
  <c r="AAJ10" i="3"/>
  <c r="AAJ12" i="3" s="1"/>
  <c r="AAI10" i="3"/>
  <c r="AAI12" i="3" s="1"/>
  <c r="AAH10" i="3"/>
  <c r="AAH12" i="3" s="1"/>
  <c r="AAG10" i="3"/>
  <c r="AAG12" i="3" s="1"/>
  <c r="AAF10" i="3"/>
  <c r="AAF12" i="3" s="1"/>
  <c r="AAE10" i="3"/>
  <c r="AAE12" i="3" s="1"/>
  <c r="AAD10" i="3"/>
  <c r="AAD12" i="3" s="1"/>
  <c r="AAC10" i="3"/>
  <c r="AAC12" i="3" s="1"/>
  <c r="AAB10" i="3"/>
  <c r="AAB12" i="3" s="1"/>
  <c r="AAA10" i="3"/>
  <c r="AAA12" i="3" s="1"/>
  <c r="ZZ10" i="3"/>
  <c r="ZZ12" i="3" s="1"/>
  <c r="ZY10" i="3"/>
  <c r="ZY12" i="3" s="1"/>
  <c r="ZX10" i="3"/>
  <c r="ZX12" i="3" s="1"/>
  <c r="ZW10" i="3"/>
  <c r="ZW12" i="3" s="1"/>
  <c r="ZV10" i="3"/>
  <c r="ZV12" i="3" s="1"/>
  <c r="ZU10" i="3"/>
  <c r="ZU12" i="3" s="1"/>
  <c r="ZT10" i="3"/>
  <c r="ZT12" i="3" s="1"/>
  <c r="AAX12" i="3" s="1"/>
  <c r="ZR10" i="3"/>
  <c r="ZR12" i="3" s="1"/>
  <c r="ZQ10" i="3"/>
  <c r="ZQ12" i="3" s="1"/>
  <c r="ZP10" i="3"/>
  <c r="ZP12" i="3" s="1"/>
  <c r="ZO10" i="3"/>
  <c r="ZO12" i="3" s="1"/>
  <c r="ZN10" i="3"/>
  <c r="ZN12" i="3" s="1"/>
  <c r="ZM10" i="3"/>
  <c r="ZM12" i="3" s="1"/>
  <c r="ZL10" i="3"/>
  <c r="ZL12" i="3" s="1"/>
  <c r="ZK10" i="3"/>
  <c r="ZK12" i="3" s="1"/>
  <c r="ZJ10" i="3"/>
  <c r="ZJ12" i="3" s="1"/>
  <c r="ZI10" i="3"/>
  <c r="ZI12" i="3" s="1"/>
  <c r="ZH10" i="3"/>
  <c r="ZH12" i="3" s="1"/>
  <c r="ZG10" i="3"/>
  <c r="ZG12" i="3" s="1"/>
  <c r="ZF10" i="3"/>
  <c r="ZF12" i="3" s="1"/>
  <c r="ZE10" i="3"/>
  <c r="ZE12" i="3" s="1"/>
  <c r="ZD10" i="3"/>
  <c r="ZD12" i="3" s="1"/>
  <c r="ZC10" i="3"/>
  <c r="ZC12" i="3" s="1"/>
  <c r="ZB10" i="3"/>
  <c r="ZB12" i="3" s="1"/>
  <c r="ZA10" i="3"/>
  <c r="ZA12" i="3" s="1"/>
  <c r="YZ10" i="3"/>
  <c r="YZ12" i="3" s="1"/>
  <c r="YY10" i="3"/>
  <c r="YY12" i="3" s="1"/>
  <c r="YX10" i="3"/>
  <c r="YX12" i="3" s="1"/>
  <c r="YW10" i="3"/>
  <c r="YW12" i="3" s="1"/>
  <c r="YV10" i="3"/>
  <c r="YV12" i="3" s="1"/>
  <c r="YU10" i="3"/>
  <c r="YU12" i="3" s="1"/>
  <c r="YT10" i="3"/>
  <c r="YT12" i="3" s="1"/>
  <c r="YS10" i="3"/>
  <c r="YS12" i="3" s="1"/>
  <c r="YR10" i="3"/>
  <c r="YR12" i="3" s="1"/>
  <c r="YQ10" i="3"/>
  <c r="YQ12" i="3" s="1"/>
  <c r="YP10" i="3"/>
  <c r="YP12" i="3" s="1"/>
  <c r="YO10" i="3"/>
  <c r="YO12" i="3" s="1"/>
  <c r="YN10" i="3"/>
  <c r="YN12" i="3" s="1"/>
  <c r="ZS12" i="3" s="1"/>
  <c r="YL10" i="3"/>
  <c r="YL12" i="3" s="1"/>
  <c r="YK10" i="3"/>
  <c r="YK12" i="3" s="1"/>
  <c r="YJ10" i="3"/>
  <c r="YJ12" i="3" s="1"/>
  <c r="YI10" i="3"/>
  <c r="YI12" i="3" s="1"/>
  <c r="YH10" i="3"/>
  <c r="YH12" i="3" s="1"/>
  <c r="YG10" i="3"/>
  <c r="YG12" i="3" s="1"/>
  <c r="YF10" i="3"/>
  <c r="YF12" i="3" s="1"/>
  <c r="YE10" i="3"/>
  <c r="YE12" i="3" s="1"/>
  <c r="YD10" i="3"/>
  <c r="YD12" i="3" s="1"/>
  <c r="YC10" i="3"/>
  <c r="YC12" i="3" s="1"/>
  <c r="YB10" i="3"/>
  <c r="YB12" i="3" s="1"/>
  <c r="YA10" i="3"/>
  <c r="YA12" i="3" s="1"/>
  <c r="XZ10" i="3"/>
  <c r="XZ12" i="3" s="1"/>
  <c r="XY10" i="3"/>
  <c r="XY12" i="3" s="1"/>
  <c r="XX10" i="3"/>
  <c r="XX12" i="3" s="1"/>
  <c r="XW10" i="3"/>
  <c r="XW12" i="3" s="1"/>
  <c r="XV10" i="3"/>
  <c r="XV12" i="3" s="1"/>
  <c r="XU10" i="3"/>
  <c r="XU12" i="3" s="1"/>
  <c r="XT10" i="3"/>
  <c r="XT12" i="3" s="1"/>
  <c r="XS10" i="3"/>
  <c r="XS12" i="3" s="1"/>
  <c r="XR10" i="3"/>
  <c r="XR12" i="3" s="1"/>
  <c r="XQ10" i="3"/>
  <c r="XQ12" i="3" s="1"/>
  <c r="XP10" i="3"/>
  <c r="XP12" i="3" s="1"/>
  <c r="XO10" i="3"/>
  <c r="XO12" i="3" s="1"/>
  <c r="XN10" i="3"/>
  <c r="XN12" i="3" s="1"/>
  <c r="XM10" i="3"/>
  <c r="XM12" i="3" s="1"/>
  <c r="XL10" i="3"/>
  <c r="XL12" i="3" s="1"/>
  <c r="XK10" i="3"/>
  <c r="XK12" i="3" s="1"/>
  <c r="XJ10" i="3"/>
  <c r="XJ12" i="3" s="1"/>
  <c r="XI10" i="3"/>
  <c r="XI12" i="3" s="1"/>
  <c r="XG10" i="3"/>
  <c r="XG12" i="3" s="1"/>
  <c r="XF10" i="3"/>
  <c r="XF12" i="3" s="1"/>
  <c r="XE10" i="3"/>
  <c r="XE12" i="3" s="1"/>
  <c r="XD10" i="3"/>
  <c r="XD12" i="3" s="1"/>
  <c r="XC10" i="3"/>
  <c r="XC12" i="3" s="1"/>
  <c r="XB10" i="3"/>
  <c r="XB12" i="3" s="1"/>
  <c r="XA10" i="3"/>
  <c r="XA12" i="3" s="1"/>
  <c r="WZ10" i="3"/>
  <c r="WZ12" i="3" s="1"/>
  <c r="WY10" i="3"/>
  <c r="WY12" i="3" s="1"/>
  <c r="WX10" i="3"/>
  <c r="WX12" i="3" s="1"/>
  <c r="WW10" i="3"/>
  <c r="WW12" i="3" s="1"/>
  <c r="WV10" i="3"/>
  <c r="WV12" i="3" s="1"/>
  <c r="WU10" i="3"/>
  <c r="WU12" i="3" s="1"/>
  <c r="WT10" i="3"/>
  <c r="WT12" i="3" s="1"/>
  <c r="WS10" i="3"/>
  <c r="WS12" i="3" s="1"/>
  <c r="WR10" i="3"/>
  <c r="WR12" i="3" s="1"/>
  <c r="WQ10" i="3"/>
  <c r="WQ12" i="3" s="1"/>
  <c r="WP10" i="3"/>
  <c r="WP12" i="3" s="1"/>
  <c r="WO10" i="3"/>
  <c r="WO12" i="3" s="1"/>
  <c r="WN10" i="3"/>
  <c r="WN12" i="3" s="1"/>
  <c r="WM10" i="3"/>
  <c r="WM12" i="3" s="1"/>
  <c r="WL10" i="3"/>
  <c r="WL12" i="3" s="1"/>
  <c r="WK10" i="3"/>
  <c r="WK12" i="3" s="1"/>
  <c r="WJ10" i="3"/>
  <c r="WJ12" i="3" s="1"/>
  <c r="WI10" i="3"/>
  <c r="WI12" i="3" s="1"/>
  <c r="WH10" i="3"/>
  <c r="WH12" i="3" s="1"/>
  <c r="WG10" i="3"/>
  <c r="WG12" i="3" s="1"/>
  <c r="WF10" i="3"/>
  <c r="WF12" i="3" s="1"/>
  <c r="WE10" i="3"/>
  <c r="WE12" i="3" s="1"/>
  <c r="WD10" i="3"/>
  <c r="WD12" i="3" s="1"/>
  <c r="WC10" i="3"/>
  <c r="WC12" i="3" s="1"/>
  <c r="XH12" i="3" s="1"/>
  <c r="YM12" i="3" s="1"/>
  <c r="WA10" i="3"/>
  <c r="WA12" i="3" s="1"/>
  <c r="VZ10" i="3"/>
  <c r="VZ12" i="3" s="1"/>
  <c r="VY10" i="3"/>
  <c r="VY12" i="3" s="1"/>
  <c r="VX10" i="3"/>
  <c r="VX12" i="3" s="1"/>
  <c r="VW10" i="3"/>
  <c r="VW12" i="3" s="1"/>
  <c r="VV10" i="3"/>
  <c r="VV12" i="3" s="1"/>
  <c r="VU10" i="3"/>
  <c r="VU12" i="3" s="1"/>
  <c r="VT10" i="3"/>
  <c r="VT12" i="3" s="1"/>
  <c r="VS10" i="3"/>
  <c r="VS12" i="3" s="1"/>
  <c r="VR10" i="3"/>
  <c r="VR12" i="3" s="1"/>
  <c r="VQ10" i="3"/>
  <c r="VQ12" i="3" s="1"/>
  <c r="VP10" i="3"/>
  <c r="VP12" i="3" s="1"/>
  <c r="VO10" i="3"/>
  <c r="VO12" i="3" s="1"/>
  <c r="VN10" i="3"/>
  <c r="VN12" i="3" s="1"/>
  <c r="VM10" i="3"/>
  <c r="VM12" i="3" s="1"/>
  <c r="VL10" i="3"/>
  <c r="VL12" i="3" s="1"/>
  <c r="VK10" i="3"/>
  <c r="VK12" i="3" s="1"/>
  <c r="VJ10" i="3"/>
  <c r="VJ12" i="3" s="1"/>
  <c r="VI10" i="3"/>
  <c r="VI12" i="3" s="1"/>
  <c r="VH10" i="3"/>
  <c r="VH12" i="3" s="1"/>
  <c r="VG10" i="3"/>
  <c r="VG12" i="3" s="1"/>
  <c r="VF10" i="3"/>
  <c r="VF12" i="3" s="1"/>
  <c r="VE10" i="3"/>
  <c r="VE12" i="3" s="1"/>
  <c r="VD10" i="3"/>
  <c r="VD12" i="3" s="1"/>
  <c r="VC10" i="3"/>
  <c r="VC12" i="3" s="1"/>
  <c r="VB10" i="3"/>
  <c r="VB12" i="3" s="1"/>
  <c r="VA10" i="3"/>
  <c r="VA12" i="3" s="1"/>
  <c r="UZ10" i="3"/>
  <c r="UZ12" i="3" s="1"/>
  <c r="WB12" i="3" s="1"/>
  <c r="UX10" i="3"/>
  <c r="UX12" i="3" s="1"/>
  <c r="UW10" i="3"/>
  <c r="UW12" i="3" s="1"/>
  <c r="UV10" i="3"/>
  <c r="UV12" i="3" s="1"/>
  <c r="UU10" i="3"/>
  <c r="UU12" i="3" s="1"/>
  <c r="UT10" i="3"/>
  <c r="UT12" i="3" s="1"/>
  <c r="US10" i="3"/>
  <c r="US12" i="3" s="1"/>
  <c r="UR10" i="3"/>
  <c r="UR12" i="3" s="1"/>
  <c r="UQ10" i="3"/>
  <c r="UQ12" i="3" s="1"/>
  <c r="UP10" i="3"/>
  <c r="UP12" i="3" s="1"/>
  <c r="UO10" i="3"/>
  <c r="UO12" i="3" s="1"/>
  <c r="UN10" i="3"/>
  <c r="UN12" i="3" s="1"/>
  <c r="UM10" i="3"/>
  <c r="UM12" i="3" s="1"/>
  <c r="UL10" i="3"/>
  <c r="UL12" i="3" s="1"/>
  <c r="UK10" i="3"/>
  <c r="UK12" i="3" s="1"/>
  <c r="UJ10" i="3"/>
  <c r="UJ12" i="3" s="1"/>
  <c r="UI10" i="3"/>
  <c r="UI12" i="3" s="1"/>
  <c r="UH10" i="3"/>
  <c r="UH12" i="3" s="1"/>
  <c r="UG10" i="3"/>
  <c r="UG12" i="3" s="1"/>
  <c r="UF10" i="3"/>
  <c r="UF12" i="3" s="1"/>
  <c r="UE10" i="3"/>
  <c r="UE12" i="3" s="1"/>
  <c r="UD10" i="3"/>
  <c r="UD12" i="3" s="1"/>
  <c r="UC10" i="3"/>
  <c r="UC12" i="3" s="1"/>
  <c r="UB10" i="3"/>
  <c r="UB12" i="3" s="1"/>
  <c r="UA10" i="3"/>
  <c r="UA12" i="3" s="1"/>
  <c r="TZ10" i="3"/>
  <c r="TZ12" i="3" s="1"/>
  <c r="TY10" i="3"/>
  <c r="TY12" i="3" s="1"/>
  <c r="TX10" i="3"/>
  <c r="TX12" i="3" s="1"/>
  <c r="TW10" i="3"/>
  <c r="TW12" i="3" s="1"/>
  <c r="TV10" i="3"/>
  <c r="TV12" i="3" s="1"/>
  <c r="TU10" i="3"/>
  <c r="TU12" i="3" s="1"/>
  <c r="TT10" i="3"/>
  <c r="TT12" i="3" s="1"/>
  <c r="UY12" i="3" s="1"/>
  <c r="TR10" i="3"/>
  <c r="TR12" i="3" s="1"/>
  <c r="TQ10" i="3"/>
  <c r="TQ12" i="3" s="1"/>
  <c r="TP10" i="3"/>
  <c r="TP12" i="3" s="1"/>
  <c r="TO10" i="3"/>
  <c r="TO12" i="3" s="1"/>
  <c r="TN10" i="3"/>
  <c r="TN12" i="3" s="1"/>
  <c r="TM10" i="3"/>
  <c r="TM12" i="3" s="1"/>
  <c r="TL10" i="3"/>
  <c r="TL12" i="3" s="1"/>
  <c r="TK10" i="3"/>
  <c r="TK12" i="3" s="1"/>
  <c r="TJ10" i="3"/>
  <c r="TJ12" i="3" s="1"/>
  <c r="TI10" i="3"/>
  <c r="TI12" i="3" s="1"/>
  <c r="TH10" i="3"/>
  <c r="TH12" i="3" s="1"/>
  <c r="TG10" i="3"/>
  <c r="TG12" i="3" s="1"/>
  <c r="TF10" i="3"/>
  <c r="TF12" i="3" s="1"/>
  <c r="TE10" i="3"/>
  <c r="TE12" i="3" s="1"/>
  <c r="TD10" i="3"/>
  <c r="TD12" i="3" s="1"/>
  <c r="TC10" i="3"/>
  <c r="TC12" i="3" s="1"/>
  <c r="TB10" i="3"/>
  <c r="TB12" i="3" s="1"/>
  <c r="TA10" i="3"/>
  <c r="TA12" i="3" s="1"/>
  <c r="SZ10" i="3"/>
  <c r="SZ12" i="3" s="1"/>
  <c r="SY10" i="3"/>
  <c r="SY12" i="3" s="1"/>
  <c r="SX10" i="3"/>
  <c r="SX12" i="3" s="1"/>
  <c r="SW10" i="3"/>
  <c r="SW12" i="3" s="1"/>
  <c r="SV10" i="3"/>
  <c r="SV12" i="3" s="1"/>
  <c r="SU10" i="3"/>
  <c r="SU12" i="3" s="1"/>
  <c r="ST10" i="3"/>
  <c r="ST12" i="3" s="1"/>
  <c r="SS10" i="3"/>
  <c r="SS12" i="3" s="1"/>
  <c r="SR10" i="3"/>
  <c r="SR12" i="3" s="1"/>
  <c r="SQ10" i="3"/>
  <c r="SQ12" i="3" s="1"/>
  <c r="SP10" i="3"/>
  <c r="SP12" i="3" s="1"/>
  <c r="SO10" i="3"/>
  <c r="SO12" i="3" s="1"/>
  <c r="TS12" i="3" s="1"/>
  <c r="SN10" i="3"/>
  <c r="SN12" i="3" s="1"/>
  <c r="SL10" i="3"/>
  <c r="SL12" i="3" s="1"/>
  <c r="SK10" i="3"/>
  <c r="SK12" i="3" s="1"/>
  <c r="SJ10" i="3"/>
  <c r="SJ12" i="3" s="1"/>
  <c r="SI10" i="3"/>
  <c r="SI12" i="3" s="1"/>
  <c r="SH10" i="3"/>
  <c r="SH12" i="3" s="1"/>
  <c r="SG10" i="3"/>
  <c r="SG12" i="3" s="1"/>
  <c r="SF10" i="3"/>
  <c r="SF12" i="3" s="1"/>
  <c r="SE10" i="3"/>
  <c r="SE12" i="3" s="1"/>
  <c r="SD10" i="3"/>
  <c r="SD12" i="3" s="1"/>
  <c r="SC10" i="3"/>
  <c r="SC12" i="3" s="1"/>
  <c r="SB10" i="3"/>
  <c r="SB12" i="3" s="1"/>
  <c r="SA10" i="3"/>
  <c r="SA12" i="3" s="1"/>
  <c r="RZ10" i="3"/>
  <c r="RZ12" i="3" s="1"/>
  <c r="RY10" i="3"/>
  <c r="RY12" i="3" s="1"/>
  <c r="RX10" i="3"/>
  <c r="RX12" i="3" s="1"/>
  <c r="RW10" i="3"/>
  <c r="RW12" i="3" s="1"/>
  <c r="RV10" i="3"/>
  <c r="RV12" i="3" s="1"/>
  <c r="RU10" i="3"/>
  <c r="RU12" i="3" s="1"/>
  <c r="RT10" i="3"/>
  <c r="RT12" i="3" s="1"/>
  <c r="RS10" i="3"/>
  <c r="RS12" i="3" s="1"/>
  <c r="RR10" i="3"/>
  <c r="RR12" i="3" s="1"/>
  <c r="RQ10" i="3"/>
  <c r="RQ12" i="3" s="1"/>
  <c r="RP10" i="3"/>
  <c r="RP12" i="3" s="1"/>
  <c r="RO10" i="3"/>
  <c r="RO12" i="3" s="1"/>
  <c r="RN10" i="3"/>
  <c r="RN12" i="3" s="1"/>
  <c r="RM10" i="3"/>
  <c r="RM12" i="3" s="1"/>
  <c r="RL10" i="3"/>
  <c r="RL12" i="3" s="1"/>
  <c r="RK10" i="3"/>
  <c r="RK12" i="3" s="1"/>
  <c r="RJ10" i="3"/>
  <c r="RJ12" i="3" s="1"/>
  <c r="RI10" i="3"/>
  <c r="RI12" i="3" s="1"/>
  <c r="SM12" i="3" s="1"/>
  <c r="RG10" i="3"/>
  <c r="RG12" i="3" s="1"/>
  <c r="RF10" i="3"/>
  <c r="RF12" i="3" s="1"/>
  <c r="RE10" i="3"/>
  <c r="RE12" i="3" s="1"/>
  <c r="RD10" i="3"/>
  <c r="RD12" i="3" s="1"/>
  <c r="RC10" i="3"/>
  <c r="RC12" i="3" s="1"/>
  <c r="RB10" i="3"/>
  <c r="RB12" i="3" s="1"/>
  <c r="RA10" i="3"/>
  <c r="RA12" i="3" s="1"/>
  <c r="QZ10" i="3"/>
  <c r="QZ12" i="3" s="1"/>
  <c r="QY10" i="3"/>
  <c r="QY12" i="3" s="1"/>
  <c r="QX10" i="3"/>
  <c r="QX12" i="3" s="1"/>
  <c r="QW10" i="3"/>
  <c r="QW12" i="3" s="1"/>
  <c r="QV10" i="3"/>
  <c r="QV12" i="3" s="1"/>
  <c r="QU10" i="3"/>
  <c r="QU12" i="3" s="1"/>
  <c r="QT10" i="3"/>
  <c r="QT12" i="3" s="1"/>
  <c r="QS10" i="3"/>
  <c r="QS12" i="3" s="1"/>
  <c r="QR10" i="3"/>
  <c r="QR12" i="3" s="1"/>
  <c r="QQ10" i="3"/>
  <c r="QQ12" i="3" s="1"/>
  <c r="QP10" i="3"/>
  <c r="QP12" i="3" s="1"/>
  <c r="QO10" i="3"/>
  <c r="QO12" i="3" s="1"/>
  <c r="QN10" i="3"/>
  <c r="QN12" i="3" s="1"/>
  <c r="QM10" i="3"/>
  <c r="QM12" i="3" s="1"/>
  <c r="QL10" i="3"/>
  <c r="QL12" i="3" s="1"/>
  <c r="QK10" i="3"/>
  <c r="QK12" i="3" s="1"/>
  <c r="QJ10" i="3"/>
  <c r="QJ12" i="3" s="1"/>
  <c r="QI10" i="3"/>
  <c r="QI12" i="3" s="1"/>
  <c r="QH10" i="3"/>
  <c r="QH12" i="3" s="1"/>
  <c r="QG10" i="3"/>
  <c r="QG12" i="3" s="1"/>
  <c r="QF10" i="3"/>
  <c r="QF12" i="3" s="1"/>
  <c r="QE10" i="3"/>
  <c r="QE12" i="3" s="1"/>
  <c r="QD10" i="3"/>
  <c r="QD12" i="3" s="1"/>
  <c r="RH12" i="3" s="1"/>
  <c r="QC10" i="3"/>
  <c r="QC12" i="3" s="1"/>
  <c r="QA10" i="3"/>
  <c r="QA12" i="3" s="1"/>
  <c r="PZ10" i="3"/>
  <c r="PZ12" i="3" s="1"/>
  <c r="PY10" i="3"/>
  <c r="PY12" i="3" s="1"/>
  <c r="PX10" i="3"/>
  <c r="PX12" i="3" s="1"/>
  <c r="PW10" i="3"/>
  <c r="PW12" i="3" s="1"/>
  <c r="PV10" i="3"/>
  <c r="PV12" i="3" s="1"/>
  <c r="PU10" i="3"/>
  <c r="PU12" i="3" s="1"/>
  <c r="PT10" i="3"/>
  <c r="PT12" i="3" s="1"/>
  <c r="PS10" i="3"/>
  <c r="PS12" i="3" s="1"/>
  <c r="PR10" i="3"/>
  <c r="PR12" i="3" s="1"/>
  <c r="PQ10" i="3"/>
  <c r="PQ12" i="3" s="1"/>
  <c r="PP10" i="3"/>
  <c r="PP12" i="3" s="1"/>
  <c r="PO10" i="3"/>
  <c r="PO12" i="3" s="1"/>
  <c r="PN10" i="3"/>
  <c r="PN12" i="3" s="1"/>
  <c r="PM10" i="3"/>
  <c r="PM12" i="3" s="1"/>
  <c r="PL10" i="3"/>
  <c r="PL12" i="3" s="1"/>
  <c r="PK10" i="3"/>
  <c r="PK12" i="3" s="1"/>
  <c r="PJ10" i="3"/>
  <c r="PJ12" i="3" s="1"/>
  <c r="PI10" i="3"/>
  <c r="PI12" i="3" s="1"/>
  <c r="PH10" i="3"/>
  <c r="PH12" i="3" s="1"/>
  <c r="PG10" i="3"/>
  <c r="PG12" i="3" s="1"/>
  <c r="PF10" i="3"/>
  <c r="PF12" i="3" s="1"/>
  <c r="PE10" i="3"/>
  <c r="PE12" i="3" s="1"/>
  <c r="PD10" i="3"/>
  <c r="PD12" i="3" s="1"/>
  <c r="PC10" i="3"/>
  <c r="PC12" i="3" s="1"/>
  <c r="PB10" i="3"/>
  <c r="PB12" i="3" s="1"/>
  <c r="PA10" i="3"/>
  <c r="PA12" i="3" s="1"/>
  <c r="OZ10" i="3"/>
  <c r="OZ12" i="3" s="1"/>
  <c r="OY10" i="3"/>
  <c r="OY12" i="3" s="1"/>
  <c r="OX10" i="3"/>
  <c r="OX12" i="3" s="1"/>
  <c r="QB12" i="3" s="1"/>
  <c r="OV10" i="3"/>
  <c r="OV12" i="3" s="1"/>
  <c r="OU10" i="3"/>
  <c r="OU12" i="3" s="1"/>
  <c r="OT10" i="3"/>
  <c r="OT12" i="3" s="1"/>
  <c r="OS10" i="3"/>
  <c r="OS12" i="3" s="1"/>
  <c r="OR10" i="3"/>
  <c r="OR12" i="3" s="1"/>
  <c r="OQ10" i="3"/>
  <c r="OQ12" i="3" s="1"/>
  <c r="OP10" i="3"/>
  <c r="OP12" i="3" s="1"/>
  <c r="OO10" i="3"/>
  <c r="OO12" i="3" s="1"/>
  <c r="ON10" i="3"/>
  <c r="ON12" i="3" s="1"/>
  <c r="OM10" i="3"/>
  <c r="OM12" i="3" s="1"/>
  <c r="OL10" i="3"/>
  <c r="OL12" i="3" s="1"/>
  <c r="OK10" i="3"/>
  <c r="OK12" i="3" s="1"/>
  <c r="OJ10" i="3"/>
  <c r="OJ12" i="3" s="1"/>
  <c r="OI10" i="3"/>
  <c r="OI12" i="3" s="1"/>
  <c r="OH10" i="3"/>
  <c r="OH12" i="3" s="1"/>
  <c r="OG10" i="3"/>
  <c r="OG12" i="3" s="1"/>
  <c r="OF10" i="3"/>
  <c r="OF12" i="3" s="1"/>
  <c r="OE10" i="3"/>
  <c r="OE12" i="3" s="1"/>
  <c r="OD10" i="3"/>
  <c r="OD12" i="3" s="1"/>
  <c r="OC10" i="3"/>
  <c r="OC12" i="3" s="1"/>
  <c r="OB10" i="3"/>
  <c r="OB12" i="3" s="1"/>
  <c r="OA10" i="3"/>
  <c r="OA12" i="3" s="1"/>
  <c r="NZ10" i="3"/>
  <c r="NZ12" i="3" s="1"/>
  <c r="NY10" i="3"/>
  <c r="NY12" i="3" s="1"/>
  <c r="NX10" i="3"/>
  <c r="NX12" i="3" s="1"/>
  <c r="NW10" i="3"/>
  <c r="NW12" i="3" s="1"/>
  <c r="NV10" i="3"/>
  <c r="NV12" i="3" s="1"/>
  <c r="NU10" i="3"/>
  <c r="NU12" i="3" s="1"/>
  <c r="NT10" i="3"/>
  <c r="NT12" i="3" s="1"/>
  <c r="NS10" i="3"/>
  <c r="NS12" i="3" s="1"/>
  <c r="NR10" i="3"/>
  <c r="NR12" i="3" s="1"/>
  <c r="OW12" i="3" s="1"/>
  <c r="NP10" i="3"/>
  <c r="NP12" i="3" s="1"/>
  <c r="NO10" i="3"/>
  <c r="NO12" i="3" s="1"/>
  <c r="NN10" i="3"/>
  <c r="NN12" i="3" s="1"/>
  <c r="NM10" i="3"/>
  <c r="NM12" i="3" s="1"/>
  <c r="NL10" i="3"/>
  <c r="NL12" i="3" s="1"/>
  <c r="NK10" i="3"/>
  <c r="NK12" i="3" s="1"/>
  <c r="NJ10" i="3"/>
  <c r="NJ12" i="3" s="1"/>
  <c r="NI10" i="3"/>
  <c r="NI12" i="3" s="1"/>
  <c r="NH10" i="3"/>
  <c r="NH12" i="3" s="1"/>
  <c r="NG10" i="3"/>
  <c r="NG12" i="3" s="1"/>
  <c r="NF10" i="3"/>
  <c r="NF12" i="3" s="1"/>
  <c r="NE10" i="3"/>
  <c r="NE12" i="3" s="1"/>
  <c r="ND10" i="3"/>
  <c r="ND12" i="3" s="1"/>
  <c r="NC10" i="3"/>
  <c r="NC12" i="3" s="1"/>
  <c r="NB10" i="3"/>
  <c r="NB12" i="3" s="1"/>
  <c r="NA10" i="3"/>
  <c r="NA12" i="3" s="1"/>
  <c r="MZ10" i="3"/>
  <c r="MZ12" i="3" s="1"/>
  <c r="MY10" i="3"/>
  <c r="MY12" i="3" s="1"/>
  <c r="MX10" i="3"/>
  <c r="MX12" i="3" s="1"/>
  <c r="MW10" i="3"/>
  <c r="MW12" i="3" s="1"/>
  <c r="MV10" i="3"/>
  <c r="MV12" i="3" s="1"/>
  <c r="MU10" i="3"/>
  <c r="MU12" i="3" s="1"/>
  <c r="MT10" i="3"/>
  <c r="MT12" i="3" s="1"/>
  <c r="MS10" i="3"/>
  <c r="MS12" i="3" s="1"/>
  <c r="MR10" i="3"/>
  <c r="MR12" i="3" s="1"/>
  <c r="MQ10" i="3"/>
  <c r="MQ12" i="3" s="1"/>
  <c r="MP10" i="3"/>
  <c r="MP12" i="3" s="1"/>
  <c r="MO10" i="3"/>
  <c r="MO12" i="3" s="1"/>
  <c r="MN10" i="3"/>
  <c r="MN12" i="3" s="1"/>
  <c r="MM10" i="3"/>
  <c r="MM12" i="3" s="1"/>
  <c r="ML10" i="3"/>
  <c r="ML12" i="3" s="1"/>
  <c r="NQ12" i="3" s="1"/>
  <c r="MJ10" i="3"/>
  <c r="MJ12" i="3" s="1"/>
  <c r="MI10" i="3"/>
  <c r="MI12" i="3" s="1"/>
  <c r="MH10" i="3"/>
  <c r="MH12" i="3" s="1"/>
  <c r="MG10" i="3"/>
  <c r="MG12" i="3" s="1"/>
  <c r="MF10" i="3"/>
  <c r="MF12" i="3" s="1"/>
  <c r="ME10" i="3"/>
  <c r="ME12" i="3" s="1"/>
  <c r="MD10" i="3"/>
  <c r="MD12" i="3" s="1"/>
  <c r="MC10" i="3"/>
  <c r="MC12" i="3" s="1"/>
  <c r="MB10" i="3"/>
  <c r="MB12" i="3" s="1"/>
  <c r="MA10" i="3"/>
  <c r="MA12" i="3" s="1"/>
  <c r="LZ10" i="3"/>
  <c r="LZ12" i="3" s="1"/>
  <c r="LY10" i="3"/>
  <c r="LY12" i="3" s="1"/>
  <c r="LX10" i="3"/>
  <c r="LX12" i="3" s="1"/>
  <c r="LW10" i="3"/>
  <c r="LW12" i="3" s="1"/>
  <c r="LV10" i="3"/>
  <c r="LV12" i="3" s="1"/>
  <c r="LU10" i="3"/>
  <c r="LU12" i="3" s="1"/>
  <c r="LT10" i="3"/>
  <c r="LT12" i="3" s="1"/>
  <c r="LS10" i="3"/>
  <c r="LS12" i="3" s="1"/>
  <c r="LR10" i="3"/>
  <c r="LR12" i="3" s="1"/>
  <c r="LQ10" i="3"/>
  <c r="LQ12" i="3" s="1"/>
  <c r="LP10" i="3"/>
  <c r="LP12" i="3" s="1"/>
  <c r="LO10" i="3"/>
  <c r="LO12" i="3" s="1"/>
  <c r="LN10" i="3"/>
  <c r="LN12" i="3" s="1"/>
  <c r="LM10" i="3"/>
  <c r="LM12" i="3" s="1"/>
  <c r="LL10" i="3"/>
  <c r="LL12" i="3" s="1"/>
  <c r="LK10" i="3"/>
  <c r="LK12" i="3" s="1"/>
  <c r="LJ10" i="3"/>
  <c r="LJ12" i="3" s="1"/>
  <c r="LI10" i="3"/>
  <c r="LI12" i="3" s="1"/>
  <c r="LH10" i="3"/>
  <c r="LH12" i="3" s="1"/>
  <c r="LG10" i="3"/>
  <c r="LG12" i="3" s="1"/>
  <c r="LE10" i="3"/>
  <c r="LE12" i="3" s="1"/>
  <c r="LD10" i="3"/>
  <c r="LD12" i="3" s="1"/>
  <c r="LC10" i="3"/>
  <c r="LC12" i="3" s="1"/>
  <c r="LB10" i="3"/>
  <c r="LB12" i="3" s="1"/>
  <c r="LA10" i="3"/>
  <c r="LA12" i="3" s="1"/>
  <c r="KZ10" i="3"/>
  <c r="KZ12" i="3" s="1"/>
  <c r="KY10" i="3"/>
  <c r="KY12" i="3" s="1"/>
  <c r="KX10" i="3"/>
  <c r="KX12" i="3" s="1"/>
  <c r="KW10" i="3"/>
  <c r="KW12" i="3" s="1"/>
  <c r="KV10" i="3"/>
  <c r="KV12" i="3" s="1"/>
  <c r="KU10" i="3"/>
  <c r="KU12" i="3" s="1"/>
  <c r="KT10" i="3"/>
  <c r="KT12" i="3" s="1"/>
  <c r="KS10" i="3"/>
  <c r="KS12" i="3" s="1"/>
  <c r="KR10" i="3"/>
  <c r="KR12" i="3" s="1"/>
  <c r="KQ10" i="3"/>
  <c r="KQ12" i="3" s="1"/>
  <c r="KP10" i="3"/>
  <c r="KP12" i="3" s="1"/>
  <c r="KO10" i="3"/>
  <c r="KO12" i="3" s="1"/>
  <c r="KN10" i="3"/>
  <c r="KN12" i="3" s="1"/>
  <c r="KM10" i="3"/>
  <c r="KM12" i="3" s="1"/>
  <c r="KL10" i="3"/>
  <c r="KL12" i="3" s="1"/>
  <c r="KK10" i="3"/>
  <c r="KK12" i="3" s="1"/>
  <c r="KJ10" i="3"/>
  <c r="KJ12" i="3" s="1"/>
  <c r="KI10" i="3"/>
  <c r="KI12" i="3" s="1"/>
  <c r="KH10" i="3"/>
  <c r="KH12" i="3" s="1"/>
  <c r="KG10" i="3"/>
  <c r="KG12" i="3" s="1"/>
  <c r="KF10" i="3"/>
  <c r="KF12" i="3" s="1"/>
  <c r="KE10" i="3"/>
  <c r="KE12" i="3" s="1"/>
  <c r="KD10" i="3"/>
  <c r="KD12" i="3" s="1"/>
  <c r="KC10" i="3"/>
  <c r="KC12" i="3" s="1"/>
  <c r="KB10" i="3"/>
  <c r="KB12" i="3" s="1"/>
  <c r="KA10" i="3"/>
  <c r="KA12" i="3" s="1"/>
  <c r="LF12" i="3" s="1"/>
  <c r="MK12" i="3" s="1"/>
  <c r="JY10" i="3"/>
  <c r="JY12" i="3" s="1"/>
  <c r="JX10" i="3"/>
  <c r="JX12" i="3" s="1"/>
  <c r="JW10" i="3"/>
  <c r="JW12" i="3" s="1"/>
  <c r="JV10" i="3"/>
  <c r="JV12" i="3" s="1"/>
  <c r="JU10" i="3"/>
  <c r="JU12" i="3" s="1"/>
  <c r="JT10" i="3"/>
  <c r="JT12" i="3" s="1"/>
  <c r="JS10" i="3"/>
  <c r="JS12" i="3" s="1"/>
  <c r="JR10" i="3"/>
  <c r="JR12" i="3" s="1"/>
  <c r="JQ10" i="3"/>
  <c r="JQ12" i="3" s="1"/>
  <c r="JP10" i="3"/>
  <c r="JP12" i="3" s="1"/>
  <c r="JO10" i="3"/>
  <c r="JO12" i="3" s="1"/>
  <c r="JN10" i="3"/>
  <c r="JN12" i="3" s="1"/>
  <c r="JM10" i="3"/>
  <c r="JM12" i="3" s="1"/>
  <c r="JL10" i="3"/>
  <c r="JL12" i="3" s="1"/>
  <c r="JK10" i="3"/>
  <c r="JK12" i="3" s="1"/>
  <c r="JJ10" i="3"/>
  <c r="JJ12" i="3" s="1"/>
  <c r="JI10" i="3"/>
  <c r="JI12" i="3" s="1"/>
  <c r="JH10" i="3"/>
  <c r="JH12" i="3" s="1"/>
  <c r="JG10" i="3"/>
  <c r="JG12" i="3" s="1"/>
  <c r="JF10" i="3"/>
  <c r="JF12" i="3" s="1"/>
  <c r="JE10" i="3"/>
  <c r="JE12" i="3" s="1"/>
  <c r="JD10" i="3"/>
  <c r="JD12" i="3" s="1"/>
  <c r="JC10" i="3"/>
  <c r="JC12" i="3" s="1"/>
  <c r="JB10" i="3"/>
  <c r="JB12" i="3" s="1"/>
  <c r="JA10" i="3"/>
  <c r="JA12" i="3" s="1"/>
  <c r="IZ10" i="3"/>
  <c r="IZ12" i="3" s="1"/>
  <c r="IY10" i="3"/>
  <c r="IY12" i="3" s="1"/>
  <c r="IX10" i="3"/>
  <c r="IX12" i="3" s="1"/>
  <c r="IW10" i="3"/>
  <c r="IW12" i="3" s="1"/>
  <c r="IV10" i="3"/>
  <c r="IV12" i="3" s="1"/>
  <c r="JZ12" i="3" s="1"/>
  <c r="IT10" i="3"/>
  <c r="IT12" i="3" s="1"/>
  <c r="IS10" i="3"/>
  <c r="IS12" i="3" s="1"/>
  <c r="IR10" i="3"/>
  <c r="IR12" i="3" s="1"/>
  <c r="IQ10" i="3"/>
  <c r="IQ12" i="3" s="1"/>
  <c r="IP10" i="3"/>
  <c r="IP12" i="3" s="1"/>
  <c r="IO10" i="3"/>
  <c r="IO12" i="3" s="1"/>
  <c r="IN10" i="3"/>
  <c r="IN12" i="3" s="1"/>
  <c r="IM10" i="3"/>
  <c r="IM12" i="3" s="1"/>
  <c r="IL10" i="3"/>
  <c r="IL12" i="3" s="1"/>
  <c r="IK10" i="3"/>
  <c r="IK12" i="3" s="1"/>
  <c r="IJ10" i="3"/>
  <c r="IJ12" i="3" s="1"/>
  <c r="II10" i="3"/>
  <c r="II12" i="3" s="1"/>
  <c r="IH10" i="3"/>
  <c r="IH12" i="3" s="1"/>
  <c r="IG10" i="3"/>
  <c r="IG12" i="3" s="1"/>
  <c r="IF10" i="3"/>
  <c r="IF12" i="3" s="1"/>
  <c r="IE10" i="3"/>
  <c r="IE12" i="3" s="1"/>
  <c r="ID10" i="3"/>
  <c r="ID12" i="3" s="1"/>
  <c r="IC10" i="3"/>
  <c r="IC12" i="3" s="1"/>
  <c r="IB10" i="3"/>
  <c r="IB12" i="3" s="1"/>
  <c r="IA10" i="3"/>
  <c r="IA12" i="3" s="1"/>
  <c r="HZ10" i="3"/>
  <c r="HZ12" i="3" s="1"/>
  <c r="HY10" i="3"/>
  <c r="HY12" i="3" s="1"/>
  <c r="HX10" i="3"/>
  <c r="HX12" i="3" s="1"/>
  <c r="HW10" i="3"/>
  <c r="HW12" i="3" s="1"/>
  <c r="HV10" i="3"/>
  <c r="HV12" i="3" s="1"/>
  <c r="HU10" i="3"/>
  <c r="HU12" i="3" s="1"/>
  <c r="HT10" i="3"/>
  <c r="HT12" i="3" s="1"/>
  <c r="HS10" i="3"/>
  <c r="HS12" i="3" s="1"/>
  <c r="HR10" i="3"/>
  <c r="HR12" i="3" s="1"/>
  <c r="HQ10" i="3"/>
  <c r="HQ12" i="3" s="1"/>
  <c r="HP10" i="3"/>
  <c r="HN10" i="3"/>
  <c r="HN12" i="3" s="1"/>
  <c r="HM10" i="3"/>
  <c r="HM12" i="3" s="1"/>
  <c r="HL10" i="3"/>
  <c r="HL12" i="3" s="1"/>
  <c r="HK10" i="3"/>
  <c r="HK12" i="3" s="1"/>
  <c r="HJ10" i="3"/>
  <c r="HJ12" i="3" s="1"/>
  <c r="HI10" i="3"/>
  <c r="HI12" i="3" s="1"/>
  <c r="HH10" i="3"/>
  <c r="HH12" i="3" s="1"/>
  <c r="HG10" i="3"/>
  <c r="HG12" i="3" s="1"/>
  <c r="HF10" i="3"/>
  <c r="HF12" i="3" s="1"/>
  <c r="HE10" i="3"/>
  <c r="HE12" i="3" s="1"/>
  <c r="HD10" i="3"/>
  <c r="HD12" i="3" s="1"/>
  <c r="HC10" i="3"/>
  <c r="HC12" i="3" s="1"/>
  <c r="HB10" i="3"/>
  <c r="HB12" i="3" s="1"/>
  <c r="HA10" i="3"/>
  <c r="HA12" i="3" s="1"/>
  <c r="GZ10" i="3"/>
  <c r="GZ12" i="3" s="1"/>
  <c r="GY10" i="3"/>
  <c r="GY12" i="3" s="1"/>
  <c r="GX10" i="3"/>
  <c r="GX12" i="3" s="1"/>
  <c r="GW10" i="3"/>
  <c r="GW12" i="3" s="1"/>
  <c r="GV10" i="3"/>
  <c r="GV12" i="3" s="1"/>
  <c r="GU10" i="3"/>
  <c r="GU12" i="3" s="1"/>
  <c r="GT10" i="3"/>
  <c r="GT12" i="3" s="1"/>
  <c r="GS10" i="3"/>
  <c r="GS12" i="3" s="1"/>
  <c r="GR10" i="3"/>
  <c r="GR12" i="3" s="1"/>
  <c r="GQ10" i="3"/>
  <c r="GQ12" i="3" s="1"/>
  <c r="GP10" i="3"/>
  <c r="GP12" i="3" s="1"/>
  <c r="GO10" i="3"/>
  <c r="GO12" i="3" s="1"/>
  <c r="GN10" i="3"/>
  <c r="GN12" i="3" s="1"/>
  <c r="GM10" i="3"/>
  <c r="GM12" i="3" s="1"/>
  <c r="GL10" i="3"/>
  <c r="GJ10" i="3"/>
  <c r="GJ12" i="3" s="1"/>
  <c r="GI10" i="3"/>
  <c r="GI12" i="3" s="1"/>
  <c r="GH10" i="3"/>
  <c r="GH12" i="3" s="1"/>
  <c r="GG10" i="3"/>
  <c r="GG12" i="3" s="1"/>
  <c r="GF10" i="3"/>
  <c r="GF12" i="3" s="1"/>
  <c r="GE10" i="3"/>
  <c r="GE12" i="3" s="1"/>
  <c r="GD10" i="3"/>
  <c r="GD12" i="3" s="1"/>
  <c r="GC10" i="3"/>
  <c r="GC12" i="3" s="1"/>
  <c r="GB10" i="3"/>
  <c r="GB12" i="3" s="1"/>
  <c r="GA10" i="3"/>
  <c r="GA12" i="3" s="1"/>
  <c r="FZ10" i="3"/>
  <c r="FZ12" i="3" s="1"/>
  <c r="FY10" i="3"/>
  <c r="FY12" i="3" s="1"/>
  <c r="FX10" i="3"/>
  <c r="FX12" i="3" s="1"/>
  <c r="FW10" i="3"/>
  <c r="FW12" i="3" s="1"/>
  <c r="FV10" i="3"/>
  <c r="FV12" i="3" s="1"/>
  <c r="FU10" i="3"/>
  <c r="FU12" i="3" s="1"/>
  <c r="FT10" i="3"/>
  <c r="FT12" i="3" s="1"/>
  <c r="FS10" i="3"/>
  <c r="FS12" i="3" s="1"/>
  <c r="FR10" i="3"/>
  <c r="FR12" i="3" s="1"/>
  <c r="FQ10" i="3"/>
  <c r="FQ12" i="3" s="1"/>
  <c r="FP10" i="3"/>
  <c r="FP12" i="3" s="1"/>
  <c r="FO10" i="3"/>
  <c r="FO12" i="3" s="1"/>
  <c r="FN10" i="3"/>
  <c r="FN12" i="3" s="1"/>
  <c r="FM10" i="3"/>
  <c r="FM12" i="3" s="1"/>
  <c r="FL10" i="3"/>
  <c r="FL12" i="3" s="1"/>
  <c r="FK10" i="3"/>
  <c r="FK12" i="3" s="1"/>
  <c r="FJ10" i="3"/>
  <c r="FJ12" i="3" s="1"/>
  <c r="FI10" i="3"/>
  <c r="FI12" i="3" s="1"/>
  <c r="FH10" i="3"/>
  <c r="FH12" i="3" s="1"/>
  <c r="FG10" i="3"/>
  <c r="FG12" i="3" s="1"/>
  <c r="FF10" i="3"/>
  <c r="FD10" i="3"/>
  <c r="FD12" i="3" s="1"/>
  <c r="FC10" i="3"/>
  <c r="FC12" i="3" s="1"/>
  <c r="FB10" i="3"/>
  <c r="FB12" i="3" s="1"/>
  <c r="FA10" i="3"/>
  <c r="FA12" i="3" s="1"/>
  <c r="EZ10" i="3"/>
  <c r="EZ12" i="3" s="1"/>
  <c r="EY10" i="3"/>
  <c r="EY12" i="3" s="1"/>
  <c r="EX10" i="3"/>
  <c r="EX12" i="3" s="1"/>
  <c r="EW10" i="3"/>
  <c r="EW12" i="3" s="1"/>
  <c r="EV10" i="3"/>
  <c r="EV12" i="3" s="1"/>
  <c r="EU10" i="3"/>
  <c r="EU12" i="3" s="1"/>
  <c r="ET10" i="3"/>
  <c r="ET12" i="3" s="1"/>
  <c r="ES10" i="3"/>
  <c r="ES12" i="3" s="1"/>
  <c r="ER10" i="3"/>
  <c r="ER12" i="3" s="1"/>
  <c r="EQ10" i="3"/>
  <c r="EQ12" i="3" s="1"/>
  <c r="EP10" i="3"/>
  <c r="EP12" i="3" s="1"/>
  <c r="EO10" i="3"/>
  <c r="EO12" i="3" s="1"/>
  <c r="EN10" i="3"/>
  <c r="EN12" i="3" s="1"/>
  <c r="EM10" i="3"/>
  <c r="EM12" i="3" s="1"/>
  <c r="EL10" i="3"/>
  <c r="EL12" i="3" s="1"/>
  <c r="EK10" i="3"/>
  <c r="EK12" i="3" s="1"/>
  <c r="EJ10" i="3"/>
  <c r="EJ12" i="3" s="1"/>
  <c r="EI10" i="3"/>
  <c r="EI12" i="3" s="1"/>
  <c r="EH10" i="3"/>
  <c r="EH12" i="3" s="1"/>
  <c r="EG10" i="3"/>
  <c r="EG12" i="3" s="1"/>
  <c r="EF10" i="3"/>
  <c r="EF12" i="3" s="1"/>
  <c r="EE10" i="3"/>
  <c r="EE12" i="3" s="1"/>
  <c r="ED10" i="3"/>
  <c r="ED12" i="3" s="1"/>
  <c r="EC10" i="3"/>
  <c r="EC12" i="3" s="1"/>
  <c r="EB10" i="3"/>
  <c r="EB12" i="3" s="1"/>
  <c r="EA10" i="3"/>
  <c r="EA12" i="3" s="1"/>
  <c r="DZ10" i="3"/>
  <c r="DZ12" i="3" s="1"/>
  <c r="FE12" i="3" s="1"/>
  <c r="DX10" i="3"/>
  <c r="DX12" i="3" s="1"/>
  <c r="DW10" i="3"/>
  <c r="DW12" i="3" s="1"/>
  <c r="DV10" i="3"/>
  <c r="DV12" i="3" s="1"/>
  <c r="DU10" i="3"/>
  <c r="DU12" i="3" s="1"/>
  <c r="DT10" i="3"/>
  <c r="DT12" i="3" s="1"/>
  <c r="DS10" i="3"/>
  <c r="DS12" i="3" s="1"/>
  <c r="DR10" i="3"/>
  <c r="DR12" i="3" s="1"/>
  <c r="DQ10" i="3"/>
  <c r="DQ12" i="3" s="1"/>
  <c r="DP10" i="3"/>
  <c r="DP12" i="3" s="1"/>
  <c r="DO10" i="3"/>
  <c r="DO12" i="3" s="1"/>
  <c r="DN10" i="3"/>
  <c r="DN12" i="3" s="1"/>
  <c r="DM10" i="3"/>
  <c r="DM12" i="3" s="1"/>
  <c r="DL10" i="3"/>
  <c r="DL12" i="3" s="1"/>
  <c r="DK10" i="3"/>
  <c r="DK12" i="3" s="1"/>
  <c r="DJ10" i="3"/>
  <c r="DJ12" i="3" s="1"/>
  <c r="DI10" i="3"/>
  <c r="DI12" i="3" s="1"/>
  <c r="DH10" i="3"/>
  <c r="DH12" i="3" s="1"/>
  <c r="DG10" i="3"/>
  <c r="DG12" i="3" s="1"/>
  <c r="DF10" i="3"/>
  <c r="DF12" i="3" s="1"/>
  <c r="DE10" i="3"/>
  <c r="DE12" i="3" s="1"/>
  <c r="DD10" i="3"/>
  <c r="DD12" i="3" s="1"/>
  <c r="DC10" i="3"/>
  <c r="DC12" i="3" s="1"/>
  <c r="DB10" i="3"/>
  <c r="DB12" i="3" s="1"/>
  <c r="DA10" i="3"/>
  <c r="DA12" i="3" s="1"/>
  <c r="CZ10" i="3"/>
  <c r="CZ12" i="3" s="1"/>
  <c r="CY10" i="3"/>
  <c r="CY12" i="3" s="1"/>
  <c r="CX10" i="3"/>
  <c r="CX12" i="3" s="1"/>
  <c r="CW10" i="3"/>
  <c r="CW12" i="3" s="1"/>
  <c r="CV10" i="3"/>
  <c r="CV12" i="3" s="1"/>
  <c r="CU10" i="3"/>
  <c r="CU12" i="3" s="1"/>
  <c r="CS10" i="3"/>
  <c r="CS12" i="3" s="1"/>
  <c r="CR10" i="3"/>
  <c r="CR12" i="3" s="1"/>
  <c r="CQ10" i="3"/>
  <c r="CQ12" i="3" s="1"/>
  <c r="CP10" i="3"/>
  <c r="CP12" i="3" s="1"/>
  <c r="CO10" i="3"/>
  <c r="CO12" i="3" s="1"/>
  <c r="CN10" i="3"/>
  <c r="CN12" i="3" s="1"/>
  <c r="CM10" i="3"/>
  <c r="CM12" i="3" s="1"/>
  <c r="CL10" i="3"/>
  <c r="CL12" i="3" s="1"/>
  <c r="CK10" i="3"/>
  <c r="CK12" i="3" s="1"/>
  <c r="CJ10" i="3"/>
  <c r="CJ12" i="3" s="1"/>
  <c r="CI10" i="3"/>
  <c r="CI12" i="3" s="1"/>
  <c r="CH10" i="3"/>
  <c r="CH12" i="3" s="1"/>
  <c r="CG10" i="3"/>
  <c r="CG12" i="3" s="1"/>
  <c r="CF10" i="3"/>
  <c r="CF12" i="3" s="1"/>
  <c r="CE10" i="3"/>
  <c r="CE12" i="3" s="1"/>
  <c r="CD10" i="3"/>
  <c r="CD12" i="3" s="1"/>
  <c r="CC10" i="3"/>
  <c r="CC12" i="3" s="1"/>
  <c r="CB10" i="3"/>
  <c r="CB12" i="3" s="1"/>
  <c r="CA10" i="3"/>
  <c r="CA12" i="3" s="1"/>
  <c r="BZ10" i="3"/>
  <c r="BZ12" i="3" s="1"/>
  <c r="BY10" i="3"/>
  <c r="BY12" i="3" s="1"/>
  <c r="BX10" i="3"/>
  <c r="BX12" i="3" s="1"/>
  <c r="BW10" i="3"/>
  <c r="BW12" i="3" s="1"/>
  <c r="BV10" i="3"/>
  <c r="BV12" i="3" s="1"/>
  <c r="BU10" i="3"/>
  <c r="BU12" i="3" s="1"/>
  <c r="BT10" i="3"/>
  <c r="BT12" i="3" s="1"/>
  <c r="BS10" i="3"/>
  <c r="BS12" i="3" s="1"/>
  <c r="BR10" i="3"/>
  <c r="BR12" i="3" s="1"/>
  <c r="BQ10" i="3"/>
  <c r="BQ12" i="3" s="1"/>
  <c r="BP10" i="3"/>
  <c r="BP12" i="3" s="1"/>
  <c r="BO10" i="3"/>
  <c r="BO12" i="3" s="1"/>
  <c r="CT12" i="3" s="1"/>
  <c r="BM10" i="3"/>
  <c r="BM12" i="3" s="1"/>
  <c r="BL10" i="3"/>
  <c r="BL12" i="3" s="1"/>
  <c r="BK10" i="3"/>
  <c r="BK12" i="3" s="1"/>
  <c r="BJ10" i="3"/>
  <c r="BJ12" i="3" s="1"/>
  <c r="BI10" i="3"/>
  <c r="BI12" i="3" s="1"/>
  <c r="BH10" i="3"/>
  <c r="BH12" i="3" s="1"/>
  <c r="BG10" i="3"/>
  <c r="BG12" i="3" s="1"/>
  <c r="BF10" i="3"/>
  <c r="BF12" i="3" s="1"/>
  <c r="BE10" i="3"/>
  <c r="BE12" i="3" s="1"/>
  <c r="BD10" i="3"/>
  <c r="BD12" i="3" s="1"/>
  <c r="BC10" i="3"/>
  <c r="BC12" i="3" s="1"/>
  <c r="BB10" i="3"/>
  <c r="BB12" i="3" s="1"/>
  <c r="BA10" i="3"/>
  <c r="BA12" i="3" s="1"/>
  <c r="AZ10" i="3"/>
  <c r="AZ12" i="3" s="1"/>
  <c r="AY10" i="3"/>
  <c r="AY12" i="3" s="1"/>
  <c r="AX10" i="3"/>
  <c r="AX12" i="3" s="1"/>
  <c r="AW10" i="3"/>
  <c r="AW12" i="3" s="1"/>
  <c r="AV10" i="3"/>
  <c r="AV12" i="3" s="1"/>
  <c r="AU10" i="3"/>
  <c r="AU12" i="3" s="1"/>
  <c r="AT10" i="3"/>
  <c r="AT12" i="3" s="1"/>
  <c r="AS10" i="3"/>
  <c r="AS12" i="3" s="1"/>
  <c r="AR10" i="3"/>
  <c r="AR12" i="3" s="1"/>
  <c r="AQ10" i="3"/>
  <c r="AQ12" i="3" s="1"/>
  <c r="AP10" i="3"/>
  <c r="AP12" i="3" s="1"/>
  <c r="AO10" i="3"/>
  <c r="AO12" i="3" s="1"/>
  <c r="AN10" i="3"/>
  <c r="AN12" i="3" s="1"/>
  <c r="AM10" i="3"/>
  <c r="AM12" i="3" s="1"/>
  <c r="AL10" i="3"/>
  <c r="AL12" i="3" s="1"/>
  <c r="AK10" i="3"/>
  <c r="AK12" i="3" s="1"/>
  <c r="AJ10" i="3"/>
  <c r="AJ12" i="3" s="1"/>
  <c r="BN12" i="3" s="1"/>
  <c r="AH10" i="3"/>
  <c r="AH12" i="3" s="1"/>
  <c r="AG10" i="3"/>
  <c r="AG12" i="3" s="1"/>
  <c r="AF10" i="3"/>
  <c r="AF12" i="3" s="1"/>
  <c r="AE10" i="3"/>
  <c r="AE12" i="3" s="1"/>
  <c r="AD10" i="3"/>
  <c r="AD12" i="3" s="1"/>
  <c r="AC10" i="3"/>
  <c r="AC12" i="3" s="1"/>
  <c r="AB10" i="3"/>
  <c r="AB12" i="3" s="1"/>
  <c r="AA10" i="3"/>
  <c r="AA12" i="3" s="1"/>
  <c r="Z10" i="3"/>
  <c r="Z12" i="3" s="1"/>
  <c r="Y10" i="3"/>
  <c r="Y12" i="3" s="1"/>
  <c r="X10" i="3"/>
  <c r="X12" i="3" s="1"/>
  <c r="W10" i="3"/>
  <c r="W12" i="3" s="1"/>
  <c r="V10" i="3"/>
  <c r="V12" i="3" s="1"/>
  <c r="U10" i="3"/>
  <c r="U12" i="3" s="1"/>
  <c r="T10" i="3"/>
  <c r="T12" i="3" s="1"/>
  <c r="S10" i="3"/>
  <c r="S12" i="3" s="1"/>
  <c r="R10" i="3"/>
  <c r="R12" i="3" s="1"/>
  <c r="Q10" i="3"/>
  <c r="Q12" i="3" s="1"/>
  <c r="P10" i="3"/>
  <c r="P12" i="3" s="1"/>
  <c r="O10" i="3"/>
  <c r="O12" i="3" s="1"/>
  <c r="N10" i="3"/>
  <c r="N12" i="3" s="1"/>
  <c r="M10" i="3"/>
  <c r="M12" i="3" s="1"/>
  <c r="L10" i="3"/>
  <c r="L12" i="3" s="1"/>
  <c r="K10" i="3"/>
  <c r="K12" i="3" s="1"/>
  <c r="J10" i="3"/>
  <c r="J12" i="3" s="1"/>
  <c r="I10" i="3"/>
  <c r="I12" i="3" s="1"/>
  <c r="H10" i="3"/>
  <c r="H12" i="3" s="1"/>
  <c r="G10" i="3"/>
  <c r="G12" i="3" s="1"/>
  <c r="F10" i="3"/>
  <c r="F12" i="3" s="1"/>
  <c r="E10" i="3"/>
  <c r="E12" i="3" s="1"/>
  <c r="AOF9" i="3"/>
  <c r="AOE9" i="3"/>
  <c r="AOD9" i="3"/>
  <c r="D9" i="3"/>
  <c r="AOC7" i="3"/>
  <c r="AOC9" i="3" s="1"/>
  <c r="AOB7" i="3"/>
  <c r="AOB9" i="3" s="1"/>
  <c r="AOA7" i="3"/>
  <c r="AOA9" i="3" s="1"/>
  <c r="ANZ7" i="3"/>
  <c r="ANZ9" i="3" s="1"/>
  <c r="ANY7" i="3"/>
  <c r="ANY9" i="3" s="1"/>
  <c r="ANX7" i="3"/>
  <c r="ANX9" i="3" s="1"/>
  <c r="ANW7" i="3"/>
  <c r="ANW9" i="3" s="1"/>
  <c r="ANV7" i="3"/>
  <c r="ANV9" i="3" s="1"/>
  <c r="ANU7" i="3"/>
  <c r="ANU9" i="3" s="1"/>
  <c r="ANT7" i="3"/>
  <c r="ANT9" i="3" s="1"/>
  <c r="ANS7" i="3"/>
  <c r="ANS9" i="3" s="1"/>
  <c r="ANR7" i="3"/>
  <c r="ANR9" i="3" s="1"/>
  <c r="ANQ7" i="3"/>
  <c r="ANQ9" i="3" s="1"/>
  <c r="ANP7" i="3"/>
  <c r="ANP9" i="3" s="1"/>
  <c r="ANO7" i="3"/>
  <c r="ANO9" i="3" s="1"/>
  <c r="ANN7" i="3"/>
  <c r="ANN9" i="3" s="1"/>
  <c r="ANM7" i="3"/>
  <c r="ANM9" i="3" s="1"/>
  <c r="ANL7" i="3"/>
  <c r="ANL9" i="3" s="1"/>
  <c r="ANK7" i="3"/>
  <c r="ANK9" i="3" s="1"/>
  <c r="ANJ7" i="3"/>
  <c r="ANJ9" i="3" s="1"/>
  <c r="ANI7" i="3"/>
  <c r="ANI9" i="3" s="1"/>
  <c r="ANH7" i="3"/>
  <c r="ANH9" i="3" s="1"/>
  <c r="ANG7" i="3"/>
  <c r="ANG9" i="3" s="1"/>
  <c r="ANF7" i="3"/>
  <c r="ANF9" i="3" s="1"/>
  <c r="ANE7" i="3"/>
  <c r="ANE9" i="3" s="1"/>
  <c r="AND7" i="3"/>
  <c r="AND9" i="3" s="1"/>
  <c r="ANC7" i="3"/>
  <c r="ANC9" i="3" s="1"/>
  <c r="ANB7" i="3"/>
  <c r="ANB9" i="3" s="1"/>
  <c r="ANA7" i="3"/>
  <c r="ANA9" i="3" s="1"/>
  <c r="AMY7" i="3"/>
  <c r="AMY9" i="3" s="1"/>
  <c r="AMX7" i="3"/>
  <c r="AMX9" i="3" s="1"/>
  <c r="AMW7" i="3"/>
  <c r="AMW9" i="3" s="1"/>
  <c r="AMV7" i="3"/>
  <c r="AMV9" i="3" s="1"/>
  <c r="AMU7" i="3"/>
  <c r="AMU9" i="3" s="1"/>
  <c r="AMT7" i="3"/>
  <c r="AMT9" i="3" s="1"/>
  <c r="AMS7" i="3"/>
  <c r="AMS9" i="3" s="1"/>
  <c r="AMR7" i="3"/>
  <c r="AMR9" i="3" s="1"/>
  <c r="AMQ7" i="3"/>
  <c r="AMQ9" i="3" s="1"/>
  <c r="AMP7" i="3"/>
  <c r="AMP9" i="3" s="1"/>
  <c r="AMO7" i="3"/>
  <c r="AMO9" i="3" s="1"/>
  <c r="AMN7" i="3"/>
  <c r="AMN9" i="3" s="1"/>
  <c r="AMM7" i="3"/>
  <c r="AMM9" i="3" s="1"/>
  <c r="AML7" i="3"/>
  <c r="AML9" i="3" s="1"/>
  <c r="AMK7" i="3"/>
  <c r="AMK9" i="3" s="1"/>
  <c r="AMJ7" i="3"/>
  <c r="AMJ9" i="3" s="1"/>
  <c r="AMI7" i="3"/>
  <c r="AMI9" i="3" s="1"/>
  <c r="AMH7" i="3"/>
  <c r="AMH9" i="3" s="1"/>
  <c r="AMG7" i="3"/>
  <c r="AMG9" i="3" s="1"/>
  <c r="AMF7" i="3"/>
  <c r="AMF9" i="3" s="1"/>
  <c r="AME7" i="3"/>
  <c r="AME9" i="3" s="1"/>
  <c r="AMD7" i="3"/>
  <c r="AMD9" i="3" s="1"/>
  <c r="AMC7" i="3"/>
  <c r="AMC9" i="3" s="1"/>
  <c r="AMB7" i="3"/>
  <c r="AMB9" i="3" s="1"/>
  <c r="AMA7" i="3"/>
  <c r="AMA9" i="3" s="1"/>
  <c r="ALZ7" i="3"/>
  <c r="ALZ9" i="3" s="1"/>
  <c r="ALY7" i="3"/>
  <c r="ALY9" i="3" s="1"/>
  <c r="ALX7" i="3"/>
  <c r="ALX9" i="3" s="1"/>
  <c r="ALW7" i="3"/>
  <c r="ALW9" i="3" s="1"/>
  <c r="ALV7" i="3"/>
  <c r="ALV9" i="3" s="1"/>
  <c r="AMZ9" i="3" s="1"/>
  <c r="ALT7" i="3"/>
  <c r="ALT9" i="3" s="1"/>
  <c r="ALS7" i="3"/>
  <c r="ALS9" i="3" s="1"/>
  <c r="ALR7" i="3"/>
  <c r="ALR9" i="3" s="1"/>
  <c r="ALQ7" i="3"/>
  <c r="ALQ9" i="3" s="1"/>
  <c r="ALP7" i="3"/>
  <c r="ALP9" i="3" s="1"/>
  <c r="ALO7" i="3"/>
  <c r="ALO9" i="3" s="1"/>
  <c r="ALN7" i="3"/>
  <c r="ALN9" i="3" s="1"/>
  <c r="ALM7" i="3"/>
  <c r="ALM9" i="3" s="1"/>
  <c r="ALL7" i="3"/>
  <c r="ALL9" i="3" s="1"/>
  <c r="ALK7" i="3"/>
  <c r="ALK9" i="3" s="1"/>
  <c r="ALJ7" i="3"/>
  <c r="ALJ9" i="3" s="1"/>
  <c r="ALI7" i="3"/>
  <c r="ALI9" i="3" s="1"/>
  <c r="ALH7" i="3"/>
  <c r="ALH9" i="3" s="1"/>
  <c r="ALG7" i="3"/>
  <c r="ALG9" i="3" s="1"/>
  <c r="ALF7" i="3"/>
  <c r="ALF9" i="3" s="1"/>
  <c r="ALE7" i="3"/>
  <c r="ALE9" i="3" s="1"/>
  <c r="ALD7" i="3"/>
  <c r="ALD9" i="3" s="1"/>
  <c r="ALC7" i="3"/>
  <c r="ALC9" i="3" s="1"/>
  <c r="ALB7" i="3"/>
  <c r="ALB9" i="3" s="1"/>
  <c r="ALA7" i="3"/>
  <c r="ALA9" i="3" s="1"/>
  <c r="AKZ7" i="3"/>
  <c r="AKZ9" i="3" s="1"/>
  <c r="AKY7" i="3"/>
  <c r="AKY9" i="3" s="1"/>
  <c r="AKX7" i="3"/>
  <c r="AKX9" i="3" s="1"/>
  <c r="AKW7" i="3"/>
  <c r="AKW9" i="3" s="1"/>
  <c r="AKV7" i="3"/>
  <c r="AKV9" i="3" s="1"/>
  <c r="AKU7" i="3"/>
  <c r="AKU9" i="3" s="1"/>
  <c r="AKT7" i="3"/>
  <c r="AKT9" i="3" s="1"/>
  <c r="AKS7" i="3"/>
  <c r="AKS9" i="3" s="1"/>
  <c r="AKR7" i="3"/>
  <c r="AKR9" i="3" s="1"/>
  <c r="AKQ7" i="3"/>
  <c r="AKQ9" i="3" s="1"/>
  <c r="AKP7" i="3"/>
  <c r="AKP9" i="3" s="1"/>
  <c r="ALU9" i="3" s="1"/>
  <c r="AKN7" i="3"/>
  <c r="AKN9" i="3" s="1"/>
  <c r="AKM7" i="3"/>
  <c r="AKM9" i="3" s="1"/>
  <c r="AKL7" i="3"/>
  <c r="AKL9" i="3" s="1"/>
  <c r="AKK7" i="3"/>
  <c r="AKK9" i="3" s="1"/>
  <c r="AKJ7" i="3"/>
  <c r="AKJ9" i="3" s="1"/>
  <c r="AKI7" i="3"/>
  <c r="AKI9" i="3" s="1"/>
  <c r="AKH7" i="3"/>
  <c r="AKH9" i="3" s="1"/>
  <c r="AKG7" i="3"/>
  <c r="AKG9" i="3" s="1"/>
  <c r="AKF7" i="3"/>
  <c r="AKF9" i="3" s="1"/>
  <c r="AKE7" i="3"/>
  <c r="AKE9" i="3" s="1"/>
  <c r="AKD7" i="3"/>
  <c r="AKD9" i="3" s="1"/>
  <c r="AKC7" i="3"/>
  <c r="AKC9" i="3" s="1"/>
  <c r="AKB7" i="3"/>
  <c r="AKB9" i="3" s="1"/>
  <c r="AKA7" i="3"/>
  <c r="AKA9" i="3" s="1"/>
  <c r="AJZ7" i="3"/>
  <c r="AJZ9" i="3" s="1"/>
  <c r="AJY7" i="3"/>
  <c r="AJY9" i="3" s="1"/>
  <c r="AJX7" i="3"/>
  <c r="AJX9" i="3" s="1"/>
  <c r="AJW7" i="3"/>
  <c r="AJW9" i="3" s="1"/>
  <c r="AJV7" i="3"/>
  <c r="AJV9" i="3" s="1"/>
  <c r="AJU7" i="3"/>
  <c r="AJU9" i="3" s="1"/>
  <c r="AJT7" i="3"/>
  <c r="AJT9" i="3" s="1"/>
  <c r="AJS7" i="3"/>
  <c r="AJS9" i="3" s="1"/>
  <c r="AJR7" i="3"/>
  <c r="AJR9" i="3" s="1"/>
  <c r="AJQ7" i="3"/>
  <c r="AJQ9" i="3" s="1"/>
  <c r="AJP7" i="3"/>
  <c r="AJP9" i="3" s="1"/>
  <c r="AJO7" i="3"/>
  <c r="AJO9" i="3" s="1"/>
  <c r="AJN7" i="3"/>
  <c r="AJN9" i="3" s="1"/>
  <c r="AJM7" i="3"/>
  <c r="AJM9" i="3" s="1"/>
  <c r="AKO9" i="3" s="1"/>
  <c r="AJK7" i="3"/>
  <c r="AJK9" i="3" s="1"/>
  <c r="AJJ7" i="3"/>
  <c r="AJJ9" i="3" s="1"/>
  <c r="AJI7" i="3"/>
  <c r="AJI9" i="3" s="1"/>
  <c r="AJH7" i="3"/>
  <c r="AJH9" i="3" s="1"/>
  <c r="AJG7" i="3"/>
  <c r="AJG9" i="3" s="1"/>
  <c r="AJF7" i="3"/>
  <c r="AJF9" i="3" s="1"/>
  <c r="AJE7" i="3"/>
  <c r="AJE9" i="3" s="1"/>
  <c r="AJD7" i="3"/>
  <c r="AJD9" i="3" s="1"/>
  <c r="AJC7" i="3"/>
  <c r="AJC9" i="3" s="1"/>
  <c r="AJB7" i="3"/>
  <c r="AJB9" i="3" s="1"/>
  <c r="AJA7" i="3"/>
  <c r="AJA9" i="3" s="1"/>
  <c r="AIZ7" i="3"/>
  <c r="AIZ9" i="3" s="1"/>
  <c r="AIY7" i="3"/>
  <c r="AIY9" i="3" s="1"/>
  <c r="AIX7" i="3"/>
  <c r="AIX9" i="3" s="1"/>
  <c r="AIW7" i="3"/>
  <c r="AIW9" i="3" s="1"/>
  <c r="AIV7" i="3"/>
  <c r="AIV9" i="3" s="1"/>
  <c r="AIU7" i="3"/>
  <c r="AIU9" i="3" s="1"/>
  <c r="AIT7" i="3"/>
  <c r="AIT9" i="3" s="1"/>
  <c r="AIS7" i="3"/>
  <c r="AIS9" i="3" s="1"/>
  <c r="AIR7" i="3"/>
  <c r="AIR9" i="3" s="1"/>
  <c r="AIQ7" i="3"/>
  <c r="AIQ9" i="3" s="1"/>
  <c r="AIP7" i="3"/>
  <c r="AIP9" i="3" s="1"/>
  <c r="AIO7" i="3"/>
  <c r="AIO9" i="3" s="1"/>
  <c r="AIN7" i="3"/>
  <c r="AIN9" i="3" s="1"/>
  <c r="AIM7" i="3"/>
  <c r="AIM9" i="3" s="1"/>
  <c r="AIL7" i="3"/>
  <c r="AIL9" i="3" s="1"/>
  <c r="AIK7" i="3"/>
  <c r="AIK9" i="3" s="1"/>
  <c r="AIJ7" i="3"/>
  <c r="AIJ9" i="3" s="1"/>
  <c r="AII7" i="3"/>
  <c r="AII9" i="3" s="1"/>
  <c r="AIH7" i="3"/>
  <c r="AIH9" i="3" s="1"/>
  <c r="AIG7" i="3"/>
  <c r="AIG9" i="3" s="1"/>
  <c r="AJL9" i="3" s="1"/>
  <c r="AIE7" i="3"/>
  <c r="AIE9" i="3" s="1"/>
  <c r="AID7" i="3"/>
  <c r="AID9" i="3" s="1"/>
  <c r="AIC7" i="3"/>
  <c r="AIC9" i="3" s="1"/>
  <c r="AIB7" i="3"/>
  <c r="AIB9" i="3" s="1"/>
  <c r="AIA7" i="3"/>
  <c r="AIA9" i="3" s="1"/>
  <c r="AHZ7" i="3"/>
  <c r="AHZ9" i="3" s="1"/>
  <c r="AHY7" i="3"/>
  <c r="AHY9" i="3" s="1"/>
  <c r="AHX7" i="3"/>
  <c r="AHX9" i="3" s="1"/>
  <c r="AHW7" i="3"/>
  <c r="AHW9" i="3" s="1"/>
  <c r="AHV7" i="3"/>
  <c r="AHV9" i="3" s="1"/>
  <c r="AHU7" i="3"/>
  <c r="AHU9" i="3" s="1"/>
  <c r="AHT7" i="3"/>
  <c r="AHT9" i="3" s="1"/>
  <c r="AHS7" i="3"/>
  <c r="AHS9" i="3" s="1"/>
  <c r="AHR7" i="3"/>
  <c r="AHR9" i="3" s="1"/>
  <c r="AHQ7" i="3"/>
  <c r="AHQ9" i="3" s="1"/>
  <c r="AHP7" i="3"/>
  <c r="AHP9" i="3" s="1"/>
  <c r="AHO7" i="3"/>
  <c r="AHO9" i="3" s="1"/>
  <c r="AHN7" i="3"/>
  <c r="AHN9" i="3" s="1"/>
  <c r="AHM7" i="3"/>
  <c r="AHM9" i="3" s="1"/>
  <c r="AHL7" i="3"/>
  <c r="AHL9" i="3" s="1"/>
  <c r="AHK7" i="3"/>
  <c r="AHK9" i="3" s="1"/>
  <c r="AHJ7" i="3"/>
  <c r="AHJ9" i="3" s="1"/>
  <c r="AHI7" i="3"/>
  <c r="AHI9" i="3" s="1"/>
  <c r="AHH7" i="3"/>
  <c r="AHH9" i="3" s="1"/>
  <c r="AHG7" i="3"/>
  <c r="AHG9" i="3" s="1"/>
  <c r="AHF7" i="3"/>
  <c r="AHF9" i="3" s="1"/>
  <c r="AHE7" i="3"/>
  <c r="AHE9" i="3" s="1"/>
  <c r="AHD7" i="3"/>
  <c r="AHD9" i="3" s="1"/>
  <c r="AHC7" i="3"/>
  <c r="AHC9" i="3" s="1"/>
  <c r="AHB7" i="3"/>
  <c r="AHB9" i="3" s="1"/>
  <c r="AHA7" i="3"/>
  <c r="AHA9" i="3" s="1"/>
  <c r="AIF9" i="3" s="1"/>
  <c r="AGY7" i="3"/>
  <c r="AGY9" i="3" s="1"/>
  <c r="AGX7" i="3"/>
  <c r="AGX9" i="3" s="1"/>
  <c r="AGW7" i="3"/>
  <c r="AGW9" i="3" s="1"/>
  <c r="AGV7" i="3"/>
  <c r="AGV9" i="3" s="1"/>
  <c r="AGU7" i="3"/>
  <c r="AGU9" i="3" s="1"/>
  <c r="AGT7" i="3"/>
  <c r="AGT9" i="3" s="1"/>
  <c r="AGS7" i="3"/>
  <c r="AGS9" i="3" s="1"/>
  <c r="AGR7" i="3"/>
  <c r="AGR9" i="3" s="1"/>
  <c r="AGQ7" i="3"/>
  <c r="AGQ9" i="3" s="1"/>
  <c r="AGP7" i="3"/>
  <c r="AGP9" i="3" s="1"/>
  <c r="AGO7" i="3"/>
  <c r="AGO9" i="3" s="1"/>
  <c r="AGN7" i="3"/>
  <c r="AGN9" i="3" s="1"/>
  <c r="AGM7" i="3"/>
  <c r="AGM9" i="3" s="1"/>
  <c r="AGL7" i="3"/>
  <c r="AGL9" i="3" s="1"/>
  <c r="AGK7" i="3"/>
  <c r="AGK9" i="3" s="1"/>
  <c r="AGJ7" i="3"/>
  <c r="AGJ9" i="3" s="1"/>
  <c r="AGI7" i="3"/>
  <c r="AGI9" i="3" s="1"/>
  <c r="AGH7" i="3"/>
  <c r="AGH9" i="3" s="1"/>
  <c r="AGG7" i="3"/>
  <c r="AGG9" i="3" s="1"/>
  <c r="AGF7" i="3"/>
  <c r="AGF9" i="3" s="1"/>
  <c r="AGE7" i="3"/>
  <c r="AGE9" i="3" s="1"/>
  <c r="AGD7" i="3"/>
  <c r="AGD9" i="3" s="1"/>
  <c r="AGC7" i="3"/>
  <c r="AGC9" i="3" s="1"/>
  <c r="AGB7" i="3"/>
  <c r="AGB9" i="3" s="1"/>
  <c r="AGA7" i="3"/>
  <c r="AGA9" i="3" s="1"/>
  <c r="AFZ7" i="3"/>
  <c r="AFZ9" i="3" s="1"/>
  <c r="AFY7" i="3"/>
  <c r="AFY9" i="3" s="1"/>
  <c r="AFX7" i="3"/>
  <c r="AFX9" i="3" s="1"/>
  <c r="AFW7" i="3"/>
  <c r="AFW9" i="3" s="1"/>
  <c r="AFV7" i="3"/>
  <c r="AFV9" i="3" s="1"/>
  <c r="AGZ9" i="3" s="1"/>
  <c r="AFT7" i="3"/>
  <c r="AFT9" i="3" s="1"/>
  <c r="AFS7" i="3"/>
  <c r="AFS9" i="3" s="1"/>
  <c r="AFR7" i="3"/>
  <c r="AFR9" i="3" s="1"/>
  <c r="AFQ7" i="3"/>
  <c r="AFQ9" i="3" s="1"/>
  <c r="AFP7" i="3"/>
  <c r="AFP9" i="3" s="1"/>
  <c r="AFO7" i="3"/>
  <c r="AFO9" i="3" s="1"/>
  <c r="AFN7" i="3"/>
  <c r="AFN9" i="3" s="1"/>
  <c r="AFM7" i="3"/>
  <c r="AFM9" i="3" s="1"/>
  <c r="AFL7" i="3"/>
  <c r="AFL9" i="3" s="1"/>
  <c r="AFK7" i="3"/>
  <c r="AFK9" i="3" s="1"/>
  <c r="AFJ7" i="3"/>
  <c r="AFJ9" i="3" s="1"/>
  <c r="AFI7" i="3"/>
  <c r="AFI9" i="3" s="1"/>
  <c r="AFH7" i="3"/>
  <c r="AFH9" i="3" s="1"/>
  <c r="AFG7" i="3"/>
  <c r="AFG9" i="3" s="1"/>
  <c r="AFF7" i="3"/>
  <c r="AFF9" i="3" s="1"/>
  <c r="AFE7" i="3"/>
  <c r="AFE9" i="3" s="1"/>
  <c r="AFD7" i="3"/>
  <c r="AFD9" i="3" s="1"/>
  <c r="AFC7" i="3"/>
  <c r="AFC9" i="3" s="1"/>
  <c r="AFB7" i="3"/>
  <c r="AFB9" i="3" s="1"/>
  <c r="AFA7" i="3"/>
  <c r="AFA9" i="3" s="1"/>
  <c r="AEZ7" i="3"/>
  <c r="AEZ9" i="3" s="1"/>
  <c r="AEY7" i="3"/>
  <c r="AEY9" i="3" s="1"/>
  <c r="AEX7" i="3"/>
  <c r="AEX9" i="3" s="1"/>
  <c r="AEW7" i="3"/>
  <c r="AEW9" i="3" s="1"/>
  <c r="AEV7" i="3"/>
  <c r="AEV9" i="3" s="1"/>
  <c r="AEU7" i="3"/>
  <c r="AEU9" i="3" s="1"/>
  <c r="AET7" i="3"/>
  <c r="AET9" i="3" s="1"/>
  <c r="AES7" i="3"/>
  <c r="AES9" i="3" s="1"/>
  <c r="AER7" i="3"/>
  <c r="AER9" i="3" s="1"/>
  <c r="AEQ7" i="3"/>
  <c r="AEQ9" i="3" s="1"/>
  <c r="AEP7" i="3"/>
  <c r="AEP9" i="3" s="1"/>
  <c r="AFU9" i="3" s="1"/>
  <c r="AEN7" i="3"/>
  <c r="AEN9" i="3" s="1"/>
  <c r="AEM7" i="3"/>
  <c r="AEM9" i="3" s="1"/>
  <c r="AEL7" i="3"/>
  <c r="AEL9" i="3" s="1"/>
  <c r="AEK7" i="3"/>
  <c r="AEK9" i="3" s="1"/>
  <c r="AEJ7" i="3"/>
  <c r="AEJ9" i="3" s="1"/>
  <c r="AEI7" i="3"/>
  <c r="AEI9" i="3" s="1"/>
  <c r="AEH7" i="3"/>
  <c r="AEH9" i="3" s="1"/>
  <c r="AEG7" i="3"/>
  <c r="AEG9" i="3" s="1"/>
  <c r="AEF7" i="3"/>
  <c r="AEF9" i="3" s="1"/>
  <c r="AEE7" i="3"/>
  <c r="AEE9" i="3" s="1"/>
  <c r="AED7" i="3"/>
  <c r="AED9" i="3" s="1"/>
  <c r="AEC7" i="3"/>
  <c r="AEC9" i="3" s="1"/>
  <c r="AEB7" i="3"/>
  <c r="AEB9" i="3" s="1"/>
  <c r="AEA7" i="3"/>
  <c r="AEA9" i="3" s="1"/>
  <c r="ADZ7" i="3"/>
  <c r="ADZ9" i="3" s="1"/>
  <c r="ADY7" i="3"/>
  <c r="ADY9" i="3" s="1"/>
  <c r="ADX7" i="3"/>
  <c r="ADX9" i="3" s="1"/>
  <c r="ADW7" i="3"/>
  <c r="ADW9" i="3" s="1"/>
  <c r="ADV7" i="3"/>
  <c r="ADV9" i="3" s="1"/>
  <c r="ADU7" i="3"/>
  <c r="ADU9" i="3" s="1"/>
  <c r="ADT7" i="3"/>
  <c r="ADT9" i="3" s="1"/>
  <c r="ADS7" i="3"/>
  <c r="ADS9" i="3" s="1"/>
  <c r="ADR7" i="3"/>
  <c r="ADR9" i="3" s="1"/>
  <c r="ADQ7" i="3"/>
  <c r="ADQ9" i="3" s="1"/>
  <c r="ADP7" i="3"/>
  <c r="ADP9" i="3" s="1"/>
  <c r="ADO7" i="3"/>
  <c r="ADO9" i="3" s="1"/>
  <c r="ADN7" i="3"/>
  <c r="ADN9" i="3" s="1"/>
  <c r="ADM7" i="3"/>
  <c r="ADM9" i="3" s="1"/>
  <c r="ADL7" i="3"/>
  <c r="ADL9" i="3" s="1"/>
  <c r="ADK7" i="3"/>
  <c r="ADK9" i="3" s="1"/>
  <c r="AEO9" i="3" s="1"/>
  <c r="ADI7" i="3"/>
  <c r="ADI9" i="3" s="1"/>
  <c r="ADH7" i="3"/>
  <c r="ADH9" i="3" s="1"/>
  <c r="ADG7" i="3"/>
  <c r="ADG9" i="3" s="1"/>
  <c r="ADF7" i="3"/>
  <c r="ADF9" i="3" s="1"/>
  <c r="ADE7" i="3"/>
  <c r="ADE9" i="3" s="1"/>
  <c r="ADD7" i="3"/>
  <c r="ADD9" i="3" s="1"/>
  <c r="ADC7" i="3"/>
  <c r="ADC9" i="3" s="1"/>
  <c r="ADB7" i="3"/>
  <c r="ADB9" i="3" s="1"/>
  <c r="ADA7" i="3"/>
  <c r="ADA9" i="3" s="1"/>
  <c r="ACZ7" i="3"/>
  <c r="ACZ9" i="3" s="1"/>
  <c r="ACY7" i="3"/>
  <c r="ACY9" i="3" s="1"/>
  <c r="ACX7" i="3"/>
  <c r="ACX9" i="3" s="1"/>
  <c r="ACW7" i="3"/>
  <c r="ACW9" i="3" s="1"/>
  <c r="ACV7" i="3"/>
  <c r="ACV9" i="3" s="1"/>
  <c r="ACU7" i="3"/>
  <c r="ACU9" i="3" s="1"/>
  <c r="ACT7" i="3"/>
  <c r="ACT9" i="3" s="1"/>
  <c r="ACS7" i="3"/>
  <c r="ACS9" i="3" s="1"/>
  <c r="ACR7" i="3"/>
  <c r="ACR9" i="3" s="1"/>
  <c r="ACQ7" i="3"/>
  <c r="ACQ9" i="3" s="1"/>
  <c r="ACP7" i="3"/>
  <c r="ACP9" i="3" s="1"/>
  <c r="ACO7" i="3"/>
  <c r="ACO9" i="3" s="1"/>
  <c r="ACN7" i="3"/>
  <c r="ACN9" i="3" s="1"/>
  <c r="ACM7" i="3"/>
  <c r="ACM9" i="3" s="1"/>
  <c r="ACL7" i="3"/>
  <c r="ACL9" i="3" s="1"/>
  <c r="ACK7" i="3"/>
  <c r="ACK9" i="3" s="1"/>
  <c r="ACJ7" i="3"/>
  <c r="ACJ9" i="3" s="1"/>
  <c r="ACI7" i="3"/>
  <c r="ACI9" i="3" s="1"/>
  <c r="ACH7" i="3"/>
  <c r="ACH9" i="3" s="1"/>
  <c r="ACG7" i="3"/>
  <c r="ACG9" i="3" s="1"/>
  <c r="ACF7" i="3"/>
  <c r="ACF9" i="3" s="1"/>
  <c r="ACE7" i="3"/>
  <c r="ACE9" i="3" s="1"/>
  <c r="ADJ9" i="3" s="1"/>
  <c r="ACC7" i="3"/>
  <c r="ACC9" i="3" s="1"/>
  <c r="ACB7" i="3"/>
  <c r="ACB9" i="3" s="1"/>
  <c r="ACA7" i="3"/>
  <c r="ACA9" i="3" s="1"/>
  <c r="ABZ7" i="3"/>
  <c r="ABZ9" i="3" s="1"/>
  <c r="ABY7" i="3"/>
  <c r="ABY9" i="3" s="1"/>
  <c r="ABX7" i="3"/>
  <c r="ABX9" i="3" s="1"/>
  <c r="ABW7" i="3"/>
  <c r="ABW9" i="3" s="1"/>
  <c r="ABV7" i="3"/>
  <c r="ABV9" i="3" s="1"/>
  <c r="ABU7" i="3"/>
  <c r="ABU9" i="3" s="1"/>
  <c r="ABT7" i="3"/>
  <c r="ABT9" i="3" s="1"/>
  <c r="ABS7" i="3"/>
  <c r="ABS9" i="3" s="1"/>
  <c r="ABR7" i="3"/>
  <c r="ABR9" i="3" s="1"/>
  <c r="ABQ7" i="3"/>
  <c r="ABQ9" i="3" s="1"/>
  <c r="ABP7" i="3"/>
  <c r="ABP9" i="3" s="1"/>
  <c r="ABO7" i="3"/>
  <c r="ABO9" i="3" s="1"/>
  <c r="ABN7" i="3"/>
  <c r="ABN9" i="3" s="1"/>
  <c r="ABM7" i="3"/>
  <c r="ABM9" i="3" s="1"/>
  <c r="ABL7" i="3"/>
  <c r="ABL9" i="3" s="1"/>
  <c r="ABK7" i="3"/>
  <c r="ABK9" i="3" s="1"/>
  <c r="ABJ7" i="3"/>
  <c r="ABJ9" i="3" s="1"/>
  <c r="ABI7" i="3"/>
  <c r="ABI9" i="3" s="1"/>
  <c r="ABH7" i="3"/>
  <c r="ABH9" i="3" s="1"/>
  <c r="ABG7" i="3"/>
  <c r="ABG9" i="3" s="1"/>
  <c r="ABF7" i="3"/>
  <c r="ABF9" i="3" s="1"/>
  <c r="ABE7" i="3"/>
  <c r="ABE9" i="3" s="1"/>
  <c r="ABD7" i="3"/>
  <c r="ABD9" i="3" s="1"/>
  <c r="ABC7" i="3"/>
  <c r="ABC9" i="3" s="1"/>
  <c r="ABB7" i="3"/>
  <c r="ABB9" i="3" s="1"/>
  <c r="ABA7" i="3"/>
  <c r="ABA9" i="3" s="1"/>
  <c r="AAZ7" i="3"/>
  <c r="AAZ9" i="3" s="1"/>
  <c r="AAY7" i="3"/>
  <c r="AAY9" i="3" s="1"/>
  <c r="ACD9" i="3" s="1"/>
  <c r="AAW7" i="3"/>
  <c r="AAW9" i="3" s="1"/>
  <c r="AAV7" i="3"/>
  <c r="AAV9" i="3" s="1"/>
  <c r="AAU7" i="3"/>
  <c r="AAU9" i="3" s="1"/>
  <c r="AAT7" i="3"/>
  <c r="AAT9" i="3" s="1"/>
  <c r="AAS7" i="3"/>
  <c r="AAS9" i="3" s="1"/>
  <c r="AAR7" i="3"/>
  <c r="AAR9" i="3" s="1"/>
  <c r="AAQ7" i="3"/>
  <c r="AAQ9" i="3" s="1"/>
  <c r="AAP7" i="3"/>
  <c r="AAP9" i="3" s="1"/>
  <c r="AAO7" i="3"/>
  <c r="AAO9" i="3" s="1"/>
  <c r="AAN7" i="3"/>
  <c r="AAN9" i="3" s="1"/>
  <c r="AAM7" i="3"/>
  <c r="AAM9" i="3" s="1"/>
  <c r="AAL7" i="3"/>
  <c r="AAL9" i="3" s="1"/>
  <c r="AAK7" i="3"/>
  <c r="AAK9" i="3" s="1"/>
  <c r="AAJ7" i="3"/>
  <c r="AAJ9" i="3" s="1"/>
  <c r="AAI7" i="3"/>
  <c r="AAI9" i="3" s="1"/>
  <c r="AAH7" i="3"/>
  <c r="AAH9" i="3" s="1"/>
  <c r="AAG7" i="3"/>
  <c r="AAG9" i="3" s="1"/>
  <c r="AAF7" i="3"/>
  <c r="AAF9" i="3" s="1"/>
  <c r="AAE7" i="3"/>
  <c r="AAE9" i="3" s="1"/>
  <c r="AAD7" i="3"/>
  <c r="AAD9" i="3" s="1"/>
  <c r="AAC7" i="3"/>
  <c r="AAC9" i="3" s="1"/>
  <c r="AAB7" i="3"/>
  <c r="AAB9" i="3" s="1"/>
  <c r="AAA7" i="3"/>
  <c r="AAA9" i="3" s="1"/>
  <c r="ZZ7" i="3"/>
  <c r="ZZ9" i="3" s="1"/>
  <c r="ZY7" i="3"/>
  <c r="ZY9" i="3" s="1"/>
  <c r="ZX7" i="3"/>
  <c r="ZX9" i="3" s="1"/>
  <c r="ZW7" i="3"/>
  <c r="ZW9" i="3" s="1"/>
  <c r="ZV7" i="3"/>
  <c r="ZV9" i="3" s="1"/>
  <c r="ZU7" i="3"/>
  <c r="ZU9" i="3" s="1"/>
  <c r="ZT7" i="3"/>
  <c r="ZT9" i="3" s="1"/>
  <c r="AAX9" i="3" s="1"/>
  <c r="ZR7" i="3"/>
  <c r="ZR9" i="3" s="1"/>
  <c r="ZQ7" i="3"/>
  <c r="ZQ9" i="3" s="1"/>
  <c r="ZP7" i="3"/>
  <c r="ZP9" i="3" s="1"/>
  <c r="ZO7" i="3"/>
  <c r="ZO9" i="3" s="1"/>
  <c r="ZN7" i="3"/>
  <c r="ZN9" i="3" s="1"/>
  <c r="ZM7" i="3"/>
  <c r="ZM9" i="3" s="1"/>
  <c r="ZL7" i="3"/>
  <c r="ZL9" i="3" s="1"/>
  <c r="ZK7" i="3"/>
  <c r="ZK9" i="3" s="1"/>
  <c r="ZJ7" i="3"/>
  <c r="ZJ9" i="3" s="1"/>
  <c r="ZI7" i="3"/>
  <c r="ZI9" i="3" s="1"/>
  <c r="ZH7" i="3"/>
  <c r="ZH9" i="3" s="1"/>
  <c r="ZG7" i="3"/>
  <c r="ZG9" i="3" s="1"/>
  <c r="ZF7" i="3"/>
  <c r="ZF9" i="3" s="1"/>
  <c r="ZE7" i="3"/>
  <c r="ZE9" i="3" s="1"/>
  <c r="ZD7" i="3"/>
  <c r="ZD9" i="3" s="1"/>
  <c r="ZC7" i="3"/>
  <c r="ZC9" i="3" s="1"/>
  <c r="ZB7" i="3"/>
  <c r="ZB9" i="3" s="1"/>
  <c r="ZA7" i="3"/>
  <c r="ZA9" i="3" s="1"/>
  <c r="YZ7" i="3"/>
  <c r="YZ9" i="3" s="1"/>
  <c r="YY7" i="3"/>
  <c r="YY9" i="3" s="1"/>
  <c r="YX7" i="3"/>
  <c r="YX9" i="3" s="1"/>
  <c r="YW7" i="3"/>
  <c r="YW9" i="3" s="1"/>
  <c r="YV7" i="3"/>
  <c r="YV9" i="3" s="1"/>
  <c r="YU7" i="3"/>
  <c r="YU9" i="3" s="1"/>
  <c r="YT7" i="3"/>
  <c r="YT9" i="3" s="1"/>
  <c r="YS7" i="3"/>
  <c r="YS9" i="3" s="1"/>
  <c r="YR7" i="3"/>
  <c r="YR9" i="3" s="1"/>
  <c r="YQ7" i="3"/>
  <c r="YQ9" i="3" s="1"/>
  <c r="YP7" i="3"/>
  <c r="YP9" i="3" s="1"/>
  <c r="YO7" i="3"/>
  <c r="YO9" i="3" s="1"/>
  <c r="YN7" i="3"/>
  <c r="YN9" i="3" s="1"/>
  <c r="ZS9" i="3" s="1"/>
  <c r="YL7" i="3"/>
  <c r="YL9" i="3" s="1"/>
  <c r="YK7" i="3"/>
  <c r="YK9" i="3" s="1"/>
  <c r="YJ7" i="3"/>
  <c r="YJ9" i="3" s="1"/>
  <c r="YI7" i="3"/>
  <c r="YI9" i="3" s="1"/>
  <c r="YH7" i="3"/>
  <c r="YH9" i="3" s="1"/>
  <c r="YG7" i="3"/>
  <c r="YG9" i="3" s="1"/>
  <c r="YF7" i="3"/>
  <c r="YF9" i="3" s="1"/>
  <c r="YE7" i="3"/>
  <c r="YE9" i="3" s="1"/>
  <c r="YD7" i="3"/>
  <c r="YD9" i="3" s="1"/>
  <c r="YC7" i="3"/>
  <c r="YC9" i="3" s="1"/>
  <c r="YB7" i="3"/>
  <c r="YB9" i="3" s="1"/>
  <c r="YA7" i="3"/>
  <c r="YA9" i="3" s="1"/>
  <c r="XZ7" i="3"/>
  <c r="XZ9" i="3" s="1"/>
  <c r="XY7" i="3"/>
  <c r="XY9" i="3" s="1"/>
  <c r="XX7" i="3"/>
  <c r="XX9" i="3" s="1"/>
  <c r="XW7" i="3"/>
  <c r="XW9" i="3" s="1"/>
  <c r="XV7" i="3"/>
  <c r="XV9" i="3" s="1"/>
  <c r="XU7" i="3"/>
  <c r="XU9" i="3" s="1"/>
  <c r="XT7" i="3"/>
  <c r="XT9" i="3" s="1"/>
  <c r="XS7" i="3"/>
  <c r="XS9" i="3" s="1"/>
  <c r="XR7" i="3"/>
  <c r="XR9" i="3" s="1"/>
  <c r="XQ7" i="3"/>
  <c r="XQ9" i="3" s="1"/>
  <c r="XP7" i="3"/>
  <c r="XP9" i="3" s="1"/>
  <c r="XO7" i="3"/>
  <c r="XO9" i="3" s="1"/>
  <c r="XN7" i="3"/>
  <c r="XN9" i="3" s="1"/>
  <c r="XM7" i="3"/>
  <c r="XM9" i="3" s="1"/>
  <c r="XL7" i="3"/>
  <c r="XL9" i="3" s="1"/>
  <c r="XK7" i="3"/>
  <c r="XK9" i="3" s="1"/>
  <c r="XJ7" i="3"/>
  <c r="XJ9" i="3" s="1"/>
  <c r="XI7" i="3"/>
  <c r="XI9" i="3" s="1"/>
  <c r="XG7" i="3"/>
  <c r="XG9" i="3" s="1"/>
  <c r="XF7" i="3"/>
  <c r="XF9" i="3" s="1"/>
  <c r="XE7" i="3"/>
  <c r="XE9" i="3" s="1"/>
  <c r="XD7" i="3"/>
  <c r="XD9" i="3" s="1"/>
  <c r="XC7" i="3"/>
  <c r="XC9" i="3" s="1"/>
  <c r="XB7" i="3"/>
  <c r="XB9" i="3" s="1"/>
  <c r="XA7" i="3"/>
  <c r="XA9" i="3" s="1"/>
  <c r="WZ7" i="3"/>
  <c r="WZ9" i="3" s="1"/>
  <c r="WY7" i="3"/>
  <c r="WY9" i="3" s="1"/>
  <c r="WX7" i="3"/>
  <c r="WX9" i="3" s="1"/>
  <c r="WW7" i="3"/>
  <c r="WW9" i="3" s="1"/>
  <c r="WV7" i="3"/>
  <c r="WV9" i="3" s="1"/>
  <c r="WU7" i="3"/>
  <c r="WU9" i="3" s="1"/>
  <c r="WT7" i="3"/>
  <c r="WT9" i="3" s="1"/>
  <c r="WS7" i="3"/>
  <c r="WS9" i="3" s="1"/>
  <c r="WR7" i="3"/>
  <c r="WR9" i="3" s="1"/>
  <c r="WQ7" i="3"/>
  <c r="WQ9" i="3" s="1"/>
  <c r="WP7" i="3"/>
  <c r="WP9" i="3" s="1"/>
  <c r="WO7" i="3"/>
  <c r="WO9" i="3" s="1"/>
  <c r="WN7" i="3"/>
  <c r="WN9" i="3" s="1"/>
  <c r="WM7" i="3"/>
  <c r="WM9" i="3" s="1"/>
  <c r="WL7" i="3"/>
  <c r="WL9" i="3" s="1"/>
  <c r="WK7" i="3"/>
  <c r="WK9" i="3" s="1"/>
  <c r="WJ7" i="3"/>
  <c r="WJ9" i="3" s="1"/>
  <c r="WI7" i="3"/>
  <c r="WI9" i="3" s="1"/>
  <c r="WH7" i="3"/>
  <c r="WH9" i="3" s="1"/>
  <c r="WG7" i="3"/>
  <c r="WG9" i="3" s="1"/>
  <c r="WF7" i="3"/>
  <c r="WF9" i="3" s="1"/>
  <c r="WE7" i="3"/>
  <c r="WE9" i="3" s="1"/>
  <c r="WD7" i="3"/>
  <c r="WD9" i="3" s="1"/>
  <c r="WC7" i="3"/>
  <c r="WC9" i="3" s="1"/>
  <c r="XH9" i="3" s="1"/>
  <c r="YM9" i="3" s="1"/>
  <c r="WA7" i="3"/>
  <c r="WA9" i="3" s="1"/>
  <c r="VZ7" i="3"/>
  <c r="VZ9" i="3" s="1"/>
  <c r="VY7" i="3"/>
  <c r="VY9" i="3" s="1"/>
  <c r="VX7" i="3"/>
  <c r="VX9" i="3" s="1"/>
  <c r="VW7" i="3"/>
  <c r="VW9" i="3" s="1"/>
  <c r="VV7" i="3"/>
  <c r="VV9" i="3" s="1"/>
  <c r="VU7" i="3"/>
  <c r="VU9" i="3" s="1"/>
  <c r="VT7" i="3"/>
  <c r="VT9" i="3" s="1"/>
  <c r="VS7" i="3"/>
  <c r="VS9" i="3" s="1"/>
  <c r="VR7" i="3"/>
  <c r="VR9" i="3" s="1"/>
  <c r="VQ7" i="3"/>
  <c r="VQ9" i="3" s="1"/>
  <c r="VP7" i="3"/>
  <c r="VP9" i="3" s="1"/>
  <c r="VO7" i="3"/>
  <c r="VO9" i="3" s="1"/>
  <c r="VN7" i="3"/>
  <c r="VN9" i="3" s="1"/>
  <c r="VM7" i="3"/>
  <c r="VM9" i="3" s="1"/>
  <c r="VL7" i="3"/>
  <c r="VL9" i="3" s="1"/>
  <c r="VK7" i="3"/>
  <c r="VK9" i="3" s="1"/>
  <c r="VJ7" i="3"/>
  <c r="VJ9" i="3" s="1"/>
  <c r="VI7" i="3"/>
  <c r="VI9" i="3" s="1"/>
  <c r="VH7" i="3"/>
  <c r="VH9" i="3" s="1"/>
  <c r="VG7" i="3"/>
  <c r="VG9" i="3" s="1"/>
  <c r="VF7" i="3"/>
  <c r="VF9" i="3" s="1"/>
  <c r="VE7" i="3"/>
  <c r="VE9" i="3" s="1"/>
  <c r="VD7" i="3"/>
  <c r="VD9" i="3" s="1"/>
  <c r="VC7" i="3"/>
  <c r="VC9" i="3" s="1"/>
  <c r="VB7" i="3"/>
  <c r="VB9" i="3" s="1"/>
  <c r="VA7" i="3"/>
  <c r="VA9" i="3" s="1"/>
  <c r="UZ7" i="3"/>
  <c r="UZ9" i="3" s="1"/>
  <c r="WB9" i="3" s="1"/>
  <c r="UX7" i="3"/>
  <c r="UX9" i="3" s="1"/>
  <c r="UW7" i="3"/>
  <c r="UW9" i="3" s="1"/>
  <c r="UV7" i="3"/>
  <c r="UV9" i="3" s="1"/>
  <c r="UU7" i="3"/>
  <c r="UU9" i="3" s="1"/>
  <c r="UT7" i="3"/>
  <c r="UT9" i="3" s="1"/>
  <c r="US7" i="3"/>
  <c r="US9" i="3" s="1"/>
  <c r="UR7" i="3"/>
  <c r="UR9" i="3" s="1"/>
  <c r="UQ7" i="3"/>
  <c r="UQ9" i="3" s="1"/>
  <c r="UP7" i="3"/>
  <c r="UP9" i="3" s="1"/>
  <c r="UO7" i="3"/>
  <c r="UO9" i="3" s="1"/>
  <c r="UN7" i="3"/>
  <c r="UN9" i="3" s="1"/>
  <c r="UM7" i="3"/>
  <c r="UM9" i="3" s="1"/>
  <c r="UL7" i="3"/>
  <c r="UL9" i="3" s="1"/>
  <c r="UK7" i="3"/>
  <c r="UK9" i="3" s="1"/>
  <c r="UJ7" i="3"/>
  <c r="UJ9" i="3" s="1"/>
  <c r="UI7" i="3"/>
  <c r="UI9" i="3" s="1"/>
  <c r="UH7" i="3"/>
  <c r="UH9" i="3" s="1"/>
  <c r="UG7" i="3"/>
  <c r="UG9" i="3" s="1"/>
  <c r="UF7" i="3"/>
  <c r="UF9" i="3" s="1"/>
  <c r="UE7" i="3"/>
  <c r="UE9" i="3" s="1"/>
  <c r="UD7" i="3"/>
  <c r="UD9" i="3" s="1"/>
  <c r="UC7" i="3"/>
  <c r="UC9" i="3" s="1"/>
  <c r="UB7" i="3"/>
  <c r="UB9" i="3" s="1"/>
  <c r="UA7" i="3"/>
  <c r="UA9" i="3" s="1"/>
  <c r="TZ7" i="3"/>
  <c r="TZ9" i="3" s="1"/>
  <c r="TY7" i="3"/>
  <c r="TY9" i="3" s="1"/>
  <c r="TX7" i="3"/>
  <c r="TX9" i="3" s="1"/>
  <c r="TW7" i="3"/>
  <c r="TW9" i="3" s="1"/>
  <c r="TV7" i="3"/>
  <c r="TV9" i="3" s="1"/>
  <c r="TU7" i="3"/>
  <c r="TU9" i="3" s="1"/>
  <c r="TT7" i="3"/>
  <c r="TT9" i="3" s="1"/>
  <c r="UY9" i="3" s="1"/>
  <c r="TR7" i="3"/>
  <c r="TR9" i="3" s="1"/>
  <c r="TQ7" i="3"/>
  <c r="TQ9" i="3" s="1"/>
  <c r="TP7" i="3"/>
  <c r="TP9" i="3" s="1"/>
  <c r="TO7" i="3"/>
  <c r="TO9" i="3" s="1"/>
  <c r="TN7" i="3"/>
  <c r="TN9" i="3" s="1"/>
  <c r="TM7" i="3"/>
  <c r="TM9" i="3" s="1"/>
  <c r="TL7" i="3"/>
  <c r="TL9" i="3" s="1"/>
  <c r="TK7" i="3"/>
  <c r="TK9" i="3" s="1"/>
  <c r="TJ7" i="3"/>
  <c r="TJ9" i="3" s="1"/>
  <c r="TI7" i="3"/>
  <c r="TI9" i="3" s="1"/>
  <c r="TH7" i="3"/>
  <c r="TH9" i="3" s="1"/>
  <c r="TG7" i="3"/>
  <c r="TG9" i="3" s="1"/>
  <c r="TF7" i="3"/>
  <c r="TF9" i="3" s="1"/>
  <c r="TE7" i="3"/>
  <c r="TE9" i="3" s="1"/>
  <c r="TD7" i="3"/>
  <c r="TD9" i="3" s="1"/>
  <c r="TC7" i="3"/>
  <c r="TC9" i="3" s="1"/>
  <c r="TB7" i="3"/>
  <c r="TB9" i="3" s="1"/>
  <c r="TA7" i="3"/>
  <c r="TA9" i="3" s="1"/>
  <c r="SZ7" i="3"/>
  <c r="SZ9" i="3" s="1"/>
  <c r="SY7" i="3"/>
  <c r="SY9" i="3" s="1"/>
  <c r="SX7" i="3"/>
  <c r="SX9" i="3" s="1"/>
  <c r="SW7" i="3"/>
  <c r="SW9" i="3" s="1"/>
  <c r="SV7" i="3"/>
  <c r="SV9" i="3" s="1"/>
  <c r="SU7" i="3"/>
  <c r="SU9" i="3" s="1"/>
  <c r="ST7" i="3"/>
  <c r="ST9" i="3" s="1"/>
  <c r="SS7" i="3"/>
  <c r="SS9" i="3" s="1"/>
  <c r="SR7" i="3"/>
  <c r="SR9" i="3" s="1"/>
  <c r="SQ7" i="3"/>
  <c r="SQ9" i="3" s="1"/>
  <c r="SP7" i="3"/>
  <c r="SP9" i="3" s="1"/>
  <c r="SO7" i="3"/>
  <c r="SO9" i="3" s="1"/>
  <c r="TS9" i="3" s="1"/>
  <c r="SN7" i="3"/>
  <c r="SN9" i="3" s="1"/>
  <c r="SL7" i="3"/>
  <c r="SL9" i="3" s="1"/>
  <c r="SK7" i="3"/>
  <c r="SK9" i="3" s="1"/>
  <c r="SJ7" i="3"/>
  <c r="SJ9" i="3" s="1"/>
  <c r="SI7" i="3"/>
  <c r="SI9" i="3" s="1"/>
  <c r="SH7" i="3"/>
  <c r="SH9" i="3" s="1"/>
  <c r="SG7" i="3"/>
  <c r="SG9" i="3" s="1"/>
  <c r="SF7" i="3"/>
  <c r="SF9" i="3" s="1"/>
  <c r="SE7" i="3"/>
  <c r="SE9" i="3" s="1"/>
  <c r="SD7" i="3"/>
  <c r="SD9" i="3" s="1"/>
  <c r="SC7" i="3"/>
  <c r="SC9" i="3" s="1"/>
  <c r="SB7" i="3"/>
  <c r="SB9" i="3" s="1"/>
  <c r="SA7" i="3"/>
  <c r="SA9" i="3" s="1"/>
  <c r="RZ7" i="3"/>
  <c r="RZ9" i="3" s="1"/>
  <c r="RY7" i="3"/>
  <c r="RY9" i="3" s="1"/>
  <c r="RX7" i="3"/>
  <c r="RX9" i="3" s="1"/>
  <c r="RW7" i="3"/>
  <c r="RW9" i="3" s="1"/>
  <c r="RV7" i="3"/>
  <c r="RV9" i="3" s="1"/>
  <c r="RU7" i="3"/>
  <c r="RU9" i="3" s="1"/>
  <c r="RT7" i="3"/>
  <c r="RT9" i="3" s="1"/>
  <c r="RS7" i="3"/>
  <c r="RS9" i="3" s="1"/>
  <c r="RR7" i="3"/>
  <c r="RR9" i="3" s="1"/>
  <c r="RQ7" i="3"/>
  <c r="RQ9" i="3" s="1"/>
  <c r="RP7" i="3"/>
  <c r="RP9" i="3" s="1"/>
  <c r="RO7" i="3"/>
  <c r="RO9" i="3" s="1"/>
  <c r="RN7" i="3"/>
  <c r="RN9" i="3" s="1"/>
  <c r="RM7" i="3"/>
  <c r="RM9" i="3" s="1"/>
  <c r="RL7" i="3"/>
  <c r="RL9" i="3" s="1"/>
  <c r="RK7" i="3"/>
  <c r="RK9" i="3" s="1"/>
  <c r="RJ7" i="3"/>
  <c r="RJ9" i="3" s="1"/>
  <c r="RI7" i="3"/>
  <c r="RI9" i="3" s="1"/>
  <c r="SM9" i="3" s="1"/>
  <c r="RG7" i="3"/>
  <c r="RG9" i="3" s="1"/>
  <c r="RF7" i="3"/>
  <c r="RF9" i="3" s="1"/>
  <c r="RE7" i="3"/>
  <c r="RE9" i="3" s="1"/>
  <c r="RD7" i="3"/>
  <c r="RD9" i="3" s="1"/>
  <c r="RC7" i="3"/>
  <c r="RC9" i="3" s="1"/>
  <c r="RB7" i="3"/>
  <c r="RB9" i="3" s="1"/>
  <c r="RA7" i="3"/>
  <c r="RA9" i="3" s="1"/>
  <c r="QZ7" i="3"/>
  <c r="QZ9" i="3" s="1"/>
  <c r="QY7" i="3"/>
  <c r="QY9" i="3" s="1"/>
  <c r="QX7" i="3"/>
  <c r="QX9" i="3" s="1"/>
  <c r="QW7" i="3"/>
  <c r="QW9" i="3" s="1"/>
  <c r="QV7" i="3"/>
  <c r="QV9" i="3" s="1"/>
  <c r="QU7" i="3"/>
  <c r="QU9" i="3" s="1"/>
  <c r="QT7" i="3"/>
  <c r="QT9" i="3" s="1"/>
  <c r="QS7" i="3"/>
  <c r="QS9" i="3" s="1"/>
  <c r="QR7" i="3"/>
  <c r="QR9" i="3" s="1"/>
  <c r="QQ7" i="3"/>
  <c r="QQ9" i="3" s="1"/>
  <c r="QP7" i="3"/>
  <c r="QP9" i="3" s="1"/>
  <c r="QO7" i="3"/>
  <c r="QO9" i="3" s="1"/>
  <c r="QN7" i="3"/>
  <c r="QN9" i="3" s="1"/>
  <c r="QM7" i="3"/>
  <c r="QM9" i="3" s="1"/>
  <c r="QL7" i="3"/>
  <c r="QL9" i="3" s="1"/>
  <c r="QK7" i="3"/>
  <c r="QK9" i="3" s="1"/>
  <c r="QJ7" i="3"/>
  <c r="QJ9" i="3" s="1"/>
  <c r="QI7" i="3"/>
  <c r="QI9" i="3" s="1"/>
  <c r="QH7" i="3"/>
  <c r="QH9" i="3" s="1"/>
  <c r="QG7" i="3"/>
  <c r="QG9" i="3" s="1"/>
  <c r="QF7" i="3"/>
  <c r="QF9" i="3" s="1"/>
  <c r="QE7" i="3"/>
  <c r="QE9" i="3" s="1"/>
  <c r="QD7" i="3"/>
  <c r="QD9" i="3" s="1"/>
  <c r="RH9" i="3" s="1"/>
  <c r="QC7" i="3"/>
  <c r="QC9" i="3" s="1"/>
  <c r="QA7" i="3"/>
  <c r="QA9" i="3" s="1"/>
  <c r="PZ7" i="3"/>
  <c r="PZ9" i="3" s="1"/>
  <c r="PY7" i="3"/>
  <c r="PY9" i="3" s="1"/>
  <c r="PX7" i="3"/>
  <c r="PX9" i="3" s="1"/>
  <c r="PW7" i="3"/>
  <c r="PW9" i="3" s="1"/>
  <c r="PV7" i="3"/>
  <c r="PV9" i="3" s="1"/>
  <c r="PU7" i="3"/>
  <c r="PU9" i="3" s="1"/>
  <c r="PT7" i="3"/>
  <c r="PT9" i="3" s="1"/>
  <c r="PS7" i="3"/>
  <c r="PS9" i="3" s="1"/>
  <c r="PR7" i="3"/>
  <c r="PR9" i="3" s="1"/>
  <c r="PQ7" i="3"/>
  <c r="PQ9" i="3" s="1"/>
  <c r="PP7" i="3"/>
  <c r="PP9" i="3" s="1"/>
  <c r="PO7" i="3"/>
  <c r="PO9" i="3" s="1"/>
  <c r="PN7" i="3"/>
  <c r="PN9" i="3" s="1"/>
  <c r="PM7" i="3"/>
  <c r="PM9" i="3" s="1"/>
  <c r="PL7" i="3"/>
  <c r="PL9" i="3" s="1"/>
  <c r="PK7" i="3"/>
  <c r="PK9" i="3" s="1"/>
  <c r="PJ7" i="3"/>
  <c r="PJ9" i="3" s="1"/>
  <c r="PI7" i="3"/>
  <c r="PI9" i="3" s="1"/>
  <c r="PH7" i="3"/>
  <c r="PH9" i="3" s="1"/>
  <c r="PG7" i="3"/>
  <c r="PG9" i="3" s="1"/>
  <c r="PF7" i="3"/>
  <c r="PF9" i="3" s="1"/>
  <c r="PE7" i="3"/>
  <c r="PE9" i="3" s="1"/>
  <c r="PD7" i="3"/>
  <c r="PD9" i="3" s="1"/>
  <c r="PC7" i="3"/>
  <c r="PC9" i="3" s="1"/>
  <c r="PB7" i="3"/>
  <c r="PB9" i="3" s="1"/>
  <c r="PA7" i="3"/>
  <c r="PA9" i="3" s="1"/>
  <c r="OZ7" i="3"/>
  <c r="OZ9" i="3" s="1"/>
  <c r="OY7" i="3"/>
  <c r="OY9" i="3" s="1"/>
  <c r="OX7" i="3"/>
  <c r="OX9" i="3" s="1"/>
  <c r="QB9" i="3" s="1"/>
  <c r="OV7" i="3"/>
  <c r="OV9" i="3" s="1"/>
  <c r="OU7" i="3"/>
  <c r="OU9" i="3" s="1"/>
  <c r="OT7" i="3"/>
  <c r="OT9" i="3" s="1"/>
  <c r="OS7" i="3"/>
  <c r="OS9" i="3" s="1"/>
  <c r="OR7" i="3"/>
  <c r="OR9" i="3" s="1"/>
  <c r="OQ7" i="3"/>
  <c r="OQ9" i="3" s="1"/>
  <c r="OP7" i="3"/>
  <c r="OP9" i="3" s="1"/>
  <c r="OO7" i="3"/>
  <c r="OO9" i="3" s="1"/>
  <c r="ON7" i="3"/>
  <c r="ON9" i="3" s="1"/>
  <c r="OM7" i="3"/>
  <c r="OM9" i="3" s="1"/>
  <c r="OL7" i="3"/>
  <c r="OL9" i="3" s="1"/>
  <c r="OK7" i="3"/>
  <c r="OK9" i="3" s="1"/>
  <c r="OJ7" i="3"/>
  <c r="OJ9" i="3" s="1"/>
  <c r="OI7" i="3"/>
  <c r="OI9" i="3" s="1"/>
  <c r="OH7" i="3"/>
  <c r="OH9" i="3" s="1"/>
  <c r="OG7" i="3"/>
  <c r="OG9" i="3" s="1"/>
  <c r="OF7" i="3"/>
  <c r="OF9" i="3" s="1"/>
  <c r="OE7" i="3"/>
  <c r="OE9" i="3" s="1"/>
  <c r="OD7" i="3"/>
  <c r="OD9" i="3" s="1"/>
  <c r="OC7" i="3"/>
  <c r="OC9" i="3" s="1"/>
  <c r="OB7" i="3"/>
  <c r="OB9" i="3" s="1"/>
  <c r="OA7" i="3"/>
  <c r="OA9" i="3" s="1"/>
  <c r="NZ7" i="3"/>
  <c r="NZ9" i="3" s="1"/>
  <c r="NY7" i="3"/>
  <c r="NY9" i="3" s="1"/>
  <c r="NX7" i="3"/>
  <c r="NX9" i="3" s="1"/>
  <c r="NW7" i="3"/>
  <c r="NW9" i="3" s="1"/>
  <c r="NV7" i="3"/>
  <c r="NV9" i="3" s="1"/>
  <c r="NU7" i="3"/>
  <c r="NU9" i="3" s="1"/>
  <c r="NT7" i="3"/>
  <c r="NT9" i="3" s="1"/>
  <c r="NS7" i="3"/>
  <c r="NS9" i="3" s="1"/>
  <c r="NR7" i="3"/>
  <c r="NR9" i="3" s="1"/>
  <c r="OW9" i="3" s="1"/>
  <c r="NP7" i="3"/>
  <c r="NP9" i="3" s="1"/>
  <c r="NO7" i="3"/>
  <c r="NO9" i="3" s="1"/>
  <c r="NN7" i="3"/>
  <c r="NN9" i="3" s="1"/>
  <c r="NM7" i="3"/>
  <c r="NM9" i="3" s="1"/>
  <c r="NL7" i="3"/>
  <c r="NL9" i="3" s="1"/>
  <c r="NK7" i="3"/>
  <c r="NK9" i="3" s="1"/>
  <c r="NJ7" i="3"/>
  <c r="NJ9" i="3" s="1"/>
  <c r="NI7" i="3"/>
  <c r="NI9" i="3" s="1"/>
  <c r="NH7" i="3"/>
  <c r="NH9" i="3" s="1"/>
  <c r="NG7" i="3"/>
  <c r="NG9" i="3" s="1"/>
  <c r="NF7" i="3"/>
  <c r="NF9" i="3" s="1"/>
  <c r="NE7" i="3"/>
  <c r="NE9" i="3" s="1"/>
  <c r="ND7" i="3"/>
  <c r="ND9" i="3" s="1"/>
  <c r="NC7" i="3"/>
  <c r="NC9" i="3" s="1"/>
  <c r="NB7" i="3"/>
  <c r="NB9" i="3" s="1"/>
  <c r="NA7" i="3"/>
  <c r="NA9" i="3" s="1"/>
  <c r="MZ7" i="3"/>
  <c r="MZ9" i="3" s="1"/>
  <c r="MY7" i="3"/>
  <c r="MY9" i="3" s="1"/>
  <c r="MX7" i="3"/>
  <c r="MX9" i="3" s="1"/>
  <c r="MW7" i="3"/>
  <c r="MW9" i="3" s="1"/>
  <c r="MV7" i="3"/>
  <c r="MV9" i="3" s="1"/>
  <c r="MU7" i="3"/>
  <c r="MU9" i="3" s="1"/>
  <c r="MT7" i="3"/>
  <c r="MT9" i="3" s="1"/>
  <c r="MS7" i="3"/>
  <c r="MS9" i="3" s="1"/>
  <c r="MR7" i="3"/>
  <c r="MR9" i="3" s="1"/>
  <c r="MQ7" i="3"/>
  <c r="MQ9" i="3" s="1"/>
  <c r="MP7" i="3"/>
  <c r="MP9" i="3" s="1"/>
  <c r="MO7" i="3"/>
  <c r="MO9" i="3" s="1"/>
  <c r="MN7" i="3"/>
  <c r="MN9" i="3" s="1"/>
  <c r="MM7" i="3"/>
  <c r="MM9" i="3" s="1"/>
  <c r="ML7" i="3"/>
  <c r="ML9" i="3" s="1"/>
  <c r="NQ9" i="3" s="1"/>
  <c r="MJ7" i="3"/>
  <c r="MJ9" i="3" s="1"/>
  <c r="MI7" i="3"/>
  <c r="MI9" i="3" s="1"/>
  <c r="MH7" i="3"/>
  <c r="MH9" i="3" s="1"/>
  <c r="MG7" i="3"/>
  <c r="MG9" i="3" s="1"/>
  <c r="MF7" i="3"/>
  <c r="MF9" i="3" s="1"/>
  <c r="ME7" i="3"/>
  <c r="ME9" i="3" s="1"/>
  <c r="MD7" i="3"/>
  <c r="MD9" i="3" s="1"/>
  <c r="MC7" i="3"/>
  <c r="MC9" i="3" s="1"/>
  <c r="MB7" i="3"/>
  <c r="MB9" i="3" s="1"/>
  <c r="MA7" i="3"/>
  <c r="MA9" i="3" s="1"/>
  <c r="LZ7" i="3"/>
  <c r="LZ9" i="3" s="1"/>
  <c r="LY7" i="3"/>
  <c r="LY9" i="3" s="1"/>
  <c r="LX7" i="3"/>
  <c r="LX9" i="3" s="1"/>
  <c r="LW7" i="3"/>
  <c r="LW9" i="3" s="1"/>
  <c r="LV7" i="3"/>
  <c r="LV9" i="3" s="1"/>
  <c r="LU7" i="3"/>
  <c r="LU9" i="3" s="1"/>
  <c r="LT7" i="3"/>
  <c r="LT9" i="3" s="1"/>
  <c r="LS7" i="3"/>
  <c r="LS9" i="3" s="1"/>
  <c r="LR7" i="3"/>
  <c r="LR9" i="3" s="1"/>
  <c r="LQ7" i="3"/>
  <c r="LQ9" i="3" s="1"/>
  <c r="LP7" i="3"/>
  <c r="LP9" i="3" s="1"/>
  <c r="LO7" i="3"/>
  <c r="LO9" i="3" s="1"/>
  <c r="LN7" i="3"/>
  <c r="LN9" i="3" s="1"/>
  <c r="LM7" i="3"/>
  <c r="LM9" i="3" s="1"/>
  <c r="LL7" i="3"/>
  <c r="LL9" i="3" s="1"/>
  <c r="LK7" i="3"/>
  <c r="LK9" i="3" s="1"/>
  <c r="LJ7" i="3"/>
  <c r="LJ9" i="3" s="1"/>
  <c r="LI7" i="3"/>
  <c r="LI9" i="3" s="1"/>
  <c r="LH7" i="3"/>
  <c r="LH9" i="3" s="1"/>
  <c r="LG7" i="3"/>
  <c r="LG9" i="3" s="1"/>
  <c r="LE7" i="3"/>
  <c r="LE9" i="3" s="1"/>
  <c r="LD7" i="3"/>
  <c r="LD9" i="3" s="1"/>
  <c r="LC7" i="3"/>
  <c r="LC9" i="3" s="1"/>
  <c r="LB7" i="3"/>
  <c r="LB9" i="3" s="1"/>
  <c r="LA7" i="3"/>
  <c r="LA9" i="3" s="1"/>
  <c r="KZ7" i="3"/>
  <c r="KZ9" i="3" s="1"/>
  <c r="KY7" i="3"/>
  <c r="KY9" i="3" s="1"/>
  <c r="KX7" i="3"/>
  <c r="KX9" i="3" s="1"/>
  <c r="KW7" i="3"/>
  <c r="KW9" i="3" s="1"/>
  <c r="KV7" i="3"/>
  <c r="KV9" i="3" s="1"/>
  <c r="KU7" i="3"/>
  <c r="KU9" i="3" s="1"/>
  <c r="KT7" i="3"/>
  <c r="KT9" i="3" s="1"/>
  <c r="KS7" i="3"/>
  <c r="KS9" i="3" s="1"/>
  <c r="KR7" i="3"/>
  <c r="KR9" i="3" s="1"/>
  <c r="KQ7" i="3"/>
  <c r="KQ9" i="3" s="1"/>
  <c r="KP7" i="3"/>
  <c r="KP9" i="3" s="1"/>
  <c r="KO7" i="3"/>
  <c r="KO9" i="3" s="1"/>
  <c r="KN7" i="3"/>
  <c r="KN9" i="3" s="1"/>
  <c r="KM7" i="3"/>
  <c r="KM9" i="3" s="1"/>
  <c r="KL7" i="3"/>
  <c r="KL9" i="3" s="1"/>
  <c r="KK7" i="3"/>
  <c r="KK9" i="3" s="1"/>
  <c r="KJ7" i="3"/>
  <c r="KJ9" i="3" s="1"/>
  <c r="KI7" i="3"/>
  <c r="KI9" i="3" s="1"/>
  <c r="KH7" i="3"/>
  <c r="KH9" i="3" s="1"/>
  <c r="KG7" i="3"/>
  <c r="KG9" i="3" s="1"/>
  <c r="KF7" i="3"/>
  <c r="KF9" i="3" s="1"/>
  <c r="KE7" i="3"/>
  <c r="KE9" i="3" s="1"/>
  <c r="KD7" i="3"/>
  <c r="KD9" i="3" s="1"/>
  <c r="KC7" i="3"/>
  <c r="KC9" i="3" s="1"/>
  <c r="KB7" i="3"/>
  <c r="KB9" i="3" s="1"/>
  <c r="KA7" i="3"/>
  <c r="KA9" i="3" s="1"/>
  <c r="LF9" i="3" s="1"/>
  <c r="MK9" i="3" s="1"/>
  <c r="JY7" i="3"/>
  <c r="JY9" i="3" s="1"/>
  <c r="JX7" i="3"/>
  <c r="JX9" i="3" s="1"/>
  <c r="JW7" i="3"/>
  <c r="JW9" i="3" s="1"/>
  <c r="JV7" i="3"/>
  <c r="JV9" i="3" s="1"/>
  <c r="JU7" i="3"/>
  <c r="JU9" i="3" s="1"/>
  <c r="JT7" i="3"/>
  <c r="JT9" i="3" s="1"/>
  <c r="JS7" i="3"/>
  <c r="JS9" i="3" s="1"/>
  <c r="JR7" i="3"/>
  <c r="JR9" i="3" s="1"/>
  <c r="JQ7" i="3"/>
  <c r="JQ9" i="3" s="1"/>
  <c r="JP7" i="3"/>
  <c r="JP9" i="3" s="1"/>
  <c r="JO7" i="3"/>
  <c r="JO9" i="3" s="1"/>
  <c r="JN7" i="3"/>
  <c r="JN9" i="3" s="1"/>
  <c r="JM7" i="3"/>
  <c r="JM9" i="3" s="1"/>
  <c r="JL7" i="3"/>
  <c r="JL9" i="3" s="1"/>
  <c r="JK7" i="3"/>
  <c r="JK9" i="3" s="1"/>
  <c r="JJ7" i="3"/>
  <c r="JJ9" i="3" s="1"/>
  <c r="JI7" i="3"/>
  <c r="JI9" i="3" s="1"/>
  <c r="JH7" i="3"/>
  <c r="JH9" i="3" s="1"/>
  <c r="JG7" i="3"/>
  <c r="JG9" i="3" s="1"/>
  <c r="JF7" i="3"/>
  <c r="JF9" i="3" s="1"/>
  <c r="JE7" i="3"/>
  <c r="JE9" i="3" s="1"/>
  <c r="JD7" i="3"/>
  <c r="JD9" i="3" s="1"/>
  <c r="JC7" i="3"/>
  <c r="JC9" i="3" s="1"/>
  <c r="JB7" i="3"/>
  <c r="JB9" i="3" s="1"/>
  <c r="JA7" i="3"/>
  <c r="JA9" i="3" s="1"/>
  <c r="IZ7" i="3"/>
  <c r="IZ9" i="3" s="1"/>
  <c r="IY7" i="3"/>
  <c r="IY9" i="3" s="1"/>
  <c r="IX7" i="3"/>
  <c r="IX9" i="3" s="1"/>
  <c r="IW7" i="3"/>
  <c r="IW9" i="3" s="1"/>
  <c r="IV7" i="3"/>
  <c r="IV9" i="3" s="1"/>
  <c r="JZ9" i="3" s="1"/>
  <c r="IT7" i="3"/>
  <c r="IT9" i="3" s="1"/>
  <c r="IS7" i="3"/>
  <c r="IS9" i="3" s="1"/>
  <c r="IR7" i="3"/>
  <c r="IR9" i="3" s="1"/>
  <c r="IQ7" i="3"/>
  <c r="IQ9" i="3" s="1"/>
  <c r="IP7" i="3"/>
  <c r="IP9" i="3" s="1"/>
  <c r="IO7" i="3"/>
  <c r="IO9" i="3" s="1"/>
  <c r="IN7" i="3"/>
  <c r="IN9" i="3" s="1"/>
  <c r="IM7" i="3"/>
  <c r="IM9" i="3" s="1"/>
  <c r="IL7" i="3"/>
  <c r="IL9" i="3" s="1"/>
  <c r="IK7" i="3"/>
  <c r="IK9" i="3" s="1"/>
  <c r="IJ7" i="3"/>
  <c r="IJ9" i="3" s="1"/>
  <c r="II7" i="3"/>
  <c r="II9" i="3" s="1"/>
  <c r="IH7" i="3"/>
  <c r="IH9" i="3" s="1"/>
  <c r="IG7" i="3"/>
  <c r="IG9" i="3" s="1"/>
  <c r="IF7" i="3"/>
  <c r="IF9" i="3" s="1"/>
  <c r="IE7" i="3"/>
  <c r="IE9" i="3" s="1"/>
  <c r="ID7" i="3"/>
  <c r="ID9" i="3" s="1"/>
  <c r="IC7" i="3"/>
  <c r="IC9" i="3" s="1"/>
  <c r="IB7" i="3"/>
  <c r="IB9" i="3" s="1"/>
  <c r="IA7" i="3"/>
  <c r="IA9" i="3" s="1"/>
  <c r="HZ7" i="3"/>
  <c r="HZ9" i="3" s="1"/>
  <c r="HY7" i="3"/>
  <c r="HY9" i="3" s="1"/>
  <c r="HX7" i="3"/>
  <c r="HX9" i="3" s="1"/>
  <c r="HW7" i="3"/>
  <c r="HW9" i="3" s="1"/>
  <c r="HV7" i="3"/>
  <c r="HV9" i="3" s="1"/>
  <c r="HU7" i="3"/>
  <c r="HU9" i="3" s="1"/>
  <c r="HT7" i="3"/>
  <c r="HT9" i="3" s="1"/>
  <c r="HS7" i="3"/>
  <c r="HS9" i="3" s="1"/>
  <c r="HR7" i="3"/>
  <c r="HR9" i="3" s="1"/>
  <c r="HQ7" i="3"/>
  <c r="HQ9" i="3" s="1"/>
  <c r="HP7" i="3"/>
  <c r="HN7" i="3"/>
  <c r="HN9" i="3" s="1"/>
  <c r="HM7" i="3"/>
  <c r="HM9" i="3" s="1"/>
  <c r="HL7" i="3"/>
  <c r="HL9" i="3" s="1"/>
  <c r="HK7" i="3"/>
  <c r="HK9" i="3" s="1"/>
  <c r="HJ7" i="3"/>
  <c r="HJ9" i="3" s="1"/>
  <c r="HI7" i="3"/>
  <c r="HI9" i="3" s="1"/>
  <c r="HH7" i="3"/>
  <c r="HH9" i="3" s="1"/>
  <c r="HG7" i="3"/>
  <c r="HG9" i="3" s="1"/>
  <c r="HF7" i="3"/>
  <c r="HF9" i="3" s="1"/>
  <c r="HE7" i="3"/>
  <c r="HE9" i="3" s="1"/>
  <c r="HD7" i="3"/>
  <c r="HD9" i="3" s="1"/>
  <c r="HC7" i="3"/>
  <c r="HC9" i="3" s="1"/>
  <c r="HB7" i="3"/>
  <c r="HB9" i="3" s="1"/>
  <c r="HA7" i="3"/>
  <c r="HA9" i="3" s="1"/>
  <c r="GZ7" i="3"/>
  <c r="GZ9" i="3" s="1"/>
  <c r="GY7" i="3"/>
  <c r="GY9" i="3" s="1"/>
  <c r="GX7" i="3"/>
  <c r="GX9" i="3" s="1"/>
  <c r="GW7" i="3"/>
  <c r="GW9" i="3" s="1"/>
  <c r="GV7" i="3"/>
  <c r="GV9" i="3" s="1"/>
  <c r="GU7" i="3"/>
  <c r="GU9" i="3" s="1"/>
  <c r="GT7" i="3"/>
  <c r="GT9" i="3" s="1"/>
  <c r="GS7" i="3"/>
  <c r="GS9" i="3" s="1"/>
  <c r="GR7" i="3"/>
  <c r="GR9" i="3" s="1"/>
  <c r="GQ7" i="3"/>
  <c r="GQ9" i="3" s="1"/>
  <c r="GP7" i="3"/>
  <c r="GP9" i="3" s="1"/>
  <c r="GO7" i="3"/>
  <c r="GO9" i="3" s="1"/>
  <c r="GN7" i="3"/>
  <c r="GN9" i="3" s="1"/>
  <c r="GM7" i="3"/>
  <c r="GM9" i="3" s="1"/>
  <c r="GL7" i="3"/>
  <c r="GJ7" i="3"/>
  <c r="GJ9" i="3" s="1"/>
  <c r="GI7" i="3"/>
  <c r="GI9" i="3" s="1"/>
  <c r="GH7" i="3"/>
  <c r="GH9" i="3" s="1"/>
  <c r="GG7" i="3"/>
  <c r="GG9" i="3" s="1"/>
  <c r="GF7" i="3"/>
  <c r="GF9" i="3" s="1"/>
  <c r="GE7" i="3"/>
  <c r="GE9" i="3" s="1"/>
  <c r="GD7" i="3"/>
  <c r="GD9" i="3" s="1"/>
  <c r="GC7" i="3"/>
  <c r="GC9" i="3" s="1"/>
  <c r="GB7" i="3"/>
  <c r="GB9" i="3" s="1"/>
  <c r="GA7" i="3"/>
  <c r="GA9" i="3" s="1"/>
  <c r="FZ7" i="3"/>
  <c r="FZ9" i="3" s="1"/>
  <c r="FY7" i="3"/>
  <c r="FY9" i="3" s="1"/>
  <c r="FX7" i="3"/>
  <c r="FX9" i="3" s="1"/>
  <c r="FW7" i="3"/>
  <c r="FW9" i="3" s="1"/>
  <c r="FV7" i="3"/>
  <c r="FV9" i="3" s="1"/>
  <c r="FU7" i="3"/>
  <c r="FU9" i="3" s="1"/>
  <c r="FT7" i="3"/>
  <c r="FT9" i="3" s="1"/>
  <c r="FS7" i="3"/>
  <c r="FS9" i="3" s="1"/>
  <c r="FR7" i="3"/>
  <c r="FR9" i="3" s="1"/>
  <c r="FQ7" i="3"/>
  <c r="FQ9" i="3" s="1"/>
  <c r="FP7" i="3"/>
  <c r="FP9" i="3" s="1"/>
  <c r="FO7" i="3"/>
  <c r="FO9" i="3" s="1"/>
  <c r="FN7" i="3"/>
  <c r="FN9" i="3" s="1"/>
  <c r="FM7" i="3"/>
  <c r="FM9" i="3" s="1"/>
  <c r="FL7" i="3"/>
  <c r="FL9" i="3" s="1"/>
  <c r="FK7" i="3"/>
  <c r="FK9" i="3" s="1"/>
  <c r="FJ7" i="3"/>
  <c r="FJ9" i="3" s="1"/>
  <c r="FI7" i="3"/>
  <c r="FI9" i="3" s="1"/>
  <c r="FH7" i="3"/>
  <c r="FH9" i="3" s="1"/>
  <c r="FG7" i="3"/>
  <c r="FG9" i="3" s="1"/>
  <c r="FF7" i="3"/>
  <c r="FD7" i="3"/>
  <c r="FD9" i="3" s="1"/>
  <c r="FC7" i="3"/>
  <c r="FC9" i="3" s="1"/>
  <c r="FB7" i="3"/>
  <c r="FB9" i="3" s="1"/>
  <c r="FA7" i="3"/>
  <c r="FA9" i="3" s="1"/>
  <c r="EZ7" i="3"/>
  <c r="EZ9" i="3" s="1"/>
  <c r="EY7" i="3"/>
  <c r="EY9" i="3" s="1"/>
  <c r="EX7" i="3"/>
  <c r="EX9" i="3" s="1"/>
  <c r="EW7" i="3"/>
  <c r="EW9" i="3" s="1"/>
  <c r="EV7" i="3"/>
  <c r="EV9" i="3" s="1"/>
  <c r="EU7" i="3"/>
  <c r="EU9" i="3" s="1"/>
  <c r="ET7" i="3"/>
  <c r="ET9" i="3" s="1"/>
  <c r="ES7" i="3"/>
  <c r="ES9" i="3" s="1"/>
  <c r="ER7" i="3"/>
  <c r="ER9" i="3" s="1"/>
  <c r="EQ7" i="3"/>
  <c r="EQ9" i="3" s="1"/>
  <c r="EP7" i="3"/>
  <c r="EP9" i="3" s="1"/>
  <c r="EO7" i="3"/>
  <c r="EO9" i="3" s="1"/>
  <c r="EN7" i="3"/>
  <c r="EN9" i="3" s="1"/>
  <c r="EM7" i="3"/>
  <c r="EM9" i="3" s="1"/>
  <c r="EL7" i="3"/>
  <c r="EL9" i="3" s="1"/>
  <c r="EK7" i="3"/>
  <c r="EK9" i="3" s="1"/>
  <c r="EJ7" i="3"/>
  <c r="EJ9" i="3" s="1"/>
  <c r="EI7" i="3"/>
  <c r="EI9" i="3" s="1"/>
  <c r="EH7" i="3"/>
  <c r="EH9" i="3" s="1"/>
  <c r="EG7" i="3"/>
  <c r="EG9" i="3" s="1"/>
  <c r="EF7" i="3"/>
  <c r="EF9" i="3" s="1"/>
  <c r="EE7" i="3"/>
  <c r="EE9" i="3" s="1"/>
  <c r="ED7" i="3"/>
  <c r="ED9" i="3" s="1"/>
  <c r="EC7" i="3"/>
  <c r="EC9" i="3" s="1"/>
  <c r="EB7" i="3"/>
  <c r="EB9" i="3" s="1"/>
  <c r="EA7" i="3"/>
  <c r="EA9" i="3" s="1"/>
  <c r="DZ7" i="3"/>
  <c r="DZ9" i="3" s="1"/>
  <c r="FE9" i="3" s="1"/>
  <c r="DX7" i="3"/>
  <c r="DX9" i="3" s="1"/>
  <c r="DW7" i="3"/>
  <c r="DW9" i="3" s="1"/>
  <c r="DV7" i="3"/>
  <c r="DV9" i="3" s="1"/>
  <c r="DU7" i="3"/>
  <c r="DU9" i="3" s="1"/>
  <c r="DT7" i="3"/>
  <c r="DT9" i="3" s="1"/>
  <c r="DS7" i="3"/>
  <c r="DS9" i="3" s="1"/>
  <c r="DR7" i="3"/>
  <c r="DR9" i="3" s="1"/>
  <c r="DQ7" i="3"/>
  <c r="DQ9" i="3" s="1"/>
  <c r="DP7" i="3"/>
  <c r="DP9" i="3" s="1"/>
  <c r="DO7" i="3"/>
  <c r="DO9" i="3" s="1"/>
  <c r="DN7" i="3"/>
  <c r="DN9" i="3" s="1"/>
  <c r="DM7" i="3"/>
  <c r="DM9" i="3" s="1"/>
  <c r="DL7" i="3"/>
  <c r="DL9" i="3" s="1"/>
  <c r="DK7" i="3"/>
  <c r="DK9" i="3" s="1"/>
  <c r="DJ7" i="3"/>
  <c r="DJ9" i="3" s="1"/>
  <c r="DI7" i="3"/>
  <c r="DI9" i="3" s="1"/>
  <c r="DH7" i="3"/>
  <c r="DH9" i="3" s="1"/>
  <c r="DG7" i="3"/>
  <c r="DG9" i="3" s="1"/>
  <c r="DF7" i="3"/>
  <c r="DF9" i="3" s="1"/>
  <c r="DE7" i="3"/>
  <c r="DE9" i="3" s="1"/>
  <c r="DD7" i="3"/>
  <c r="DD9" i="3" s="1"/>
  <c r="DC7" i="3"/>
  <c r="DC9" i="3" s="1"/>
  <c r="DB7" i="3"/>
  <c r="DB9" i="3" s="1"/>
  <c r="DA7" i="3"/>
  <c r="DA9" i="3" s="1"/>
  <c r="CZ7" i="3"/>
  <c r="CZ9" i="3" s="1"/>
  <c r="CY7" i="3"/>
  <c r="CY9" i="3" s="1"/>
  <c r="CX7" i="3"/>
  <c r="CX9" i="3" s="1"/>
  <c r="CW7" i="3"/>
  <c r="CW9" i="3" s="1"/>
  <c r="CV7" i="3"/>
  <c r="CV9" i="3" s="1"/>
  <c r="CU7" i="3"/>
  <c r="CU9" i="3" s="1"/>
  <c r="DY9" i="3" s="1"/>
  <c r="CS7" i="3"/>
  <c r="CS9" i="3" s="1"/>
  <c r="CR7" i="3"/>
  <c r="CR9" i="3" s="1"/>
  <c r="CQ7" i="3"/>
  <c r="CQ9" i="3" s="1"/>
  <c r="CP7" i="3"/>
  <c r="CP9" i="3" s="1"/>
  <c r="CO7" i="3"/>
  <c r="CO9" i="3" s="1"/>
  <c r="CN7" i="3"/>
  <c r="CN9" i="3" s="1"/>
  <c r="CM7" i="3"/>
  <c r="CM9" i="3" s="1"/>
  <c r="CL7" i="3"/>
  <c r="CL9" i="3" s="1"/>
  <c r="CK7" i="3"/>
  <c r="CK9" i="3" s="1"/>
  <c r="CJ7" i="3"/>
  <c r="CJ9" i="3" s="1"/>
  <c r="CI7" i="3"/>
  <c r="CI9" i="3" s="1"/>
  <c r="CH7" i="3"/>
  <c r="CH9" i="3" s="1"/>
  <c r="CG7" i="3"/>
  <c r="CG9" i="3" s="1"/>
  <c r="CF7" i="3"/>
  <c r="CF9" i="3" s="1"/>
  <c r="CE7" i="3"/>
  <c r="CE9" i="3" s="1"/>
  <c r="CD7" i="3"/>
  <c r="CD9" i="3" s="1"/>
  <c r="CC7" i="3"/>
  <c r="CC9" i="3" s="1"/>
  <c r="CB7" i="3"/>
  <c r="CB9" i="3" s="1"/>
  <c r="CA7" i="3"/>
  <c r="CA9" i="3" s="1"/>
  <c r="BZ7" i="3"/>
  <c r="BZ9" i="3" s="1"/>
  <c r="BY7" i="3"/>
  <c r="BY9" i="3" s="1"/>
  <c r="BX7" i="3"/>
  <c r="BX9" i="3" s="1"/>
  <c r="BW7" i="3"/>
  <c r="BW9" i="3" s="1"/>
  <c r="BV7" i="3"/>
  <c r="BV9" i="3" s="1"/>
  <c r="BU7" i="3"/>
  <c r="BU9" i="3" s="1"/>
  <c r="BT7" i="3"/>
  <c r="BT9" i="3" s="1"/>
  <c r="BS7" i="3"/>
  <c r="BS9" i="3" s="1"/>
  <c r="BR7" i="3"/>
  <c r="BR9" i="3" s="1"/>
  <c r="BQ7" i="3"/>
  <c r="BQ9" i="3" s="1"/>
  <c r="BP7" i="3"/>
  <c r="BP9" i="3" s="1"/>
  <c r="BO7" i="3"/>
  <c r="BO9" i="3" s="1"/>
  <c r="CT9" i="3" s="1"/>
  <c r="BM7" i="3"/>
  <c r="BM9" i="3" s="1"/>
  <c r="BL7" i="3"/>
  <c r="BL9" i="3" s="1"/>
  <c r="BK7" i="3"/>
  <c r="BK9" i="3" s="1"/>
  <c r="BJ7" i="3"/>
  <c r="BJ9" i="3" s="1"/>
  <c r="BI7" i="3"/>
  <c r="BI9" i="3" s="1"/>
  <c r="BH7" i="3"/>
  <c r="BH9" i="3" s="1"/>
  <c r="BG7" i="3"/>
  <c r="BG9" i="3" s="1"/>
  <c r="BF7" i="3"/>
  <c r="BF9" i="3" s="1"/>
  <c r="BE7" i="3"/>
  <c r="BE9" i="3" s="1"/>
  <c r="BD7" i="3"/>
  <c r="BD9" i="3" s="1"/>
  <c r="BC7" i="3"/>
  <c r="BC9" i="3" s="1"/>
  <c r="BB7" i="3"/>
  <c r="BB9" i="3" s="1"/>
  <c r="BA7" i="3"/>
  <c r="BA9" i="3" s="1"/>
  <c r="AZ7" i="3"/>
  <c r="AZ9" i="3" s="1"/>
  <c r="AY7" i="3"/>
  <c r="AY9" i="3" s="1"/>
  <c r="AX7" i="3"/>
  <c r="AX9" i="3" s="1"/>
  <c r="AW7" i="3"/>
  <c r="AW9" i="3" s="1"/>
  <c r="AV7" i="3"/>
  <c r="AV9" i="3" s="1"/>
  <c r="AU7" i="3"/>
  <c r="AU9" i="3" s="1"/>
  <c r="AT7" i="3"/>
  <c r="AT9" i="3" s="1"/>
  <c r="AS7" i="3"/>
  <c r="AS9" i="3" s="1"/>
  <c r="AR7" i="3"/>
  <c r="AR9" i="3" s="1"/>
  <c r="AQ7" i="3"/>
  <c r="AQ9" i="3" s="1"/>
  <c r="AP7" i="3"/>
  <c r="AP9" i="3" s="1"/>
  <c r="AO7" i="3"/>
  <c r="AO9" i="3" s="1"/>
  <c r="AN7" i="3"/>
  <c r="AN9" i="3" s="1"/>
  <c r="AM7" i="3"/>
  <c r="AM9" i="3" s="1"/>
  <c r="AL7" i="3"/>
  <c r="AL9" i="3" s="1"/>
  <c r="AK7" i="3"/>
  <c r="AK9" i="3" s="1"/>
  <c r="AJ7" i="3"/>
  <c r="AJ9" i="3" s="1"/>
  <c r="BN9" i="3" s="1"/>
  <c r="AH7" i="3"/>
  <c r="AH9" i="3" s="1"/>
  <c r="AG7" i="3"/>
  <c r="AG9" i="3" s="1"/>
  <c r="AF7" i="3"/>
  <c r="AF9" i="3" s="1"/>
  <c r="AE7" i="3"/>
  <c r="AE9" i="3" s="1"/>
  <c r="AD7" i="3"/>
  <c r="AD9" i="3" s="1"/>
  <c r="AC7" i="3"/>
  <c r="AC9" i="3" s="1"/>
  <c r="AB7" i="3"/>
  <c r="AB9" i="3" s="1"/>
  <c r="AA7" i="3"/>
  <c r="AA9" i="3" s="1"/>
  <c r="Z7" i="3"/>
  <c r="Z9" i="3" s="1"/>
  <c r="Y7" i="3"/>
  <c r="Y9" i="3" s="1"/>
  <c r="X7" i="3"/>
  <c r="X9" i="3" s="1"/>
  <c r="W7" i="3"/>
  <c r="W9" i="3" s="1"/>
  <c r="V7" i="3"/>
  <c r="V9" i="3" s="1"/>
  <c r="U7" i="3"/>
  <c r="U9" i="3" s="1"/>
  <c r="T7" i="3"/>
  <c r="T9" i="3" s="1"/>
  <c r="S7" i="3"/>
  <c r="S9" i="3" s="1"/>
  <c r="R7" i="3"/>
  <c r="R9" i="3" s="1"/>
  <c r="Q7" i="3"/>
  <c r="Q9" i="3" s="1"/>
  <c r="P7" i="3"/>
  <c r="P9" i="3" s="1"/>
  <c r="O7" i="3"/>
  <c r="O9" i="3" s="1"/>
  <c r="N7" i="3"/>
  <c r="N9" i="3" s="1"/>
  <c r="M7" i="3"/>
  <c r="M9" i="3" s="1"/>
  <c r="L7" i="3"/>
  <c r="L9" i="3" s="1"/>
  <c r="K7" i="3"/>
  <c r="K9" i="3" s="1"/>
  <c r="J7" i="3"/>
  <c r="J9" i="3" s="1"/>
  <c r="I7" i="3"/>
  <c r="I9" i="3" s="1"/>
  <c r="H7" i="3"/>
  <c r="H9" i="3" s="1"/>
  <c r="G7" i="3"/>
  <c r="G9" i="3" s="1"/>
  <c r="F7" i="3"/>
  <c r="F9" i="3" s="1"/>
  <c r="E7" i="3"/>
  <c r="E9" i="3" s="1"/>
  <c r="AOF6" i="3"/>
  <c r="AOF16" i="3" s="1"/>
  <c r="AOF18" i="3" s="1"/>
  <c r="AOE6" i="3"/>
  <c r="AOE16" i="3" s="1"/>
  <c r="AOE18" i="3" s="1"/>
  <c r="AOD6" i="3"/>
  <c r="AOD16" i="3" s="1"/>
  <c r="AOD18" i="3" s="1"/>
  <c r="AOC4" i="4" s="1"/>
  <c r="D6" i="3"/>
  <c r="AOC4" i="3"/>
  <c r="AOC6" i="3" s="1"/>
  <c r="AOB4" i="3"/>
  <c r="AOB6" i="3" s="1"/>
  <c r="AOA4" i="3"/>
  <c r="AOA6" i="3" s="1"/>
  <c r="ANZ4" i="3"/>
  <c r="ANZ6" i="3" s="1"/>
  <c r="ANY4" i="3"/>
  <c r="ANY6" i="3" s="1"/>
  <c r="ANX4" i="3"/>
  <c r="ANX6" i="3" s="1"/>
  <c r="ANW4" i="3"/>
  <c r="ANW6" i="3" s="1"/>
  <c r="ANV4" i="3"/>
  <c r="ANV6" i="3" s="1"/>
  <c r="ANU4" i="3"/>
  <c r="ANU6" i="3" s="1"/>
  <c r="ANT4" i="3"/>
  <c r="ANT6" i="3" s="1"/>
  <c r="ANS4" i="3"/>
  <c r="ANS6" i="3" s="1"/>
  <c r="ANR4" i="3"/>
  <c r="ANR6" i="3" s="1"/>
  <c r="ANQ4" i="3"/>
  <c r="ANQ6" i="3" s="1"/>
  <c r="ANP4" i="3"/>
  <c r="ANP6" i="3" s="1"/>
  <c r="ANO4" i="3"/>
  <c r="ANO6" i="3" s="1"/>
  <c r="ANN4" i="3"/>
  <c r="ANN6" i="3" s="1"/>
  <c r="ANM4" i="3"/>
  <c r="ANM6" i="3" s="1"/>
  <c r="ANL4" i="3"/>
  <c r="ANL6" i="3" s="1"/>
  <c r="ANK4" i="3"/>
  <c r="ANK6" i="3" s="1"/>
  <c r="ANJ4" i="3"/>
  <c r="ANJ6" i="3" s="1"/>
  <c r="ANI4" i="3"/>
  <c r="ANI6" i="3" s="1"/>
  <c r="ANH4" i="3"/>
  <c r="ANH6" i="3" s="1"/>
  <c r="ANG4" i="3"/>
  <c r="ANG6" i="3" s="1"/>
  <c r="ANF4" i="3"/>
  <c r="ANF6" i="3" s="1"/>
  <c r="ANE4" i="3"/>
  <c r="ANE6" i="3" s="1"/>
  <c r="AND4" i="3"/>
  <c r="AND6" i="3" s="1"/>
  <c r="ANC4" i="3"/>
  <c r="ANC6" i="3" s="1"/>
  <c r="ANB4" i="3"/>
  <c r="ANB6" i="3" s="1"/>
  <c r="ANA4" i="3"/>
  <c r="ANA6" i="3" s="1"/>
  <c r="AMY4" i="3"/>
  <c r="AMY6" i="3" s="1"/>
  <c r="AMX4" i="3"/>
  <c r="AMX6" i="3" s="1"/>
  <c r="AMW4" i="3"/>
  <c r="AMW6" i="3" s="1"/>
  <c r="AMV4" i="3"/>
  <c r="AMV6" i="3" s="1"/>
  <c r="AMU4" i="3"/>
  <c r="AMU6" i="3" s="1"/>
  <c r="AMT4" i="3"/>
  <c r="AMT6" i="3" s="1"/>
  <c r="AMS4" i="3"/>
  <c r="AMS6" i="3" s="1"/>
  <c r="AMR4" i="3"/>
  <c r="AMR6" i="3" s="1"/>
  <c r="AMQ4" i="3"/>
  <c r="AMQ6" i="3" s="1"/>
  <c r="AMP4" i="3"/>
  <c r="AMP6" i="3" s="1"/>
  <c r="AMO4" i="3"/>
  <c r="AMO6" i="3" s="1"/>
  <c r="AMN4" i="3"/>
  <c r="AMN6" i="3" s="1"/>
  <c r="AMM4" i="3"/>
  <c r="AMM6" i="3" s="1"/>
  <c r="AML4" i="3"/>
  <c r="AML6" i="3" s="1"/>
  <c r="AMK4" i="3"/>
  <c r="AMK6" i="3" s="1"/>
  <c r="AMJ4" i="3"/>
  <c r="AMJ6" i="3" s="1"/>
  <c r="AMI4" i="3"/>
  <c r="AMI6" i="3" s="1"/>
  <c r="AMH4" i="3"/>
  <c r="AMH6" i="3" s="1"/>
  <c r="AMG4" i="3"/>
  <c r="AMG6" i="3" s="1"/>
  <c r="AMF4" i="3"/>
  <c r="AMF6" i="3" s="1"/>
  <c r="AME4" i="3"/>
  <c r="AME6" i="3" s="1"/>
  <c r="AMD4" i="3"/>
  <c r="AMD6" i="3" s="1"/>
  <c r="AMC4" i="3"/>
  <c r="AMC6" i="3" s="1"/>
  <c r="AMB4" i="3"/>
  <c r="AMB6" i="3" s="1"/>
  <c r="AMA4" i="3"/>
  <c r="AMA6" i="3" s="1"/>
  <c r="ALZ4" i="3"/>
  <c r="ALZ6" i="3" s="1"/>
  <c r="ALY4" i="3"/>
  <c r="ALY6" i="3" s="1"/>
  <c r="ALX4" i="3"/>
  <c r="ALX6" i="3" s="1"/>
  <c r="ALW4" i="3"/>
  <c r="ALW6" i="3" s="1"/>
  <c r="ALV4" i="3"/>
  <c r="ALV6" i="3" s="1"/>
  <c r="AMZ6" i="3" s="1"/>
  <c r="ALT4" i="3"/>
  <c r="ALT6" i="3" s="1"/>
  <c r="ALS4" i="3"/>
  <c r="ALS6" i="3" s="1"/>
  <c r="ALR4" i="3"/>
  <c r="ALR6" i="3" s="1"/>
  <c r="ALQ4" i="3"/>
  <c r="ALQ6" i="3" s="1"/>
  <c r="ALP4" i="3"/>
  <c r="ALP6" i="3" s="1"/>
  <c r="ALO4" i="3"/>
  <c r="ALO6" i="3" s="1"/>
  <c r="ALN4" i="3"/>
  <c r="ALN6" i="3" s="1"/>
  <c r="ALM4" i="3"/>
  <c r="ALM6" i="3" s="1"/>
  <c r="ALL4" i="3"/>
  <c r="ALL6" i="3" s="1"/>
  <c r="ALK4" i="3"/>
  <c r="ALK6" i="3" s="1"/>
  <c r="ALJ4" i="3"/>
  <c r="ALJ6" i="3" s="1"/>
  <c r="ALI4" i="3"/>
  <c r="ALI6" i="3" s="1"/>
  <c r="ALH4" i="3"/>
  <c r="ALH6" i="3" s="1"/>
  <c r="ALG4" i="3"/>
  <c r="ALG6" i="3" s="1"/>
  <c r="ALF4" i="3"/>
  <c r="ALF6" i="3" s="1"/>
  <c r="ALE4" i="3"/>
  <c r="ALE6" i="3" s="1"/>
  <c r="ALD4" i="3"/>
  <c r="ALD6" i="3" s="1"/>
  <c r="ALC4" i="3"/>
  <c r="ALC6" i="3" s="1"/>
  <c r="ALB4" i="3"/>
  <c r="ALB6" i="3" s="1"/>
  <c r="ALA4" i="3"/>
  <c r="ALA6" i="3" s="1"/>
  <c r="AKZ4" i="3"/>
  <c r="AKZ6" i="3" s="1"/>
  <c r="AKY4" i="3"/>
  <c r="AKY6" i="3" s="1"/>
  <c r="AKX4" i="3"/>
  <c r="AKX6" i="3" s="1"/>
  <c r="AKW4" i="3"/>
  <c r="AKW6" i="3" s="1"/>
  <c r="AKV4" i="3"/>
  <c r="AKV6" i="3" s="1"/>
  <c r="AKU4" i="3"/>
  <c r="AKU6" i="3" s="1"/>
  <c r="AKT4" i="3"/>
  <c r="AKT6" i="3" s="1"/>
  <c r="AKS4" i="3"/>
  <c r="AKS6" i="3" s="1"/>
  <c r="AKR4" i="3"/>
  <c r="AKR6" i="3" s="1"/>
  <c r="AKQ4" i="3"/>
  <c r="AKQ6" i="3" s="1"/>
  <c r="AKP4" i="3"/>
  <c r="AKP6" i="3" s="1"/>
  <c r="ALU6" i="3" s="1"/>
  <c r="AKN4" i="3"/>
  <c r="AKN6" i="3" s="1"/>
  <c r="AKM4" i="3"/>
  <c r="AKM6" i="3" s="1"/>
  <c r="AKL4" i="3"/>
  <c r="AKL6" i="3" s="1"/>
  <c r="AKK4" i="3"/>
  <c r="AKK6" i="3" s="1"/>
  <c r="AKJ4" i="3"/>
  <c r="AKJ6" i="3" s="1"/>
  <c r="AKI4" i="3"/>
  <c r="AKI6" i="3" s="1"/>
  <c r="AKH4" i="3"/>
  <c r="AKH6" i="3" s="1"/>
  <c r="AKG4" i="3"/>
  <c r="AKG6" i="3" s="1"/>
  <c r="AKF4" i="3"/>
  <c r="AKF6" i="3" s="1"/>
  <c r="AKE4" i="3"/>
  <c r="AKE6" i="3" s="1"/>
  <c r="AKD4" i="3"/>
  <c r="AKD6" i="3" s="1"/>
  <c r="AKC4" i="3"/>
  <c r="AKC6" i="3" s="1"/>
  <c r="AKB4" i="3"/>
  <c r="AKB6" i="3" s="1"/>
  <c r="AKA4" i="3"/>
  <c r="AKA6" i="3" s="1"/>
  <c r="AJZ4" i="3"/>
  <c r="AJZ6" i="3" s="1"/>
  <c r="AJY4" i="3"/>
  <c r="AJY6" i="3" s="1"/>
  <c r="AJX4" i="3"/>
  <c r="AJX6" i="3" s="1"/>
  <c r="AJW4" i="3"/>
  <c r="AJW6" i="3" s="1"/>
  <c r="AJV4" i="3"/>
  <c r="AJV6" i="3" s="1"/>
  <c r="AJU4" i="3"/>
  <c r="AJU6" i="3" s="1"/>
  <c r="AJT4" i="3"/>
  <c r="AJT6" i="3" s="1"/>
  <c r="AJS4" i="3"/>
  <c r="AJS6" i="3" s="1"/>
  <c r="AJR4" i="3"/>
  <c r="AJR6" i="3" s="1"/>
  <c r="AJQ4" i="3"/>
  <c r="AJQ6" i="3" s="1"/>
  <c r="AJP4" i="3"/>
  <c r="AJP6" i="3" s="1"/>
  <c r="AJO4" i="3"/>
  <c r="AJO6" i="3" s="1"/>
  <c r="AJN4" i="3"/>
  <c r="AJN6" i="3" s="1"/>
  <c r="AJM4" i="3"/>
  <c r="AJM6" i="3" s="1"/>
  <c r="AKO6" i="3" s="1"/>
  <c r="AJK4" i="3"/>
  <c r="AJK6" i="3" s="1"/>
  <c r="AJJ4" i="3"/>
  <c r="AJJ6" i="3" s="1"/>
  <c r="AJI4" i="3"/>
  <c r="AJI6" i="3" s="1"/>
  <c r="AJH4" i="3"/>
  <c r="AJH6" i="3" s="1"/>
  <c r="AJG4" i="3"/>
  <c r="AJG6" i="3" s="1"/>
  <c r="AJF4" i="3"/>
  <c r="AJF6" i="3" s="1"/>
  <c r="AJE4" i="3"/>
  <c r="AJE6" i="3" s="1"/>
  <c r="AJD4" i="3"/>
  <c r="AJD6" i="3" s="1"/>
  <c r="AJC4" i="3"/>
  <c r="AJC6" i="3" s="1"/>
  <c r="AJB4" i="3"/>
  <c r="AJB6" i="3" s="1"/>
  <c r="AJA4" i="3"/>
  <c r="AJA6" i="3" s="1"/>
  <c r="AIZ4" i="3"/>
  <c r="AIZ6" i="3" s="1"/>
  <c r="AIY4" i="3"/>
  <c r="AIY6" i="3" s="1"/>
  <c r="AIX4" i="3"/>
  <c r="AIX6" i="3" s="1"/>
  <c r="AIW4" i="3"/>
  <c r="AIW6" i="3" s="1"/>
  <c r="AIV4" i="3"/>
  <c r="AIV6" i="3" s="1"/>
  <c r="AIU4" i="3"/>
  <c r="AIU6" i="3" s="1"/>
  <c r="AIT4" i="3"/>
  <c r="AIT6" i="3" s="1"/>
  <c r="AIS4" i="3"/>
  <c r="AIS6" i="3" s="1"/>
  <c r="AIR4" i="3"/>
  <c r="AIR6" i="3" s="1"/>
  <c r="AIQ4" i="3"/>
  <c r="AIQ6" i="3" s="1"/>
  <c r="AIP4" i="3"/>
  <c r="AIP6" i="3" s="1"/>
  <c r="AIO4" i="3"/>
  <c r="AIO6" i="3" s="1"/>
  <c r="AIN4" i="3"/>
  <c r="AIN6" i="3" s="1"/>
  <c r="AIM4" i="3"/>
  <c r="AIM6" i="3" s="1"/>
  <c r="AIL4" i="3"/>
  <c r="AIL6" i="3" s="1"/>
  <c r="AIK4" i="3"/>
  <c r="AIK6" i="3" s="1"/>
  <c r="AIJ4" i="3"/>
  <c r="AIJ6" i="3" s="1"/>
  <c r="AII4" i="3"/>
  <c r="AII6" i="3" s="1"/>
  <c r="AIH4" i="3"/>
  <c r="AIH6" i="3" s="1"/>
  <c r="AIG4" i="3"/>
  <c r="AIG6" i="3" s="1"/>
  <c r="AJL6" i="3" s="1"/>
  <c r="AIE4" i="3"/>
  <c r="AIE6" i="3" s="1"/>
  <c r="AID4" i="3"/>
  <c r="AID6" i="3" s="1"/>
  <c r="AIC4" i="3"/>
  <c r="AIC6" i="3" s="1"/>
  <c r="AIB4" i="3"/>
  <c r="AIB6" i="3" s="1"/>
  <c r="AIA4" i="3"/>
  <c r="AIA6" i="3" s="1"/>
  <c r="AHZ4" i="3"/>
  <c r="AHZ6" i="3" s="1"/>
  <c r="AHY4" i="3"/>
  <c r="AHY6" i="3" s="1"/>
  <c r="AHX4" i="3"/>
  <c r="AHX6" i="3" s="1"/>
  <c r="AHW4" i="3"/>
  <c r="AHW6" i="3" s="1"/>
  <c r="AHV4" i="3"/>
  <c r="AHV6" i="3" s="1"/>
  <c r="AHU4" i="3"/>
  <c r="AHU6" i="3" s="1"/>
  <c r="AHT4" i="3"/>
  <c r="AHT6" i="3" s="1"/>
  <c r="AHS4" i="3"/>
  <c r="AHS6" i="3" s="1"/>
  <c r="AHR4" i="3"/>
  <c r="AHR6" i="3" s="1"/>
  <c r="AHQ4" i="3"/>
  <c r="AHQ6" i="3" s="1"/>
  <c r="AHP4" i="3"/>
  <c r="AHP6" i="3" s="1"/>
  <c r="AHO4" i="3"/>
  <c r="AHO6" i="3" s="1"/>
  <c r="AHN4" i="3"/>
  <c r="AHN6" i="3" s="1"/>
  <c r="AHM4" i="3"/>
  <c r="AHM6" i="3" s="1"/>
  <c r="AHL4" i="3"/>
  <c r="AHL6" i="3" s="1"/>
  <c r="AHK4" i="3"/>
  <c r="AHK6" i="3" s="1"/>
  <c r="AHJ4" i="3"/>
  <c r="AHJ6" i="3" s="1"/>
  <c r="AHI4" i="3"/>
  <c r="AHI6" i="3" s="1"/>
  <c r="AHH4" i="3"/>
  <c r="AHH6" i="3" s="1"/>
  <c r="AHG4" i="3"/>
  <c r="AHG6" i="3" s="1"/>
  <c r="AHF4" i="3"/>
  <c r="AHF6" i="3" s="1"/>
  <c r="AHE4" i="3"/>
  <c r="AHE6" i="3" s="1"/>
  <c r="AHD4" i="3"/>
  <c r="AHD6" i="3" s="1"/>
  <c r="AHC4" i="3"/>
  <c r="AHC6" i="3" s="1"/>
  <c r="AHB4" i="3"/>
  <c r="AHB6" i="3" s="1"/>
  <c r="AHA4" i="3"/>
  <c r="AHA6" i="3" s="1"/>
  <c r="AIF6" i="3" s="1"/>
  <c r="AGY4" i="3"/>
  <c r="AGY6" i="3" s="1"/>
  <c r="AGX4" i="3"/>
  <c r="AGX6" i="3" s="1"/>
  <c r="AGW4" i="3"/>
  <c r="AGW6" i="3" s="1"/>
  <c r="AGV4" i="3"/>
  <c r="AGV6" i="3" s="1"/>
  <c r="AGU4" i="3"/>
  <c r="AGU6" i="3" s="1"/>
  <c r="AGT4" i="3"/>
  <c r="AGT6" i="3" s="1"/>
  <c r="AGS4" i="3"/>
  <c r="AGS6" i="3" s="1"/>
  <c r="AGR4" i="3"/>
  <c r="AGR6" i="3" s="1"/>
  <c r="AGQ4" i="3"/>
  <c r="AGQ6" i="3" s="1"/>
  <c r="AGP4" i="3"/>
  <c r="AGP6" i="3" s="1"/>
  <c r="AGO4" i="3"/>
  <c r="AGO6" i="3" s="1"/>
  <c r="AGN4" i="3"/>
  <c r="AGN6" i="3" s="1"/>
  <c r="AGM4" i="3"/>
  <c r="AGM6" i="3" s="1"/>
  <c r="AGL4" i="3"/>
  <c r="AGL6" i="3" s="1"/>
  <c r="AGK4" i="3"/>
  <c r="AGK6" i="3" s="1"/>
  <c r="AGJ4" i="3"/>
  <c r="AGJ6" i="3" s="1"/>
  <c r="AGI4" i="3"/>
  <c r="AGI6" i="3" s="1"/>
  <c r="AGH4" i="3"/>
  <c r="AGH6" i="3" s="1"/>
  <c r="AGG4" i="3"/>
  <c r="AGG6" i="3" s="1"/>
  <c r="AGF4" i="3"/>
  <c r="AGF6" i="3" s="1"/>
  <c r="AGE4" i="3"/>
  <c r="AGE6" i="3" s="1"/>
  <c r="AGD4" i="3"/>
  <c r="AGD6" i="3" s="1"/>
  <c r="AGC4" i="3"/>
  <c r="AGC6" i="3" s="1"/>
  <c r="AGB4" i="3"/>
  <c r="AGB6" i="3" s="1"/>
  <c r="AGA4" i="3"/>
  <c r="AGA6" i="3" s="1"/>
  <c r="AFZ4" i="3"/>
  <c r="AFZ6" i="3" s="1"/>
  <c r="AFY4" i="3"/>
  <c r="AFY6" i="3" s="1"/>
  <c r="AFX4" i="3"/>
  <c r="AFX6" i="3" s="1"/>
  <c r="AFW4" i="3"/>
  <c r="AFW6" i="3" s="1"/>
  <c r="AFV4" i="3"/>
  <c r="AFV6" i="3" s="1"/>
  <c r="AGZ6" i="3" s="1"/>
  <c r="AFT4" i="3"/>
  <c r="AFT6" i="3" s="1"/>
  <c r="AFS4" i="3"/>
  <c r="AFS6" i="3" s="1"/>
  <c r="AFR4" i="3"/>
  <c r="AFR6" i="3" s="1"/>
  <c r="AFQ4" i="3"/>
  <c r="AFQ6" i="3" s="1"/>
  <c r="AFP4" i="3"/>
  <c r="AFP6" i="3" s="1"/>
  <c r="AFO4" i="3"/>
  <c r="AFO6" i="3" s="1"/>
  <c r="AFN4" i="3"/>
  <c r="AFN6" i="3" s="1"/>
  <c r="AFM4" i="3"/>
  <c r="AFM6" i="3" s="1"/>
  <c r="AFL4" i="3"/>
  <c r="AFL6" i="3" s="1"/>
  <c r="AFK4" i="3"/>
  <c r="AFK6" i="3" s="1"/>
  <c r="AFJ4" i="3"/>
  <c r="AFJ6" i="3" s="1"/>
  <c r="AFI4" i="3"/>
  <c r="AFI6" i="3" s="1"/>
  <c r="AFH4" i="3"/>
  <c r="AFH6" i="3" s="1"/>
  <c r="AFG4" i="3"/>
  <c r="AFG6" i="3" s="1"/>
  <c r="AFF4" i="3"/>
  <c r="AFF6" i="3" s="1"/>
  <c r="AFE4" i="3"/>
  <c r="AFE6" i="3" s="1"/>
  <c r="AFD4" i="3"/>
  <c r="AFD6" i="3" s="1"/>
  <c r="AFC4" i="3"/>
  <c r="AFC6" i="3" s="1"/>
  <c r="AFB4" i="3"/>
  <c r="AFB6" i="3" s="1"/>
  <c r="AFA4" i="3"/>
  <c r="AFA6" i="3" s="1"/>
  <c r="AEZ4" i="3"/>
  <c r="AEZ6" i="3" s="1"/>
  <c r="AEY4" i="3"/>
  <c r="AEY6" i="3" s="1"/>
  <c r="AEX4" i="3"/>
  <c r="AEX6" i="3" s="1"/>
  <c r="AEW4" i="3"/>
  <c r="AEW6" i="3" s="1"/>
  <c r="AEV4" i="3"/>
  <c r="AEV6" i="3" s="1"/>
  <c r="AEU4" i="3"/>
  <c r="AEU6" i="3" s="1"/>
  <c r="AET4" i="3"/>
  <c r="AET6" i="3" s="1"/>
  <c r="AES4" i="3"/>
  <c r="AES6" i="3" s="1"/>
  <c r="AER4" i="3"/>
  <c r="AER6" i="3" s="1"/>
  <c r="AEQ4" i="3"/>
  <c r="AEQ6" i="3" s="1"/>
  <c r="AEP4" i="3"/>
  <c r="AEP6" i="3" s="1"/>
  <c r="AFU6" i="3" s="1"/>
  <c r="AEN4" i="3"/>
  <c r="AEN6" i="3" s="1"/>
  <c r="AEM4" i="3"/>
  <c r="AEM6" i="3" s="1"/>
  <c r="AEL4" i="3"/>
  <c r="AEL6" i="3" s="1"/>
  <c r="AEK4" i="3"/>
  <c r="AEK6" i="3" s="1"/>
  <c r="AEJ4" i="3"/>
  <c r="AEJ6" i="3" s="1"/>
  <c r="AEI4" i="3"/>
  <c r="AEI6" i="3" s="1"/>
  <c r="AEH4" i="3"/>
  <c r="AEH6" i="3" s="1"/>
  <c r="AEG4" i="3"/>
  <c r="AEG6" i="3" s="1"/>
  <c r="AEF4" i="3"/>
  <c r="AEF6" i="3" s="1"/>
  <c r="AEE4" i="3"/>
  <c r="AEE6" i="3" s="1"/>
  <c r="AED4" i="3"/>
  <c r="AED6" i="3" s="1"/>
  <c r="AEC4" i="3"/>
  <c r="AEC6" i="3" s="1"/>
  <c r="AEB4" i="3"/>
  <c r="AEB6" i="3" s="1"/>
  <c r="AEA4" i="3"/>
  <c r="AEA6" i="3" s="1"/>
  <c r="ADZ4" i="3"/>
  <c r="ADZ6" i="3" s="1"/>
  <c r="ADY4" i="3"/>
  <c r="ADY6" i="3" s="1"/>
  <c r="ADX4" i="3"/>
  <c r="ADX6" i="3" s="1"/>
  <c r="ADW4" i="3"/>
  <c r="ADW6" i="3" s="1"/>
  <c r="ADV4" i="3"/>
  <c r="ADV6" i="3" s="1"/>
  <c r="ADU4" i="3"/>
  <c r="ADU6" i="3" s="1"/>
  <c r="ADT4" i="3"/>
  <c r="ADT6" i="3" s="1"/>
  <c r="ADS4" i="3"/>
  <c r="ADS6" i="3" s="1"/>
  <c r="ADR4" i="3"/>
  <c r="ADR6" i="3" s="1"/>
  <c r="ADQ4" i="3"/>
  <c r="ADQ6" i="3" s="1"/>
  <c r="ADP4" i="3"/>
  <c r="ADP6" i="3" s="1"/>
  <c r="ADO4" i="3"/>
  <c r="ADO6" i="3" s="1"/>
  <c r="ADN4" i="3"/>
  <c r="ADN6" i="3" s="1"/>
  <c r="ADM4" i="3"/>
  <c r="ADM6" i="3" s="1"/>
  <c r="ADL4" i="3"/>
  <c r="ADL6" i="3" s="1"/>
  <c r="ADK4" i="3"/>
  <c r="ADK6" i="3" s="1"/>
  <c r="AEO6" i="3" s="1"/>
  <c r="ADI4" i="3"/>
  <c r="ADI6" i="3" s="1"/>
  <c r="ADH4" i="3"/>
  <c r="ADH6" i="3" s="1"/>
  <c r="ADG4" i="3"/>
  <c r="ADG6" i="3" s="1"/>
  <c r="ADF4" i="3"/>
  <c r="ADF6" i="3" s="1"/>
  <c r="ADE4" i="3"/>
  <c r="ADE6" i="3" s="1"/>
  <c r="ADD4" i="3"/>
  <c r="ADD6" i="3" s="1"/>
  <c r="ADC4" i="3"/>
  <c r="ADC6" i="3" s="1"/>
  <c r="ADB4" i="3"/>
  <c r="ADB6" i="3" s="1"/>
  <c r="ADA4" i="3"/>
  <c r="ADA6" i="3" s="1"/>
  <c r="ACZ4" i="3"/>
  <c r="ACZ6" i="3" s="1"/>
  <c r="ACY4" i="3"/>
  <c r="ACY6" i="3" s="1"/>
  <c r="ACX4" i="3"/>
  <c r="ACX6" i="3" s="1"/>
  <c r="ACW4" i="3"/>
  <c r="ACW6" i="3" s="1"/>
  <c r="ACV4" i="3"/>
  <c r="ACV6" i="3" s="1"/>
  <c r="ACU4" i="3"/>
  <c r="ACU6" i="3" s="1"/>
  <c r="ACT4" i="3"/>
  <c r="ACT6" i="3" s="1"/>
  <c r="ACS4" i="3"/>
  <c r="ACS6" i="3" s="1"/>
  <c r="ACR4" i="3"/>
  <c r="ACR6" i="3" s="1"/>
  <c r="ACQ4" i="3"/>
  <c r="ACQ6" i="3" s="1"/>
  <c r="ACP4" i="3"/>
  <c r="ACP6" i="3" s="1"/>
  <c r="ACO4" i="3"/>
  <c r="ACO6" i="3" s="1"/>
  <c r="ACN4" i="3"/>
  <c r="ACN6" i="3" s="1"/>
  <c r="ACM4" i="3"/>
  <c r="ACM6" i="3" s="1"/>
  <c r="ACL4" i="3"/>
  <c r="ACL6" i="3" s="1"/>
  <c r="ACK4" i="3"/>
  <c r="ACK6" i="3" s="1"/>
  <c r="ACJ4" i="3"/>
  <c r="ACJ6" i="3" s="1"/>
  <c r="ACI4" i="3"/>
  <c r="ACI6" i="3" s="1"/>
  <c r="ACH4" i="3"/>
  <c r="ACH6" i="3" s="1"/>
  <c r="ACG4" i="3"/>
  <c r="ACG6" i="3" s="1"/>
  <c r="ACF4" i="3"/>
  <c r="ACF6" i="3" s="1"/>
  <c r="ACE4" i="3"/>
  <c r="ACE6" i="3" s="1"/>
  <c r="ADJ6" i="3" s="1"/>
  <c r="ACC4" i="3"/>
  <c r="ACC6" i="3" s="1"/>
  <c r="ACB4" i="3"/>
  <c r="ACB6" i="3" s="1"/>
  <c r="ACA4" i="3"/>
  <c r="ACA6" i="3" s="1"/>
  <c r="ABZ4" i="3"/>
  <c r="ABZ6" i="3" s="1"/>
  <c r="ABY4" i="3"/>
  <c r="ABY6" i="3" s="1"/>
  <c r="ABX4" i="3"/>
  <c r="ABX6" i="3" s="1"/>
  <c r="ABW4" i="3"/>
  <c r="ABW6" i="3" s="1"/>
  <c r="ABV4" i="3"/>
  <c r="ABV6" i="3" s="1"/>
  <c r="ABU4" i="3"/>
  <c r="ABU6" i="3" s="1"/>
  <c r="ABT4" i="3"/>
  <c r="ABT6" i="3" s="1"/>
  <c r="ABS4" i="3"/>
  <c r="ABS6" i="3" s="1"/>
  <c r="ABR4" i="3"/>
  <c r="ABR6" i="3" s="1"/>
  <c r="ABQ4" i="3"/>
  <c r="ABQ6" i="3" s="1"/>
  <c r="ABP4" i="3"/>
  <c r="ABP6" i="3" s="1"/>
  <c r="ABO4" i="3"/>
  <c r="ABO6" i="3" s="1"/>
  <c r="ABN4" i="3"/>
  <c r="ABN6" i="3" s="1"/>
  <c r="ABM4" i="3"/>
  <c r="ABM6" i="3" s="1"/>
  <c r="ABL4" i="3"/>
  <c r="ABL6" i="3" s="1"/>
  <c r="ABK4" i="3"/>
  <c r="ABK6" i="3" s="1"/>
  <c r="ABJ4" i="3"/>
  <c r="ABJ6" i="3" s="1"/>
  <c r="ABI4" i="3"/>
  <c r="ABI6" i="3" s="1"/>
  <c r="ABH4" i="3"/>
  <c r="ABH6" i="3" s="1"/>
  <c r="ABG4" i="3"/>
  <c r="ABG6" i="3" s="1"/>
  <c r="ABF4" i="3"/>
  <c r="ABF6" i="3" s="1"/>
  <c r="ABE4" i="3"/>
  <c r="ABE6" i="3" s="1"/>
  <c r="ABD4" i="3"/>
  <c r="ABD6" i="3" s="1"/>
  <c r="ABC4" i="3"/>
  <c r="ABC6" i="3" s="1"/>
  <c r="ABB4" i="3"/>
  <c r="ABB6" i="3" s="1"/>
  <c r="ABA4" i="3"/>
  <c r="ABA6" i="3" s="1"/>
  <c r="AAZ4" i="3"/>
  <c r="AAZ6" i="3" s="1"/>
  <c r="AAY4" i="3"/>
  <c r="AAY6" i="3" s="1"/>
  <c r="ACD6" i="3" s="1"/>
  <c r="AAW4" i="3"/>
  <c r="AAW6" i="3" s="1"/>
  <c r="AAV4" i="3"/>
  <c r="AAV6" i="3" s="1"/>
  <c r="AAU4" i="3"/>
  <c r="AAU6" i="3" s="1"/>
  <c r="AAT4" i="3"/>
  <c r="AAT6" i="3" s="1"/>
  <c r="AAS4" i="3"/>
  <c r="AAS6" i="3" s="1"/>
  <c r="AAR4" i="3"/>
  <c r="AAR6" i="3" s="1"/>
  <c r="AAQ4" i="3"/>
  <c r="AAQ6" i="3" s="1"/>
  <c r="AAP4" i="3"/>
  <c r="AAP6" i="3" s="1"/>
  <c r="AAO4" i="3"/>
  <c r="AAO6" i="3" s="1"/>
  <c r="AAN4" i="3"/>
  <c r="AAN6" i="3" s="1"/>
  <c r="AAM4" i="3"/>
  <c r="AAM6" i="3" s="1"/>
  <c r="AAL4" i="3"/>
  <c r="AAL6" i="3" s="1"/>
  <c r="AAK4" i="3"/>
  <c r="AAK6" i="3" s="1"/>
  <c r="AAJ4" i="3"/>
  <c r="AAJ6" i="3" s="1"/>
  <c r="AAI4" i="3"/>
  <c r="AAI6" i="3" s="1"/>
  <c r="AAH4" i="3"/>
  <c r="AAH6" i="3" s="1"/>
  <c r="AAG4" i="3"/>
  <c r="AAG6" i="3" s="1"/>
  <c r="AAF4" i="3"/>
  <c r="AAF6" i="3" s="1"/>
  <c r="AAE4" i="3"/>
  <c r="AAE6" i="3" s="1"/>
  <c r="AAD4" i="3"/>
  <c r="AAD6" i="3" s="1"/>
  <c r="AAC4" i="3"/>
  <c r="AAC6" i="3" s="1"/>
  <c r="AAB4" i="3"/>
  <c r="AAB6" i="3" s="1"/>
  <c r="AAA4" i="3"/>
  <c r="AAA6" i="3" s="1"/>
  <c r="ZZ4" i="3"/>
  <c r="ZZ6" i="3" s="1"/>
  <c r="ZY4" i="3"/>
  <c r="ZY6" i="3" s="1"/>
  <c r="ZX4" i="3"/>
  <c r="ZX6" i="3" s="1"/>
  <c r="ZW4" i="3"/>
  <c r="ZW6" i="3" s="1"/>
  <c r="ZV4" i="3"/>
  <c r="ZV6" i="3" s="1"/>
  <c r="ZU4" i="3"/>
  <c r="ZU6" i="3" s="1"/>
  <c r="ZT4" i="3"/>
  <c r="ZT6" i="3" s="1"/>
  <c r="AAX6" i="3" s="1"/>
  <c r="ZR4" i="3"/>
  <c r="ZR6" i="3" s="1"/>
  <c r="ZQ4" i="3"/>
  <c r="ZQ6" i="3" s="1"/>
  <c r="ZP4" i="3"/>
  <c r="ZP6" i="3" s="1"/>
  <c r="ZO4" i="3"/>
  <c r="ZO6" i="3" s="1"/>
  <c r="ZN4" i="3"/>
  <c r="ZN6" i="3" s="1"/>
  <c r="ZM4" i="3"/>
  <c r="ZM6" i="3" s="1"/>
  <c r="ZL4" i="3"/>
  <c r="ZL6" i="3" s="1"/>
  <c r="ZK4" i="3"/>
  <c r="ZK6" i="3" s="1"/>
  <c r="ZJ4" i="3"/>
  <c r="ZJ6" i="3" s="1"/>
  <c r="ZI4" i="3"/>
  <c r="ZI6" i="3" s="1"/>
  <c r="ZH4" i="3"/>
  <c r="ZH6" i="3" s="1"/>
  <c r="ZG4" i="3"/>
  <c r="ZG6" i="3" s="1"/>
  <c r="ZF4" i="3"/>
  <c r="ZF6" i="3" s="1"/>
  <c r="ZE4" i="3"/>
  <c r="ZE6" i="3" s="1"/>
  <c r="ZD4" i="3"/>
  <c r="ZD6" i="3" s="1"/>
  <c r="ZC4" i="3"/>
  <c r="ZC6" i="3" s="1"/>
  <c r="ZB4" i="3"/>
  <c r="ZB6" i="3" s="1"/>
  <c r="ZA4" i="3"/>
  <c r="ZA6" i="3" s="1"/>
  <c r="YZ4" i="3"/>
  <c r="YZ6" i="3" s="1"/>
  <c r="YY4" i="3"/>
  <c r="YY6" i="3" s="1"/>
  <c r="YX4" i="3"/>
  <c r="YX6" i="3" s="1"/>
  <c r="YW4" i="3"/>
  <c r="YW6" i="3" s="1"/>
  <c r="YV4" i="3"/>
  <c r="YV6" i="3" s="1"/>
  <c r="YU4" i="3"/>
  <c r="YU6" i="3" s="1"/>
  <c r="YT4" i="3"/>
  <c r="YT6" i="3" s="1"/>
  <c r="YS4" i="3"/>
  <c r="YS6" i="3" s="1"/>
  <c r="YR4" i="3"/>
  <c r="YR6" i="3" s="1"/>
  <c r="YQ4" i="3"/>
  <c r="YQ6" i="3" s="1"/>
  <c r="YP4" i="3"/>
  <c r="YP6" i="3" s="1"/>
  <c r="YO4" i="3"/>
  <c r="YO6" i="3" s="1"/>
  <c r="YN4" i="3"/>
  <c r="YN6" i="3" s="1"/>
  <c r="ZS6" i="3" s="1"/>
  <c r="YL4" i="3"/>
  <c r="YL6" i="3" s="1"/>
  <c r="YK4" i="3"/>
  <c r="YK6" i="3" s="1"/>
  <c r="YJ4" i="3"/>
  <c r="YJ6" i="3" s="1"/>
  <c r="YI4" i="3"/>
  <c r="YI6" i="3" s="1"/>
  <c r="YH4" i="3"/>
  <c r="YH6" i="3" s="1"/>
  <c r="YG4" i="3"/>
  <c r="YG6" i="3" s="1"/>
  <c r="YF4" i="3"/>
  <c r="YF6" i="3" s="1"/>
  <c r="YE4" i="3"/>
  <c r="YE6" i="3" s="1"/>
  <c r="YD4" i="3"/>
  <c r="YD6" i="3" s="1"/>
  <c r="YC4" i="3"/>
  <c r="YC6" i="3" s="1"/>
  <c r="YB4" i="3"/>
  <c r="YB6" i="3" s="1"/>
  <c r="YA4" i="3"/>
  <c r="YA6" i="3" s="1"/>
  <c r="XZ4" i="3"/>
  <c r="XZ6" i="3" s="1"/>
  <c r="XY4" i="3"/>
  <c r="XY6" i="3" s="1"/>
  <c r="XX4" i="3"/>
  <c r="XX6" i="3" s="1"/>
  <c r="XW4" i="3"/>
  <c r="XW6" i="3" s="1"/>
  <c r="XV4" i="3"/>
  <c r="XV6" i="3" s="1"/>
  <c r="XU4" i="3"/>
  <c r="XU6" i="3" s="1"/>
  <c r="XT4" i="3"/>
  <c r="XT6" i="3" s="1"/>
  <c r="XS4" i="3"/>
  <c r="XS6" i="3" s="1"/>
  <c r="XR4" i="3"/>
  <c r="XR6" i="3" s="1"/>
  <c r="XQ4" i="3"/>
  <c r="XQ6" i="3" s="1"/>
  <c r="XP4" i="3"/>
  <c r="XP6" i="3" s="1"/>
  <c r="XO4" i="3"/>
  <c r="XO6" i="3" s="1"/>
  <c r="XN4" i="3"/>
  <c r="XN6" i="3" s="1"/>
  <c r="XM4" i="3"/>
  <c r="XM6" i="3" s="1"/>
  <c r="XL4" i="3"/>
  <c r="XL6" i="3" s="1"/>
  <c r="XK4" i="3"/>
  <c r="XK6" i="3" s="1"/>
  <c r="XJ4" i="3"/>
  <c r="XJ6" i="3" s="1"/>
  <c r="XI4" i="3"/>
  <c r="XI6" i="3" s="1"/>
  <c r="XG4" i="3"/>
  <c r="XG6" i="3" s="1"/>
  <c r="XF4" i="3"/>
  <c r="XF6" i="3" s="1"/>
  <c r="XE4" i="3"/>
  <c r="XE6" i="3" s="1"/>
  <c r="XD4" i="3"/>
  <c r="XD6" i="3" s="1"/>
  <c r="XC4" i="3"/>
  <c r="XC6" i="3" s="1"/>
  <c r="XB4" i="3"/>
  <c r="XB6" i="3" s="1"/>
  <c r="XA4" i="3"/>
  <c r="XA6" i="3" s="1"/>
  <c r="WZ4" i="3"/>
  <c r="WZ6" i="3" s="1"/>
  <c r="WY4" i="3"/>
  <c r="WY6" i="3" s="1"/>
  <c r="WX4" i="3"/>
  <c r="WX6" i="3" s="1"/>
  <c r="WW4" i="3"/>
  <c r="WW6" i="3" s="1"/>
  <c r="WV4" i="3"/>
  <c r="WV6" i="3" s="1"/>
  <c r="WU4" i="3"/>
  <c r="WU6" i="3" s="1"/>
  <c r="WT4" i="3"/>
  <c r="WT6" i="3" s="1"/>
  <c r="WS4" i="3"/>
  <c r="WS6" i="3" s="1"/>
  <c r="WR4" i="3"/>
  <c r="WR6" i="3" s="1"/>
  <c r="WQ4" i="3"/>
  <c r="WQ6" i="3" s="1"/>
  <c r="WP4" i="3"/>
  <c r="WP6" i="3" s="1"/>
  <c r="WO4" i="3"/>
  <c r="WO6" i="3" s="1"/>
  <c r="WN4" i="3"/>
  <c r="WN6" i="3" s="1"/>
  <c r="WM4" i="3"/>
  <c r="WM6" i="3" s="1"/>
  <c r="WL4" i="3"/>
  <c r="WL6" i="3" s="1"/>
  <c r="WK4" i="3"/>
  <c r="WK6" i="3" s="1"/>
  <c r="WJ4" i="3"/>
  <c r="WJ6" i="3" s="1"/>
  <c r="WI4" i="3"/>
  <c r="WI6" i="3" s="1"/>
  <c r="WH4" i="3"/>
  <c r="WH6" i="3" s="1"/>
  <c r="WG4" i="3"/>
  <c r="WG6" i="3" s="1"/>
  <c r="WF4" i="3"/>
  <c r="WF6" i="3" s="1"/>
  <c r="WE4" i="3"/>
  <c r="WE6" i="3" s="1"/>
  <c r="WD4" i="3"/>
  <c r="WD6" i="3" s="1"/>
  <c r="WC4" i="3"/>
  <c r="WC6" i="3" s="1"/>
  <c r="XH6" i="3" s="1"/>
  <c r="YM6" i="3" s="1"/>
  <c r="WA4" i="3"/>
  <c r="WA6" i="3" s="1"/>
  <c r="VZ4" i="3"/>
  <c r="VZ6" i="3" s="1"/>
  <c r="VY4" i="3"/>
  <c r="VY6" i="3" s="1"/>
  <c r="VX4" i="3"/>
  <c r="VX6" i="3" s="1"/>
  <c r="VW4" i="3"/>
  <c r="VW6" i="3" s="1"/>
  <c r="VV4" i="3"/>
  <c r="VV6" i="3" s="1"/>
  <c r="VU4" i="3"/>
  <c r="VU6" i="3" s="1"/>
  <c r="VT4" i="3"/>
  <c r="VT6" i="3" s="1"/>
  <c r="VS4" i="3"/>
  <c r="VS6" i="3" s="1"/>
  <c r="VR4" i="3"/>
  <c r="VR6" i="3" s="1"/>
  <c r="VQ4" i="3"/>
  <c r="VQ6" i="3" s="1"/>
  <c r="VP4" i="3"/>
  <c r="VP6" i="3" s="1"/>
  <c r="VO4" i="3"/>
  <c r="VO6" i="3" s="1"/>
  <c r="VN4" i="3"/>
  <c r="VN6" i="3" s="1"/>
  <c r="VM4" i="3"/>
  <c r="VM6" i="3" s="1"/>
  <c r="VL4" i="3"/>
  <c r="VL6" i="3" s="1"/>
  <c r="VK4" i="3"/>
  <c r="VK6" i="3" s="1"/>
  <c r="VJ4" i="3"/>
  <c r="VJ6" i="3" s="1"/>
  <c r="VI4" i="3"/>
  <c r="VI6" i="3" s="1"/>
  <c r="VH4" i="3"/>
  <c r="VH6" i="3" s="1"/>
  <c r="VG4" i="3"/>
  <c r="VG6" i="3" s="1"/>
  <c r="VF4" i="3"/>
  <c r="VF6" i="3" s="1"/>
  <c r="VE4" i="3"/>
  <c r="VE6" i="3" s="1"/>
  <c r="VD4" i="3"/>
  <c r="VD6" i="3" s="1"/>
  <c r="VC4" i="3"/>
  <c r="VC6" i="3" s="1"/>
  <c r="VB4" i="3"/>
  <c r="VB6" i="3" s="1"/>
  <c r="VA4" i="3"/>
  <c r="VA6" i="3" s="1"/>
  <c r="UZ4" i="3"/>
  <c r="UZ6" i="3" s="1"/>
  <c r="WB6" i="3" s="1"/>
  <c r="UX4" i="3"/>
  <c r="UX6" i="3" s="1"/>
  <c r="UW4" i="3"/>
  <c r="UW6" i="3" s="1"/>
  <c r="UV4" i="3"/>
  <c r="UV6" i="3" s="1"/>
  <c r="UU4" i="3"/>
  <c r="UU6" i="3" s="1"/>
  <c r="UT4" i="3"/>
  <c r="UT6" i="3" s="1"/>
  <c r="US4" i="3"/>
  <c r="US6" i="3" s="1"/>
  <c r="UR4" i="3"/>
  <c r="UR6" i="3" s="1"/>
  <c r="UQ4" i="3"/>
  <c r="UQ6" i="3" s="1"/>
  <c r="UP4" i="3"/>
  <c r="UP6" i="3" s="1"/>
  <c r="UO4" i="3"/>
  <c r="UO6" i="3" s="1"/>
  <c r="UN4" i="3"/>
  <c r="UN6" i="3" s="1"/>
  <c r="UM4" i="3"/>
  <c r="UM6" i="3" s="1"/>
  <c r="UL4" i="3"/>
  <c r="UL6" i="3" s="1"/>
  <c r="UK4" i="3"/>
  <c r="UK6" i="3" s="1"/>
  <c r="UJ4" i="3"/>
  <c r="UJ6" i="3" s="1"/>
  <c r="UI4" i="3"/>
  <c r="UI6" i="3" s="1"/>
  <c r="UH4" i="3"/>
  <c r="UH6" i="3" s="1"/>
  <c r="UG4" i="3"/>
  <c r="UG6" i="3" s="1"/>
  <c r="UF4" i="3"/>
  <c r="UF6" i="3" s="1"/>
  <c r="UE4" i="3"/>
  <c r="UE6" i="3" s="1"/>
  <c r="UD4" i="3"/>
  <c r="UD6" i="3" s="1"/>
  <c r="UC4" i="3"/>
  <c r="UC6" i="3" s="1"/>
  <c r="UB4" i="3"/>
  <c r="UB6" i="3" s="1"/>
  <c r="UA4" i="3"/>
  <c r="UA6" i="3" s="1"/>
  <c r="TZ4" i="3"/>
  <c r="TZ6" i="3" s="1"/>
  <c r="TY4" i="3"/>
  <c r="TY6" i="3" s="1"/>
  <c r="TX4" i="3"/>
  <c r="TX6" i="3" s="1"/>
  <c r="TW4" i="3"/>
  <c r="TW6" i="3" s="1"/>
  <c r="TV4" i="3"/>
  <c r="TV6" i="3" s="1"/>
  <c r="TU4" i="3"/>
  <c r="TU6" i="3" s="1"/>
  <c r="TT4" i="3"/>
  <c r="TT6" i="3" s="1"/>
  <c r="UY6" i="3" s="1"/>
  <c r="TR4" i="3"/>
  <c r="TR6" i="3" s="1"/>
  <c r="TQ4" i="3"/>
  <c r="TQ6" i="3" s="1"/>
  <c r="TP4" i="3"/>
  <c r="TP6" i="3" s="1"/>
  <c r="TO4" i="3"/>
  <c r="TO6" i="3" s="1"/>
  <c r="TN4" i="3"/>
  <c r="TN6" i="3" s="1"/>
  <c r="TM4" i="3"/>
  <c r="TM6" i="3" s="1"/>
  <c r="TL4" i="3"/>
  <c r="TL6" i="3" s="1"/>
  <c r="TK4" i="3"/>
  <c r="TK6" i="3" s="1"/>
  <c r="TJ4" i="3"/>
  <c r="TJ6" i="3" s="1"/>
  <c r="TI4" i="3"/>
  <c r="TI6" i="3" s="1"/>
  <c r="TH4" i="3"/>
  <c r="TH6" i="3" s="1"/>
  <c r="TG4" i="3"/>
  <c r="TG6" i="3" s="1"/>
  <c r="TF4" i="3"/>
  <c r="TF6" i="3" s="1"/>
  <c r="TE4" i="3"/>
  <c r="TE6" i="3" s="1"/>
  <c r="TD4" i="3"/>
  <c r="TD6" i="3" s="1"/>
  <c r="TC4" i="3"/>
  <c r="TC6" i="3" s="1"/>
  <c r="TB4" i="3"/>
  <c r="TB6" i="3" s="1"/>
  <c r="TA4" i="3"/>
  <c r="TA6" i="3" s="1"/>
  <c r="SZ4" i="3"/>
  <c r="SZ6" i="3" s="1"/>
  <c r="SY4" i="3"/>
  <c r="SY6" i="3" s="1"/>
  <c r="SX4" i="3"/>
  <c r="SX6" i="3" s="1"/>
  <c r="SW4" i="3"/>
  <c r="SW6" i="3" s="1"/>
  <c r="SV4" i="3"/>
  <c r="SV6" i="3" s="1"/>
  <c r="SU4" i="3"/>
  <c r="SU6" i="3" s="1"/>
  <c r="ST4" i="3"/>
  <c r="ST6" i="3" s="1"/>
  <c r="SS4" i="3"/>
  <c r="SS6" i="3" s="1"/>
  <c r="SR4" i="3"/>
  <c r="SR6" i="3" s="1"/>
  <c r="SQ4" i="3"/>
  <c r="SQ6" i="3" s="1"/>
  <c r="SP4" i="3"/>
  <c r="SP6" i="3" s="1"/>
  <c r="SO4" i="3"/>
  <c r="SO6" i="3" s="1"/>
  <c r="TS6" i="3" s="1"/>
  <c r="SN4" i="3"/>
  <c r="SN6" i="3" s="1"/>
  <c r="SL4" i="3"/>
  <c r="SL6" i="3" s="1"/>
  <c r="SK4" i="3"/>
  <c r="SK6" i="3" s="1"/>
  <c r="SJ4" i="3"/>
  <c r="SJ6" i="3" s="1"/>
  <c r="SI4" i="3"/>
  <c r="SI6" i="3" s="1"/>
  <c r="SH4" i="3"/>
  <c r="SH6" i="3" s="1"/>
  <c r="SG4" i="3"/>
  <c r="SG6" i="3" s="1"/>
  <c r="SF4" i="3"/>
  <c r="SF6" i="3" s="1"/>
  <c r="SE4" i="3"/>
  <c r="SE6" i="3" s="1"/>
  <c r="SD4" i="3"/>
  <c r="SD6" i="3" s="1"/>
  <c r="SC4" i="3"/>
  <c r="SC6" i="3" s="1"/>
  <c r="SB4" i="3"/>
  <c r="SB6" i="3" s="1"/>
  <c r="SA4" i="3"/>
  <c r="SA6" i="3" s="1"/>
  <c r="RZ4" i="3"/>
  <c r="RZ6" i="3" s="1"/>
  <c r="RY4" i="3"/>
  <c r="RY6" i="3" s="1"/>
  <c r="RX4" i="3"/>
  <c r="RX6" i="3" s="1"/>
  <c r="RW4" i="3"/>
  <c r="RW6" i="3" s="1"/>
  <c r="RV4" i="3"/>
  <c r="RV6" i="3" s="1"/>
  <c r="RU4" i="3"/>
  <c r="RU6" i="3" s="1"/>
  <c r="RT4" i="3"/>
  <c r="RT6" i="3" s="1"/>
  <c r="RS4" i="3"/>
  <c r="RS6" i="3" s="1"/>
  <c r="RR4" i="3"/>
  <c r="RR6" i="3" s="1"/>
  <c r="RQ4" i="3"/>
  <c r="RQ6" i="3" s="1"/>
  <c r="RP4" i="3"/>
  <c r="RP6" i="3" s="1"/>
  <c r="RO4" i="3"/>
  <c r="RO6" i="3" s="1"/>
  <c r="RN4" i="3"/>
  <c r="RN6" i="3" s="1"/>
  <c r="RM4" i="3"/>
  <c r="RM6" i="3" s="1"/>
  <c r="RL4" i="3"/>
  <c r="RL6" i="3" s="1"/>
  <c r="RK4" i="3"/>
  <c r="RK6" i="3" s="1"/>
  <c r="RJ4" i="3"/>
  <c r="RJ6" i="3" s="1"/>
  <c r="RI4" i="3"/>
  <c r="RI6" i="3" s="1"/>
  <c r="SM6" i="3" s="1"/>
  <c r="RG4" i="3"/>
  <c r="RG6" i="3" s="1"/>
  <c r="RF4" i="3"/>
  <c r="RF6" i="3" s="1"/>
  <c r="RE4" i="3"/>
  <c r="RE6" i="3" s="1"/>
  <c r="RD4" i="3"/>
  <c r="RD6" i="3" s="1"/>
  <c r="RC4" i="3"/>
  <c r="RC6" i="3" s="1"/>
  <c r="RB4" i="3"/>
  <c r="RB6" i="3" s="1"/>
  <c r="RA4" i="3"/>
  <c r="RA6" i="3" s="1"/>
  <c r="QZ4" i="3"/>
  <c r="QZ6" i="3" s="1"/>
  <c r="QY4" i="3"/>
  <c r="QY6" i="3" s="1"/>
  <c r="QX4" i="3"/>
  <c r="QX6" i="3" s="1"/>
  <c r="QW4" i="3"/>
  <c r="QW6" i="3" s="1"/>
  <c r="QV4" i="3"/>
  <c r="QV6" i="3" s="1"/>
  <c r="QU4" i="3"/>
  <c r="QU6" i="3" s="1"/>
  <c r="QT4" i="3"/>
  <c r="QT6" i="3" s="1"/>
  <c r="QS4" i="3"/>
  <c r="QS6" i="3" s="1"/>
  <c r="QR4" i="3"/>
  <c r="QR6" i="3" s="1"/>
  <c r="QQ4" i="3"/>
  <c r="QQ6" i="3" s="1"/>
  <c r="QP4" i="3"/>
  <c r="QP6" i="3" s="1"/>
  <c r="QO4" i="3"/>
  <c r="QO6" i="3" s="1"/>
  <c r="QN4" i="3"/>
  <c r="QN6" i="3" s="1"/>
  <c r="QM4" i="3"/>
  <c r="QM6" i="3" s="1"/>
  <c r="QL4" i="3"/>
  <c r="QL6" i="3" s="1"/>
  <c r="QK4" i="3"/>
  <c r="QK6" i="3" s="1"/>
  <c r="QJ4" i="3"/>
  <c r="QJ6" i="3" s="1"/>
  <c r="QI4" i="3"/>
  <c r="QI6" i="3" s="1"/>
  <c r="QH4" i="3"/>
  <c r="QH6" i="3" s="1"/>
  <c r="QG4" i="3"/>
  <c r="QG6" i="3" s="1"/>
  <c r="QF4" i="3"/>
  <c r="QF6" i="3" s="1"/>
  <c r="QE4" i="3"/>
  <c r="QE6" i="3" s="1"/>
  <c r="QD4" i="3"/>
  <c r="QD6" i="3" s="1"/>
  <c r="QC4" i="3"/>
  <c r="QC6" i="3" s="1"/>
  <c r="RH6" i="3" s="1"/>
  <c r="QA4" i="3"/>
  <c r="QA6" i="3" s="1"/>
  <c r="PZ4" i="3"/>
  <c r="PZ6" i="3" s="1"/>
  <c r="PY4" i="3"/>
  <c r="PY6" i="3" s="1"/>
  <c r="PX4" i="3"/>
  <c r="PX6" i="3" s="1"/>
  <c r="PW4" i="3"/>
  <c r="PW6" i="3" s="1"/>
  <c r="PV4" i="3"/>
  <c r="PV6" i="3" s="1"/>
  <c r="PU4" i="3"/>
  <c r="PU6" i="3" s="1"/>
  <c r="PT4" i="3"/>
  <c r="PT6" i="3" s="1"/>
  <c r="PS4" i="3"/>
  <c r="PS6" i="3" s="1"/>
  <c r="PR4" i="3"/>
  <c r="PR6" i="3" s="1"/>
  <c r="PQ4" i="3"/>
  <c r="PQ6" i="3" s="1"/>
  <c r="PP4" i="3"/>
  <c r="PP6" i="3" s="1"/>
  <c r="PO4" i="3"/>
  <c r="PO6" i="3" s="1"/>
  <c r="PN4" i="3"/>
  <c r="PN6" i="3" s="1"/>
  <c r="PM4" i="3"/>
  <c r="PM6" i="3" s="1"/>
  <c r="PL4" i="3"/>
  <c r="PL6" i="3" s="1"/>
  <c r="PK4" i="3"/>
  <c r="PK6" i="3" s="1"/>
  <c r="PJ4" i="3"/>
  <c r="PJ6" i="3" s="1"/>
  <c r="PI4" i="3"/>
  <c r="PI6" i="3" s="1"/>
  <c r="PH4" i="3"/>
  <c r="PH6" i="3" s="1"/>
  <c r="PG4" i="3"/>
  <c r="PG6" i="3" s="1"/>
  <c r="PF4" i="3"/>
  <c r="PF6" i="3" s="1"/>
  <c r="PE4" i="3"/>
  <c r="PE6" i="3" s="1"/>
  <c r="PD4" i="3"/>
  <c r="PD6" i="3" s="1"/>
  <c r="PC4" i="3"/>
  <c r="PC6" i="3" s="1"/>
  <c r="PB4" i="3"/>
  <c r="PB6" i="3" s="1"/>
  <c r="PA4" i="3"/>
  <c r="PA6" i="3" s="1"/>
  <c r="OZ4" i="3"/>
  <c r="OZ6" i="3" s="1"/>
  <c r="OY4" i="3"/>
  <c r="OY6" i="3" s="1"/>
  <c r="OX4" i="3"/>
  <c r="OX6" i="3" s="1"/>
  <c r="QB6" i="3" s="1"/>
  <c r="OV4" i="3"/>
  <c r="OV6" i="3" s="1"/>
  <c r="OU4" i="3"/>
  <c r="OU6" i="3" s="1"/>
  <c r="OT4" i="3"/>
  <c r="OT6" i="3" s="1"/>
  <c r="OS4" i="3"/>
  <c r="OS6" i="3" s="1"/>
  <c r="OR4" i="3"/>
  <c r="OR6" i="3" s="1"/>
  <c r="OQ4" i="3"/>
  <c r="OQ6" i="3" s="1"/>
  <c r="OP4" i="3"/>
  <c r="OP6" i="3" s="1"/>
  <c r="OO4" i="3"/>
  <c r="OO6" i="3" s="1"/>
  <c r="ON4" i="3"/>
  <c r="ON6" i="3" s="1"/>
  <c r="OM4" i="3"/>
  <c r="OM6" i="3" s="1"/>
  <c r="OL4" i="3"/>
  <c r="OL6" i="3" s="1"/>
  <c r="OK4" i="3"/>
  <c r="OK6" i="3" s="1"/>
  <c r="OJ4" i="3"/>
  <c r="OJ6" i="3" s="1"/>
  <c r="OI4" i="3"/>
  <c r="OI6" i="3" s="1"/>
  <c r="OH4" i="3"/>
  <c r="OH6" i="3" s="1"/>
  <c r="OG4" i="3"/>
  <c r="OG6" i="3" s="1"/>
  <c r="OF4" i="3"/>
  <c r="OF6" i="3" s="1"/>
  <c r="OE4" i="3"/>
  <c r="OE6" i="3" s="1"/>
  <c r="OD4" i="3"/>
  <c r="OD6" i="3" s="1"/>
  <c r="OC4" i="3"/>
  <c r="OC6" i="3" s="1"/>
  <c r="OB4" i="3"/>
  <c r="OB6" i="3" s="1"/>
  <c r="OA4" i="3"/>
  <c r="OA6" i="3" s="1"/>
  <c r="NZ4" i="3"/>
  <c r="NZ6" i="3" s="1"/>
  <c r="NY4" i="3"/>
  <c r="NY6" i="3" s="1"/>
  <c r="NX4" i="3"/>
  <c r="NX6" i="3" s="1"/>
  <c r="NW4" i="3"/>
  <c r="NW6" i="3" s="1"/>
  <c r="NV4" i="3"/>
  <c r="NV6" i="3" s="1"/>
  <c r="NU4" i="3"/>
  <c r="NU6" i="3" s="1"/>
  <c r="NT4" i="3"/>
  <c r="NT6" i="3" s="1"/>
  <c r="NS4" i="3"/>
  <c r="NS6" i="3" s="1"/>
  <c r="NR4" i="3"/>
  <c r="NR6" i="3" s="1"/>
  <c r="OW6" i="3" s="1"/>
  <c r="NP4" i="3"/>
  <c r="NP6" i="3" s="1"/>
  <c r="NO4" i="3"/>
  <c r="NO6" i="3" s="1"/>
  <c r="NN4" i="3"/>
  <c r="NN6" i="3" s="1"/>
  <c r="NM4" i="3"/>
  <c r="NM6" i="3" s="1"/>
  <c r="NL4" i="3"/>
  <c r="NL6" i="3" s="1"/>
  <c r="NK4" i="3"/>
  <c r="NK6" i="3" s="1"/>
  <c r="NJ4" i="3"/>
  <c r="NJ6" i="3" s="1"/>
  <c r="NI4" i="3"/>
  <c r="NI6" i="3" s="1"/>
  <c r="NH4" i="3"/>
  <c r="NH6" i="3" s="1"/>
  <c r="NG4" i="3"/>
  <c r="NG6" i="3" s="1"/>
  <c r="NF4" i="3"/>
  <c r="NF6" i="3" s="1"/>
  <c r="NE4" i="3"/>
  <c r="NE6" i="3" s="1"/>
  <c r="ND4" i="3"/>
  <c r="ND6" i="3" s="1"/>
  <c r="NC4" i="3"/>
  <c r="NC6" i="3" s="1"/>
  <c r="NB4" i="3"/>
  <c r="NB6" i="3" s="1"/>
  <c r="NA4" i="3"/>
  <c r="NA6" i="3" s="1"/>
  <c r="MZ4" i="3"/>
  <c r="MZ6" i="3" s="1"/>
  <c r="MY4" i="3"/>
  <c r="MY6" i="3" s="1"/>
  <c r="MX4" i="3"/>
  <c r="MX6" i="3" s="1"/>
  <c r="MW4" i="3"/>
  <c r="MW6" i="3" s="1"/>
  <c r="MV4" i="3"/>
  <c r="MV6" i="3" s="1"/>
  <c r="MU4" i="3"/>
  <c r="MU6" i="3" s="1"/>
  <c r="MT4" i="3"/>
  <c r="MT6" i="3" s="1"/>
  <c r="MS4" i="3"/>
  <c r="MS6" i="3" s="1"/>
  <c r="MR4" i="3"/>
  <c r="MR6" i="3" s="1"/>
  <c r="MQ4" i="3"/>
  <c r="MQ6" i="3" s="1"/>
  <c r="MP4" i="3"/>
  <c r="MP6" i="3" s="1"/>
  <c r="MO4" i="3"/>
  <c r="MO6" i="3" s="1"/>
  <c r="MN4" i="3"/>
  <c r="MN6" i="3" s="1"/>
  <c r="MM4" i="3"/>
  <c r="MM6" i="3" s="1"/>
  <c r="ML4" i="3"/>
  <c r="ML6" i="3" s="1"/>
  <c r="NQ6" i="3" s="1"/>
  <c r="MJ4" i="3"/>
  <c r="MJ6" i="3" s="1"/>
  <c r="MI4" i="3"/>
  <c r="MI6" i="3" s="1"/>
  <c r="MH4" i="3"/>
  <c r="MH6" i="3" s="1"/>
  <c r="MG4" i="3"/>
  <c r="MG6" i="3" s="1"/>
  <c r="MF4" i="3"/>
  <c r="MF6" i="3" s="1"/>
  <c r="ME4" i="3"/>
  <c r="ME6" i="3" s="1"/>
  <c r="MD4" i="3"/>
  <c r="MD6" i="3" s="1"/>
  <c r="MC4" i="3"/>
  <c r="MC6" i="3" s="1"/>
  <c r="MB4" i="3"/>
  <c r="MB6" i="3" s="1"/>
  <c r="MA4" i="3"/>
  <c r="MA6" i="3" s="1"/>
  <c r="LZ4" i="3"/>
  <c r="LZ6" i="3" s="1"/>
  <c r="LY4" i="3"/>
  <c r="LY6" i="3" s="1"/>
  <c r="LX4" i="3"/>
  <c r="LX6" i="3" s="1"/>
  <c r="LW4" i="3"/>
  <c r="LW6" i="3" s="1"/>
  <c r="LV4" i="3"/>
  <c r="LV6" i="3" s="1"/>
  <c r="LU4" i="3"/>
  <c r="LU6" i="3" s="1"/>
  <c r="LT4" i="3"/>
  <c r="LT6" i="3" s="1"/>
  <c r="LS4" i="3"/>
  <c r="LS6" i="3" s="1"/>
  <c r="LR4" i="3"/>
  <c r="LR6" i="3" s="1"/>
  <c r="LQ4" i="3"/>
  <c r="LQ6" i="3" s="1"/>
  <c r="LP4" i="3"/>
  <c r="LP6" i="3" s="1"/>
  <c r="LO4" i="3"/>
  <c r="LO6" i="3" s="1"/>
  <c r="LN4" i="3"/>
  <c r="LN6" i="3" s="1"/>
  <c r="LM4" i="3"/>
  <c r="LM6" i="3" s="1"/>
  <c r="LL4" i="3"/>
  <c r="LL6" i="3" s="1"/>
  <c r="LK4" i="3"/>
  <c r="LK6" i="3" s="1"/>
  <c r="LJ4" i="3"/>
  <c r="LJ6" i="3" s="1"/>
  <c r="LI4" i="3"/>
  <c r="LI6" i="3" s="1"/>
  <c r="LH4" i="3"/>
  <c r="LH6" i="3" s="1"/>
  <c r="LG4" i="3"/>
  <c r="LG6" i="3" s="1"/>
  <c r="LE4" i="3"/>
  <c r="LE6" i="3" s="1"/>
  <c r="LD4" i="3"/>
  <c r="LD6" i="3" s="1"/>
  <c r="LC4" i="3"/>
  <c r="LC6" i="3" s="1"/>
  <c r="LB4" i="3"/>
  <c r="LB6" i="3" s="1"/>
  <c r="LA4" i="3"/>
  <c r="LA6" i="3" s="1"/>
  <c r="KZ4" i="3"/>
  <c r="KZ6" i="3" s="1"/>
  <c r="KY4" i="3"/>
  <c r="KY6" i="3" s="1"/>
  <c r="KX4" i="3"/>
  <c r="KX6" i="3" s="1"/>
  <c r="KW4" i="3"/>
  <c r="KW6" i="3" s="1"/>
  <c r="KV4" i="3"/>
  <c r="KV6" i="3" s="1"/>
  <c r="KU4" i="3"/>
  <c r="KU6" i="3" s="1"/>
  <c r="KT4" i="3"/>
  <c r="KT6" i="3" s="1"/>
  <c r="KS4" i="3"/>
  <c r="KS6" i="3" s="1"/>
  <c r="KR4" i="3"/>
  <c r="KR6" i="3" s="1"/>
  <c r="KQ4" i="3"/>
  <c r="KQ6" i="3" s="1"/>
  <c r="KP4" i="3"/>
  <c r="KP6" i="3" s="1"/>
  <c r="KO4" i="3"/>
  <c r="KO6" i="3" s="1"/>
  <c r="KN4" i="3"/>
  <c r="KN6" i="3" s="1"/>
  <c r="KM4" i="3"/>
  <c r="KM6" i="3" s="1"/>
  <c r="KL4" i="3"/>
  <c r="KL6" i="3" s="1"/>
  <c r="KK4" i="3"/>
  <c r="KK6" i="3" s="1"/>
  <c r="KJ4" i="3"/>
  <c r="KJ6" i="3" s="1"/>
  <c r="KI4" i="3"/>
  <c r="KI6" i="3" s="1"/>
  <c r="KH4" i="3"/>
  <c r="KH6" i="3" s="1"/>
  <c r="KG4" i="3"/>
  <c r="KG6" i="3" s="1"/>
  <c r="KF4" i="3"/>
  <c r="KF6" i="3" s="1"/>
  <c r="KE4" i="3"/>
  <c r="KE6" i="3" s="1"/>
  <c r="KD4" i="3"/>
  <c r="KD6" i="3" s="1"/>
  <c r="KC4" i="3"/>
  <c r="KC6" i="3" s="1"/>
  <c r="KB4" i="3"/>
  <c r="KB6" i="3" s="1"/>
  <c r="KA4" i="3"/>
  <c r="KA6" i="3" s="1"/>
  <c r="LF6" i="3" s="1"/>
  <c r="JY4" i="3"/>
  <c r="JY6" i="3" s="1"/>
  <c r="JX4" i="3"/>
  <c r="JX6" i="3" s="1"/>
  <c r="JW4" i="3"/>
  <c r="JW6" i="3" s="1"/>
  <c r="JV4" i="3"/>
  <c r="JV6" i="3" s="1"/>
  <c r="JU4" i="3"/>
  <c r="JU6" i="3" s="1"/>
  <c r="JT4" i="3"/>
  <c r="JT6" i="3" s="1"/>
  <c r="JS4" i="3"/>
  <c r="JS6" i="3" s="1"/>
  <c r="JR4" i="3"/>
  <c r="JR6" i="3" s="1"/>
  <c r="JQ4" i="3"/>
  <c r="JQ6" i="3" s="1"/>
  <c r="JP4" i="3"/>
  <c r="JP6" i="3" s="1"/>
  <c r="JO4" i="3"/>
  <c r="JO6" i="3" s="1"/>
  <c r="JN4" i="3"/>
  <c r="JN6" i="3" s="1"/>
  <c r="JM4" i="3"/>
  <c r="JM6" i="3" s="1"/>
  <c r="JL4" i="3"/>
  <c r="JL6" i="3" s="1"/>
  <c r="JK4" i="3"/>
  <c r="JK6" i="3" s="1"/>
  <c r="JJ4" i="3"/>
  <c r="JJ6" i="3" s="1"/>
  <c r="JI4" i="3"/>
  <c r="JI6" i="3" s="1"/>
  <c r="JH4" i="3"/>
  <c r="JH6" i="3" s="1"/>
  <c r="JG4" i="3"/>
  <c r="JG6" i="3" s="1"/>
  <c r="JF4" i="3"/>
  <c r="JF6" i="3" s="1"/>
  <c r="JE4" i="3"/>
  <c r="JE6" i="3" s="1"/>
  <c r="JD4" i="3"/>
  <c r="JD6" i="3" s="1"/>
  <c r="JC4" i="3"/>
  <c r="JC6" i="3" s="1"/>
  <c r="JB4" i="3"/>
  <c r="JB6" i="3" s="1"/>
  <c r="JA4" i="3"/>
  <c r="JA6" i="3" s="1"/>
  <c r="IZ4" i="3"/>
  <c r="IZ6" i="3" s="1"/>
  <c r="IY4" i="3"/>
  <c r="IY6" i="3" s="1"/>
  <c r="IX4" i="3"/>
  <c r="IX6" i="3" s="1"/>
  <c r="IW4" i="3"/>
  <c r="IW6" i="3" s="1"/>
  <c r="IV4" i="3"/>
  <c r="IV6" i="3" s="1"/>
  <c r="JZ6" i="3" s="1"/>
  <c r="IT4" i="3"/>
  <c r="IT6" i="3" s="1"/>
  <c r="IS4" i="3"/>
  <c r="IS6" i="3" s="1"/>
  <c r="IR4" i="3"/>
  <c r="IR6" i="3" s="1"/>
  <c r="IQ4" i="3"/>
  <c r="IQ6" i="3" s="1"/>
  <c r="IP4" i="3"/>
  <c r="IP6" i="3" s="1"/>
  <c r="IO4" i="3"/>
  <c r="IO6" i="3" s="1"/>
  <c r="IN4" i="3"/>
  <c r="IN6" i="3" s="1"/>
  <c r="IM4" i="3"/>
  <c r="IM6" i="3" s="1"/>
  <c r="IL4" i="3"/>
  <c r="IL6" i="3" s="1"/>
  <c r="IK4" i="3"/>
  <c r="IK6" i="3" s="1"/>
  <c r="IJ4" i="3"/>
  <c r="IJ6" i="3" s="1"/>
  <c r="II4" i="3"/>
  <c r="II6" i="3" s="1"/>
  <c r="IH4" i="3"/>
  <c r="IH6" i="3" s="1"/>
  <c r="IG4" i="3"/>
  <c r="IG6" i="3" s="1"/>
  <c r="IF4" i="3"/>
  <c r="IF6" i="3" s="1"/>
  <c r="IE4" i="3"/>
  <c r="IE6" i="3" s="1"/>
  <c r="ID4" i="3"/>
  <c r="ID6" i="3" s="1"/>
  <c r="IC4" i="3"/>
  <c r="IC6" i="3" s="1"/>
  <c r="IB4" i="3"/>
  <c r="IB6" i="3" s="1"/>
  <c r="IA4" i="3"/>
  <c r="IA6" i="3" s="1"/>
  <c r="HZ4" i="3"/>
  <c r="HZ6" i="3" s="1"/>
  <c r="HY4" i="3"/>
  <c r="HY6" i="3" s="1"/>
  <c r="HX4" i="3"/>
  <c r="HX6" i="3" s="1"/>
  <c r="HW4" i="3"/>
  <c r="HW6" i="3" s="1"/>
  <c r="HV4" i="3"/>
  <c r="HV6" i="3" s="1"/>
  <c r="HU4" i="3"/>
  <c r="HU6" i="3" s="1"/>
  <c r="HT4" i="3"/>
  <c r="HT6" i="3" s="1"/>
  <c r="HS4" i="3"/>
  <c r="HS6" i="3" s="1"/>
  <c r="HR4" i="3"/>
  <c r="HR6" i="3" s="1"/>
  <c r="HQ4" i="3"/>
  <c r="HQ6" i="3" s="1"/>
  <c r="HP4" i="3"/>
  <c r="HP6" i="3" s="1"/>
  <c r="HN4" i="3"/>
  <c r="HN6" i="3" s="1"/>
  <c r="HM4" i="3"/>
  <c r="HM6" i="3" s="1"/>
  <c r="HL4" i="3"/>
  <c r="HL6" i="3" s="1"/>
  <c r="HK4" i="3"/>
  <c r="HK6" i="3" s="1"/>
  <c r="HJ4" i="3"/>
  <c r="HJ6" i="3" s="1"/>
  <c r="HI4" i="3"/>
  <c r="HI6" i="3" s="1"/>
  <c r="HH4" i="3"/>
  <c r="HH6" i="3" s="1"/>
  <c r="HG4" i="3"/>
  <c r="HG6" i="3" s="1"/>
  <c r="HF4" i="3"/>
  <c r="HF6" i="3" s="1"/>
  <c r="HE4" i="3"/>
  <c r="HE6" i="3" s="1"/>
  <c r="HD4" i="3"/>
  <c r="HD6" i="3" s="1"/>
  <c r="HC4" i="3"/>
  <c r="HC6" i="3" s="1"/>
  <c r="HB4" i="3"/>
  <c r="HB6" i="3" s="1"/>
  <c r="HA4" i="3"/>
  <c r="HA6" i="3" s="1"/>
  <c r="GZ4" i="3"/>
  <c r="GZ6" i="3" s="1"/>
  <c r="GY4" i="3"/>
  <c r="GY6" i="3" s="1"/>
  <c r="GX4" i="3"/>
  <c r="GX6" i="3" s="1"/>
  <c r="GW4" i="3"/>
  <c r="GW6" i="3" s="1"/>
  <c r="GV4" i="3"/>
  <c r="GV6" i="3" s="1"/>
  <c r="GU4" i="3"/>
  <c r="GU6" i="3" s="1"/>
  <c r="GT4" i="3"/>
  <c r="GT6" i="3" s="1"/>
  <c r="GS4" i="3"/>
  <c r="GS6" i="3" s="1"/>
  <c r="GR4" i="3"/>
  <c r="GR6" i="3" s="1"/>
  <c r="GQ4" i="3"/>
  <c r="GQ6" i="3" s="1"/>
  <c r="GP4" i="3"/>
  <c r="GP6" i="3" s="1"/>
  <c r="GO4" i="3"/>
  <c r="GO6" i="3" s="1"/>
  <c r="GN4" i="3"/>
  <c r="GN6" i="3" s="1"/>
  <c r="GM4" i="3"/>
  <c r="GM6" i="3" s="1"/>
  <c r="GL4" i="3"/>
  <c r="GL6" i="3" s="1"/>
  <c r="GJ4" i="3"/>
  <c r="GJ6" i="3" s="1"/>
  <c r="GI4" i="3"/>
  <c r="GI6" i="3" s="1"/>
  <c r="GH4" i="3"/>
  <c r="GH6" i="3" s="1"/>
  <c r="GG4" i="3"/>
  <c r="GG6" i="3" s="1"/>
  <c r="GF4" i="3"/>
  <c r="GF6" i="3" s="1"/>
  <c r="GE4" i="3"/>
  <c r="GE6" i="3" s="1"/>
  <c r="GD4" i="3"/>
  <c r="GD6" i="3" s="1"/>
  <c r="GC4" i="3"/>
  <c r="GC6" i="3" s="1"/>
  <c r="GB4" i="3"/>
  <c r="GB6" i="3" s="1"/>
  <c r="GA4" i="3"/>
  <c r="GA6" i="3" s="1"/>
  <c r="FZ4" i="3"/>
  <c r="FZ6" i="3" s="1"/>
  <c r="FY4" i="3"/>
  <c r="FY6" i="3" s="1"/>
  <c r="FX4" i="3"/>
  <c r="FX6" i="3" s="1"/>
  <c r="FW4" i="3"/>
  <c r="FW6" i="3" s="1"/>
  <c r="FV4" i="3"/>
  <c r="FV6" i="3" s="1"/>
  <c r="FU4" i="3"/>
  <c r="FU6" i="3" s="1"/>
  <c r="FT4" i="3"/>
  <c r="FT6" i="3" s="1"/>
  <c r="FS4" i="3"/>
  <c r="FS6" i="3" s="1"/>
  <c r="FR4" i="3"/>
  <c r="FR6" i="3" s="1"/>
  <c r="FQ4" i="3"/>
  <c r="FQ6" i="3" s="1"/>
  <c r="FP4" i="3"/>
  <c r="FP6" i="3" s="1"/>
  <c r="FO4" i="3"/>
  <c r="FO6" i="3" s="1"/>
  <c r="FN4" i="3"/>
  <c r="FN6" i="3" s="1"/>
  <c r="FM4" i="3"/>
  <c r="FM6" i="3" s="1"/>
  <c r="FL4" i="3"/>
  <c r="FL6" i="3" s="1"/>
  <c r="FK4" i="3"/>
  <c r="FK6" i="3" s="1"/>
  <c r="FJ4" i="3"/>
  <c r="FJ6" i="3" s="1"/>
  <c r="FI4" i="3"/>
  <c r="FI6" i="3" s="1"/>
  <c r="FH4" i="3"/>
  <c r="FH6" i="3" s="1"/>
  <c r="FG4" i="3"/>
  <c r="FG6" i="3" s="1"/>
  <c r="FF4" i="3"/>
  <c r="FF6" i="3" s="1"/>
  <c r="FD4" i="3"/>
  <c r="FD6" i="3" s="1"/>
  <c r="FC4" i="3"/>
  <c r="FC6" i="3" s="1"/>
  <c r="FB4" i="3"/>
  <c r="FB6" i="3" s="1"/>
  <c r="FA4" i="3"/>
  <c r="FA6" i="3" s="1"/>
  <c r="EZ4" i="3"/>
  <c r="EZ6" i="3" s="1"/>
  <c r="EY4" i="3"/>
  <c r="EY6" i="3" s="1"/>
  <c r="EX4" i="3"/>
  <c r="EX6" i="3" s="1"/>
  <c r="EW4" i="3"/>
  <c r="EW6" i="3" s="1"/>
  <c r="EV4" i="3"/>
  <c r="EV6" i="3" s="1"/>
  <c r="EU4" i="3"/>
  <c r="EU6" i="3" s="1"/>
  <c r="ET4" i="3"/>
  <c r="ET6" i="3" s="1"/>
  <c r="ES4" i="3"/>
  <c r="ES6" i="3" s="1"/>
  <c r="ER4" i="3"/>
  <c r="ER6" i="3" s="1"/>
  <c r="EQ4" i="3"/>
  <c r="EQ6" i="3" s="1"/>
  <c r="EP4" i="3"/>
  <c r="EP6" i="3" s="1"/>
  <c r="EO4" i="3"/>
  <c r="EO6" i="3" s="1"/>
  <c r="EN4" i="3"/>
  <c r="EN6" i="3" s="1"/>
  <c r="EM4" i="3"/>
  <c r="EM6" i="3" s="1"/>
  <c r="EL4" i="3"/>
  <c r="EL6" i="3" s="1"/>
  <c r="EK4" i="3"/>
  <c r="EK6" i="3" s="1"/>
  <c r="EJ4" i="3"/>
  <c r="EJ6" i="3" s="1"/>
  <c r="EI4" i="3"/>
  <c r="EI6" i="3" s="1"/>
  <c r="EH4" i="3"/>
  <c r="EH6" i="3" s="1"/>
  <c r="EG4" i="3"/>
  <c r="EG6" i="3" s="1"/>
  <c r="EF4" i="3"/>
  <c r="EF6" i="3" s="1"/>
  <c r="EE4" i="3"/>
  <c r="EE6" i="3" s="1"/>
  <c r="ED4" i="3"/>
  <c r="ED6" i="3" s="1"/>
  <c r="EC4" i="3"/>
  <c r="EC6" i="3" s="1"/>
  <c r="EB4" i="3"/>
  <c r="EB6" i="3" s="1"/>
  <c r="EA4" i="3"/>
  <c r="EA6" i="3" s="1"/>
  <c r="DZ4" i="3"/>
  <c r="DZ6" i="3" s="1"/>
  <c r="FE6" i="3" s="1"/>
  <c r="DX4" i="3"/>
  <c r="DX6" i="3" s="1"/>
  <c r="DW4" i="3"/>
  <c r="DW6" i="3" s="1"/>
  <c r="DV4" i="3"/>
  <c r="DV6" i="3" s="1"/>
  <c r="DU4" i="3"/>
  <c r="DU6" i="3" s="1"/>
  <c r="DT4" i="3"/>
  <c r="DT6" i="3" s="1"/>
  <c r="DS4" i="3"/>
  <c r="DS6" i="3" s="1"/>
  <c r="DR4" i="3"/>
  <c r="DR6" i="3" s="1"/>
  <c r="DQ4" i="3"/>
  <c r="DQ6" i="3" s="1"/>
  <c r="DP4" i="3"/>
  <c r="DP6" i="3" s="1"/>
  <c r="DO4" i="3"/>
  <c r="DO6" i="3" s="1"/>
  <c r="DN4" i="3"/>
  <c r="DN6" i="3" s="1"/>
  <c r="DM4" i="3"/>
  <c r="DM6" i="3" s="1"/>
  <c r="DL4" i="3"/>
  <c r="DL6" i="3" s="1"/>
  <c r="DK4" i="3"/>
  <c r="DK6" i="3" s="1"/>
  <c r="DJ4" i="3"/>
  <c r="DJ6" i="3" s="1"/>
  <c r="DI4" i="3"/>
  <c r="DI6" i="3" s="1"/>
  <c r="DH4" i="3"/>
  <c r="DH6" i="3" s="1"/>
  <c r="DG4" i="3"/>
  <c r="DG6" i="3" s="1"/>
  <c r="DF4" i="3"/>
  <c r="DF6" i="3" s="1"/>
  <c r="DE4" i="3"/>
  <c r="DE6" i="3" s="1"/>
  <c r="DD4" i="3"/>
  <c r="DD6" i="3" s="1"/>
  <c r="DC4" i="3"/>
  <c r="DC6" i="3" s="1"/>
  <c r="DB4" i="3"/>
  <c r="DB6" i="3" s="1"/>
  <c r="DA4" i="3"/>
  <c r="DA6" i="3" s="1"/>
  <c r="CZ4" i="3"/>
  <c r="CZ6" i="3" s="1"/>
  <c r="CY4" i="3"/>
  <c r="CY6" i="3" s="1"/>
  <c r="CX4" i="3"/>
  <c r="CX6" i="3" s="1"/>
  <c r="CW4" i="3"/>
  <c r="CW6" i="3" s="1"/>
  <c r="CV4" i="3"/>
  <c r="CV6" i="3" s="1"/>
  <c r="CU4" i="3"/>
  <c r="CU6" i="3" s="1"/>
  <c r="DY6" i="3" s="1"/>
  <c r="CS4" i="3"/>
  <c r="CS6" i="3" s="1"/>
  <c r="CR4" i="3"/>
  <c r="CR6" i="3" s="1"/>
  <c r="CQ4" i="3"/>
  <c r="CQ6" i="3" s="1"/>
  <c r="CP4" i="3"/>
  <c r="CP6" i="3" s="1"/>
  <c r="CO4" i="3"/>
  <c r="CO6" i="3" s="1"/>
  <c r="CN4" i="3"/>
  <c r="CN6" i="3" s="1"/>
  <c r="CM4" i="3"/>
  <c r="CM6" i="3" s="1"/>
  <c r="CL4" i="3"/>
  <c r="CL6" i="3" s="1"/>
  <c r="CK4" i="3"/>
  <c r="CK6" i="3" s="1"/>
  <c r="CJ4" i="3"/>
  <c r="CJ6" i="3" s="1"/>
  <c r="CI4" i="3"/>
  <c r="CI6" i="3" s="1"/>
  <c r="CH4" i="3"/>
  <c r="CH6" i="3" s="1"/>
  <c r="CG4" i="3"/>
  <c r="CG6" i="3" s="1"/>
  <c r="CF4" i="3"/>
  <c r="CF6" i="3" s="1"/>
  <c r="CE4" i="3"/>
  <c r="CE6" i="3" s="1"/>
  <c r="CD4" i="3"/>
  <c r="CD6" i="3" s="1"/>
  <c r="CC4" i="3"/>
  <c r="CC6" i="3" s="1"/>
  <c r="CB4" i="3"/>
  <c r="CB6" i="3" s="1"/>
  <c r="CA4" i="3"/>
  <c r="CA6" i="3" s="1"/>
  <c r="BZ4" i="3"/>
  <c r="BZ6" i="3" s="1"/>
  <c r="BY4" i="3"/>
  <c r="BY6" i="3" s="1"/>
  <c r="BX4" i="3"/>
  <c r="BX6" i="3" s="1"/>
  <c r="BW4" i="3"/>
  <c r="BW6" i="3" s="1"/>
  <c r="BV4" i="3"/>
  <c r="BV6" i="3" s="1"/>
  <c r="BU4" i="3"/>
  <c r="BU6" i="3" s="1"/>
  <c r="BT4" i="3"/>
  <c r="BT6" i="3" s="1"/>
  <c r="BS4" i="3"/>
  <c r="BS6" i="3" s="1"/>
  <c r="BR4" i="3"/>
  <c r="BR6" i="3" s="1"/>
  <c r="BQ4" i="3"/>
  <c r="BQ6" i="3" s="1"/>
  <c r="BP4" i="3"/>
  <c r="BP6" i="3" s="1"/>
  <c r="BO4" i="3"/>
  <c r="BO6" i="3" s="1"/>
  <c r="CT6" i="3" s="1"/>
  <c r="BM4" i="3"/>
  <c r="BM6" i="3" s="1"/>
  <c r="BL4" i="3"/>
  <c r="BL6" i="3" s="1"/>
  <c r="BK4" i="3"/>
  <c r="BK6" i="3" s="1"/>
  <c r="BJ4" i="3"/>
  <c r="BJ6" i="3" s="1"/>
  <c r="BI4" i="3"/>
  <c r="BI6" i="3" s="1"/>
  <c r="BH4" i="3"/>
  <c r="BH6" i="3" s="1"/>
  <c r="BG4" i="3"/>
  <c r="BG6" i="3" s="1"/>
  <c r="BF4" i="3"/>
  <c r="BF6" i="3" s="1"/>
  <c r="BE4" i="3"/>
  <c r="BE6" i="3" s="1"/>
  <c r="BD4" i="3"/>
  <c r="BD6" i="3" s="1"/>
  <c r="BC4" i="3"/>
  <c r="BC6" i="3" s="1"/>
  <c r="BB4" i="3"/>
  <c r="BB6" i="3" s="1"/>
  <c r="BA4" i="3"/>
  <c r="BA6" i="3" s="1"/>
  <c r="AZ4" i="3"/>
  <c r="AZ6" i="3" s="1"/>
  <c r="AY4" i="3"/>
  <c r="AY6" i="3" s="1"/>
  <c r="AX4" i="3"/>
  <c r="AX6" i="3" s="1"/>
  <c r="AW4" i="3"/>
  <c r="AW6" i="3" s="1"/>
  <c r="AV4" i="3"/>
  <c r="AV6" i="3" s="1"/>
  <c r="AU4" i="3"/>
  <c r="AU6" i="3" s="1"/>
  <c r="AT4" i="3"/>
  <c r="AT6" i="3" s="1"/>
  <c r="AS4" i="3"/>
  <c r="AS6" i="3" s="1"/>
  <c r="AR4" i="3"/>
  <c r="AR6" i="3" s="1"/>
  <c r="AQ4" i="3"/>
  <c r="AQ6" i="3" s="1"/>
  <c r="AP4" i="3"/>
  <c r="AP6" i="3" s="1"/>
  <c r="AO4" i="3"/>
  <c r="AO6" i="3" s="1"/>
  <c r="AN4" i="3"/>
  <c r="AN6" i="3" s="1"/>
  <c r="AM4" i="3"/>
  <c r="AM6" i="3" s="1"/>
  <c r="AL4" i="3"/>
  <c r="AL6" i="3" s="1"/>
  <c r="AK4" i="3"/>
  <c r="AK6" i="3" s="1"/>
  <c r="AJ4" i="3"/>
  <c r="AJ6" i="3" s="1"/>
  <c r="BN6" i="3" s="1"/>
  <c r="AH4" i="3"/>
  <c r="AH6" i="3" s="1"/>
  <c r="AG4" i="3"/>
  <c r="AG6" i="3" s="1"/>
  <c r="AF4" i="3"/>
  <c r="AF6" i="3" s="1"/>
  <c r="AE4" i="3"/>
  <c r="AE6" i="3" s="1"/>
  <c r="AD4" i="3"/>
  <c r="AD6" i="3" s="1"/>
  <c r="AC4" i="3"/>
  <c r="AC6" i="3" s="1"/>
  <c r="AB4" i="3"/>
  <c r="AB6" i="3" s="1"/>
  <c r="AA4" i="3"/>
  <c r="AA6" i="3" s="1"/>
  <c r="Z4" i="3"/>
  <c r="Z6" i="3" s="1"/>
  <c r="Y4" i="3"/>
  <c r="Y6" i="3" s="1"/>
  <c r="X4" i="3"/>
  <c r="X6" i="3" s="1"/>
  <c r="W4" i="3"/>
  <c r="W6" i="3" s="1"/>
  <c r="V4" i="3"/>
  <c r="V6" i="3" s="1"/>
  <c r="U4" i="3"/>
  <c r="U6" i="3" s="1"/>
  <c r="T4" i="3"/>
  <c r="T6" i="3" s="1"/>
  <c r="S4" i="3"/>
  <c r="S6" i="3" s="1"/>
  <c r="R4" i="3"/>
  <c r="R6" i="3" s="1"/>
  <c r="Q4" i="3"/>
  <c r="Q6" i="3" s="1"/>
  <c r="P4" i="3"/>
  <c r="P6" i="3" s="1"/>
  <c r="O4" i="3"/>
  <c r="O6" i="3" s="1"/>
  <c r="N4" i="3"/>
  <c r="N6" i="3" s="1"/>
  <c r="M4" i="3"/>
  <c r="M6" i="3" s="1"/>
  <c r="L4" i="3"/>
  <c r="L6" i="3" s="1"/>
  <c r="K4" i="3"/>
  <c r="K6" i="3" s="1"/>
  <c r="J4" i="3"/>
  <c r="J6" i="3" s="1"/>
  <c r="I4" i="3"/>
  <c r="I6" i="3" s="1"/>
  <c r="H4" i="3"/>
  <c r="H6" i="3" s="1"/>
  <c r="G4" i="3"/>
  <c r="G6" i="3" s="1"/>
  <c r="F4" i="3"/>
  <c r="F6" i="3" s="1"/>
  <c r="E4" i="3"/>
  <c r="E6" i="3" s="1"/>
  <c r="IW3" i="3"/>
  <c r="IX3" i="3" s="1"/>
  <c r="IY3" i="3" s="1"/>
  <c r="IZ3" i="3" s="1"/>
  <c r="JA3" i="3" s="1"/>
  <c r="JB3" i="3" s="1"/>
  <c r="JC3" i="3" s="1"/>
  <c r="JD3" i="3" s="1"/>
  <c r="JE3" i="3" s="1"/>
  <c r="JF3" i="3" s="1"/>
  <c r="JG3" i="3" s="1"/>
  <c r="JH3" i="3" s="1"/>
  <c r="JI3" i="3" s="1"/>
  <c r="JJ3" i="3" s="1"/>
  <c r="JK3" i="3" s="1"/>
  <c r="JL3" i="3" s="1"/>
  <c r="JM3" i="3" s="1"/>
  <c r="JN3" i="3" s="1"/>
  <c r="JO3" i="3" s="1"/>
  <c r="JP3" i="3" s="1"/>
  <c r="JQ3" i="3" s="1"/>
  <c r="JR3" i="3" s="1"/>
  <c r="JS3" i="3" s="1"/>
  <c r="JT3" i="3" s="1"/>
  <c r="JU3" i="3" s="1"/>
  <c r="JV3" i="3" s="1"/>
  <c r="JW3" i="3" s="1"/>
  <c r="JX3" i="3" s="1"/>
  <c r="JY3" i="3" s="1"/>
  <c r="KA3" i="3" s="1"/>
  <c r="KB3" i="3" s="1"/>
  <c r="KC3" i="3" s="1"/>
  <c r="KD3" i="3" s="1"/>
  <c r="KE3" i="3" s="1"/>
  <c r="KF3" i="3" s="1"/>
  <c r="KG3" i="3" s="1"/>
  <c r="KH3" i="3" s="1"/>
  <c r="KI3" i="3" s="1"/>
  <c r="KJ3" i="3" s="1"/>
  <c r="KK3" i="3" s="1"/>
  <c r="KL3" i="3" s="1"/>
  <c r="KM3" i="3" s="1"/>
  <c r="KN3" i="3" s="1"/>
  <c r="KO3" i="3" s="1"/>
  <c r="KP3" i="3" s="1"/>
  <c r="KQ3" i="3" s="1"/>
  <c r="KR3" i="3" s="1"/>
  <c r="KS3" i="3" s="1"/>
  <c r="KT3" i="3" s="1"/>
  <c r="KU3" i="3" s="1"/>
  <c r="KV3" i="3" s="1"/>
  <c r="KW3" i="3" s="1"/>
  <c r="KX3" i="3" s="1"/>
  <c r="KY3" i="3" s="1"/>
  <c r="KZ3" i="3" s="1"/>
  <c r="LA3" i="3" s="1"/>
  <c r="LB3" i="3" s="1"/>
  <c r="LC3" i="3" s="1"/>
  <c r="LD3" i="3" s="1"/>
  <c r="LE3" i="3" s="1"/>
  <c r="EA3" i="3"/>
  <c r="EB3" i="3" s="1"/>
  <c r="EC3" i="3" s="1"/>
  <c r="ED3" i="3" s="1"/>
  <c r="EE3" i="3" s="1"/>
  <c r="EF3" i="3" s="1"/>
  <c r="EG3" i="3" s="1"/>
  <c r="EH3" i="3" s="1"/>
  <c r="EI3" i="3" s="1"/>
  <c r="EJ3" i="3" s="1"/>
  <c r="EK3" i="3" s="1"/>
  <c r="EL3" i="3" s="1"/>
  <c r="EM3" i="3" s="1"/>
  <c r="EN3" i="3" s="1"/>
  <c r="EO3" i="3" s="1"/>
  <c r="EP3" i="3" s="1"/>
  <c r="EQ3" i="3" s="1"/>
  <c r="ER3" i="3" s="1"/>
  <c r="ES3" i="3" s="1"/>
  <c r="ET3" i="3" s="1"/>
  <c r="EU3" i="3" s="1"/>
  <c r="EV3" i="3" s="1"/>
  <c r="EW3" i="3" s="1"/>
  <c r="EX3" i="3" s="1"/>
  <c r="EY3" i="3" s="1"/>
  <c r="EZ3" i="3" s="1"/>
  <c r="FA3" i="3" s="1"/>
  <c r="FB3" i="3" s="1"/>
  <c r="FC3" i="3" s="1"/>
  <c r="FD3" i="3" s="1"/>
  <c r="FF3" i="3" s="1"/>
  <c r="FG3" i="3" s="1"/>
  <c r="FH3" i="3" s="1"/>
  <c r="FI3" i="3" s="1"/>
  <c r="FJ3" i="3" s="1"/>
  <c r="FK3" i="3" s="1"/>
  <c r="FL3" i="3" s="1"/>
  <c r="FM3" i="3" s="1"/>
  <c r="FN3" i="3" s="1"/>
  <c r="FO3" i="3" s="1"/>
  <c r="FP3" i="3" s="1"/>
  <c r="FQ3" i="3" s="1"/>
  <c r="FR3" i="3" s="1"/>
  <c r="FS3" i="3" s="1"/>
  <c r="FT3" i="3" s="1"/>
  <c r="FU3" i="3" s="1"/>
  <c r="FV3" i="3" s="1"/>
  <c r="FW3" i="3" s="1"/>
  <c r="FX3" i="3" s="1"/>
  <c r="FY3" i="3" s="1"/>
  <c r="FZ3" i="3" s="1"/>
  <c r="GA3" i="3" s="1"/>
  <c r="GB3" i="3" s="1"/>
  <c r="GC3" i="3" s="1"/>
  <c r="GD3" i="3" s="1"/>
  <c r="GE3" i="3" s="1"/>
  <c r="GF3" i="3" s="1"/>
  <c r="GG3" i="3" s="1"/>
  <c r="GH3" i="3" s="1"/>
  <c r="GI3" i="3" s="1"/>
  <c r="GJ3" i="3" s="1"/>
  <c r="GL3" i="3" s="1"/>
  <c r="GM3" i="3" s="1"/>
  <c r="GN3" i="3" s="1"/>
  <c r="GO3" i="3" s="1"/>
  <c r="GP3" i="3" s="1"/>
  <c r="GQ3" i="3" s="1"/>
  <c r="GR3" i="3" s="1"/>
  <c r="GS3" i="3" s="1"/>
  <c r="GT3" i="3" s="1"/>
  <c r="GU3" i="3" s="1"/>
  <c r="GV3" i="3" s="1"/>
  <c r="GW3" i="3" s="1"/>
  <c r="GX3" i="3" s="1"/>
  <c r="GY3" i="3" s="1"/>
  <c r="GZ3" i="3" s="1"/>
  <c r="HA3" i="3" s="1"/>
  <c r="HB3" i="3" s="1"/>
  <c r="HC3" i="3" s="1"/>
  <c r="HD3" i="3" s="1"/>
  <c r="HE3" i="3" s="1"/>
  <c r="HF3" i="3" s="1"/>
  <c r="HG3" i="3" s="1"/>
  <c r="HH3" i="3" s="1"/>
  <c r="HI3" i="3" s="1"/>
  <c r="HJ3" i="3" s="1"/>
  <c r="HK3" i="3" s="1"/>
  <c r="HL3" i="3" s="1"/>
  <c r="HM3" i="3" s="1"/>
  <c r="HN3" i="3" s="1"/>
  <c r="HP3" i="3" s="1"/>
  <c r="HQ3" i="3" s="1"/>
  <c r="HR3" i="3" s="1"/>
  <c r="HS3" i="3" s="1"/>
  <c r="HT3" i="3" s="1"/>
  <c r="HU3" i="3" s="1"/>
  <c r="HV3" i="3" s="1"/>
  <c r="HW3" i="3" s="1"/>
  <c r="HX3" i="3" s="1"/>
  <c r="HY3" i="3" s="1"/>
  <c r="HZ3" i="3" s="1"/>
  <c r="IA3" i="3" s="1"/>
  <c r="IB3" i="3" s="1"/>
  <c r="IC3" i="3" s="1"/>
  <c r="ID3" i="3" s="1"/>
  <c r="IE3" i="3" s="1"/>
  <c r="IF3" i="3" s="1"/>
  <c r="IG3" i="3" s="1"/>
  <c r="IH3" i="3" s="1"/>
  <c r="II3" i="3" s="1"/>
  <c r="IJ3" i="3" s="1"/>
  <c r="IK3" i="3" s="1"/>
  <c r="IL3" i="3" s="1"/>
  <c r="IM3" i="3" s="1"/>
  <c r="IN3" i="3" s="1"/>
  <c r="IO3" i="3" s="1"/>
  <c r="IP3" i="3" s="1"/>
  <c r="IQ3" i="3" s="1"/>
  <c r="IR3" i="3" s="1"/>
  <c r="IS3" i="3" s="1"/>
  <c r="IT3" i="3" s="1"/>
  <c r="BO3" i="3"/>
  <c r="CS3" i="3" s="1"/>
  <c r="DX3" i="3" s="1"/>
  <c r="AK3" i="3"/>
  <c r="CU52" i="5" l="1"/>
  <c r="CW52" i="5" s="1"/>
  <c r="CY52" i="5" s="1"/>
  <c r="DA52" i="5" s="1"/>
  <c r="DC52" i="5" s="1"/>
  <c r="DE52" i="5" s="1"/>
  <c r="DG52" i="5" s="1"/>
  <c r="DI52" i="5" s="1"/>
  <c r="DK52" i="5" s="1"/>
  <c r="DM52" i="5" s="1"/>
  <c r="DO52" i="5" s="1"/>
  <c r="DQ52" i="5" s="1"/>
  <c r="DS52" i="5" s="1"/>
  <c r="DU52" i="5" s="1"/>
  <c r="DW52" i="5" s="1"/>
  <c r="DY52" i="5" s="1"/>
  <c r="CV52" i="5"/>
  <c r="CX52" i="5" s="1"/>
  <c r="CZ52" i="5" s="1"/>
  <c r="DB52" i="5" s="1"/>
  <c r="DD52" i="5" s="1"/>
  <c r="DF52" i="5" s="1"/>
  <c r="DH52" i="5" s="1"/>
  <c r="DJ52" i="5" s="1"/>
  <c r="DL52" i="5" s="1"/>
  <c r="DN52" i="5" s="1"/>
  <c r="DP52" i="5" s="1"/>
  <c r="DR52" i="5" s="1"/>
  <c r="DT52" i="5" s="1"/>
  <c r="DV52" i="5" s="1"/>
  <c r="E48" i="5"/>
  <c r="KA42" i="5"/>
  <c r="KB42" i="5"/>
  <c r="FL42" i="5"/>
  <c r="FN42" i="5" s="1"/>
  <c r="FK42" i="5"/>
  <c r="FM42" i="5" s="1"/>
  <c r="FO42" i="5" s="1"/>
  <c r="AH42" i="5"/>
  <c r="AI42" i="5"/>
  <c r="AJ42" i="5" s="1"/>
  <c r="AH41" i="5"/>
  <c r="AI41" i="5"/>
  <c r="D44" i="5"/>
  <c r="E40" i="5"/>
  <c r="HB39" i="5"/>
  <c r="HD39" i="5" s="1"/>
  <c r="HF39" i="5" s="1"/>
  <c r="HH39" i="5" s="1"/>
  <c r="HC39" i="5"/>
  <c r="HE39" i="5" s="1"/>
  <c r="HG39" i="5" s="1"/>
  <c r="HI39" i="5" s="1"/>
  <c r="DE39" i="5"/>
  <c r="DG39" i="5" s="1"/>
  <c r="DI39" i="5" s="1"/>
  <c r="DK39" i="5" s="1"/>
  <c r="DM39" i="5" s="1"/>
  <c r="DO39" i="5" s="1"/>
  <c r="DQ39" i="5" s="1"/>
  <c r="DS39" i="5" s="1"/>
  <c r="DU39" i="5" s="1"/>
  <c r="DF39" i="5"/>
  <c r="DH39" i="5" s="1"/>
  <c r="DJ39" i="5" s="1"/>
  <c r="DL39" i="5" s="1"/>
  <c r="DN39" i="5" s="1"/>
  <c r="DP39" i="5" s="1"/>
  <c r="DR39" i="5" s="1"/>
  <c r="DT39" i="5" s="1"/>
  <c r="DV39" i="5" s="1"/>
  <c r="DW39" i="5" s="1"/>
  <c r="DY39" i="5" s="1"/>
  <c r="CU39" i="5"/>
  <c r="CV39" i="5"/>
  <c r="AH39" i="5"/>
  <c r="AI39" i="5"/>
  <c r="H38" i="5"/>
  <c r="AI36" i="5"/>
  <c r="AK36" i="5" s="1"/>
  <c r="AM36" i="5" s="1"/>
  <c r="AO36" i="5" s="1"/>
  <c r="AH36" i="5"/>
  <c r="AJ36" i="5" s="1"/>
  <c r="AL36" i="5" s="1"/>
  <c r="AN36" i="5" s="1"/>
  <c r="HR35" i="5"/>
  <c r="HQ35" i="5"/>
  <c r="HS35" i="5" s="1"/>
  <c r="HQ34" i="5"/>
  <c r="HS34" i="5" s="1"/>
  <c r="HU34" i="5" s="1"/>
  <c r="HW34" i="5" s="1"/>
  <c r="HY34" i="5" s="1"/>
  <c r="IA34" i="5" s="1"/>
  <c r="IC34" i="5" s="1"/>
  <c r="HR34" i="5"/>
  <c r="HT34" i="5" s="1"/>
  <c r="HV34" i="5" s="1"/>
  <c r="HX34" i="5" s="1"/>
  <c r="HZ34" i="5" s="1"/>
  <c r="IB34" i="5" s="1"/>
  <c r="ID34" i="5" s="1"/>
  <c r="HP33" i="5"/>
  <c r="HR33" i="5" s="1"/>
  <c r="HT33" i="5" s="1"/>
  <c r="HQ33" i="5"/>
  <c r="HS33" i="5" s="1"/>
  <c r="NR32" i="5"/>
  <c r="NT32" i="5" s="1"/>
  <c r="NS32" i="5"/>
  <c r="HP32" i="5"/>
  <c r="HQ32" i="5"/>
  <c r="HR32" i="5" s="1"/>
  <c r="HT32" i="5" s="1"/>
  <c r="HV32" i="5" s="1"/>
  <c r="HX32" i="5" s="1"/>
  <c r="HZ32" i="5" s="1"/>
  <c r="IB32" i="5" s="1"/>
  <c r="ID32" i="5" s="1"/>
  <c r="IF32" i="5" s="1"/>
  <c r="IH32" i="5" s="1"/>
  <c r="IJ32" i="5" s="1"/>
  <c r="IL32" i="5" s="1"/>
  <c r="IN32" i="5" s="1"/>
  <c r="IP32" i="5" s="1"/>
  <c r="IR32" i="5" s="1"/>
  <c r="GL31" i="5"/>
  <c r="GN31" i="5" s="1"/>
  <c r="GP31" i="5" s="1"/>
  <c r="GR31" i="5" s="1"/>
  <c r="GT31" i="5" s="1"/>
  <c r="GV31" i="5" s="1"/>
  <c r="GX31" i="5" s="1"/>
  <c r="GZ31" i="5" s="1"/>
  <c r="GM31" i="5"/>
  <c r="GO31" i="5" s="1"/>
  <c r="GQ31" i="5" s="1"/>
  <c r="GS31" i="5" s="1"/>
  <c r="GU31" i="5" s="1"/>
  <c r="GW31" i="5" s="1"/>
  <c r="GY31" i="5" s="1"/>
  <c r="WD18" i="5"/>
  <c r="WC30" i="5"/>
  <c r="UZ30" i="5"/>
  <c r="VA18" i="5"/>
  <c r="TT30" i="5"/>
  <c r="TU18" i="5"/>
  <c r="SN30" i="5"/>
  <c r="SO18" i="5"/>
  <c r="RI30" i="5"/>
  <c r="RJ18" i="5"/>
  <c r="QC30" i="5"/>
  <c r="QD18" i="5"/>
  <c r="OY18" i="5"/>
  <c r="OX30" i="5"/>
  <c r="NS18" i="5"/>
  <c r="NR30" i="5"/>
  <c r="NI18" i="5"/>
  <c r="NH30" i="5"/>
  <c r="FF30" i="5"/>
  <c r="FG18" i="5"/>
  <c r="EI30" i="5"/>
  <c r="EJ18" i="5"/>
  <c r="CU18" i="5"/>
  <c r="CV18" i="5"/>
  <c r="AH30" i="5"/>
  <c r="AI18" i="5"/>
  <c r="AJ18" i="5" s="1"/>
  <c r="AK18" i="5" s="1"/>
  <c r="AL18" i="5" s="1"/>
  <c r="AM18" i="5" s="1"/>
  <c r="AN18" i="5" s="1"/>
  <c r="AO18" i="5" s="1"/>
  <c r="AP18" i="5" s="1"/>
  <c r="AQ18" i="5" s="1"/>
  <c r="AR18" i="5" s="1"/>
  <c r="AH25" i="5"/>
  <c r="AJ25" i="5" s="1"/>
  <c r="AL25" i="5" s="1"/>
  <c r="AN25" i="5" s="1"/>
  <c r="AP25" i="5" s="1"/>
  <c r="AR25" i="5" s="1"/>
  <c r="AT25" i="5" s="1"/>
  <c r="AV25" i="5" s="1"/>
  <c r="AX25" i="5" s="1"/>
  <c r="AZ25" i="5" s="1"/>
  <c r="BB25" i="5" s="1"/>
  <c r="BD25" i="5" s="1"/>
  <c r="BF25" i="5" s="1"/>
  <c r="BH25" i="5" s="1"/>
  <c r="BJ25" i="5" s="1"/>
  <c r="BL25" i="5" s="1"/>
  <c r="AI25" i="5"/>
  <c r="AK25" i="5" s="1"/>
  <c r="AM25" i="5" s="1"/>
  <c r="AO25" i="5" s="1"/>
  <c r="AQ25" i="5" s="1"/>
  <c r="AS25" i="5" s="1"/>
  <c r="AU25" i="5" s="1"/>
  <c r="AW25" i="5" s="1"/>
  <c r="AY25" i="5" s="1"/>
  <c r="BA25" i="5" s="1"/>
  <c r="BC25" i="5" s="1"/>
  <c r="BE25" i="5" s="1"/>
  <c r="BG25" i="5" s="1"/>
  <c r="BI25" i="5" s="1"/>
  <c r="BK25" i="5" s="1"/>
  <c r="AH24" i="5"/>
  <c r="AJ24" i="5" s="1"/>
  <c r="AL24" i="5" s="1"/>
  <c r="AN24" i="5" s="1"/>
  <c r="AP24" i="5" s="1"/>
  <c r="AR24" i="5" s="1"/>
  <c r="AT24" i="5" s="1"/>
  <c r="AV24" i="5" s="1"/>
  <c r="AX24" i="5" s="1"/>
  <c r="AZ24" i="5" s="1"/>
  <c r="BB24" i="5" s="1"/>
  <c r="BD24" i="5" s="1"/>
  <c r="BF24" i="5" s="1"/>
  <c r="BH24" i="5" s="1"/>
  <c r="BJ24" i="5" s="1"/>
  <c r="BL24" i="5" s="1"/>
  <c r="AI24" i="5"/>
  <c r="AK24" i="5" s="1"/>
  <c r="AM24" i="5" s="1"/>
  <c r="AO24" i="5" s="1"/>
  <c r="AQ24" i="5" s="1"/>
  <c r="AS24" i="5" s="1"/>
  <c r="AU24" i="5" s="1"/>
  <c r="AW24" i="5" s="1"/>
  <c r="AY24" i="5" s="1"/>
  <c r="BA24" i="5" s="1"/>
  <c r="BC24" i="5" s="1"/>
  <c r="BE24" i="5" s="1"/>
  <c r="BG24" i="5" s="1"/>
  <c r="BI24" i="5" s="1"/>
  <c r="BK24" i="5" s="1"/>
  <c r="AH23" i="5"/>
  <c r="AJ23" i="5" s="1"/>
  <c r="AL23" i="5" s="1"/>
  <c r="AN23" i="5" s="1"/>
  <c r="AP23" i="5" s="1"/>
  <c r="AR23" i="5" s="1"/>
  <c r="AT23" i="5" s="1"/>
  <c r="AV23" i="5" s="1"/>
  <c r="AX23" i="5" s="1"/>
  <c r="AZ23" i="5" s="1"/>
  <c r="BB23" i="5" s="1"/>
  <c r="BD23" i="5" s="1"/>
  <c r="BF23" i="5" s="1"/>
  <c r="BH23" i="5" s="1"/>
  <c r="BJ23" i="5" s="1"/>
  <c r="BL23" i="5" s="1"/>
  <c r="AI23" i="5"/>
  <c r="AK23" i="5" s="1"/>
  <c r="AM23" i="5" s="1"/>
  <c r="AO23" i="5" s="1"/>
  <c r="AQ23" i="5" s="1"/>
  <c r="AS23" i="5" s="1"/>
  <c r="AU23" i="5" s="1"/>
  <c r="AW23" i="5" s="1"/>
  <c r="AY23" i="5" s="1"/>
  <c r="BA23" i="5" s="1"/>
  <c r="BC23" i="5" s="1"/>
  <c r="BE23" i="5" s="1"/>
  <c r="BG23" i="5" s="1"/>
  <c r="BI23" i="5" s="1"/>
  <c r="BK23" i="5" s="1"/>
  <c r="UZ22" i="5"/>
  <c r="VB22" i="5" s="1"/>
  <c r="VD22" i="5" s="1"/>
  <c r="VF22" i="5" s="1"/>
  <c r="VH22" i="5" s="1"/>
  <c r="VJ22" i="5" s="1"/>
  <c r="VL22" i="5" s="1"/>
  <c r="VN22" i="5" s="1"/>
  <c r="VP22" i="5" s="1"/>
  <c r="VR22" i="5" s="1"/>
  <c r="VA22" i="5"/>
  <c r="VC22" i="5" s="1"/>
  <c r="VE22" i="5" s="1"/>
  <c r="VG22" i="5" s="1"/>
  <c r="VI22" i="5" s="1"/>
  <c r="VK22" i="5" s="1"/>
  <c r="VM22" i="5" s="1"/>
  <c r="VO22" i="5" s="1"/>
  <c r="VQ22" i="5" s="1"/>
  <c r="NS22" i="5"/>
  <c r="NU22" i="5" s="1"/>
  <c r="NW22" i="5" s="1"/>
  <c r="NY22" i="5" s="1"/>
  <c r="OA22" i="5" s="1"/>
  <c r="OC22" i="5" s="1"/>
  <c r="OE22" i="5" s="1"/>
  <c r="OG22" i="5" s="1"/>
  <c r="OI22" i="5" s="1"/>
  <c r="OK22" i="5" s="1"/>
  <c r="OM22" i="5" s="1"/>
  <c r="OO22" i="5" s="1"/>
  <c r="OQ22" i="5" s="1"/>
  <c r="OS22" i="5" s="1"/>
  <c r="OU22" i="5" s="1"/>
  <c r="OW22" i="5" s="1"/>
  <c r="NT22" i="5"/>
  <c r="NV22" i="5" s="1"/>
  <c r="NX22" i="5" s="1"/>
  <c r="NZ22" i="5" s="1"/>
  <c r="OB22" i="5" s="1"/>
  <c r="OD22" i="5" s="1"/>
  <c r="OF22" i="5" s="1"/>
  <c r="OH22" i="5" s="1"/>
  <c r="OJ22" i="5" s="1"/>
  <c r="OL22" i="5" s="1"/>
  <c r="ON22" i="5" s="1"/>
  <c r="OP22" i="5" s="1"/>
  <c r="OR22" i="5" s="1"/>
  <c r="OT22" i="5" s="1"/>
  <c r="CU22" i="5"/>
  <c r="CW22" i="5" s="1"/>
  <c r="CY22" i="5" s="1"/>
  <c r="DA22" i="5" s="1"/>
  <c r="DC22" i="5" s="1"/>
  <c r="DE22" i="5" s="1"/>
  <c r="DG22" i="5" s="1"/>
  <c r="DI22" i="5" s="1"/>
  <c r="DK22" i="5" s="1"/>
  <c r="DM22" i="5" s="1"/>
  <c r="DO22" i="5" s="1"/>
  <c r="DQ22" i="5" s="1"/>
  <c r="DS22" i="5" s="1"/>
  <c r="DU22" i="5" s="1"/>
  <c r="DW22" i="5" s="1"/>
  <c r="DY22" i="5" s="1"/>
  <c r="CV22" i="5"/>
  <c r="CX22" i="5" s="1"/>
  <c r="CZ22" i="5" s="1"/>
  <c r="DB22" i="5" s="1"/>
  <c r="DD22" i="5" s="1"/>
  <c r="DF22" i="5" s="1"/>
  <c r="DH22" i="5" s="1"/>
  <c r="DJ22" i="5" s="1"/>
  <c r="DL22" i="5" s="1"/>
  <c r="DN22" i="5" s="1"/>
  <c r="DP22" i="5" s="1"/>
  <c r="DR22" i="5" s="1"/>
  <c r="DT22" i="5" s="1"/>
  <c r="DV22" i="5" s="1"/>
  <c r="CU21" i="5"/>
  <c r="CW21" i="5" s="1"/>
  <c r="CY21" i="5" s="1"/>
  <c r="DA21" i="5" s="1"/>
  <c r="DC21" i="5" s="1"/>
  <c r="DE21" i="5" s="1"/>
  <c r="DG21" i="5" s="1"/>
  <c r="DI21" i="5" s="1"/>
  <c r="DK21" i="5" s="1"/>
  <c r="DM21" i="5" s="1"/>
  <c r="DO21" i="5" s="1"/>
  <c r="DQ21" i="5" s="1"/>
  <c r="DS21" i="5" s="1"/>
  <c r="DU21" i="5" s="1"/>
  <c r="DW21" i="5" s="1"/>
  <c r="DY21" i="5" s="1"/>
  <c r="CV21" i="5"/>
  <c r="CX21" i="5" s="1"/>
  <c r="CZ21" i="5" s="1"/>
  <c r="DB21" i="5" s="1"/>
  <c r="DD21" i="5" s="1"/>
  <c r="DF21" i="5" s="1"/>
  <c r="DH21" i="5" s="1"/>
  <c r="DJ21" i="5" s="1"/>
  <c r="DL21" i="5" s="1"/>
  <c r="DN21" i="5" s="1"/>
  <c r="DP21" i="5" s="1"/>
  <c r="DR21" i="5" s="1"/>
  <c r="DT21" i="5" s="1"/>
  <c r="DV21" i="5" s="1"/>
  <c r="F20" i="5"/>
  <c r="AH19" i="5"/>
  <c r="AI19" i="5"/>
  <c r="AJ19" i="5" s="1"/>
  <c r="AK19" i="5" s="1"/>
  <c r="AL19" i="5" s="1"/>
  <c r="AM19" i="5" s="1"/>
  <c r="AN19" i="5" s="1"/>
  <c r="AO19" i="5" s="1"/>
  <c r="AP19" i="5" s="1"/>
  <c r="AQ19" i="5" s="1"/>
  <c r="AR19" i="5" s="1"/>
  <c r="AS19" i="5" s="1"/>
  <c r="AHL18" i="5"/>
  <c r="AHM18" i="5" s="1"/>
  <c r="AHN18" i="5" s="1"/>
  <c r="AHO18" i="5" s="1"/>
  <c r="AHP18" i="5" s="1"/>
  <c r="AHQ18" i="5" s="1"/>
  <c r="AHR18" i="5" s="1"/>
  <c r="AHS18" i="5" s="1"/>
  <c r="AHT18" i="5" s="1"/>
  <c r="AHU18" i="5" s="1"/>
  <c r="AHV18" i="5" s="1"/>
  <c r="AHW18" i="5" s="1"/>
  <c r="AHX18" i="5" s="1"/>
  <c r="AHY18" i="5" s="1"/>
  <c r="AHZ18" i="5" s="1"/>
  <c r="AIA18" i="5" s="1"/>
  <c r="AIB18" i="5" s="1"/>
  <c r="AIC18" i="5" s="1"/>
  <c r="AID18" i="5" s="1"/>
  <c r="AGE18" i="5"/>
  <c r="AGF18" i="5" s="1"/>
  <c r="AGG18" i="5" s="1"/>
  <c r="AGH18" i="5" s="1"/>
  <c r="AGI18" i="5" s="1"/>
  <c r="AGJ18" i="5" s="1"/>
  <c r="AGK18" i="5" s="1"/>
  <c r="AGL18" i="5" s="1"/>
  <c r="AGM18" i="5" s="1"/>
  <c r="AGN18" i="5" s="1"/>
  <c r="AGO18" i="5" s="1"/>
  <c r="AGP18" i="5" s="1"/>
  <c r="AGQ18" i="5" s="1"/>
  <c r="AGR18" i="5" s="1"/>
  <c r="AGS18" i="5" s="1"/>
  <c r="AGT18" i="5" s="1"/>
  <c r="AGU18" i="5" s="1"/>
  <c r="AGV18" i="5" s="1"/>
  <c r="AGW18" i="5" s="1"/>
  <c r="AGX18" i="5" s="1"/>
  <c r="AEV18" i="5"/>
  <c r="AEW18" i="5" s="1"/>
  <c r="AEX18" i="5" s="1"/>
  <c r="AEY18" i="5" s="1"/>
  <c r="AEZ18" i="5" s="1"/>
  <c r="AFA18" i="5" s="1"/>
  <c r="AFB18" i="5" s="1"/>
  <c r="AFC18" i="5" s="1"/>
  <c r="AFD18" i="5" s="1"/>
  <c r="AFE18" i="5" s="1"/>
  <c r="AFF18" i="5" s="1"/>
  <c r="AFG18" i="5" s="1"/>
  <c r="AFH18" i="5" s="1"/>
  <c r="AFI18" i="5" s="1"/>
  <c r="AFJ18" i="5" s="1"/>
  <c r="AFK18" i="5" s="1"/>
  <c r="AFL18" i="5" s="1"/>
  <c r="AFM18" i="5" s="1"/>
  <c r="AFN18" i="5" s="1"/>
  <c r="AFO18" i="5" s="1"/>
  <c r="AFP18" i="5" s="1"/>
  <c r="AFQ18" i="5" s="1"/>
  <c r="AFR18" i="5" s="1"/>
  <c r="AFS18" i="5" s="1"/>
  <c r="ACJ18" i="5"/>
  <c r="ACK18" i="5" s="1"/>
  <c r="ACL18" i="5" s="1"/>
  <c r="ACM18" i="5" s="1"/>
  <c r="ACN18" i="5" s="1"/>
  <c r="ACO18" i="5" s="1"/>
  <c r="ACP18" i="5" s="1"/>
  <c r="ACQ18" i="5" s="1"/>
  <c r="ACR18" i="5" s="1"/>
  <c r="ACS18" i="5" s="1"/>
  <c r="ACT18" i="5" s="1"/>
  <c r="ACU18" i="5" s="1"/>
  <c r="ACV18" i="5" s="1"/>
  <c r="ACW18" i="5" s="1"/>
  <c r="ACX18" i="5" s="1"/>
  <c r="ACY18" i="5" s="1"/>
  <c r="ACZ18" i="5" s="1"/>
  <c r="ADA18" i="5" s="1"/>
  <c r="ADB18" i="5" s="1"/>
  <c r="ADC18" i="5" s="1"/>
  <c r="ADD18" i="5" s="1"/>
  <c r="ADE18" i="5" s="1"/>
  <c r="ADF18" i="5" s="1"/>
  <c r="ADG18" i="5" s="1"/>
  <c r="ADH18" i="5" s="1"/>
  <c r="ABO18" i="5"/>
  <c r="ABP18" i="5" s="1"/>
  <c r="ABQ18" i="5" s="1"/>
  <c r="ABR18" i="5" s="1"/>
  <c r="ABS18" i="5" s="1"/>
  <c r="ABT18" i="5" s="1"/>
  <c r="ABU18" i="5" s="1"/>
  <c r="ABV18" i="5" s="1"/>
  <c r="ABW18" i="5" s="1"/>
  <c r="ABX18" i="5" s="1"/>
  <c r="ABY18" i="5" s="1"/>
  <c r="ABZ18" i="5" s="1"/>
  <c r="ACA18" i="5" s="1"/>
  <c r="ACB18" i="5" s="1"/>
  <c r="ZV18" i="5"/>
  <c r="ZW18" i="5" s="1"/>
  <c r="ZX18" i="5" s="1"/>
  <c r="ZY18" i="5" s="1"/>
  <c r="ZZ18" i="5" s="1"/>
  <c r="AAA18" i="5" s="1"/>
  <c r="AAB18" i="5" s="1"/>
  <c r="AAC18" i="5" s="1"/>
  <c r="AAD18" i="5" s="1"/>
  <c r="AAE18" i="5" s="1"/>
  <c r="AAF18" i="5" s="1"/>
  <c r="AAG18" i="5" s="1"/>
  <c r="AAH18" i="5" s="1"/>
  <c r="AAI18" i="5" s="1"/>
  <c r="AAJ18" i="5" s="1"/>
  <c r="AAK18" i="5" s="1"/>
  <c r="AAL18" i="5" s="1"/>
  <c r="AAM18" i="5" s="1"/>
  <c r="AAN18" i="5" s="1"/>
  <c r="AAO18" i="5" s="1"/>
  <c r="AAP18" i="5" s="1"/>
  <c r="AAQ18" i="5" s="1"/>
  <c r="AAR18" i="5" s="1"/>
  <c r="AAS18" i="5" s="1"/>
  <c r="AAT18" i="5" s="1"/>
  <c r="AAU18" i="5" s="1"/>
  <c r="AAV18" i="5" s="1"/>
  <c r="YX18" i="5"/>
  <c r="YY18" i="5" s="1"/>
  <c r="YZ18" i="5" s="1"/>
  <c r="ZA18" i="5" s="1"/>
  <c r="ZB18" i="5" s="1"/>
  <c r="ZC18" i="5" s="1"/>
  <c r="ZD18" i="5" s="1"/>
  <c r="ZE18" i="5" s="1"/>
  <c r="ZF18" i="5" s="1"/>
  <c r="ZG18" i="5" s="1"/>
  <c r="ZH18" i="5" s="1"/>
  <c r="ZI18" i="5" s="1"/>
  <c r="ZJ18" i="5" s="1"/>
  <c r="ZK18" i="5" s="1"/>
  <c r="ZL18" i="5" s="1"/>
  <c r="ZM18" i="5" s="1"/>
  <c r="ZN18" i="5" s="1"/>
  <c r="ZO18" i="5" s="1"/>
  <c r="ZP18" i="5" s="1"/>
  <c r="ZQ18" i="5" s="1"/>
  <c r="LT18" i="5"/>
  <c r="LU18" i="5" s="1"/>
  <c r="LV18" i="5" s="1"/>
  <c r="LW18" i="5" s="1"/>
  <c r="LX18" i="5" s="1"/>
  <c r="LY18" i="5" s="1"/>
  <c r="LZ18" i="5" s="1"/>
  <c r="MA18" i="5" s="1"/>
  <c r="MB18" i="5" s="1"/>
  <c r="MC18" i="5" s="1"/>
  <c r="MD18" i="5" s="1"/>
  <c r="ME18" i="5" s="1"/>
  <c r="MF18" i="5" s="1"/>
  <c r="MG18" i="5" s="1"/>
  <c r="MH18" i="5" s="1"/>
  <c r="MI18" i="5" s="1"/>
  <c r="IY18" i="5"/>
  <c r="IZ18" i="5" s="1"/>
  <c r="JA18" i="5" s="1"/>
  <c r="JB18" i="5" s="1"/>
  <c r="JC18" i="5" s="1"/>
  <c r="JD18" i="5" s="1"/>
  <c r="JE18" i="5" s="1"/>
  <c r="JF18" i="5" s="1"/>
  <c r="JG18" i="5" s="1"/>
  <c r="JH18" i="5" s="1"/>
  <c r="JI18" i="5" s="1"/>
  <c r="JJ18" i="5" s="1"/>
  <c r="JK18" i="5" s="1"/>
  <c r="JL18" i="5" s="1"/>
  <c r="JM18" i="5" s="1"/>
  <c r="JN18" i="5" s="1"/>
  <c r="JO18" i="5" s="1"/>
  <c r="JP18" i="5" s="1"/>
  <c r="JQ18" i="5" s="1"/>
  <c r="JR18" i="5" s="1"/>
  <c r="JS18" i="5" s="1"/>
  <c r="JT18" i="5" s="1"/>
  <c r="JU18" i="5" s="1"/>
  <c r="JV18" i="5" s="1"/>
  <c r="JW18" i="5" s="1"/>
  <c r="JX18" i="5" s="1"/>
  <c r="ANM17" i="5"/>
  <c r="AGF17" i="5"/>
  <c r="AGG17" i="5" s="1"/>
  <c r="AGH17" i="5" s="1"/>
  <c r="AGI17" i="5" s="1"/>
  <c r="AGJ17" i="5" s="1"/>
  <c r="AGK17" i="5" s="1"/>
  <c r="AGL17" i="5" s="1"/>
  <c r="AGM17" i="5" s="1"/>
  <c r="AGN17" i="5" s="1"/>
  <c r="AGO17" i="5" s="1"/>
  <c r="AGP17" i="5" s="1"/>
  <c r="AGQ17" i="5" s="1"/>
  <c r="AGR17" i="5" s="1"/>
  <c r="AGS17" i="5" s="1"/>
  <c r="AGT17" i="5" s="1"/>
  <c r="AGU17" i="5" s="1"/>
  <c r="AGV17" i="5" s="1"/>
  <c r="AGW17" i="5" s="1"/>
  <c r="AGX17" i="5" s="1"/>
  <c r="AGZ17" i="5" s="1"/>
  <c r="AHA17" i="5" s="1"/>
  <c r="AHB17" i="5" s="1"/>
  <c r="AHC17" i="5" s="1"/>
  <c r="AHD17" i="5" s="1"/>
  <c r="AHE17" i="5" s="1"/>
  <c r="AHF17" i="5" s="1"/>
  <c r="AHG17" i="5" s="1"/>
  <c r="AHH17" i="5" s="1"/>
  <c r="AHI17" i="5" s="1"/>
  <c r="AHJ17" i="5" s="1"/>
  <c r="AEW17" i="5"/>
  <c r="AEX17" i="5" s="1"/>
  <c r="AEY17" i="5" s="1"/>
  <c r="AEZ17" i="5" s="1"/>
  <c r="AFA17" i="5" s="1"/>
  <c r="AFB17" i="5" s="1"/>
  <c r="AFC17" i="5" s="1"/>
  <c r="AFD17" i="5" s="1"/>
  <c r="AFE17" i="5" s="1"/>
  <c r="AFF17" i="5" s="1"/>
  <c r="AFG17" i="5" s="1"/>
  <c r="AFH17" i="5" s="1"/>
  <c r="AFI17" i="5" s="1"/>
  <c r="AFJ17" i="5" s="1"/>
  <c r="AFK17" i="5" s="1"/>
  <c r="AFL17" i="5" s="1"/>
  <c r="AFM17" i="5" s="1"/>
  <c r="AFN17" i="5" s="1"/>
  <c r="AFO17" i="5" s="1"/>
  <c r="AFP17" i="5" s="1"/>
  <c r="AFQ17" i="5" s="1"/>
  <c r="AFR17" i="5" s="1"/>
  <c r="AFS17" i="5" s="1"/>
  <c r="AFU17" i="5" s="1"/>
  <c r="AFV17" i="5" s="1"/>
  <c r="AFW17" i="5" s="1"/>
  <c r="AFX17" i="5" s="1"/>
  <c r="AFY17" i="5" s="1"/>
  <c r="AFZ17" i="5" s="1"/>
  <c r="AGA17" i="5" s="1"/>
  <c r="AGB17" i="5" s="1"/>
  <c r="AGC17" i="5" s="1"/>
  <c r="ADX17" i="5"/>
  <c r="ACK17" i="5"/>
  <c r="ACL17" i="5" s="1"/>
  <c r="ACM17" i="5" s="1"/>
  <c r="ACN17" i="5" s="1"/>
  <c r="ACO17" i="5" s="1"/>
  <c r="ACP17" i="5" s="1"/>
  <c r="ACQ17" i="5" s="1"/>
  <c r="ACR17" i="5" s="1"/>
  <c r="ACS17" i="5" s="1"/>
  <c r="ACT17" i="5" s="1"/>
  <c r="ACU17" i="5" s="1"/>
  <c r="ACV17" i="5" s="1"/>
  <c r="ACW17" i="5" s="1"/>
  <c r="ACX17" i="5" s="1"/>
  <c r="ACY17" i="5" s="1"/>
  <c r="ACZ17" i="5" s="1"/>
  <c r="ADA17" i="5" s="1"/>
  <c r="ADB17" i="5" s="1"/>
  <c r="ADC17" i="5" s="1"/>
  <c r="ADD17" i="5" s="1"/>
  <c r="ADE17" i="5" s="1"/>
  <c r="ADF17" i="5" s="1"/>
  <c r="ADG17" i="5" s="1"/>
  <c r="ADH17" i="5" s="1"/>
  <c r="ABP17" i="5"/>
  <c r="ABQ17" i="5" s="1"/>
  <c r="ABR17" i="5" s="1"/>
  <c r="ABS17" i="5" s="1"/>
  <c r="ABT17" i="5" s="1"/>
  <c r="ABU17" i="5" s="1"/>
  <c r="ABV17" i="5" s="1"/>
  <c r="ABW17" i="5" s="1"/>
  <c r="ABX17" i="5" s="1"/>
  <c r="ABY17" i="5" s="1"/>
  <c r="ABZ17" i="5" s="1"/>
  <c r="ACA17" i="5" s="1"/>
  <c r="ACB17" i="5" s="1"/>
  <c r="ZW17" i="5"/>
  <c r="ZX17" i="5" s="1"/>
  <c r="ZY17" i="5" s="1"/>
  <c r="ZZ17" i="5" s="1"/>
  <c r="AAA17" i="5" s="1"/>
  <c r="AAB17" i="5" s="1"/>
  <c r="AAC17" i="5" s="1"/>
  <c r="AAD17" i="5" s="1"/>
  <c r="AAE17" i="5" s="1"/>
  <c r="AAF17" i="5" s="1"/>
  <c r="AAG17" i="5" s="1"/>
  <c r="AAH17" i="5" s="1"/>
  <c r="AAI17" i="5" s="1"/>
  <c r="AAJ17" i="5" s="1"/>
  <c r="AAK17" i="5" s="1"/>
  <c r="AAL17" i="5" s="1"/>
  <c r="AAM17" i="5" s="1"/>
  <c r="AAN17" i="5" s="1"/>
  <c r="AAO17" i="5" s="1"/>
  <c r="AAP17" i="5" s="1"/>
  <c r="AAQ17" i="5" s="1"/>
  <c r="AAR17" i="5" s="1"/>
  <c r="AAS17" i="5" s="1"/>
  <c r="AAT17" i="5" s="1"/>
  <c r="AAU17" i="5" s="1"/>
  <c r="AAV17" i="5" s="1"/>
  <c r="YY17" i="5"/>
  <c r="YZ17" i="5" s="1"/>
  <c r="ZA17" i="5" s="1"/>
  <c r="ZB17" i="5" s="1"/>
  <c r="ZC17" i="5" s="1"/>
  <c r="ZD17" i="5" s="1"/>
  <c r="ZE17" i="5" s="1"/>
  <c r="ZF17" i="5" s="1"/>
  <c r="ZG17" i="5" s="1"/>
  <c r="XR17" i="5"/>
  <c r="XS17" i="5" s="1"/>
  <c r="XT17" i="5" s="1"/>
  <c r="XU17" i="5" s="1"/>
  <c r="XV17" i="5" s="1"/>
  <c r="XW17" i="5" s="1"/>
  <c r="XX17" i="5" s="1"/>
  <c r="XY17" i="5" s="1"/>
  <c r="XZ17" i="5" s="1"/>
  <c r="YA17" i="5" s="1"/>
  <c r="YB17" i="5" s="1"/>
  <c r="YC17" i="5" s="1"/>
  <c r="YD17" i="5" s="1"/>
  <c r="YE17" i="5" s="1"/>
  <c r="YF17" i="5" s="1"/>
  <c r="YG17" i="5" s="1"/>
  <c r="YH17" i="5" s="1"/>
  <c r="YI17" i="5" s="1"/>
  <c r="YJ17" i="5" s="1"/>
  <c r="YK17" i="5" s="1"/>
  <c r="UA17" i="5"/>
  <c r="UB17" i="5" s="1"/>
  <c r="UC17" i="5" s="1"/>
  <c r="UD17" i="5" s="1"/>
  <c r="UE17" i="5" s="1"/>
  <c r="UF17" i="5" s="1"/>
  <c r="UG17" i="5" s="1"/>
  <c r="UH17" i="5" s="1"/>
  <c r="UI17" i="5" s="1"/>
  <c r="UJ17" i="5" s="1"/>
  <c r="UK17" i="5" s="1"/>
  <c r="UL17" i="5" s="1"/>
  <c r="UM17" i="5" s="1"/>
  <c r="UN17" i="5" s="1"/>
  <c r="UO17" i="5" s="1"/>
  <c r="UP17" i="5" s="1"/>
  <c r="UQ17" i="5" s="1"/>
  <c r="UR17" i="5" s="1"/>
  <c r="US17" i="5" s="1"/>
  <c r="UT17" i="5" s="1"/>
  <c r="UU17" i="5" s="1"/>
  <c r="UV17" i="5" s="1"/>
  <c r="UW17" i="5" s="1"/>
  <c r="ST17" i="5"/>
  <c r="SU17" i="5" s="1"/>
  <c r="SV17" i="5" s="1"/>
  <c r="SW17" i="5" s="1"/>
  <c r="SX17" i="5" s="1"/>
  <c r="SY17" i="5" s="1"/>
  <c r="SZ17" i="5" s="1"/>
  <c r="TA17" i="5" s="1"/>
  <c r="TB17" i="5" s="1"/>
  <c r="TC17" i="5" s="1"/>
  <c r="TD17" i="5" s="1"/>
  <c r="TE17" i="5" s="1"/>
  <c r="TF17" i="5" s="1"/>
  <c r="TG17" i="5" s="1"/>
  <c r="TH17" i="5" s="1"/>
  <c r="TI17" i="5" s="1"/>
  <c r="TJ17" i="5" s="1"/>
  <c r="TK17" i="5" s="1"/>
  <c r="TL17" i="5" s="1"/>
  <c r="TM17" i="5" s="1"/>
  <c r="TN17" i="5" s="1"/>
  <c r="TO17" i="5" s="1"/>
  <c r="TP17" i="5" s="1"/>
  <c r="TQ17" i="5" s="1"/>
  <c r="NR17" i="5"/>
  <c r="NS17" i="5"/>
  <c r="NT17" i="5" s="1"/>
  <c r="NU17" i="5" s="1"/>
  <c r="FF17" i="5"/>
  <c r="FG17" i="5"/>
  <c r="AHM16" i="5"/>
  <c r="AHN16" i="5" s="1"/>
  <c r="AHO16" i="5" s="1"/>
  <c r="AHP16" i="5" s="1"/>
  <c r="AHQ16" i="5" s="1"/>
  <c r="AHR16" i="5" s="1"/>
  <c r="AHS16" i="5" s="1"/>
  <c r="AHT16" i="5" s="1"/>
  <c r="AHU16" i="5" s="1"/>
  <c r="AHV16" i="5" s="1"/>
  <c r="AHW16" i="5" s="1"/>
  <c r="AHX16" i="5" s="1"/>
  <c r="AHY16" i="5" s="1"/>
  <c r="AHZ16" i="5" s="1"/>
  <c r="AIA16" i="5" s="1"/>
  <c r="AIB16" i="5" s="1"/>
  <c r="AIC16" i="5" s="1"/>
  <c r="AID16" i="5" s="1"/>
  <c r="WM16" i="5"/>
  <c r="HX16" i="5"/>
  <c r="HL16" i="5"/>
  <c r="HM16" i="5"/>
  <c r="HO16" i="5" s="1"/>
  <c r="HP16" i="5" s="1"/>
  <c r="HQ16" i="5" s="1"/>
  <c r="HR16" i="5" s="1"/>
  <c r="HS16" i="5" s="1"/>
  <c r="HT16" i="5" s="1"/>
  <c r="FK16" i="5"/>
  <c r="CX16" i="5"/>
  <c r="CY16" i="5"/>
  <c r="CC16" i="5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ANO15" i="5"/>
  <c r="AKV15" i="5"/>
  <c r="VF15" i="5"/>
  <c r="RS15" i="5"/>
  <c r="ALW14" i="5"/>
  <c r="AKX14" i="5"/>
  <c r="AKQ14" i="5"/>
  <c r="AJN14" i="5"/>
  <c r="AIH14" i="5"/>
  <c r="AHN14" i="5"/>
  <c r="AGG14" i="5"/>
  <c r="AEX14" i="5"/>
  <c r="ADZ14" i="5"/>
  <c r="ACL14" i="5"/>
  <c r="ABQ14" i="5"/>
  <c r="ZX14" i="5"/>
  <c r="YZ14" i="5"/>
  <c r="XS14" i="5"/>
  <c r="UB14" i="5"/>
  <c r="SU14" i="5"/>
  <c r="RU14" i="5"/>
  <c r="QK14" i="5"/>
  <c r="PK14" i="5"/>
  <c r="NY14" i="5"/>
  <c r="NK14" i="5"/>
  <c r="LU14" i="5"/>
  <c r="KJ14" i="5"/>
  <c r="IZ14" i="5"/>
  <c r="GX14" i="5"/>
  <c r="EL14" i="5"/>
  <c r="DC14" i="5"/>
  <c r="DB14" i="5"/>
  <c r="CD14" i="5"/>
  <c r="AV14" i="5"/>
  <c r="H14" i="5"/>
  <c r="DX10" i="5"/>
  <c r="DX13" i="5" s="1"/>
  <c r="DW13" i="5"/>
  <c r="CS10" i="5"/>
  <c r="BN13" i="5"/>
  <c r="BM9" i="5"/>
  <c r="BM10" i="5" s="1"/>
  <c r="BM13" i="5" s="1"/>
  <c r="BL10" i="5"/>
  <c r="BL13" i="5" s="1"/>
  <c r="AH9" i="5"/>
  <c r="AH10" i="5" s="1"/>
  <c r="AH13" i="5" s="1"/>
  <c r="AG10" i="5"/>
  <c r="AG13" i="5" s="1"/>
  <c r="AK3" i="5"/>
  <c r="BO3" i="5"/>
  <c r="CT3" i="5" s="1"/>
  <c r="C42" i="4"/>
  <c r="AMY38" i="4"/>
  <c r="ALT38" i="4"/>
  <c r="AKN38" i="4"/>
  <c r="AJK38" i="4"/>
  <c r="AIE38" i="4"/>
  <c r="AGY38" i="4"/>
  <c r="AFT38" i="4"/>
  <c r="AEN38" i="4"/>
  <c r="ADI38" i="4"/>
  <c r="ACC38" i="4"/>
  <c r="AAW38" i="4"/>
  <c r="ZR38" i="4"/>
  <c r="YL38" i="4"/>
  <c r="XG38" i="4"/>
  <c r="C35" i="4"/>
  <c r="AMY31" i="4"/>
  <c r="ALT31" i="4"/>
  <c r="AKN31" i="4"/>
  <c r="AJK31" i="4"/>
  <c r="AIE31" i="4"/>
  <c r="AGY31" i="4"/>
  <c r="AFT31" i="4"/>
  <c r="AEN31" i="4"/>
  <c r="ADI31" i="4"/>
  <c r="ACC31" i="4"/>
  <c r="AAW31" i="4"/>
  <c r="ZR31" i="4"/>
  <c r="YL31" i="4"/>
  <c r="XG31" i="4"/>
  <c r="UX31" i="4"/>
  <c r="WA31" i="4" s="1"/>
  <c r="TR31" i="4"/>
  <c r="SL31" i="4"/>
  <c r="RG31" i="4"/>
  <c r="QA31" i="4"/>
  <c r="OV31" i="4"/>
  <c r="NP31" i="4"/>
  <c r="MJ31" i="4"/>
  <c r="LE31" i="4"/>
  <c r="JY31" i="4"/>
  <c r="IT31" i="4"/>
  <c r="HN31" i="4"/>
  <c r="GJ31" i="4"/>
  <c r="CS31" i="4"/>
  <c r="BM31" i="4"/>
  <c r="F33" i="4"/>
  <c r="AH31" i="4"/>
  <c r="BM23" i="4"/>
  <c r="AO24" i="4"/>
  <c r="TR19" i="4"/>
  <c r="SM24" i="4"/>
  <c r="SL19" i="4"/>
  <c r="RH24" i="4"/>
  <c r="SL24" i="4" s="1"/>
  <c r="QC24" i="4"/>
  <c r="RG24" i="4" s="1"/>
  <c r="RG19" i="4"/>
  <c r="OW24" i="4"/>
  <c r="QA24" i="4" s="1"/>
  <c r="QA19" i="4"/>
  <c r="NR24" i="4"/>
  <c r="OV24" i="4" s="1"/>
  <c r="OV19" i="4"/>
  <c r="ML24" i="4"/>
  <c r="NP24" i="4" s="1"/>
  <c r="NP19" i="4"/>
  <c r="MJ19" i="4"/>
  <c r="LF24" i="4"/>
  <c r="MJ24" i="4" s="1"/>
  <c r="KA24" i="4"/>
  <c r="LE24" i="4" s="1"/>
  <c r="LE19" i="4"/>
  <c r="IU24" i="4"/>
  <c r="JY24" i="4" s="1"/>
  <c r="JY19" i="4"/>
  <c r="HO24" i="4"/>
  <c r="IT24" i="4" s="1"/>
  <c r="IT19" i="4"/>
  <c r="HN19" i="4"/>
  <c r="GK24" i="4"/>
  <c r="HN24" i="4" s="1"/>
  <c r="GJ19" i="4"/>
  <c r="FE24" i="4"/>
  <c r="GJ24" i="4" s="1"/>
  <c r="FD19" i="4"/>
  <c r="DY24" i="4"/>
  <c r="FD24" i="4" s="1"/>
  <c r="CT24" i="4"/>
  <c r="DX24" i="4" s="1"/>
  <c r="DX19" i="4"/>
  <c r="BN24" i="4"/>
  <c r="CS24" i="4" s="1"/>
  <c r="CS19" i="4"/>
  <c r="AI24" i="4"/>
  <c r="BM24" i="4" s="1"/>
  <c r="BM19" i="4"/>
  <c r="E24" i="4"/>
  <c r="AH24" i="4" s="1"/>
  <c r="AH19" i="4"/>
  <c r="BN29" i="5"/>
  <c r="BO29" i="5" s="1"/>
  <c r="BP29" i="5" s="1"/>
  <c r="BQ29" i="5" s="1"/>
  <c r="BR29" i="5" s="1"/>
  <c r="BS29" i="5" s="1"/>
  <c r="BT29" i="5" s="1"/>
  <c r="BU29" i="5" s="1"/>
  <c r="BV29" i="5" s="1"/>
  <c r="BW29" i="5" s="1"/>
  <c r="BX29" i="5" s="1"/>
  <c r="BY29" i="5" s="1"/>
  <c r="BZ29" i="5" s="1"/>
  <c r="CA29" i="5" s="1"/>
  <c r="CB29" i="5" s="1"/>
  <c r="CC29" i="5" s="1"/>
  <c r="CD29" i="5" s="1"/>
  <c r="CE29" i="5" s="1"/>
  <c r="CF29" i="5" s="1"/>
  <c r="CG29" i="5" s="1"/>
  <c r="CH29" i="5" s="1"/>
  <c r="CI29" i="5" s="1"/>
  <c r="CJ29" i="5" s="1"/>
  <c r="CK29" i="5" s="1"/>
  <c r="CL29" i="5" s="1"/>
  <c r="CM29" i="5" s="1"/>
  <c r="CN29" i="5" s="1"/>
  <c r="CO29" i="5" s="1"/>
  <c r="CP29" i="5" s="1"/>
  <c r="CQ29" i="5" s="1"/>
  <c r="CR29" i="5" s="1"/>
  <c r="CT17" i="5" s="1"/>
  <c r="CS16" i="4"/>
  <c r="AI29" i="5"/>
  <c r="AJ29" i="5" s="1"/>
  <c r="AK29" i="5" s="1"/>
  <c r="AL29" i="5" s="1"/>
  <c r="AM29" i="5" s="1"/>
  <c r="AN29" i="5" s="1"/>
  <c r="AO29" i="5" s="1"/>
  <c r="AP29" i="5" s="1"/>
  <c r="AQ29" i="5" s="1"/>
  <c r="AR29" i="5" s="1"/>
  <c r="AS29" i="5" s="1"/>
  <c r="AT29" i="5" s="1"/>
  <c r="AU29" i="5" s="1"/>
  <c r="AV29" i="5" s="1"/>
  <c r="AMY15" i="4"/>
  <c r="ALU28" i="5"/>
  <c r="ALV28" i="5" s="1"/>
  <c r="ALW28" i="5" s="1"/>
  <c r="ALX28" i="5" s="1"/>
  <c r="ALY28" i="5" s="1"/>
  <c r="ALZ28" i="5" s="1"/>
  <c r="AMA28" i="5" s="1"/>
  <c r="AMB28" i="5" s="1"/>
  <c r="AMC28" i="5" s="1"/>
  <c r="AMD28" i="5" s="1"/>
  <c r="AME28" i="5" s="1"/>
  <c r="AMF28" i="5" s="1"/>
  <c r="AMG28" i="5" s="1"/>
  <c r="AMH28" i="5" s="1"/>
  <c r="AMI28" i="5" s="1"/>
  <c r="AMJ28" i="5" s="1"/>
  <c r="AMK28" i="5" s="1"/>
  <c r="AML28" i="5" s="1"/>
  <c r="AMM28" i="5" s="1"/>
  <c r="AMN28" i="5" s="1"/>
  <c r="AMO28" i="5" s="1"/>
  <c r="AMP28" i="5" s="1"/>
  <c r="AMQ28" i="5" s="1"/>
  <c r="AMR28" i="5" s="1"/>
  <c r="AMS28" i="5" s="1"/>
  <c r="AMT28" i="5" s="1"/>
  <c r="AMU28" i="5" s="1"/>
  <c r="AMV28" i="5" s="1"/>
  <c r="AMW28" i="5" s="1"/>
  <c r="AMX28" i="5" s="1"/>
  <c r="AMZ15" i="5" s="1"/>
  <c r="ALT15" i="4"/>
  <c r="AKO28" i="5"/>
  <c r="AKP28" i="5" s="1"/>
  <c r="AKQ28" i="5" s="1"/>
  <c r="AKR28" i="5" s="1"/>
  <c r="AKS28" i="5" s="1"/>
  <c r="AKT28" i="5" s="1"/>
  <c r="AKU28" i="5" s="1"/>
  <c r="AKV28" i="5" s="1"/>
  <c r="AKW28" i="5" s="1"/>
  <c r="AKX28" i="5" s="1"/>
  <c r="AKY28" i="5" s="1"/>
  <c r="AKZ28" i="5" s="1"/>
  <c r="ALA28" i="5" s="1"/>
  <c r="ALB28" i="5" s="1"/>
  <c r="ALC28" i="5" s="1"/>
  <c r="ALD28" i="5" s="1"/>
  <c r="ALE28" i="5" s="1"/>
  <c r="ALF28" i="5" s="1"/>
  <c r="ALG28" i="5" s="1"/>
  <c r="ALH28" i="5" s="1"/>
  <c r="ALI28" i="5" s="1"/>
  <c r="ALJ28" i="5" s="1"/>
  <c r="ALK28" i="5" s="1"/>
  <c r="ALL28" i="5" s="1"/>
  <c r="ALM28" i="5" s="1"/>
  <c r="ALN28" i="5" s="1"/>
  <c r="ALO28" i="5" s="1"/>
  <c r="ALP28" i="5" s="1"/>
  <c r="ALQ28" i="5" s="1"/>
  <c r="ALR28" i="5" s="1"/>
  <c r="ALS28" i="5" s="1"/>
  <c r="ALU16" i="5" s="1"/>
  <c r="AJL28" i="5"/>
  <c r="AJM28" i="5" s="1"/>
  <c r="AJN28" i="5" s="1"/>
  <c r="AJO28" i="5" s="1"/>
  <c r="AJP28" i="5" s="1"/>
  <c r="AJQ28" i="5" s="1"/>
  <c r="AJR28" i="5" s="1"/>
  <c r="AJS28" i="5" s="1"/>
  <c r="AJT28" i="5" s="1"/>
  <c r="AJU28" i="5" s="1"/>
  <c r="AJV28" i="5" s="1"/>
  <c r="AJW28" i="5" s="1"/>
  <c r="AJX28" i="5" s="1"/>
  <c r="AJY28" i="5" s="1"/>
  <c r="AJZ28" i="5" s="1"/>
  <c r="AKA28" i="5" s="1"/>
  <c r="AKB28" i="5" s="1"/>
  <c r="AKC28" i="5" s="1"/>
  <c r="AKD28" i="5" s="1"/>
  <c r="AKE28" i="5" s="1"/>
  <c r="AKF28" i="5" s="1"/>
  <c r="AKG28" i="5" s="1"/>
  <c r="AKH28" i="5" s="1"/>
  <c r="AKI28" i="5" s="1"/>
  <c r="AKJ28" i="5" s="1"/>
  <c r="AKK28" i="5" s="1"/>
  <c r="AKL28" i="5" s="1"/>
  <c r="AKM28" i="5" s="1"/>
  <c r="AKO16" i="5" s="1"/>
  <c r="AKN15" i="4"/>
  <c r="AJK15" i="4"/>
  <c r="AIF28" i="5"/>
  <c r="AIG28" i="5" s="1"/>
  <c r="AIH28" i="5" s="1"/>
  <c r="AII28" i="5" s="1"/>
  <c r="AIJ28" i="5" s="1"/>
  <c r="AIK28" i="5" s="1"/>
  <c r="AIL28" i="5" s="1"/>
  <c r="AIM28" i="5" s="1"/>
  <c r="AIN28" i="5" s="1"/>
  <c r="AIO28" i="5" s="1"/>
  <c r="AIP28" i="5" s="1"/>
  <c r="AIQ28" i="5" s="1"/>
  <c r="AIR28" i="5" s="1"/>
  <c r="AIS28" i="5" s="1"/>
  <c r="AIT28" i="5" s="1"/>
  <c r="AIU28" i="5" s="1"/>
  <c r="AIV28" i="5" s="1"/>
  <c r="AIW28" i="5" s="1"/>
  <c r="AIX28" i="5" s="1"/>
  <c r="AIY28" i="5" s="1"/>
  <c r="AIZ28" i="5" s="1"/>
  <c r="AJA28" i="5" s="1"/>
  <c r="AJB28" i="5" s="1"/>
  <c r="AJC28" i="5" s="1"/>
  <c r="AJD28" i="5" s="1"/>
  <c r="AJE28" i="5" s="1"/>
  <c r="AJF28" i="5" s="1"/>
  <c r="AJG28" i="5" s="1"/>
  <c r="AJH28" i="5" s="1"/>
  <c r="AJI28" i="5" s="1"/>
  <c r="AJJ28" i="5" s="1"/>
  <c r="AJL16" i="5" s="1"/>
  <c r="AIE15" i="4"/>
  <c r="AGZ28" i="5"/>
  <c r="AHA28" i="5" s="1"/>
  <c r="AHB28" i="5" s="1"/>
  <c r="AHC28" i="5" s="1"/>
  <c r="AHD28" i="5" s="1"/>
  <c r="AHE28" i="5" s="1"/>
  <c r="AHF28" i="5" s="1"/>
  <c r="AHG28" i="5" s="1"/>
  <c r="AHH28" i="5" s="1"/>
  <c r="AHI28" i="5" s="1"/>
  <c r="AHJ28" i="5" s="1"/>
  <c r="AHK28" i="5" s="1"/>
  <c r="AHL28" i="5" s="1"/>
  <c r="AHM28" i="5" s="1"/>
  <c r="AHN28" i="5" s="1"/>
  <c r="AHO28" i="5" s="1"/>
  <c r="AHP28" i="5" s="1"/>
  <c r="AHQ28" i="5" s="1"/>
  <c r="AHR28" i="5" s="1"/>
  <c r="AHS28" i="5" s="1"/>
  <c r="AHT28" i="5" s="1"/>
  <c r="AHU28" i="5" s="1"/>
  <c r="AHV28" i="5" s="1"/>
  <c r="AHW28" i="5" s="1"/>
  <c r="AHX28" i="5" s="1"/>
  <c r="AHY28" i="5" s="1"/>
  <c r="AHZ28" i="5" s="1"/>
  <c r="AIA28" i="5" s="1"/>
  <c r="AIB28" i="5" s="1"/>
  <c r="AIC28" i="5" s="1"/>
  <c r="AID28" i="5" s="1"/>
  <c r="AFU28" i="5"/>
  <c r="AFV28" i="5" s="1"/>
  <c r="AFW28" i="5" s="1"/>
  <c r="AFX28" i="5" s="1"/>
  <c r="AFY28" i="5" s="1"/>
  <c r="AFZ28" i="5" s="1"/>
  <c r="AGA28" i="5" s="1"/>
  <c r="AGB28" i="5" s="1"/>
  <c r="AGC28" i="5" s="1"/>
  <c r="AGD28" i="5" s="1"/>
  <c r="AGE28" i="5" s="1"/>
  <c r="AGF28" i="5" s="1"/>
  <c r="AGG28" i="5" s="1"/>
  <c r="AGH28" i="5" s="1"/>
  <c r="AGI28" i="5" s="1"/>
  <c r="AGJ28" i="5" s="1"/>
  <c r="AGK28" i="5" s="1"/>
  <c r="AGL28" i="5" s="1"/>
  <c r="AGM28" i="5" s="1"/>
  <c r="AGN28" i="5" s="1"/>
  <c r="AGO28" i="5" s="1"/>
  <c r="AGP28" i="5" s="1"/>
  <c r="AGQ28" i="5" s="1"/>
  <c r="AGR28" i="5" s="1"/>
  <c r="AGS28" i="5" s="1"/>
  <c r="AGT28" i="5" s="1"/>
  <c r="AGU28" i="5" s="1"/>
  <c r="AGV28" i="5" s="1"/>
  <c r="AGW28" i="5" s="1"/>
  <c r="AGX28" i="5" s="1"/>
  <c r="AGZ16" i="5" s="1"/>
  <c r="AHA16" i="5" s="1"/>
  <c r="AHB16" i="5" s="1"/>
  <c r="AHC16" i="5" s="1"/>
  <c r="AHD16" i="5" s="1"/>
  <c r="AHE16" i="5" s="1"/>
  <c r="AHF16" i="5" s="1"/>
  <c r="AHG16" i="5" s="1"/>
  <c r="AHH16" i="5" s="1"/>
  <c r="AHI16" i="5" s="1"/>
  <c r="AHJ16" i="5" s="1"/>
  <c r="AGY15" i="4"/>
  <c r="AEO28" i="5"/>
  <c r="AEP28" i="5" s="1"/>
  <c r="AEQ28" i="5" s="1"/>
  <c r="AER28" i="5" s="1"/>
  <c r="AES28" i="5" s="1"/>
  <c r="AET28" i="5" s="1"/>
  <c r="AEU28" i="5" s="1"/>
  <c r="AEV28" i="5" s="1"/>
  <c r="AEW28" i="5" s="1"/>
  <c r="AEX28" i="5" s="1"/>
  <c r="AEY28" i="5" s="1"/>
  <c r="AEZ28" i="5" s="1"/>
  <c r="AFA28" i="5" s="1"/>
  <c r="AFB28" i="5" s="1"/>
  <c r="AFC28" i="5" s="1"/>
  <c r="AFD28" i="5" s="1"/>
  <c r="AFE28" i="5" s="1"/>
  <c r="AFF28" i="5" s="1"/>
  <c r="AFG28" i="5" s="1"/>
  <c r="AFH28" i="5" s="1"/>
  <c r="AFI28" i="5" s="1"/>
  <c r="AFJ28" i="5" s="1"/>
  <c r="AFK28" i="5" s="1"/>
  <c r="AFL28" i="5" s="1"/>
  <c r="AFM28" i="5" s="1"/>
  <c r="AFN28" i="5" s="1"/>
  <c r="AFO28" i="5" s="1"/>
  <c r="AFP28" i="5" s="1"/>
  <c r="AFQ28" i="5" s="1"/>
  <c r="AFR28" i="5" s="1"/>
  <c r="AFS28" i="5" s="1"/>
  <c r="AFU16" i="5" s="1"/>
  <c r="AFV16" i="5" s="1"/>
  <c r="AFW16" i="5" s="1"/>
  <c r="AFX16" i="5" s="1"/>
  <c r="AFY16" i="5" s="1"/>
  <c r="AFZ16" i="5" s="1"/>
  <c r="AGA16" i="5" s="1"/>
  <c r="AGB16" i="5" s="1"/>
  <c r="AGC16" i="5" s="1"/>
  <c r="AFT15" i="4"/>
  <c r="ADJ28" i="5"/>
  <c r="ADK28" i="5" s="1"/>
  <c r="ADL28" i="5" s="1"/>
  <c r="ADM28" i="5" s="1"/>
  <c r="ADN28" i="5" s="1"/>
  <c r="ADO28" i="5" s="1"/>
  <c r="ADP28" i="5" s="1"/>
  <c r="ADQ28" i="5" s="1"/>
  <c r="ADR28" i="5" s="1"/>
  <c r="ADS28" i="5" s="1"/>
  <c r="ADT28" i="5" s="1"/>
  <c r="ADU28" i="5" s="1"/>
  <c r="ADV28" i="5" s="1"/>
  <c r="ADW28" i="5" s="1"/>
  <c r="ADX28" i="5" s="1"/>
  <c r="ADY28" i="5" s="1"/>
  <c r="ADZ28" i="5" s="1"/>
  <c r="AEA28" i="5" s="1"/>
  <c r="AEB28" i="5" s="1"/>
  <c r="AEC28" i="5" s="1"/>
  <c r="AED28" i="5" s="1"/>
  <c r="AEE28" i="5" s="1"/>
  <c r="AEF28" i="5" s="1"/>
  <c r="AEG28" i="5" s="1"/>
  <c r="AEH28" i="5" s="1"/>
  <c r="AEI28" i="5" s="1"/>
  <c r="AEJ28" i="5" s="1"/>
  <c r="AEK28" i="5" s="1"/>
  <c r="AEL28" i="5" s="1"/>
  <c r="AEM28" i="5" s="1"/>
  <c r="AEO16" i="5" s="1"/>
  <c r="AEP16" i="5" s="1"/>
  <c r="AEQ16" i="5" s="1"/>
  <c r="AER16" i="5" s="1"/>
  <c r="AES16" i="5" s="1"/>
  <c r="AET16" i="5" s="1"/>
  <c r="AEN15" i="4"/>
  <c r="ACD28" i="5"/>
  <c r="ACE28" i="5" s="1"/>
  <c r="ACF28" i="5" s="1"/>
  <c r="ACG28" i="5" s="1"/>
  <c r="ACH28" i="5" s="1"/>
  <c r="ACI28" i="5" s="1"/>
  <c r="ACJ28" i="5" s="1"/>
  <c r="ACK28" i="5" s="1"/>
  <c r="ACL28" i="5" s="1"/>
  <c r="ACM28" i="5" s="1"/>
  <c r="ACN28" i="5" s="1"/>
  <c r="ACO28" i="5" s="1"/>
  <c r="ACP28" i="5" s="1"/>
  <c r="ACQ28" i="5" s="1"/>
  <c r="ACR28" i="5" s="1"/>
  <c r="ACS28" i="5" s="1"/>
  <c r="ACT28" i="5" s="1"/>
  <c r="ACU28" i="5" s="1"/>
  <c r="ACV28" i="5" s="1"/>
  <c r="ACW28" i="5" s="1"/>
  <c r="ACX28" i="5" s="1"/>
  <c r="ACY28" i="5" s="1"/>
  <c r="ACZ28" i="5" s="1"/>
  <c r="ADA28" i="5" s="1"/>
  <c r="ADB28" i="5" s="1"/>
  <c r="ADC28" i="5" s="1"/>
  <c r="ADD28" i="5" s="1"/>
  <c r="ADE28" i="5" s="1"/>
  <c r="ADF28" i="5" s="1"/>
  <c r="ADG28" i="5" s="1"/>
  <c r="ADH28" i="5" s="1"/>
  <c r="ADJ16" i="5" s="1"/>
  <c r="ADK16" i="5" s="1"/>
  <c r="ADL16" i="5" s="1"/>
  <c r="ADM16" i="5" s="1"/>
  <c r="ADN16" i="5" s="1"/>
  <c r="ADO16" i="5" s="1"/>
  <c r="ADP16" i="5" s="1"/>
  <c r="ADQ16" i="5" s="1"/>
  <c r="ADR16" i="5" s="1"/>
  <c r="ADS16" i="5" s="1"/>
  <c r="ADT16" i="5" s="1"/>
  <c r="ADU16" i="5" s="1"/>
  <c r="ADV16" i="5" s="1"/>
  <c r="ADI15" i="4"/>
  <c r="AAX28" i="5"/>
  <c r="AAY28" i="5" s="1"/>
  <c r="AAZ28" i="5" s="1"/>
  <c r="ABA28" i="5" s="1"/>
  <c r="ABB28" i="5" s="1"/>
  <c r="ABC28" i="5" s="1"/>
  <c r="ABD28" i="5" s="1"/>
  <c r="ABE28" i="5" s="1"/>
  <c r="ABF28" i="5" s="1"/>
  <c r="ABG28" i="5" s="1"/>
  <c r="ABH28" i="5" s="1"/>
  <c r="ABI28" i="5" s="1"/>
  <c r="ABJ28" i="5" s="1"/>
  <c r="ABK28" i="5" s="1"/>
  <c r="ABL28" i="5" s="1"/>
  <c r="ABM28" i="5" s="1"/>
  <c r="ABN28" i="5" s="1"/>
  <c r="ABO28" i="5" s="1"/>
  <c r="ABP28" i="5" s="1"/>
  <c r="ABQ28" i="5" s="1"/>
  <c r="ABR28" i="5" s="1"/>
  <c r="ABS28" i="5" s="1"/>
  <c r="ABT28" i="5" s="1"/>
  <c r="ABU28" i="5" s="1"/>
  <c r="ABV28" i="5" s="1"/>
  <c r="ABW28" i="5" s="1"/>
  <c r="ABX28" i="5" s="1"/>
  <c r="ABY28" i="5" s="1"/>
  <c r="ABZ28" i="5" s="1"/>
  <c r="ACA28" i="5" s="1"/>
  <c r="ACB28" i="5" s="1"/>
  <c r="ACD16" i="5" s="1"/>
  <c r="ACE16" i="5" s="1"/>
  <c r="ACF16" i="5" s="1"/>
  <c r="ACG16" i="5" s="1"/>
  <c r="ACH16" i="5" s="1"/>
  <c r="ACC15" i="4"/>
  <c r="AAW15" i="4"/>
  <c r="ZS28" i="5"/>
  <c r="ZT28" i="5" s="1"/>
  <c r="ZU28" i="5" s="1"/>
  <c r="ZV28" i="5" s="1"/>
  <c r="ZW28" i="5" s="1"/>
  <c r="ZX28" i="5" s="1"/>
  <c r="ZY28" i="5" s="1"/>
  <c r="ZZ28" i="5" s="1"/>
  <c r="AAA28" i="5" s="1"/>
  <c r="AAB28" i="5" s="1"/>
  <c r="AAC28" i="5" s="1"/>
  <c r="AAD28" i="5" s="1"/>
  <c r="AAE28" i="5" s="1"/>
  <c r="AAF28" i="5" s="1"/>
  <c r="AAG28" i="5" s="1"/>
  <c r="AAH28" i="5" s="1"/>
  <c r="AAI28" i="5" s="1"/>
  <c r="AAJ28" i="5" s="1"/>
  <c r="AAK28" i="5" s="1"/>
  <c r="AAL28" i="5" s="1"/>
  <c r="AAM28" i="5" s="1"/>
  <c r="AAN28" i="5" s="1"/>
  <c r="AAO28" i="5" s="1"/>
  <c r="AAP28" i="5" s="1"/>
  <c r="AAQ28" i="5" s="1"/>
  <c r="AAR28" i="5" s="1"/>
  <c r="AAS28" i="5" s="1"/>
  <c r="AAT28" i="5" s="1"/>
  <c r="AAU28" i="5" s="1"/>
  <c r="AAV28" i="5" s="1"/>
  <c r="AAX16" i="5" s="1"/>
  <c r="AAY16" i="5" s="1"/>
  <c r="AAZ16" i="5" s="1"/>
  <c r="ABA16" i="5" s="1"/>
  <c r="ABB16" i="5" s="1"/>
  <c r="ABC16" i="5" s="1"/>
  <c r="ABD16" i="5" s="1"/>
  <c r="ABE16" i="5" s="1"/>
  <c r="ABF16" i="5" s="1"/>
  <c r="ABG16" i="5" s="1"/>
  <c r="ABH16" i="5" s="1"/>
  <c r="ABI16" i="5" s="1"/>
  <c r="ABJ16" i="5" s="1"/>
  <c r="ABK16" i="5" s="1"/>
  <c r="ABL16" i="5" s="1"/>
  <c r="ABM16" i="5" s="1"/>
  <c r="ZR15" i="4"/>
  <c r="YM28" i="5"/>
  <c r="YN28" i="5" s="1"/>
  <c r="YO28" i="5" s="1"/>
  <c r="YP28" i="5" s="1"/>
  <c r="YQ28" i="5" s="1"/>
  <c r="YR28" i="5" s="1"/>
  <c r="YS28" i="5" s="1"/>
  <c r="YT28" i="5" s="1"/>
  <c r="YU28" i="5" s="1"/>
  <c r="YV28" i="5" s="1"/>
  <c r="YW28" i="5" s="1"/>
  <c r="YX28" i="5" s="1"/>
  <c r="YY28" i="5" s="1"/>
  <c r="YZ28" i="5" s="1"/>
  <c r="ZA28" i="5" s="1"/>
  <c r="ZB28" i="5" s="1"/>
  <c r="ZC28" i="5" s="1"/>
  <c r="ZD28" i="5" s="1"/>
  <c r="ZE28" i="5" s="1"/>
  <c r="ZF28" i="5" s="1"/>
  <c r="ZG28" i="5" s="1"/>
  <c r="ZH28" i="5" s="1"/>
  <c r="ZI28" i="5" s="1"/>
  <c r="ZJ28" i="5" s="1"/>
  <c r="ZK28" i="5" s="1"/>
  <c r="ZL28" i="5" s="1"/>
  <c r="ZM28" i="5" s="1"/>
  <c r="ZN28" i="5" s="1"/>
  <c r="ZO28" i="5" s="1"/>
  <c r="ZP28" i="5" s="1"/>
  <c r="ZQ28" i="5" s="1"/>
  <c r="ZS16" i="5" s="1"/>
  <c r="ZT16" i="5" s="1"/>
  <c r="XH28" i="5"/>
  <c r="XI28" i="5" s="1"/>
  <c r="XJ28" i="5" s="1"/>
  <c r="XK28" i="5" s="1"/>
  <c r="XL28" i="5" s="1"/>
  <c r="XM28" i="5" s="1"/>
  <c r="XN28" i="5" s="1"/>
  <c r="XO28" i="5" s="1"/>
  <c r="XP28" i="5" s="1"/>
  <c r="XQ28" i="5" s="1"/>
  <c r="XR28" i="5" s="1"/>
  <c r="XS28" i="5" s="1"/>
  <c r="XT28" i="5" s="1"/>
  <c r="XU28" i="5" s="1"/>
  <c r="XV28" i="5" s="1"/>
  <c r="XW28" i="5" s="1"/>
  <c r="XX28" i="5" s="1"/>
  <c r="XY28" i="5" s="1"/>
  <c r="XZ28" i="5" s="1"/>
  <c r="YA28" i="5" s="1"/>
  <c r="YB28" i="5" s="1"/>
  <c r="YC28" i="5" s="1"/>
  <c r="YD28" i="5" s="1"/>
  <c r="YE28" i="5" s="1"/>
  <c r="YF28" i="5" s="1"/>
  <c r="YG28" i="5" s="1"/>
  <c r="YH28" i="5" s="1"/>
  <c r="YI28" i="5" s="1"/>
  <c r="YJ28" i="5" s="1"/>
  <c r="YK28" i="5" s="1"/>
  <c r="YM16" i="5" s="1"/>
  <c r="YN16" i="5" s="1"/>
  <c r="YO16" i="5" s="1"/>
  <c r="YP16" i="5" s="1"/>
  <c r="YQ16" i="5" s="1"/>
  <c r="YR16" i="5" s="1"/>
  <c r="YS16" i="5" s="1"/>
  <c r="YT16" i="5" s="1"/>
  <c r="YU16" i="5" s="1"/>
  <c r="YV16" i="5" s="1"/>
  <c r="YL15" i="4"/>
  <c r="WB28" i="5"/>
  <c r="WC28" i="5" s="1"/>
  <c r="WD28" i="5" s="1"/>
  <c r="WE28" i="5" s="1"/>
  <c r="WF28" i="5" s="1"/>
  <c r="WG28" i="5" s="1"/>
  <c r="WH28" i="5" s="1"/>
  <c r="WI28" i="5" s="1"/>
  <c r="WJ28" i="5" s="1"/>
  <c r="WK28" i="5" s="1"/>
  <c r="WL28" i="5" s="1"/>
  <c r="WM28" i="5" s="1"/>
  <c r="WN28" i="5" s="1"/>
  <c r="WO28" i="5" s="1"/>
  <c r="WP28" i="5" s="1"/>
  <c r="WQ28" i="5" s="1"/>
  <c r="WR28" i="5" s="1"/>
  <c r="WS28" i="5" s="1"/>
  <c r="WT28" i="5" s="1"/>
  <c r="WU28" i="5" s="1"/>
  <c r="WV28" i="5" s="1"/>
  <c r="WW28" i="5" s="1"/>
  <c r="WX28" i="5" s="1"/>
  <c r="WY28" i="5" s="1"/>
  <c r="WZ28" i="5" s="1"/>
  <c r="XA28" i="5" s="1"/>
  <c r="XB28" i="5" s="1"/>
  <c r="XC28" i="5" s="1"/>
  <c r="XD28" i="5" s="1"/>
  <c r="XE28" i="5" s="1"/>
  <c r="XF28" i="5" s="1"/>
  <c r="XG15" i="4"/>
  <c r="UY28" i="5"/>
  <c r="UZ28" i="5" s="1"/>
  <c r="VA28" i="5" s="1"/>
  <c r="VB28" i="5" s="1"/>
  <c r="VC28" i="5" s="1"/>
  <c r="VD28" i="5" s="1"/>
  <c r="VE28" i="5" s="1"/>
  <c r="VF28" i="5" s="1"/>
  <c r="VG28" i="5" s="1"/>
  <c r="VH28" i="5" s="1"/>
  <c r="VI28" i="5" s="1"/>
  <c r="VJ28" i="5" s="1"/>
  <c r="VK28" i="5" s="1"/>
  <c r="VL28" i="5" s="1"/>
  <c r="VM28" i="5" s="1"/>
  <c r="VN28" i="5" s="1"/>
  <c r="VO28" i="5" s="1"/>
  <c r="VP28" i="5" s="1"/>
  <c r="VQ28" i="5" s="1"/>
  <c r="VR28" i="5" s="1"/>
  <c r="VS28" i="5" s="1"/>
  <c r="VT28" i="5" s="1"/>
  <c r="VU28" i="5" s="1"/>
  <c r="VV28" i="5" s="1"/>
  <c r="VW28" i="5" s="1"/>
  <c r="VX28" i="5" s="1"/>
  <c r="VY28" i="5" s="1"/>
  <c r="VZ28" i="5" s="1"/>
  <c r="WB16" i="5" s="1"/>
  <c r="WC16" i="5" s="1"/>
  <c r="WD16" i="5" s="1"/>
  <c r="WE16" i="5" s="1"/>
  <c r="WF16" i="5" s="1"/>
  <c r="WG16" i="5" s="1"/>
  <c r="WH16" i="5" s="1"/>
  <c r="WI16" i="5" s="1"/>
  <c r="WA15" i="4"/>
  <c r="SL15" i="4"/>
  <c r="RH28" i="5"/>
  <c r="RI28" i="5" s="1"/>
  <c r="RJ28" i="5" s="1"/>
  <c r="RK28" i="5" s="1"/>
  <c r="RL28" i="5" s="1"/>
  <c r="RM28" i="5" s="1"/>
  <c r="RN28" i="5" s="1"/>
  <c r="RO28" i="5" s="1"/>
  <c r="RP28" i="5" s="1"/>
  <c r="RQ28" i="5" s="1"/>
  <c r="RR28" i="5" s="1"/>
  <c r="RS28" i="5" s="1"/>
  <c r="RT28" i="5" s="1"/>
  <c r="RU28" i="5" s="1"/>
  <c r="RV28" i="5" s="1"/>
  <c r="RW28" i="5" s="1"/>
  <c r="RX28" i="5" s="1"/>
  <c r="RY28" i="5" s="1"/>
  <c r="RZ28" i="5" s="1"/>
  <c r="SA28" i="5" s="1"/>
  <c r="SB28" i="5" s="1"/>
  <c r="SC28" i="5" s="1"/>
  <c r="SD28" i="5" s="1"/>
  <c r="SE28" i="5" s="1"/>
  <c r="SF28" i="5" s="1"/>
  <c r="SG28" i="5" s="1"/>
  <c r="SH28" i="5" s="1"/>
  <c r="SI28" i="5" s="1"/>
  <c r="SJ28" i="5" s="1"/>
  <c r="SK28" i="5" s="1"/>
  <c r="SM16" i="5" s="1"/>
  <c r="SN16" i="5" s="1"/>
  <c r="SO16" i="5" s="1"/>
  <c r="SP16" i="5" s="1"/>
  <c r="SQ16" i="5" s="1"/>
  <c r="OW28" i="5"/>
  <c r="OX28" i="5" s="1"/>
  <c r="OY28" i="5" s="1"/>
  <c r="OZ28" i="5" s="1"/>
  <c r="PA28" i="5" s="1"/>
  <c r="PB28" i="5" s="1"/>
  <c r="PC28" i="5" s="1"/>
  <c r="PD28" i="5" s="1"/>
  <c r="PE28" i="5" s="1"/>
  <c r="PF28" i="5" s="1"/>
  <c r="PG28" i="5" s="1"/>
  <c r="PH28" i="5" s="1"/>
  <c r="PI28" i="5" s="1"/>
  <c r="PJ28" i="5" s="1"/>
  <c r="PK28" i="5" s="1"/>
  <c r="PL28" i="5" s="1"/>
  <c r="PM28" i="5" s="1"/>
  <c r="PN28" i="5" s="1"/>
  <c r="PO28" i="5" s="1"/>
  <c r="PP28" i="5" s="1"/>
  <c r="PQ28" i="5" s="1"/>
  <c r="PR28" i="5" s="1"/>
  <c r="PS28" i="5" s="1"/>
  <c r="PT28" i="5" s="1"/>
  <c r="PU28" i="5" s="1"/>
  <c r="PV28" i="5" s="1"/>
  <c r="PW28" i="5" s="1"/>
  <c r="PX28" i="5" s="1"/>
  <c r="PY28" i="5" s="1"/>
  <c r="PZ28" i="5" s="1"/>
  <c r="QB16" i="5" s="1"/>
  <c r="QC16" i="5" s="1"/>
  <c r="QD16" i="5" s="1"/>
  <c r="QE16" i="5" s="1"/>
  <c r="QF16" i="5" s="1"/>
  <c r="QG16" i="5" s="1"/>
  <c r="QA15" i="4"/>
  <c r="LF28" i="5"/>
  <c r="LG28" i="5" s="1"/>
  <c r="LH28" i="5" s="1"/>
  <c r="LI28" i="5" s="1"/>
  <c r="LJ28" i="5" s="1"/>
  <c r="LK28" i="5" s="1"/>
  <c r="LL28" i="5" s="1"/>
  <c r="LM28" i="5" s="1"/>
  <c r="LN28" i="5" s="1"/>
  <c r="LO28" i="5" s="1"/>
  <c r="LP28" i="5" s="1"/>
  <c r="LQ28" i="5" s="1"/>
  <c r="LR28" i="5" s="1"/>
  <c r="LS28" i="5" s="1"/>
  <c r="LT28" i="5" s="1"/>
  <c r="LU28" i="5" s="1"/>
  <c r="LV28" i="5" s="1"/>
  <c r="LW28" i="5" s="1"/>
  <c r="LX28" i="5" s="1"/>
  <c r="LY28" i="5" s="1"/>
  <c r="LZ28" i="5" s="1"/>
  <c r="MA28" i="5" s="1"/>
  <c r="MB28" i="5" s="1"/>
  <c r="MC28" i="5" s="1"/>
  <c r="MD28" i="5" s="1"/>
  <c r="ME28" i="5" s="1"/>
  <c r="MF28" i="5" s="1"/>
  <c r="MG28" i="5" s="1"/>
  <c r="MH28" i="5" s="1"/>
  <c r="MI28" i="5" s="1"/>
  <c r="MK16" i="5" s="1"/>
  <c r="ML16" i="5" s="1"/>
  <c r="MM16" i="5" s="1"/>
  <c r="MN16" i="5" s="1"/>
  <c r="MO16" i="5" s="1"/>
  <c r="MP16" i="5" s="1"/>
  <c r="MQ16" i="5" s="1"/>
  <c r="MR16" i="5" s="1"/>
  <c r="MS16" i="5" s="1"/>
  <c r="MT16" i="5" s="1"/>
  <c r="MU16" i="5" s="1"/>
  <c r="MV16" i="5" s="1"/>
  <c r="MW16" i="5" s="1"/>
  <c r="MX16" i="5" s="1"/>
  <c r="MY16" i="5" s="1"/>
  <c r="MZ16" i="5" s="1"/>
  <c r="NA16" i="5" s="1"/>
  <c r="NB16" i="5" s="1"/>
  <c r="NC16" i="5" s="1"/>
  <c r="ND16" i="5" s="1"/>
  <c r="NE16" i="5" s="1"/>
  <c r="NF16" i="5" s="1"/>
  <c r="NG16" i="5" s="1"/>
  <c r="MJ15" i="4"/>
  <c r="JY15" i="4"/>
  <c r="IU28" i="5"/>
  <c r="IV28" i="5" s="1"/>
  <c r="IW28" i="5" s="1"/>
  <c r="IX28" i="5" s="1"/>
  <c r="IY28" i="5" s="1"/>
  <c r="IZ28" i="5" s="1"/>
  <c r="JA28" i="5" s="1"/>
  <c r="JB28" i="5" s="1"/>
  <c r="JC28" i="5" s="1"/>
  <c r="JD28" i="5" s="1"/>
  <c r="JE28" i="5" s="1"/>
  <c r="JF28" i="5" s="1"/>
  <c r="JG28" i="5" s="1"/>
  <c r="JH28" i="5" s="1"/>
  <c r="JI28" i="5" s="1"/>
  <c r="JJ28" i="5" s="1"/>
  <c r="JK28" i="5" s="1"/>
  <c r="JL28" i="5" s="1"/>
  <c r="JM28" i="5" s="1"/>
  <c r="JN28" i="5" s="1"/>
  <c r="JO28" i="5" s="1"/>
  <c r="JP28" i="5" s="1"/>
  <c r="JQ28" i="5" s="1"/>
  <c r="JR28" i="5" s="1"/>
  <c r="JS28" i="5" s="1"/>
  <c r="JT28" i="5" s="1"/>
  <c r="JU28" i="5" s="1"/>
  <c r="JV28" i="5" s="1"/>
  <c r="JW28" i="5" s="1"/>
  <c r="JX28" i="5" s="1"/>
  <c r="JZ16" i="5" s="1"/>
  <c r="KA16" i="5" s="1"/>
  <c r="KB16" i="5" s="1"/>
  <c r="KC16" i="5" s="1"/>
  <c r="KD16" i="5" s="1"/>
  <c r="KE16" i="5" s="1"/>
  <c r="KF16" i="5" s="1"/>
  <c r="IT15" i="4"/>
  <c r="HO28" i="5"/>
  <c r="HP28" i="5" s="1"/>
  <c r="HQ28" i="5" s="1"/>
  <c r="HR28" i="5" s="1"/>
  <c r="HS28" i="5" s="1"/>
  <c r="HT28" i="5" s="1"/>
  <c r="HU28" i="5" s="1"/>
  <c r="HV28" i="5" s="1"/>
  <c r="HW28" i="5" s="1"/>
  <c r="HX28" i="5" s="1"/>
  <c r="HY28" i="5" s="1"/>
  <c r="HZ28" i="5" s="1"/>
  <c r="IA28" i="5" s="1"/>
  <c r="IB28" i="5" s="1"/>
  <c r="IC28" i="5" s="1"/>
  <c r="ID28" i="5" s="1"/>
  <c r="IE28" i="5" s="1"/>
  <c r="IF28" i="5" s="1"/>
  <c r="IG28" i="5" s="1"/>
  <c r="IH28" i="5" s="1"/>
  <c r="II28" i="5" s="1"/>
  <c r="IJ28" i="5" s="1"/>
  <c r="IK28" i="5" s="1"/>
  <c r="IL28" i="5" s="1"/>
  <c r="IM28" i="5" s="1"/>
  <c r="IN28" i="5" s="1"/>
  <c r="IO28" i="5" s="1"/>
  <c r="IP28" i="5" s="1"/>
  <c r="IQ28" i="5" s="1"/>
  <c r="IR28" i="5" s="1"/>
  <c r="IS28" i="5" s="1"/>
  <c r="HN15" i="4"/>
  <c r="GK28" i="5"/>
  <c r="GL28" i="5" s="1"/>
  <c r="GM28" i="5" s="1"/>
  <c r="GN28" i="5" s="1"/>
  <c r="GO28" i="5" s="1"/>
  <c r="GP28" i="5" s="1"/>
  <c r="GQ28" i="5" s="1"/>
  <c r="GR28" i="5" s="1"/>
  <c r="GS28" i="5" s="1"/>
  <c r="GT28" i="5" s="1"/>
  <c r="GU28" i="5" s="1"/>
  <c r="GV28" i="5" s="1"/>
  <c r="GW28" i="5" s="1"/>
  <c r="GX28" i="5" s="1"/>
  <c r="GY28" i="5" s="1"/>
  <c r="GZ28" i="5" s="1"/>
  <c r="HA28" i="5" s="1"/>
  <c r="HB28" i="5" s="1"/>
  <c r="HC28" i="5" s="1"/>
  <c r="HD28" i="5" s="1"/>
  <c r="HE28" i="5" s="1"/>
  <c r="HF28" i="5" s="1"/>
  <c r="HG28" i="5" s="1"/>
  <c r="HH28" i="5" s="1"/>
  <c r="HI28" i="5" s="1"/>
  <c r="HJ28" i="5" s="1"/>
  <c r="HK28" i="5" s="1"/>
  <c r="HL28" i="5" s="1"/>
  <c r="HM28" i="5" s="1"/>
  <c r="GJ15" i="4"/>
  <c r="FE28" i="5"/>
  <c r="FF28" i="5" s="1"/>
  <c r="FG28" i="5" s="1"/>
  <c r="FH28" i="5" s="1"/>
  <c r="FI28" i="5" s="1"/>
  <c r="FJ28" i="5" s="1"/>
  <c r="FK28" i="5" s="1"/>
  <c r="FL28" i="5" s="1"/>
  <c r="FM28" i="5" s="1"/>
  <c r="FN28" i="5" s="1"/>
  <c r="FO28" i="5" s="1"/>
  <c r="FP28" i="5" s="1"/>
  <c r="FQ28" i="5" s="1"/>
  <c r="FR28" i="5" s="1"/>
  <c r="FS28" i="5" s="1"/>
  <c r="FT28" i="5" s="1"/>
  <c r="FU28" i="5" s="1"/>
  <c r="FV28" i="5" s="1"/>
  <c r="FW28" i="5" s="1"/>
  <c r="FX28" i="5" s="1"/>
  <c r="FY28" i="5" s="1"/>
  <c r="FZ28" i="5" s="1"/>
  <c r="GA28" i="5" s="1"/>
  <c r="GB28" i="5" s="1"/>
  <c r="GC28" i="5" s="1"/>
  <c r="GD28" i="5" s="1"/>
  <c r="GE28" i="5" s="1"/>
  <c r="GF28" i="5" s="1"/>
  <c r="GG28" i="5" s="1"/>
  <c r="GH28" i="5" s="1"/>
  <c r="GI28" i="5" s="1"/>
  <c r="FD15" i="4"/>
  <c r="DY28" i="5"/>
  <c r="DZ28" i="5" s="1"/>
  <c r="EA28" i="5" s="1"/>
  <c r="EB28" i="5" s="1"/>
  <c r="EC28" i="5" s="1"/>
  <c r="ED28" i="5" s="1"/>
  <c r="EE28" i="5" s="1"/>
  <c r="EF28" i="5" s="1"/>
  <c r="EG28" i="5" s="1"/>
  <c r="EH28" i="5" s="1"/>
  <c r="EI28" i="5" s="1"/>
  <c r="EJ28" i="5" s="1"/>
  <c r="EK28" i="5" s="1"/>
  <c r="EL28" i="5" s="1"/>
  <c r="EM28" i="5" s="1"/>
  <c r="EN28" i="5" s="1"/>
  <c r="EO28" i="5" s="1"/>
  <c r="EP28" i="5" s="1"/>
  <c r="EQ28" i="5" s="1"/>
  <c r="ER28" i="5" s="1"/>
  <c r="ES28" i="5" s="1"/>
  <c r="ET28" i="5" s="1"/>
  <c r="EU28" i="5" s="1"/>
  <c r="EV28" i="5" s="1"/>
  <c r="EW28" i="5" s="1"/>
  <c r="EX28" i="5" s="1"/>
  <c r="EY28" i="5" s="1"/>
  <c r="EZ28" i="5" s="1"/>
  <c r="FA28" i="5" s="1"/>
  <c r="FB28" i="5" s="1"/>
  <c r="FC28" i="5" s="1"/>
  <c r="FE16" i="5" s="1"/>
  <c r="FF16" i="5" s="1"/>
  <c r="FG16" i="5" s="1"/>
  <c r="CT28" i="5"/>
  <c r="CU28" i="5" s="1"/>
  <c r="CV28" i="5" s="1"/>
  <c r="CW28" i="5" s="1"/>
  <c r="CX28" i="5" s="1"/>
  <c r="CY28" i="5" s="1"/>
  <c r="CZ28" i="5" s="1"/>
  <c r="DA28" i="5" s="1"/>
  <c r="DB28" i="5" s="1"/>
  <c r="DC28" i="5" s="1"/>
  <c r="DD28" i="5" s="1"/>
  <c r="DE28" i="5" s="1"/>
  <c r="DF28" i="5" s="1"/>
  <c r="DG28" i="5" s="1"/>
  <c r="DH28" i="5" s="1"/>
  <c r="DI28" i="5" s="1"/>
  <c r="DJ28" i="5" s="1"/>
  <c r="DK28" i="5" s="1"/>
  <c r="DL28" i="5" s="1"/>
  <c r="DM28" i="5" s="1"/>
  <c r="DN28" i="5" s="1"/>
  <c r="DO28" i="5" s="1"/>
  <c r="DP28" i="5" s="1"/>
  <c r="DQ28" i="5" s="1"/>
  <c r="DR28" i="5" s="1"/>
  <c r="DS28" i="5" s="1"/>
  <c r="DT28" i="5" s="1"/>
  <c r="DU28" i="5" s="1"/>
  <c r="DV28" i="5" s="1"/>
  <c r="DW28" i="5" s="1"/>
  <c r="DX15" i="4"/>
  <c r="CS15" i="4"/>
  <c r="BN28" i="5"/>
  <c r="BO28" i="5" s="1"/>
  <c r="BP28" i="5" s="1"/>
  <c r="BQ28" i="5" s="1"/>
  <c r="BR28" i="5" s="1"/>
  <c r="BS28" i="5" s="1"/>
  <c r="BT28" i="5" s="1"/>
  <c r="BU28" i="5" s="1"/>
  <c r="BV28" i="5" s="1"/>
  <c r="BW28" i="5" s="1"/>
  <c r="BX28" i="5" s="1"/>
  <c r="BY28" i="5" s="1"/>
  <c r="BZ28" i="5" s="1"/>
  <c r="CA28" i="5" s="1"/>
  <c r="CB28" i="5" s="1"/>
  <c r="CC28" i="5" s="1"/>
  <c r="CD28" i="5" s="1"/>
  <c r="CE28" i="5" s="1"/>
  <c r="CF28" i="5" s="1"/>
  <c r="CG28" i="5" s="1"/>
  <c r="CH28" i="5" s="1"/>
  <c r="CI28" i="5" s="1"/>
  <c r="CJ28" i="5" s="1"/>
  <c r="CK28" i="5" s="1"/>
  <c r="CL28" i="5" s="1"/>
  <c r="CM28" i="5" s="1"/>
  <c r="CN28" i="5" s="1"/>
  <c r="CO28" i="5" s="1"/>
  <c r="CP28" i="5" s="1"/>
  <c r="CQ28" i="5" s="1"/>
  <c r="CR28" i="5" s="1"/>
  <c r="AI28" i="5"/>
  <c r="AJ28" i="5" s="1"/>
  <c r="AK28" i="5" s="1"/>
  <c r="AL28" i="5" s="1"/>
  <c r="AM28" i="5" s="1"/>
  <c r="AN28" i="5" s="1"/>
  <c r="AO28" i="5" s="1"/>
  <c r="AP28" i="5" s="1"/>
  <c r="AQ28" i="5" s="1"/>
  <c r="AR28" i="5" s="1"/>
  <c r="AS28" i="5" s="1"/>
  <c r="AT28" i="5" s="1"/>
  <c r="AU28" i="5" s="1"/>
  <c r="AV28" i="5" s="1"/>
  <c r="AW28" i="5" s="1"/>
  <c r="AX28" i="5" s="1"/>
  <c r="AY28" i="5" s="1"/>
  <c r="AZ28" i="5" s="1"/>
  <c r="BA28" i="5" s="1"/>
  <c r="BB28" i="5" s="1"/>
  <c r="BC28" i="5" s="1"/>
  <c r="BD28" i="5" s="1"/>
  <c r="BE28" i="5" s="1"/>
  <c r="BF28" i="5" s="1"/>
  <c r="BG28" i="5" s="1"/>
  <c r="BH28" i="5" s="1"/>
  <c r="BI28" i="5" s="1"/>
  <c r="BJ28" i="5" s="1"/>
  <c r="BK28" i="5" s="1"/>
  <c r="BL28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BM15" i="4"/>
  <c r="AH15" i="4"/>
  <c r="C28" i="5"/>
  <c r="D28" i="5" s="1"/>
  <c r="E28" i="5" s="1"/>
  <c r="F28" i="5" s="1"/>
  <c r="G28" i="5" s="1"/>
  <c r="H28" i="5" s="1"/>
  <c r="I28" i="5" s="1"/>
  <c r="J28" i="5" s="1"/>
  <c r="K28" i="5" s="1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AG28" i="5" s="1"/>
  <c r="AMY14" i="4"/>
  <c r="ALU27" i="5"/>
  <c r="ALV27" i="5" s="1"/>
  <c r="ALW27" i="5" s="1"/>
  <c r="ALX27" i="5" s="1"/>
  <c r="ALY27" i="5" s="1"/>
  <c r="ALZ27" i="5" s="1"/>
  <c r="AMA27" i="5" s="1"/>
  <c r="AMB27" i="5" s="1"/>
  <c r="AMC27" i="5" s="1"/>
  <c r="AMD27" i="5" s="1"/>
  <c r="AME27" i="5" s="1"/>
  <c r="AMF27" i="5" s="1"/>
  <c r="AMG27" i="5" s="1"/>
  <c r="AMH27" i="5" s="1"/>
  <c r="AMI27" i="5" s="1"/>
  <c r="AMJ27" i="5" s="1"/>
  <c r="AMK27" i="5" s="1"/>
  <c r="AML27" i="5" s="1"/>
  <c r="AMM27" i="5" s="1"/>
  <c r="AMN27" i="5" s="1"/>
  <c r="AMO27" i="5" s="1"/>
  <c r="AMP27" i="5" s="1"/>
  <c r="AMQ27" i="5" s="1"/>
  <c r="AMR27" i="5" s="1"/>
  <c r="AMS27" i="5" s="1"/>
  <c r="AMT27" i="5" s="1"/>
  <c r="AMU27" i="5" s="1"/>
  <c r="AMV27" i="5" s="1"/>
  <c r="AMW27" i="5" s="1"/>
  <c r="AMX27" i="5" s="1"/>
  <c r="ALT14" i="4"/>
  <c r="AKO27" i="5"/>
  <c r="AKP27" i="5" s="1"/>
  <c r="AKQ27" i="5" s="1"/>
  <c r="AKR27" i="5" s="1"/>
  <c r="AKS27" i="5" s="1"/>
  <c r="AKT27" i="5" s="1"/>
  <c r="AKU27" i="5" s="1"/>
  <c r="AKV27" i="5" s="1"/>
  <c r="AKW27" i="5" s="1"/>
  <c r="AKX27" i="5" s="1"/>
  <c r="AKY27" i="5" s="1"/>
  <c r="AKZ27" i="5" s="1"/>
  <c r="ALA27" i="5" s="1"/>
  <c r="ALB27" i="5" s="1"/>
  <c r="ALC27" i="5" s="1"/>
  <c r="ALD27" i="5" s="1"/>
  <c r="ALE27" i="5" s="1"/>
  <c r="ALF27" i="5" s="1"/>
  <c r="ALG27" i="5" s="1"/>
  <c r="ALH27" i="5" s="1"/>
  <c r="ALI27" i="5" s="1"/>
  <c r="ALJ27" i="5" s="1"/>
  <c r="ALK27" i="5" s="1"/>
  <c r="ALL27" i="5" s="1"/>
  <c r="ALM27" i="5" s="1"/>
  <c r="ALN27" i="5" s="1"/>
  <c r="ALO27" i="5" s="1"/>
  <c r="ALP27" i="5" s="1"/>
  <c r="ALQ27" i="5" s="1"/>
  <c r="ALR27" i="5" s="1"/>
  <c r="ALS27" i="5" s="1"/>
  <c r="AKN14" i="4"/>
  <c r="AJL27" i="5"/>
  <c r="AJM27" i="5" s="1"/>
  <c r="AJN27" i="5" s="1"/>
  <c r="AJO27" i="5" s="1"/>
  <c r="AJP27" i="5" s="1"/>
  <c r="AJQ27" i="5" s="1"/>
  <c r="AJR27" i="5" s="1"/>
  <c r="AJS27" i="5" s="1"/>
  <c r="AJT27" i="5" s="1"/>
  <c r="AJU27" i="5" s="1"/>
  <c r="AJV27" i="5" s="1"/>
  <c r="AJW27" i="5" s="1"/>
  <c r="AJX27" i="5" s="1"/>
  <c r="AJY27" i="5" s="1"/>
  <c r="AJZ27" i="5" s="1"/>
  <c r="AKA27" i="5" s="1"/>
  <c r="AKB27" i="5" s="1"/>
  <c r="AKC27" i="5" s="1"/>
  <c r="AKD27" i="5" s="1"/>
  <c r="AKE27" i="5" s="1"/>
  <c r="AKF27" i="5" s="1"/>
  <c r="AKG27" i="5" s="1"/>
  <c r="AKH27" i="5" s="1"/>
  <c r="AKI27" i="5" s="1"/>
  <c r="AKJ27" i="5" s="1"/>
  <c r="AKK27" i="5" s="1"/>
  <c r="AKL27" i="5" s="1"/>
  <c r="AKM27" i="5" s="1"/>
  <c r="AFU27" i="5"/>
  <c r="AFV27" i="5" s="1"/>
  <c r="AFW27" i="5" s="1"/>
  <c r="AFX27" i="5" s="1"/>
  <c r="AFY27" i="5" s="1"/>
  <c r="AFZ27" i="5" s="1"/>
  <c r="AGA27" i="5" s="1"/>
  <c r="AGB27" i="5" s="1"/>
  <c r="AGC27" i="5" s="1"/>
  <c r="AGD27" i="5" s="1"/>
  <c r="AGE27" i="5" s="1"/>
  <c r="AGF27" i="5" s="1"/>
  <c r="AGG27" i="5" s="1"/>
  <c r="AGH27" i="5" s="1"/>
  <c r="AGI27" i="5" s="1"/>
  <c r="AGJ27" i="5" s="1"/>
  <c r="AGK27" i="5" s="1"/>
  <c r="AGL27" i="5" s="1"/>
  <c r="AGM27" i="5" s="1"/>
  <c r="AGN27" i="5" s="1"/>
  <c r="AGO27" i="5" s="1"/>
  <c r="AGP27" i="5" s="1"/>
  <c r="AGQ27" i="5" s="1"/>
  <c r="AGR27" i="5" s="1"/>
  <c r="AGS27" i="5" s="1"/>
  <c r="AGT27" i="5" s="1"/>
  <c r="AGU27" i="5" s="1"/>
  <c r="AGV27" i="5" s="1"/>
  <c r="AGW27" i="5" s="1"/>
  <c r="AGX27" i="5" s="1"/>
  <c r="AGZ15" i="5" s="1"/>
  <c r="AHA15" i="5" s="1"/>
  <c r="AHB15" i="5" s="1"/>
  <c r="AHC15" i="5" s="1"/>
  <c r="AHD15" i="5" s="1"/>
  <c r="AHE15" i="5" s="1"/>
  <c r="AHF15" i="5" s="1"/>
  <c r="AHG15" i="5" s="1"/>
  <c r="AHH15" i="5" s="1"/>
  <c r="AHI15" i="5" s="1"/>
  <c r="AHJ15" i="5" s="1"/>
  <c r="AGY14" i="4"/>
  <c r="AFT14" i="4"/>
  <c r="AEO27" i="5"/>
  <c r="AEP27" i="5" s="1"/>
  <c r="AEQ27" i="5" s="1"/>
  <c r="AER27" i="5" s="1"/>
  <c r="AES27" i="5" s="1"/>
  <c r="AET27" i="5" s="1"/>
  <c r="AEU27" i="5" s="1"/>
  <c r="AEV27" i="5" s="1"/>
  <c r="AEW27" i="5" s="1"/>
  <c r="AEX27" i="5" s="1"/>
  <c r="AEY27" i="5" s="1"/>
  <c r="AEZ27" i="5" s="1"/>
  <c r="AFA27" i="5" s="1"/>
  <c r="AFB27" i="5" s="1"/>
  <c r="AFC27" i="5" s="1"/>
  <c r="AFD27" i="5" s="1"/>
  <c r="AFE27" i="5" s="1"/>
  <c r="AFF27" i="5" s="1"/>
  <c r="AFG27" i="5" s="1"/>
  <c r="AFH27" i="5" s="1"/>
  <c r="AFI27" i="5" s="1"/>
  <c r="AFJ27" i="5" s="1"/>
  <c r="AFK27" i="5" s="1"/>
  <c r="AFL27" i="5" s="1"/>
  <c r="AFM27" i="5" s="1"/>
  <c r="AFN27" i="5" s="1"/>
  <c r="AFO27" i="5" s="1"/>
  <c r="AFP27" i="5" s="1"/>
  <c r="AFQ27" i="5" s="1"/>
  <c r="AFR27" i="5" s="1"/>
  <c r="AFS27" i="5" s="1"/>
  <c r="AFU15" i="5" s="1"/>
  <c r="AFV15" i="5" s="1"/>
  <c r="AFW15" i="5" s="1"/>
  <c r="AFX15" i="5" s="1"/>
  <c r="AFY15" i="5" s="1"/>
  <c r="AFZ15" i="5" s="1"/>
  <c r="AGA15" i="5" s="1"/>
  <c r="AGB15" i="5" s="1"/>
  <c r="AGC15" i="5" s="1"/>
  <c r="ADJ27" i="5"/>
  <c r="ADK27" i="5" s="1"/>
  <c r="ADL27" i="5" s="1"/>
  <c r="ADM27" i="5" s="1"/>
  <c r="ADN27" i="5" s="1"/>
  <c r="ADO27" i="5" s="1"/>
  <c r="ADP27" i="5" s="1"/>
  <c r="ADQ27" i="5" s="1"/>
  <c r="ADR27" i="5" s="1"/>
  <c r="ADS27" i="5" s="1"/>
  <c r="ADT27" i="5" s="1"/>
  <c r="ADU27" i="5" s="1"/>
  <c r="ADV27" i="5" s="1"/>
  <c r="ADW27" i="5" s="1"/>
  <c r="ADX27" i="5" s="1"/>
  <c r="ADY27" i="5" s="1"/>
  <c r="ADZ27" i="5" s="1"/>
  <c r="AEA27" i="5" s="1"/>
  <c r="AEB27" i="5" s="1"/>
  <c r="AEC27" i="5" s="1"/>
  <c r="AED27" i="5" s="1"/>
  <c r="AEE27" i="5" s="1"/>
  <c r="AEF27" i="5" s="1"/>
  <c r="AEG27" i="5" s="1"/>
  <c r="AEH27" i="5" s="1"/>
  <c r="AEI27" i="5" s="1"/>
  <c r="AEJ27" i="5" s="1"/>
  <c r="AEK27" i="5" s="1"/>
  <c r="AEL27" i="5" s="1"/>
  <c r="AEM27" i="5" s="1"/>
  <c r="AEO15" i="5" s="1"/>
  <c r="AEP15" i="5" s="1"/>
  <c r="AEQ15" i="5" s="1"/>
  <c r="AER15" i="5" s="1"/>
  <c r="AES15" i="5" s="1"/>
  <c r="AET15" i="5" s="1"/>
  <c r="AEN14" i="4"/>
  <c r="ACD27" i="5"/>
  <c r="ACE27" i="5" s="1"/>
  <c r="ACF27" i="5" s="1"/>
  <c r="ACG27" i="5" s="1"/>
  <c r="ACH27" i="5" s="1"/>
  <c r="ACI27" i="5" s="1"/>
  <c r="ACJ27" i="5" s="1"/>
  <c r="ACK27" i="5" s="1"/>
  <c r="ACL27" i="5" s="1"/>
  <c r="ACM27" i="5" s="1"/>
  <c r="ACN27" i="5" s="1"/>
  <c r="ACO27" i="5" s="1"/>
  <c r="ACP27" i="5" s="1"/>
  <c r="ACQ27" i="5" s="1"/>
  <c r="ACR27" i="5" s="1"/>
  <c r="ACS27" i="5" s="1"/>
  <c r="ACT27" i="5" s="1"/>
  <c r="ACU27" i="5" s="1"/>
  <c r="ACV27" i="5" s="1"/>
  <c r="ACW27" i="5" s="1"/>
  <c r="ACX27" i="5" s="1"/>
  <c r="ACY27" i="5" s="1"/>
  <c r="ACZ27" i="5" s="1"/>
  <c r="ADA27" i="5" s="1"/>
  <c r="ADB27" i="5" s="1"/>
  <c r="ADC27" i="5" s="1"/>
  <c r="ADD27" i="5" s="1"/>
  <c r="ADE27" i="5" s="1"/>
  <c r="ADF27" i="5" s="1"/>
  <c r="ADG27" i="5" s="1"/>
  <c r="ADH27" i="5" s="1"/>
  <c r="ADJ15" i="5" s="1"/>
  <c r="ADK15" i="5" s="1"/>
  <c r="ADL15" i="5" s="1"/>
  <c r="ADM15" i="5" s="1"/>
  <c r="ADN15" i="5" s="1"/>
  <c r="ADO15" i="5" s="1"/>
  <c r="ADP15" i="5" s="1"/>
  <c r="ADQ15" i="5" s="1"/>
  <c r="ADR15" i="5" s="1"/>
  <c r="ADS15" i="5" s="1"/>
  <c r="ADT15" i="5" s="1"/>
  <c r="ADU15" i="5" s="1"/>
  <c r="ADV15" i="5" s="1"/>
  <c r="ADI14" i="4"/>
  <c r="AAX27" i="5"/>
  <c r="AAY27" i="5" s="1"/>
  <c r="AAZ27" i="5" s="1"/>
  <c r="ABA27" i="5" s="1"/>
  <c r="ABB27" i="5" s="1"/>
  <c r="ABC27" i="5" s="1"/>
  <c r="ABD27" i="5" s="1"/>
  <c r="ABE27" i="5" s="1"/>
  <c r="ABF27" i="5" s="1"/>
  <c r="ABG27" i="5" s="1"/>
  <c r="ABH27" i="5" s="1"/>
  <c r="ABI27" i="5" s="1"/>
  <c r="ABJ27" i="5" s="1"/>
  <c r="ABK27" i="5" s="1"/>
  <c r="ABL27" i="5" s="1"/>
  <c r="ABM27" i="5" s="1"/>
  <c r="ABN27" i="5" s="1"/>
  <c r="ABO27" i="5" s="1"/>
  <c r="ABP27" i="5" s="1"/>
  <c r="ABQ27" i="5" s="1"/>
  <c r="ABR27" i="5" s="1"/>
  <c r="ABS27" i="5" s="1"/>
  <c r="ABT27" i="5" s="1"/>
  <c r="ABU27" i="5" s="1"/>
  <c r="ABV27" i="5" s="1"/>
  <c r="ABW27" i="5" s="1"/>
  <c r="ABX27" i="5" s="1"/>
  <c r="ABY27" i="5" s="1"/>
  <c r="ABZ27" i="5" s="1"/>
  <c r="ACA27" i="5" s="1"/>
  <c r="ACB27" i="5" s="1"/>
  <c r="ACD15" i="5" s="1"/>
  <c r="ACE15" i="5" s="1"/>
  <c r="ACF15" i="5" s="1"/>
  <c r="ACG15" i="5" s="1"/>
  <c r="ACH15" i="5" s="1"/>
  <c r="ACC14" i="4"/>
  <c r="ZS27" i="5"/>
  <c r="ZT27" i="5" s="1"/>
  <c r="ZU27" i="5" s="1"/>
  <c r="ZV27" i="5" s="1"/>
  <c r="ZW27" i="5" s="1"/>
  <c r="ZX27" i="5" s="1"/>
  <c r="ZY27" i="5" s="1"/>
  <c r="ZZ27" i="5" s="1"/>
  <c r="AAA27" i="5" s="1"/>
  <c r="AAB27" i="5" s="1"/>
  <c r="AAC27" i="5" s="1"/>
  <c r="AAD27" i="5" s="1"/>
  <c r="AAE27" i="5" s="1"/>
  <c r="AAF27" i="5" s="1"/>
  <c r="AAG27" i="5" s="1"/>
  <c r="AAH27" i="5" s="1"/>
  <c r="AAI27" i="5" s="1"/>
  <c r="AAJ27" i="5" s="1"/>
  <c r="AAK27" i="5" s="1"/>
  <c r="AAL27" i="5" s="1"/>
  <c r="AAM27" i="5" s="1"/>
  <c r="AAN27" i="5" s="1"/>
  <c r="AAO27" i="5" s="1"/>
  <c r="AAP27" i="5" s="1"/>
  <c r="AAQ27" i="5" s="1"/>
  <c r="AAR27" i="5" s="1"/>
  <c r="AAS27" i="5" s="1"/>
  <c r="AAT27" i="5" s="1"/>
  <c r="AAU27" i="5" s="1"/>
  <c r="AAV27" i="5" s="1"/>
  <c r="AAX15" i="5" s="1"/>
  <c r="AAY15" i="5" s="1"/>
  <c r="AAZ15" i="5" s="1"/>
  <c r="ABA15" i="5" s="1"/>
  <c r="ABB15" i="5" s="1"/>
  <c r="ABC15" i="5" s="1"/>
  <c r="ABD15" i="5" s="1"/>
  <c r="ABE15" i="5" s="1"/>
  <c r="ABF15" i="5" s="1"/>
  <c r="ABG15" i="5" s="1"/>
  <c r="ABH15" i="5" s="1"/>
  <c r="ABI15" i="5" s="1"/>
  <c r="ABJ15" i="5" s="1"/>
  <c r="ABK15" i="5" s="1"/>
  <c r="ABL15" i="5" s="1"/>
  <c r="ABM15" i="5" s="1"/>
  <c r="AAW14" i="4"/>
  <c r="YM27" i="5"/>
  <c r="YN27" i="5" s="1"/>
  <c r="YO27" i="5" s="1"/>
  <c r="YP27" i="5" s="1"/>
  <c r="YQ27" i="5" s="1"/>
  <c r="YR27" i="5" s="1"/>
  <c r="YS27" i="5" s="1"/>
  <c r="YT27" i="5" s="1"/>
  <c r="YU27" i="5" s="1"/>
  <c r="YV27" i="5" s="1"/>
  <c r="YW27" i="5" s="1"/>
  <c r="YX27" i="5" s="1"/>
  <c r="YY27" i="5" s="1"/>
  <c r="YZ27" i="5" s="1"/>
  <c r="ZA27" i="5" s="1"/>
  <c r="ZB27" i="5" s="1"/>
  <c r="ZC27" i="5" s="1"/>
  <c r="ZD27" i="5" s="1"/>
  <c r="ZE27" i="5" s="1"/>
  <c r="ZF27" i="5" s="1"/>
  <c r="ZG27" i="5" s="1"/>
  <c r="ZH27" i="5" s="1"/>
  <c r="ZI27" i="5" s="1"/>
  <c r="ZJ27" i="5" s="1"/>
  <c r="ZK27" i="5" s="1"/>
  <c r="ZL27" i="5" s="1"/>
  <c r="ZM27" i="5" s="1"/>
  <c r="ZN27" i="5" s="1"/>
  <c r="ZO27" i="5" s="1"/>
  <c r="ZP27" i="5" s="1"/>
  <c r="ZQ27" i="5" s="1"/>
  <c r="ZS15" i="5" s="1"/>
  <c r="ZT15" i="5" s="1"/>
  <c r="ZR14" i="4"/>
  <c r="YL14" i="4"/>
  <c r="XH27" i="5"/>
  <c r="XI27" i="5" s="1"/>
  <c r="XJ27" i="5" s="1"/>
  <c r="XK27" i="5" s="1"/>
  <c r="XL27" i="5" s="1"/>
  <c r="XM27" i="5" s="1"/>
  <c r="XN27" i="5" s="1"/>
  <c r="XO27" i="5" s="1"/>
  <c r="XP27" i="5" s="1"/>
  <c r="XQ27" i="5" s="1"/>
  <c r="XR27" i="5" s="1"/>
  <c r="XS27" i="5" s="1"/>
  <c r="XT27" i="5" s="1"/>
  <c r="XU27" i="5" s="1"/>
  <c r="XV27" i="5" s="1"/>
  <c r="XW27" i="5" s="1"/>
  <c r="XX27" i="5" s="1"/>
  <c r="XY27" i="5" s="1"/>
  <c r="XZ27" i="5" s="1"/>
  <c r="YA27" i="5" s="1"/>
  <c r="YB27" i="5" s="1"/>
  <c r="YC27" i="5" s="1"/>
  <c r="YD27" i="5" s="1"/>
  <c r="YE27" i="5" s="1"/>
  <c r="YF27" i="5" s="1"/>
  <c r="YG27" i="5" s="1"/>
  <c r="YH27" i="5" s="1"/>
  <c r="YI27" i="5" s="1"/>
  <c r="YJ27" i="5" s="1"/>
  <c r="YK27" i="5" s="1"/>
  <c r="YM15" i="5" s="1"/>
  <c r="YN15" i="5" s="1"/>
  <c r="YO15" i="5" s="1"/>
  <c r="YP15" i="5" s="1"/>
  <c r="YQ15" i="5" s="1"/>
  <c r="YR15" i="5" s="1"/>
  <c r="YS15" i="5" s="1"/>
  <c r="YT15" i="5" s="1"/>
  <c r="YU15" i="5" s="1"/>
  <c r="YV15" i="5" s="1"/>
  <c r="WB27" i="5"/>
  <c r="WC27" i="5" s="1"/>
  <c r="WD27" i="5" s="1"/>
  <c r="WE27" i="5" s="1"/>
  <c r="WF27" i="5" s="1"/>
  <c r="WG27" i="5" s="1"/>
  <c r="WH27" i="5" s="1"/>
  <c r="WI27" i="5" s="1"/>
  <c r="WJ27" i="5" s="1"/>
  <c r="WK27" i="5" s="1"/>
  <c r="WL27" i="5" s="1"/>
  <c r="WM27" i="5" s="1"/>
  <c r="WN27" i="5" s="1"/>
  <c r="WO27" i="5" s="1"/>
  <c r="WP27" i="5" s="1"/>
  <c r="WQ27" i="5" s="1"/>
  <c r="WR27" i="5" s="1"/>
  <c r="WS27" i="5" s="1"/>
  <c r="WT27" i="5" s="1"/>
  <c r="WU27" i="5" s="1"/>
  <c r="WV27" i="5" s="1"/>
  <c r="WW27" i="5" s="1"/>
  <c r="WX27" i="5" s="1"/>
  <c r="WY27" i="5" s="1"/>
  <c r="WZ27" i="5" s="1"/>
  <c r="XA27" i="5" s="1"/>
  <c r="XB27" i="5" s="1"/>
  <c r="XC27" i="5" s="1"/>
  <c r="XD27" i="5" s="1"/>
  <c r="XE27" i="5" s="1"/>
  <c r="XF27" i="5" s="1"/>
  <c r="XH15" i="5" s="1"/>
  <c r="XI15" i="5" s="1"/>
  <c r="XJ15" i="5" s="1"/>
  <c r="XK15" i="5" s="1"/>
  <c r="XL15" i="5" s="1"/>
  <c r="XM15" i="5" s="1"/>
  <c r="XN15" i="5" s="1"/>
  <c r="XO15" i="5" s="1"/>
  <c r="XG14" i="4"/>
  <c r="UY27" i="5"/>
  <c r="UZ27" i="5" s="1"/>
  <c r="VA27" i="5" s="1"/>
  <c r="VB27" i="5" s="1"/>
  <c r="VC27" i="5" s="1"/>
  <c r="VD27" i="5" s="1"/>
  <c r="VE27" i="5" s="1"/>
  <c r="VF27" i="5" s="1"/>
  <c r="VG27" i="5" s="1"/>
  <c r="VH27" i="5" s="1"/>
  <c r="VI27" i="5" s="1"/>
  <c r="VJ27" i="5" s="1"/>
  <c r="VK27" i="5" s="1"/>
  <c r="VL27" i="5" s="1"/>
  <c r="VM27" i="5" s="1"/>
  <c r="VN27" i="5" s="1"/>
  <c r="VO27" i="5" s="1"/>
  <c r="VP27" i="5" s="1"/>
  <c r="VQ27" i="5" s="1"/>
  <c r="VR27" i="5" s="1"/>
  <c r="VS27" i="5" s="1"/>
  <c r="VT27" i="5" s="1"/>
  <c r="VU27" i="5" s="1"/>
  <c r="VV27" i="5" s="1"/>
  <c r="VW27" i="5" s="1"/>
  <c r="VX27" i="5" s="1"/>
  <c r="VY27" i="5" s="1"/>
  <c r="VZ27" i="5" s="1"/>
  <c r="WB15" i="5" s="1"/>
  <c r="WC15" i="5" s="1"/>
  <c r="WD15" i="5" s="1"/>
  <c r="WE15" i="5" s="1"/>
  <c r="WF15" i="5" s="1"/>
  <c r="WG15" i="5" s="1"/>
  <c r="WH15" i="5" s="1"/>
  <c r="WI15" i="5" s="1"/>
  <c r="WA14" i="4"/>
  <c r="RH27" i="5"/>
  <c r="RI27" i="5" s="1"/>
  <c r="RJ27" i="5" s="1"/>
  <c r="RK27" i="5" s="1"/>
  <c r="RL27" i="5" s="1"/>
  <c r="RM27" i="5" s="1"/>
  <c r="RN27" i="5" s="1"/>
  <c r="RO27" i="5" s="1"/>
  <c r="RP27" i="5" s="1"/>
  <c r="RQ27" i="5" s="1"/>
  <c r="RR27" i="5" s="1"/>
  <c r="RS27" i="5" s="1"/>
  <c r="RT27" i="5" s="1"/>
  <c r="RU27" i="5" s="1"/>
  <c r="RV27" i="5" s="1"/>
  <c r="RW27" i="5" s="1"/>
  <c r="RX27" i="5" s="1"/>
  <c r="RY27" i="5" s="1"/>
  <c r="RZ27" i="5" s="1"/>
  <c r="SA27" i="5" s="1"/>
  <c r="SB27" i="5" s="1"/>
  <c r="SC27" i="5" s="1"/>
  <c r="SD27" i="5" s="1"/>
  <c r="SE27" i="5" s="1"/>
  <c r="SF27" i="5" s="1"/>
  <c r="SG27" i="5" s="1"/>
  <c r="SH27" i="5" s="1"/>
  <c r="SI27" i="5" s="1"/>
  <c r="SJ27" i="5" s="1"/>
  <c r="SK27" i="5" s="1"/>
  <c r="SL14" i="4"/>
  <c r="OW27" i="5"/>
  <c r="OX27" i="5" s="1"/>
  <c r="OY27" i="5" s="1"/>
  <c r="OZ27" i="5" s="1"/>
  <c r="PA27" i="5" s="1"/>
  <c r="PB27" i="5" s="1"/>
  <c r="PC27" i="5" s="1"/>
  <c r="PD27" i="5" s="1"/>
  <c r="PE27" i="5" s="1"/>
  <c r="PF27" i="5" s="1"/>
  <c r="PG27" i="5" s="1"/>
  <c r="PH27" i="5" s="1"/>
  <c r="PI27" i="5" s="1"/>
  <c r="PJ27" i="5" s="1"/>
  <c r="PK27" i="5" s="1"/>
  <c r="PL27" i="5" s="1"/>
  <c r="PM27" i="5" s="1"/>
  <c r="PN27" i="5" s="1"/>
  <c r="PO27" i="5" s="1"/>
  <c r="PP27" i="5" s="1"/>
  <c r="PQ27" i="5" s="1"/>
  <c r="PR27" i="5" s="1"/>
  <c r="PS27" i="5" s="1"/>
  <c r="PT27" i="5" s="1"/>
  <c r="PU27" i="5" s="1"/>
  <c r="PV27" i="5" s="1"/>
  <c r="PW27" i="5" s="1"/>
  <c r="PX27" i="5" s="1"/>
  <c r="PY27" i="5" s="1"/>
  <c r="PZ27" i="5" s="1"/>
  <c r="QB15" i="5" s="1"/>
  <c r="QC15" i="5" s="1"/>
  <c r="QD15" i="5" s="1"/>
  <c r="QE15" i="5" s="1"/>
  <c r="QF15" i="5" s="1"/>
  <c r="QG15" i="5" s="1"/>
  <c r="QA14" i="4"/>
  <c r="LF27" i="5"/>
  <c r="LG27" i="5" s="1"/>
  <c r="LH27" i="5" s="1"/>
  <c r="LI27" i="5" s="1"/>
  <c r="LJ27" i="5" s="1"/>
  <c r="LK27" i="5" s="1"/>
  <c r="LL27" i="5" s="1"/>
  <c r="LM27" i="5" s="1"/>
  <c r="LN27" i="5" s="1"/>
  <c r="LO27" i="5" s="1"/>
  <c r="LP27" i="5" s="1"/>
  <c r="LQ27" i="5" s="1"/>
  <c r="LR27" i="5" s="1"/>
  <c r="LS27" i="5" s="1"/>
  <c r="LT27" i="5" s="1"/>
  <c r="LU27" i="5" s="1"/>
  <c r="LV27" i="5" s="1"/>
  <c r="LW27" i="5" s="1"/>
  <c r="LX27" i="5" s="1"/>
  <c r="LY27" i="5" s="1"/>
  <c r="LZ27" i="5" s="1"/>
  <c r="MA27" i="5" s="1"/>
  <c r="MB27" i="5" s="1"/>
  <c r="MC27" i="5" s="1"/>
  <c r="MD27" i="5" s="1"/>
  <c r="ME27" i="5" s="1"/>
  <c r="MF27" i="5" s="1"/>
  <c r="MG27" i="5" s="1"/>
  <c r="MH27" i="5" s="1"/>
  <c r="MI27" i="5" s="1"/>
  <c r="MJ14" i="4"/>
  <c r="JY14" i="4"/>
  <c r="IU27" i="5"/>
  <c r="IV27" i="5" s="1"/>
  <c r="IW27" i="5" s="1"/>
  <c r="IX27" i="5" s="1"/>
  <c r="IY27" i="5" s="1"/>
  <c r="IZ27" i="5" s="1"/>
  <c r="JA27" i="5" s="1"/>
  <c r="JB27" i="5" s="1"/>
  <c r="JC27" i="5" s="1"/>
  <c r="JD27" i="5" s="1"/>
  <c r="JE27" i="5" s="1"/>
  <c r="JF27" i="5" s="1"/>
  <c r="JG27" i="5" s="1"/>
  <c r="JH27" i="5" s="1"/>
  <c r="JI27" i="5" s="1"/>
  <c r="JJ27" i="5" s="1"/>
  <c r="JK27" i="5" s="1"/>
  <c r="JL27" i="5" s="1"/>
  <c r="JM27" i="5" s="1"/>
  <c r="JN27" i="5" s="1"/>
  <c r="JO27" i="5" s="1"/>
  <c r="JP27" i="5" s="1"/>
  <c r="JQ27" i="5" s="1"/>
  <c r="JR27" i="5" s="1"/>
  <c r="JS27" i="5" s="1"/>
  <c r="JT27" i="5" s="1"/>
  <c r="JU27" i="5" s="1"/>
  <c r="JV27" i="5" s="1"/>
  <c r="JW27" i="5" s="1"/>
  <c r="JX27" i="5" s="1"/>
  <c r="JZ15" i="5" s="1"/>
  <c r="KA15" i="5" s="1"/>
  <c r="KB15" i="5" s="1"/>
  <c r="KC15" i="5" s="1"/>
  <c r="KD15" i="5" s="1"/>
  <c r="KE15" i="5" s="1"/>
  <c r="KF15" i="5" s="1"/>
  <c r="HO27" i="5"/>
  <c r="HP27" i="5" s="1"/>
  <c r="HQ27" i="5" s="1"/>
  <c r="HR27" i="5" s="1"/>
  <c r="HS27" i="5" s="1"/>
  <c r="HT27" i="5" s="1"/>
  <c r="HU27" i="5" s="1"/>
  <c r="HV27" i="5" s="1"/>
  <c r="HW27" i="5" s="1"/>
  <c r="HX27" i="5" s="1"/>
  <c r="HY27" i="5" s="1"/>
  <c r="HZ27" i="5" s="1"/>
  <c r="IA27" i="5" s="1"/>
  <c r="IB27" i="5" s="1"/>
  <c r="IC27" i="5" s="1"/>
  <c r="ID27" i="5" s="1"/>
  <c r="IE27" i="5" s="1"/>
  <c r="IF27" i="5" s="1"/>
  <c r="IG27" i="5" s="1"/>
  <c r="IH27" i="5" s="1"/>
  <c r="II27" i="5" s="1"/>
  <c r="IJ27" i="5" s="1"/>
  <c r="IK27" i="5" s="1"/>
  <c r="IL27" i="5" s="1"/>
  <c r="IM27" i="5" s="1"/>
  <c r="IN27" i="5" s="1"/>
  <c r="IO27" i="5" s="1"/>
  <c r="IP27" i="5" s="1"/>
  <c r="IQ27" i="5" s="1"/>
  <c r="IR27" i="5" s="1"/>
  <c r="IS27" i="5" s="1"/>
  <c r="IU15" i="5" s="1"/>
  <c r="IV15" i="5" s="1"/>
  <c r="IT14" i="4"/>
  <c r="HN14" i="4"/>
  <c r="GK27" i="5"/>
  <c r="GL27" i="5" s="1"/>
  <c r="GM27" i="5" s="1"/>
  <c r="GN27" i="5" s="1"/>
  <c r="GO27" i="5" s="1"/>
  <c r="GP27" i="5" s="1"/>
  <c r="GQ27" i="5" s="1"/>
  <c r="GR27" i="5" s="1"/>
  <c r="GS27" i="5" s="1"/>
  <c r="GT27" i="5" s="1"/>
  <c r="GU27" i="5" s="1"/>
  <c r="GV27" i="5" s="1"/>
  <c r="GW27" i="5" s="1"/>
  <c r="GX27" i="5" s="1"/>
  <c r="GY27" i="5" s="1"/>
  <c r="GZ27" i="5" s="1"/>
  <c r="HA27" i="5" s="1"/>
  <c r="HB27" i="5" s="1"/>
  <c r="HC27" i="5" s="1"/>
  <c r="HD27" i="5" s="1"/>
  <c r="HE27" i="5" s="1"/>
  <c r="HF27" i="5" s="1"/>
  <c r="HG27" i="5" s="1"/>
  <c r="HH27" i="5" s="1"/>
  <c r="HI27" i="5" s="1"/>
  <c r="HJ27" i="5" s="1"/>
  <c r="HK27" i="5" s="1"/>
  <c r="HL27" i="5" s="1"/>
  <c r="HM27" i="5" s="1"/>
  <c r="FE27" i="5"/>
  <c r="FF27" i="5" s="1"/>
  <c r="FG27" i="5" s="1"/>
  <c r="FH27" i="5" s="1"/>
  <c r="FI27" i="5" s="1"/>
  <c r="FJ27" i="5" s="1"/>
  <c r="FK27" i="5" s="1"/>
  <c r="FL27" i="5" s="1"/>
  <c r="FM27" i="5" s="1"/>
  <c r="FN27" i="5" s="1"/>
  <c r="FO27" i="5" s="1"/>
  <c r="FP27" i="5" s="1"/>
  <c r="FQ27" i="5" s="1"/>
  <c r="FR27" i="5" s="1"/>
  <c r="FS27" i="5" s="1"/>
  <c r="FT27" i="5" s="1"/>
  <c r="FU27" i="5" s="1"/>
  <c r="FV27" i="5" s="1"/>
  <c r="FW27" i="5" s="1"/>
  <c r="FX27" i="5" s="1"/>
  <c r="FY27" i="5" s="1"/>
  <c r="FZ27" i="5" s="1"/>
  <c r="GA27" i="5" s="1"/>
  <c r="GB27" i="5" s="1"/>
  <c r="GC27" i="5" s="1"/>
  <c r="GD27" i="5" s="1"/>
  <c r="GE27" i="5" s="1"/>
  <c r="GF27" i="5" s="1"/>
  <c r="GG27" i="5" s="1"/>
  <c r="GH27" i="5" s="1"/>
  <c r="GI27" i="5" s="1"/>
  <c r="GK15" i="5" s="1"/>
  <c r="GL15" i="5" s="1"/>
  <c r="GM15" i="5" s="1"/>
  <c r="GN15" i="5" s="1"/>
  <c r="GO15" i="5" s="1"/>
  <c r="GP15" i="5" s="1"/>
  <c r="GQ15" i="5" s="1"/>
  <c r="GR15" i="5" s="1"/>
  <c r="GS15" i="5" s="1"/>
  <c r="GT15" i="5" s="1"/>
  <c r="GJ14" i="4"/>
  <c r="FD14" i="4"/>
  <c r="DY27" i="5"/>
  <c r="DZ27" i="5" s="1"/>
  <c r="EA27" i="5" s="1"/>
  <c r="EB27" i="5" s="1"/>
  <c r="EC27" i="5" s="1"/>
  <c r="ED27" i="5" s="1"/>
  <c r="EE27" i="5" s="1"/>
  <c r="EF27" i="5" s="1"/>
  <c r="EG27" i="5" s="1"/>
  <c r="EH27" i="5" s="1"/>
  <c r="EI27" i="5" s="1"/>
  <c r="EJ27" i="5" s="1"/>
  <c r="EK27" i="5" s="1"/>
  <c r="EL27" i="5" s="1"/>
  <c r="EM27" i="5" s="1"/>
  <c r="EN27" i="5" s="1"/>
  <c r="EO27" i="5" s="1"/>
  <c r="EP27" i="5" s="1"/>
  <c r="EQ27" i="5" s="1"/>
  <c r="ER27" i="5" s="1"/>
  <c r="ES27" i="5" s="1"/>
  <c r="ET27" i="5" s="1"/>
  <c r="EU27" i="5" s="1"/>
  <c r="EV27" i="5" s="1"/>
  <c r="EW27" i="5" s="1"/>
  <c r="EX27" i="5" s="1"/>
  <c r="EY27" i="5" s="1"/>
  <c r="EZ27" i="5" s="1"/>
  <c r="FA27" i="5" s="1"/>
  <c r="FB27" i="5" s="1"/>
  <c r="FC27" i="5" s="1"/>
  <c r="FE15" i="5" s="1"/>
  <c r="FF15" i="5" s="1"/>
  <c r="FG15" i="5" s="1"/>
  <c r="CT27" i="5"/>
  <c r="CU27" i="5" s="1"/>
  <c r="CV27" i="5" s="1"/>
  <c r="CW27" i="5" s="1"/>
  <c r="CX27" i="5" s="1"/>
  <c r="CY27" i="5" s="1"/>
  <c r="CZ27" i="5" s="1"/>
  <c r="DA27" i="5" s="1"/>
  <c r="DB27" i="5" s="1"/>
  <c r="DC27" i="5" s="1"/>
  <c r="DD27" i="5" s="1"/>
  <c r="DE27" i="5" s="1"/>
  <c r="DF27" i="5" s="1"/>
  <c r="DG27" i="5" s="1"/>
  <c r="DH27" i="5" s="1"/>
  <c r="DI27" i="5" s="1"/>
  <c r="DJ27" i="5" s="1"/>
  <c r="DK27" i="5" s="1"/>
  <c r="DL27" i="5" s="1"/>
  <c r="DM27" i="5" s="1"/>
  <c r="DN27" i="5" s="1"/>
  <c r="DO27" i="5" s="1"/>
  <c r="DP27" i="5" s="1"/>
  <c r="DQ27" i="5" s="1"/>
  <c r="DR27" i="5" s="1"/>
  <c r="DS27" i="5" s="1"/>
  <c r="DT27" i="5" s="1"/>
  <c r="DU27" i="5" s="1"/>
  <c r="DV27" i="5" s="1"/>
  <c r="DW27" i="5" s="1"/>
  <c r="DY15" i="5" s="1"/>
  <c r="DZ15" i="5" s="1"/>
  <c r="EA15" i="5" s="1"/>
  <c r="EB15" i="5" s="1"/>
  <c r="EC15" i="5" s="1"/>
  <c r="ED15" i="5" s="1"/>
  <c r="EE15" i="5" s="1"/>
  <c r="EF15" i="5" s="1"/>
  <c r="EG15" i="5" s="1"/>
  <c r="EH15" i="5" s="1"/>
  <c r="DX14" i="4"/>
  <c r="BN27" i="5"/>
  <c r="BO27" i="5" s="1"/>
  <c r="BP27" i="5" s="1"/>
  <c r="BQ27" i="5" s="1"/>
  <c r="BR27" i="5" s="1"/>
  <c r="BS27" i="5" s="1"/>
  <c r="BT27" i="5" s="1"/>
  <c r="BU27" i="5" s="1"/>
  <c r="BV27" i="5" s="1"/>
  <c r="BW27" i="5" s="1"/>
  <c r="BX27" i="5" s="1"/>
  <c r="BY27" i="5" s="1"/>
  <c r="BZ27" i="5" s="1"/>
  <c r="CA27" i="5" s="1"/>
  <c r="CB27" i="5" s="1"/>
  <c r="CC27" i="5" s="1"/>
  <c r="CD27" i="5" s="1"/>
  <c r="CE27" i="5" s="1"/>
  <c r="CF27" i="5" s="1"/>
  <c r="CG27" i="5" s="1"/>
  <c r="CH27" i="5" s="1"/>
  <c r="CI27" i="5" s="1"/>
  <c r="CJ27" i="5" s="1"/>
  <c r="CK27" i="5" s="1"/>
  <c r="CL27" i="5" s="1"/>
  <c r="CM27" i="5" s="1"/>
  <c r="CN27" i="5" s="1"/>
  <c r="CO27" i="5" s="1"/>
  <c r="CP27" i="5" s="1"/>
  <c r="CQ27" i="5" s="1"/>
  <c r="CR27" i="5" s="1"/>
  <c r="CT15" i="5" s="1"/>
  <c r="CS14" i="4"/>
  <c r="BM14" i="4"/>
  <c r="AI27" i="5"/>
  <c r="AJ27" i="5" s="1"/>
  <c r="AK27" i="5" s="1"/>
  <c r="AL27" i="5" s="1"/>
  <c r="AM27" i="5" s="1"/>
  <c r="AN27" i="5" s="1"/>
  <c r="AO27" i="5" s="1"/>
  <c r="AP27" i="5" s="1"/>
  <c r="AQ27" i="5" s="1"/>
  <c r="AR27" i="5" s="1"/>
  <c r="AS27" i="5" s="1"/>
  <c r="AT27" i="5" s="1"/>
  <c r="AU27" i="5" s="1"/>
  <c r="AV27" i="5" s="1"/>
  <c r="AW27" i="5" s="1"/>
  <c r="AX27" i="5" s="1"/>
  <c r="AY27" i="5" s="1"/>
  <c r="AZ27" i="5" s="1"/>
  <c r="BA27" i="5" s="1"/>
  <c r="BB27" i="5" s="1"/>
  <c r="BC27" i="5" s="1"/>
  <c r="BD27" i="5" s="1"/>
  <c r="BE27" i="5" s="1"/>
  <c r="BF27" i="5" s="1"/>
  <c r="BG27" i="5" s="1"/>
  <c r="BH27" i="5" s="1"/>
  <c r="BI27" i="5" s="1"/>
  <c r="BJ27" i="5" s="1"/>
  <c r="BK27" i="5" s="1"/>
  <c r="BL27" i="5" s="1"/>
  <c r="BM15" i="5" s="1"/>
  <c r="BN15" i="5" s="1"/>
  <c r="BO15" i="5" s="1"/>
  <c r="BP15" i="5" s="1"/>
  <c r="BQ15" i="5" s="1"/>
  <c r="BR15" i="5" s="1"/>
  <c r="BS15" i="5" s="1"/>
  <c r="BT15" i="5" s="1"/>
  <c r="BU15" i="5" s="1"/>
  <c r="BV15" i="5" s="1"/>
  <c r="BW15" i="5" s="1"/>
  <c r="BX15" i="5" s="1"/>
  <c r="BY15" i="5" s="1"/>
  <c r="BZ15" i="5" s="1"/>
  <c r="AH14" i="4"/>
  <c r="C27" i="5"/>
  <c r="D27" i="5" s="1"/>
  <c r="E27" i="5" s="1"/>
  <c r="F27" i="5" s="1"/>
  <c r="G27" i="5" s="1"/>
  <c r="H27" i="5" s="1"/>
  <c r="I27" i="5" s="1"/>
  <c r="J27" i="5" s="1"/>
  <c r="K27" i="5" s="1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AG27" i="5" s="1"/>
  <c r="AH27" i="5" s="1"/>
  <c r="AI15" i="5" s="1"/>
  <c r="AJ15" i="5" s="1"/>
  <c r="AK15" i="5" s="1"/>
  <c r="AL15" i="5" s="1"/>
  <c r="AM15" i="5" s="1"/>
  <c r="AN15" i="5" s="1"/>
  <c r="AO15" i="5" s="1"/>
  <c r="AP15" i="5" s="1"/>
  <c r="AQ15" i="5" s="1"/>
  <c r="AR15" i="5" s="1"/>
  <c r="AMZ26" i="5"/>
  <c r="ANA26" i="5" s="1"/>
  <c r="ANB26" i="5" s="1"/>
  <c r="ANC26" i="5" s="1"/>
  <c r="AND26" i="5" s="1"/>
  <c r="ANE26" i="5" s="1"/>
  <c r="ANF26" i="5" s="1"/>
  <c r="ANG26" i="5" s="1"/>
  <c r="ANH26" i="5" s="1"/>
  <c r="ANI26" i="5" s="1"/>
  <c r="ANJ26" i="5" s="1"/>
  <c r="ANK26" i="5" s="1"/>
  <c r="ANL26" i="5" s="1"/>
  <c r="ANM26" i="5" s="1"/>
  <c r="ANN26" i="5" s="1"/>
  <c r="ANO26" i="5" s="1"/>
  <c r="ANP26" i="5" s="1"/>
  <c r="ANQ26" i="5" s="1"/>
  <c r="ANR26" i="5" s="1"/>
  <c r="ANS26" i="5" s="1"/>
  <c r="ANT26" i="5" s="1"/>
  <c r="ANU26" i="5" s="1"/>
  <c r="ANV26" i="5" s="1"/>
  <c r="ANW26" i="5" s="1"/>
  <c r="ANX26" i="5" s="1"/>
  <c r="ANY26" i="5" s="1"/>
  <c r="ANZ26" i="5" s="1"/>
  <c r="AOA26" i="5" s="1"/>
  <c r="AOB26" i="5" s="1"/>
  <c r="AOC26" i="5" s="1"/>
  <c r="AMZ18" i="4"/>
  <c r="ALU18" i="4"/>
  <c r="AMY18" i="4" s="1"/>
  <c r="AMY13" i="4"/>
  <c r="ALU26" i="5"/>
  <c r="ALV26" i="5" s="1"/>
  <c r="ALW26" i="5" s="1"/>
  <c r="ALX26" i="5" s="1"/>
  <c r="ALY26" i="5" s="1"/>
  <c r="ALZ26" i="5" s="1"/>
  <c r="AMA26" i="5" s="1"/>
  <c r="AMB26" i="5" s="1"/>
  <c r="AMC26" i="5" s="1"/>
  <c r="AMD26" i="5" s="1"/>
  <c r="AME26" i="5" s="1"/>
  <c r="AMF26" i="5" s="1"/>
  <c r="AMG26" i="5" s="1"/>
  <c r="AMH26" i="5" s="1"/>
  <c r="AMI26" i="5" s="1"/>
  <c r="AMJ26" i="5" s="1"/>
  <c r="AMK26" i="5" s="1"/>
  <c r="AML26" i="5" s="1"/>
  <c r="AMM26" i="5" s="1"/>
  <c r="AMN26" i="5" s="1"/>
  <c r="AMO26" i="5" s="1"/>
  <c r="AMP26" i="5" s="1"/>
  <c r="AMQ26" i="5" s="1"/>
  <c r="AMR26" i="5" s="1"/>
  <c r="AMS26" i="5" s="1"/>
  <c r="AMT26" i="5" s="1"/>
  <c r="AMU26" i="5" s="1"/>
  <c r="AMV26" i="5" s="1"/>
  <c r="AMW26" i="5" s="1"/>
  <c r="AMX26" i="5" s="1"/>
  <c r="AKO26" i="5"/>
  <c r="AKP26" i="5" s="1"/>
  <c r="AKQ26" i="5" s="1"/>
  <c r="AKR26" i="5" s="1"/>
  <c r="AKS26" i="5" s="1"/>
  <c r="AKT26" i="5" s="1"/>
  <c r="AKU26" i="5" s="1"/>
  <c r="AKV26" i="5" s="1"/>
  <c r="AKW26" i="5" s="1"/>
  <c r="AKX26" i="5" s="1"/>
  <c r="AKY26" i="5" s="1"/>
  <c r="AKZ26" i="5" s="1"/>
  <c r="ALA26" i="5" s="1"/>
  <c r="ALB26" i="5" s="1"/>
  <c r="ALC26" i="5" s="1"/>
  <c r="ALD26" i="5" s="1"/>
  <c r="ALE26" i="5" s="1"/>
  <c r="ALF26" i="5" s="1"/>
  <c r="ALG26" i="5" s="1"/>
  <c r="ALH26" i="5" s="1"/>
  <c r="ALI26" i="5" s="1"/>
  <c r="ALJ26" i="5" s="1"/>
  <c r="ALK26" i="5" s="1"/>
  <c r="ALL26" i="5" s="1"/>
  <c r="ALM26" i="5" s="1"/>
  <c r="ALN26" i="5" s="1"/>
  <c r="ALO26" i="5" s="1"/>
  <c r="ALP26" i="5" s="1"/>
  <c r="ALQ26" i="5" s="1"/>
  <c r="ALR26" i="5" s="1"/>
  <c r="ALS26" i="5" s="1"/>
  <c r="ALT13" i="4"/>
  <c r="AKO18" i="4"/>
  <c r="ALT18" i="4" s="1"/>
  <c r="AJL18" i="4"/>
  <c r="AKN18" i="4" s="1"/>
  <c r="AKN13" i="4"/>
  <c r="AJL26" i="5"/>
  <c r="AJM26" i="5" s="1"/>
  <c r="AJN26" i="5" s="1"/>
  <c r="AJO26" i="5" s="1"/>
  <c r="AJP26" i="5" s="1"/>
  <c r="AJQ26" i="5" s="1"/>
  <c r="AJR26" i="5" s="1"/>
  <c r="AJS26" i="5" s="1"/>
  <c r="AJT26" i="5" s="1"/>
  <c r="AJU26" i="5" s="1"/>
  <c r="AJV26" i="5" s="1"/>
  <c r="AJW26" i="5" s="1"/>
  <c r="AJX26" i="5" s="1"/>
  <c r="AJY26" i="5" s="1"/>
  <c r="AJZ26" i="5" s="1"/>
  <c r="AKA26" i="5" s="1"/>
  <c r="AKB26" i="5" s="1"/>
  <c r="AKC26" i="5" s="1"/>
  <c r="AKD26" i="5" s="1"/>
  <c r="AKE26" i="5" s="1"/>
  <c r="AKF26" i="5" s="1"/>
  <c r="AKG26" i="5" s="1"/>
  <c r="AKH26" i="5" s="1"/>
  <c r="AKI26" i="5" s="1"/>
  <c r="AKJ26" i="5" s="1"/>
  <c r="AKK26" i="5" s="1"/>
  <c r="AKL26" i="5" s="1"/>
  <c r="AKM26" i="5" s="1"/>
  <c r="AJK13" i="4"/>
  <c r="AIG18" i="4"/>
  <c r="AIF18" i="4"/>
  <c r="AJK18" i="4" s="1"/>
  <c r="AIF26" i="5"/>
  <c r="AIG26" i="5" s="1"/>
  <c r="AIH26" i="5" s="1"/>
  <c r="AII26" i="5" s="1"/>
  <c r="AIJ26" i="5" s="1"/>
  <c r="AIK26" i="5" s="1"/>
  <c r="AIL26" i="5" s="1"/>
  <c r="AIM26" i="5" s="1"/>
  <c r="AIN26" i="5" s="1"/>
  <c r="AIO26" i="5" s="1"/>
  <c r="AIP26" i="5" s="1"/>
  <c r="AIQ26" i="5" s="1"/>
  <c r="AIR26" i="5" s="1"/>
  <c r="AIS26" i="5" s="1"/>
  <c r="AIT26" i="5" s="1"/>
  <c r="AIU26" i="5" s="1"/>
  <c r="AIV26" i="5" s="1"/>
  <c r="AIW26" i="5" s="1"/>
  <c r="AIX26" i="5" s="1"/>
  <c r="AIY26" i="5" s="1"/>
  <c r="AIZ26" i="5" s="1"/>
  <c r="AJA26" i="5" s="1"/>
  <c r="AJB26" i="5" s="1"/>
  <c r="AJC26" i="5" s="1"/>
  <c r="AJD26" i="5" s="1"/>
  <c r="AJE26" i="5" s="1"/>
  <c r="AJF26" i="5" s="1"/>
  <c r="AJG26" i="5" s="1"/>
  <c r="AJH26" i="5" s="1"/>
  <c r="AJI26" i="5" s="1"/>
  <c r="AJJ26" i="5" s="1"/>
  <c r="AIE13" i="4"/>
  <c r="AHA18" i="4"/>
  <c r="AGZ18" i="4"/>
  <c r="AIE18" i="4" s="1"/>
  <c r="AGZ26" i="5"/>
  <c r="AHA26" i="5" s="1"/>
  <c r="AHB26" i="5" s="1"/>
  <c r="AHC26" i="5" s="1"/>
  <c r="AHD26" i="5" s="1"/>
  <c r="AHE26" i="5" s="1"/>
  <c r="AHF26" i="5" s="1"/>
  <c r="AHG26" i="5" s="1"/>
  <c r="AHH26" i="5" s="1"/>
  <c r="AHI26" i="5" s="1"/>
  <c r="AHJ26" i="5" s="1"/>
  <c r="AHK26" i="5" s="1"/>
  <c r="AHL26" i="5" s="1"/>
  <c r="AHM26" i="5" s="1"/>
  <c r="AHN26" i="5" s="1"/>
  <c r="AHO26" i="5" s="1"/>
  <c r="AHP26" i="5" s="1"/>
  <c r="AHQ26" i="5" s="1"/>
  <c r="AHR26" i="5" s="1"/>
  <c r="AHS26" i="5" s="1"/>
  <c r="AHT26" i="5" s="1"/>
  <c r="AHU26" i="5" s="1"/>
  <c r="AHV26" i="5" s="1"/>
  <c r="AHW26" i="5" s="1"/>
  <c r="AHX26" i="5" s="1"/>
  <c r="AHY26" i="5" s="1"/>
  <c r="AHZ26" i="5" s="1"/>
  <c r="AIA26" i="5" s="1"/>
  <c r="AIB26" i="5" s="1"/>
  <c r="AIC26" i="5" s="1"/>
  <c r="AID26" i="5" s="1"/>
  <c r="AFU18" i="4"/>
  <c r="AGY18" i="4" s="1"/>
  <c r="AGY13" i="4"/>
  <c r="AFU26" i="5"/>
  <c r="AFV26" i="5" s="1"/>
  <c r="AFW26" i="5" s="1"/>
  <c r="AFX26" i="5" s="1"/>
  <c r="AFY26" i="5" s="1"/>
  <c r="AFZ26" i="5" s="1"/>
  <c r="AGA26" i="5" s="1"/>
  <c r="AGB26" i="5" s="1"/>
  <c r="AGC26" i="5" s="1"/>
  <c r="AGD26" i="5" s="1"/>
  <c r="AGE26" i="5" s="1"/>
  <c r="AGF26" i="5" s="1"/>
  <c r="AGG26" i="5" s="1"/>
  <c r="AGH26" i="5" s="1"/>
  <c r="AGI26" i="5" s="1"/>
  <c r="AGJ26" i="5" s="1"/>
  <c r="AGK26" i="5" s="1"/>
  <c r="AGL26" i="5" s="1"/>
  <c r="AGM26" i="5" s="1"/>
  <c r="AGN26" i="5" s="1"/>
  <c r="AGO26" i="5" s="1"/>
  <c r="AGP26" i="5" s="1"/>
  <c r="AGQ26" i="5" s="1"/>
  <c r="AGR26" i="5" s="1"/>
  <c r="AGS26" i="5" s="1"/>
  <c r="AGT26" i="5" s="1"/>
  <c r="AGU26" i="5" s="1"/>
  <c r="AGV26" i="5" s="1"/>
  <c r="AGW26" i="5" s="1"/>
  <c r="AGX26" i="5" s="1"/>
  <c r="AGZ14" i="5" s="1"/>
  <c r="AEO26" i="5"/>
  <c r="AEP26" i="5" s="1"/>
  <c r="AEQ26" i="5" s="1"/>
  <c r="AER26" i="5" s="1"/>
  <c r="AES26" i="5" s="1"/>
  <c r="AET26" i="5" s="1"/>
  <c r="AEU26" i="5" s="1"/>
  <c r="AEV26" i="5" s="1"/>
  <c r="AEW26" i="5" s="1"/>
  <c r="AEX26" i="5" s="1"/>
  <c r="AEY26" i="5" s="1"/>
  <c r="AEZ26" i="5" s="1"/>
  <c r="AFA26" i="5" s="1"/>
  <c r="AFB26" i="5" s="1"/>
  <c r="AFC26" i="5" s="1"/>
  <c r="AFD26" i="5" s="1"/>
  <c r="AFE26" i="5" s="1"/>
  <c r="AFF26" i="5" s="1"/>
  <c r="AFG26" i="5" s="1"/>
  <c r="AFH26" i="5" s="1"/>
  <c r="AFI26" i="5" s="1"/>
  <c r="AFJ26" i="5" s="1"/>
  <c r="AFK26" i="5" s="1"/>
  <c r="AFL26" i="5" s="1"/>
  <c r="AFM26" i="5" s="1"/>
  <c r="AFN26" i="5" s="1"/>
  <c r="AFO26" i="5" s="1"/>
  <c r="AFP26" i="5" s="1"/>
  <c r="AFQ26" i="5" s="1"/>
  <c r="AFR26" i="5" s="1"/>
  <c r="AFS26" i="5" s="1"/>
  <c r="AFU14" i="5" s="1"/>
  <c r="AEO18" i="4"/>
  <c r="AFT18" i="4" s="1"/>
  <c r="AFT13" i="4"/>
  <c r="ADJ18" i="4"/>
  <c r="AEN18" i="4" s="1"/>
  <c r="ADJ26" i="5"/>
  <c r="ADK26" i="5" s="1"/>
  <c r="ADL26" i="5" s="1"/>
  <c r="ADM26" i="5" s="1"/>
  <c r="ADN26" i="5" s="1"/>
  <c r="ADO26" i="5" s="1"/>
  <c r="ADP26" i="5" s="1"/>
  <c r="ADQ26" i="5" s="1"/>
  <c r="ADR26" i="5" s="1"/>
  <c r="ADS26" i="5" s="1"/>
  <c r="ADT26" i="5" s="1"/>
  <c r="ADU26" i="5" s="1"/>
  <c r="ADV26" i="5" s="1"/>
  <c r="ADW26" i="5" s="1"/>
  <c r="ADX26" i="5" s="1"/>
  <c r="ADY26" i="5" s="1"/>
  <c r="ADZ26" i="5" s="1"/>
  <c r="AEA26" i="5" s="1"/>
  <c r="AEB26" i="5" s="1"/>
  <c r="AEC26" i="5" s="1"/>
  <c r="AED26" i="5" s="1"/>
  <c r="AEE26" i="5" s="1"/>
  <c r="AEF26" i="5" s="1"/>
  <c r="AEG26" i="5" s="1"/>
  <c r="AEH26" i="5" s="1"/>
  <c r="AEI26" i="5" s="1"/>
  <c r="AEJ26" i="5" s="1"/>
  <c r="AEK26" i="5" s="1"/>
  <c r="AEL26" i="5" s="1"/>
  <c r="AEM26" i="5" s="1"/>
  <c r="AEN13" i="4"/>
  <c r="ADI13" i="4"/>
  <c r="ACD26" i="5"/>
  <c r="ACE26" i="5" s="1"/>
  <c r="ACF26" i="5" s="1"/>
  <c r="ACG26" i="5" s="1"/>
  <c r="ACH26" i="5" s="1"/>
  <c r="ACI26" i="5" s="1"/>
  <c r="ACJ26" i="5" s="1"/>
  <c r="ACK26" i="5" s="1"/>
  <c r="ACL26" i="5" s="1"/>
  <c r="ACM26" i="5" s="1"/>
  <c r="ACN26" i="5" s="1"/>
  <c r="ACO26" i="5" s="1"/>
  <c r="ACP26" i="5" s="1"/>
  <c r="ACQ26" i="5" s="1"/>
  <c r="ACR26" i="5" s="1"/>
  <c r="ACS26" i="5" s="1"/>
  <c r="ACT26" i="5" s="1"/>
  <c r="ACU26" i="5" s="1"/>
  <c r="ACV26" i="5" s="1"/>
  <c r="ACW26" i="5" s="1"/>
  <c r="ACX26" i="5" s="1"/>
  <c r="ACY26" i="5" s="1"/>
  <c r="ACZ26" i="5" s="1"/>
  <c r="ADA26" i="5" s="1"/>
  <c r="ADB26" i="5" s="1"/>
  <c r="ADC26" i="5" s="1"/>
  <c r="ADD26" i="5" s="1"/>
  <c r="ADE26" i="5" s="1"/>
  <c r="ADF26" i="5" s="1"/>
  <c r="ADG26" i="5" s="1"/>
  <c r="ADH26" i="5" s="1"/>
  <c r="ADJ14" i="5" s="1"/>
  <c r="ACD18" i="4"/>
  <c r="ADI18" i="4" s="1"/>
  <c r="ACC13" i="4"/>
  <c r="AAX26" i="5"/>
  <c r="AAY26" i="5" s="1"/>
  <c r="AAZ26" i="5" s="1"/>
  <c r="ABA26" i="5" s="1"/>
  <c r="ABB26" i="5" s="1"/>
  <c r="ABC26" i="5" s="1"/>
  <c r="ABD26" i="5" s="1"/>
  <c r="ABE26" i="5" s="1"/>
  <c r="ABF26" i="5" s="1"/>
  <c r="ABG26" i="5" s="1"/>
  <c r="ABH26" i="5" s="1"/>
  <c r="ABI26" i="5" s="1"/>
  <c r="ABJ26" i="5" s="1"/>
  <c r="ABK26" i="5" s="1"/>
  <c r="ABL26" i="5" s="1"/>
  <c r="ABM26" i="5" s="1"/>
  <c r="ABN26" i="5" s="1"/>
  <c r="ABO26" i="5" s="1"/>
  <c r="ABP26" i="5" s="1"/>
  <c r="ABQ26" i="5" s="1"/>
  <c r="ABR26" i="5" s="1"/>
  <c r="ABS26" i="5" s="1"/>
  <c r="ABT26" i="5" s="1"/>
  <c r="ABU26" i="5" s="1"/>
  <c r="ABV26" i="5" s="1"/>
  <c r="ABW26" i="5" s="1"/>
  <c r="ABX26" i="5" s="1"/>
  <c r="ABY26" i="5" s="1"/>
  <c r="ABZ26" i="5" s="1"/>
  <c r="ACA26" i="5" s="1"/>
  <c r="ACB26" i="5" s="1"/>
  <c r="AAX18" i="4"/>
  <c r="ACC18" i="4" s="1"/>
  <c r="AAW13" i="4"/>
  <c r="ZS26" i="5"/>
  <c r="ZT26" i="5" s="1"/>
  <c r="ZU26" i="5" s="1"/>
  <c r="ZV26" i="5" s="1"/>
  <c r="ZW26" i="5" s="1"/>
  <c r="ZX26" i="5" s="1"/>
  <c r="ZY26" i="5" s="1"/>
  <c r="ZZ26" i="5" s="1"/>
  <c r="AAA26" i="5" s="1"/>
  <c r="AAB26" i="5" s="1"/>
  <c r="AAC26" i="5" s="1"/>
  <c r="AAD26" i="5" s="1"/>
  <c r="AAE26" i="5" s="1"/>
  <c r="AAF26" i="5" s="1"/>
  <c r="AAG26" i="5" s="1"/>
  <c r="AAH26" i="5" s="1"/>
  <c r="AAI26" i="5" s="1"/>
  <c r="AAJ26" i="5" s="1"/>
  <c r="AAK26" i="5" s="1"/>
  <c r="AAL26" i="5" s="1"/>
  <c r="AAM26" i="5" s="1"/>
  <c r="AAN26" i="5" s="1"/>
  <c r="AAO26" i="5" s="1"/>
  <c r="AAP26" i="5" s="1"/>
  <c r="AAQ26" i="5" s="1"/>
  <c r="AAR26" i="5" s="1"/>
  <c r="AAS26" i="5" s="1"/>
  <c r="AAT26" i="5" s="1"/>
  <c r="AAU26" i="5" s="1"/>
  <c r="AAV26" i="5" s="1"/>
  <c r="ZS18" i="4"/>
  <c r="AAW18" i="4" s="1"/>
  <c r="YM26" i="5"/>
  <c r="YN26" i="5" s="1"/>
  <c r="YO26" i="5" s="1"/>
  <c r="YP26" i="5" s="1"/>
  <c r="YQ26" i="5" s="1"/>
  <c r="YR26" i="5" s="1"/>
  <c r="YS26" i="5" s="1"/>
  <c r="YT26" i="5" s="1"/>
  <c r="YU26" i="5" s="1"/>
  <c r="YV26" i="5" s="1"/>
  <c r="YW26" i="5" s="1"/>
  <c r="YX26" i="5" s="1"/>
  <c r="YY26" i="5" s="1"/>
  <c r="YZ26" i="5" s="1"/>
  <c r="ZA26" i="5" s="1"/>
  <c r="ZB26" i="5" s="1"/>
  <c r="ZC26" i="5" s="1"/>
  <c r="ZD26" i="5" s="1"/>
  <c r="ZE26" i="5" s="1"/>
  <c r="ZF26" i="5" s="1"/>
  <c r="ZG26" i="5" s="1"/>
  <c r="ZH26" i="5" s="1"/>
  <c r="ZI26" i="5" s="1"/>
  <c r="ZJ26" i="5" s="1"/>
  <c r="ZK26" i="5" s="1"/>
  <c r="ZL26" i="5" s="1"/>
  <c r="ZM26" i="5" s="1"/>
  <c r="ZN26" i="5" s="1"/>
  <c r="ZO26" i="5" s="1"/>
  <c r="ZP26" i="5" s="1"/>
  <c r="ZQ26" i="5" s="1"/>
  <c r="ZR13" i="4"/>
  <c r="YM18" i="4"/>
  <c r="YL13" i="4"/>
  <c r="XH18" i="4"/>
  <c r="YL18" i="4" s="1"/>
  <c r="XH26" i="5"/>
  <c r="XI26" i="5" s="1"/>
  <c r="XJ26" i="5" s="1"/>
  <c r="XK26" i="5" s="1"/>
  <c r="XL26" i="5" s="1"/>
  <c r="XM26" i="5" s="1"/>
  <c r="XN26" i="5" s="1"/>
  <c r="XO26" i="5" s="1"/>
  <c r="XP26" i="5" s="1"/>
  <c r="XQ26" i="5" s="1"/>
  <c r="XR26" i="5" s="1"/>
  <c r="XS26" i="5" s="1"/>
  <c r="XT26" i="5" s="1"/>
  <c r="XU26" i="5" s="1"/>
  <c r="XV26" i="5" s="1"/>
  <c r="XW26" i="5" s="1"/>
  <c r="XX26" i="5" s="1"/>
  <c r="XY26" i="5" s="1"/>
  <c r="XZ26" i="5" s="1"/>
  <c r="YA26" i="5" s="1"/>
  <c r="YB26" i="5" s="1"/>
  <c r="YC26" i="5" s="1"/>
  <c r="YD26" i="5" s="1"/>
  <c r="YE26" i="5" s="1"/>
  <c r="YF26" i="5" s="1"/>
  <c r="YG26" i="5" s="1"/>
  <c r="YH26" i="5" s="1"/>
  <c r="YI26" i="5" s="1"/>
  <c r="YJ26" i="5" s="1"/>
  <c r="YK26" i="5" s="1"/>
  <c r="WB18" i="4"/>
  <c r="XG18" i="4" s="1"/>
  <c r="XG13" i="4"/>
  <c r="WB26" i="5"/>
  <c r="WC26" i="5" s="1"/>
  <c r="WD26" i="5" s="1"/>
  <c r="WE26" i="5" s="1"/>
  <c r="WF26" i="5" s="1"/>
  <c r="WG26" i="5" s="1"/>
  <c r="WH26" i="5" s="1"/>
  <c r="WI26" i="5" s="1"/>
  <c r="WJ26" i="5" s="1"/>
  <c r="WK26" i="5" s="1"/>
  <c r="WL26" i="5" s="1"/>
  <c r="WM26" i="5" s="1"/>
  <c r="WN26" i="5" s="1"/>
  <c r="WO26" i="5" s="1"/>
  <c r="WP26" i="5" s="1"/>
  <c r="WQ26" i="5" s="1"/>
  <c r="WR26" i="5" s="1"/>
  <c r="WS26" i="5" s="1"/>
  <c r="WT26" i="5" s="1"/>
  <c r="WU26" i="5" s="1"/>
  <c r="WV26" i="5" s="1"/>
  <c r="WW26" i="5" s="1"/>
  <c r="WX26" i="5" s="1"/>
  <c r="WY26" i="5" s="1"/>
  <c r="WZ26" i="5" s="1"/>
  <c r="XA26" i="5" s="1"/>
  <c r="XB26" i="5" s="1"/>
  <c r="XC26" i="5" s="1"/>
  <c r="XD26" i="5" s="1"/>
  <c r="XE26" i="5" s="1"/>
  <c r="XF26" i="5" s="1"/>
  <c r="XH14" i="5" s="1"/>
  <c r="WA13" i="4"/>
  <c r="UY26" i="5"/>
  <c r="UZ26" i="5" s="1"/>
  <c r="VA26" i="5" s="1"/>
  <c r="VB26" i="5" s="1"/>
  <c r="VC26" i="5" s="1"/>
  <c r="VD26" i="5" s="1"/>
  <c r="VE26" i="5" s="1"/>
  <c r="VF26" i="5" s="1"/>
  <c r="VG26" i="5" s="1"/>
  <c r="VH26" i="5" s="1"/>
  <c r="VI26" i="5" s="1"/>
  <c r="VJ26" i="5" s="1"/>
  <c r="VK26" i="5" s="1"/>
  <c r="VL26" i="5" s="1"/>
  <c r="VM26" i="5" s="1"/>
  <c r="VN26" i="5" s="1"/>
  <c r="VO26" i="5" s="1"/>
  <c r="VP26" i="5" s="1"/>
  <c r="VQ26" i="5" s="1"/>
  <c r="VR26" i="5" s="1"/>
  <c r="VS26" i="5" s="1"/>
  <c r="VT26" i="5" s="1"/>
  <c r="VU26" i="5" s="1"/>
  <c r="VV26" i="5" s="1"/>
  <c r="VW26" i="5" s="1"/>
  <c r="VX26" i="5" s="1"/>
  <c r="VY26" i="5" s="1"/>
  <c r="VZ26" i="5" s="1"/>
  <c r="WB14" i="5" s="1"/>
  <c r="UY18" i="4"/>
  <c r="UX13" i="4"/>
  <c r="UX18" i="4" s="1"/>
  <c r="TT18" i="4"/>
  <c r="TS26" i="5"/>
  <c r="TT26" i="5" s="1"/>
  <c r="TU26" i="5" s="1"/>
  <c r="TV26" i="5" s="1"/>
  <c r="TW26" i="5" s="1"/>
  <c r="TX26" i="5" s="1"/>
  <c r="TY26" i="5" s="1"/>
  <c r="TZ26" i="5" s="1"/>
  <c r="UA26" i="5" s="1"/>
  <c r="UB26" i="5" s="1"/>
  <c r="UC26" i="5" s="1"/>
  <c r="UD26" i="5" s="1"/>
  <c r="UE26" i="5" s="1"/>
  <c r="UF26" i="5" s="1"/>
  <c r="UG26" i="5" s="1"/>
  <c r="UH26" i="5" s="1"/>
  <c r="UI26" i="5" s="1"/>
  <c r="UJ26" i="5" s="1"/>
  <c r="UK26" i="5" s="1"/>
  <c r="UL26" i="5" s="1"/>
  <c r="UM26" i="5" s="1"/>
  <c r="UN26" i="5" s="1"/>
  <c r="UO26" i="5" s="1"/>
  <c r="UP26" i="5" s="1"/>
  <c r="UQ26" i="5" s="1"/>
  <c r="UR26" i="5" s="1"/>
  <c r="US26" i="5" s="1"/>
  <c r="UT26" i="5" s="1"/>
  <c r="UU26" i="5" s="1"/>
  <c r="UV26" i="5" s="1"/>
  <c r="UW26" i="5" s="1"/>
  <c r="TS18" i="4"/>
  <c r="SN18" i="4"/>
  <c r="TR13" i="4"/>
  <c r="TR18" i="4" s="1"/>
  <c r="SM26" i="5"/>
  <c r="SN26" i="5" s="1"/>
  <c r="SO26" i="5" s="1"/>
  <c r="SP26" i="5" s="1"/>
  <c r="SQ26" i="5" s="1"/>
  <c r="SR26" i="5" s="1"/>
  <c r="SS26" i="5" s="1"/>
  <c r="ST26" i="5" s="1"/>
  <c r="SU26" i="5" s="1"/>
  <c r="SV26" i="5" s="1"/>
  <c r="SW26" i="5" s="1"/>
  <c r="SX26" i="5" s="1"/>
  <c r="SY26" i="5" s="1"/>
  <c r="SZ26" i="5" s="1"/>
  <c r="TA26" i="5" s="1"/>
  <c r="TB26" i="5" s="1"/>
  <c r="TC26" i="5" s="1"/>
  <c r="TD26" i="5" s="1"/>
  <c r="TE26" i="5" s="1"/>
  <c r="TF26" i="5" s="1"/>
  <c r="TG26" i="5" s="1"/>
  <c r="TH26" i="5" s="1"/>
  <c r="TI26" i="5" s="1"/>
  <c r="TJ26" i="5" s="1"/>
  <c r="TK26" i="5" s="1"/>
  <c r="TL26" i="5" s="1"/>
  <c r="TM26" i="5" s="1"/>
  <c r="TN26" i="5" s="1"/>
  <c r="TO26" i="5" s="1"/>
  <c r="TP26" i="5" s="1"/>
  <c r="TQ26" i="5" s="1"/>
  <c r="SM18" i="4"/>
  <c r="RH26" i="5"/>
  <c r="RI26" i="5" s="1"/>
  <c r="RJ26" i="5" s="1"/>
  <c r="RK26" i="5" s="1"/>
  <c r="RL26" i="5" s="1"/>
  <c r="RM26" i="5" s="1"/>
  <c r="RN26" i="5" s="1"/>
  <c r="RO26" i="5" s="1"/>
  <c r="RP26" i="5" s="1"/>
  <c r="RQ26" i="5" s="1"/>
  <c r="RR26" i="5" s="1"/>
  <c r="RS26" i="5" s="1"/>
  <c r="RT26" i="5" s="1"/>
  <c r="RU26" i="5" s="1"/>
  <c r="RV26" i="5" s="1"/>
  <c r="RW26" i="5" s="1"/>
  <c r="RX26" i="5" s="1"/>
  <c r="RY26" i="5" s="1"/>
  <c r="RZ26" i="5" s="1"/>
  <c r="SA26" i="5" s="1"/>
  <c r="SB26" i="5" s="1"/>
  <c r="SC26" i="5" s="1"/>
  <c r="SD26" i="5" s="1"/>
  <c r="SE26" i="5" s="1"/>
  <c r="SF26" i="5" s="1"/>
  <c r="SG26" i="5" s="1"/>
  <c r="SH26" i="5" s="1"/>
  <c r="SI26" i="5" s="1"/>
  <c r="SJ26" i="5" s="1"/>
  <c r="SK26" i="5" s="1"/>
  <c r="RH18" i="4"/>
  <c r="SL13" i="4"/>
  <c r="QC18" i="4"/>
  <c r="RG18" i="4" s="1"/>
  <c r="RG13" i="4"/>
  <c r="QB18" i="4"/>
  <c r="QB26" i="5"/>
  <c r="QC26" i="5" s="1"/>
  <c r="QD26" i="5" s="1"/>
  <c r="QE26" i="5" s="1"/>
  <c r="QF26" i="5" s="1"/>
  <c r="QG26" i="5" s="1"/>
  <c r="QH26" i="5" s="1"/>
  <c r="QI26" i="5" s="1"/>
  <c r="QJ26" i="5" s="1"/>
  <c r="QK26" i="5" s="1"/>
  <c r="QL26" i="5" s="1"/>
  <c r="QM26" i="5" s="1"/>
  <c r="QN26" i="5" s="1"/>
  <c r="QO26" i="5" s="1"/>
  <c r="QP26" i="5" s="1"/>
  <c r="QQ26" i="5" s="1"/>
  <c r="QR26" i="5" s="1"/>
  <c r="QS26" i="5" s="1"/>
  <c r="QT26" i="5" s="1"/>
  <c r="QU26" i="5" s="1"/>
  <c r="QV26" i="5" s="1"/>
  <c r="QW26" i="5" s="1"/>
  <c r="QX26" i="5" s="1"/>
  <c r="QY26" i="5" s="1"/>
  <c r="QZ26" i="5" s="1"/>
  <c r="RA26" i="5" s="1"/>
  <c r="RB26" i="5" s="1"/>
  <c r="RC26" i="5" s="1"/>
  <c r="RD26" i="5" s="1"/>
  <c r="RE26" i="5" s="1"/>
  <c r="RF26" i="5" s="1"/>
  <c r="OW26" i="5"/>
  <c r="OX26" i="5" s="1"/>
  <c r="OY26" i="5" s="1"/>
  <c r="OZ26" i="5" s="1"/>
  <c r="PA26" i="5" s="1"/>
  <c r="PB26" i="5" s="1"/>
  <c r="PC26" i="5" s="1"/>
  <c r="PD26" i="5" s="1"/>
  <c r="PE26" i="5" s="1"/>
  <c r="PF26" i="5" s="1"/>
  <c r="PG26" i="5" s="1"/>
  <c r="PH26" i="5" s="1"/>
  <c r="PI26" i="5" s="1"/>
  <c r="PJ26" i="5" s="1"/>
  <c r="PK26" i="5" s="1"/>
  <c r="PL26" i="5" s="1"/>
  <c r="PM26" i="5" s="1"/>
  <c r="PN26" i="5" s="1"/>
  <c r="PO26" i="5" s="1"/>
  <c r="PP26" i="5" s="1"/>
  <c r="PQ26" i="5" s="1"/>
  <c r="PR26" i="5" s="1"/>
  <c r="PS26" i="5" s="1"/>
  <c r="PT26" i="5" s="1"/>
  <c r="PU26" i="5" s="1"/>
  <c r="PV26" i="5" s="1"/>
  <c r="PW26" i="5" s="1"/>
  <c r="PX26" i="5" s="1"/>
  <c r="PY26" i="5" s="1"/>
  <c r="PZ26" i="5" s="1"/>
  <c r="OW18" i="4"/>
  <c r="QA13" i="4"/>
  <c r="OV13" i="4"/>
  <c r="NR18" i="4"/>
  <c r="OV18" i="4" s="1"/>
  <c r="NQ26" i="5"/>
  <c r="NR26" i="5" s="1"/>
  <c r="NS26" i="5" s="1"/>
  <c r="NT26" i="5" s="1"/>
  <c r="NU26" i="5" s="1"/>
  <c r="NV26" i="5" s="1"/>
  <c r="NW26" i="5" s="1"/>
  <c r="NX26" i="5" s="1"/>
  <c r="NY26" i="5" s="1"/>
  <c r="NZ26" i="5" s="1"/>
  <c r="OA26" i="5" s="1"/>
  <c r="OB26" i="5" s="1"/>
  <c r="OC26" i="5" s="1"/>
  <c r="OD26" i="5" s="1"/>
  <c r="OE26" i="5" s="1"/>
  <c r="OF26" i="5" s="1"/>
  <c r="OG26" i="5" s="1"/>
  <c r="OH26" i="5" s="1"/>
  <c r="OI26" i="5" s="1"/>
  <c r="OJ26" i="5" s="1"/>
  <c r="OK26" i="5" s="1"/>
  <c r="OL26" i="5" s="1"/>
  <c r="OM26" i="5" s="1"/>
  <c r="ON26" i="5" s="1"/>
  <c r="OO26" i="5" s="1"/>
  <c r="OP26" i="5" s="1"/>
  <c r="OQ26" i="5" s="1"/>
  <c r="OR26" i="5" s="1"/>
  <c r="OS26" i="5" s="1"/>
  <c r="OT26" i="5" s="1"/>
  <c r="OU26" i="5" s="1"/>
  <c r="NQ18" i="4"/>
  <c r="NP13" i="4"/>
  <c r="ML18" i="4"/>
  <c r="NP18" i="4" s="1"/>
  <c r="MK26" i="5"/>
  <c r="ML26" i="5" s="1"/>
  <c r="MM26" i="5" s="1"/>
  <c r="MN26" i="5" s="1"/>
  <c r="MO26" i="5" s="1"/>
  <c r="MP26" i="5" s="1"/>
  <c r="MQ26" i="5" s="1"/>
  <c r="MR26" i="5" s="1"/>
  <c r="MS26" i="5" s="1"/>
  <c r="MT26" i="5" s="1"/>
  <c r="MU26" i="5" s="1"/>
  <c r="MV26" i="5" s="1"/>
  <c r="MW26" i="5" s="1"/>
  <c r="MX26" i="5" s="1"/>
  <c r="MY26" i="5" s="1"/>
  <c r="MZ26" i="5" s="1"/>
  <c r="NA26" i="5" s="1"/>
  <c r="NB26" i="5" s="1"/>
  <c r="NC26" i="5" s="1"/>
  <c r="ND26" i="5" s="1"/>
  <c r="NE26" i="5" s="1"/>
  <c r="NF26" i="5" s="1"/>
  <c r="NG26" i="5" s="1"/>
  <c r="NH26" i="5" s="1"/>
  <c r="NI26" i="5" s="1"/>
  <c r="NJ26" i="5" s="1"/>
  <c r="NK26" i="5" s="1"/>
  <c r="NL26" i="5" s="1"/>
  <c r="NM26" i="5" s="1"/>
  <c r="NN26" i="5" s="1"/>
  <c r="NO26" i="5" s="1"/>
  <c r="MK18" i="4"/>
  <c r="MJ13" i="4"/>
  <c r="LF26" i="5"/>
  <c r="LG26" i="5" s="1"/>
  <c r="LH26" i="5" s="1"/>
  <c r="LI26" i="5" s="1"/>
  <c r="LJ26" i="5" s="1"/>
  <c r="LK26" i="5" s="1"/>
  <c r="LL26" i="5" s="1"/>
  <c r="LM26" i="5" s="1"/>
  <c r="LN26" i="5" s="1"/>
  <c r="LO26" i="5" s="1"/>
  <c r="LP26" i="5" s="1"/>
  <c r="LQ26" i="5" s="1"/>
  <c r="LR26" i="5" s="1"/>
  <c r="LS26" i="5" s="1"/>
  <c r="LT26" i="5" s="1"/>
  <c r="LU26" i="5" s="1"/>
  <c r="LV26" i="5" s="1"/>
  <c r="LW26" i="5" s="1"/>
  <c r="LX26" i="5" s="1"/>
  <c r="LY26" i="5" s="1"/>
  <c r="LZ26" i="5" s="1"/>
  <c r="MA26" i="5" s="1"/>
  <c r="MB26" i="5" s="1"/>
  <c r="MC26" i="5" s="1"/>
  <c r="MD26" i="5" s="1"/>
  <c r="ME26" i="5" s="1"/>
  <c r="MF26" i="5" s="1"/>
  <c r="MG26" i="5" s="1"/>
  <c r="MH26" i="5" s="1"/>
  <c r="MI26" i="5" s="1"/>
  <c r="LF18" i="4"/>
  <c r="MJ18" i="4" s="1"/>
  <c r="KA18" i="4"/>
  <c r="LE18" i="4" s="1"/>
  <c r="LE13" i="4"/>
  <c r="JZ26" i="5"/>
  <c r="KA26" i="5" s="1"/>
  <c r="KB26" i="5" s="1"/>
  <c r="KC26" i="5" s="1"/>
  <c r="KD26" i="5" s="1"/>
  <c r="KE26" i="5" s="1"/>
  <c r="KF26" i="5" s="1"/>
  <c r="KG26" i="5" s="1"/>
  <c r="KH26" i="5" s="1"/>
  <c r="KI26" i="5" s="1"/>
  <c r="KJ26" i="5" s="1"/>
  <c r="KK26" i="5" s="1"/>
  <c r="KL26" i="5" s="1"/>
  <c r="KM26" i="5" s="1"/>
  <c r="KN26" i="5" s="1"/>
  <c r="KO26" i="5" s="1"/>
  <c r="KP26" i="5" s="1"/>
  <c r="KQ26" i="5" s="1"/>
  <c r="KR26" i="5" s="1"/>
  <c r="KS26" i="5" s="1"/>
  <c r="KT26" i="5" s="1"/>
  <c r="KU26" i="5" s="1"/>
  <c r="KV26" i="5" s="1"/>
  <c r="KW26" i="5" s="1"/>
  <c r="KX26" i="5" s="1"/>
  <c r="KY26" i="5" s="1"/>
  <c r="KZ26" i="5" s="1"/>
  <c r="LA26" i="5" s="1"/>
  <c r="LB26" i="5" s="1"/>
  <c r="LC26" i="5" s="1"/>
  <c r="LD26" i="5" s="1"/>
  <c r="JZ18" i="4"/>
  <c r="IU18" i="4"/>
  <c r="JY18" i="4" s="1"/>
  <c r="JY13" i="4"/>
  <c r="IU26" i="5"/>
  <c r="IV26" i="5" s="1"/>
  <c r="IW26" i="5" s="1"/>
  <c r="IX26" i="5" s="1"/>
  <c r="IY26" i="5" s="1"/>
  <c r="IZ26" i="5" s="1"/>
  <c r="JA26" i="5" s="1"/>
  <c r="JB26" i="5" s="1"/>
  <c r="JC26" i="5" s="1"/>
  <c r="JD26" i="5" s="1"/>
  <c r="JE26" i="5" s="1"/>
  <c r="JF26" i="5" s="1"/>
  <c r="JG26" i="5" s="1"/>
  <c r="JH26" i="5" s="1"/>
  <c r="JI26" i="5" s="1"/>
  <c r="JJ26" i="5" s="1"/>
  <c r="JK26" i="5" s="1"/>
  <c r="JL26" i="5" s="1"/>
  <c r="JM26" i="5" s="1"/>
  <c r="JN26" i="5" s="1"/>
  <c r="JO26" i="5" s="1"/>
  <c r="JP26" i="5" s="1"/>
  <c r="JQ26" i="5" s="1"/>
  <c r="JR26" i="5" s="1"/>
  <c r="JS26" i="5" s="1"/>
  <c r="JT26" i="5" s="1"/>
  <c r="JU26" i="5" s="1"/>
  <c r="JV26" i="5" s="1"/>
  <c r="JW26" i="5" s="1"/>
  <c r="JX26" i="5" s="1"/>
  <c r="JZ14" i="5" s="1"/>
  <c r="HO26" i="5"/>
  <c r="HP26" i="5" s="1"/>
  <c r="HQ26" i="5" s="1"/>
  <c r="HR26" i="5" s="1"/>
  <c r="HS26" i="5" s="1"/>
  <c r="HT26" i="5" s="1"/>
  <c r="HU26" i="5" s="1"/>
  <c r="HV26" i="5" s="1"/>
  <c r="HW26" i="5" s="1"/>
  <c r="HX26" i="5" s="1"/>
  <c r="HY26" i="5" s="1"/>
  <c r="HZ26" i="5" s="1"/>
  <c r="IA26" i="5" s="1"/>
  <c r="IB26" i="5" s="1"/>
  <c r="IC26" i="5" s="1"/>
  <c r="ID26" i="5" s="1"/>
  <c r="IE26" i="5" s="1"/>
  <c r="IF26" i="5" s="1"/>
  <c r="IG26" i="5" s="1"/>
  <c r="IH26" i="5" s="1"/>
  <c r="II26" i="5" s="1"/>
  <c r="IJ26" i="5" s="1"/>
  <c r="IK26" i="5" s="1"/>
  <c r="IL26" i="5" s="1"/>
  <c r="IM26" i="5" s="1"/>
  <c r="IN26" i="5" s="1"/>
  <c r="IO26" i="5" s="1"/>
  <c r="IP26" i="5" s="1"/>
  <c r="IQ26" i="5" s="1"/>
  <c r="IR26" i="5" s="1"/>
  <c r="IS26" i="5" s="1"/>
  <c r="IU14" i="5" s="1"/>
  <c r="IT13" i="4"/>
  <c r="HO18" i="4"/>
  <c r="IT18" i="4" s="1"/>
  <c r="HN13" i="4"/>
  <c r="GK18" i="4"/>
  <c r="HN18" i="4" s="1"/>
  <c r="GK26" i="5"/>
  <c r="GL26" i="5" s="1"/>
  <c r="GM26" i="5" s="1"/>
  <c r="GN26" i="5" s="1"/>
  <c r="GO26" i="5" s="1"/>
  <c r="GP26" i="5" s="1"/>
  <c r="GQ26" i="5" s="1"/>
  <c r="GR26" i="5" s="1"/>
  <c r="GS26" i="5" s="1"/>
  <c r="GT26" i="5" s="1"/>
  <c r="GU26" i="5" s="1"/>
  <c r="GV26" i="5" s="1"/>
  <c r="GW26" i="5" s="1"/>
  <c r="GX26" i="5" s="1"/>
  <c r="GY26" i="5" s="1"/>
  <c r="GZ26" i="5" s="1"/>
  <c r="HA26" i="5" s="1"/>
  <c r="HB26" i="5" s="1"/>
  <c r="HC26" i="5" s="1"/>
  <c r="HD26" i="5" s="1"/>
  <c r="HE26" i="5" s="1"/>
  <c r="HF26" i="5" s="1"/>
  <c r="HG26" i="5" s="1"/>
  <c r="HH26" i="5" s="1"/>
  <c r="HI26" i="5" s="1"/>
  <c r="HJ26" i="5" s="1"/>
  <c r="HK26" i="5" s="1"/>
  <c r="HL26" i="5" s="1"/>
  <c r="HM26" i="5" s="1"/>
  <c r="GJ13" i="4"/>
  <c r="FE26" i="5"/>
  <c r="FF26" i="5" s="1"/>
  <c r="FG26" i="5" s="1"/>
  <c r="FH26" i="5" s="1"/>
  <c r="FI26" i="5" s="1"/>
  <c r="FJ26" i="5" s="1"/>
  <c r="FK26" i="5" s="1"/>
  <c r="FL26" i="5" s="1"/>
  <c r="FM26" i="5" s="1"/>
  <c r="FN26" i="5" s="1"/>
  <c r="FO26" i="5" s="1"/>
  <c r="FP26" i="5" s="1"/>
  <c r="FQ26" i="5" s="1"/>
  <c r="FR26" i="5" s="1"/>
  <c r="FS26" i="5" s="1"/>
  <c r="FT26" i="5" s="1"/>
  <c r="FU26" i="5" s="1"/>
  <c r="FV26" i="5" s="1"/>
  <c r="FW26" i="5" s="1"/>
  <c r="FX26" i="5" s="1"/>
  <c r="FY26" i="5" s="1"/>
  <c r="FZ26" i="5" s="1"/>
  <c r="GA26" i="5" s="1"/>
  <c r="GB26" i="5" s="1"/>
  <c r="GC26" i="5" s="1"/>
  <c r="GD26" i="5" s="1"/>
  <c r="GE26" i="5" s="1"/>
  <c r="GF26" i="5" s="1"/>
  <c r="GG26" i="5" s="1"/>
  <c r="GH26" i="5" s="1"/>
  <c r="GI26" i="5" s="1"/>
  <c r="GK14" i="5" s="1"/>
  <c r="FE18" i="4"/>
  <c r="GJ18" i="4" s="1"/>
  <c r="DY26" i="5"/>
  <c r="DZ26" i="5" s="1"/>
  <c r="EA26" i="5" s="1"/>
  <c r="EB26" i="5" s="1"/>
  <c r="EC26" i="5" s="1"/>
  <c r="ED26" i="5" s="1"/>
  <c r="EE26" i="5" s="1"/>
  <c r="EF26" i="5" s="1"/>
  <c r="EG26" i="5" s="1"/>
  <c r="EH26" i="5" s="1"/>
  <c r="EI26" i="5" s="1"/>
  <c r="EJ26" i="5" s="1"/>
  <c r="EK26" i="5" s="1"/>
  <c r="EL26" i="5" s="1"/>
  <c r="EM26" i="5" s="1"/>
  <c r="EN26" i="5" s="1"/>
  <c r="EO26" i="5" s="1"/>
  <c r="EP26" i="5" s="1"/>
  <c r="EQ26" i="5" s="1"/>
  <c r="ER26" i="5" s="1"/>
  <c r="ES26" i="5" s="1"/>
  <c r="ET26" i="5" s="1"/>
  <c r="EU26" i="5" s="1"/>
  <c r="EV26" i="5" s="1"/>
  <c r="EW26" i="5" s="1"/>
  <c r="EX26" i="5" s="1"/>
  <c r="EY26" i="5" s="1"/>
  <c r="EZ26" i="5" s="1"/>
  <c r="FA26" i="5" s="1"/>
  <c r="FB26" i="5" s="1"/>
  <c r="FC26" i="5" s="1"/>
  <c r="FE14" i="5" s="1"/>
  <c r="DY18" i="4"/>
  <c r="FD18" i="4" s="1"/>
  <c r="FD13" i="4"/>
  <c r="CT26" i="5"/>
  <c r="CU26" i="5" s="1"/>
  <c r="CV26" i="5" s="1"/>
  <c r="CW26" i="5" s="1"/>
  <c r="CX26" i="5" s="1"/>
  <c r="CY26" i="5" s="1"/>
  <c r="CZ26" i="5" s="1"/>
  <c r="DA26" i="5" s="1"/>
  <c r="DB26" i="5" s="1"/>
  <c r="DC26" i="5" s="1"/>
  <c r="DD26" i="5" s="1"/>
  <c r="DE26" i="5" s="1"/>
  <c r="DF26" i="5" s="1"/>
  <c r="DG26" i="5" s="1"/>
  <c r="DH26" i="5" s="1"/>
  <c r="DI26" i="5" s="1"/>
  <c r="DJ26" i="5" s="1"/>
  <c r="DK26" i="5" s="1"/>
  <c r="DL26" i="5" s="1"/>
  <c r="DM26" i="5" s="1"/>
  <c r="DN26" i="5" s="1"/>
  <c r="DO26" i="5" s="1"/>
  <c r="DP26" i="5" s="1"/>
  <c r="DQ26" i="5" s="1"/>
  <c r="DR26" i="5" s="1"/>
  <c r="DS26" i="5" s="1"/>
  <c r="DT26" i="5" s="1"/>
  <c r="DU26" i="5" s="1"/>
  <c r="DV26" i="5" s="1"/>
  <c r="DW26" i="5" s="1"/>
  <c r="DX13" i="4"/>
  <c r="CT18" i="4"/>
  <c r="DX18" i="4" s="1"/>
  <c r="CS13" i="4"/>
  <c r="BN18" i="4"/>
  <c r="CS18" i="4" s="1"/>
  <c r="BN26" i="5"/>
  <c r="BO26" i="5" s="1"/>
  <c r="BP26" i="5" s="1"/>
  <c r="BQ26" i="5" s="1"/>
  <c r="BR26" i="5" s="1"/>
  <c r="BS26" i="5" s="1"/>
  <c r="BT26" i="5" s="1"/>
  <c r="BU26" i="5" s="1"/>
  <c r="BV26" i="5" s="1"/>
  <c r="BW26" i="5" s="1"/>
  <c r="BX26" i="5" s="1"/>
  <c r="BY26" i="5" s="1"/>
  <c r="BZ26" i="5" s="1"/>
  <c r="CA26" i="5" s="1"/>
  <c r="CB26" i="5" s="1"/>
  <c r="CC26" i="5" s="1"/>
  <c r="CD26" i="5" s="1"/>
  <c r="CE26" i="5" s="1"/>
  <c r="CF26" i="5" s="1"/>
  <c r="CG26" i="5" s="1"/>
  <c r="CH26" i="5" s="1"/>
  <c r="CI26" i="5" s="1"/>
  <c r="CJ26" i="5" s="1"/>
  <c r="CK26" i="5" s="1"/>
  <c r="CL26" i="5" s="1"/>
  <c r="CM26" i="5" s="1"/>
  <c r="CN26" i="5" s="1"/>
  <c r="CO26" i="5" s="1"/>
  <c r="CP26" i="5" s="1"/>
  <c r="CQ26" i="5" s="1"/>
  <c r="CR26" i="5" s="1"/>
  <c r="CT14" i="5" s="1"/>
  <c r="AI18" i="4"/>
  <c r="AI26" i="5"/>
  <c r="AJ26" i="5" s="1"/>
  <c r="AK26" i="5" s="1"/>
  <c r="AL26" i="5" s="1"/>
  <c r="AM26" i="5" s="1"/>
  <c r="AN26" i="5" s="1"/>
  <c r="AO26" i="5" s="1"/>
  <c r="AP26" i="5" s="1"/>
  <c r="AQ26" i="5" s="1"/>
  <c r="AR26" i="5" s="1"/>
  <c r="AS26" i="5" s="1"/>
  <c r="AT26" i="5" s="1"/>
  <c r="AU26" i="5" s="1"/>
  <c r="AV26" i="5" s="1"/>
  <c r="AW26" i="5" s="1"/>
  <c r="AX26" i="5" s="1"/>
  <c r="AY26" i="5" s="1"/>
  <c r="AZ26" i="5" s="1"/>
  <c r="BA26" i="5" s="1"/>
  <c r="BB26" i="5" s="1"/>
  <c r="BC26" i="5" s="1"/>
  <c r="BD26" i="5" s="1"/>
  <c r="BE26" i="5" s="1"/>
  <c r="BF26" i="5" s="1"/>
  <c r="BG26" i="5" s="1"/>
  <c r="BH26" i="5" s="1"/>
  <c r="BI26" i="5" s="1"/>
  <c r="BJ26" i="5" s="1"/>
  <c r="BK26" i="5" s="1"/>
  <c r="BL26" i="5" s="1"/>
  <c r="BM14" i="5" s="1"/>
  <c r="BM13" i="4"/>
  <c r="AH13" i="4"/>
  <c r="C26" i="5"/>
  <c r="RG7" i="4"/>
  <c r="QB11" i="4"/>
  <c r="QB47" i="4" s="1"/>
  <c r="QB9" i="4"/>
  <c r="I5" i="5"/>
  <c r="I6" i="5" s="1"/>
  <c r="I10" i="5" s="1"/>
  <c r="G5" i="5"/>
  <c r="G6" i="5" s="1"/>
  <c r="G10" i="5" s="1"/>
  <c r="D5" i="5"/>
  <c r="D6" i="5" s="1"/>
  <c r="D10" i="5" s="1"/>
  <c r="D13" i="5" s="1"/>
  <c r="AK3" i="4"/>
  <c r="BO3" i="4"/>
  <c r="CT3" i="4" s="1"/>
  <c r="ALU26" i="4"/>
  <c r="AMY26" i="4" s="1"/>
  <c r="AMZ32" i="2"/>
  <c r="AKR26" i="4"/>
  <c r="AKO32" i="2"/>
  <c r="AJL26" i="4"/>
  <c r="AKN26" i="4" s="1"/>
  <c r="AFU32" i="2"/>
  <c r="AEO26" i="4"/>
  <c r="AFT26" i="4" s="1"/>
  <c r="ADJ26" i="4"/>
  <c r="ADJ32" i="2"/>
  <c r="ACD26" i="4"/>
  <c r="ADI26" i="4" s="1"/>
  <c r="GJ32" i="2"/>
  <c r="FE26" i="4"/>
  <c r="GJ26" i="4" s="1"/>
  <c r="DX32" i="2"/>
  <c r="CT26" i="4"/>
  <c r="DX26" i="4" s="1"/>
  <c r="BN26" i="4"/>
  <c r="AI26" i="4"/>
  <c r="AH32" i="2"/>
  <c r="C26" i="4"/>
  <c r="AH26" i="4" s="1"/>
  <c r="RA32" i="2"/>
  <c r="RA26" i="4" s="1"/>
  <c r="RG26" i="4" s="1"/>
  <c r="RG31" i="2"/>
  <c r="RG32" i="2" s="1"/>
  <c r="MJ31" i="2"/>
  <c r="LK32" i="2"/>
  <c r="LK26" i="4" s="1"/>
  <c r="SM27" i="2"/>
  <c r="RI32" i="2"/>
  <c r="RI26" i="4" s="1"/>
  <c r="PB32" i="2"/>
  <c r="PB26" i="4" s="1"/>
  <c r="QA26" i="4" s="1"/>
  <c r="QA27" i="2"/>
  <c r="QA32" i="2" s="1"/>
  <c r="OI32" i="2"/>
  <c r="OI26" i="4" s="1"/>
  <c r="OV27" i="2"/>
  <c r="NP27" i="2"/>
  <c r="NP32" i="2" s="1"/>
  <c r="NH32" i="2"/>
  <c r="NH26" i="4" s="1"/>
  <c r="NP26" i="4" s="1"/>
  <c r="MJ27" i="2"/>
  <c r="LJ32" i="2"/>
  <c r="LJ26" i="4" s="1"/>
  <c r="LE27" i="2"/>
  <c r="KG32" i="2"/>
  <c r="KG26" i="4" s="1"/>
  <c r="JY27" i="2"/>
  <c r="JY32" i="2" s="1"/>
  <c r="IU32" i="2"/>
  <c r="IU26" i="4" s="1"/>
  <c r="JY26" i="4" s="1"/>
  <c r="IT27" i="2"/>
  <c r="HP32" i="2"/>
  <c r="HP26" i="4" s="1"/>
  <c r="HD32" i="2"/>
  <c r="HD26" i="4" s="1"/>
  <c r="HN26" i="4" s="1"/>
  <c r="HN27" i="2"/>
  <c r="HN32" i="2" s="1"/>
  <c r="SM20" i="2"/>
  <c r="SM32" i="2" s="1"/>
  <c r="RW32" i="2"/>
  <c r="RW26" i="4" s="1"/>
  <c r="ALU16" i="2"/>
  <c r="ALC32" i="2"/>
  <c r="AGZ16" i="2"/>
  <c r="AGE32" i="2"/>
  <c r="AGD26" i="4" s="1"/>
  <c r="AIF14" i="2"/>
  <c r="AIF32" i="2" s="1"/>
  <c r="AHT32" i="2"/>
  <c r="AHS26" i="4" s="1"/>
  <c r="AIE26" i="4" s="1"/>
  <c r="AEA32" i="2"/>
  <c r="AEO14" i="2"/>
  <c r="ABO32" i="2"/>
  <c r="ABN26" i="4" s="1"/>
  <c r="ACC26" i="4" s="1"/>
  <c r="ACD14" i="2"/>
  <c r="ACD32" i="2" s="1"/>
  <c r="AAL32" i="2"/>
  <c r="AAK26" i="4" s="1"/>
  <c r="AAW26" i="4" s="1"/>
  <c r="AAX14" i="2"/>
  <c r="AAX32" i="2" s="1"/>
  <c r="YA32" i="2"/>
  <c r="XZ26" i="4" s="1"/>
  <c r="YL26" i="4" s="1"/>
  <c r="YM14" i="2"/>
  <c r="YM32" i="2" s="1"/>
  <c r="UH32" i="2"/>
  <c r="UG26" i="4" s="1"/>
  <c r="UX26" i="4" s="1"/>
  <c r="UY14" i="2"/>
  <c r="UY32" i="2" s="1"/>
  <c r="OE32" i="2"/>
  <c r="OE26" i="4" s="1"/>
  <c r="OV26" i="4" s="1"/>
  <c r="OV14" i="2"/>
  <c r="OV32" i="2" s="1"/>
  <c r="LT32" i="2"/>
  <c r="LT26" i="4" s="1"/>
  <c r="MJ14" i="2"/>
  <c r="MJ32" i="2" s="1"/>
  <c r="KN32" i="2"/>
  <c r="KN26" i="4" s="1"/>
  <c r="LE14" i="2"/>
  <c r="LE32" i="2" s="1"/>
  <c r="AU32" i="2"/>
  <c r="BM14" i="2"/>
  <c r="AGZ13" i="2"/>
  <c r="AGZ32" i="2" s="1"/>
  <c r="AFZ32" i="2"/>
  <c r="AFY26" i="4" s="1"/>
  <c r="AGY26" i="4" s="1"/>
  <c r="BP32" i="2"/>
  <c r="CS13" i="2"/>
  <c r="WI32" i="2"/>
  <c r="WH26" i="4" s="1"/>
  <c r="XG26" i="4" s="1"/>
  <c r="XH5" i="2"/>
  <c r="XH32" i="2" s="1"/>
  <c r="ID32" i="2"/>
  <c r="ID26" i="4" s="1"/>
  <c r="IT5" i="2"/>
  <c r="IT32" i="2" s="1"/>
  <c r="AK2" i="2"/>
  <c r="BO2" i="2"/>
  <c r="CT2" i="2" s="1"/>
  <c r="ZQ8" i="1"/>
  <c r="YO17" i="4"/>
  <c r="PZ7" i="1"/>
  <c r="PC16" i="4"/>
  <c r="AW16" i="4"/>
  <c r="BM16" i="4" s="1"/>
  <c r="BL7" i="1"/>
  <c r="AG7" i="1"/>
  <c r="C16" i="4"/>
  <c r="C18" i="4" s="1"/>
  <c r="AH18" i="4" s="1"/>
  <c r="AW15" i="4"/>
  <c r="AW18" i="4" s="1"/>
  <c r="BL6" i="1"/>
  <c r="U15" i="4"/>
  <c r="U18" i="4" s="1"/>
  <c r="AG6" i="1"/>
  <c r="AJ3" i="1"/>
  <c r="BN3" i="1"/>
  <c r="CS3" i="1" s="1"/>
  <c r="AOC9" i="4"/>
  <c r="AOC39" i="4"/>
  <c r="AOC40" i="4" s="1"/>
  <c r="AOC42" i="4" s="1"/>
  <c r="AOC43" i="4" s="1"/>
  <c r="AOC11" i="4"/>
  <c r="AOC47" i="4" s="1"/>
  <c r="D32" i="3"/>
  <c r="D34" i="3" s="1"/>
  <c r="AI31" i="3"/>
  <c r="AMZ31" i="3"/>
  <c r="ALV32" i="3"/>
  <c r="ALU31" i="3"/>
  <c r="AKP32" i="3"/>
  <c r="AKO31" i="3"/>
  <c r="AJM32" i="3"/>
  <c r="AJL31" i="3"/>
  <c r="AIG32" i="3"/>
  <c r="AIF31" i="3"/>
  <c r="AHA32" i="3"/>
  <c r="AGZ31" i="3"/>
  <c r="AFV32" i="3"/>
  <c r="AFU31" i="3"/>
  <c r="AEP32" i="3"/>
  <c r="AEO31" i="3"/>
  <c r="ADK32" i="3"/>
  <c r="ADJ31" i="3"/>
  <c r="ACE32" i="3"/>
  <c r="ACD31" i="3"/>
  <c r="AAY32" i="3"/>
  <c r="AAX31" i="3"/>
  <c r="AAX34" i="3" s="1"/>
  <c r="ZT32" i="3"/>
  <c r="ZS31" i="3"/>
  <c r="ZS34" i="3" s="1"/>
  <c r="YN32" i="3"/>
  <c r="XH31" i="3"/>
  <c r="YM31" i="3" s="1"/>
  <c r="WC32" i="3"/>
  <c r="WB31" i="3"/>
  <c r="UZ32" i="3"/>
  <c r="UZ34" i="3" s="1"/>
  <c r="UY7" i="4" s="1"/>
  <c r="UW9" i="4"/>
  <c r="UW39" i="4"/>
  <c r="UV9" i="4"/>
  <c r="UV39" i="4"/>
  <c r="UV40" i="4" s="1"/>
  <c r="UV42" i="4" s="1"/>
  <c r="UV43" i="4" s="1"/>
  <c r="UU9" i="4"/>
  <c r="UU39" i="4"/>
  <c r="UU40" i="4" s="1"/>
  <c r="UU42" i="4" s="1"/>
  <c r="UU43" i="4" s="1"/>
  <c r="UT9" i="4"/>
  <c r="UT39" i="4"/>
  <c r="UT40" i="4" s="1"/>
  <c r="UT42" i="4" s="1"/>
  <c r="UT43" i="4" s="1"/>
  <c r="US9" i="4"/>
  <c r="US39" i="4"/>
  <c r="US40" i="4" s="1"/>
  <c r="US42" i="4" s="1"/>
  <c r="US43" i="4" s="1"/>
  <c r="UR9" i="4"/>
  <c r="UR39" i="4"/>
  <c r="UR40" i="4" s="1"/>
  <c r="UR42" i="4" s="1"/>
  <c r="UR43" i="4" s="1"/>
  <c r="UQ9" i="4"/>
  <c r="UQ39" i="4"/>
  <c r="UQ40" i="4" s="1"/>
  <c r="UQ42" i="4" s="1"/>
  <c r="UQ43" i="4" s="1"/>
  <c r="UP9" i="4"/>
  <c r="UP39" i="4"/>
  <c r="UP40" i="4" s="1"/>
  <c r="UP42" i="4" s="1"/>
  <c r="UP43" i="4" s="1"/>
  <c r="UO9" i="4"/>
  <c r="UO39" i="4"/>
  <c r="UO40" i="4" s="1"/>
  <c r="UO42" i="4" s="1"/>
  <c r="UO43" i="4" s="1"/>
  <c r="UN9" i="4"/>
  <c r="UN39" i="4"/>
  <c r="UN40" i="4" s="1"/>
  <c r="UN42" i="4" s="1"/>
  <c r="UN43" i="4" s="1"/>
  <c r="UM9" i="4"/>
  <c r="UM39" i="4"/>
  <c r="UM40" i="4" s="1"/>
  <c r="UM42" i="4" s="1"/>
  <c r="UM43" i="4" s="1"/>
  <c r="UL9" i="4"/>
  <c r="UL39" i="4"/>
  <c r="UL40" i="4" s="1"/>
  <c r="UL42" i="4" s="1"/>
  <c r="UL43" i="4" s="1"/>
  <c r="UK9" i="4"/>
  <c r="UK39" i="4"/>
  <c r="UK40" i="4" s="1"/>
  <c r="UK42" i="4" s="1"/>
  <c r="UK43" i="4" s="1"/>
  <c r="UJ9" i="4"/>
  <c r="UJ39" i="4"/>
  <c r="UJ40" i="4" s="1"/>
  <c r="UJ42" i="4" s="1"/>
  <c r="UJ43" i="4" s="1"/>
  <c r="UI9" i="4"/>
  <c r="UI39" i="4"/>
  <c r="UI40" i="4" s="1"/>
  <c r="UI42" i="4" s="1"/>
  <c r="UI43" i="4" s="1"/>
  <c r="UH9" i="4"/>
  <c r="UH39" i="4"/>
  <c r="UH40" i="4" s="1"/>
  <c r="UH42" i="4" s="1"/>
  <c r="UH43" i="4" s="1"/>
  <c r="UG9" i="4"/>
  <c r="UG39" i="4"/>
  <c r="UG40" i="4" s="1"/>
  <c r="UG42" i="4" s="1"/>
  <c r="UG43" i="4" s="1"/>
  <c r="UF9" i="4"/>
  <c r="UF39" i="4"/>
  <c r="UF40" i="4" s="1"/>
  <c r="UF42" i="4" s="1"/>
  <c r="UF43" i="4" s="1"/>
  <c r="UE9" i="4"/>
  <c r="UE39" i="4"/>
  <c r="UE40" i="4" s="1"/>
  <c r="UE42" i="4" s="1"/>
  <c r="UE43" i="4" s="1"/>
  <c r="UD9" i="4"/>
  <c r="UD39" i="4"/>
  <c r="UD40" i="4" s="1"/>
  <c r="UD42" i="4" s="1"/>
  <c r="UD43" i="4" s="1"/>
  <c r="UC9" i="4"/>
  <c r="UC39" i="4"/>
  <c r="UC40" i="4" s="1"/>
  <c r="UC42" i="4" s="1"/>
  <c r="UC43" i="4" s="1"/>
  <c r="UB9" i="4"/>
  <c r="UB39" i="4"/>
  <c r="UB40" i="4" s="1"/>
  <c r="UB42" i="4" s="1"/>
  <c r="UB43" i="4" s="1"/>
  <c r="UA9" i="4"/>
  <c r="UA39" i="4"/>
  <c r="UA40" i="4" s="1"/>
  <c r="UA42" i="4" s="1"/>
  <c r="UA43" i="4" s="1"/>
  <c r="TZ9" i="4"/>
  <c r="TZ39" i="4"/>
  <c r="TZ40" i="4" s="1"/>
  <c r="TZ42" i="4" s="1"/>
  <c r="TZ43" i="4" s="1"/>
  <c r="TY9" i="4"/>
  <c r="TY39" i="4"/>
  <c r="TY40" i="4" s="1"/>
  <c r="TY42" i="4" s="1"/>
  <c r="TY43" i="4" s="1"/>
  <c r="TX9" i="4"/>
  <c r="TX39" i="4"/>
  <c r="TX40" i="4" s="1"/>
  <c r="TX42" i="4" s="1"/>
  <c r="TX43" i="4" s="1"/>
  <c r="TW9" i="4"/>
  <c r="TW39" i="4"/>
  <c r="TW40" i="4" s="1"/>
  <c r="TW42" i="4" s="1"/>
  <c r="TW43" i="4" s="1"/>
  <c r="TV9" i="4"/>
  <c r="TV39" i="4"/>
  <c r="TV40" i="4" s="1"/>
  <c r="TV42" i="4" s="1"/>
  <c r="TV43" i="4" s="1"/>
  <c r="TU9" i="4"/>
  <c r="TU39" i="4"/>
  <c r="TU40" i="4" s="1"/>
  <c r="TU42" i="4" s="1"/>
  <c r="TU43" i="4" s="1"/>
  <c r="TT9" i="4"/>
  <c r="TT39" i="4"/>
  <c r="UY31" i="3"/>
  <c r="TT32" i="3"/>
  <c r="TT34" i="3" s="1"/>
  <c r="TS7" i="4" s="1"/>
  <c r="TQ9" i="4"/>
  <c r="TQ39" i="4"/>
  <c r="TQ40" i="4" s="1"/>
  <c r="TQ42" i="4" s="1"/>
  <c r="TQ43" i="4" s="1"/>
  <c r="TP9" i="4"/>
  <c r="TP39" i="4"/>
  <c r="TP40" i="4" s="1"/>
  <c r="TP42" i="4" s="1"/>
  <c r="TP43" i="4" s="1"/>
  <c r="TO9" i="4"/>
  <c r="TO39" i="4"/>
  <c r="TO40" i="4" s="1"/>
  <c r="TO42" i="4" s="1"/>
  <c r="TO43" i="4" s="1"/>
  <c r="TN9" i="4"/>
  <c r="TN39" i="4"/>
  <c r="TN40" i="4" s="1"/>
  <c r="TN42" i="4" s="1"/>
  <c r="TN43" i="4" s="1"/>
  <c r="TM9" i="4"/>
  <c r="TM39" i="4"/>
  <c r="TM40" i="4" s="1"/>
  <c r="TM42" i="4" s="1"/>
  <c r="TM43" i="4" s="1"/>
  <c r="TL9" i="4"/>
  <c r="TL39" i="4"/>
  <c r="TL40" i="4" s="1"/>
  <c r="TL42" i="4" s="1"/>
  <c r="TL43" i="4" s="1"/>
  <c r="TK9" i="4"/>
  <c r="TK39" i="4"/>
  <c r="TK40" i="4" s="1"/>
  <c r="TK42" i="4" s="1"/>
  <c r="TK43" i="4" s="1"/>
  <c r="TJ9" i="4"/>
  <c r="TJ39" i="4"/>
  <c r="TJ40" i="4" s="1"/>
  <c r="TJ42" i="4" s="1"/>
  <c r="TJ43" i="4" s="1"/>
  <c r="TI9" i="4"/>
  <c r="TI39" i="4"/>
  <c r="TI40" i="4" s="1"/>
  <c r="TI42" i="4" s="1"/>
  <c r="TI43" i="4" s="1"/>
  <c r="TH9" i="4"/>
  <c r="TH39" i="4"/>
  <c r="TH40" i="4" s="1"/>
  <c r="TH42" i="4" s="1"/>
  <c r="TH43" i="4" s="1"/>
  <c r="TG9" i="4"/>
  <c r="TG39" i="4"/>
  <c r="TG40" i="4" s="1"/>
  <c r="TG42" i="4" s="1"/>
  <c r="TG43" i="4" s="1"/>
  <c r="TF9" i="4"/>
  <c r="TF39" i="4"/>
  <c r="TF40" i="4" s="1"/>
  <c r="TF42" i="4" s="1"/>
  <c r="TF43" i="4" s="1"/>
  <c r="TE9" i="4"/>
  <c r="TE39" i="4"/>
  <c r="TE40" i="4" s="1"/>
  <c r="TE42" i="4" s="1"/>
  <c r="TE43" i="4" s="1"/>
  <c r="TD9" i="4"/>
  <c r="TD39" i="4"/>
  <c r="TD40" i="4" s="1"/>
  <c r="TD42" i="4" s="1"/>
  <c r="TD43" i="4" s="1"/>
  <c r="TC9" i="4"/>
  <c r="TC39" i="4"/>
  <c r="TC40" i="4" s="1"/>
  <c r="TC42" i="4" s="1"/>
  <c r="TC43" i="4" s="1"/>
  <c r="TB9" i="4"/>
  <c r="TB39" i="4"/>
  <c r="TB40" i="4" s="1"/>
  <c r="TB42" i="4" s="1"/>
  <c r="TB43" i="4" s="1"/>
  <c r="TA9" i="4"/>
  <c r="TA39" i="4"/>
  <c r="TA40" i="4" s="1"/>
  <c r="TA42" i="4" s="1"/>
  <c r="TA43" i="4" s="1"/>
  <c r="SZ9" i="4"/>
  <c r="SZ39" i="4"/>
  <c r="SZ40" i="4" s="1"/>
  <c r="SZ42" i="4" s="1"/>
  <c r="SZ43" i="4" s="1"/>
  <c r="SY9" i="4"/>
  <c r="SY39" i="4"/>
  <c r="SY40" i="4" s="1"/>
  <c r="SY42" i="4" s="1"/>
  <c r="SY43" i="4" s="1"/>
  <c r="SX9" i="4"/>
  <c r="SX39" i="4"/>
  <c r="SX40" i="4" s="1"/>
  <c r="SX42" i="4" s="1"/>
  <c r="SX43" i="4" s="1"/>
  <c r="SW9" i="4"/>
  <c r="SW39" i="4"/>
  <c r="SW40" i="4" s="1"/>
  <c r="SW42" i="4" s="1"/>
  <c r="SW43" i="4" s="1"/>
  <c r="SV9" i="4"/>
  <c r="SV39" i="4"/>
  <c r="SV40" i="4" s="1"/>
  <c r="SV42" i="4" s="1"/>
  <c r="SV43" i="4" s="1"/>
  <c r="SU9" i="4"/>
  <c r="SU39" i="4"/>
  <c r="SU40" i="4" s="1"/>
  <c r="SU42" i="4" s="1"/>
  <c r="SU43" i="4" s="1"/>
  <c r="ST9" i="4"/>
  <c r="ST39" i="4"/>
  <c r="ST40" i="4" s="1"/>
  <c r="ST42" i="4" s="1"/>
  <c r="ST43" i="4" s="1"/>
  <c r="SS9" i="4"/>
  <c r="SS39" i="4"/>
  <c r="SS40" i="4" s="1"/>
  <c r="SS42" i="4" s="1"/>
  <c r="SS43" i="4" s="1"/>
  <c r="SR9" i="4"/>
  <c r="SR11" i="4"/>
  <c r="SR47" i="4" s="1"/>
  <c r="SR39" i="4"/>
  <c r="SR40" i="4" s="1"/>
  <c r="SR42" i="4" s="1"/>
  <c r="SR43" i="4" s="1"/>
  <c r="SQ9" i="4"/>
  <c r="SQ11" i="4"/>
  <c r="SQ47" i="4" s="1"/>
  <c r="SQ39" i="4"/>
  <c r="SQ40" i="4" s="1"/>
  <c r="SQ42" i="4" s="1"/>
  <c r="SQ43" i="4" s="1"/>
  <c r="SP9" i="4"/>
  <c r="SP11" i="4"/>
  <c r="SP47" i="4" s="1"/>
  <c r="SP39" i="4"/>
  <c r="SP40" i="4" s="1"/>
  <c r="SP42" i="4" s="1"/>
  <c r="SP43" i="4" s="1"/>
  <c r="SO9" i="4"/>
  <c r="SO11" i="4"/>
  <c r="SO47" i="4" s="1"/>
  <c r="SO39" i="4"/>
  <c r="SO40" i="4" s="1"/>
  <c r="SO42" i="4" s="1"/>
  <c r="SO43" i="4" s="1"/>
  <c r="TS31" i="3"/>
  <c r="SO32" i="3"/>
  <c r="SO34" i="3" s="1"/>
  <c r="SN7" i="4" s="1"/>
  <c r="TR7" i="4"/>
  <c r="SM9" i="4"/>
  <c r="SM11" i="4"/>
  <c r="SM47" i="4" s="1"/>
  <c r="SM39" i="4"/>
  <c r="SM40" i="4" s="1"/>
  <c r="SM42" i="4" s="1"/>
  <c r="SM43" i="4" s="1"/>
  <c r="SK9" i="4"/>
  <c r="SK11" i="4"/>
  <c r="SK47" i="4" s="1"/>
  <c r="SK39" i="4"/>
  <c r="SK40" i="4" s="1"/>
  <c r="SK42" i="4" s="1"/>
  <c r="SK43" i="4" s="1"/>
  <c r="SJ9" i="4"/>
  <c r="SJ11" i="4"/>
  <c r="SJ47" i="4" s="1"/>
  <c r="SJ39" i="4"/>
  <c r="SJ40" i="4" s="1"/>
  <c r="SJ42" i="4" s="1"/>
  <c r="SJ43" i="4" s="1"/>
  <c r="SI9" i="4"/>
  <c r="SI11" i="4"/>
  <c r="SI47" i="4" s="1"/>
  <c r="SI39" i="4"/>
  <c r="SI40" i="4" s="1"/>
  <c r="SI42" i="4" s="1"/>
  <c r="SI43" i="4" s="1"/>
  <c r="SH9" i="4"/>
  <c r="SH11" i="4"/>
  <c r="SH47" i="4" s="1"/>
  <c r="SH39" i="4"/>
  <c r="SH40" i="4" s="1"/>
  <c r="SH42" i="4" s="1"/>
  <c r="SH43" i="4" s="1"/>
  <c r="SG9" i="4"/>
  <c r="SG11" i="4"/>
  <c r="SG47" i="4" s="1"/>
  <c r="SG39" i="4"/>
  <c r="SG40" i="4" s="1"/>
  <c r="SG42" i="4" s="1"/>
  <c r="SG43" i="4" s="1"/>
  <c r="SF9" i="4"/>
  <c r="SF11" i="4"/>
  <c r="SF47" i="4" s="1"/>
  <c r="SF39" i="4"/>
  <c r="SF40" i="4" s="1"/>
  <c r="SF42" i="4" s="1"/>
  <c r="SF43" i="4" s="1"/>
  <c r="SE9" i="4"/>
  <c r="SE11" i="4"/>
  <c r="SE47" i="4" s="1"/>
  <c r="SE39" i="4"/>
  <c r="SE40" i="4" s="1"/>
  <c r="SE42" i="4" s="1"/>
  <c r="SE43" i="4" s="1"/>
  <c r="SD9" i="4"/>
  <c r="SD11" i="4"/>
  <c r="SD47" i="4" s="1"/>
  <c r="SD39" i="4"/>
  <c r="SD40" i="4" s="1"/>
  <c r="SD42" i="4" s="1"/>
  <c r="SD43" i="4" s="1"/>
  <c r="SC9" i="4"/>
  <c r="SC11" i="4"/>
  <c r="SC47" i="4" s="1"/>
  <c r="SC39" i="4"/>
  <c r="SC40" i="4" s="1"/>
  <c r="SC42" i="4" s="1"/>
  <c r="SC43" i="4" s="1"/>
  <c r="SB9" i="4"/>
  <c r="SB11" i="4"/>
  <c r="SB47" i="4" s="1"/>
  <c r="SB39" i="4"/>
  <c r="SB40" i="4" s="1"/>
  <c r="SB42" i="4" s="1"/>
  <c r="SB43" i="4" s="1"/>
  <c r="SA9" i="4"/>
  <c r="SA11" i="4"/>
  <c r="SA47" i="4" s="1"/>
  <c r="SA39" i="4"/>
  <c r="SA40" i="4" s="1"/>
  <c r="SA42" i="4" s="1"/>
  <c r="SA43" i="4" s="1"/>
  <c r="RZ9" i="4"/>
  <c r="RZ11" i="4"/>
  <c r="RZ47" i="4" s="1"/>
  <c r="RZ39" i="4"/>
  <c r="RZ40" i="4" s="1"/>
  <c r="RZ42" i="4" s="1"/>
  <c r="RZ43" i="4" s="1"/>
  <c r="RY9" i="4"/>
  <c r="RY11" i="4"/>
  <c r="RY47" i="4" s="1"/>
  <c r="RY39" i="4"/>
  <c r="RY40" i="4" s="1"/>
  <c r="RY42" i="4" s="1"/>
  <c r="RY43" i="4" s="1"/>
  <c r="RX9" i="4"/>
  <c r="RX11" i="4"/>
  <c r="RX47" i="4" s="1"/>
  <c r="RX39" i="4"/>
  <c r="RX40" i="4" s="1"/>
  <c r="RX42" i="4" s="1"/>
  <c r="RX43" i="4" s="1"/>
  <c r="RW9" i="4"/>
  <c r="RW11" i="4"/>
  <c r="RW47" i="4" s="1"/>
  <c r="RW39" i="4"/>
  <c r="RW40" i="4" s="1"/>
  <c r="RW42" i="4" s="1"/>
  <c r="RW43" i="4" s="1"/>
  <c r="RV9" i="4"/>
  <c r="RV11" i="4"/>
  <c r="RV47" i="4" s="1"/>
  <c r="RV39" i="4"/>
  <c r="RV40" i="4" s="1"/>
  <c r="RV42" i="4" s="1"/>
  <c r="RV43" i="4" s="1"/>
  <c r="RU9" i="4"/>
  <c r="RU11" i="4"/>
  <c r="RU47" i="4" s="1"/>
  <c r="RU39" i="4"/>
  <c r="RU40" i="4" s="1"/>
  <c r="RU42" i="4" s="1"/>
  <c r="RU43" i="4" s="1"/>
  <c r="RT9" i="4"/>
  <c r="RT11" i="4"/>
  <c r="RT47" i="4" s="1"/>
  <c r="RT39" i="4"/>
  <c r="RT40" i="4" s="1"/>
  <c r="RT42" i="4" s="1"/>
  <c r="RT43" i="4" s="1"/>
  <c r="RS9" i="4"/>
  <c r="RS11" i="4"/>
  <c r="RS47" i="4" s="1"/>
  <c r="RS39" i="4"/>
  <c r="RS40" i="4" s="1"/>
  <c r="RS42" i="4" s="1"/>
  <c r="RS43" i="4" s="1"/>
  <c r="RR9" i="4"/>
  <c r="RR11" i="4"/>
  <c r="RR47" i="4" s="1"/>
  <c r="RR39" i="4"/>
  <c r="RR40" i="4" s="1"/>
  <c r="RR42" i="4" s="1"/>
  <c r="RR43" i="4" s="1"/>
  <c r="RQ9" i="4"/>
  <c r="RQ11" i="4"/>
  <c r="RQ47" i="4" s="1"/>
  <c r="RQ39" i="4"/>
  <c r="RQ40" i="4" s="1"/>
  <c r="RQ42" i="4" s="1"/>
  <c r="RQ43" i="4" s="1"/>
  <c r="RP9" i="4"/>
  <c r="RP11" i="4"/>
  <c r="RP47" i="4" s="1"/>
  <c r="RP39" i="4"/>
  <c r="RP40" i="4" s="1"/>
  <c r="RP42" i="4" s="1"/>
  <c r="RP43" i="4" s="1"/>
  <c r="RO9" i="4"/>
  <c r="RO11" i="4"/>
  <c r="RO47" i="4" s="1"/>
  <c r="RO39" i="4"/>
  <c r="RO40" i="4" s="1"/>
  <c r="RO42" i="4" s="1"/>
  <c r="RO43" i="4" s="1"/>
  <c r="RN9" i="4"/>
  <c r="RN11" i="4"/>
  <c r="RN47" i="4" s="1"/>
  <c r="RN39" i="4"/>
  <c r="RN40" i="4" s="1"/>
  <c r="RN42" i="4" s="1"/>
  <c r="RN43" i="4" s="1"/>
  <c r="RM9" i="4"/>
  <c r="RM11" i="4"/>
  <c r="RM47" i="4" s="1"/>
  <c r="RM39" i="4"/>
  <c r="RM40" i="4" s="1"/>
  <c r="RM42" i="4" s="1"/>
  <c r="RM43" i="4" s="1"/>
  <c r="RL9" i="4"/>
  <c r="RL11" i="4"/>
  <c r="RL47" i="4" s="1"/>
  <c r="RL39" i="4"/>
  <c r="RL40" i="4" s="1"/>
  <c r="RL42" i="4" s="1"/>
  <c r="RL43" i="4" s="1"/>
  <c r="RK9" i="4"/>
  <c r="RK11" i="4"/>
  <c r="RK47" i="4" s="1"/>
  <c r="RK39" i="4"/>
  <c r="RK40" i="4" s="1"/>
  <c r="RK42" i="4" s="1"/>
  <c r="RK43" i="4" s="1"/>
  <c r="RJ9" i="4"/>
  <c r="RJ11" i="4"/>
  <c r="RJ47" i="4" s="1"/>
  <c r="RJ39" i="4"/>
  <c r="RJ40" i="4" s="1"/>
  <c r="RJ42" i="4" s="1"/>
  <c r="RJ43" i="4" s="1"/>
  <c r="RI9" i="4"/>
  <c r="RI11" i="4"/>
  <c r="RI47" i="4" s="1"/>
  <c r="RI39" i="4"/>
  <c r="RI40" i="4" s="1"/>
  <c r="RI42" i="4" s="1"/>
  <c r="RI43" i="4" s="1"/>
  <c r="SM31" i="3"/>
  <c r="RI32" i="3"/>
  <c r="RI34" i="3" s="1"/>
  <c r="RH7" i="4" s="1"/>
  <c r="RF9" i="4"/>
  <c r="RF11" i="4"/>
  <c r="RF47" i="4" s="1"/>
  <c r="RF39" i="4"/>
  <c r="RF40" i="4" s="1"/>
  <c r="RF42" i="4" s="1"/>
  <c r="RF43" i="4" s="1"/>
  <c r="RE9" i="4"/>
  <c r="RE11" i="4"/>
  <c r="RE47" i="4" s="1"/>
  <c r="RE39" i="4"/>
  <c r="RE40" i="4" s="1"/>
  <c r="RE42" i="4" s="1"/>
  <c r="RE43" i="4" s="1"/>
  <c r="RD9" i="4"/>
  <c r="RD11" i="4"/>
  <c r="RD47" i="4" s="1"/>
  <c r="RD39" i="4"/>
  <c r="RD40" i="4" s="1"/>
  <c r="RD42" i="4" s="1"/>
  <c r="RD43" i="4" s="1"/>
  <c r="RC9" i="4"/>
  <c r="RC11" i="4"/>
  <c r="RC47" i="4" s="1"/>
  <c r="RC39" i="4"/>
  <c r="RC40" i="4" s="1"/>
  <c r="RC42" i="4" s="1"/>
  <c r="RC43" i="4" s="1"/>
  <c r="RB9" i="4"/>
  <c r="RB11" i="4"/>
  <c r="RB47" i="4" s="1"/>
  <c r="RB39" i="4"/>
  <c r="RB40" i="4" s="1"/>
  <c r="RB42" i="4" s="1"/>
  <c r="RB43" i="4" s="1"/>
  <c r="RA9" i="4"/>
  <c r="RA11" i="4"/>
  <c r="RA47" i="4" s="1"/>
  <c r="RA39" i="4"/>
  <c r="RA40" i="4" s="1"/>
  <c r="RA42" i="4" s="1"/>
  <c r="RA43" i="4" s="1"/>
  <c r="QZ9" i="4"/>
  <c r="QZ11" i="4"/>
  <c r="QZ47" i="4" s="1"/>
  <c r="QZ39" i="4"/>
  <c r="QZ40" i="4" s="1"/>
  <c r="QZ42" i="4" s="1"/>
  <c r="QZ43" i="4" s="1"/>
  <c r="QY9" i="4"/>
  <c r="QY11" i="4"/>
  <c r="QY47" i="4" s="1"/>
  <c r="QY39" i="4"/>
  <c r="QY40" i="4" s="1"/>
  <c r="QY42" i="4" s="1"/>
  <c r="QY43" i="4" s="1"/>
  <c r="QX9" i="4"/>
  <c r="QX11" i="4"/>
  <c r="QX47" i="4" s="1"/>
  <c r="QX39" i="4"/>
  <c r="QX40" i="4" s="1"/>
  <c r="QX42" i="4" s="1"/>
  <c r="QX43" i="4" s="1"/>
  <c r="QW9" i="4"/>
  <c r="QW11" i="4"/>
  <c r="QW47" i="4" s="1"/>
  <c r="QW39" i="4"/>
  <c r="QW40" i="4" s="1"/>
  <c r="QW42" i="4" s="1"/>
  <c r="QW43" i="4" s="1"/>
  <c r="QV9" i="4"/>
  <c r="QV11" i="4"/>
  <c r="QV47" i="4" s="1"/>
  <c r="QV39" i="4"/>
  <c r="QV40" i="4" s="1"/>
  <c r="QV42" i="4" s="1"/>
  <c r="QV43" i="4" s="1"/>
  <c r="QU9" i="4"/>
  <c r="QU39" i="4"/>
  <c r="QU40" i="4" s="1"/>
  <c r="QU42" i="4" s="1"/>
  <c r="QU43" i="4" s="1"/>
  <c r="QT9" i="4"/>
  <c r="QT39" i="4"/>
  <c r="QT40" i="4" s="1"/>
  <c r="QT42" i="4" s="1"/>
  <c r="QT43" i="4" s="1"/>
  <c r="QS9" i="4"/>
  <c r="QS39" i="4"/>
  <c r="QS40" i="4" s="1"/>
  <c r="QS42" i="4" s="1"/>
  <c r="QS43" i="4" s="1"/>
  <c r="QR9" i="4"/>
  <c r="QR39" i="4"/>
  <c r="QR40" i="4" s="1"/>
  <c r="QR42" i="4" s="1"/>
  <c r="QR43" i="4" s="1"/>
  <c r="QQ9" i="4"/>
  <c r="QQ39" i="4"/>
  <c r="QQ40" i="4" s="1"/>
  <c r="QQ42" i="4" s="1"/>
  <c r="QQ43" i="4" s="1"/>
  <c r="QP9" i="4"/>
  <c r="QP39" i="4"/>
  <c r="QP40" i="4" s="1"/>
  <c r="QP42" i="4" s="1"/>
  <c r="QP43" i="4" s="1"/>
  <c r="QO9" i="4"/>
  <c r="QO39" i="4"/>
  <c r="QO40" i="4" s="1"/>
  <c r="QO42" i="4" s="1"/>
  <c r="QO43" i="4" s="1"/>
  <c r="QN9" i="4"/>
  <c r="QN39" i="4"/>
  <c r="QN40" i="4" s="1"/>
  <c r="QN42" i="4" s="1"/>
  <c r="QN43" i="4" s="1"/>
  <c r="QM9" i="4"/>
  <c r="QM39" i="4"/>
  <c r="QM40" i="4" s="1"/>
  <c r="QM42" i="4" s="1"/>
  <c r="QM43" i="4" s="1"/>
  <c r="QL9" i="4"/>
  <c r="QL39" i="4"/>
  <c r="QL40" i="4" s="1"/>
  <c r="QL42" i="4" s="1"/>
  <c r="QL43" i="4" s="1"/>
  <c r="QK9" i="4"/>
  <c r="QK39" i="4"/>
  <c r="QK40" i="4" s="1"/>
  <c r="QK42" i="4" s="1"/>
  <c r="QK43" i="4" s="1"/>
  <c r="QJ9" i="4"/>
  <c r="QJ39" i="4"/>
  <c r="QJ40" i="4" s="1"/>
  <c r="QJ42" i="4" s="1"/>
  <c r="QJ43" i="4" s="1"/>
  <c r="QI9" i="4"/>
  <c r="QI39" i="4"/>
  <c r="QI40" i="4" s="1"/>
  <c r="QI42" i="4" s="1"/>
  <c r="QI43" i="4" s="1"/>
  <c r="QH9" i="4"/>
  <c r="QH39" i="4"/>
  <c r="QH40" i="4" s="1"/>
  <c r="QH42" i="4" s="1"/>
  <c r="QH43" i="4" s="1"/>
  <c r="QG9" i="4"/>
  <c r="QG39" i="4"/>
  <c r="QG40" i="4" s="1"/>
  <c r="QG42" i="4" s="1"/>
  <c r="QG43" i="4" s="1"/>
  <c r="QF9" i="4"/>
  <c r="QF39" i="4"/>
  <c r="QF40" i="4" s="1"/>
  <c r="QF42" i="4" s="1"/>
  <c r="QF43" i="4" s="1"/>
  <c r="QE9" i="4"/>
  <c r="QE11" i="4"/>
  <c r="QE47" i="4" s="1"/>
  <c r="QE39" i="4"/>
  <c r="QE40" i="4" s="1"/>
  <c r="QE42" i="4" s="1"/>
  <c r="QE43" i="4" s="1"/>
  <c r="QD9" i="4"/>
  <c r="QD11" i="4"/>
  <c r="QD47" i="4" s="1"/>
  <c r="QD39" i="4"/>
  <c r="QD40" i="4" s="1"/>
  <c r="QD42" i="4" s="1"/>
  <c r="QD43" i="4" s="1"/>
  <c r="RH31" i="3"/>
  <c r="QD32" i="3"/>
  <c r="QD34" i="3" s="1"/>
  <c r="QC7" i="4" s="1"/>
  <c r="PZ9" i="4"/>
  <c r="PZ11" i="4"/>
  <c r="PZ47" i="4" s="1"/>
  <c r="PZ39" i="4"/>
  <c r="PZ40" i="4" s="1"/>
  <c r="PZ42" i="4" s="1"/>
  <c r="PZ43" i="4" s="1"/>
  <c r="PY9" i="4"/>
  <c r="PY11" i="4"/>
  <c r="PY47" i="4" s="1"/>
  <c r="PY39" i="4"/>
  <c r="PY40" i="4" s="1"/>
  <c r="PY42" i="4" s="1"/>
  <c r="PY43" i="4" s="1"/>
  <c r="PX9" i="4"/>
  <c r="PX11" i="4"/>
  <c r="PX47" i="4" s="1"/>
  <c r="PX39" i="4"/>
  <c r="PX40" i="4" s="1"/>
  <c r="PX42" i="4" s="1"/>
  <c r="PX43" i="4" s="1"/>
  <c r="PW9" i="4"/>
  <c r="PW11" i="4"/>
  <c r="PW47" i="4" s="1"/>
  <c r="PW39" i="4"/>
  <c r="PW40" i="4" s="1"/>
  <c r="PW42" i="4" s="1"/>
  <c r="PW43" i="4" s="1"/>
  <c r="PV9" i="4"/>
  <c r="PV11" i="4"/>
  <c r="PV47" i="4" s="1"/>
  <c r="PV39" i="4"/>
  <c r="PV40" i="4" s="1"/>
  <c r="PV42" i="4" s="1"/>
  <c r="PV43" i="4" s="1"/>
  <c r="PU9" i="4"/>
  <c r="PU11" i="4"/>
  <c r="PU47" i="4" s="1"/>
  <c r="PU39" i="4"/>
  <c r="PU40" i="4" s="1"/>
  <c r="PU42" i="4" s="1"/>
  <c r="PU43" i="4" s="1"/>
  <c r="PT9" i="4"/>
  <c r="PT11" i="4"/>
  <c r="PT47" i="4" s="1"/>
  <c r="PT39" i="4"/>
  <c r="PT40" i="4" s="1"/>
  <c r="PT42" i="4" s="1"/>
  <c r="PT43" i="4" s="1"/>
  <c r="PS9" i="4"/>
  <c r="PS11" i="4"/>
  <c r="PS47" i="4" s="1"/>
  <c r="PS39" i="4"/>
  <c r="PS40" i="4" s="1"/>
  <c r="PS42" i="4" s="1"/>
  <c r="PS43" i="4" s="1"/>
  <c r="PR9" i="4"/>
  <c r="PR11" i="4"/>
  <c r="PR47" i="4" s="1"/>
  <c r="PR39" i="4"/>
  <c r="PR40" i="4" s="1"/>
  <c r="PR42" i="4" s="1"/>
  <c r="PR43" i="4" s="1"/>
  <c r="PQ9" i="4"/>
  <c r="PQ11" i="4"/>
  <c r="PQ47" i="4" s="1"/>
  <c r="PQ39" i="4"/>
  <c r="PQ40" i="4" s="1"/>
  <c r="PQ42" i="4" s="1"/>
  <c r="PQ43" i="4" s="1"/>
  <c r="PP9" i="4"/>
  <c r="PP11" i="4"/>
  <c r="PP47" i="4" s="1"/>
  <c r="PP39" i="4"/>
  <c r="PP40" i="4" s="1"/>
  <c r="PP42" i="4" s="1"/>
  <c r="PP43" i="4" s="1"/>
  <c r="PO9" i="4"/>
  <c r="PO11" i="4"/>
  <c r="PO47" i="4" s="1"/>
  <c r="PO39" i="4"/>
  <c r="PO40" i="4" s="1"/>
  <c r="PO42" i="4" s="1"/>
  <c r="PO43" i="4" s="1"/>
  <c r="PN9" i="4"/>
  <c r="PN11" i="4"/>
  <c r="PN47" i="4" s="1"/>
  <c r="PN39" i="4"/>
  <c r="PN40" i="4" s="1"/>
  <c r="PN42" i="4" s="1"/>
  <c r="PN43" i="4" s="1"/>
  <c r="PM9" i="4"/>
  <c r="PM11" i="4"/>
  <c r="PM47" i="4" s="1"/>
  <c r="PM39" i="4"/>
  <c r="PM40" i="4" s="1"/>
  <c r="PM42" i="4" s="1"/>
  <c r="PM43" i="4" s="1"/>
  <c r="PL9" i="4"/>
  <c r="PL11" i="4"/>
  <c r="PL47" i="4" s="1"/>
  <c r="PL39" i="4"/>
  <c r="PL40" i="4" s="1"/>
  <c r="PL42" i="4" s="1"/>
  <c r="PL43" i="4" s="1"/>
  <c r="PK9" i="4"/>
  <c r="PK11" i="4"/>
  <c r="PK47" i="4" s="1"/>
  <c r="PK39" i="4"/>
  <c r="PK40" i="4" s="1"/>
  <c r="PK42" i="4" s="1"/>
  <c r="PK43" i="4" s="1"/>
  <c r="PJ9" i="4"/>
  <c r="PJ11" i="4"/>
  <c r="PJ47" i="4" s="1"/>
  <c r="PJ39" i="4"/>
  <c r="PJ40" i="4" s="1"/>
  <c r="PJ42" i="4" s="1"/>
  <c r="PJ43" i="4" s="1"/>
  <c r="PI9" i="4"/>
  <c r="PI11" i="4"/>
  <c r="PI47" i="4" s="1"/>
  <c r="PI39" i="4"/>
  <c r="PI40" i="4" s="1"/>
  <c r="PI42" i="4" s="1"/>
  <c r="PI43" i="4" s="1"/>
  <c r="PH9" i="4"/>
  <c r="PH11" i="4"/>
  <c r="PH47" i="4" s="1"/>
  <c r="PH39" i="4"/>
  <c r="PH40" i="4" s="1"/>
  <c r="PH42" i="4" s="1"/>
  <c r="PH43" i="4" s="1"/>
  <c r="PG9" i="4"/>
  <c r="PG11" i="4"/>
  <c r="PG47" i="4" s="1"/>
  <c r="PG39" i="4"/>
  <c r="PG40" i="4" s="1"/>
  <c r="PG42" i="4" s="1"/>
  <c r="PG43" i="4" s="1"/>
  <c r="PF9" i="4"/>
  <c r="PF11" i="4"/>
  <c r="PF47" i="4" s="1"/>
  <c r="PF39" i="4"/>
  <c r="PF40" i="4" s="1"/>
  <c r="PF42" i="4" s="1"/>
  <c r="PF43" i="4" s="1"/>
  <c r="PE9" i="4"/>
  <c r="PE11" i="4"/>
  <c r="PE47" i="4" s="1"/>
  <c r="PE39" i="4"/>
  <c r="PE40" i="4" s="1"/>
  <c r="PE42" i="4" s="1"/>
  <c r="PE43" i="4" s="1"/>
  <c r="PD9" i="4"/>
  <c r="PD11" i="4"/>
  <c r="PD47" i="4" s="1"/>
  <c r="PD39" i="4"/>
  <c r="PD40" i="4" s="1"/>
  <c r="PD42" i="4" s="1"/>
  <c r="PD43" i="4" s="1"/>
  <c r="PC9" i="4"/>
  <c r="PC11" i="4"/>
  <c r="PC47" i="4" s="1"/>
  <c r="PC39" i="4"/>
  <c r="PC40" i="4" s="1"/>
  <c r="PC42" i="4" s="1"/>
  <c r="PC43" i="4" s="1"/>
  <c r="PB9" i="4"/>
  <c r="PB11" i="4"/>
  <c r="PB47" i="4" s="1"/>
  <c r="PB39" i="4"/>
  <c r="PB40" i="4" s="1"/>
  <c r="PB42" i="4" s="1"/>
  <c r="PB43" i="4" s="1"/>
  <c r="PA9" i="4"/>
  <c r="PA11" i="4"/>
  <c r="PA47" i="4" s="1"/>
  <c r="PA39" i="4"/>
  <c r="PA40" i="4" s="1"/>
  <c r="PA42" i="4" s="1"/>
  <c r="PA43" i="4" s="1"/>
  <c r="OZ9" i="4"/>
  <c r="OZ11" i="4"/>
  <c r="OZ47" i="4" s="1"/>
  <c r="OZ39" i="4"/>
  <c r="OZ40" i="4" s="1"/>
  <c r="OZ42" i="4" s="1"/>
  <c r="OZ43" i="4" s="1"/>
  <c r="OY9" i="4"/>
  <c r="OY11" i="4"/>
  <c r="OY47" i="4" s="1"/>
  <c r="OY39" i="4"/>
  <c r="OY40" i="4" s="1"/>
  <c r="OY42" i="4" s="1"/>
  <c r="OY43" i="4" s="1"/>
  <c r="OX9" i="4"/>
  <c r="OX11" i="4"/>
  <c r="OX47" i="4" s="1"/>
  <c r="OX39" i="4"/>
  <c r="OX40" i="4" s="1"/>
  <c r="OX42" i="4" s="1"/>
  <c r="OX43" i="4" s="1"/>
  <c r="QB31" i="3"/>
  <c r="OX32" i="3"/>
  <c r="OX34" i="3" s="1"/>
  <c r="OW7" i="4" s="1"/>
  <c r="OU9" i="4"/>
  <c r="OU11" i="4"/>
  <c r="OU47" i="4" s="1"/>
  <c r="OU39" i="4"/>
  <c r="OU40" i="4" s="1"/>
  <c r="OU42" i="4" s="1"/>
  <c r="OU43" i="4" s="1"/>
  <c r="OT9" i="4"/>
  <c r="OT11" i="4"/>
  <c r="OT47" i="4" s="1"/>
  <c r="OT39" i="4"/>
  <c r="OT40" i="4" s="1"/>
  <c r="OT42" i="4" s="1"/>
  <c r="OT43" i="4" s="1"/>
  <c r="OS9" i="4"/>
  <c r="OS11" i="4"/>
  <c r="OS47" i="4" s="1"/>
  <c r="OS39" i="4"/>
  <c r="OS40" i="4" s="1"/>
  <c r="OS42" i="4" s="1"/>
  <c r="OS43" i="4" s="1"/>
  <c r="OR9" i="4"/>
  <c r="OR11" i="4"/>
  <c r="OR47" i="4" s="1"/>
  <c r="OR39" i="4"/>
  <c r="OR40" i="4" s="1"/>
  <c r="OR42" i="4" s="1"/>
  <c r="OR43" i="4" s="1"/>
  <c r="OQ9" i="4"/>
  <c r="OQ11" i="4"/>
  <c r="OQ47" i="4" s="1"/>
  <c r="OQ39" i="4"/>
  <c r="OQ40" i="4" s="1"/>
  <c r="OQ42" i="4" s="1"/>
  <c r="OQ43" i="4" s="1"/>
  <c r="OP9" i="4"/>
  <c r="OP11" i="4"/>
  <c r="OP47" i="4" s="1"/>
  <c r="OP39" i="4"/>
  <c r="OP40" i="4" s="1"/>
  <c r="OP42" i="4" s="1"/>
  <c r="OP43" i="4" s="1"/>
  <c r="OO9" i="4"/>
  <c r="OO11" i="4"/>
  <c r="OO47" i="4" s="1"/>
  <c r="OO39" i="4"/>
  <c r="OO40" i="4" s="1"/>
  <c r="OO42" i="4" s="1"/>
  <c r="OO43" i="4" s="1"/>
  <c r="ON9" i="4"/>
  <c r="ON11" i="4"/>
  <c r="ON47" i="4" s="1"/>
  <c r="ON39" i="4"/>
  <c r="ON40" i="4" s="1"/>
  <c r="ON42" i="4" s="1"/>
  <c r="ON43" i="4" s="1"/>
  <c r="OM9" i="4"/>
  <c r="OM11" i="4"/>
  <c r="OM47" i="4" s="1"/>
  <c r="OM39" i="4"/>
  <c r="OM40" i="4" s="1"/>
  <c r="OM42" i="4" s="1"/>
  <c r="OM43" i="4" s="1"/>
  <c r="OL9" i="4"/>
  <c r="OL11" i="4"/>
  <c r="OL47" i="4" s="1"/>
  <c r="OL39" i="4"/>
  <c r="OL40" i="4" s="1"/>
  <c r="OL42" i="4" s="1"/>
  <c r="OL43" i="4" s="1"/>
  <c r="OK9" i="4"/>
  <c r="OK11" i="4"/>
  <c r="OK47" i="4" s="1"/>
  <c r="OK39" i="4"/>
  <c r="OK40" i="4" s="1"/>
  <c r="OK42" i="4" s="1"/>
  <c r="OK43" i="4" s="1"/>
  <c r="OJ9" i="4"/>
  <c r="OJ11" i="4"/>
  <c r="OJ47" i="4" s="1"/>
  <c r="OJ39" i="4"/>
  <c r="OJ40" i="4" s="1"/>
  <c r="OJ42" i="4" s="1"/>
  <c r="OJ43" i="4" s="1"/>
  <c r="OI9" i="4"/>
  <c r="OI11" i="4"/>
  <c r="OI47" i="4" s="1"/>
  <c r="OI39" i="4"/>
  <c r="OI40" i="4" s="1"/>
  <c r="OI42" i="4" s="1"/>
  <c r="OI43" i="4" s="1"/>
  <c r="OH9" i="4"/>
  <c r="OH11" i="4"/>
  <c r="OH47" i="4" s="1"/>
  <c r="OH39" i="4"/>
  <c r="OH40" i="4" s="1"/>
  <c r="OH42" i="4" s="1"/>
  <c r="OH43" i="4" s="1"/>
  <c r="OG9" i="4"/>
  <c r="OG11" i="4"/>
  <c r="OG47" i="4" s="1"/>
  <c r="OG39" i="4"/>
  <c r="OG40" i="4" s="1"/>
  <c r="OG42" i="4" s="1"/>
  <c r="OG43" i="4" s="1"/>
  <c r="OF9" i="4"/>
  <c r="OF11" i="4"/>
  <c r="OF47" i="4" s="1"/>
  <c r="OF39" i="4"/>
  <c r="OF40" i="4" s="1"/>
  <c r="OF42" i="4" s="1"/>
  <c r="OF43" i="4" s="1"/>
  <c r="OE9" i="4"/>
  <c r="OE11" i="4"/>
  <c r="OE47" i="4" s="1"/>
  <c r="OE39" i="4"/>
  <c r="OE40" i="4" s="1"/>
  <c r="OE42" i="4" s="1"/>
  <c r="OE43" i="4" s="1"/>
  <c r="OD9" i="4"/>
  <c r="OD11" i="4"/>
  <c r="OD47" i="4" s="1"/>
  <c r="OD39" i="4"/>
  <c r="OD40" i="4" s="1"/>
  <c r="OD42" i="4" s="1"/>
  <c r="OD43" i="4" s="1"/>
  <c r="OC9" i="4"/>
  <c r="OC11" i="4"/>
  <c r="OC47" i="4" s="1"/>
  <c r="OC39" i="4"/>
  <c r="OC40" i="4" s="1"/>
  <c r="OC42" i="4" s="1"/>
  <c r="OC43" i="4" s="1"/>
  <c r="OB9" i="4"/>
  <c r="OB11" i="4"/>
  <c r="OB47" i="4" s="1"/>
  <c r="OB39" i="4"/>
  <c r="OB40" i="4" s="1"/>
  <c r="OB42" i="4" s="1"/>
  <c r="OB43" i="4" s="1"/>
  <c r="OA9" i="4"/>
  <c r="OA11" i="4"/>
  <c r="OA47" i="4" s="1"/>
  <c r="OA39" i="4"/>
  <c r="OA40" i="4" s="1"/>
  <c r="OA42" i="4" s="1"/>
  <c r="OA43" i="4" s="1"/>
  <c r="NZ9" i="4"/>
  <c r="NZ11" i="4"/>
  <c r="NZ47" i="4" s="1"/>
  <c r="NZ39" i="4"/>
  <c r="NZ40" i="4" s="1"/>
  <c r="NZ42" i="4" s="1"/>
  <c r="NZ43" i="4" s="1"/>
  <c r="NY9" i="4"/>
  <c r="NY11" i="4"/>
  <c r="NY47" i="4" s="1"/>
  <c r="NY39" i="4"/>
  <c r="NY40" i="4" s="1"/>
  <c r="NY42" i="4" s="1"/>
  <c r="NY43" i="4" s="1"/>
  <c r="NX9" i="4"/>
  <c r="NX11" i="4"/>
  <c r="NX47" i="4" s="1"/>
  <c r="NX39" i="4"/>
  <c r="NX40" i="4" s="1"/>
  <c r="NX42" i="4" s="1"/>
  <c r="NX43" i="4" s="1"/>
  <c r="NW9" i="4"/>
  <c r="NW11" i="4"/>
  <c r="NW47" i="4" s="1"/>
  <c r="NW39" i="4"/>
  <c r="NW40" i="4" s="1"/>
  <c r="NW42" i="4" s="1"/>
  <c r="NW43" i="4" s="1"/>
  <c r="NV9" i="4"/>
  <c r="NV11" i="4"/>
  <c r="NV47" i="4" s="1"/>
  <c r="NV39" i="4"/>
  <c r="NV40" i="4" s="1"/>
  <c r="NV42" i="4" s="1"/>
  <c r="NV43" i="4" s="1"/>
  <c r="NU9" i="4"/>
  <c r="NU11" i="4"/>
  <c r="NU47" i="4" s="1"/>
  <c r="NU39" i="4"/>
  <c r="NU40" i="4" s="1"/>
  <c r="NU42" i="4" s="1"/>
  <c r="NU43" i="4" s="1"/>
  <c r="NT9" i="4"/>
  <c r="NT11" i="4"/>
  <c r="NT47" i="4" s="1"/>
  <c r="NT39" i="4"/>
  <c r="NT40" i="4" s="1"/>
  <c r="NT42" i="4" s="1"/>
  <c r="NT43" i="4" s="1"/>
  <c r="NS9" i="4"/>
  <c r="NS11" i="4"/>
  <c r="NS47" i="4" s="1"/>
  <c r="NS39" i="4"/>
  <c r="NS40" i="4" s="1"/>
  <c r="NS42" i="4" s="1"/>
  <c r="NS43" i="4" s="1"/>
  <c r="OW31" i="3"/>
  <c r="OW34" i="3" s="1"/>
  <c r="NS32" i="3"/>
  <c r="NS34" i="3" s="1"/>
  <c r="NR7" i="4" s="1"/>
  <c r="OW32" i="3"/>
  <c r="NR34" i="3"/>
  <c r="NQ7" i="4" s="1"/>
  <c r="NO9" i="4"/>
  <c r="NO11" i="4"/>
  <c r="NO47" i="4" s="1"/>
  <c r="NO39" i="4"/>
  <c r="NO40" i="4" s="1"/>
  <c r="NO42" i="4" s="1"/>
  <c r="NO43" i="4" s="1"/>
  <c r="NN9" i="4"/>
  <c r="NN11" i="4"/>
  <c r="NN47" i="4" s="1"/>
  <c r="NN39" i="4"/>
  <c r="NN40" i="4" s="1"/>
  <c r="NN42" i="4" s="1"/>
  <c r="NN43" i="4" s="1"/>
  <c r="NM9" i="4"/>
  <c r="NM11" i="4"/>
  <c r="NM47" i="4" s="1"/>
  <c r="NM39" i="4"/>
  <c r="NM40" i="4" s="1"/>
  <c r="NM42" i="4" s="1"/>
  <c r="NM43" i="4" s="1"/>
  <c r="NL9" i="4"/>
  <c r="NL11" i="4"/>
  <c r="NL47" i="4" s="1"/>
  <c r="NL39" i="4"/>
  <c r="NL40" i="4" s="1"/>
  <c r="NL42" i="4" s="1"/>
  <c r="NL43" i="4" s="1"/>
  <c r="NK9" i="4"/>
  <c r="NK11" i="4"/>
  <c r="NK47" i="4" s="1"/>
  <c r="NK39" i="4"/>
  <c r="NK40" i="4" s="1"/>
  <c r="NK42" i="4" s="1"/>
  <c r="NK43" i="4" s="1"/>
  <c r="NJ9" i="4"/>
  <c r="NJ11" i="4"/>
  <c r="NJ47" i="4" s="1"/>
  <c r="NJ39" i="4"/>
  <c r="NJ40" i="4" s="1"/>
  <c r="NJ42" i="4" s="1"/>
  <c r="NJ43" i="4" s="1"/>
  <c r="NI9" i="4"/>
  <c r="NI11" i="4"/>
  <c r="NI47" i="4" s="1"/>
  <c r="NI39" i="4"/>
  <c r="NI40" i="4" s="1"/>
  <c r="NI42" i="4" s="1"/>
  <c r="NI43" i="4" s="1"/>
  <c r="NH9" i="4"/>
  <c r="NH11" i="4"/>
  <c r="NH47" i="4" s="1"/>
  <c r="NH39" i="4"/>
  <c r="NH40" i="4" s="1"/>
  <c r="NH42" i="4" s="1"/>
  <c r="NH43" i="4" s="1"/>
  <c r="NG9" i="4"/>
  <c r="NG11" i="4"/>
  <c r="NG47" i="4" s="1"/>
  <c r="NG39" i="4"/>
  <c r="NG40" i="4" s="1"/>
  <c r="NG42" i="4" s="1"/>
  <c r="NG43" i="4" s="1"/>
  <c r="NF9" i="4"/>
  <c r="NF11" i="4"/>
  <c r="NF47" i="4" s="1"/>
  <c r="NF39" i="4"/>
  <c r="NF40" i="4" s="1"/>
  <c r="NF42" i="4" s="1"/>
  <c r="NF43" i="4" s="1"/>
  <c r="NE9" i="4"/>
  <c r="NE11" i="4"/>
  <c r="NE47" i="4" s="1"/>
  <c r="NE39" i="4"/>
  <c r="NE40" i="4" s="1"/>
  <c r="NE42" i="4" s="1"/>
  <c r="NE43" i="4" s="1"/>
  <c r="ND9" i="4"/>
  <c r="ND11" i="4"/>
  <c r="ND47" i="4" s="1"/>
  <c r="ND39" i="4"/>
  <c r="ND40" i="4" s="1"/>
  <c r="ND42" i="4" s="1"/>
  <c r="ND43" i="4" s="1"/>
  <c r="NC9" i="4"/>
  <c r="NC11" i="4"/>
  <c r="NC47" i="4" s="1"/>
  <c r="NC39" i="4"/>
  <c r="NC40" i="4" s="1"/>
  <c r="NC42" i="4" s="1"/>
  <c r="NC43" i="4" s="1"/>
  <c r="NB9" i="4"/>
  <c r="NB11" i="4"/>
  <c r="NB47" i="4" s="1"/>
  <c r="NB39" i="4"/>
  <c r="NB40" i="4" s="1"/>
  <c r="NB42" i="4" s="1"/>
  <c r="NB43" i="4" s="1"/>
  <c r="NA9" i="4"/>
  <c r="NA11" i="4"/>
  <c r="NA47" i="4" s="1"/>
  <c r="NA39" i="4"/>
  <c r="NA40" i="4" s="1"/>
  <c r="NA42" i="4" s="1"/>
  <c r="NA43" i="4" s="1"/>
  <c r="MZ9" i="4"/>
  <c r="MZ11" i="4"/>
  <c r="MZ47" i="4" s="1"/>
  <c r="MZ39" i="4"/>
  <c r="MZ40" i="4" s="1"/>
  <c r="MZ42" i="4" s="1"/>
  <c r="MZ43" i="4" s="1"/>
  <c r="MY9" i="4"/>
  <c r="MY11" i="4"/>
  <c r="MY47" i="4" s="1"/>
  <c r="MY39" i="4"/>
  <c r="MY40" i="4" s="1"/>
  <c r="MY42" i="4" s="1"/>
  <c r="MY43" i="4" s="1"/>
  <c r="MX9" i="4"/>
  <c r="MX11" i="4"/>
  <c r="MX47" i="4" s="1"/>
  <c r="MX39" i="4"/>
  <c r="MX40" i="4" s="1"/>
  <c r="MX42" i="4" s="1"/>
  <c r="MX43" i="4" s="1"/>
  <c r="MW9" i="4"/>
  <c r="MW11" i="4"/>
  <c r="MW47" i="4" s="1"/>
  <c r="MW39" i="4"/>
  <c r="MW40" i="4" s="1"/>
  <c r="MW42" i="4" s="1"/>
  <c r="MW43" i="4" s="1"/>
  <c r="MV9" i="4"/>
  <c r="MV11" i="4"/>
  <c r="MV47" i="4" s="1"/>
  <c r="MV39" i="4"/>
  <c r="MV40" i="4" s="1"/>
  <c r="MV42" i="4" s="1"/>
  <c r="MV43" i="4" s="1"/>
  <c r="MU9" i="4"/>
  <c r="MU11" i="4"/>
  <c r="MU47" i="4" s="1"/>
  <c r="MU39" i="4"/>
  <c r="MU40" i="4" s="1"/>
  <c r="MU42" i="4" s="1"/>
  <c r="MU43" i="4" s="1"/>
  <c r="MT9" i="4"/>
  <c r="MT11" i="4"/>
  <c r="MT47" i="4" s="1"/>
  <c r="MT39" i="4"/>
  <c r="MT40" i="4" s="1"/>
  <c r="MT42" i="4" s="1"/>
  <c r="MT43" i="4" s="1"/>
  <c r="MS9" i="4"/>
  <c r="MS11" i="4"/>
  <c r="MS47" i="4" s="1"/>
  <c r="MS39" i="4"/>
  <c r="MS40" i="4" s="1"/>
  <c r="MS42" i="4" s="1"/>
  <c r="MS43" i="4" s="1"/>
  <c r="MR9" i="4"/>
  <c r="MR11" i="4"/>
  <c r="MR47" i="4" s="1"/>
  <c r="MR39" i="4"/>
  <c r="MR40" i="4" s="1"/>
  <c r="MR42" i="4" s="1"/>
  <c r="MR43" i="4" s="1"/>
  <c r="MQ9" i="4"/>
  <c r="MQ11" i="4"/>
  <c r="MQ47" i="4" s="1"/>
  <c r="MQ39" i="4"/>
  <c r="MQ40" i="4" s="1"/>
  <c r="MQ42" i="4" s="1"/>
  <c r="MQ43" i="4" s="1"/>
  <c r="MP9" i="4"/>
  <c r="MP11" i="4"/>
  <c r="MP47" i="4" s="1"/>
  <c r="MP39" i="4"/>
  <c r="MP40" i="4" s="1"/>
  <c r="MP42" i="4" s="1"/>
  <c r="MP43" i="4" s="1"/>
  <c r="MO9" i="4"/>
  <c r="MO11" i="4"/>
  <c r="MO47" i="4" s="1"/>
  <c r="MO39" i="4"/>
  <c r="MO40" i="4" s="1"/>
  <c r="MO42" i="4" s="1"/>
  <c r="MO43" i="4" s="1"/>
  <c r="MN9" i="4"/>
  <c r="MN11" i="4"/>
  <c r="MN47" i="4" s="1"/>
  <c r="MN39" i="4"/>
  <c r="MN40" i="4" s="1"/>
  <c r="MN42" i="4" s="1"/>
  <c r="MN43" i="4" s="1"/>
  <c r="MM9" i="4"/>
  <c r="MM11" i="4"/>
  <c r="MM47" i="4" s="1"/>
  <c r="MM39" i="4"/>
  <c r="MM40" i="4" s="1"/>
  <c r="MM42" i="4" s="1"/>
  <c r="MM43" i="4" s="1"/>
  <c r="NQ31" i="3"/>
  <c r="NQ34" i="3" s="1"/>
  <c r="MM32" i="3"/>
  <c r="MM34" i="3" s="1"/>
  <c r="ML7" i="4" s="1"/>
  <c r="NQ32" i="3"/>
  <c r="ML34" i="3"/>
  <c r="MK7" i="4" s="1"/>
  <c r="MI9" i="4"/>
  <c r="MI11" i="4"/>
  <c r="MI47" i="4" s="1"/>
  <c r="MI39" i="4"/>
  <c r="MI40" i="4" s="1"/>
  <c r="MI42" i="4" s="1"/>
  <c r="MI43" i="4" s="1"/>
  <c r="MH9" i="4"/>
  <c r="MH11" i="4"/>
  <c r="MH47" i="4" s="1"/>
  <c r="MH39" i="4"/>
  <c r="MH40" i="4" s="1"/>
  <c r="MH42" i="4" s="1"/>
  <c r="MH43" i="4" s="1"/>
  <c r="MG9" i="4"/>
  <c r="MG11" i="4"/>
  <c r="MG47" i="4" s="1"/>
  <c r="MG39" i="4"/>
  <c r="MG40" i="4" s="1"/>
  <c r="MG42" i="4" s="1"/>
  <c r="MG43" i="4" s="1"/>
  <c r="MF9" i="4"/>
  <c r="MF11" i="4"/>
  <c r="MF47" i="4" s="1"/>
  <c r="MF39" i="4"/>
  <c r="MF40" i="4" s="1"/>
  <c r="MF42" i="4" s="1"/>
  <c r="MF43" i="4" s="1"/>
  <c r="ME9" i="4"/>
  <c r="ME11" i="4"/>
  <c r="ME47" i="4" s="1"/>
  <c r="ME39" i="4"/>
  <c r="ME40" i="4" s="1"/>
  <c r="ME42" i="4" s="1"/>
  <c r="ME43" i="4" s="1"/>
  <c r="MD9" i="4"/>
  <c r="MD11" i="4"/>
  <c r="MD47" i="4" s="1"/>
  <c r="MD39" i="4"/>
  <c r="MD40" i="4" s="1"/>
  <c r="MD42" i="4" s="1"/>
  <c r="MD43" i="4" s="1"/>
  <c r="MC9" i="4"/>
  <c r="MC11" i="4"/>
  <c r="MC47" i="4" s="1"/>
  <c r="MC39" i="4"/>
  <c r="MC40" i="4" s="1"/>
  <c r="MC42" i="4" s="1"/>
  <c r="MC43" i="4" s="1"/>
  <c r="MB9" i="4"/>
  <c r="MB11" i="4"/>
  <c r="MB47" i="4" s="1"/>
  <c r="MB39" i="4"/>
  <c r="MB40" i="4" s="1"/>
  <c r="MB42" i="4" s="1"/>
  <c r="MB43" i="4" s="1"/>
  <c r="MA9" i="4"/>
  <c r="MA11" i="4"/>
  <c r="MA47" i="4" s="1"/>
  <c r="MA39" i="4"/>
  <c r="MA40" i="4" s="1"/>
  <c r="MA42" i="4" s="1"/>
  <c r="MA43" i="4" s="1"/>
  <c r="LZ9" i="4"/>
  <c r="LZ11" i="4"/>
  <c r="LZ47" i="4" s="1"/>
  <c r="LZ39" i="4"/>
  <c r="LZ40" i="4" s="1"/>
  <c r="LZ42" i="4" s="1"/>
  <c r="LZ43" i="4" s="1"/>
  <c r="LY9" i="4"/>
  <c r="LY11" i="4"/>
  <c r="LY47" i="4" s="1"/>
  <c r="LY39" i="4"/>
  <c r="LY40" i="4" s="1"/>
  <c r="LY42" i="4" s="1"/>
  <c r="LY43" i="4" s="1"/>
  <c r="LX9" i="4"/>
  <c r="LX11" i="4"/>
  <c r="LX47" i="4" s="1"/>
  <c r="LX39" i="4"/>
  <c r="LX40" i="4" s="1"/>
  <c r="LX42" i="4" s="1"/>
  <c r="LX43" i="4" s="1"/>
  <c r="LW9" i="4"/>
  <c r="LW11" i="4"/>
  <c r="LW47" i="4" s="1"/>
  <c r="LW39" i="4"/>
  <c r="LW40" i="4" s="1"/>
  <c r="LW42" i="4" s="1"/>
  <c r="LW43" i="4" s="1"/>
  <c r="LV9" i="4"/>
  <c r="LV11" i="4"/>
  <c r="LV47" i="4" s="1"/>
  <c r="LV39" i="4"/>
  <c r="LV40" i="4" s="1"/>
  <c r="LV42" i="4" s="1"/>
  <c r="LV43" i="4" s="1"/>
  <c r="LU9" i="4"/>
  <c r="LU39" i="4"/>
  <c r="LU40" i="4" s="1"/>
  <c r="LU42" i="4" s="1"/>
  <c r="LU43" i="4" s="1"/>
  <c r="LT9" i="4"/>
  <c r="LT39" i="4"/>
  <c r="LT40" i="4" s="1"/>
  <c r="LT42" i="4" s="1"/>
  <c r="LT43" i="4" s="1"/>
  <c r="LS9" i="4"/>
  <c r="LS39" i="4"/>
  <c r="LS40" i="4" s="1"/>
  <c r="LS42" i="4" s="1"/>
  <c r="LS43" i="4" s="1"/>
  <c r="LR9" i="4"/>
  <c r="LR39" i="4"/>
  <c r="LR40" i="4" s="1"/>
  <c r="LR42" i="4" s="1"/>
  <c r="LR43" i="4" s="1"/>
  <c r="LQ9" i="4"/>
  <c r="LQ39" i="4"/>
  <c r="LQ40" i="4" s="1"/>
  <c r="LQ42" i="4" s="1"/>
  <c r="LQ43" i="4" s="1"/>
  <c r="LP9" i="4"/>
  <c r="LP39" i="4"/>
  <c r="LP40" i="4" s="1"/>
  <c r="LP42" i="4" s="1"/>
  <c r="LP43" i="4" s="1"/>
  <c r="LO9" i="4"/>
  <c r="LO39" i="4"/>
  <c r="LO40" i="4" s="1"/>
  <c r="LO42" i="4" s="1"/>
  <c r="LO43" i="4" s="1"/>
  <c r="LN9" i="4"/>
  <c r="LN39" i="4"/>
  <c r="LN40" i="4" s="1"/>
  <c r="LN42" i="4" s="1"/>
  <c r="LN43" i="4" s="1"/>
  <c r="LM9" i="4"/>
  <c r="LM39" i="4"/>
  <c r="LM40" i="4" s="1"/>
  <c r="LM42" i="4" s="1"/>
  <c r="LM43" i="4" s="1"/>
  <c r="LL9" i="4"/>
  <c r="LL39" i="4"/>
  <c r="LL40" i="4" s="1"/>
  <c r="LL42" i="4" s="1"/>
  <c r="LL43" i="4" s="1"/>
  <c r="LK9" i="4"/>
  <c r="LK39" i="4"/>
  <c r="LK40" i="4" s="1"/>
  <c r="LK42" i="4" s="1"/>
  <c r="LK43" i="4" s="1"/>
  <c r="LJ9" i="4"/>
  <c r="LJ39" i="4"/>
  <c r="LJ40" i="4" s="1"/>
  <c r="LJ42" i="4" s="1"/>
  <c r="LJ43" i="4" s="1"/>
  <c r="LI9" i="4"/>
  <c r="LI39" i="4"/>
  <c r="LI40" i="4" s="1"/>
  <c r="LI42" i="4" s="1"/>
  <c r="LI43" i="4" s="1"/>
  <c r="LH9" i="4"/>
  <c r="LH39" i="4"/>
  <c r="LH40" i="4" s="1"/>
  <c r="LH42" i="4" s="1"/>
  <c r="LH43" i="4" s="1"/>
  <c r="LG9" i="4"/>
  <c r="LG39" i="4"/>
  <c r="LG40" i="4" s="1"/>
  <c r="LG42" i="4" s="1"/>
  <c r="LG43" i="4" s="1"/>
  <c r="MK31" i="3"/>
  <c r="LG32" i="3"/>
  <c r="LG34" i="3" s="1"/>
  <c r="LF7" i="4" s="1"/>
  <c r="LD9" i="4"/>
  <c r="LD39" i="4"/>
  <c r="LD40" i="4" s="1"/>
  <c r="LD42" i="4" s="1"/>
  <c r="LD43" i="4" s="1"/>
  <c r="LC9" i="4"/>
  <c r="LC39" i="4"/>
  <c r="LC40" i="4" s="1"/>
  <c r="LC42" i="4" s="1"/>
  <c r="LC43" i="4" s="1"/>
  <c r="LB9" i="4"/>
  <c r="LB39" i="4"/>
  <c r="LB40" i="4" s="1"/>
  <c r="LB42" i="4" s="1"/>
  <c r="LB43" i="4" s="1"/>
  <c r="LA9" i="4"/>
  <c r="LA39" i="4"/>
  <c r="LA40" i="4" s="1"/>
  <c r="LA42" i="4" s="1"/>
  <c r="LA43" i="4" s="1"/>
  <c r="KZ9" i="4"/>
  <c r="KZ39" i="4"/>
  <c r="KZ40" i="4" s="1"/>
  <c r="KZ42" i="4" s="1"/>
  <c r="KZ43" i="4" s="1"/>
  <c r="KY9" i="4"/>
  <c r="KY39" i="4"/>
  <c r="KY40" i="4" s="1"/>
  <c r="KY42" i="4" s="1"/>
  <c r="KY43" i="4" s="1"/>
  <c r="KX9" i="4"/>
  <c r="KX39" i="4"/>
  <c r="KX40" i="4" s="1"/>
  <c r="KX42" i="4" s="1"/>
  <c r="KX43" i="4" s="1"/>
  <c r="KW9" i="4"/>
  <c r="KW39" i="4"/>
  <c r="KW40" i="4" s="1"/>
  <c r="KW42" i="4" s="1"/>
  <c r="KW43" i="4" s="1"/>
  <c r="KV9" i="4"/>
  <c r="KV39" i="4"/>
  <c r="KV40" i="4" s="1"/>
  <c r="KV42" i="4" s="1"/>
  <c r="KV43" i="4" s="1"/>
  <c r="KU9" i="4"/>
  <c r="KU39" i="4"/>
  <c r="KU40" i="4" s="1"/>
  <c r="KU42" i="4" s="1"/>
  <c r="KU43" i="4" s="1"/>
  <c r="KT9" i="4"/>
  <c r="KT39" i="4"/>
  <c r="KT40" i="4" s="1"/>
  <c r="KT42" i="4" s="1"/>
  <c r="KT43" i="4" s="1"/>
  <c r="KS9" i="4"/>
  <c r="KS39" i="4"/>
  <c r="KS40" i="4" s="1"/>
  <c r="KS42" i="4" s="1"/>
  <c r="KS43" i="4" s="1"/>
  <c r="KR9" i="4"/>
  <c r="KR39" i="4"/>
  <c r="KR40" i="4" s="1"/>
  <c r="KR42" i="4" s="1"/>
  <c r="KR43" i="4" s="1"/>
  <c r="KQ9" i="4"/>
  <c r="KQ39" i="4"/>
  <c r="KQ40" i="4" s="1"/>
  <c r="KQ42" i="4" s="1"/>
  <c r="KQ43" i="4" s="1"/>
  <c r="KP9" i="4"/>
  <c r="KP39" i="4"/>
  <c r="KP40" i="4" s="1"/>
  <c r="KP42" i="4" s="1"/>
  <c r="KP43" i="4" s="1"/>
  <c r="KO9" i="4"/>
  <c r="KO39" i="4"/>
  <c r="KO40" i="4" s="1"/>
  <c r="KO42" i="4" s="1"/>
  <c r="KO43" i="4" s="1"/>
  <c r="KN9" i="4"/>
  <c r="KN39" i="4"/>
  <c r="KN40" i="4" s="1"/>
  <c r="KN42" i="4" s="1"/>
  <c r="KN43" i="4" s="1"/>
  <c r="KM9" i="4"/>
  <c r="KM11" i="4"/>
  <c r="KM47" i="4" s="1"/>
  <c r="KM39" i="4"/>
  <c r="KM40" i="4" s="1"/>
  <c r="KM42" i="4" s="1"/>
  <c r="KM43" i="4" s="1"/>
  <c r="KL9" i="4"/>
  <c r="KL11" i="4"/>
  <c r="KL47" i="4" s="1"/>
  <c r="KL39" i="4"/>
  <c r="KL40" i="4" s="1"/>
  <c r="KL42" i="4" s="1"/>
  <c r="KL43" i="4" s="1"/>
  <c r="KK9" i="4"/>
  <c r="KK11" i="4"/>
  <c r="KK47" i="4" s="1"/>
  <c r="KK39" i="4"/>
  <c r="KK40" i="4" s="1"/>
  <c r="KK42" i="4" s="1"/>
  <c r="KK43" i="4" s="1"/>
  <c r="KJ9" i="4"/>
  <c r="KJ11" i="4"/>
  <c r="KJ47" i="4" s="1"/>
  <c r="KJ39" i="4"/>
  <c r="KJ40" i="4" s="1"/>
  <c r="KJ42" i="4" s="1"/>
  <c r="KJ43" i="4" s="1"/>
  <c r="KI9" i="4"/>
  <c r="KI11" i="4"/>
  <c r="KI47" i="4" s="1"/>
  <c r="KI39" i="4"/>
  <c r="KI40" i="4" s="1"/>
  <c r="KI42" i="4" s="1"/>
  <c r="KI43" i="4" s="1"/>
  <c r="KH9" i="4"/>
  <c r="KH11" i="4"/>
  <c r="KH47" i="4" s="1"/>
  <c r="KH39" i="4"/>
  <c r="KH40" i="4" s="1"/>
  <c r="KH42" i="4" s="1"/>
  <c r="KH43" i="4" s="1"/>
  <c r="KG9" i="4"/>
  <c r="KG11" i="4"/>
  <c r="KG47" i="4" s="1"/>
  <c r="KG39" i="4"/>
  <c r="KG40" i="4" s="1"/>
  <c r="KG42" i="4" s="1"/>
  <c r="KG43" i="4" s="1"/>
  <c r="KF9" i="4"/>
  <c r="KF11" i="4"/>
  <c r="KF47" i="4" s="1"/>
  <c r="KF39" i="4"/>
  <c r="KF40" i="4" s="1"/>
  <c r="KF42" i="4" s="1"/>
  <c r="KF43" i="4" s="1"/>
  <c r="KE9" i="4"/>
  <c r="KE11" i="4"/>
  <c r="KE47" i="4" s="1"/>
  <c r="KE39" i="4"/>
  <c r="KE40" i="4" s="1"/>
  <c r="KE42" i="4" s="1"/>
  <c r="KE43" i="4" s="1"/>
  <c r="KD9" i="4"/>
  <c r="KD11" i="4"/>
  <c r="KD47" i="4" s="1"/>
  <c r="KD39" i="4"/>
  <c r="KD40" i="4" s="1"/>
  <c r="KD42" i="4" s="1"/>
  <c r="KD43" i="4" s="1"/>
  <c r="KC9" i="4"/>
  <c r="KC11" i="4"/>
  <c r="KC47" i="4" s="1"/>
  <c r="KC39" i="4"/>
  <c r="KC40" i="4" s="1"/>
  <c r="KC42" i="4" s="1"/>
  <c r="KC43" i="4" s="1"/>
  <c r="KB9" i="4"/>
  <c r="KB11" i="4"/>
  <c r="KB47" i="4" s="1"/>
  <c r="KB39" i="4"/>
  <c r="KB40" i="4" s="1"/>
  <c r="KB42" i="4" s="1"/>
  <c r="KB43" i="4" s="1"/>
  <c r="LF31" i="3"/>
  <c r="KB32" i="3"/>
  <c r="KB34" i="3" s="1"/>
  <c r="KA7" i="4" s="1"/>
  <c r="LF32" i="3"/>
  <c r="MK32" i="3" s="1"/>
  <c r="KA34" i="3"/>
  <c r="JZ7" i="4" s="1"/>
  <c r="JX9" i="4"/>
  <c r="JX11" i="4"/>
  <c r="JX47" i="4" s="1"/>
  <c r="JX39" i="4"/>
  <c r="JX40" i="4" s="1"/>
  <c r="JX42" i="4" s="1"/>
  <c r="JX43" i="4" s="1"/>
  <c r="JW9" i="4"/>
  <c r="JW11" i="4"/>
  <c r="JW47" i="4" s="1"/>
  <c r="JW39" i="4"/>
  <c r="JW40" i="4" s="1"/>
  <c r="JW42" i="4" s="1"/>
  <c r="JW43" i="4" s="1"/>
  <c r="JV9" i="4"/>
  <c r="JV11" i="4"/>
  <c r="JV47" i="4" s="1"/>
  <c r="JV39" i="4"/>
  <c r="JV40" i="4" s="1"/>
  <c r="JV42" i="4" s="1"/>
  <c r="JV43" i="4" s="1"/>
  <c r="JU9" i="4"/>
  <c r="JU11" i="4"/>
  <c r="JU47" i="4" s="1"/>
  <c r="JU39" i="4"/>
  <c r="JU40" i="4" s="1"/>
  <c r="JU42" i="4" s="1"/>
  <c r="JU43" i="4" s="1"/>
  <c r="JT9" i="4"/>
  <c r="JT11" i="4"/>
  <c r="JT47" i="4" s="1"/>
  <c r="JT39" i="4"/>
  <c r="JT40" i="4" s="1"/>
  <c r="JT42" i="4" s="1"/>
  <c r="JT43" i="4" s="1"/>
  <c r="JS9" i="4"/>
  <c r="JS11" i="4"/>
  <c r="JS47" i="4" s="1"/>
  <c r="JS39" i="4"/>
  <c r="JS40" i="4" s="1"/>
  <c r="JS42" i="4" s="1"/>
  <c r="JS43" i="4" s="1"/>
  <c r="JR9" i="4"/>
  <c r="JR11" i="4"/>
  <c r="JR47" i="4" s="1"/>
  <c r="JR39" i="4"/>
  <c r="JR40" i="4" s="1"/>
  <c r="JR42" i="4" s="1"/>
  <c r="JR43" i="4" s="1"/>
  <c r="JQ9" i="4"/>
  <c r="JQ11" i="4"/>
  <c r="JQ47" i="4" s="1"/>
  <c r="JQ39" i="4"/>
  <c r="JQ40" i="4" s="1"/>
  <c r="JQ42" i="4" s="1"/>
  <c r="JQ43" i="4" s="1"/>
  <c r="JP9" i="4"/>
  <c r="JP11" i="4"/>
  <c r="JP47" i="4" s="1"/>
  <c r="JP39" i="4"/>
  <c r="JP40" i="4" s="1"/>
  <c r="JP42" i="4" s="1"/>
  <c r="JP43" i="4" s="1"/>
  <c r="JO9" i="4"/>
  <c r="JO11" i="4"/>
  <c r="JO47" i="4" s="1"/>
  <c r="JO39" i="4"/>
  <c r="JO40" i="4" s="1"/>
  <c r="JO42" i="4" s="1"/>
  <c r="JO43" i="4" s="1"/>
  <c r="JN9" i="4"/>
  <c r="JN11" i="4"/>
  <c r="JN47" i="4" s="1"/>
  <c r="JN39" i="4"/>
  <c r="JN40" i="4" s="1"/>
  <c r="JN42" i="4" s="1"/>
  <c r="JN43" i="4" s="1"/>
  <c r="JM9" i="4"/>
  <c r="JM11" i="4"/>
  <c r="JM47" i="4" s="1"/>
  <c r="JM39" i="4"/>
  <c r="JM40" i="4" s="1"/>
  <c r="JM42" i="4" s="1"/>
  <c r="JM43" i="4" s="1"/>
  <c r="JL9" i="4"/>
  <c r="JL11" i="4"/>
  <c r="JL47" i="4" s="1"/>
  <c r="JL39" i="4"/>
  <c r="JL40" i="4" s="1"/>
  <c r="JL42" i="4" s="1"/>
  <c r="JL43" i="4" s="1"/>
  <c r="JK9" i="4"/>
  <c r="JK11" i="4"/>
  <c r="JK47" i="4" s="1"/>
  <c r="JK39" i="4"/>
  <c r="JK40" i="4" s="1"/>
  <c r="JK42" i="4" s="1"/>
  <c r="JK43" i="4" s="1"/>
  <c r="JJ9" i="4"/>
  <c r="JJ11" i="4"/>
  <c r="JJ47" i="4" s="1"/>
  <c r="JJ39" i="4"/>
  <c r="JJ40" i="4" s="1"/>
  <c r="JJ42" i="4" s="1"/>
  <c r="JJ43" i="4" s="1"/>
  <c r="JI9" i="4"/>
  <c r="JI11" i="4"/>
  <c r="JI47" i="4" s="1"/>
  <c r="JI39" i="4"/>
  <c r="JI40" i="4" s="1"/>
  <c r="JI42" i="4" s="1"/>
  <c r="JI43" i="4" s="1"/>
  <c r="JH9" i="4"/>
  <c r="JH11" i="4"/>
  <c r="JH47" i="4" s="1"/>
  <c r="JH39" i="4"/>
  <c r="JH40" i="4" s="1"/>
  <c r="JH42" i="4" s="1"/>
  <c r="JH43" i="4" s="1"/>
  <c r="JG9" i="4"/>
  <c r="JG11" i="4"/>
  <c r="JG47" i="4" s="1"/>
  <c r="JG39" i="4"/>
  <c r="JG40" i="4" s="1"/>
  <c r="JG42" i="4" s="1"/>
  <c r="JG43" i="4" s="1"/>
  <c r="JF9" i="4"/>
  <c r="JF11" i="4"/>
  <c r="JF47" i="4" s="1"/>
  <c r="JF39" i="4"/>
  <c r="JF40" i="4" s="1"/>
  <c r="JF42" i="4" s="1"/>
  <c r="JF43" i="4" s="1"/>
  <c r="JE9" i="4"/>
  <c r="JE11" i="4"/>
  <c r="JE47" i="4" s="1"/>
  <c r="JE39" i="4"/>
  <c r="JE40" i="4" s="1"/>
  <c r="JE42" i="4" s="1"/>
  <c r="JE43" i="4" s="1"/>
  <c r="JD9" i="4"/>
  <c r="JD11" i="4"/>
  <c r="JD47" i="4" s="1"/>
  <c r="JD39" i="4"/>
  <c r="JD40" i="4" s="1"/>
  <c r="JD42" i="4" s="1"/>
  <c r="JD43" i="4" s="1"/>
  <c r="JC9" i="4"/>
  <c r="JC11" i="4"/>
  <c r="JC47" i="4" s="1"/>
  <c r="JC39" i="4"/>
  <c r="JC40" i="4" s="1"/>
  <c r="JC42" i="4" s="1"/>
  <c r="JC43" i="4" s="1"/>
  <c r="JB9" i="4"/>
  <c r="JB11" i="4"/>
  <c r="JB47" i="4" s="1"/>
  <c r="JB39" i="4"/>
  <c r="JB40" i="4" s="1"/>
  <c r="JB42" i="4" s="1"/>
  <c r="JB43" i="4" s="1"/>
  <c r="JA9" i="4"/>
  <c r="JA11" i="4"/>
  <c r="JA47" i="4" s="1"/>
  <c r="JA39" i="4"/>
  <c r="JA40" i="4" s="1"/>
  <c r="JA42" i="4" s="1"/>
  <c r="JA43" i="4" s="1"/>
  <c r="IZ9" i="4"/>
  <c r="IZ11" i="4"/>
  <c r="IZ47" i="4" s="1"/>
  <c r="IZ39" i="4"/>
  <c r="IZ40" i="4" s="1"/>
  <c r="IZ42" i="4" s="1"/>
  <c r="IZ43" i="4" s="1"/>
  <c r="IY9" i="4"/>
  <c r="IY11" i="4"/>
  <c r="IY47" i="4" s="1"/>
  <c r="IY39" i="4"/>
  <c r="IY40" i="4" s="1"/>
  <c r="IY42" i="4" s="1"/>
  <c r="IY43" i="4" s="1"/>
  <c r="IX9" i="4"/>
  <c r="IX11" i="4"/>
  <c r="IX47" i="4" s="1"/>
  <c r="IX39" i="4"/>
  <c r="IX40" i="4" s="1"/>
  <c r="IX42" i="4" s="1"/>
  <c r="IX43" i="4" s="1"/>
  <c r="IW9" i="4"/>
  <c r="IW11" i="4"/>
  <c r="IW47" i="4" s="1"/>
  <c r="IW39" i="4"/>
  <c r="IW40" i="4" s="1"/>
  <c r="IW42" i="4" s="1"/>
  <c r="IW43" i="4" s="1"/>
  <c r="IV9" i="4"/>
  <c r="IV11" i="4"/>
  <c r="IV47" i="4" s="1"/>
  <c r="IV39" i="4"/>
  <c r="IV40" i="4" s="1"/>
  <c r="IV42" i="4" s="1"/>
  <c r="IV43" i="4" s="1"/>
  <c r="JZ31" i="3"/>
  <c r="JZ34" i="3" s="1"/>
  <c r="IV32" i="3"/>
  <c r="IV34" i="3" s="1"/>
  <c r="IU7" i="4" s="1"/>
  <c r="IU29" i="3"/>
  <c r="HP31" i="3"/>
  <c r="GL31" i="3"/>
  <c r="HO29" i="3"/>
  <c r="FF31" i="3"/>
  <c r="GK29" i="3"/>
  <c r="FE31" i="3"/>
  <c r="DZ32" i="3"/>
  <c r="DY31" i="3"/>
  <c r="CU32" i="3"/>
  <c r="CT31" i="3"/>
  <c r="BO32" i="3"/>
  <c r="BN31" i="3"/>
  <c r="AJ32" i="3"/>
  <c r="IU26" i="3"/>
  <c r="HP28" i="3"/>
  <c r="GL28" i="3"/>
  <c r="HO26" i="3"/>
  <c r="GK26" i="3"/>
  <c r="FF28" i="3"/>
  <c r="IU23" i="3"/>
  <c r="HP25" i="3"/>
  <c r="HO23" i="3"/>
  <c r="GL25" i="3"/>
  <c r="GK23" i="3"/>
  <c r="FF25" i="3"/>
  <c r="YM22" i="3"/>
  <c r="YM34" i="3" s="1"/>
  <c r="XH34" i="3"/>
  <c r="WB32" i="3"/>
  <c r="WB34" i="3"/>
  <c r="RH32" i="3"/>
  <c r="RH34" i="3"/>
  <c r="QB32" i="3"/>
  <c r="QB34" i="3"/>
  <c r="MK22" i="3"/>
  <c r="MK34" i="3" s="1"/>
  <c r="LF34" i="3"/>
  <c r="AI15" i="3"/>
  <c r="D16" i="3"/>
  <c r="D18" i="3" s="1"/>
  <c r="AMZ15" i="3"/>
  <c r="ALV16" i="3"/>
  <c r="ALV18" i="3" s="1"/>
  <c r="ALU15" i="3"/>
  <c r="AKP16" i="3"/>
  <c r="AKP18" i="3" s="1"/>
  <c r="AKO15" i="3"/>
  <c r="AJM16" i="3"/>
  <c r="AJM18" i="3" s="1"/>
  <c r="AJL15" i="3"/>
  <c r="AIG16" i="3"/>
  <c r="AIG18" i="3" s="1"/>
  <c r="AIF15" i="3"/>
  <c r="AHA16" i="3"/>
  <c r="AHA18" i="3" s="1"/>
  <c r="AGZ15" i="3"/>
  <c r="AFV16" i="3"/>
  <c r="AFV18" i="3" s="1"/>
  <c r="AFU15" i="3"/>
  <c r="AEP16" i="3"/>
  <c r="AEP18" i="3" s="1"/>
  <c r="AEO15" i="3"/>
  <c r="ADK16" i="3"/>
  <c r="ADK18" i="3" s="1"/>
  <c r="ADJ15" i="3"/>
  <c r="ACE16" i="3"/>
  <c r="ACE18" i="3" s="1"/>
  <c r="ACD15" i="3"/>
  <c r="AAY16" i="3"/>
  <c r="AAY18" i="3" s="1"/>
  <c r="AAX15" i="3"/>
  <c r="ZT16" i="3"/>
  <c r="ZT18" i="3" s="1"/>
  <c r="ZS15" i="3"/>
  <c r="YN16" i="3"/>
  <c r="YN18" i="3" s="1"/>
  <c r="XH15" i="3"/>
  <c r="YM15" i="3" s="1"/>
  <c r="WC16" i="3"/>
  <c r="WC18" i="3" s="1"/>
  <c r="WB15" i="3"/>
  <c r="WB18" i="3" s="1"/>
  <c r="UZ16" i="3"/>
  <c r="UZ18" i="3" s="1"/>
  <c r="UY4" i="4" s="1"/>
  <c r="UY15" i="3"/>
  <c r="UY18" i="3" s="1"/>
  <c r="TT16" i="3"/>
  <c r="TT18" i="3" s="1"/>
  <c r="TS4" i="4" s="1"/>
  <c r="TS15" i="3"/>
  <c r="TS18" i="3" s="1"/>
  <c r="SO16" i="3"/>
  <c r="SO18" i="3" s="1"/>
  <c r="SN4" i="4" s="1"/>
  <c r="SM15" i="3"/>
  <c r="SM18" i="3" s="1"/>
  <c r="RI16" i="3"/>
  <c r="RI18" i="3" s="1"/>
  <c r="RH4" i="4" s="1"/>
  <c r="RH15" i="3"/>
  <c r="RH18" i="3" s="1"/>
  <c r="QD16" i="3"/>
  <c r="QD18" i="3" s="1"/>
  <c r="QC4" i="4" s="1"/>
  <c r="QB15" i="3"/>
  <c r="QB18" i="3" s="1"/>
  <c r="OX16" i="3"/>
  <c r="OX18" i="3" s="1"/>
  <c r="OW4" i="4" s="1"/>
  <c r="OW15" i="3"/>
  <c r="OW18" i="3" s="1"/>
  <c r="NR16" i="3"/>
  <c r="NR18" i="3" s="1"/>
  <c r="NQ4" i="4" s="1"/>
  <c r="NQ15" i="3"/>
  <c r="NQ18" i="3" s="1"/>
  <c r="ML16" i="3"/>
  <c r="ML18" i="3" s="1"/>
  <c r="MK4" i="4" s="1"/>
  <c r="LF15" i="3"/>
  <c r="MK15" i="3" s="1"/>
  <c r="KA16" i="3"/>
  <c r="KA18" i="3" s="1"/>
  <c r="JZ4" i="4" s="1"/>
  <c r="JZ15" i="3"/>
  <c r="JZ18" i="3" s="1"/>
  <c r="IV16" i="3"/>
  <c r="IV18" i="3" s="1"/>
  <c r="IU4" i="4" s="1"/>
  <c r="HP15" i="3"/>
  <c r="IU13" i="3"/>
  <c r="HO13" i="3"/>
  <c r="GL15" i="3"/>
  <c r="GK13" i="3"/>
  <c r="FF15" i="3"/>
  <c r="FE15" i="3"/>
  <c r="DZ16" i="3"/>
  <c r="DY15" i="3"/>
  <c r="CU16" i="3"/>
  <c r="CU18" i="3" s="1"/>
  <c r="CT15" i="3"/>
  <c r="BO16" i="3"/>
  <c r="BN15" i="3"/>
  <c r="AJ16" i="3"/>
  <c r="HP12" i="3"/>
  <c r="IU10" i="3"/>
  <c r="HO10" i="3"/>
  <c r="GL12" i="3"/>
  <c r="FF12" i="3"/>
  <c r="GK10" i="3"/>
  <c r="HP9" i="3"/>
  <c r="IU7" i="3"/>
  <c r="GL9" i="3"/>
  <c r="HO7" i="3"/>
  <c r="GK7" i="3"/>
  <c r="FF9" i="3"/>
  <c r="AOC6" i="4"/>
  <c r="AOC32" i="4"/>
  <c r="AOC33" i="4" s="1"/>
  <c r="AOC35" i="4" s="1"/>
  <c r="AOC36" i="4" s="1"/>
  <c r="MK6" i="3"/>
  <c r="MK18" i="3" s="1"/>
  <c r="LF18" i="3"/>
  <c r="AL3" i="3"/>
  <c r="BP3" i="3"/>
  <c r="CU3" i="3" s="1"/>
  <c r="I13" i="5"/>
  <c r="VO10" i="5"/>
  <c r="VO13" i="5" s="1"/>
  <c r="VN10" i="5"/>
  <c r="VN13" i="5" s="1"/>
  <c r="VM10" i="5"/>
  <c r="VM13" i="5" s="1"/>
  <c r="VL10" i="5"/>
  <c r="VL13" i="5" s="1"/>
  <c r="VK10" i="5"/>
  <c r="VK13" i="5" s="1"/>
  <c r="VJ10" i="5"/>
  <c r="VJ13" i="5" s="1"/>
  <c r="VI10" i="5"/>
  <c r="VI13" i="5" s="1"/>
  <c r="VH10" i="5"/>
  <c r="VH13" i="5" s="1"/>
  <c r="VG10" i="5"/>
  <c r="VG13" i="5" s="1"/>
  <c r="VF10" i="5"/>
  <c r="VF13" i="5" s="1"/>
  <c r="VE10" i="5"/>
  <c r="VE13" i="5" s="1"/>
  <c r="VD10" i="5"/>
  <c r="VD13" i="5" s="1"/>
  <c r="VC10" i="5"/>
  <c r="VC13" i="5" s="1"/>
  <c r="VB10" i="5"/>
  <c r="VB13" i="5" s="1"/>
  <c r="VA10" i="5"/>
  <c r="VA13" i="5" s="1"/>
  <c r="UZ10" i="5"/>
  <c r="UZ13" i="5" s="1"/>
  <c r="UY10" i="5"/>
  <c r="UY13" i="5" s="1"/>
  <c r="UW10" i="5"/>
  <c r="UW13" i="5" s="1"/>
  <c r="UV10" i="5"/>
  <c r="UV13" i="5" s="1"/>
  <c r="UU10" i="5"/>
  <c r="UU13" i="5" s="1"/>
  <c r="UT10" i="5"/>
  <c r="UT13" i="5" s="1"/>
  <c r="US10" i="5"/>
  <c r="US13" i="5" s="1"/>
  <c r="UR10" i="5"/>
  <c r="UR13" i="5" s="1"/>
  <c r="UP10" i="5"/>
  <c r="UP13" i="5" s="1"/>
  <c r="UO10" i="5"/>
  <c r="UO13" i="5" s="1"/>
  <c r="UN10" i="5"/>
  <c r="UN13" i="5" s="1"/>
  <c r="UM10" i="5"/>
  <c r="UM13" i="5" s="1"/>
  <c r="UL10" i="5"/>
  <c r="UL13" i="5" s="1"/>
  <c r="UK10" i="5"/>
  <c r="UK13" i="5" s="1"/>
  <c r="UJ10" i="5"/>
  <c r="UJ13" i="5" s="1"/>
  <c r="UI10" i="5"/>
  <c r="UI13" i="5" s="1"/>
  <c r="UH10" i="5"/>
  <c r="UH13" i="5" s="1"/>
  <c r="UG10" i="5"/>
  <c r="UG13" i="5" s="1"/>
  <c r="UF10" i="5"/>
  <c r="UF13" i="5" s="1"/>
  <c r="UE10" i="5"/>
  <c r="UE13" i="5" s="1"/>
  <c r="UD10" i="5"/>
  <c r="UD13" i="5" s="1"/>
  <c r="UC10" i="5"/>
  <c r="UC13" i="5" s="1"/>
  <c r="UB10" i="5"/>
  <c r="UB13" i="5" s="1"/>
  <c r="UA10" i="5"/>
  <c r="UA13" i="5" s="1"/>
  <c r="TZ10" i="5"/>
  <c r="TZ13" i="5" s="1"/>
  <c r="TY10" i="5"/>
  <c r="TY13" i="5" s="1"/>
  <c r="TX10" i="5"/>
  <c r="TX13" i="5" s="1"/>
  <c r="TW10" i="5"/>
  <c r="TW13" i="5" s="1"/>
  <c r="TV10" i="5"/>
  <c r="TV13" i="5" s="1"/>
  <c r="TU10" i="5"/>
  <c r="TU13" i="5" s="1"/>
  <c r="TT10" i="5"/>
  <c r="TT13" i="5" s="1"/>
  <c r="TS10" i="5"/>
  <c r="TS13" i="5" s="1"/>
  <c r="TQ10" i="5"/>
  <c r="TQ13" i="5" s="1"/>
  <c r="TP10" i="5"/>
  <c r="TP13" i="5" s="1"/>
  <c r="TO10" i="5"/>
  <c r="TO13" i="5" s="1"/>
  <c r="TN10" i="5"/>
  <c r="TN13" i="5" s="1"/>
  <c r="TM10" i="5"/>
  <c r="TM13" i="5" s="1"/>
  <c r="TL10" i="5"/>
  <c r="TL13" i="5" s="1"/>
  <c r="TK10" i="5"/>
  <c r="TK13" i="5" s="1"/>
  <c r="TJ10" i="5"/>
  <c r="TJ13" i="5" s="1"/>
  <c r="TI10" i="5"/>
  <c r="TI13" i="5" s="1"/>
  <c r="TH10" i="5"/>
  <c r="TH13" i="5" s="1"/>
  <c r="TG10" i="5"/>
  <c r="TG13" i="5" s="1"/>
  <c r="TF10" i="5"/>
  <c r="TF13" i="5" s="1"/>
  <c r="TE10" i="5"/>
  <c r="TE13" i="5" s="1"/>
  <c r="TD10" i="5"/>
  <c r="TD13" i="5" s="1"/>
  <c r="TC10" i="5"/>
  <c r="TC13" i="5" s="1"/>
  <c r="TB10" i="5"/>
  <c r="TB13" i="5" s="1"/>
  <c r="TA10" i="5"/>
  <c r="TA13" i="5" s="1"/>
  <c r="SZ10" i="5"/>
  <c r="SZ13" i="5" s="1"/>
  <c r="SY10" i="5"/>
  <c r="SY13" i="5" s="1"/>
  <c r="SX10" i="5"/>
  <c r="SX13" i="5" s="1"/>
  <c r="SW10" i="5"/>
  <c r="SW13" i="5" s="1"/>
  <c r="SV10" i="5"/>
  <c r="SV13" i="5" s="1"/>
  <c r="SU10" i="5"/>
  <c r="SU13" i="5" s="1"/>
  <c r="ST10" i="5"/>
  <c r="ST13" i="5" s="1"/>
  <c r="SS10" i="5"/>
  <c r="SS13" i="5" s="1"/>
  <c r="SR10" i="5"/>
  <c r="SR13" i="5" s="1"/>
  <c r="SQ10" i="5"/>
  <c r="SQ13" i="5" s="1"/>
  <c r="SP10" i="5"/>
  <c r="SP13" i="5" s="1"/>
  <c r="SO10" i="5"/>
  <c r="SO13" i="5" s="1"/>
  <c r="SN10" i="5"/>
  <c r="SN13" i="5" s="1"/>
  <c r="SM10" i="5"/>
  <c r="SM13" i="5" s="1"/>
  <c r="SK10" i="5"/>
  <c r="SK13" i="5" s="1"/>
  <c r="SJ10" i="5"/>
  <c r="SJ13" i="5" s="1"/>
  <c r="SI10" i="5"/>
  <c r="SI13" i="5" s="1"/>
  <c r="SH10" i="5"/>
  <c r="SH13" i="5" s="1"/>
  <c r="SG10" i="5"/>
  <c r="SG13" i="5" s="1"/>
  <c r="SF10" i="5"/>
  <c r="SF13" i="5" s="1"/>
  <c r="SE10" i="5"/>
  <c r="SE13" i="5" s="1"/>
  <c r="SD10" i="5"/>
  <c r="SD13" i="5" s="1"/>
  <c r="SC10" i="5"/>
  <c r="SC13" i="5" s="1"/>
  <c r="SB10" i="5"/>
  <c r="SB13" i="5" s="1"/>
  <c r="SA10" i="5"/>
  <c r="SA13" i="5" s="1"/>
  <c r="RZ10" i="5"/>
  <c r="RZ13" i="5" s="1"/>
  <c r="RY10" i="5"/>
  <c r="RY13" i="5" s="1"/>
  <c r="RX10" i="5"/>
  <c r="RX13" i="5" s="1"/>
  <c r="RW10" i="5"/>
  <c r="RW13" i="5" s="1"/>
  <c r="RV10" i="5"/>
  <c r="RV13" i="5" s="1"/>
  <c r="RU10" i="5"/>
  <c r="RU13" i="5" s="1"/>
  <c r="RT10" i="5"/>
  <c r="RT13" i="5" s="1"/>
  <c r="RS10" i="5"/>
  <c r="RS13" i="5" s="1"/>
  <c r="RR10" i="5"/>
  <c r="RR13" i="5" s="1"/>
  <c r="RQ10" i="5"/>
  <c r="RQ13" i="5" s="1"/>
  <c r="RP10" i="5"/>
  <c r="RP13" i="5" s="1"/>
  <c r="RO10" i="5"/>
  <c r="RO13" i="5" s="1"/>
  <c r="RN10" i="5"/>
  <c r="RN13" i="5" s="1"/>
  <c r="RM10" i="5"/>
  <c r="RM13" i="5" s="1"/>
  <c r="RL10" i="5"/>
  <c r="RL13" i="5" s="1"/>
  <c r="RK10" i="5"/>
  <c r="RK13" i="5" s="1"/>
  <c r="RJ10" i="5"/>
  <c r="RJ13" i="5" s="1"/>
  <c r="RI10" i="5"/>
  <c r="RI13" i="5" s="1"/>
  <c r="RH10" i="5"/>
  <c r="RH13" i="5" s="1"/>
  <c r="RF10" i="5"/>
  <c r="RF13" i="5" s="1"/>
  <c r="RE10" i="5"/>
  <c r="RE13" i="5" s="1"/>
  <c r="RD10" i="5"/>
  <c r="RD13" i="5" s="1"/>
  <c r="RC10" i="5"/>
  <c r="RC13" i="5" s="1"/>
  <c r="RB10" i="5"/>
  <c r="RB13" i="5" s="1"/>
  <c r="RA10" i="5"/>
  <c r="RA13" i="5" s="1"/>
  <c r="QZ10" i="5"/>
  <c r="QZ13" i="5" s="1"/>
  <c r="QY10" i="5"/>
  <c r="QY13" i="5" s="1"/>
  <c r="QX10" i="5"/>
  <c r="QX13" i="5" s="1"/>
  <c r="QW10" i="5"/>
  <c r="QW13" i="5" s="1"/>
  <c r="QV10" i="5"/>
  <c r="QV13" i="5" s="1"/>
  <c r="QU10" i="5"/>
  <c r="QU13" i="5" s="1"/>
  <c r="QT10" i="5"/>
  <c r="QT13" i="5" s="1"/>
  <c r="QS10" i="5"/>
  <c r="QS13" i="5" s="1"/>
  <c r="QR10" i="5"/>
  <c r="QR13" i="5" s="1"/>
  <c r="QQ10" i="5"/>
  <c r="QQ13" i="5" s="1"/>
  <c r="QP10" i="5"/>
  <c r="QP13" i="5" s="1"/>
  <c r="QO10" i="5"/>
  <c r="QO13" i="5" s="1"/>
  <c r="QN10" i="5"/>
  <c r="QN13" i="5" s="1"/>
  <c r="QM10" i="5"/>
  <c r="QM13" i="5" s="1"/>
  <c r="QL10" i="5"/>
  <c r="QL13" i="5" s="1"/>
  <c r="QK10" i="5"/>
  <c r="QK13" i="5" s="1"/>
  <c r="QJ10" i="5"/>
  <c r="QJ13" i="5" s="1"/>
  <c r="QI10" i="5"/>
  <c r="QI13" i="5" s="1"/>
  <c r="QH10" i="5"/>
  <c r="QH13" i="5" s="1"/>
  <c r="QG10" i="5"/>
  <c r="QG13" i="5" s="1"/>
  <c r="QF10" i="5"/>
  <c r="QF13" i="5" s="1"/>
  <c r="QE10" i="5"/>
  <c r="QE13" i="5" s="1"/>
  <c r="QD10" i="5"/>
  <c r="QD13" i="5" s="1"/>
  <c r="QC10" i="5"/>
  <c r="QC13" i="5" s="1"/>
  <c r="QB10" i="5"/>
  <c r="QB13" i="5" s="1"/>
  <c r="PZ10" i="5"/>
  <c r="PZ13" i="5" s="1"/>
  <c r="PY10" i="5"/>
  <c r="PY13" i="5" s="1"/>
  <c r="PX10" i="5"/>
  <c r="PX13" i="5" s="1"/>
  <c r="PW10" i="5"/>
  <c r="PW13" i="5" s="1"/>
  <c r="PV10" i="5"/>
  <c r="PV13" i="5" s="1"/>
  <c r="PU10" i="5"/>
  <c r="PU13" i="5" s="1"/>
  <c r="PT10" i="5"/>
  <c r="PT13" i="5" s="1"/>
  <c r="PS10" i="5"/>
  <c r="PS13" i="5" s="1"/>
  <c r="PR10" i="5"/>
  <c r="PR13" i="5" s="1"/>
  <c r="PQ10" i="5"/>
  <c r="PQ13" i="5" s="1"/>
  <c r="PP10" i="5"/>
  <c r="PP13" i="5" s="1"/>
  <c r="PO10" i="5"/>
  <c r="PO13" i="5" s="1"/>
  <c r="PN10" i="5"/>
  <c r="PN13" i="5" s="1"/>
  <c r="PM10" i="5"/>
  <c r="PM13" i="5" s="1"/>
  <c r="PL10" i="5"/>
  <c r="PL13" i="5" s="1"/>
  <c r="PK10" i="5"/>
  <c r="PK13" i="5" s="1"/>
  <c r="PJ10" i="5"/>
  <c r="PJ13" i="5" s="1"/>
  <c r="PI10" i="5"/>
  <c r="PI13" i="5" s="1"/>
  <c r="PH10" i="5"/>
  <c r="PH13" i="5" s="1"/>
  <c r="PG10" i="5"/>
  <c r="PG13" i="5" s="1"/>
  <c r="PF10" i="5"/>
  <c r="PF13" i="5" s="1"/>
  <c r="PE10" i="5"/>
  <c r="PE13" i="5" s="1"/>
  <c r="PD10" i="5"/>
  <c r="PD13" i="5" s="1"/>
  <c r="PC10" i="5"/>
  <c r="PC13" i="5" s="1"/>
  <c r="PB10" i="5"/>
  <c r="PB13" i="5" s="1"/>
  <c r="PA10" i="5"/>
  <c r="PA13" i="5" s="1"/>
  <c r="OZ10" i="5"/>
  <c r="OZ13" i="5" s="1"/>
  <c r="OY10" i="5"/>
  <c r="OY13" i="5" s="1"/>
  <c r="OX10" i="5"/>
  <c r="OX13" i="5" s="1"/>
  <c r="OW10" i="5"/>
  <c r="OW13" i="5" s="1"/>
  <c r="OU10" i="5"/>
  <c r="OU13" i="5" s="1"/>
  <c r="OT10" i="5"/>
  <c r="OT13" i="5" s="1"/>
  <c r="OS10" i="5"/>
  <c r="OS13" i="5" s="1"/>
  <c r="OR10" i="5"/>
  <c r="OR13" i="5" s="1"/>
  <c r="OQ10" i="5"/>
  <c r="OQ13" i="5" s="1"/>
  <c r="OP10" i="5"/>
  <c r="OP13" i="5" s="1"/>
  <c r="OO10" i="5"/>
  <c r="OO13" i="5" s="1"/>
  <c r="ON10" i="5"/>
  <c r="ON13" i="5" s="1"/>
  <c r="OM10" i="5"/>
  <c r="OM13" i="5" s="1"/>
  <c r="OL10" i="5"/>
  <c r="OL13" i="5" s="1"/>
  <c r="OK10" i="5"/>
  <c r="OK13" i="5" s="1"/>
  <c r="OJ10" i="5"/>
  <c r="OJ13" i="5" s="1"/>
  <c r="OI10" i="5"/>
  <c r="OI13" i="5" s="1"/>
  <c r="OH10" i="5"/>
  <c r="OH13" i="5" s="1"/>
  <c r="OG10" i="5"/>
  <c r="OG13" i="5" s="1"/>
  <c r="OF10" i="5"/>
  <c r="OF13" i="5" s="1"/>
  <c r="OE10" i="5"/>
  <c r="OE13" i="5" s="1"/>
  <c r="OD10" i="5"/>
  <c r="OD13" i="5" s="1"/>
  <c r="OC10" i="5"/>
  <c r="OC13" i="5" s="1"/>
  <c r="OB10" i="5"/>
  <c r="OB13" i="5" s="1"/>
  <c r="OA10" i="5"/>
  <c r="OA13" i="5" s="1"/>
  <c r="NZ10" i="5"/>
  <c r="NZ13" i="5" s="1"/>
  <c r="NY10" i="5"/>
  <c r="NY13" i="5" s="1"/>
  <c r="NX10" i="5"/>
  <c r="NX13" i="5" s="1"/>
  <c r="NW10" i="5"/>
  <c r="NW13" i="5" s="1"/>
  <c r="NV10" i="5"/>
  <c r="NV13" i="5" s="1"/>
  <c r="NU10" i="5"/>
  <c r="NU13" i="5" s="1"/>
  <c r="NT10" i="5"/>
  <c r="NT13" i="5" s="1"/>
  <c r="NS10" i="5"/>
  <c r="NS13" i="5" s="1"/>
  <c r="NR10" i="5"/>
  <c r="NR13" i="5" s="1"/>
  <c r="NQ10" i="5"/>
  <c r="NQ13" i="5" s="1"/>
  <c r="NO10" i="5"/>
  <c r="NO13" i="5" s="1"/>
  <c r="NN10" i="5"/>
  <c r="NN13" i="5" s="1"/>
  <c r="NM10" i="5"/>
  <c r="NM13" i="5" s="1"/>
  <c r="NK10" i="5"/>
  <c r="NK13" i="5" s="1"/>
  <c r="NJ10" i="5"/>
  <c r="NJ13" i="5" s="1"/>
  <c r="NI10" i="5"/>
  <c r="NI13" i="5" s="1"/>
  <c r="NH10" i="5"/>
  <c r="NH13" i="5" s="1"/>
  <c r="NG10" i="5"/>
  <c r="NG13" i="5" s="1"/>
  <c r="NF10" i="5"/>
  <c r="NF13" i="5" s="1"/>
  <c r="NE10" i="5"/>
  <c r="NE13" i="5" s="1"/>
  <c r="ND10" i="5"/>
  <c r="ND13" i="5" s="1"/>
  <c r="NC10" i="5"/>
  <c r="NC13" i="5" s="1"/>
  <c r="NB10" i="5"/>
  <c r="NB13" i="5" s="1"/>
  <c r="NA10" i="5"/>
  <c r="NA13" i="5" s="1"/>
  <c r="MZ10" i="5"/>
  <c r="MZ13" i="5" s="1"/>
  <c r="MY10" i="5"/>
  <c r="MY13" i="5" s="1"/>
  <c r="MX10" i="5"/>
  <c r="MX13" i="5" s="1"/>
  <c r="MW10" i="5"/>
  <c r="MW13" i="5" s="1"/>
  <c r="MV10" i="5"/>
  <c r="MV13" i="5" s="1"/>
  <c r="MU10" i="5"/>
  <c r="MU13" i="5" s="1"/>
  <c r="MT10" i="5"/>
  <c r="MT13" i="5" s="1"/>
  <c r="MS10" i="5"/>
  <c r="MS13" i="5" s="1"/>
  <c r="MR10" i="5"/>
  <c r="MR13" i="5" s="1"/>
  <c r="MQ10" i="5"/>
  <c r="MQ13" i="5" s="1"/>
  <c r="MP10" i="5"/>
  <c r="MP13" i="5" s="1"/>
  <c r="MO10" i="5"/>
  <c r="MO13" i="5" s="1"/>
  <c r="MN10" i="5"/>
  <c r="MN13" i="5" s="1"/>
  <c r="MM10" i="5"/>
  <c r="MM13" i="5" s="1"/>
  <c r="ML10" i="5"/>
  <c r="ML13" i="5" s="1"/>
  <c r="MK10" i="5"/>
  <c r="MK13" i="5" s="1"/>
  <c r="MI10" i="5"/>
  <c r="MI13" i="5" s="1"/>
  <c r="MH10" i="5"/>
  <c r="MH13" i="5" s="1"/>
  <c r="MG10" i="5"/>
  <c r="MG13" i="5" s="1"/>
  <c r="MF10" i="5"/>
  <c r="MF13" i="5" s="1"/>
  <c r="ME10" i="5"/>
  <c r="ME13" i="5" s="1"/>
  <c r="MD10" i="5"/>
  <c r="MD13" i="5" s="1"/>
  <c r="MC10" i="5"/>
  <c r="MC13" i="5" s="1"/>
  <c r="MB10" i="5"/>
  <c r="MB13" i="5" s="1"/>
  <c r="MA10" i="5"/>
  <c r="MA13" i="5" s="1"/>
  <c r="LZ10" i="5"/>
  <c r="LZ13" i="5" s="1"/>
  <c r="LY10" i="5"/>
  <c r="LY13" i="5" s="1"/>
  <c r="LX10" i="5"/>
  <c r="LX13" i="5" s="1"/>
  <c r="LW10" i="5"/>
  <c r="LW13" i="5" s="1"/>
  <c r="LV10" i="5"/>
  <c r="LV13" i="5" s="1"/>
  <c r="LU10" i="5"/>
  <c r="LU13" i="5" s="1"/>
  <c r="LT10" i="5"/>
  <c r="LT13" i="5" s="1"/>
  <c r="LS10" i="5"/>
  <c r="LS13" i="5" s="1"/>
  <c r="LR10" i="5"/>
  <c r="LR13" i="5" s="1"/>
  <c r="LQ10" i="5"/>
  <c r="LQ13" i="5" s="1"/>
  <c r="ALZ10" i="5"/>
  <c r="ALZ13" i="5" s="1"/>
  <c r="AHW10" i="5"/>
  <c r="AHW13" i="5" s="1"/>
  <c r="AGT10" i="5"/>
  <c r="AGT13" i="5" s="1"/>
  <c r="AGR10" i="5"/>
  <c r="AGR13" i="5" s="1"/>
  <c r="UQ10" i="5"/>
  <c r="UQ13" i="5" s="1"/>
  <c r="E45" i="4"/>
  <c r="D45" i="4"/>
  <c r="WA24" i="4"/>
  <c r="WA17" i="4"/>
  <c r="AOC32" i="3"/>
  <c r="AOC34" i="3" s="1"/>
  <c r="AOB7" i="4" s="1"/>
  <c r="AOB32" i="3"/>
  <c r="AOB34" i="3" s="1"/>
  <c r="AOA7" i="4" s="1"/>
  <c r="AOA32" i="3"/>
  <c r="AOA34" i="3" s="1"/>
  <c r="ANZ7" i="4" s="1"/>
  <c r="ANZ32" i="3"/>
  <c r="ANZ34" i="3" s="1"/>
  <c r="ANY7" i="4" s="1"/>
  <c r="ANY32" i="3"/>
  <c r="ANY34" i="3" s="1"/>
  <c r="ANX7" i="4" s="1"/>
  <c r="ANX32" i="3"/>
  <c r="ANX34" i="3" s="1"/>
  <c r="ANW7" i="4" s="1"/>
  <c r="ANW32" i="3"/>
  <c r="ANW34" i="3" s="1"/>
  <c r="ANV7" i="4" s="1"/>
  <c r="ANV32" i="3"/>
  <c r="ANV34" i="3" s="1"/>
  <c r="ANU7" i="4" s="1"/>
  <c r="ANU32" i="3"/>
  <c r="ANU34" i="3" s="1"/>
  <c r="ANT7" i="4" s="1"/>
  <c r="ANT32" i="3"/>
  <c r="ANT34" i="3" s="1"/>
  <c r="ANS7" i="4" s="1"/>
  <c r="ANS32" i="3"/>
  <c r="ANS34" i="3" s="1"/>
  <c r="ANR7" i="4" s="1"/>
  <c r="ANR32" i="3"/>
  <c r="ANR34" i="3" s="1"/>
  <c r="ANQ7" i="4" s="1"/>
  <c r="ANQ32" i="3"/>
  <c r="ANQ34" i="3" s="1"/>
  <c r="ANP7" i="4" s="1"/>
  <c r="ANP32" i="3"/>
  <c r="ANP34" i="3" s="1"/>
  <c r="ANO7" i="4" s="1"/>
  <c r="ANO32" i="3"/>
  <c r="ANO34" i="3" s="1"/>
  <c r="ANN7" i="4" s="1"/>
  <c r="ANN32" i="3"/>
  <c r="ANN34" i="3" s="1"/>
  <c r="ANM7" i="4" s="1"/>
  <c r="ANM32" i="3"/>
  <c r="ANM34" i="3" s="1"/>
  <c r="ANL7" i="4" s="1"/>
  <c r="ANL32" i="3"/>
  <c r="ANL34" i="3" s="1"/>
  <c r="ANK7" i="4" s="1"/>
  <c r="ANK32" i="3"/>
  <c r="ANK34" i="3" s="1"/>
  <c r="ANJ7" i="4" s="1"/>
  <c r="ANJ32" i="3"/>
  <c r="ANJ34" i="3" s="1"/>
  <c r="ANI7" i="4" s="1"/>
  <c r="ANI32" i="3"/>
  <c r="ANI34" i="3" s="1"/>
  <c r="ANH7" i="4" s="1"/>
  <c r="ANH32" i="3"/>
  <c r="ANH34" i="3" s="1"/>
  <c r="ANG7" i="4" s="1"/>
  <c r="ANG32" i="3"/>
  <c r="ANG34" i="3" s="1"/>
  <c r="ANF7" i="4" s="1"/>
  <c r="ANF32" i="3"/>
  <c r="ANF34" i="3" s="1"/>
  <c r="ANE7" i="4" s="1"/>
  <c r="ANE32" i="3"/>
  <c r="ANE34" i="3" s="1"/>
  <c r="AND7" i="4" s="1"/>
  <c r="AND32" i="3"/>
  <c r="AND34" i="3" s="1"/>
  <c r="ANC7" i="4" s="1"/>
  <c r="ANC32" i="3"/>
  <c r="ANC34" i="3" s="1"/>
  <c r="ANB7" i="4" s="1"/>
  <c r="ANB32" i="3"/>
  <c r="ANB34" i="3" s="1"/>
  <c r="ANA7" i="4" s="1"/>
  <c r="ANA32" i="3"/>
  <c r="ANA34" i="3" s="1"/>
  <c r="AMZ7" i="4" s="1"/>
  <c r="AMY32" i="3"/>
  <c r="AMY34" i="3" s="1"/>
  <c r="AMX7" i="4" s="1"/>
  <c r="AMX32" i="3"/>
  <c r="AMX34" i="3" s="1"/>
  <c r="AMW7" i="4" s="1"/>
  <c r="AMW32" i="3"/>
  <c r="AMW34" i="3" s="1"/>
  <c r="AMV7" i="4" s="1"/>
  <c r="AMV32" i="3"/>
  <c r="AMV34" i="3" s="1"/>
  <c r="AMU7" i="4" s="1"/>
  <c r="AMU32" i="3"/>
  <c r="AMU34" i="3" s="1"/>
  <c r="AMT7" i="4" s="1"/>
  <c r="AMT32" i="3"/>
  <c r="AMT34" i="3" s="1"/>
  <c r="AMS7" i="4" s="1"/>
  <c r="AMS32" i="3"/>
  <c r="AMS34" i="3" s="1"/>
  <c r="AMR7" i="4" s="1"/>
  <c r="AMR32" i="3"/>
  <c r="AMR34" i="3" s="1"/>
  <c r="AMQ7" i="4" s="1"/>
  <c r="AMQ32" i="3"/>
  <c r="AMQ34" i="3" s="1"/>
  <c r="AMP7" i="4" s="1"/>
  <c r="AMP32" i="3"/>
  <c r="AMP34" i="3" s="1"/>
  <c r="AMO7" i="4" s="1"/>
  <c r="AMO32" i="3"/>
  <c r="AMO34" i="3" s="1"/>
  <c r="AMN7" i="4" s="1"/>
  <c r="AMN32" i="3"/>
  <c r="AMN34" i="3" s="1"/>
  <c r="AMM7" i="4" s="1"/>
  <c r="AMM32" i="3"/>
  <c r="AMM34" i="3" s="1"/>
  <c r="AML7" i="4" s="1"/>
  <c r="AML32" i="3"/>
  <c r="AML34" i="3" s="1"/>
  <c r="AMK7" i="4" s="1"/>
  <c r="AMK32" i="3"/>
  <c r="AMK34" i="3" s="1"/>
  <c r="AMJ7" i="4" s="1"/>
  <c r="AMJ32" i="3"/>
  <c r="AMJ34" i="3" s="1"/>
  <c r="AMI7" i="4" s="1"/>
  <c r="AMI32" i="3"/>
  <c r="AMI34" i="3" s="1"/>
  <c r="AMH7" i="4" s="1"/>
  <c r="AMH32" i="3"/>
  <c r="AMH34" i="3" s="1"/>
  <c r="AMG7" i="4" s="1"/>
  <c r="AMG32" i="3"/>
  <c r="AMG34" i="3" s="1"/>
  <c r="AMF7" i="4" s="1"/>
  <c r="AMF32" i="3"/>
  <c r="AMF34" i="3" s="1"/>
  <c r="AME7" i="4" s="1"/>
  <c r="AME32" i="3"/>
  <c r="AME34" i="3" s="1"/>
  <c r="AMD7" i="4" s="1"/>
  <c r="AMD32" i="3"/>
  <c r="AMD34" i="3" s="1"/>
  <c r="AMC7" i="4" s="1"/>
  <c r="AMC32" i="3"/>
  <c r="AMC34" i="3" s="1"/>
  <c r="AMB7" i="4" s="1"/>
  <c r="AMB32" i="3"/>
  <c r="AMB34" i="3" s="1"/>
  <c r="AMA7" i="4" s="1"/>
  <c r="AMA32" i="3"/>
  <c r="AMA34" i="3" s="1"/>
  <c r="ALZ7" i="4" s="1"/>
  <c r="ALZ32" i="3"/>
  <c r="ALZ34" i="3" s="1"/>
  <c r="ALY7" i="4" s="1"/>
  <c r="ALY32" i="3"/>
  <c r="ALY34" i="3" s="1"/>
  <c r="ALX7" i="4" s="1"/>
  <c r="ALX32" i="3"/>
  <c r="ALX34" i="3" s="1"/>
  <c r="ALW7" i="4" s="1"/>
  <c r="ALW32" i="3"/>
  <c r="ALW34" i="3" s="1"/>
  <c r="ALV7" i="4" s="1"/>
  <c r="ALT32" i="3"/>
  <c r="ALT34" i="3" s="1"/>
  <c r="ALS7" i="4" s="1"/>
  <c r="ALS32" i="3"/>
  <c r="ALS34" i="3" s="1"/>
  <c r="ALR7" i="4" s="1"/>
  <c r="ALR32" i="3"/>
  <c r="ALR34" i="3" s="1"/>
  <c r="ALQ7" i="4" s="1"/>
  <c r="ALQ32" i="3"/>
  <c r="ALQ34" i="3" s="1"/>
  <c r="ALP7" i="4" s="1"/>
  <c r="ALP32" i="3"/>
  <c r="ALP34" i="3" s="1"/>
  <c r="ALO7" i="4" s="1"/>
  <c r="ALO32" i="3"/>
  <c r="ALO34" i="3" s="1"/>
  <c r="ALN7" i="4" s="1"/>
  <c r="ALN32" i="3"/>
  <c r="ALN34" i="3" s="1"/>
  <c r="ALM7" i="4" s="1"/>
  <c r="ALM32" i="3"/>
  <c r="ALM34" i="3" s="1"/>
  <c r="ALL7" i="4" s="1"/>
  <c r="ALL32" i="3"/>
  <c r="ALL34" i="3" s="1"/>
  <c r="ALK7" i="4" s="1"/>
  <c r="ALK32" i="3"/>
  <c r="ALK34" i="3" s="1"/>
  <c r="ALJ7" i="4" s="1"/>
  <c r="ALJ32" i="3"/>
  <c r="ALJ34" i="3" s="1"/>
  <c r="ALI7" i="4" s="1"/>
  <c r="ALI32" i="3"/>
  <c r="ALI34" i="3" s="1"/>
  <c r="ALH7" i="4" s="1"/>
  <c r="ALH32" i="3"/>
  <c r="ALH34" i="3" s="1"/>
  <c r="ALG7" i="4" s="1"/>
  <c r="ALG32" i="3"/>
  <c r="ALG34" i="3" s="1"/>
  <c r="ALF7" i="4" s="1"/>
  <c r="ALF32" i="3"/>
  <c r="ALF34" i="3" s="1"/>
  <c r="ALE7" i="4" s="1"/>
  <c r="ALE32" i="3"/>
  <c r="ALE34" i="3" s="1"/>
  <c r="ALD7" i="4" s="1"/>
  <c r="ALD32" i="3"/>
  <c r="ALD34" i="3" s="1"/>
  <c r="ALC7" i="4" s="1"/>
  <c r="ALC32" i="3"/>
  <c r="ALC34" i="3" s="1"/>
  <c r="ALB7" i="4" s="1"/>
  <c r="ALB32" i="3"/>
  <c r="ALB34" i="3" s="1"/>
  <c r="ALA7" i="4" s="1"/>
  <c r="ALA32" i="3"/>
  <c r="ALA34" i="3" s="1"/>
  <c r="AKZ7" i="4" s="1"/>
  <c r="AKZ32" i="3"/>
  <c r="AKZ34" i="3" s="1"/>
  <c r="AKY7" i="4" s="1"/>
  <c r="AKY32" i="3"/>
  <c r="AKY34" i="3" s="1"/>
  <c r="AKX7" i="4" s="1"/>
  <c r="AKX32" i="3"/>
  <c r="AKX34" i="3" s="1"/>
  <c r="AKW7" i="4" s="1"/>
  <c r="AKW32" i="3"/>
  <c r="AKW34" i="3" s="1"/>
  <c r="AKV7" i="4" s="1"/>
  <c r="AKV32" i="3"/>
  <c r="AKV34" i="3" s="1"/>
  <c r="AKU7" i="4" s="1"/>
  <c r="AKU32" i="3"/>
  <c r="AKU34" i="3" s="1"/>
  <c r="AKT7" i="4" s="1"/>
  <c r="AKT32" i="3"/>
  <c r="AKT34" i="3" s="1"/>
  <c r="AKS7" i="4" s="1"/>
  <c r="AKS32" i="3"/>
  <c r="AKS34" i="3" s="1"/>
  <c r="AKR7" i="4" s="1"/>
  <c r="AKR32" i="3"/>
  <c r="AKR34" i="3" s="1"/>
  <c r="AKQ7" i="4" s="1"/>
  <c r="AKQ32" i="3"/>
  <c r="AKQ34" i="3" s="1"/>
  <c r="AKP7" i="4" s="1"/>
  <c r="AKN32" i="3"/>
  <c r="AKN34" i="3" s="1"/>
  <c r="AKM7" i="4" s="1"/>
  <c r="AKM32" i="3"/>
  <c r="AKM34" i="3" s="1"/>
  <c r="AKL7" i="4" s="1"/>
  <c r="AKL32" i="3"/>
  <c r="AKL34" i="3" s="1"/>
  <c r="AKK7" i="4" s="1"/>
  <c r="AKK32" i="3"/>
  <c r="AKK34" i="3" s="1"/>
  <c r="AKJ7" i="4" s="1"/>
  <c r="AKJ32" i="3"/>
  <c r="AKJ34" i="3" s="1"/>
  <c r="AKI7" i="4" s="1"/>
  <c r="AKI32" i="3"/>
  <c r="AKI34" i="3" s="1"/>
  <c r="AKH7" i="4" s="1"/>
  <c r="AKH32" i="3"/>
  <c r="AKH34" i="3" s="1"/>
  <c r="AKG7" i="4" s="1"/>
  <c r="AKG32" i="3"/>
  <c r="AKG34" i="3" s="1"/>
  <c r="AKF7" i="4" s="1"/>
  <c r="AKF32" i="3"/>
  <c r="AKF34" i="3" s="1"/>
  <c r="AKE7" i="4" s="1"/>
  <c r="AKE32" i="3"/>
  <c r="AKE34" i="3" s="1"/>
  <c r="AKD7" i="4" s="1"/>
  <c r="AKD32" i="3"/>
  <c r="AKD34" i="3" s="1"/>
  <c r="AKC7" i="4" s="1"/>
  <c r="AKC32" i="3"/>
  <c r="AKC34" i="3" s="1"/>
  <c r="AKB7" i="4" s="1"/>
  <c r="AKB32" i="3"/>
  <c r="AKB34" i="3" s="1"/>
  <c r="AKA7" i="4" s="1"/>
  <c r="AKA32" i="3"/>
  <c r="AKA34" i="3" s="1"/>
  <c r="AJZ7" i="4" s="1"/>
  <c r="AJZ32" i="3"/>
  <c r="AJZ34" i="3" s="1"/>
  <c r="AJY7" i="4" s="1"/>
  <c r="AJY32" i="3"/>
  <c r="AJY34" i="3" s="1"/>
  <c r="AJX7" i="4" s="1"/>
  <c r="AJX32" i="3"/>
  <c r="AJX34" i="3" s="1"/>
  <c r="AJW7" i="4" s="1"/>
  <c r="AJW32" i="3"/>
  <c r="AJW34" i="3" s="1"/>
  <c r="AJV7" i="4" s="1"/>
  <c r="AJV32" i="3"/>
  <c r="AJV34" i="3" s="1"/>
  <c r="AJU7" i="4" s="1"/>
  <c r="AJU32" i="3"/>
  <c r="AJU34" i="3" s="1"/>
  <c r="AJT7" i="4" s="1"/>
  <c r="AJT32" i="3"/>
  <c r="AJT34" i="3" s="1"/>
  <c r="AJS7" i="4" s="1"/>
  <c r="AJS32" i="3"/>
  <c r="AJS34" i="3" s="1"/>
  <c r="AJR7" i="4" s="1"/>
  <c r="AJR32" i="3"/>
  <c r="AJR34" i="3" s="1"/>
  <c r="AJQ7" i="4" s="1"/>
  <c r="AJQ32" i="3"/>
  <c r="AJQ34" i="3" s="1"/>
  <c r="AJP7" i="4" s="1"/>
  <c r="AJP32" i="3"/>
  <c r="AJP34" i="3" s="1"/>
  <c r="AJO7" i="4" s="1"/>
  <c r="AJO32" i="3"/>
  <c r="AJO34" i="3" s="1"/>
  <c r="AJN7" i="4" s="1"/>
  <c r="AJN32" i="3"/>
  <c r="AJN34" i="3" s="1"/>
  <c r="AJM7" i="4" s="1"/>
  <c r="AJK32" i="3"/>
  <c r="AJK34" i="3" s="1"/>
  <c r="AJJ7" i="4" s="1"/>
  <c r="AJJ32" i="3"/>
  <c r="AJJ34" i="3" s="1"/>
  <c r="AJI7" i="4" s="1"/>
  <c r="AJI32" i="3"/>
  <c r="AJI34" i="3" s="1"/>
  <c r="AJH7" i="4" s="1"/>
  <c r="AJH32" i="3"/>
  <c r="AJH34" i="3" s="1"/>
  <c r="AJG7" i="4" s="1"/>
  <c r="AJG32" i="3"/>
  <c r="AJG34" i="3" s="1"/>
  <c r="AJF7" i="4" s="1"/>
  <c r="AJF32" i="3"/>
  <c r="AJF34" i="3" s="1"/>
  <c r="AJE7" i="4" s="1"/>
  <c r="AJE32" i="3"/>
  <c r="AJE34" i="3" s="1"/>
  <c r="AJD7" i="4" s="1"/>
  <c r="AJD32" i="3"/>
  <c r="AJD34" i="3" s="1"/>
  <c r="AJC7" i="4" s="1"/>
  <c r="AJC32" i="3"/>
  <c r="AJC34" i="3" s="1"/>
  <c r="AJB7" i="4" s="1"/>
  <c r="AJB32" i="3"/>
  <c r="AJB34" i="3" s="1"/>
  <c r="AJA7" i="4" s="1"/>
  <c r="AJA32" i="3"/>
  <c r="AJA34" i="3" s="1"/>
  <c r="AIZ7" i="4" s="1"/>
  <c r="AIZ32" i="3"/>
  <c r="AIZ34" i="3" s="1"/>
  <c r="AIY7" i="4" s="1"/>
  <c r="AIY32" i="3"/>
  <c r="AIY34" i="3" s="1"/>
  <c r="AIX7" i="4" s="1"/>
  <c r="AIX32" i="3"/>
  <c r="AIX34" i="3" s="1"/>
  <c r="AIW7" i="4" s="1"/>
  <c r="AIW32" i="3"/>
  <c r="AIW34" i="3" s="1"/>
  <c r="AIV7" i="4" s="1"/>
  <c r="AIV32" i="3"/>
  <c r="AIV34" i="3" s="1"/>
  <c r="AIU7" i="4" s="1"/>
  <c r="AIU32" i="3"/>
  <c r="AIU34" i="3" s="1"/>
  <c r="AIT7" i="4" s="1"/>
  <c r="AIT32" i="3"/>
  <c r="AIT34" i="3" s="1"/>
  <c r="AIS7" i="4" s="1"/>
  <c r="AIS32" i="3"/>
  <c r="AIS34" i="3" s="1"/>
  <c r="AIR7" i="4" s="1"/>
  <c r="AIR32" i="3"/>
  <c r="AIR34" i="3" s="1"/>
  <c r="AIQ7" i="4" s="1"/>
  <c r="AIQ32" i="3"/>
  <c r="AIQ34" i="3" s="1"/>
  <c r="AIP7" i="4" s="1"/>
  <c r="AIP32" i="3"/>
  <c r="AIP34" i="3" s="1"/>
  <c r="AIO7" i="4" s="1"/>
  <c r="AIO32" i="3"/>
  <c r="AIO34" i="3" s="1"/>
  <c r="AIN7" i="4" s="1"/>
  <c r="AIN32" i="3"/>
  <c r="AIN34" i="3" s="1"/>
  <c r="AIM7" i="4" s="1"/>
  <c r="AIM32" i="3"/>
  <c r="AIM34" i="3" s="1"/>
  <c r="AIL7" i="4" s="1"/>
  <c r="AIL32" i="3"/>
  <c r="AIL34" i="3" s="1"/>
  <c r="AIK7" i="4" s="1"/>
  <c r="AIK32" i="3"/>
  <c r="AIK34" i="3" s="1"/>
  <c r="AIJ7" i="4" s="1"/>
  <c r="AIJ32" i="3"/>
  <c r="AIJ34" i="3" s="1"/>
  <c r="AII7" i="4" s="1"/>
  <c r="AII32" i="3"/>
  <c r="AII34" i="3" s="1"/>
  <c r="AIH7" i="4" s="1"/>
  <c r="AIH32" i="3"/>
  <c r="AIH34" i="3" s="1"/>
  <c r="AIE32" i="3"/>
  <c r="AIE34" i="3" s="1"/>
  <c r="AID7" i="4" s="1"/>
  <c r="AID32" i="3"/>
  <c r="AID34" i="3" s="1"/>
  <c r="AIC7" i="4" s="1"/>
  <c r="AIC32" i="3"/>
  <c r="AIC34" i="3" s="1"/>
  <c r="AIB7" i="4" s="1"/>
  <c r="AIB32" i="3"/>
  <c r="AIB34" i="3" s="1"/>
  <c r="AIA7" i="4" s="1"/>
  <c r="AIA32" i="3"/>
  <c r="AIA34" i="3" s="1"/>
  <c r="AHZ7" i="4" s="1"/>
  <c r="AHZ32" i="3"/>
  <c r="AHZ34" i="3" s="1"/>
  <c r="AHY7" i="4" s="1"/>
  <c r="AHY32" i="3"/>
  <c r="AHY34" i="3" s="1"/>
  <c r="AHX7" i="4" s="1"/>
  <c r="AHX32" i="3"/>
  <c r="AHX34" i="3" s="1"/>
  <c r="AHW7" i="4" s="1"/>
  <c r="AHW32" i="3"/>
  <c r="AHW34" i="3" s="1"/>
  <c r="AHV7" i="4" s="1"/>
  <c r="AHV32" i="3"/>
  <c r="AHV34" i="3" s="1"/>
  <c r="AHU7" i="4" s="1"/>
  <c r="AHU32" i="3"/>
  <c r="AHU34" i="3" s="1"/>
  <c r="AHT7" i="4" s="1"/>
  <c r="AHT32" i="3"/>
  <c r="AHT34" i="3" s="1"/>
  <c r="AHS7" i="4" s="1"/>
  <c r="AHS32" i="3"/>
  <c r="AHS34" i="3" s="1"/>
  <c r="AHR7" i="4" s="1"/>
  <c r="AHR32" i="3"/>
  <c r="AHR34" i="3" s="1"/>
  <c r="AHQ7" i="4" s="1"/>
  <c r="AHQ32" i="3"/>
  <c r="AHQ34" i="3" s="1"/>
  <c r="AHP7" i="4" s="1"/>
  <c r="AHP32" i="3"/>
  <c r="AHP34" i="3" s="1"/>
  <c r="AHO7" i="4" s="1"/>
  <c r="AHO32" i="3"/>
  <c r="AHO34" i="3" s="1"/>
  <c r="AHN7" i="4" s="1"/>
  <c r="AHN32" i="3"/>
  <c r="AHN34" i="3" s="1"/>
  <c r="AHM7" i="4" s="1"/>
  <c r="AHM32" i="3"/>
  <c r="AHM34" i="3" s="1"/>
  <c r="AHL7" i="4" s="1"/>
  <c r="AHL32" i="3"/>
  <c r="AHL34" i="3" s="1"/>
  <c r="AHK7" i="4" s="1"/>
  <c r="AHK32" i="3"/>
  <c r="AHK34" i="3" s="1"/>
  <c r="AHJ7" i="4" s="1"/>
  <c r="AHJ32" i="3"/>
  <c r="AHJ34" i="3" s="1"/>
  <c r="AHI7" i="4" s="1"/>
  <c r="AHI32" i="3"/>
  <c r="AHI34" i="3" s="1"/>
  <c r="AHH7" i="4" s="1"/>
  <c r="AHH32" i="3"/>
  <c r="AHH34" i="3" s="1"/>
  <c r="AHG7" i="4" s="1"/>
  <c r="AHG32" i="3"/>
  <c r="AHG34" i="3" s="1"/>
  <c r="AHF7" i="4" s="1"/>
  <c r="AHF32" i="3"/>
  <c r="AHF34" i="3" s="1"/>
  <c r="AHE7" i="4" s="1"/>
  <c r="AHE32" i="3"/>
  <c r="AHE34" i="3" s="1"/>
  <c r="AHD7" i="4" s="1"/>
  <c r="AHD32" i="3"/>
  <c r="AHD34" i="3" s="1"/>
  <c r="AHC7" i="4" s="1"/>
  <c r="AHC32" i="3"/>
  <c r="AHC34" i="3" s="1"/>
  <c r="AHB7" i="4" s="1"/>
  <c r="AHB32" i="3"/>
  <c r="AHB34" i="3" s="1"/>
  <c r="AGY32" i="3"/>
  <c r="AGY34" i="3" s="1"/>
  <c r="AGX7" i="4" s="1"/>
  <c r="AGX32" i="3"/>
  <c r="AGX34" i="3" s="1"/>
  <c r="AGW7" i="4" s="1"/>
  <c r="AGW32" i="3"/>
  <c r="AGW34" i="3" s="1"/>
  <c r="AGV7" i="4" s="1"/>
  <c r="AGV32" i="3"/>
  <c r="AGV34" i="3" s="1"/>
  <c r="AGU7" i="4" s="1"/>
  <c r="AGU32" i="3"/>
  <c r="AGU34" i="3" s="1"/>
  <c r="AGT7" i="4" s="1"/>
  <c r="AGT32" i="3"/>
  <c r="AGT34" i="3" s="1"/>
  <c r="AGS7" i="4" s="1"/>
  <c r="AGS32" i="3"/>
  <c r="AGS34" i="3" s="1"/>
  <c r="AGR7" i="4" s="1"/>
  <c r="AGR32" i="3"/>
  <c r="AGR34" i="3" s="1"/>
  <c r="AGQ7" i="4" s="1"/>
  <c r="AGQ32" i="3"/>
  <c r="AGQ34" i="3" s="1"/>
  <c r="AGP7" i="4" s="1"/>
  <c r="AGP32" i="3"/>
  <c r="AGP34" i="3" s="1"/>
  <c r="AGO7" i="4" s="1"/>
  <c r="AGO32" i="3"/>
  <c r="AGO34" i="3" s="1"/>
  <c r="AGN7" i="4" s="1"/>
  <c r="AGN32" i="3"/>
  <c r="AGN34" i="3" s="1"/>
  <c r="AGM7" i="4" s="1"/>
  <c r="AGM32" i="3"/>
  <c r="AGM34" i="3" s="1"/>
  <c r="AGL7" i="4" s="1"/>
  <c r="AGL32" i="3"/>
  <c r="AGL34" i="3" s="1"/>
  <c r="AGK7" i="4" s="1"/>
  <c r="AGK32" i="3"/>
  <c r="AGK34" i="3" s="1"/>
  <c r="AGJ7" i="4" s="1"/>
  <c r="AGJ32" i="3"/>
  <c r="AGJ34" i="3" s="1"/>
  <c r="AGI7" i="4" s="1"/>
  <c r="AGI32" i="3"/>
  <c r="AGI34" i="3" s="1"/>
  <c r="AGH7" i="4" s="1"/>
  <c r="AGH32" i="3"/>
  <c r="AGH34" i="3" s="1"/>
  <c r="AGG7" i="4" s="1"/>
  <c r="AGG32" i="3"/>
  <c r="AGG34" i="3" s="1"/>
  <c r="AGF7" i="4" s="1"/>
  <c r="AGF32" i="3"/>
  <c r="AGF34" i="3" s="1"/>
  <c r="AGE7" i="4" s="1"/>
  <c r="AGE32" i="3"/>
  <c r="AGE34" i="3" s="1"/>
  <c r="AGD7" i="4" s="1"/>
  <c r="AGD32" i="3"/>
  <c r="AGD34" i="3" s="1"/>
  <c r="AGC7" i="4" s="1"/>
  <c r="AGC32" i="3"/>
  <c r="AGC34" i="3" s="1"/>
  <c r="AGB7" i="4" s="1"/>
  <c r="AGB32" i="3"/>
  <c r="AGB34" i="3" s="1"/>
  <c r="AGA7" i="4" s="1"/>
  <c r="AGA32" i="3"/>
  <c r="AGA34" i="3" s="1"/>
  <c r="AFZ7" i="4" s="1"/>
  <c r="AFZ32" i="3"/>
  <c r="AFZ34" i="3" s="1"/>
  <c r="AFY7" i="4" s="1"/>
  <c r="AFY32" i="3"/>
  <c r="AFY34" i="3" s="1"/>
  <c r="AFX7" i="4" s="1"/>
  <c r="AFX32" i="3"/>
  <c r="AFX34" i="3" s="1"/>
  <c r="AFW7" i="4" s="1"/>
  <c r="AFW32" i="3"/>
  <c r="AFW34" i="3" s="1"/>
  <c r="AFV7" i="4" s="1"/>
  <c r="AFT32" i="3"/>
  <c r="AFT34" i="3" s="1"/>
  <c r="AFS7" i="4" s="1"/>
  <c r="AFS32" i="3"/>
  <c r="AFS34" i="3" s="1"/>
  <c r="AFR7" i="4" s="1"/>
  <c r="AFR32" i="3"/>
  <c r="AFR34" i="3" s="1"/>
  <c r="AFQ7" i="4" s="1"/>
  <c r="AFQ32" i="3"/>
  <c r="AFQ34" i="3" s="1"/>
  <c r="AFP7" i="4" s="1"/>
  <c r="AFP32" i="3"/>
  <c r="AFP34" i="3" s="1"/>
  <c r="AFO7" i="4" s="1"/>
  <c r="AFO32" i="3"/>
  <c r="AFO34" i="3" s="1"/>
  <c r="AFN7" i="4" s="1"/>
  <c r="AFN32" i="3"/>
  <c r="AFN34" i="3" s="1"/>
  <c r="AFM7" i="4" s="1"/>
  <c r="AFM32" i="3"/>
  <c r="AFM34" i="3" s="1"/>
  <c r="AFL7" i="4" s="1"/>
  <c r="AFL32" i="3"/>
  <c r="AFL34" i="3" s="1"/>
  <c r="AFK7" i="4" s="1"/>
  <c r="AFK32" i="3"/>
  <c r="AFK34" i="3" s="1"/>
  <c r="AFJ7" i="4" s="1"/>
  <c r="AFJ32" i="3"/>
  <c r="AFJ34" i="3" s="1"/>
  <c r="AFI7" i="4" s="1"/>
  <c r="AFI32" i="3"/>
  <c r="AFI34" i="3" s="1"/>
  <c r="AFH7" i="4" s="1"/>
  <c r="AFH32" i="3"/>
  <c r="AFH34" i="3" s="1"/>
  <c r="AFG7" i="4" s="1"/>
  <c r="AFG32" i="3"/>
  <c r="AFG34" i="3" s="1"/>
  <c r="AFF7" i="4" s="1"/>
  <c r="AFF32" i="3"/>
  <c r="AFF34" i="3" s="1"/>
  <c r="AFE7" i="4" s="1"/>
  <c r="AFE32" i="3"/>
  <c r="AFE34" i="3" s="1"/>
  <c r="AFD7" i="4" s="1"/>
  <c r="AFD32" i="3"/>
  <c r="AFD34" i="3" s="1"/>
  <c r="AFC7" i="4" s="1"/>
  <c r="AFC32" i="3"/>
  <c r="AFC34" i="3" s="1"/>
  <c r="AFB7" i="4" s="1"/>
  <c r="AFB32" i="3"/>
  <c r="AFB34" i="3" s="1"/>
  <c r="AFA7" i="4" s="1"/>
  <c r="AFA32" i="3"/>
  <c r="AFA34" i="3" s="1"/>
  <c r="AEZ7" i="4" s="1"/>
  <c r="AEZ32" i="3"/>
  <c r="AEZ34" i="3" s="1"/>
  <c r="AEY7" i="4" s="1"/>
  <c r="AEY32" i="3"/>
  <c r="AEY34" i="3" s="1"/>
  <c r="AEX7" i="4" s="1"/>
  <c r="AEX32" i="3"/>
  <c r="AEX34" i="3" s="1"/>
  <c r="AEW7" i="4" s="1"/>
  <c r="AEW32" i="3"/>
  <c r="AEW34" i="3" s="1"/>
  <c r="AEV7" i="4" s="1"/>
  <c r="AEV32" i="3"/>
  <c r="AEV34" i="3" s="1"/>
  <c r="AEU7" i="4" s="1"/>
  <c r="AEU32" i="3"/>
  <c r="AEU34" i="3" s="1"/>
  <c r="AET7" i="4" s="1"/>
  <c r="AET32" i="3"/>
  <c r="AET34" i="3" s="1"/>
  <c r="AES7" i="4" s="1"/>
  <c r="AES32" i="3"/>
  <c r="AES34" i="3" s="1"/>
  <c r="AER7" i="4" s="1"/>
  <c r="AER32" i="3"/>
  <c r="AER34" i="3" s="1"/>
  <c r="AEQ7" i="4" s="1"/>
  <c r="AEQ32" i="3"/>
  <c r="AEQ34" i="3" s="1"/>
  <c r="AEP7" i="4" s="1"/>
  <c r="AEN32" i="3"/>
  <c r="AEN34" i="3" s="1"/>
  <c r="AEM7" i="4" s="1"/>
  <c r="AEM32" i="3"/>
  <c r="AEM34" i="3" s="1"/>
  <c r="AEL7" i="4" s="1"/>
  <c r="AEL32" i="3"/>
  <c r="AEL34" i="3" s="1"/>
  <c r="AEK7" i="4" s="1"/>
  <c r="AEK32" i="3"/>
  <c r="AEK34" i="3" s="1"/>
  <c r="AEJ7" i="4" s="1"/>
  <c r="AEJ32" i="3"/>
  <c r="AEJ34" i="3" s="1"/>
  <c r="AEI7" i="4" s="1"/>
  <c r="AEI32" i="3"/>
  <c r="AEI34" i="3" s="1"/>
  <c r="AEH7" i="4" s="1"/>
  <c r="AEH32" i="3"/>
  <c r="AEH34" i="3" s="1"/>
  <c r="AEG7" i="4" s="1"/>
  <c r="AEG32" i="3"/>
  <c r="AEG34" i="3" s="1"/>
  <c r="AEF7" i="4" s="1"/>
  <c r="AEF32" i="3"/>
  <c r="AEF34" i="3" s="1"/>
  <c r="AEE7" i="4" s="1"/>
  <c r="AEE32" i="3"/>
  <c r="AEE34" i="3" s="1"/>
  <c r="AED7" i="4" s="1"/>
  <c r="AED32" i="3"/>
  <c r="AED34" i="3" s="1"/>
  <c r="AEC7" i="4" s="1"/>
  <c r="AEC32" i="3"/>
  <c r="AEC34" i="3" s="1"/>
  <c r="AEB7" i="4" s="1"/>
  <c r="AEB32" i="3"/>
  <c r="AEB34" i="3" s="1"/>
  <c r="AEA7" i="4" s="1"/>
  <c r="AEA32" i="3"/>
  <c r="AEA34" i="3" s="1"/>
  <c r="ADZ7" i="4" s="1"/>
  <c r="ADZ32" i="3"/>
  <c r="ADZ34" i="3" s="1"/>
  <c r="ADY7" i="4" s="1"/>
  <c r="ADY32" i="3"/>
  <c r="ADY34" i="3" s="1"/>
  <c r="ADX7" i="4" s="1"/>
  <c r="ADX32" i="3"/>
  <c r="ADX34" i="3" s="1"/>
  <c r="ADW7" i="4" s="1"/>
  <c r="ADW32" i="3"/>
  <c r="ADW34" i="3" s="1"/>
  <c r="ADV7" i="4" s="1"/>
  <c r="ADV32" i="3"/>
  <c r="ADV34" i="3" s="1"/>
  <c r="ADU7" i="4" s="1"/>
  <c r="ADU32" i="3"/>
  <c r="ADU34" i="3" s="1"/>
  <c r="ADT7" i="4" s="1"/>
  <c r="ADT32" i="3"/>
  <c r="ADT34" i="3" s="1"/>
  <c r="ADS7" i="4" s="1"/>
  <c r="ADS32" i="3"/>
  <c r="ADS34" i="3" s="1"/>
  <c r="ADR7" i="4" s="1"/>
  <c r="ADR32" i="3"/>
  <c r="ADR34" i="3" s="1"/>
  <c r="ADQ7" i="4" s="1"/>
  <c r="ADQ32" i="3"/>
  <c r="ADQ34" i="3" s="1"/>
  <c r="ADP7" i="4" s="1"/>
  <c r="ADP32" i="3"/>
  <c r="ADP34" i="3" s="1"/>
  <c r="ADO7" i="4" s="1"/>
  <c r="ADO32" i="3"/>
  <c r="ADO34" i="3" s="1"/>
  <c r="ADN7" i="4" s="1"/>
  <c r="ADN32" i="3"/>
  <c r="ADN34" i="3" s="1"/>
  <c r="ADM7" i="4" s="1"/>
  <c r="ADM32" i="3"/>
  <c r="ADM34" i="3" s="1"/>
  <c r="ADL7" i="4" s="1"/>
  <c r="ADL32" i="3"/>
  <c r="ADL34" i="3" s="1"/>
  <c r="ADK7" i="4" s="1"/>
  <c r="ADI32" i="3"/>
  <c r="ADI34" i="3" s="1"/>
  <c r="ADH7" i="4" s="1"/>
  <c r="ADH32" i="3"/>
  <c r="ADH34" i="3" s="1"/>
  <c r="ADG7" i="4" s="1"/>
  <c r="ADG32" i="3"/>
  <c r="ADG34" i="3" s="1"/>
  <c r="ADF7" i="4" s="1"/>
  <c r="ADF32" i="3"/>
  <c r="ADF34" i="3" s="1"/>
  <c r="ADE7" i="4" s="1"/>
  <c r="ADE32" i="3"/>
  <c r="ADE34" i="3" s="1"/>
  <c r="ADD7" i="4" s="1"/>
  <c r="ADD32" i="3"/>
  <c r="ADD34" i="3" s="1"/>
  <c r="ADC7" i="4" s="1"/>
  <c r="ADC32" i="3"/>
  <c r="ADC34" i="3" s="1"/>
  <c r="ADB7" i="4" s="1"/>
  <c r="ADB32" i="3"/>
  <c r="ADB34" i="3" s="1"/>
  <c r="ADA7" i="4" s="1"/>
  <c r="ADA32" i="3"/>
  <c r="ADA34" i="3" s="1"/>
  <c r="ACZ7" i="4" s="1"/>
  <c r="ACZ32" i="3"/>
  <c r="ACZ34" i="3" s="1"/>
  <c r="ACY7" i="4" s="1"/>
  <c r="ACY32" i="3"/>
  <c r="ACY34" i="3" s="1"/>
  <c r="ACX7" i="4" s="1"/>
  <c r="ACX32" i="3"/>
  <c r="ACX34" i="3" s="1"/>
  <c r="ACW7" i="4" s="1"/>
  <c r="ACW32" i="3"/>
  <c r="ACW34" i="3" s="1"/>
  <c r="ACV7" i="4" s="1"/>
  <c r="ACV32" i="3"/>
  <c r="ACV34" i="3" s="1"/>
  <c r="ACU7" i="4" s="1"/>
  <c r="ACU32" i="3"/>
  <c r="ACU34" i="3" s="1"/>
  <c r="ACT7" i="4" s="1"/>
  <c r="ACT32" i="3"/>
  <c r="ACT34" i="3" s="1"/>
  <c r="ACS7" i="4" s="1"/>
  <c r="ACS32" i="3"/>
  <c r="ACS34" i="3" s="1"/>
  <c r="ACR7" i="4" s="1"/>
  <c r="ACR32" i="3"/>
  <c r="ACR34" i="3" s="1"/>
  <c r="ACQ7" i="4" s="1"/>
  <c r="ACQ32" i="3"/>
  <c r="ACQ34" i="3" s="1"/>
  <c r="ACP7" i="4" s="1"/>
  <c r="ACP32" i="3"/>
  <c r="ACP34" i="3" s="1"/>
  <c r="ACO7" i="4" s="1"/>
  <c r="ACO32" i="3"/>
  <c r="ACO34" i="3" s="1"/>
  <c r="ACN7" i="4" s="1"/>
  <c r="ACN32" i="3"/>
  <c r="ACN34" i="3" s="1"/>
  <c r="ACM7" i="4" s="1"/>
  <c r="ACM32" i="3"/>
  <c r="ACM34" i="3" s="1"/>
  <c r="ACL7" i="4" s="1"/>
  <c r="ACL32" i="3"/>
  <c r="ACL34" i="3" s="1"/>
  <c r="ACK7" i="4" s="1"/>
  <c r="ACK32" i="3"/>
  <c r="ACK34" i="3" s="1"/>
  <c r="ACJ7" i="4" s="1"/>
  <c r="ACJ32" i="3"/>
  <c r="ACJ34" i="3" s="1"/>
  <c r="ACI7" i="4" s="1"/>
  <c r="ACI32" i="3"/>
  <c r="ACI34" i="3" s="1"/>
  <c r="ACH7" i="4" s="1"/>
  <c r="ACH32" i="3"/>
  <c r="ACH34" i="3" s="1"/>
  <c r="ACG7" i="4" s="1"/>
  <c r="ACG32" i="3"/>
  <c r="ACG34" i="3" s="1"/>
  <c r="ACF7" i="4" s="1"/>
  <c r="ACF32" i="3"/>
  <c r="ACF34" i="3" s="1"/>
  <c r="ACE7" i="4" s="1"/>
  <c r="ACC32" i="3"/>
  <c r="ACC34" i="3" s="1"/>
  <c r="ACB7" i="4" s="1"/>
  <c r="ACB32" i="3"/>
  <c r="ACB34" i="3" s="1"/>
  <c r="ACA7" i="4" s="1"/>
  <c r="ACA32" i="3"/>
  <c r="ACA34" i="3" s="1"/>
  <c r="ABZ7" i="4" s="1"/>
  <c r="ABZ32" i="3"/>
  <c r="ABZ34" i="3" s="1"/>
  <c r="ABY7" i="4" s="1"/>
  <c r="ABY32" i="3"/>
  <c r="ABY34" i="3" s="1"/>
  <c r="ABX7" i="4" s="1"/>
  <c r="ABX32" i="3"/>
  <c r="ABX34" i="3" s="1"/>
  <c r="ABW7" i="4" s="1"/>
  <c r="ABW32" i="3"/>
  <c r="ABW34" i="3" s="1"/>
  <c r="ABV7" i="4" s="1"/>
  <c r="ABV32" i="3"/>
  <c r="ABV34" i="3" s="1"/>
  <c r="ABU7" i="4" s="1"/>
  <c r="ABU32" i="3"/>
  <c r="ABU34" i="3" s="1"/>
  <c r="ABT7" i="4" s="1"/>
  <c r="ABT32" i="3"/>
  <c r="ABT34" i="3" s="1"/>
  <c r="ABS7" i="4" s="1"/>
  <c r="ABS32" i="3"/>
  <c r="ABS34" i="3" s="1"/>
  <c r="ABR7" i="4" s="1"/>
  <c r="ABR32" i="3"/>
  <c r="ABR34" i="3" s="1"/>
  <c r="ABQ7" i="4" s="1"/>
  <c r="ABQ32" i="3"/>
  <c r="ABQ34" i="3" s="1"/>
  <c r="ABP7" i="4" s="1"/>
  <c r="ABP32" i="3"/>
  <c r="ABP34" i="3" s="1"/>
  <c r="ABO7" i="4" s="1"/>
  <c r="ABO32" i="3"/>
  <c r="ABO34" i="3" s="1"/>
  <c r="ABN7" i="4" s="1"/>
  <c r="ABN32" i="3"/>
  <c r="ABN34" i="3" s="1"/>
  <c r="ABM7" i="4" s="1"/>
  <c r="ABM32" i="3"/>
  <c r="ABM34" i="3" s="1"/>
  <c r="ABL7" i="4" s="1"/>
  <c r="ABL32" i="3"/>
  <c r="ABL34" i="3" s="1"/>
  <c r="ABK7" i="4" s="1"/>
  <c r="ABK32" i="3"/>
  <c r="ABK34" i="3" s="1"/>
  <c r="ABJ7" i="4" s="1"/>
  <c r="ABJ32" i="3"/>
  <c r="ABJ34" i="3" s="1"/>
  <c r="ABI7" i="4" s="1"/>
  <c r="ABI32" i="3"/>
  <c r="ABI34" i="3" s="1"/>
  <c r="ABH7" i="4" s="1"/>
  <c r="ABH32" i="3"/>
  <c r="ABH34" i="3" s="1"/>
  <c r="ABG7" i="4" s="1"/>
  <c r="ABG32" i="3"/>
  <c r="ABG34" i="3" s="1"/>
  <c r="ABF7" i="4" s="1"/>
  <c r="ABF32" i="3"/>
  <c r="ABF34" i="3" s="1"/>
  <c r="ABE7" i="4" s="1"/>
  <c r="ABE32" i="3"/>
  <c r="ABE34" i="3" s="1"/>
  <c r="ABD7" i="4" s="1"/>
  <c r="ABD32" i="3"/>
  <c r="ABD34" i="3" s="1"/>
  <c r="ABC7" i="4" s="1"/>
  <c r="ABC32" i="3"/>
  <c r="ABC34" i="3" s="1"/>
  <c r="ABB7" i="4" s="1"/>
  <c r="ABB32" i="3"/>
  <c r="ABB34" i="3" s="1"/>
  <c r="ABA7" i="4" s="1"/>
  <c r="ABA32" i="3"/>
  <c r="ABA34" i="3" s="1"/>
  <c r="AAZ7" i="4" s="1"/>
  <c r="AAZ32" i="3"/>
  <c r="AAZ34" i="3" s="1"/>
  <c r="AAY7" i="4" s="1"/>
  <c r="AAW32" i="3"/>
  <c r="AAW34" i="3" s="1"/>
  <c r="AAV7" i="4" s="1"/>
  <c r="AAV32" i="3"/>
  <c r="AAV34" i="3" s="1"/>
  <c r="AAU7" i="4" s="1"/>
  <c r="AAU32" i="3"/>
  <c r="AAU34" i="3" s="1"/>
  <c r="AAT7" i="4" s="1"/>
  <c r="AAT32" i="3"/>
  <c r="AAT34" i="3" s="1"/>
  <c r="AAS7" i="4" s="1"/>
  <c r="AAS32" i="3"/>
  <c r="AAS34" i="3" s="1"/>
  <c r="AAR7" i="4" s="1"/>
  <c r="AAR32" i="3"/>
  <c r="AAR34" i="3" s="1"/>
  <c r="AAQ7" i="4" s="1"/>
  <c r="AAQ32" i="3"/>
  <c r="AAQ34" i="3" s="1"/>
  <c r="AAP7" i="4" s="1"/>
  <c r="AAP32" i="3"/>
  <c r="AAP34" i="3" s="1"/>
  <c r="AAO7" i="4" s="1"/>
  <c r="AAO32" i="3"/>
  <c r="AAO34" i="3" s="1"/>
  <c r="AAN7" i="4" s="1"/>
  <c r="AAN32" i="3"/>
  <c r="AAN34" i="3" s="1"/>
  <c r="AAM7" i="4" s="1"/>
  <c r="AAM32" i="3"/>
  <c r="AAM34" i="3" s="1"/>
  <c r="AAL7" i="4" s="1"/>
  <c r="AAL32" i="3"/>
  <c r="AAL34" i="3" s="1"/>
  <c r="AAK7" i="4" s="1"/>
  <c r="AAK32" i="3"/>
  <c r="AAK34" i="3" s="1"/>
  <c r="AAJ7" i="4" s="1"/>
  <c r="AAJ32" i="3"/>
  <c r="AAJ34" i="3" s="1"/>
  <c r="AAI7" i="4" s="1"/>
  <c r="AAI32" i="3"/>
  <c r="AAI34" i="3" s="1"/>
  <c r="AAH7" i="4" s="1"/>
  <c r="AAH32" i="3"/>
  <c r="AAH34" i="3" s="1"/>
  <c r="AAG7" i="4" s="1"/>
  <c r="AAG32" i="3"/>
  <c r="AAG34" i="3" s="1"/>
  <c r="AAF7" i="4" s="1"/>
  <c r="AAF32" i="3"/>
  <c r="AAF34" i="3" s="1"/>
  <c r="AAE7" i="4" s="1"/>
  <c r="AAE32" i="3"/>
  <c r="AAE34" i="3" s="1"/>
  <c r="AAD7" i="4" s="1"/>
  <c r="AAD32" i="3"/>
  <c r="AAD34" i="3" s="1"/>
  <c r="AAC7" i="4" s="1"/>
  <c r="AAC32" i="3"/>
  <c r="AAC34" i="3" s="1"/>
  <c r="AAB7" i="4" s="1"/>
  <c r="AAB32" i="3"/>
  <c r="AAB34" i="3" s="1"/>
  <c r="AAA7" i="4" s="1"/>
  <c r="AAA32" i="3"/>
  <c r="AAA34" i="3" s="1"/>
  <c r="ZZ7" i="4" s="1"/>
  <c r="ZZ32" i="3"/>
  <c r="ZZ34" i="3" s="1"/>
  <c r="ZY7" i="4" s="1"/>
  <c r="ZY32" i="3"/>
  <c r="ZY34" i="3" s="1"/>
  <c r="ZX7" i="4" s="1"/>
  <c r="ZX32" i="3"/>
  <c r="ZX34" i="3" s="1"/>
  <c r="ZW7" i="4" s="1"/>
  <c r="ZW32" i="3"/>
  <c r="ZW34" i="3" s="1"/>
  <c r="ZV7" i="4" s="1"/>
  <c r="ZV32" i="3"/>
  <c r="ZV34" i="3" s="1"/>
  <c r="ZU7" i="4" s="1"/>
  <c r="ZU32" i="3"/>
  <c r="ZU34" i="3" s="1"/>
  <c r="ZT7" i="4" s="1"/>
  <c r="ZR32" i="3"/>
  <c r="ZR34" i="3" s="1"/>
  <c r="ZQ7" i="4" s="1"/>
  <c r="ZQ32" i="3"/>
  <c r="ZQ34" i="3" s="1"/>
  <c r="ZP7" i="4" s="1"/>
  <c r="ZP32" i="3"/>
  <c r="ZP34" i="3" s="1"/>
  <c r="ZO7" i="4" s="1"/>
  <c r="ZO32" i="3"/>
  <c r="ZO34" i="3" s="1"/>
  <c r="ZN7" i="4" s="1"/>
  <c r="ZN32" i="3"/>
  <c r="ZN34" i="3" s="1"/>
  <c r="ZM7" i="4" s="1"/>
  <c r="ZM32" i="3"/>
  <c r="ZM34" i="3" s="1"/>
  <c r="ZL7" i="4" s="1"/>
  <c r="ZL32" i="3"/>
  <c r="ZL34" i="3" s="1"/>
  <c r="ZK7" i="4" s="1"/>
  <c r="ZK32" i="3"/>
  <c r="ZK34" i="3" s="1"/>
  <c r="ZJ7" i="4" s="1"/>
  <c r="ZJ32" i="3"/>
  <c r="ZJ34" i="3" s="1"/>
  <c r="ZI7" i="4" s="1"/>
  <c r="ZI32" i="3"/>
  <c r="ZI34" i="3" s="1"/>
  <c r="ZH7" i="4" s="1"/>
  <c r="ZH32" i="3"/>
  <c r="ZH34" i="3" s="1"/>
  <c r="ZG7" i="4" s="1"/>
  <c r="ZG32" i="3"/>
  <c r="ZG34" i="3" s="1"/>
  <c r="ZF7" i="4" s="1"/>
  <c r="ZF32" i="3"/>
  <c r="ZF34" i="3" s="1"/>
  <c r="ZE7" i="4" s="1"/>
  <c r="ZE32" i="3"/>
  <c r="ZE34" i="3" s="1"/>
  <c r="ZD7" i="4" s="1"/>
  <c r="ZD32" i="3"/>
  <c r="ZD34" i="3" s="1"/>
  <c r="ZC7" i="4" s="1"/>
  <c r="ZC32" i="3"/>
  <c r="ZC34" i="3" s="1"/>
  <c r="ZB7" i="4" s="1"/>
  <c r="ZB32" i="3"/>
  <c r="ZB34" i="3" s="1"/>
  <c r="ZA7" i="4" s="1"/>
  <c r="ZA32" i="3"/>
  <c r="ZA34" i="3" s="1"/>
  <c r="YZ7" i="4" s="1"/>
  <c r="YZ32" i="3"/>
  <c r="YZ34" i="3" s="1"/>
  <c r="YY7" i="4" s="1"/>
  <c r="YY32" i="3"/>
  <c r="YY34" i="3" s="1"/>
  <c r="YX7" i="4" s="1"/>
  <c r="YX32" i="3"/>
  <c r="YX34" i="3" s="1"/>
  <c r="YW7" i="4" s="1"/>
  <c r="YW32" i="3"/>
  <c r="YW34" i="3" s="1"/>
  <c r="YV7" i="4" s="1"/>
  <c r="YV32" i="3"/>
  <c r="YV34" i="3" s="1"/>
  <c r="YU7" i="4" s="1"/>
  <c r="YU32" i="3"/>
  <c r="YU34" i="3" s="1"/>
  <c r="YT7" i="4" s="1"/>
  <c r="YT32" i="3"/>
  <c r="YT34" i="3" s="1"/>
  <c r="YS7" i="4" s="1"/>
  <c r="YS32" i="3"/>
  <c r="YS34" i="3" s="1"/>
  <c r="YR7" i="4" s="1"/>
  <c r="YR32" i="3"/>
  <c r="YR34" i="3" s="1"/>
  <c r="YQ7" i="4" s="1"/>
  <c r="YQ32" i="3"/>
  <c r="YQ34" i="3" s="1"/>
  <c r="YP7" i="4" s="1"/>
  <c r="YP32" i="3"/>
  <c r="YP34" i="3" s="1"/>
  <c r="YO7" i="4" s="1"/>
  <c r="YO32" i="3"/>
  <c r="YO34" i="3" s="1"/>
  <c r="YN7" i="4" s="1"/>
  <c r="YL32" i="3"/>
  <c r="YL34" i="3" s="1"/>
  <c r="YK7" i="4" s="1"/>
  <c r="YK32" i="3"/>
  <c r="YK34" i="3" s="1"/>
  <c r="YJ7" i="4" s="1"/>
  <c r="YJ32" i="3"/>
  <c r="YJ34" i="3" s="1"/>
  <c r="YI7" i="4" s="1"/>
  <c r="YI32" i="3"/>
  <c r="YI34" i="3" s="1"/>
  <c r="YH7" i="4" s="1"/>
  <c r="YH32" i="3"/>
  <c r="YH34" i="3" s="1"/>
  <c r="YG7" i="4" s="1"/>
  <c r="YG32" i="3"/>
  <c r="YG34" i="3" s="1"/>
  <c r="YF7" i="4" s="1"/>
  <c r="YF32" i="3"/>
  <c r="YF34" i="3" s="1"/>
  <c r="YE7" i="4" s="1"/>
  <c r="YE32" i="3"/>
  <c r="YE34" i="3" s="1"/>
  <c r="YD7" i="4" s="1"/>
  <c r="YD32" i="3"/>
  <c r="YD34" i="3" s="1"/>
  <c r="YC7" i="4" s="1"/>
  <c r="YC32" i="3"/>
  <c r="YC34" i="3" s="1"/>
  <c r="YB7" i="4" s="1"/>
  <c r="YB32" i="3"/>
  <c r="YB34" i="3" s="1"/>
  <c r="YA7" i="4" s="1"/>
  <c r="YA32" i="3"/>
  <c r="YA34" i="3" s="1"/>
  <c r="XZ7" i="4" s="1"/>
  <c r="XZ32" i="3"/>
  <c r="XZ34" i="3" s="1"/>
  <c r="XY7" i="4" s="1"/>
  <c r="XY32" i="3"/>
  <c r="XY34" i="3" s="1"/>
  <c r="XX7" i="4" s="1"/>
  <c r="XX32" i="3"/>
  <c r="XX34" i="3" s="1"/>
  <c r="XW7" i="4" s="1"/>
  <c r="XW32" i="3"/>
  <c r="XW34" i="3" s="1"/>
  <c r="XV7" i="4" s="1"/>
  <c r="XV32" i="3"/>
  <c r="XV34" i="3" s="1"/>
  <c r="XU7" i="4" s="1"/>
  <c r="XU32" i="3"/>
  <c r="XU34" i="3" s="1"/>
  <c r="XT7" i="4" s="1"/>
  <c r="XT32" i="3"/>
  <c r="XT34" i="3" s="1"/>
  <c r="XS7" i="4" s="1"/>
  <c r="XS32" i="3"/>
  <c r="XS34" i="3" s="1"/>
  <c r="XR7" i="4" s="1"/>
  <c r="XR32" i="3"/>
  <c r="XR34" i="3" s="1"/>
  <c r="XQ7" i="4" s="1"/>
  <c r="XQ32" i="3"/>
  <c r="XQ34" i="3" s="1"/>
  <c r="XP7" i="4" s="1"/>
  <c r="XP32" i="3"/>
  <c r="XP34" i="3" s="1"/>
  <c r="XO7" i="4" s="1"/>
  <c r="XO32" i="3"/>
  <c r="XO34" i="3" s="1"/>
  <c r="XN7" i="4" s="1"/>
  <c r="XN32" i="3"/>
  <c r="XN34" i="3" s="1"/>
  <c r="XM7" i="4" s="1"/>
  <c r="XM32" i="3"/>
  <c r="XM34" i="3" s="1"/>
  <c r="XL7" i="4" s="1"/>
  <c r="XL32" i="3"/>
  <c r="XL34" i="3" s="1"/>
  <c r="XK7" i="4" s="1"/>
  <c r="XK32" i="3"/>
  <c r="XK34" i="3" s="1"/>
  <c r="XJ7" i="4" s="1"/>
  <c r="XJ32" i="3"/>
  <c r="XJ34" i="3" s="1"/>
  <c r="XI7" i="4" s="1"/>
  <c r="XI32" i="3"/>
  <c r="XI34" i="3" s="1"/>
  <c r="XH7" i="4" s="1"/>
  <c r="XG32" i="3"/>
  <c r="XG34" i="3" s="1"/>
  <c r="XF7" i="4" s="1"/>
  <c r="XF32" i="3"/>
  <c r="XF34" i="3" s="1"/>
  <c r="XE7" i="4" s="1"/>
  <c r="XE32" i="3"/>
  <c r="XE34" i="3" s="1"/>
  <c r="XD7" i="4" s="1"/>
  <c r="XD32" i="3"/>
  <c r="XD34" i="3" s="1"/>
  <c r="XC7" i="4" s="1"/>
  <c r="XC32" i="3"/>
  <c r="XC34" i="3" s="1"/>
  <c r="XB7" i="4" s="1"/>
  <c r="XB32" i="3"/>
  <c r="XB34" i="3" s="1"/>
  <c r="XA7" i="4" s="1"/>
  <c r="XA32" i="3"/>
  <c r="XA34" i="3" s="1"/>
  <c r="WZ7" i="4" s="1"/>
  <c r="WZ32" i="3"/>
  <c r="WZ34" i="3" s="1"/>
  <c r="WY7" i="4" s="1"/>
  <c r="WY32" i="3"/>
  <c r="WY34" i="3" s="1"/>
  <c r="WX7" i="4" s="1"/>
  <c r="WX32" i="3"/>
  <c r="WX34" i="3" s="1"/>
  <c r="WW7" i="4" s="1"/>
  <c r="WW32" i="3"/>
  <c r="WW34" i="3" s="1"/>
  <c r="WV7" i="4" s="1"/>
  <c r="WV32" i="3"/>
  <c r="WV34" i="3" s="1"/>
  <c r="WU7" i="4" s="1"/>
  <c r="WU32" i="3"/>
  <c r="WU34" i="3" s="1"/>
  <c r="WT7" i="4" s="1"/>
  <c r="WT32" i="3"/>
  <c r="WT34" i="3" s="1"/>
  <c r="WS7" i="4" s="1"/>
  <c r="WS32" i="3"/>
  <c r="WS34" i="3" s="1"/>
  <c r="WR7" i="4" s="1"/>
  <c r="WR32" i="3"/>
  <c r="WR34" i="3" s="1"/>
  <c r="WQ7" i="4" s="1"/>
  <c r="WQ32" i="3"/>
  <c r="WQ34" i="3" s="1"/>
  <c r="WP7" i="4" s="1"/>
  <c r="WP32" i="3"/>
  <c r="WP34" i="3" s="1"/>
  <c r="WO7" i="4" s="1"/>
  <c r="WO32" i="3"/>
  <c r="WO34" i="3" s="1"/>
  <c r="WN7" i="4" s="1"/>
  <c r="WN32" i="3"/>
  <c r="WN34" i="3" s="1"/>
  <c r="WM7" i="4" s="1"/>
  <c r="WM32" i="3"/>
  <c r="WM34" i="3" s="1"/>
  <c r="WL7" i="4" s="1"/>
  <c r="WL32" i="3"/>
  <c r="WL34" i="3" s="1"/>
  <c r="WK7" i="4" s="1"/>
  <c r="WK32" i="3"/>
  <c r="WK34" i="3" s="1"/>
  <c r="WJ7" i="4" s="1"/>
  <c r="WJ32" i="3"/>
  <c r="WJ34" i="3" s="1"/>
  <c r="WI7" i="4" s="1"/>
  <c r="WI32" i="3"/>
  <c r="WI34" i="3" s="1"/>
  <c r="WH7" i="4" s="1"/>
  <c r="WH32" i="3"/>
  <c r="WH34" i="3" s="1"/>
  <c r="WG7" i="4" s="1"/>
  <c r="WG32" i="3"/>
  <c r="WG34" i="3" s="1"/>
  <c r="WF7" i="4" s="1"/>
  <c r="WF32" i="3"/>
  <c r="WF34" i="3" s="1"/>
  <c r="WE7" i="4" s="1"/>
  <c r="WE32" i="3"/>
  <c r="WE34" i="3" s="1"/>
  <c r="WD7" i="4" s="1"/>
  <c r="WD32" i="3"/>
  <c r="WD34" i="3" s="1"/>
  <c r="WC7" i="4" s="1"/>
  <c r="WA32" i="3"/>
  <c r="WA34" i="3" s="1"/>
  <c r="VZ7" i="4" s="1"/>
  <c r="VZ32" i="3"/>
  <c r="VZ34" i="3" s="1"/>
  <c r="VY7" i="4" s="1"/>
  <c r="VY32" i="3"/>
  <c r="VY34" i="3" s="1"/>
  <c r="VX7" i="4" s="1"/>
  <c r="VX32" i="3"/>
  <c r="VX34" i="3" s="1"/>
  <c r="VW7" i="4" s="1"/>
  <c r="VW32" i="3"/>
  <c r="VW34" i="3" s="1"/>
  <c r="VV7" i="4" s="1"/>
  <c r="VV32" i="3"/>
  <c r="VV34" i="3" s="1"/>
  <c r="VU7" i="4" s="1"/>
  <c r="VU32" i="3"/>
  <c r="VU34" i="3" s="1"/>
  <c r="VT7" i="4" s="1"/>
  <c r="VT32" i="3"/>
  <c r="VT34" i="3" s="1"/>
  <c r="VS7" i="4" s="1"/>
  <c r="VS32" i="3"/>
  <c r="VS34" i="3" s="1"/>
  <c r="VR7" i="4" s="1"/>
  <c r="VR32" i="3"/>
  <c r="VR34" i="3" s="1"/>
  <c r="VQ7" i="4" s="1"/>
  <c r="VQ32" i="3"/>
  <c r="VQ34" i="3" s="1"/>
  <c r="VP7" i="4" s="1"/>
  <c r="VP32" i="3"/>
  <c r="VP34" i="3" s="1"/>
  <c r="VO7" i="4" s="1"/>
  <c r="VO32" i="3"/>
  <c r="VO34" i="3" s="1"/>
  <c r="VN7" i="4" s="1"/>
  <c r="VN32" i="3"/>
  <c r="VN34" i="3" s="1"/>
  <c r="VM7" i="4" s="1"/>
  <c r="VM32" i="3"/>
  <c r="VM34" i="3" s="1"/>
  <c r="VL7" i="4" s="1"/>
  <c r="VL32" i="3"/>
  <c r="VL34" i="3" s="1"/>
  <c r="VK7" i="4" s="1"/>
  <c r="VK32" i="3"/>
  <c r="VK34" i="3" s="1"/>
  <c r="VJ7" i="4" s="1"/>
  <c r="VJ32" i="3"/>
  <c r="VJ34" i="3" s="1"/>
  <c r="VI7" i="4" s="1"/>
  <c r="VI32" i="3"/>
  <c r="VI34" i="3" s="1"/>
  <c r="VH7" i="4" s="1"/>
  <c r="VH32" i="3"/>
  <c r="VH34" i="3" s="1"/>
  <c r="VG7" i="4" s="1"/>
  <c r="VG32" i="3"/>
  <c r="VG34" i="3" s="1"/>
  <c r="VF7" i="4" s="1"/>
  <c r="VF32" i="3"/>
  <c r="VF34" i="3" s="1"/>
  <c r="VE7" i="4" s="1"/>
  <c r="VE32" i="3"/>
  <c r="VE34" i="3" s="1"/>
  <c r="VD7" i="4" s="1"/>
  <c r="VD32" i="3"/>
  <c r="VD34" i="3" s="1"/>
  <c r="VC7" i="4" s="1"/>
  <c r="VC32" i="3"/>
  <c r="VC34" i="3" s="1"/>
  <c r="VB7" i="4" s="1"/>
  <c r="VB32" i="3"/>
  <c r="VB34" i="3" s="1"/>
  <c r="VA7" i="4" s="1"/>
  <c r="VA32" i="3"/>
  <c r="VA34" i="3" s="1"/>
  <c r="UZ7" i="4" s="1"/>
  <c r="IT32" i="3"/>
  <c r="IT34" i="3" s="1"/>
  <c r="IS7" i="4" s="1"/>
  <c r="IS32" i="3"/>
  <c r="IS34" i="3" s="1"/>
  <c r="IR7" i="4" s="1"/>
  <c r="IR32" i="3"/>
  <c r="IR34" i="3" s="1"/>
  <c r="IQ7" i="4" s="1"/>
  <c r="IQ32" i="3"/>
  <c r="IQ34" i="3" s="1"/>
  <c r="IP7" i="4" s="1"/>
  <c r="IP32" i="3"/>
  <c r="IP34" i="3" s="1"/>
  <c r="IO7" i="4" s="1"/>
  <c r="IO32" i="3"/>
  <c r="IO34" i="3" s="1"/>
  <c r="IN7" i="4" s="1"/>
  <c r="IN32" i="3"/>
  <c r="IN34" i="3" s="1"/>
  <c r="IM7" i="4" s="1"/>
  <c r="IM32" i="3"/>
  <c r="IM34" i="3" s="1"/>
  <c r="IL7" i="4" s="1"/>
  <c r="IL32" i="3"/>
  <c r="IL34" i="3" s="1"/>
  <c r="IK7" i="4" s="1"/>
  <c r="IK32" i="3"/>
  <c r="IK34" i="3" s="1"/>
  <c r="IJ7" i="4" s="1"/>
  <c r="IJ32" i="3"/>
  <c r="IJ34" i="3" s="1"/>
  <c r="II7" i="4" s="1"/>
  <c r="II32" i="3"/>
  <c r="II34" i="3" s="1"/>
  <c r="IH7" i="4" s="1"/>
  <c r="IH32" i="3"/>
  <c r="IH34" i="3" s="1"/>
  <c r="IG7" i="4" s="1"/>
  <c r="IG32" i="3"/>
  <c r="IG34" i="3" s="1"/>
  <c r="IF7" i="4" s="1"/>
  <c r="IF32" i="3"/>
  <c r="IF34" i="3" s="1"/>
  <c r="IE7" i="4" s="1"/>
  <c r="IE32" i="3"/>
  <c r="IE34" i="3" s="1"/>
  <c r="ID7" i="4" s="1"/>
  <c r="ID32" i="3"/>
  <c r="ID34" i="3" s="1"/>
  <c r="IC7" i="4" s="1"/>
  <c r="IC32" i="3"/>
  <c r="IC34" i="3" s="1"/>
  <c r="IB7" i="4" s="1"/>
  <c r="IB32" i="3"/>
  <c r="IB34" i="3" s="1"/>
  <c r="IA7" i="4" s="1"/>
  <c r="IA32" i="3"/>
  <c r="IA34" i="3" s="1"/>
  <c r="HZ7" i="4" s="1"/>
  <c r="HZ32" i="3"/>
  <c r="HZ34" i="3" s="1"/>
  <c r="HY7" i="4" s="1"/>
  <c r="HY32" i="3"/>
  <c r="HY34" i="3" s="1"/>
  <c r="HX7" i="4" s="1"/>
  <c r="HX32" i="3"/>
  <c r="HX34" i="3" s="1"/>
  <c r="HW7" i="4" s="1"/>
  <c r="HW32" i="3"/>
  <c r="HW34" i="3" s="1"/>
  <c r="HV7" i="4" s="1"/>
  <c r="HV32" i="3"/>
  <c r="HV34" i="3" s="1"/>
  <c r="HU7" i="4" s="1"/>
  <c r="HU32" i="3"/>
  <c r="HU34" i="3" s="1"/>
  <c r="HT7" i="4" s="1"/>
  <c r="HT32" i="3"/>
  <c r="HT34" i="3" s="1"/>
  <c r="HS7" i="4" s="1"/>
  <c r="HS32" i="3"/>
  <c r="HS34" i="3" s="1"/>
  <c r="HR7" i="4" s="1"/>
  <c r="HR32" i="3"/>
  <c r="HR34" i="3" s="1"/>
  <c r="HQ7" i="4" s="1"/>
  <c r="HQ32" i="3"/>
  <c r="HQ34" i="3" s="1"/>
  <c r="HP7" i="4" s="1"/>
  <c r="HN32" i="3"/>
  <c r="HN34" i="3" s="1"/>
  <c r="HM7" i="4" s="1"/>
  <c r="HM32" i="3"/>
  <c r="HM34" i="3" s="1"/>
  <c r="HL7" i="4" s="1"/>
  <c r="HL32" i="3"/>
  <c r="HL34" i="3" s="1"/>
  <c r="HK7" i="4" s="1"/>
  <c r="HK32" i="3"/>
  <c r="HK34" i="3" s="1"/>
  <c r="HJ7" i="4" s="1"/>
  <c r="HJ32" i="3"/>
  <c r="HJ34" i="3" s="1"/>
  <c r="HI7" i="4" s="1"/>
  <c r="HI32" i="3"/>
  <c r="HI34" i="3" s="1"/>
  <c r="HH7" i="4" s="1"/>
  <c r="HH32" i="3"/>
  <c r="HH34" i="3" s="1"/>
  <c r="HG7" i="4" s="1"/>
  <c r="HG32" i="3"/>
  <c r="HG34" i="3" s="1"/>
  <c r="HF7" i="4" s="1"/>
  <c r="HF32" i="3"/>
  <c r="HF34" i="3" s="1"/>
  <c r="HE7" i="4" s="1"/>
  <c r="HE32" i="3"/>
  <c r="HE34" i="3" s="1"/>
  <c r="HD7" i="4" s="1"/>
  <c r="HD32" i="3"/>
  <c r="HD34" i="3" s="1"/>
  <c r="HC7" i="4" s="1"/>
  <c r="HC32" i="3"/>
  <c r="HC34" i="3" s="1"/>
  <c r="HB7" i="4" s="1"/>
  <c r="HB32" i="3"/>
  <c r="HB34" i="3" s="1"/>
  <c r="HA7" i="4" s="1"/>
  <c r="HA32" i="3"/>
  <c r="HA34" i="3" s="1"/>
  <c r="GZ7" i="4" s="1"/>
  <c r="GZ32" i="3"/>
  <c r="GZ34" i="3" s="1"/>
  <c r="GY7" i="4" s="1"/>
  <c r="GY32" i="3"/>
  <c r="GY34" i="3" s="1"/>
  <c r="GX7" i="4" s="1"/>
  <c r="GX32" i="3"/>
  <c r="GX34" i="3" s="1"/>
  <c r="GW7" i="4" s="1"/>
  <c r="GW32" i="3"/>
  <c r="GW34" i="3" s="1"/>
  <c r="GV7" i="4" s="1"/>
  <c r="GV32" i="3"/>
  <c r="GV34" i="3" s="1"/>
  <c r="GU7" i="4" s="1"/>
  <c r="GU32" i="3"/>
  <c r="GU34" i="3" s="1"/>
  <c r="GT7" i="4" s="1"/>
  <c r="GT32" i="3"/>
  <c r="GT34" i="3" s="1"/>
  <c r="GS7" i="4" s="1"/>
  <c r="GS32" i="3"/>
  <c r="GS34" i="3" s="1"/>
  <c r="GR7" i="4" s="1"/>
  <c r="GR32" i="3"/>
  <c r="GR34" i="3" s="1"/>
  <c r="GQ7" i="4" s="1"/>
  <c r="GQ32" i="3"/>
  <c r="GQ34" i="3" s="1"/>
  <c r="GP7" i="4" s="1"/>
  <c r="GP32" i="3"/>
  <c r="GP34" i="3" s="1"/>
  <c r="GO7" i="4" s="1"/>
  <c r="GO32" i="3"/>
  <c r="GO34" i="3" s="1"/>
  <c r="GN7" i="4" s="1"/>
  <c r="GN32" i="3"/>
  <c r="GN34" i="3" s="1"/>
  <c r="GM7" i="4" s="1"/>
  <c r="GM32" i="3"/>
  <c r="GM34" i="3" s="1"/>
  <c r="GL7" i="4" s="1"/>
  <c r="GJ32" i="3"/>
  <c r="GJ34" i="3" s="1"/>
  <c r="GI7" i="4" s="1"/>
  <c r="GI32" i="3"/>
  <c r="GI34" i="3" s="1"/>
  <c r="GH7" i="4" s="1"/>
  <c r="GH32" i="3"/>
  <c r="GH34" i="3" s="1"/>
  <c r="GG7" i="4" s="1"/>
  <c r="GG32" i="3"/>
  <c r="GG34" i="3" s="1"/>
  <c r="GF7" i="4" s="1"/>
  <c r="GF32" i="3"/>
  <c r="GF34" i="3" s="1"/>
  <c r="GE7" i="4" s="1"/>
  <c r="GE32" i="3"/>
  <c r="GE34" i="3" s="1"/>
  <c r="GD7" i="4" s="1"/>
  <c r="GD32" i="3"/>
  <c r="GD34" i="3" s="1"/>
  <c r="GC7" i="4" s="1"/>
  <c r="GC32" i="3"/>
  <c r="GC34" i="3" s="1"/>
  <c r="GB7" i="4" s="1"/>
  <c r="GB32" i="3"/>
  <c r="GB34" i="3" s="1"/>
  <c r="GA7" i="4" s="1"/>
  <c r="GA32" i="3"/>
  <c r="GA34" i="3" s="1"/>
  <c r="FZ7" i="4" s="1"/>
  <c r="FZ32" i="3"/>
  <c r="FZ34" i="3" s="1"/>
  <c r="FY7" i="4" s="1"/>
  <c r="FY32" i="3"/>
  <c r="FY34" i="3" s="1"/>
  <c r="FX7" i="4" s="1"/>
  <c r="FX32" i="3"/>
  <c r="FX34" i="3" s="1"/>
  <c r="FW7" i="4" s="1"/>
  <c r="FW32" i="3"/>
  <c r="FW34" i="3" s="1"/>
  <c r="FV7" i="4" s="1"/>
  <c r="FV32" i="3"/>
  <c r="FV34" i="3" s="1"/>
  <c r="FU7" i="4" s="1"/>
  <c r="FU32" i="3"/>
  <c r="FU34" i="3" s="1"/>
  <c r="FT7" i="4" s="1"/>
  <c r="FT32" i="3"/>
  <c r="FT34" i="3" s="1"/>
  <c r="FS7" i="4" s="1"/>
  <c r="FS32" i="3"/>
  <c r="FS34" i="3" s="1"/>
  <c r="FR7" i="4" s="1"/>
  <c r="FR32" i="3"/>
  <c r="FR34" i="3" s="1"/>
  <c r="FQ7" i="4" s="1"/>
  <c r="FQ32" i="3"/>
  <c r="FQ34" i="3" s="1"/>
  <c r="FP7" i="4" s="1"/>
  <c r="FP32" i="3"/>
  <c r="FP34" i="3" s="1"/>
  <c r="FO7" i="4" s="1"/>
  <c r="FO32" i="3"/>
  <c r="FO34" i="3" s="1"/>
  <c r="FN7" i="4" s="1"/>
  <c r="FN32" i="3"/>
  <c r="FN34" i="3" s="1"/>
  <c r="FM7" i="4" s="1"/>
  <c r="FM32" i="3"/>
  <c r="FM34" i="3" s="1"/>
  <c r="FL7" i="4" s="1"/>
  <c r="FL32" i="3"/>
  <c r="FL34" i="3" s="1"/>
  <c r="FK7" i="4" s="1"/>
  <c r="FK32" i="3"/>
  <c r="FK34" i="3" s="1"/>
  <c r="FJ7" i="4" s="1"/>
  <c r="FJ32" i="3"/>
  <c r="FJ34" i="3" s="1"/>
  <c r="FI7" i="4" s="1"/>
  <c r="FI32" i="3"/>
  <c r="FI34" i="3" s="1"/>
  <c r="FH7" i="4" s="1"/>
  <c r="FH32" i="3"/>
  <c r="FH34" i="3" s="1"/>
  <c r="FG7" i="4" s="1"/>
  <c r="FG32" i="3"/>
  <c r="FG34" i="3" s="1"/>
  <c r="FF7" i="4" s="1"/>
  <c r="FD32" i="3"/>
  <c r="FD34" i="3" s="1"/>
  <c r="FC7" i="4" s="1"/>
  <c r="FC32" i="3"/>
  <c r="FC34" i="3" s="1"/>
  <c r="FB7" i="4" s="1"/>
  <c r="FB32" i="3"/>
  <c r="FB34" i="3" s="1"/>
  <c r="FA7" i="4" s="1"/>
  <c r="FA32" i="3"/>
  <c r="FA34" i="3" s="1"/>
  <c r="EZ7" i="4" s="1"/>
  <c r="EZ32" i="3"/>
  <c r="EZ34" i="3" s="1"/>
  <c r="EY7" i="4" s="1"/>
  <c r="EY32" i="3"/>
  <c r="EY34" i="3" s="1"/>
  <c r="EX7" i="4" s="1"/>
  <c r="EX32" i="3"/>
  <c r="EX34" i="3" s="1"/>
  <c r="EW7" i="4" s="1"/>
  <c r="EW32" i="3"/>
  <c r="EW34" i="3" s="1"/>
  <c r="EV7" i="4" s="1"/>
  <c r="EV32" i="3"/>
  <c r="EV34" i="3" s="1"/>
  <c r="EU7" i="4" s="1"/>
  <c r="EU32" i="3"/>
  <c r="EU34" i="3" s="1"/>
  <c r="ET7" i="4" s="1"/>
  <c r="ET32" i="3"/>
  <c r="ET34" i="3" s="1"/>
  <c r="ES7" i="4" s="1"/>
  <c r="ES32" i="3"/>
  <c r="ES34" i="3" s="1"/>
  <c r="ER7" i="4" s="1"/>
  <c r="ER32" i="3"/>
  <c r="ER34" i="3" s="1"/>
  <c r="EQ7" i="4" s="1"/>
  <c r="EQ32" i="3"/>
  <c r="EQ34" i="3" s="1"/>
  <c r="EP7" i="4" s="1"/>
  <c r="EP32" i="3"/>
  <c r="EP34" i="3" s="1"/>
  <c r="EO7" i="4" s="1"/>
  <c r="EO32" i="3"/>
  <c r="EO34" i="3" s="1"/>
  <c r="EN7" i="4" s="1"/>
  <c r="EN32" i="3"/>
  <c r="EN34" i="3" s="1"/>
  <c r="EM7" i="4" s="1"/>
  <c r="EM32" i="3"/>
  <c r="EM34" i="3" s="1"/>
  <c r="EL7" i="4" s="1"/>
  <c r="EL32" i="3"/>
  <c r="EL34" i="3" s="1"/>
  <c r="EK7" i="4" s="1"/>
  <c r="EK32" i="3"/>
  <c r="EK34" i="3" s="1"/>
  <c r="EJ7" i="4" s="1"/>
  <c r="EJ32" i="3"/>
  <c r="EJ34" i="3" s="1"/>
  <c r="EI7" i="4" s="1"/>
  <c r="EI32" i="3"/>
  <c r="EI34" i="3" s="1"/>
  <c r="EH7" i="4" s="1"/>
  <c r="EH32" i="3"/>
  <c r="EH34" i="3" s="1"/>
  <c r="EG7" i="4" s="1"/>
  <c r="EG32" i="3"/>
  <c r="EG34" i="3" s="1"/>
  <c r="EF7" i="4" s="1"/>
  <c r="EF32" i="3"/>
  <c r="EF34" i="3" s="1"/>
  <c r="EE7" i="4" s="1"/>
  <c r="EE32" i="3"/>
  <c r="EE34" i="3" s="1"/>
  <c r="ED7" i="4" s="1"/>
  <c r="ED32" i="3"/>
  <c r="ED34" i="3" s="1"/>
  <c r="EC7" i="4" s="1"/>
  <c r="EC32" i="3"/>
  <c r="EC34" i="3" s="1"/>
  <c r="EB7" i="4" s="1"/>
  <c r="EB32" i="3"/>
  <c r="EB34" i="3" s="1"/>
  <c r="EA7" i="4" s="1"/>
  <c r="EA32" i="3"/>
  <c r="EA34" i="3" s="1"/>
  <c r="DZ7" i="4" s="1"/>
  <c r="DX32" i="3"/>
  <c r="DX34" i="3" s="1"/>
  <c r="DW7" i="4" s="1"/>
  <c r="DW32" i="3"/>
  <c r="DW34" i="3" s="1"/>
  <c r="DV7" i="4" s="1"/>
  <c r="DV32" i="3"/>
  <c r="DV34" i="3" s="1"/>
  <c r="DU7" i="4" s="1"/>
  <c r="DU32" i="3"/>
  <c r="DU34" i="3" s="1"/>
  <c r="DT7" i="4" s="1"/>
  <c r="DT32" i="3"/>
  <c r="DT34" i="3" s="1"/>
  <c r="DS7" i="4" s="1"/>
  <c r="DS32" i="3"/>
  <c r="DS34" i="3" s="1"/>
  <c r="DR7" i="4" s="1"/>
  <c r="DR32" i="3"/>
  <c r="DR34" i="3" s="1"/>
  <c r="DQ7" i="4" s="1"/>
  <c r="DQ32" i="3"/>
  <c r="DQ34" i="3" s="1"/>
  <c r="DP7" i="4" s="1"/>
  <c r="DP32" i="3"/>
  <c r="DP34" i="3" s="1"/>
  <c r="DO7" i="4" s="1"/>
  <c r="DO32" i="3"/>
  <c r="DO34" i="3" s="1"/>
  <c r="DN7" i="4" s="1"/>
  <c r="DN32" i="3"/>
  <c r="DN34" i="3" s="1"/>
  <c r="DM7" i="4" s="1"/>
  <c r="DM32" i="3"/>
  <c r="DM34" i="3" s="1"/>
  <c r="DL7" i="4" s="1"/>
  <c r="DL32" i="3"/>
  <c r="DL34" i="3" s="1"/>
  <c r="DK7" i="4" s="1"/>
  <c r="DK32" i="3"/>
  <c r="DK34" i="3" s="1"/>
  <c r="DJ7" i="4" s="1"/>
  <c r="DJ32" i="3"/>
  <c r="DJ34" i="3" s="1"/>
  <c r="DI7" i="4" s="1"/>
  <c r="DI32" i="3"/>
  <c r="DI34" i="3" s="1"/>
  <c r="DH7" i="4" s="1"/>
  <c r="DH32" i="3"/>
  <c r="DH34" i="3" s="1"/>
  <c r="DG7" i="4" s="1"/>
  <c r="DG32" i="3"/>
  <c r="DG34" i="3" s="1"/>
  <c r="DF7" i="4" s="1"/>
  <c r="DF32" i="3"/>
  <c r="DF34" i="3" s="1"/>
  <c r="DE7" i="4" s="1"/>
  <c r="DE32" i="3"/>
  <c r="DE34" i="3" s="1"/>
  <c r="DD7" i="4" s="1"/>
  <c r="DD32" i="3"/>
  <c r="DD34" i="3" s="1"/>
  <c r="DC7" i="4" s="1"/>
  <c r="DC32" i="3"/>
  <c r="DC34" i="3" s="1"/>
  <c r="DB7" i="4" s="1"/>
  <c r="DB32" i="3"/>
  <c r="DB34" i="3" s="1"/>
  <c r="DA7" i="4" s="1"/>
  <c r="DA32" i="3"/>
  <c r="DA34" i="3" s="1"/>
  <c r="CZ7" i="4" s="1"/>
  <c r="CZ32" i="3"/>
  <c r="CZ34" i="3" s="1"/>
  <c r="CY7" i="4" s="1"/>
  <c r="CY32" i="3"/>
  <c r="CY34" i="3" s="1"/>
  <c r="CX7" i="4" s="1"/>
  <c r="CX32" i="3"/>
  <c r="CX34" i="3" s="1"/>
  <c r="CW7" i="4" s="1"/>
  <c r="CW32" i="3"/>
  <c r="CW34" i="3" s="1"/>
  <c r="CV7" i="4" s="1"/>
  <c r="CV32" i="3"/>
  <c r="CV34" i="3" s="1"/>
  <c r="CU7" i="4" s="1"/>
  <c r="CS32" i="3"/>
  <c r="CS34" i="3" s="1"/>
  <c r="CR7" i="4" s="1"/>
  <c r="CR32" i="3"/>
  <c r="CR34" i="3" s="1"/>
  <c r="CQ7" i="4" s="1"/>
  <c r="CQ32" i="3"/>
  <c r="CQ34" i="3" s="1"/>
  <c r="CP7" i="4" s="1"/>
  <c r="CP32" i="3"/>
  <c r="CP34" i="3" s="1"/>
  <c r="CO7" i="4" s="1"/>
  <c r="CO32" i="3"/>
  <c r="CO34" i="3" s="1"/>
  <c r="CN7" i="4" s="1"/>
  <c r="CN32" i="3"/>
  <c r="CN34" i="3" s="1"/>
  <c r="CM7" i="4" s="1"/>
  <c r="CM32" i="3"/>
  <c r="CM34" i="3" s="1"/>
  <c r="CL7" i="4" s="1"/>
  <c r="CL32" i="3"/>
  <c r="CL34" i="3" s="1"/>
  <c r="CK7" i="4" s="1"/>
  <c r="CK32" i="3"/>
  <c r="CK34" i="3" s="1"/>
  <c r="CJ7" i="4" s="1"/>
  <c r="CJ32" i="3"/>
  <c r="CJ34" i="3" s="1"/>
  <c r="CI7" i="4" s="1"/>
  <c r="CI32" i="3"/>
  <c r="CI34" i="3" s="1"/>
  <c r="CH7" i="4" s="1"/>
  <c r="CH32" i="3"/>
  <c r="CH34" i="3" s="1"/>
  <c r="CG7" i="4" s="1"/>
  <c r="CG32" i="3"/>
  <c r="CG34" i="3" s="1"/>
  <c r="CF7" i="4" s="1"/>
  <c r="CF32" i="3"/>
  <c r="CF34" i="3" s="1"/>
  <c r="CE7" i="4" s="1"/>
  <c r="CE32" i="3"/>
  <c r="CE34" i="3" s="1"/>
  <c r="CD7" i="4" s="1"/>
  <c r="CD32" i="3"/>
  <c r="CD34" i="3" s="1"/>
  <c r="CC7" i="4" s="1"/>
  <c r="CC32" i="3"/>
  <c r="CC34" i="3" s="1"/>
  <c r="CB7" i="4" s="1"/>
  <c r="CB32" i="3"/>
  <c r="CB34" i="3" s="1"/>
  <c r="CA7" i="4" s="1"/>
  <c r="CA32" i="3"/>
  <c r="CA34" i="3" s="1"/>
  <c r="BZ7" i="4" s="1"/>
  <c r="BZ32" i="3"/>
  <c r="BZ34" i="3" s="1"/>
  <c r="BY7" i="4" s="1"/>
  <c r="BY32" i="3"/>
  <c r="BY34" i="3" s="1"/>
  <c r="BX7" i="4" s="1"/>
  <c r="BX32" i="3"/>
  <c r="BX34" i="3" s="1"/>
  <c r="BW7" i="4" s="1"/>
  <c r="BW32" i="3"/>
  <c r="BW34" i="3" s="1"/>
  <c r="BV7" i="4" s="1"/>
  <c r="BV32" i="3"/>
  <c r="BV34" i="3" s="1"/>
  <c r="BU7" i="4" s="1"/>
  <c r="BU32" i="3"/>
  <c r="BU34" i="3" s="1"/>
  <c r="BT7" i="4" s="1"/>
  <c r="BT32" i="3"/>
  <c r="BT34" i="3" s="1"/>
  <c r="BS7" i="4" s="1"/>
  <c r="BS32" i="3"/>
  <c r="BS34" i="3" s="1"/>
  <c r="BR7" i="4" s="1"/>
  <c r="BR32" i="3"/>
  <c r="BR34" i="3" s="1"/>
  <c r="BQ7" i="4" s="1"/>
  <c r="BQ32" i="3"/>
  <c r="BQ34" i="3" s="1"/>
  <c r="BP7" i="4" s="1"/>
  <c r="BP32" i="3"/>
  <c r="BP34" i="3" s="1"/>
  <c r="BO7" i="4" s="1"/>
  <c r="BM32" i="3"/>
  <c r="BM34" i="3" s="1"/>
  <c r="BL7" i="4" s="1"/>
  <c r="BL32" i="3"/>
  <c r="BL34" i="3" s="1"/>
  <c r="BK7" i="4" s="1"/>
  <c r="BK32" i="3"/>
  <c r="BK34" i="3" s="1"/>
  <c r="BJ7" i="4" s="1"/>
  <c r="BJ32" i="3"/>
  <c r="BJ34" i="3" s="1"/>
  <c r="BI7" i="4" s="1"/>
  <c r="BI32" i="3"/>
  <c r="BI34" i="3" s="1"/>
  <c r="BH7" i="4" s="1"/>
  <c r="BH32" i="3"/>
  <c r="BH34" i="3" s="1"/>
  <c r="BG7" i="4" s="1"/>
  <c r="BG32" i="3"/>
  <c r="BG34" i="3" s="1"/>
  <c r="BF7" i="4" s="1"/>
  <c r="BF32" i="3"/>
  <c r="BF34" i="3" s="1"/>
  <c r="BE7" i="4" s="1"/>
  <c r="BE32" i="3"/>
  <c r="BE34" i="3" s="1"/>
  <c r="BD7" i="4" s="1"/>
  <c r="BD32" i="3"/>
  <c r="BD34" i="3" s="1"/>
  <c r="BC7" i="4" s="1"/>
  <c r="BC32" i="3"/>
  <c r="BC34" i="3" s="1"/>
  <c r="BB7" i="4" s="1"/>
  <c r="BB32" i="3"/>
  <c r="BB34" i="3" s="1"/>
  <c r="BA7" i="4" s="1"/>
  <c r="BA32" i="3"/>
  <c r="BA34" i="3" s="1"/>
  <c r="AZ7" i="4" s="1"/>
  <c r="AZ32" i="3"/>
  <c r="AZ34" i="3" s="1"/>
  <c r="AY7" i="4" s="1"/>
  <c r="AY32" i="3"/>
  <c r="AY34" i="3" s="1"/>
  <c r="AX7" i="4" s="1"/>
  <c r="AX32" i="3"/>
  <c r="AX34" i="3" s="1"/>
  <c r="AW7" i="4" s="1"/>
  <c r="AW32" i="3"/>
  <c r="AW34" i="3" s="1"/>
  <c r="AV7" i="4" s="1"/>
  <c r="AV32" i="3"/>
  <c r="AV34" i="3" s="1"/>
  <c r="AU7" i="4" s="1"/>
  <c r="AU32" i="3"/>
  <c r="AU34" i="3" s="1"/>
  <c r="AT7" i="4" s="1"/>
  <c r="AT32" i="3"/>
  <c r="AT34" i="3" s="1"/>
  <c r="AS7" i="4" s="1"/>
  <c r="AS32" i="3"/>
  <c r="AS34" i="3" s="1"/>
  <c r="AR7" i="4" s="1"/>
  <c r="AR32" i="3"/>
  <c r="AR34" i="3" s="1"/>
  <c r="AQ7" i="4" s="1"/>
  <c r="AQ32" i="3"/>
  <c r="AQ34" i="3" s="1"/>
  <c r="AP7" i="4" s="1"/>
  <c r="AP32" i="3"/>
  <c r="AP34" i="3" s="1"/>
  <c r="AO7" i="4" s="1"/>
  <c r="AO32" i="3"/>
  <c r="AO34" i="3" s="1"/>
  <c r="AN7" i="4" s="1"/>
  <c r="AN32" i="3"/>
  <c r="AN34" i="3" s="1"/>
  <c r="AM7" i="4" s="1"/>
  <c r="AM32" i="3"/>
  <c r="AM34" i="3" s="1"/>
  <c r="AL7" i="4" s="1"/>
  <c r="AL32" i="3"/>
  <c r="AL34" i="3" s="1"/>
  <c r="AK7" i="4" s="1"/>
  <c r="AK32" i="3"/>
  <c r="AK34" i="3" s="1"/>
  <c r="AJ7" i="4" s="1"/>
  <c r="AH32" i="3"/>
  <c r="AH34" i="3" s="1"/>
  <c r="AG7" i="4" s="1"/>
  <c r="AG32" i="3"/>
  <c r="AG34" i="3" s="1"/>
  <c r="AF7" i="4" s="1"/>
  <c r="AF32" i="3"/>
  <c r="AF34" i="3" s="1"/>
  <c r="AE7" i="4" s="1"/>
  <c r="AE32" i="3"/>
  <c r="AE34" i="3" s="1"/>
  <c r="AD7" i="4" s="1"/>
  <c r="AD32" i="3"/>
  <c r="AD34" i="3" s="1"/>
  <c r="AC7" i="4" s="1"/>
  <c r="AC32" i="3"/>
  <c r="AC34" i="3" s="1"/>
  <c r="AB7" i="4" s="1"/>
  <c r="AB32" i="3"/>
  <c r="AB34" i="3" s="1"/>
  <c r="AA7" i="4" s="1"/>
  <c r="AA32" i="3"/>
  <c r="AA34" i="3" s="1"/>
  <c r="Z7" i="4" s="1"/>
  <c r="Z32" i="3"/>
  <c r="Z34" i="3" s="1"/>
  <c r="Y7" i="4" s="1"/>
  <c r="Y32" i="3"/>
  <c r="Y34" i="3" s="1"/>
  <c r="X7" i="4" s="1"/>
  <c r="X32" i="3"/>
  <c r="X34" i="3" s="1"/>
  <c r="W7" i="4" s="1"/>
  <c r="W32" i="3"/>
  <c r="W34" i="3" s="1"/>
  <c r="V7" i="4" s="1"/>
  <c r="V32" i="3"/>
  <c r="V34" i="3" s="1"/>
  <c r="U7" i="4" s="1"/>
  <c r="U32" i="3"/>
  <c r="U34" i="3" s="1"/>
  <c r="T7" i="4" s="1"/>
  <c r="T32" i="3"/>
  <c r="T34" i="3" s="1"/>
  <c r="S7" i="4" s="1"/>
  <c r="S32" i="3"/>
  <c r="S34" i="3" s="1"/>
  <c r="R7" i="4" s="1"/>
  <c r="R32" i="3"/>
  <c r="R34" i="3" s="1"/>
  <c r="Q7" i="4" s="1"/>
  <c r="Q32" i="3"/>
  <c r="Q34" i="3" s="1"/>
  <c r="P7" i="4" s="1"/>
  <c r="P32" i="3"/>
  <c r="P34" i="3" s="1"/>
  <c r="O7" i="4" s="1"/>
  <c r="O32" i="3"/>
  <c r="O34" i="3" s="1"/>
  <c r="N7" i="4" s="1"/>
  <c r="N32" i="3"/>
  <c r="N34" i="3" s="1"/>
  <c r="M7" i="4" s="1"/>
  <c r="M32" i="3"/>
  <c r="M34" i="3" s="1"/>
  <c r="L7" i="4" s="1"/>
  <c r="L32" i="3"/>
  <c r="L34" i="3" s="1"/>
  <c r="K7" i="4" s="1"/>
  <c r="K32" i="3"/>
  <c r="K34" i="3" s="1"/>
  <c r="J7" i="4" s="1"/>
  <c r="J32" i="3"/>
  <c r="J34" i="3" s="1"/>
  <c r="I7" i="4" s="1"/>
  <c r="I32" i="3"/>
  <c r="I34" i="3" s="1"/>
  <c r="H7" i="4" s="1"/>
  <c r="H32" i="3"/>
  <c r="H34" i="3" s="1"/>
  <c r="G7" i="4" s="1"/>
  <c r="G32" i="3"/>
  <c r="G34" i="3" s="1"/>
  <c r="F7" i="4" s="1"/>
  <c r="F32" i="3"/>
  <c r="F34" i="3" s="1"/>
  <c r="E7" i="4" s="1"/>
  <c r="E32" i="3"/>
  <c r="E34" i="3" s="1"/>
  <c r="D7" i="4" s="1"/>
  <c r="AI28" i="3"/>
  <c r="AI25" i="3"/>
  <c r="AOC16" i="3"/>
  <c r="AOC18" i="3" s="1"/>
  <c r="AOB4" i="4" s="1"/>
  <c r="AOB16" i="3"/>
  <c r="AOB18" i="3" s="1"/>
  <c r="AOA4" i="4" s="1"/>
  <c r="AOA16" i="3"/>
  <c r="AOA18" i="3" s="1"/>
  <c r="ANZ4" i="4" s="1"/>
  <c r="ANZ16" i="3"/>
  <c r="ANZ18" i="3" s="1"/>
  <c r="ANY4" i="4" s="1"/>
  <c r="ANY16" i="3"/>
  <c r="ANY18" i="3" s="1"/>
  <c r="ANX4" i="4" s="1"/>
  <c r="ANX16" i="3"/>
  <c r="ANX18" i="3" s="1"/>
  <c r="ANW4" i="4" s="1"/>
  <c r="ANW16" i="3"/>
  <c r="ANW18" i="3" s="1"/>
  <c r="ANV4" i="4" s="1"/>
  <c r="ANV16" i="3"/>
  <c r="ANV18" i="3" s="1"/>
  <c r="ANU4" i="4" s="1"/>
  <c r="ANU16" i="3"/>
  <c r="ANU18" i="3" s="1"/>
  <c r="ANT4" i="4" s="1"/>
  <c r="ANT16" i="3"/>
  <c r="ANT18" i="3" s="1"/>
  <c r="ANS4" i="4" s="1"/>
  <c r="ANS16" i="3"/>
  <c r="ANS18" i="3" s="1"/>
  <c r="ANR4" i="4" s="1"/>
  <c r="ANR16" i="3"/>
  <c r="ANR18" i="3" s="1"/>
  <c r="ANQ4" i="4" s="1"/>
  <c r="ANQ16" i="3"/>
  <c r="ANQ18" i="3" s="1"/>
  <c r="ANP4" i="4" s="1"/>
  <c r="ANP16" i="3"/>
  <c r="ANP18" i="3" s="1"/>
  <c r="ANO4" i="4" s="1"/>
  <c r="ANO16" i="3"/>
  <c r="ANO18" i="3" s="1"/>
  <c r="ANN4" i="4" s="1"/>
  <c r="ANN16" i="3"/>
  <c r="ANN18" i="3" s="1"/>
  <c r="ANM4" i="4" s="1"/>
  <c r="ANM16" i="3"/>
  <c r="ANM18" i="3" s="1"/>
  <c r="ANL4" i="4" s="1"/>
  <c r="ANL16" i="3"/>
  <c r="ANL18" i="3" s="1"/>
  <c r="ANK4" i="4" s="1"/>
  <c r="ANK16" i="3"/>
  <c r="ANK18" i="3" s="1"/>
  <c r="ANJ4" i="4" s="1"/>
  <c r="ANJ16" i="3"/>
  <c r="ANJ18" i="3" s="1"/>
  <c r="ANI4" i="4" s="1"/>
  <c r="ANI16" i="3"/>
  <c r="ANI18" i="3" s="1"/>
  <c r="ANH4" i="4" s="1"/>
  <c r="ANH16" i="3"/>
  <c r="ANH18" i="3" s="1"/>
  <c r="ANG4" i="4" s="1"/>
  <c r="ANG16" i="3"/>
  <c r="ANG18" i="3" s="1"/>
  <c r="ANF4" i="4" s="1"/>
  <c r="ANF16" i="3"/>
  <c r="ANF18" i="3" s="1"/>
  <c r="ANE4" i="4" s="1"/>
  <c r="ANE16" i="3"/>
  <c r="ANE18" i="3" s="1"/>
  <c r="AND4" i="4" s="1"/>
  <c r="AND16" i="3"/>
  <c r="AND18" i="3" s="1"/>
  <c r="ANC4" i="4" s="1"/>
  <c r="ANC16" i="3"/>
  <c r="ANC18" i="3" s="1"/>
  <c r="ANB4" i="4" s="1"/>
  <c r="ANB16" i="3"/>
  <c r="ANB18" i="3" s="1"/>
  <c r="ANA4" i="4" s="1"/>
  <c r="ANA16" i="3"/>
  <c r="ANA18" i="3" s="1"/>
  <c r="AMZ4" i="4" s="1"/>
  <c r="AMY16" i="3"/>
  <c r="AMY18" i="3" s="1"/>
  <c r="AMX4" i="4" s="1"/>
  <c r="AMX16" i="3"/>
  <c r="AMX18" i="3" s="1"/>
  <c r="AMW4" i="4" s="1"/>
  <c r="AMW16" i="3"/>
  <c r="AMW18" i="3" s="1"/>
  <c r="AMV4" i="4" s="1"/>
  <c r="AMV16" i="3"/>
  <c r="AMV18" i="3" s="1"/>
  <c r="AMU4" i="4" s="1"/>
  <c r="AMU16" i="3"/>
  <c r="AMU18" i="3" s="1"/>
  <c r="AMT4" i="4" s="1"/>
  <c r="AMT16" i="3"/>
  <c r="AMT18" i="3" s="1"/>
  <c r="AMS4" i="4" s="1"/>
  <c r="AMS16" i="3"/>
  <c r="AMS18" i="3" s="1"/>
  <c r="AMR4" i="4" s="1"/>
  <c r="AMR16" i="3"/>
  <c r="AMR18" i="3" s="1"/>
  <c r="AMQ4" i="4" s="1"/>
  <c r="AMQ16" i="3"/>
  <c r="AMQ18" i="3" s="1"/>
  <c r="AMP4" i="4" s="1"/>
  <c r="AMP16" i="3"/>
  <c r="AMP18" i="3" s="1"/>
  <c r="AMO4" i="4" s="1"/>
  <c r="AMO16" i="3"/>
  <c r="AMO18" i="3" s="1"/>
  <c r="AMN4" i="4" s="1"/>
  <c r="AMN16" i="3"/>
  <c r="AMN18" i="3" s="1"/>
  <c r="AMM4" i="4" s="1"/>
  <c r="AMM16" i="3"/>
  <c r="AMM18" i="3" s="1"/>
  <c r="AML4" i="4" s="1"/>
  <c r="AML16" i="3"/>
  <c r="AML18" i="3" s="1"/>
  <c r="AMK4" i="4" s="1"/>
  <c r="AMK16" i="3"/>
  <c r="AMK18" i="3" s="1"/>
  <c r="AMJ4" i="4" s="1"/>
  <c r="AMJ16" i="3"/>
  <c r="AMJ18" i="3" s="1"/>
  <c r="AMI4" i="4" s="1"/>
  <c r="AMI16" i="3"/>
  <c r="AMI18" i="3" s="1"/>
  <c r="AMH4" i="4" s="1"/>
  <c r="AMH16" i="3"/>
  <c r="AMH18" i="3" s="1"/>
  <c r="AMG4" i="4" s="1"/>
  <c r="AMG16" i="3"/>
  <c r="AMG18" i="3" s="1"/>
  <c r="AMF4" i="4" s="1"/>
  <c r="AMF16" i="3"/>
  <c r="AMF18" i="3" s="1"/>
  <c r="AME4" i="4" s="1"/>
  <c r="AME16" i="3"/>
  <c r="AME18" i="3" s="1"/>
  <c r="AMD4" i="4" s="1"/>
  <c r="AMD16" i="3"/>
  <c r="AMD18" i="3" s="1"/>
  <c r="AMC4" i="4" s="1"/>
  <c r="AMC16" i="3"/>
  <c r="AMC18" i="3" s="1"/>
  <c r="AMB4" i="4" s="1"/>
  <c r="AMB16" i="3"/>
  <c r="AMB18" i="3" s="1"/>
  <c r="AMA4" i="4" s="1"/>
  <c r="AMA16" i="3"/>
  <c r="AMA18" i="3" s="1"/>
  <c r="ALZ4" i="4" s="1"/>
  <c r="ALZ16" i="3"/>
  <c r="ALZ18" i="3" s="1"/>
  <c r="ALY4" i="4" s="1"/>
  <c r="ALY16" i="3"/>
  <c r="ALY18" i="3" s="1"/>
  <c r="ALX4" i="4" s="1"/>
  <c r="ALX16" i="3"/>
  <c r="ALX18" i="3" s="1"/>
  <c r="ALW4" i="4" s="1"/>
  <c r="ALW16" i="3"/>
  <c r="ALW18" i="3" s="1"/>
  <c r="ALV4" i="4" s="1"/>
  <c r="ALT16" i="3"/>
  <c r="ALT18" i="3" s="1"/>
  <c r="ALS4" i="4" s="1"/>
  <c r="ALS16" i="3"/>
  <c r="ALS18" i="3" s="1"/>
  <c r="ALR4" i="4" s="1"/>
  <c r="ALR16" i="3"/>
  <c r="ALR18" i="3" s="1"/>
  <c r="ALQ4" i="4" s="1"/>
  <c r="ALQ16" i="3"/>
  <c r="ALQ18" i="3" s="1"/>
  <c r="ALP4" i="4" s="1"/>
  <c r="ALP16" i="3"/>
  <c r="ALP18" i="3" s="1"/>
  <c r="ALO4" i="4" s="1"/>
  <c r="ALO16" i="3"/>
  <c r="ALO18" i="3" s="1"/>
  <c r="ALN4" i="4" s="1"/>
  <c r="ALN16" i="3"/>
  <c r="ALN18" i="3" s="1"/>
  <c r="ALM4" i="4" s="1"/>
  <c r="ALM16" i="3"/>
  <c r="ALM18" i="3" s="1"/>
  <c r="ALL4" i="4" s="1"/>
  <c r="ALL16" i="3"/>
  <c r="ALL18" i="3" s="1"/>
  <c r="ALK4" i="4" s="1"/>
  <c r="ALK16" i="3"/>
  <c r="ALK18" i="3" s="1"/>
  <c r="ALJ4" i="4" s="1"/>
  <c r="ALJ16" i="3"/>
  <c r="ALJ18" i="3" s="1"/>
  <c r="ALI4" i="4" s="1"/>
  <c r="ALI16" i="3"/>
  <c r="ALI18" i="3" s="1"/>
  <c r="ALH4" i="4" s="1"/>
  <c r="ALH16" i="3"/>
  <c r="ALH18" i="3" s="1"/>
  <c r="ALG4" i="4" s="1"/>
  <c r="ALG16" i="3"/>
  <c r="ALG18" i="3" s="1"/>
  <c r="ALF4" i="4" s="1"/>
  <c r="ALF16" i="3"/>
  <c r="ALF18" i="3" s="1"/>
  <c r="ALE4" i="4" s="1"/>
  <c r="ALE16" i="3"/>
  <c r="ALE18" i="3" s="1"/>
  <c r="ALD4" i="4" s="1"/>
  <c r="ALD16" i="3"/>
  <c r="ALD18" i="3" s="1"/>
  <c r="ALC4" i="4" s="1"/>
  <c r="ALC16" i="3"/>
  <c r="ALC18" i="3" s="1"/>
  <c r="ALB4" i="4" s="1"/>
  <c r="ALB16" i="3"/>
  <c r="ALB18" i="3" s="1"/>
  <c r="ALA4" i="4" s="1"/>
  <c r="ALA16" i="3"/>
  <c r="ALA18" i="3" s="1"/>
  <c r="AKZ4" i="4" s="1"/>
  <c r="AKZ16" i="3"/>
  <c r="AKZ18" i="3" s="1"/>
  <c r="AKY4" i="4" s="1"/>
  <c r="AKY16" i="3"/>
  <c r="AKY18" i="3" s="1"/>
  <c r="AKX4" i="4" s="1"/>
  <c r="AKX16" i="3"/>
  <c r="AKX18" i="3" s="1"/>
  <c r="AKW4" i="4" s="1"/>
  <c r="AKW16" i="3"/>
  <c r="AKW18" i="3" s="1"/>
  <c r="AKV4" i="4" s="1"/>
  <c r="AKV16" i="3"/>
  <c r="AKV18" i="3" s="1"/>
  <c r="AKU4" i="4" s="1"/>
  <c r="AKU16" i="3"/>
  <c r="AKU18" i="3" s="1"/>
  <c r="AKT4" i="4" s="1"/>
  <c r="AKT16" i="3"/>
  <c r="AKT18" i="3" s="1"/>
  <c r="AKS4" i="4" s="1"/>
  <c r="AKS16" i="3"/>
  <c r="AKS18" i="3" s="1"/>
  <c r="AKR4" i="4" s="1"/>
  <c r="AKR16" i="3"/>
  <c r="AKR18" i="3" s="1"/>
  <c r="AKQ4" i="4" s="1"/>
  <c r="AKQ16" i="3"/>
  <c r="AKQ18" i="3" s="1"/>
  <c r="AKP4" i="4" s="1"/>
  <c r="AKN16" i="3"/>
  <c r="AKN18" i="3" s="1"/>
  <c r="AKM4" i="4" s="1"/>
  <c r="AKM16" i="3"/>
  <c r="AKM18" i="3" s="1"/>
  <c r="AKL4" i="4" s="1"/>
  <c r="AKL16" i="3"/>
  <c r="AKL18" i="3" s="1"/>
  <c r="AKK4" i="4" s="1"/>
  <c r="AKK16" i="3"/>
  <c r="AKK18" i="3" s="1"/>
  <c r="AKJ4" i="4" s="1"/>
  <c r="AKJ16" i="3"/>
  <c r="AKJ18" i="3" s="1"/>
  <c r="AKI4" i="4" s="1"/>
  <c r="AKI16" i="3"/>
  <c r="AKI18" i="3" s="1"/>
  <c r="AKH4" i="4" s="1"/>
  <c r="AKH16" i="3"/>
  <c r="AKH18" i="3" s="1"/>
  <c r="AKG4" i="4" s="1"/>
  <c r="AKG16" i="3"/>
  <c r="AKG18" i="3" s="1"/>
  <c r="AKF4" i="4" s="1"/>
  <c r="AKF16" i="3"/>
  <c r="AKF18" i="3" s="1"/>
  <c r="AKE4" i="4" s="1"/>
  <c r="AKE16" i="3"/>
  <c r="AKE18" i="3" s="1"/>
  <c r="AKD4" i="4" s="1"/>
  <c r="AKD16" i="3"/>
  <c r="AKD18" i="3" s="1"/>
  <c r="AKC4" i="4" s="1"/>
  <c r="AKC16" i="3"/>
  <c r="AKC18" i="3" s="1"/>
  <c r="AKB4" i="4" s="1"/>
  <c r="AKB16" i="3"/>
  <c r="AKB18" i="3" s="1"/>
  <c r="AKA4" i="4" s="1"/>
  <c r="AKA16" i="3"/>
  <c r="AKA18" i="3" s="1"/>
  <c r="AJZ4" i="4" s="1"/>
  <c r="AJZ16" i="3"/>
  <c r="AJZ18" i="3" s="1"/>
  <c r="AJY4" i="4" s="1"/>
  <c r="AJY16" i="3"/>
  <c r="AJY18" i="3" s="1"/>
  <c r="AJX4" i="4" s="1"/>
  <c r="AJX16" i="3"/>
  <c r="AJX18" i="3" s="1"/>
  <c r="AJW4" i="4" s="1"/>
  <c r="AJW16" i="3"/>
  <c r="AJW18" i="3" s="1"/>
  <c r="AJV4" i="4" s="1"/>
  <c r="AJV16" i="3"/>
  <c r="AJV18" i="3" s="1"/>
  <c r="AJU4" i="4" s="1"/>
  <c r="AJU16" i="3"/>
  <c r="AJU18" i="3" s="1"/>
  <c r="AJT4" i="4" s="1"/>
  <c r="AJT16" i="3"/>
  <c r="AJT18" i="3" s="1"/>
  <c r="AJS4" i="4" s="1"/>
  <c r="AJS16" i="3"/>
  <c r="AJS18" i="3" s="1"/>
  <c r="AJR4" i="4" s="1"/>
  <c r="AJR16" i="3"/>
  <c r="AJR18" i="3" s="1"/>
  <c r="AJQ4" i="4" s="1"/>
  <c r="AJQ16" i="3"/>
  <c r="AJQ18" i="3" s="1"/>
  <c r="AJP4" i="4" s="1"/>
  <c r="AJP16" i="3"/>
  <c r="AJP18" i="3" s="1"/>
  <c r="AJO4" i="4" s="1"/>
  <c r="AJO16" i="3"/>
  <c r="AJO18" i="3" s="1"/>
  <c r="AJN4" i="4" s="1"/>
  <c r="AJN16" i="3"/>
  <c r="AJN18" i="3" s="1"/>
  <c r="AJM4" i="4" s="1"/>
  <c r="AJK16" i="3"/>
  <c r="AJK18" i="3" s="1"/>
  <c r="AJJ4" i="4" s="1"/>
  <c r="AJJ16" i="3"/>
  <c r="AJJ18" i="3" s="1"/>
  <c r="AJI4" i="4" s="1"/>
  <c r="AJI16" i="3"/>
  <c r="AJI18" i="3" s="1"/>
  <c r="AJH4" i="4" s="1"/>
  <c r="AJH16" i="3"/>
  <c r="AJH18" i="3" s="1"/>
  <c r="AJG4" i="4" s="1"/>
  <c r="AJG16" i="3"/>
  <c r="AJG18" i="3" s="1"/>
  <c r="AJF4" i="4" s="1"/>
  <c r="AJF16" i="3"/>
  <c r="AJF18" i="3" s="1"/>
  <c r="AJE4" i="4" s="1"/>
  <c r="AJE16" i="3"/>
  <c r="AJE18" i="3" s="1"/>
  <c r="AJD4" i="4" s="1"/>
  <c r="AJD16" i="3"/>
  <c r="AJD18" i="3" s="1"/>
  <c r="AJC4" i="4" s="1"/>
  <c r="AJC16" i="3"/>
  <c r="AJC18" i="3" s="1"/>
  <c r="AJB4" i="4" s="1"/>
  <c r="AJB16" i="3"/>
  <c r="AJB18" i="3" s="1"/>
  <c r="AJA4" i="4" s="1"/>
  <c r="AJA16" i="3"/>
  <c r="AJA18" i="3" s="1"/>
  <c r="AIZ4" i="4" s="1"/>
  <c r="AIZ16" i="3"/>
  <c r="AIZ18" i="3" s="1"/>
  <c r="AIY4" i="4" s="1"/>
  <c r="AIY16" i="3"/>
  <c r="AIY18" i="3" s="1"/>
  <c r="AIX4" i="4" s="1"/>
  <c r="AIX16" i="3"/>
  <c r="AIX18" i="3" s="1"/>
  <c r="AIW4" i="4" s="1"/>
  <c r="AIW16" i="3"/>
  <c r="AIW18" i="3" s="1"/>
  <c r="AIV4" i="4" s="1"/>
  <c r="AIV16" i="3"/>
  <c r="AIV18" i="3" s="1"/>
  <c r="AIU4" i="4" s="1"/>
  <c r="AIU16" i="3"/>
  <c r="AIU18" i="3" s="1"/>
  <c r="AIT4" i="4" s="1"/>
  <c r="AIT16" i="3"/>
  <c r="AIT18" i="3" s="1"/>
  <c r="AIS4" i="4" s="1"/>
  <c r="AIS16" i="3"/>
  <c r="AIS18" i="3" s="1"/>
  <c r="AIR4" i="4" s="1"/>
  <c r="AIR16" i="3"/>
  <c r="AIR18" i="3" s="1"/>
  <c r="AIQ4" i="4" s="1"/>
  <c r="AIQ16" i="3"/>
  <c r="AIQ18" i="3" s="1"/>
  <c r="AIP4" i="4" s="1"/>
  <c r="AIP16" i="3"/>
  <c r="AIP18" i="3" s="1"/>
  <c r="AIO4" i="4" s="1"/>
  <c r="AIO16" i="3"/>
  <c r="AIO18" i="3" s="1"/>
  <c r="AIN4" i="4" s="1"/>
  <c r="AIN16" i="3"/>
  <c r="AIN18" i="3" s="1"/>
  <c r="AIM4" i="4" s="1"/>
  <c r="AIM16" i="3"/>
  <c r="AIM18" i="3" s="1"/>
  <c r="AIL4" i="4" s="1"/>
  <c r="AIL16" i="3"/>
  <c r="AIL18" i="3" s="1"/>
  <c r="AIK4" i="4" s="1"/>
  <c r="AIK16" i="3"/>
  <c r="AIK18" i="3" s="1"/>
  <c r="AIJ4" i="4" s="1"/>
  <c r="AIJ16" i="3"/>
  <c r="AIJ18" i="3" s="1"/>
  <c r="AII4" i="4" s="1"/>
  <c r="AII16" i="3"/>
  <c r="AII18" i="3" s="1"/>
  <c r="AIH4" i="4" s="1"/>
  <c r="AIH16" i="3"/>
  <c r="AIH18" i="3" s="1"/>
  <c r="AIG4" i="4" s="1"/>
  <c r="AIE16" i="3"/>
  <c r="AIE18" i="3" s="1"/>
  <c r="AID4" i="4" s="1"/>
  <c r="AID16" i="3"/>
  <c r="AID18" i="3" s="1"/>
  <c r="AIC4" i="4" s="1"/>
  <c r="AIC16" i="3"/>
  <c r="AIC18" i="3" s="1"/>
  <c r="AIB4" i="4" s="1"/>
  <c r="AIB16" i="3"/>
  <c r="AIB18" i="3" s="1"/>
  <c r="AIA4" i="4" s="1"/>
  <c r="AIA16" i="3"/>
  <c r="AIA18" i="3" s="1"/>
  <c r="AHZ4" i="4" s="1"/>
  <c r="AHZ16" i="3"/>
  <c r="AHZ18" i="3" s="1"/>
  <c r="AHY4" i="4" s="1"/>
  <c r="AHY16" i="3"/>
  <c r="AHY18" i="3" s="1"/>
  <c r="AHX4" i="4" s="1"/>
  <c r="AHX16" i="3"/>
  <c r="AHX18" i="3" s="1"/>
  <c r="AHW4" i="4" s="1"/>
  <c r="AHW16" i="3"/>
  <c r="AHW18" i="3" s="1"/>
  <c r="AHV4" i="4" s="1"/>
  <c r="AHV16" i="3"/>
  <c r="AHV18" i="3" s="1"/>
  <c r="AHU4" i="4" s="1"/>
  <c r="AHU16" i="3"/>
  <c r="AHU18" i="3" s="1"/>
  <c r="AHT4" i="4" s="1"/>
  <c r="AHT16" i="3"/>
  <c r="AHT18" i="3" s="1"/>
  <c r="AHS4" i="4" s="1"/>
  <c r="AHS16" i="3"/>
  <c r="AHS18" i="3" s="1"/>
  <c r="AHR4" i="4" s="1"/>
  <c r="AHR16" i="3"/>
  <c r="AHR18" i="3" s="1"/>
  <c r="AHQ4" i="4" s="1"/>
  <c r="AHQ16" i="3"/>
  <c r="AHQ18" i="3" s="1"/>
  <c r="AHP4" i="4" s="1"/>
  <c r="AHP16" i="3"/>
  <c r="AHP18" i="3" s="1"/>
  <c r="AHO4" i="4" s="1"/>
  <c r="AHO16" i="3"/>
  <c r="AHO18" i="3" s="1"/>
  <c r="AHN4" i="4" s="1"/>
  <c r="AHN16" i="3"/>
  <c r="AHN18" i="3" s="1"/>
  <c r="AHM4" i="4" s="1"/>
  <c r="AHM16" i="3"/>
  <c r="AHM18" i="3" s="1"/>
  <c r="AHL4" i="4" s="1"/>
  <c r="AHL16" i="3"/>
  <c r="AHL18" i="3" s="1"/>
  <c r="AHK4" i="4" s="1"/>
  <c r="AHK16" i="3"/>
  <c r="AHK18" i="3" s="1"/>
  <c r="AHJ4" i="4" s="1"/>
  <c r="AHJ16" i="3"/>
  <c r="AHJ18" i="3" s="1"/>
  <c r="AHI4" i="4" s="1"/>
  <c r="AHI16" i="3"/>
  <c r="AHI18" i="3" s="1"/>
  <c r="AHH4" i="4" s="1"/>
  <c r="AHH16" i="3"/>
  <c r="AHH18" i="3" s="1"/>
  <c r="AHG4" i="4" s="1"/>
  <c r="AHG16" i="3"/>
  <c r="AHG18" i="3" s="1"/>
  <c r="AHF4" i="4" s="1"/>
  <c r="AHF16" i="3"/>
  <c r="AHF18" i="3" s="1"/>
  <c r="AHE4" i="4" s="1"/>
  <c r="AHE16" i="3"/>
  <c r="AHE18" i="3" s="1"/>
  <c r="AHD4" i="4" s="1"/>
  <c r="AHD16" i="3"/>
  <c r="AHD18" i="3" s="1"/>
  <c r="AHC4" i="4" s="1"/>
  <c r="AHC16" i="3"/>
  <c r="AHC18" i="3" s="1"/>
  <c r="AHB4" i="4" s="1"/>
  <c r="AHB16" i="3"/>
  <c r="AHB18" i="3" s="1"/>
  <c r="AHA4" i="4" s="1"/>
  <c r="AGY16" i="3"/>
  <c r="AGY18" i="3" s="1"/>
  <c r="AGX4" i="4" s="1"/>
  <c r="AGX16" i="3"/>
  <c r="AGX18" i="3" s="1"/>
  <c r="AGW4" i="4" s="1"/>
  <c r="AGW16" i="3"/>
  <c r="AGW18" i="3" s="1"/>
  <c r="AGV4" i="4" s="1"/>
  <c r="AGV16" i="3"/>
  <c r="AGV18" i="3" s="1"/>
  <c r="AGU4" i="4" s="1"/>
  <c r="AGU16" i="3"/>
  <c r="AGU18" i="3" s="1"/>
  <c r="AGT4" i="4" s="1"/>
  <c r="AGT16" i="3"/>
  <c r="AGT18" i="3" s="1"/>
  <c r="AGS4" i="4" s="1"/>
  <c r="AGS16" i="3"/>
  <c r="AGS18" i="3" s="1"/>
  <c r="AGR4" i="4" s="1"/>
  <c r="AGR16" i="3"/>
  <c r="AGR18" i="3" s="1"/>
  <c r="AGQ4" i="4" s="1"/>
  <c r="AGQ16" i="3"/>
  <c r="AGQ18" i="3" s="1"/>
  <c r="AGP4" i="4" s="1"/>
  <c r="AGP16" i="3"/>
  <c r="AGP18" i="3" s="1"/>
  <c r="AGO4" i="4" s="1"/>
  <c r="AGO16" i="3"/>
  <c r="AGO18" i="3" s="1"/>
  <c r="AGN4" i="4" s="1"/>
  <c r="AGN16" i="3"/>
  <c r="AGN18" i="3" s="1"/>
  <c r="AGM4" i="4" s="1"/>
  <c r="AGM16" i="3"/>
  <c r="AGM18" i="3" s="1"/>
  <c r="AGL4" i="4" s="1"/>
  <c r="AGL16" i="3"/>
  <c r="AGL18" i="3" s="1"/>
  <c r="AGK4" i="4" s="1"/>
  <c r="AGK16" i="3"/>
  <c r="AGK18" i="3" s="1"/>
  <c r="AGJ4" i="4" s="1"/>
  <c r="AGJ16" i="3"/>
  <c r="AGJ18" i="3" s="1"/>
  <c r="AGI4" i="4" s="1"/>
  <c r="AGI16" i="3"/>
  <c r="AGI18" i="3" s="1"/>
  <c r="AGH4" i="4" s="1"/>
  <c r="AGH16" i="3"/>
  <c r="AGH18" i="3" s="1"/>
  <c r="AGG4" i="4" s="1"/>
  <c r="AGG16" i="3"/>
  <c r="AGG18" i="3" s="1"/>
  <c r="AGF4" i="4" s="1"/>
  <c r="AGF16" i="3"/>
  <c r="AGF18" i="3" s="1"/>
  <c r="AGE4" i="4" s="1"/>
  <c r="AGE16" i="3"/>
  <c r="AGE18" i="3" s="1"/>
  <c r="AGD4" i="4" s="1"/>
  <c r="AGD16" i="3"/>
  <c r="AGD18" i="3" s="1"/>
  <c r="AGC4" i="4" s="1"/>
  <c r="AGC16" i="3"/>
  <c r="AGC18" i="3" s="1"/>
  <c r="AGB4" i="4" s="1"/>
  <c r="AGB16" i="3"/>
  <c r="AGB18" i="3" s="1"/>
  <c r="AGA4" i="4" s="1"/>
  <c r="AGA16" i="3"/>
  <c r="AGA18" i="3" s="1"/>
  <c r="AFZ4" i="4" s="1"/>
  <c r="AFZ16" i="3"/>
  <c r="AFZ18" i="3" s="1"/>
  <c r="AFY4" i="4" s="1"/>
  <c r="AFY16" i="3"/>
  <c r="AFY18" i="3" s="1"/>
  <c r="AFX4" i="4" s="1"/>
  <c r="AFX16" i="3"/>
  <c r="AFX18" i="3" s="1"/>
  <c r="AFW4" i="4" s="1"/>
  <c r="AFW16" i="3"/>
  <c r="AFW18" i="3" s="1"/>
  <c r="AFV4" i="4" s="1"/>
  <c r="AFT16" i="3"/>
  <c r="AFT18" i="3" s="1"/>
  <c r="AFS4" i="4" s="1"/>
  <c r="AFS16" i="3"/>
  <c r="AFS18" i="3" s="1"/>
  <c r="AFR4" i="4" s="1"/>
  <c r="AFR16" i="3"/>
  <c r="AFR18" i="3" s="1"/>
  <c r="AFQ4" i="4" s="1"/>
  <c r="AFQ16" i="3"/>
  <c r="AFQ18" i="3" s="1"/>
  <c r="AFP4" i="4" s="1"/>
  <c r="AFP16" i="3"/>
  <c r="AFP18" i="3" s="1"/>
  <c r="AFO4" i="4" s="1"/>
  <c r="AFO16" i="3"/>
  <c r="AFO18" i="3" s="1"/>
  <c r="AFN4" i="4" s="1"/>
  <c r="AFN16" i="3"/>
  <c r="AFN18" i="3" s="1"/>
  <c r="AFM4" i="4" s="1"/>
  <c r="AFM16" i="3"/>
  <c r="AFM18" i="3" s="1"/>
  <c r="AFL4" i="4" s="1"/>
  <c r="AFL16" i="3"/>
  <c r="AFL18" i="3" s="1"/>
  <c r="AFK4" i="4" s="1"/>
  <c r="AFK16" i="3"/>
  <c r="AFK18" i="3" s="1"/>
  <c r="AFJ4" i="4" s="1"/>
  <c r="AFJ16" i="3"/>
  <c r="AFJ18" i="3" s="1"/>
  <c r="AFI4" i="4" s="1"/>
  <c r="AFI16" i="3"/>
  <c r="AFI18" i="3" s="1"/>
  <c r="AFH4" i="4" s="1"/>
  <c r="AFH16" i="3"/>
  <c r="AFH18" i="3" s="1"/>
  <c r="AFG4" i="4" s="1"/>
  <c r="AFG16" i="3"/>
  <c r="AFG18" i="3" s="1"/>
  <c r="AFF4" i="4" s="1"/>
  <c r="AFF16" i="3"/>
  <c r="AFF18" i="3" s="1"/>
  <c r="AFE4" i="4" s="1"/>
  <c r="AFE16" i="3"/>
  <c r="AFE18" i="3" s="1"/>
  <c r="AFD4" i="4" s="1"/>
  <c r="AFD16" i="3"/>
  <c r="AFD18" i="3" s="1"/>
  <c r="AFC4" i="4" s="1"/>
  <c r="AFC16" i="3"/>
  <c r="AFC18" i="3" s="1"/>
  <c r="AFB4" i="4" s="1"/>
  <c r="AFB16" i="3"/>
  <c r="AFB18" i="3" s="1"/>
  <c r="AFA4" i="4" s="1"/>
  <c r="AFA16" i="3"/>
  <c r="AFA18" i="3" s="1"/>
  <c r="AEZ4" i="4" s="1"/>
  <c r="AEZ16" i="3"/>
  <c r="AEZ18" i="3" s="1"/>
  <c r="AEY4" i="4" s="1"/>
  <c r="AEY16" i="3"/>
  <c r="AEY18" i="3" s="1"/>
  <c r="AEX4" i="4" s="1"/>
  <c r="AEX16" i="3"/>
  <c r="AEX18" i="3" s="1"/>
  <c r="AEW4" i="4" s="1"/>
  <c r="AEW16" i="3"/>
  <c r="AEW18" i="3" s="1"/>
  <c r="AEV4" i="4" s="1"/>
  <c r="AEV16" i="3"/>
  <c r="AEV18" i="3" s="1"/>
  <c r="AEU4" i="4" s="1"/>
  <c r="AEU16" i="3"/>
  <c r="AEU18" i="3" s="1"/>
  <c r="AET4" i="4" s="1"/>
  <c r="AET16" i="3"/>
  <c r="AET18" i="3" s="1"/>
  <c r="AES4" i="4" s="1"/>
  <c r="AES16" i="3"/>
  <c r="AES18" i="3" s="1"/>
  <c r="AER4" i="4" s="1"/>
  <c r="AER16" i="3"/>
  <c r="AER18" i="3" s="1"/>
  <c r="AEQ4" i="4" s="1"/>
  <c r="AEQ16" i="3"/>
  <c r="AEQ18" i="3" s="1"/>
  <c r="AEP4" i="4" s="1"/>
  <c r="AEN16" i="3"/>
  <c r="AEN18" i="3" s="1"/>
  <c r="AEM4" i="4" s="1"/>
  <c r="AEM16" i="3"/>
  <c r="AEM18" i="3" s="1"/>
  <c r="AEL4" i="4" s="1"/>
  <c r="AEL16" i="3"/>
  <c r="AEL18" i="3" s="1"/>
  <c r="AEK4" i="4" s="1"/>
  <c r="AEK16" i="3"/>
  <c r="AEK18" i="3" s="1"/>
  <c r="AEJ4" i="4" s="1"/>
  <c r="AEJ16" i="3"/>
  <c r="AEJ18" i="3" s="1"/>
  <c r="AEI4" i="4" s="1"/>
  <c r="AEI16" i="3"/>
  <c r="AEI18" i="3" s="1"/>
  <c r="AEH4" i="4" s="1"/>
  <c r="AEH16" i="3"/>
  <c r="AEH18" i="3" s="1"/>
  <c r="AEG4" i="4" s="1"/>
  <c r="AEG16" i="3"/>
  <c r="AEG18" i="3" s="1"/>
  <c r="AEF4" i="4" s="1"/>
  <c r="AEF16" i="3"/>
  <c r="AEF18" i="3" s="1"/>
  <c r="AEE4" i="4" s="1"/>
  <c r="AEE16" i="3"/>
  <c r="AEE18" i="3" s="1"/>
  <c r="AED4" i="4" s="1"/>
  <c r="AED16" i="3"/>
  <c r="AED18" i="3" s="1"/>
  <c r="AEC4" i="4" s="1"/>
  <c r="AEC16" i="3"/>
  <c r="AEC18" i="3" s="1"/>
  <c r="AEB4" i="4" s="1"/>
  <c r="AEB16" i="3"/>
  <c r="AEB18" i="3" s="1"/>
  <c r="AEA4" i="4" s="1"/>
  <c r="AEA16" i="3"/>
  <c r="AEA18" i="3" s="1"/>
  <c r="ADZ4" i="4" s="1"/>
  <c r="ADZ16" i="3"/>
  <c r="ADZ18" i="3" s="1"/>
  <c r="ADY4" i="4" s="1"/>
  <c r="ADY16" i="3"/>
  <c r="ADY18" i="3" s="1"/>
  <c r="ADX4" i="4" s="1"/>
  <c r="ADX16" i="3"/>
  <c r="ADX18" i="3" s="1"/>
  <c r="ADW4" i="4" s="1"/>
  <c r="ADW16" i="3"/>
  <c r="ADW18" i="3" s="1"/>
  <c r="ADV4" i="4" s="1"/>
  <c r="ADV16" i="3"/>
  <c r="ADV18" i="3" s="1"/>
  <c r="ADU4" i="4" s="1"/>
  <c r="ADU16" i="3"/>
  <c r="ADU18" i="3" s="1"/>
  <c r="ADT4" i="4" s="1"/>
  <c r="ADT16" i="3"/>
  <c r="ADT18" i="3" s="1"/>
  <c r="ADS4" i="4" s="1"/>
  <c r="ADS16" i="3"/>
  <c r="ADS18" i="3" s="1"/>
  <c r="ADR4" i="4" s="1"/>
  <c r="ADR16" i="3"/>
  <c r="ADR18" i="3" s="1"/>
  <c r="ADQ4" i="4" s="1"/>
  <c r="ADQ16" i="3"/>
  <c r="ADQ18" i="3" s="1"/>
  <c r="ADP4" i="4" s="1"/>
  <c r="ADP16" i="3"/>
  <c r="ADP18" i="3" s="1"/>
  <c r="ADO4" i="4" s="1"/>
  <c r="ADO16" i="3"/>
  <c r="ADO18" i="3" s="1"/>
  <c r="ADN4" i="4" s="1"/>
  <c r="ADN16" i="3"/>
  <c r="ADN18" i="3" s="1"/>
  <c r="ADM4" i="4" s="1"/>
  <c r="ADM16" i="3"/>
  <c r="ADM18" i="3" s="1"/>
  <c r="ADL4" i="4" s="1"/>
  <c r="ADL16" i="3"/>
  <c r="ADL18" i="3" s="1"/>
  <c r="ADK4" i="4" s="1"/>
  <c r="ADI16" i="3"/>
  <c r="ADI18" i="3" s="1"/>
  <c r="ADH4" i="4" s="1"/>
  <c r="ADH16" i="3"/>
  <c r="ADH18" i="3" s="1"/>
  <c r="ADG4" i="4" s="1"/>
  <c r="ADG16" i="3"/>
  <c r="ADG18" i="3" s="1"/>
  <c r="ADF4" i="4" s="1"/>
  <c r="ADF16" i="3"/>
  <c r="ADF18" i="3" s="1"/>
  <c r="ADE4" i="4" s="1"/>
  <c r="ADE16" i="3"/>
  <c r="ADE18" i="3" s="1"/>
  <c r="ADD4" i="4" s="1"/>
  <c r="ADD16" i="3"/>
  <c r="ADD18" i="3" s="1"/>
  <c r="ADC4" i="4" s="1"/>
  <c r="ADC16" i="3"/>
  <c r="ADC18" i="3" s="1"/>
  <c r="ADB4" i="4" s="1"/>
  <c r="ADB16" i="3"/>
  <c r="ADB18" i="3" s="1"/>
  <c r="ADA4" i="4" s="1"/>
  <c r="ADA16" i="3"/>
  <c r="ADA18" i="3" s="1"/>
  <c r="ACZ4" i="4" s="1"/>
  <c r="ACZ16" i="3"/>
  <c r="ACZ18" i="3" s="1"/>
  <c r="ACY4" i="4" s="1"/>
  <c r="ACY16" i="3"/>
  <c r="ACY18" i="3" s="1"/>
  <c r="ACX4" i="4" s="1"/>
  <c r="ACX16" i="3"/>
  <c r="ACX18" i="3" s="1"/>
  <c r="ACW4" i="4" s="1"/>
  <c r="ACW16" i="3"/>
  <c r="ACW18" i="3" s="1"/>
  <c r="ACV4" i="4" s="1"/>
  <c r="ACV16" i="3"/>
  <c r="ACV18" i="3" s="1"/>
  <c r="ACU4" i="4" s="1"/>
  <c r="ACU16" i="3"/>
  <c r="ACU18" i="3" s="1"/>
  <c r="ACT4" i="4" s="1"/>
  <c r="ACT16" i="3"/>
  <c r="ACT18" i="3" s="1"/>
  <c r="ACS4" i="4" s="1"/>
  <c r="ACS16" i="3"/>
  <c r="ACS18" i="3" s="1"/>
  <c r="ACR4" i="4" s="1"/>
  <c r="ACR16" i="3"/>
  <c r="ACR18" i="3" s="1"/>
  <c r="ACQ4" i="4" s="1"/>
  <c r="ACQ16" i="3"/>
  <c r="ACQ18" i="3" s="1"/>
  <c r="ACP4" i="4" s="1"/>
  <c r="ACP16" i="3"/>
  <c r="ACP18" i="3" s="1"/>
  <c r="ACO4" i="4" s="1"/>
  <c r="ACO16" i="3"/>
  <c r="ACO18" i="3" s="1"/>
  <c r="ACN4" i="4" s="1"/>
  <c r="ACN16" i="3"/>
  <c r="ACN18" i="3" s="1"/>
  <c r="ACM4" i="4" s="1"/>
  <c r="ACM16" i="3"/>
  <c r="ACM18" i="3" s="1"/>
  <c r="ACL4" i="4" s="1"/>
  <c r="ACL16" i="3"/>
  <c r="ACL18" i="3" s="1"/>
  <c r="ACK4" i="4" s="1"/>
  <c r="ACK16" i="3"/>
  <c r="ACK18" i="3" s="1"/>
  <c r="ACJ4" i="4" s="1"/>
  <c r="ACJ16" i="3"/>
  <c r="ACJ18" i="3" s="1"/>
  <c r="ACI4" i="4" s="1"/>
  <c r="ACI16" i="3"/>
  <c r="ACI18" i="3" s="1"/>
  <c r="ACH4" i="4" s="1"/>
  <c r="ACH16" i="3"/>
  <c r="ACH18" i="3" s="1"/>
  <c r="ACG4" i="4" s="1"/>
  <c r="ACG16" i="3"/>
  <c r="ACG18" i="3" s="1"/>
  <c r="ACF4" i="4" s="1"/>
  <c r="ACF16" i="3"/>
  <c r="ACF18" i="3" s="1"/>
  <c r="ACE4" i="4" s="1"/>
  <c r="ACC16" i="3"/>
  <c r="ACC18" i="3" s="1"/>
  <c r="ACB4" i="4" s="1"/>
  <c r="ACB16" i="3"/>
  <c r="ACB18" i="3" s="1"/>
  <c r="ACA4" i="4" s="1"/>
  <c r="ACA16" i="3"/>
  <c r="ACA18" i="3" s="1"/>
  <c r="ABZ4" i="4" s="1"/>
  <c r="ABZ16" i="3"/>
  <c r="ABZ18" i="3" s="1"/>
  <c r="ABY4" i="4" s="1"/>
  <c r="ABY16" i="3"/>
  <c r="ABY18" i="3" s="1"/>
  <c r="ABX4" i="4" s="1"/>
  <c r="ABX16" i="3"/>
  <c r="ABX18" i="3" s="1"/>
  <c r="ABW4" i="4" s="1"/>
  <c r="ABW16" i="3"/>
  <c r="ABW18" i="3" s="1"/>
  <c r="ABV4" i="4" s="1"/>
  <c r="ABV16" i="3"/>
  <c r="ABV18" i="3" s="1"/>
  <c r="ABU4" i="4" s="1"/>
  <c r="ABU16" i="3"/>
  <c r="ABU18" i="3" s="1"/>
  <c r="ABT4" i="4" s="1"/>
  <c r="ABT16" i="3"/>
  <c r="ABT18" i="3" s="1"/>
  <c r="ABS4" i="4" s="1"/>
  <c r="ABS16" i="3"/>
  <c r="ABS18" i="3" s="1"/>
  <c r="ABR4" i="4" s="1"/>
  <c r="ABR16" i="3"/>
  <c r="ABR18" i="3" s="1"/>
  <c r="ABQ4" i="4" s="1"/>
  <c r="ABQ16" i="3"/>
  <c r="ABQ18" i="3" s="1"/>
  <c r="ABP4" i="4" s="1"/>
  <c r="ABP16" i="3"/>
  <c r="ABP18" i="3" s="1"/>
  <c r="ABO4" i="4" s="1"/>
  <c r="ABO16" i="3"/>
  <c r="ABO18" i="3" s="1"/>
  <c r="ABN4" i="4" s="1"/>
  <c r="ABN16" i="3"/>
  <c r="ABN18" i="3" s="1"/>
  <c r="ABM4" i="4" s="1"/>
  <c r="ABM16" i="3"/>
  <c r="ABM18" i="3" s="1"/>
  <c r="ABL4" i="4" s="1"/>
  <c r="ABL16" i="3"/>
  <c r="ABL18" i="3" s="1"/>
  <c r="ABK4" i="4" s="1"/>
  <c r="ABK16" i="3"/>
  <c r="ABK18" i="3" s="1"/>
  <c r="ABJ4" i="4" s="1"/>
  <c r="ABJ16" i="3"/>
  <c r="ABJ18" i="3" s="1"/>
  <c r="ABI4" i="4" s="1"/>
  <c r="ABI16" i="3"/>
  <c r="ABI18" i="3" s="1"/>
  <c r="ABH4" i="4" s="1"/>
  <c r="ABH16" i="3"/>
  <c r="ABH18" i="3" s="1"/>
  <c r="ABG4" i="4" s="1"/>
  <c r="ABG16" i="3"/>
  <c r="ABG18" i="3" s="1"/>
  <c r="ABF4" i="4" s="1"/>
  <c r="ABF16" i="3"/>
  <c r="ABF18" i="3" s="1"/>
  <c r="ABE4" i="4" s="1"/>
  <c r="ABE16" i="3"/>
  <c r="ABE18" i="3" s="1"/>
  <c r="ABD4" i="4" s="1"/>
  <c r="ABD16" i="3"/>
  <c r="ABD18" i="3" s="1"/>
  <c r="ABC4" i="4" s="1"/>
  <c r="ABC16" i="3"/>
  <c r="ABC18" i="3" s="1"/>
  <c r="ABB4" i="4" s="1"/>
  <c r="ABB16" i="3"/>
  <c r="ABB18" i="3" s="1"/>
  <c r="ABA4" i="4" s="1"/>
  <c r="ABA16" i="3"/>
  <c r="ABA18" i="3" s="1"/>
  <c r="AAZ4" i="4" s="1"/>
  <c r="AAZ16" i="3"/>
  <c r="AAZ18" i="3" s="1"/>
  <c r="AAY4" i="4" s="1"/>
  <c r="AAW16" i="3"/>
  <c r="AAW18" i="3" s="1"/>
  <c r="AAV4" i="4" s="1"/>
  <c r="AAV16" i="3"/>
  <c r="AAV18" i="3" s="1"/>
  <c r="AAU4" i="4" s="1"/>
  <c r="AAU16" i="3"/>
  <c r="AAU18" i="3" s="1"/>
  <c r="AAT4" i="4" s="1"/>
  <c r="AAT16" i="3"/>
  <c r="AAT18" i="3" s="1"/>
  <c r="AAS4" i="4" s="1"/>
  <c r="AAS16" i="3"/>
  <c r="AAS18" i="3" s="1"/>
  <c r="AAR4" i="4" s="1"/>
  <c r="AAR16" i="3"/>
  <c r="AAR18" i="3" s="1"/>
  <c r="AAQ4" i="4" s="1"/>
  <c r="AAQ16" i="3"/>
  <c r="AAQ18" i="3" s="1"/>
  <c r="AAP4" i="4" s="1"/>
  <c r="AAP16" i="3"/>
  <c r="AAP18" i="3" s="1"/>
  <c r="AAO4" i="4" s="1"/>
  <c r="AAO16" i="3"/>
  <c r="AAO18" i="3" s="1"/>
  <c r="AAN4" i="4" s="1"/>
  <c r="AAN16" i="3"/>
  <c r="AAN18" i="3" s="1"/>
  <c r="AAM4" i="4" s="1"/>
  <c r="AAM16" i="3"/>
  <c r="AAM18" i="3" s="1"/>
  <c r="AAL4" i="4" s="1"/>
  <c r="AAL16" i="3"/>
  <c r="AAL18" i="3" s="1"/>
  <c r="AAK4" i="4" s="1"/>
  <c r="AAK16" i="3"/>
  <c r="AAK18" i="3" s="1"/>
  <c r="AAJ4" i="4" s="1"/>
  <c r="AAJ16" i="3"/>
  <c r="AAJ18" i="3" s="1"/>
  <c r="AAI4" i="4" s="1"/>
  <c r="AAI16" i="3"/>
  <c r="AAI18" i="3" s="1"/>
  <c r="AAH4" i="4" s="1"/>
  <c r="AAH16" i="3"/>
  <c r="AAH18" i="3" s="1"/>
  <c r="AAG4" i="4" s="1"/>
  <c r="AAG16" i="3"/>
  <c r="AAG18" i="3" s="1"/>
  <c r="AAF4" i="4" s="1"/>
  <c r="AAF16" i="3"/>
  <c r="AAF18" i="3" s="1"/>
  <c r="AAE4" i="4" s="1"/>
  <c r="AAE16" i="3"/>
  <c r="AAE18" i="3" s="1"/>
  <c r="AAD4" i="4" s="1"/>
  <c r="AAD16" i="3"/>
  <c r="AAD18" i="3" s="1"/>
  <c r="AAC4" i="4" s="1"/>
  <c r="AAC16" i="3"/>
  <c r="AAC18" i="3" s="1"/>
  <c r="AAB4" i="4" s="1"/>
  <c r="AAB16" i="3"/>
  <c r="AAB18" i="3" s="1"/>
  <c r="AAA4" i="4" s="1"/>
  <c r="AAA16" i="3"/>
  <c r="AAA18" i="3" s="1"/>
  <c r="ZZ4" i="4" s="1"/>
  <c r="ZZ16" i="3"/>
  <c r="ZZ18" i="3" s="1"/>
  <c r="ZY4" i="4" s="1"/>
  <c r="ZY16" i="3"/>
  <c r="ZY18" i="3" s="1"/>
  <c r="ZX4" i="4" s="1"/>
  <c r="ZX16" i="3"/>
  <c r="ZX18" i="3" s="1"/>
  <c r="ZW4" i="4" s="1"/>
  <c r="ZW16" i="3"/>
  <c r="ZW18" i="3" s="1"/>
  <c r="ZV4" i="4" s="1"/>
  <c r="ZV16" i="3"/>
  <c r="ZV18" i="3" s="1"/>
  <c r="ZU4" i="4" s="1"/>
  <c r="ZU16" i="3"/>
  <c r="ZU18" i="3" s="1"/>
  <c r="ZT4" i="4" s="1"/>
  <c r="ZR16" i="3"/>
  <c r="ZR18" i="3" s="1"/>
  <c r="ZQ4" i="4" s="1"/>
  <c r="ZQ16" i="3"/>
  <c r="ZQ18" i="3" s="1"/>
  <c r="ZP4" i="4" s="1"/>
  <c r="ZP16" i="3"/>
  <c r="ZP18" i="3" s="1"/>
  <c r="ZO4" i="4" s="1"/>
  <c r="ZO16" i="3"/>
  <c r="ZO18" i="3" s="1"/>
  <c r="ZN4" i="4" s="1"/>
  <c r="ZN16" i="3"/>
  <c r="ZN18" i="3" s="1"/>
  <c r="ZM4" i="4" s="1"/>
  <c r="ZM16" i="3"/>
  <c r="ZM18" i="3" s="1"/>
  <c r="ZL4" i="4" s="1"/>
  <c r="ZL16" i="3"/>
  <c r="ZL18" i="3" s="1"/>
  <c r="ZK4" i="4" s="1"/>
  <c r="ZK16" i="3"/>
  <c r="ZK18" i="3" s="1"/>
  <c r="ZJ4" i="4" s="1"/>
  <c r="ZJ16" i="3"/>
  <c r="ZJ18" i="3" s="1"/>
  <c r="ZI4" i="4" s="1"/>
  <c r="ZI16" i="3"/>
  <c r="ZI18" i="3" s="1"/>
  <c r="ZH4" i="4" s="1"/>
  <c r="ZH16" i="3"/>
  <c r="ZH18" i="3" s="1"/>
  <c r="ZG4" i="4" s="1"/>
  <c r="ZG16" i="3"/>
  <c r="ZG18" i="3" s="1"/>
  <c r="ZF4" i="4" s="1"/>
  <c r="ZF16" i="3"/>
  <c r="ZF18" i="3" s="1"/>
  <c r="ZE4" i="4" s="1"/>
  <c r="ZE16" i="3"/>
  <c r="ZE18" i="3" s="1"/>
  <c r="ZD4" i="4" s="1"/>
  <c r="ZD16" i="3"/>
  <c r="ZD18" i="3" s="1"/>
  <c r="ZC4" i="4" s="1"/>
  <c r="ZC16" i="3"/>
  <c r="ZC18" i="3" s="1"/>
  <c r="ZB4" i="4" s="1"/>
  <c r="ZB16" i="3"/>
  <c r="ZB18" i="3" s="1"/>
  <c r="ZA4" i="4" s="1"/>
  <c r="ZA16" i="3"/>
  <c r="ZA18" i="3" s="1"/>
  <c r="YZ4" i="4" s="1"/>
  <c r="YZ16" i="3"/>
  <c r="YZ18" i="3" s="1"/>
  <c r="YY4" i="4" s="1"/>
  <c r="YY16" i="3"/>
  <c r="YY18" i="3" s="1"/>
  <c r="YX4" i="4" s="1"/>
  <c r="YX16" i="3"/>
  <c r="YX18" i="3" s="1"/>
  <c r="YW4" i="4" s="1"/>
  <c r="YW16" i="3"/>
  <c r="YW18" i="3" s="1"/>
  <c r="YV4" i="4" s="1"/>
  <c r="YV16" i="3"/>
  <c r="YV18" i="3" s="1"/>
  <c r="YU4" i="4" s="1"/>
  <c r="YU16" i="3"/>
  <c r="YU18" i="3" s="1"/>
  <c r="YT4" i="4" s="1"/>
  <c r="YT16" i="3"/>
  <c r="YT18" i="3" s="1"/>
  <c r="YS4" i="4" s="1"/>
  <c r="YS16" i="3"/>
  <c r="YS18" i="3" s="1"/>
  <c r="YR4" i="4" s="1"/>
  <c r="YR16" i="3"/>
  <c r="YR18" i="3" s="1"/>
  <c r="YQ4" i="4" s="1"/>
  <c r="YQ16" i="3"/>
  <c r="YQ18" i="3" s="1"/>
  <c r="YP4" i="4" s="1"/>
  <c r="YP16" i="3"/>
  <c r="YP18" i="3" s="1"/>
  <c r="YO4" i="4" s="1"/>
  <c r="YO16" i="3"/>
  <c r="YO18" i="3" s="1"/>
  <c r="YN4" i="4" s="1"/>
  <c r="YL16" i="3"/>
  <c r="YL18" i="3" s="1"/>
  <c r="YK4" i="4" s="1"/>
  <c r="YK16" i="3"/>
  <c r="YK18" i="3" s="1"/>
  <c r="YJ4" i="4" s="1"/>
  <c r="YJ16" i="3"/>
  <c r="YJ18" i="3" s="1"/>
  <c r="YI4" i="4" s="1"/>
  <c r="YI16" i="3"/>
  <c r="YI18" i="3" s="1"/>
  <c r="YH4" i="4" s="1"/>
  <c r="YH16" i="3"/>
  <c r="YH18" i="3" s="1"/>
  <c r="YG4" i="4" s="1"/>
  <c r="YG16" i="3"/>
  <c r="YG18" i="3" s="1"/>
  <c r="YF4" i="4" s="1"/>
  <c r="YF16" i="3"/>
  <c r="YF18" i="3" s="1"/>
  <c r="YE4" i="4" s="1"/>
  <c r="YE16" i="3"/>
  <c r="YE18" i="3" s="1"/>
  <c r="YD4" i="4" s="1"/>
  <c r="YD16" i="3"/>
  <c r="YD18" i="3" s="1"/>
  <c r="YC4" i="4" s="1"/>
  <c r="YC16" i="3"/>
  <c r="YC18" i="3" s="1"/>
  <c r="YB4" i="4" s="1"/>
  <c r="YB16" i="3"/>
  <c r="YB18" i="3" s="1"/>
  <c r="YA4" i="4" s="1"/>
  <c r="YA16" i="3"/>
  <c r="YA18" i="3" s="1"/>
  <c r="XZ4" i="4" s="1"/>
  <c r="XZ16" i="3"/>
  <c r="XZ18" i="3" s="1"/>
  <c r="XY4" i="4" s="1"/>
  <c r="XY16" i="3"/>
  <c r="XY18" i="3" s="1"/>
  <c r="XX4" i="4" s="1"/>
  <c r="XX16" i="3"/>
  <c r="XX18" i="3" s="1"/>
  <c r="XW4" i="4" s="1"/>
  <c r="XW16" i="3"/>
  <c r="XW18" i="3" s="1"/>
  <c r="XV4" i="4" s="1"/>
  <c r="XV16" i="3"/>
  <c r="XV18" i="3" s="1"/>
  <c r="XU4" i="4" s="1"/>
  <c r="XU16" i="3"/>
  <c r="XU18" i="3" s="1"/>
  <c r="XT4" i="4" s="1"/>
  <c r="XT16" i="3"/>
  <c r="XT18" i="3" s="1"/>
  <c r="XS4" i="4" s="1"/>
  <c r="XS16" i="3"/>
  <c r="XS18" i="3" s="1"/>
  <c r="XR4" i="4" s="1"/>
  <c r="XR16" i="3"/>
  <c r="XR18" i="3" s="1"/>
  <c r="XQ4" i="4" s="1"/>
  <c r="XQ16" i="3"/>
  <c r="XQ18" i="3" s="1"/>
  <c r="XP4" i="4" s="1"/>
  <c r="XP16" i="3"/>
  <c r="XP18" i="3" s="1"/>
  <c r="XO4" i="4" s="1"/>
  <c r="XO16" i="3"/>
  <c r="XO18" i="3" s="1"/>
  <c r="XN4" i="4" s="1"/>
  <c r="XN16" i="3"/>
  <c r="XN18" i="3" s="1"/>
  <c r="XM4" i="4" s="1"/>
  <c r="XM16" i="3"/>
  <c r="XM18" i="3" s="1"/>
  <c r="XL4" i="4" s="1"/>
  <c r="XL16" i="3"/>
  <c r="XL18" i="3" s="1"/>
  <c r="XK4" i="4" s="1"/>
  <c r="XK16" i="3"/>
  <c r="XK18" i="3" s="1"/>
  <c r="XJ4" i="4" s="1"/>
  <c r="XJ16" i="3"/>
  <c r="XJ18" i="3" s="1"/>
  <c r="XI4" i="4" s="1"/>
  <c r="XI16" i="3"/>
  <c r="XI18" i="3" s="1"/>
  <c r="XH4" i="4" s="1"/>
  <c r="XG16" i="3"/>
  <c r="XG18" i="3" s="1"/>
  <c r="XF4" i="4" s="1"/>
  <c r="XF16" i="3"/>
  <c r="XF18" i="3" s="1"/>
  <c r="XE4" i="4" s="1"/>
  <c r="XE16" i="3"/>
  <c r="XE18" i="3" s="1"/>
  <c r="XD4" i="4" s="1"/>
  <c r="XD16" i="3"/>
  <c r="XD18" i="3" s="1"/>
  <c r="XC4" i="4" s="1"/>
  <c r="XC16" i="3"/>
  <c r="XC18" i="3" s="1"/>
  <c r="XB4" i="4" s="1"/>
  <c r="XB16" i="3"/>
  <c r="XB18" i="3" s="1"/>
  <c r="XA4" i="4" s="1"/>
  <c r="XA16" i="3"/>
  <c r="XA18" i="3" s="1"/>
  <c r="WZ4" i="4" s="1"/>
  <c r="WZ16" i="3"/>
  <c r="WZ18" i="3" s="1"/>
  <c r="WY4" i="4" s="1"/>
  <c r="WY16" i="3"/>
  <c r="WY18" i="3" s="1"/>
  <c r="WX4" i="4" s="1"/>
  <c r="WX16" i="3"/>
  <c r="WX18" i="3" s="1"/>
  <c r="WW4" i="4" s="1"/>
  <c r="WW16" i="3"/>
  <c r="WW18" i="3" s="1"/>
  <c r="WV4" i="4" s="1"/>
  <c r="WV16" i="3"/>
  <c r="WV18" i="3" s="1"/>
  <c r="WU4" i="4" s="1"/>
  <c r="WU16" i="3"/>
  <c r="WU18" i="3" s="1"/>
  <c r="WT4" i="4" s="1"/>
  <c r="WT16" i="3"/>
  <c r="WT18" i="3" s="1"/>
  <c r="WS4" i="4" s="1"/>
  <c r="WS16" i="3"/>
  <c r="WS18" i="3" s="1"/>
  <c r="WR4" i="4" s="1"/>
  <c r="WR16" i="3"/>
  <c r="WR18" i="3" s="1"/>
  <c r="WQ4" i="4" s="1"/>
  <c r="WQ16" i="3"/>
  <c r="WQ18" i="3" s="1"/>
  <c r="WP4" i="4" s="1"/>
  <c r="WP16" i="3"/>
  <c r="WP18" i="3" s="1"/>
  <c r="WO4" i="4" s="1"/>
  <c r="WO16" i="3"/>
  <c r="WO18" i="3" s="1"/>
  <c r="WN4" i="4" s="1"/>
  <c r="WN16" i="3"/>
  <c r="WN18" i="3" s="1"/>
  <c r="WM4" i="4" s="1"/>
  <c r="WM16" i="3"/>
  <c r="WM18" i="3" s="1"/>
  <c r="WL4" i="4" s="1"/>
  <c r="WL16" i="3"/>
  <c r="WL18" i="3" s="1"/>
  <c r="WK4" i="4" s="1"/>
  <c r="WK16" i="3"/>
  <c r="WK18" i="3" s="1"/>
  <c r="WJ4" i="4" s="1"/>
  <c r="WJ16" i="3"/>
  <c r="WJ18" i="3" s="1"/>
  <c r="WI4" i="4" s="1"/>
  <c r="WI16" i="3"/>
  <c r="WI18" i="3" s="1"/>
  <c r="WH4" i="4" s="1"/>
  <c r="WH16" i="3"/>
  <c r="WH18" i="3" s="1"/>
  <c r="WG4" i="4" s="1"/>
  <c r="WG16" i="3"/>
  <c r="WG18" i="3" s="1"/>
  <c r="WF4" i="4" s="1"/>
  <c r="WF16" i="3"/>
  <c r="WF18" i="3" s="1"/>
  <c r="WE4" i="4" s="1"/>
  <c r="WE16" i="3"/>
  <c r="WE18" i="3" s="1"/>
  <c r="WD4" i="4" s="1"/>
  <c r="WD16" i="3"/>
  <c r="WD18" i="3" s="1"/>
  <c r="WC4" i="4" s="1"/>
  <c r="WA16" i="3"/>
  <c r="WA18" i="3" s="1"/>
  <c r="VZ4" i="4" s="1"/>
  <c r="VZ16" i="3"/>
  <c r="VZ18" i="3" s="1"/>
  <c r="VY4" i="4" s="1"/>
  <c r="VY16" i="3"/>
  <c r="VY18" i="3" s="1"/>
  <c r="VX4" i="4" s="1"/>
  <c r="VX16" i="3"/>
  <c r="VX18" i="3" s="1"/>
  <c r="VW4" i="4" s="1"/>
  <c r="VW16" i="3"/>
  <c r="VW18" i="3" s="1"/>
  <c r="VV4" i="4" s="1"/>
  <c r="VV16" i="3"/>
  <c r="VV18" i="3" s="1"/>
  <c r="VU4" i="4" s="1"/>
  <c r="VU16" i="3"/>
  <c r="VU18" i="3" s="1"/>
  <c r="VT4" i="4" s="1"/>
  <c r="VT16" i="3"/>
  <c r="VT18" i="3" s="1"/>
  <c r="VS4" i="4" s="1"/>
  <c r="VS16" i="3"/>
  <c r="VS18" i="3" s="1"/>
  <c r="VR4" i="4" s="1"/>
  <c r="VR16" i="3"/>
  <c r="VR18" i="3" s="1"/>
  <c r="VQ4" i="4" s="1"/>
  <c r="VQ16" i="3"/>
  <c r="VQ18" i="3" s="1"/>
  <c r="VP4" i="4" s="1"/>
  <c r="VP16" i="3"/>
  <c r="VP18" i="3" s="1"/>
  <c r="VO4" i="4" s="1"/>
  <c r="VO16" i="3"/>
  <c r="VO18" i="3" s="1"/>
  <c r="VN4" i="4" s="1"/>
  <c r="VN16" i="3"/>
  <c r="VN18" i="3" s="1"/>
  <c r="VM4" i="4" s="1"/>
  <c r="VM16" i="3"/>
  <c r="VM18" i="3" s="1"/>
  <c r="VL4" i="4" s="1"/>
  <c r="VL16" i="3"/>
  <c r="VL18" i="3" s="1"/>
  <c r="VK4" i="4" s="1"/>
  <c r="VK16" i="3"/>
  <c r="VK18" i="3" s="1"/>
  <c r="VJ4" i="4" s="1"/>
  <c r="VJ16" i="3"/>
  <c r="VJ18" i="3" s="1"/>
  <c r="VI4" i="4" s="1"/>
  <c r="VI16" i="3"/>
  <c r="VI18" i="3" s="1"/>
  <c r="VH4" i="4" s="1"/>
  <c r="VH16" i="3"/>
  <c r="VH18" i="3" s="1"/>
  <c r="VG4" i="4" s="1"/>
  <c r="VG16" i="3"/>
  <c r="VG18" i="3" s="1"/>
  <c r="VF4" i="4" s="1"/>
  <c r="VF16" i="3"/>
  <c r="VF18" i="3" s="1"/>
  <c r="VE4" i="4" s="1"/>
  <c r="VE16" i="3"/>
  <c r="VE18" i="3" s="1"/>
  <c r="VD4" i="4" s="1"/>
  <c r="VD16" i="3"/>
  <c r="VD18" i="3" s="1"/>
  <c r="VC4" i="4" s="1"/>
  <c r="VC16" i="3"/>
  <c r="VC18" i="3" s="1"/>
  <c r="VB4" i="4" s="1"/>
  <c r="VB16" i="3"/>
  <c r="VB18" i="3" s="1"/>
  <c r="VA4" i="4" s="1"/>
  <c r="VA16" i="3"/>
  <c r="VA18" i="3" s="1"/>
  <c r="UZ4" i="4" s="1"/>
  <c r="UX16" i="3"/>
  <c r="UX18" i="3" s="1"/>
  <c r="UW4" i="4" s="1"/>
  <c r="UW11" i="4" s="1"/>
  <c r="UW47" i="4" s="1"/>
  <c r="UW16" i="3"/>
  <c r="UW18" i="3" s="1"/>
  <c r="UV4" i="4" s="1"/>
  <c r="UV11" i="4" s="1"/>
  <c r="UV47" i="4" s="1"/>
  <c r="UV16" i="3"/>
  <c r="UV18" i="3" s="1"/>
  <c r="UU4" i="4" s="1"/>
  <c r="UU11" i="4" s="1"/>
  <c r="UU47" i="4" s="1"/>
  <c r="UU16" i="3"/>
  <c r="UU18" i="3" s="1"/>
  <c r="UT4" i="4" s="1"/>
  <c r="UT11" i="4" s="1"/>
  <c r="UT47" i="4" s="1"/>
  <c r="UT16" i="3"/>
  <c r="UT18" i="3" s="1"/>
  <c r="US4" i="4" s="1"/>
  <c r="US11" i="4" s="1"/>
  <c r="US47" i="4" s="1"/>
  <c r="US16" i="3"/>
  <c r="US18" i="3" s="1"/>
  <c r="UR4" i="4" s="1"/>
  <c r="UR11" i="4" s="1"/>
  <c r="UR47" i="4" s="1"/>
  <c r="UR16" i="3"/>
  <c r="UR18" i="3" s="1"/>
  <c r="UQ4" i="4" s="1"/>
  <c r="UQ11" i="4" s="1"/>
  <c r="UQ47" i="4" s="1"/>
  <c r="UQ16" i="3"/>
  <c r="UQ18" i="3" s="1"/>
  <c r="UP4" i="4" s="1"/>
  <c r="UP11" i="4" s="1"/>
  <c r="UP47" i="4" s="1"/>
  <c r="UP16" i="3"/>
  <c r="UP18" i="3" s="1"/>
  <c r="UO4" i="4" s="1"/>
  <c r="UO11" i="4" s="1"/>
  <c r="UO47" i="4" s="1"/>
  <c r="UO16" i="3"/>
  <c r="UO18" i="3" s="1"/>
  <c r="UN4" i="4" s="1"/>
  <c r="UN11" i="4" s="1"/>
  <c r="UN47" i="4" s="1"/>
  <c r="UN16" i="3"/>
  <c r="UN18" i="3" s="1"/>
  <c r="UM4" i="4" s="1"/>
  <c r="UM11" i="4" s="1"/>
  <c r="UM47" i="4" s="1"/>
  <c r="UM16" i="3"/>
  <c r="UM18" i="3" s="1"/>
  <c r="UL4" i="4" s="1"/>
  <c r="UL11" i="4" s="1"/>
  <c r="UL47" i="4" s="1"/>
  <c r="UL16" i="3"/>
  <c r="UL18" i="3" s="1"/>
  <c r="UK4" i="4" s="1"/>
  <c r="UK11" i="4" s="1"/>
  <c r="UK47" i="4" s="1"/>
  <c r="UK16" i="3"/>
  <c r="UK18" i="3" s="1"/>
  <c r="UJ4" i="4" s="1"/>
  <c r="UJ11" i="4" s="1"/>
  <c r="UJ47" i="4" s="1"/>
  <c r="UJ16" i="3"/>
  <c r="UJ18" i="3" s="1"/>
  <c r="UI4" i="4" s="1"/>
  <c r="UI11" i="4" s="1"/>
  <c r="UI47" i="4" s="1"/>
  <c r="UI16" i="3"/>
  <c r="UI18" i="3" s="1"/>
  <c r="UH4" i="4" s="1"/>
  <c r="UH11" i="4" s="1"/>
  <c r="UH47" i="4" s="1"/>
  <c r="UH16" i="3"/>
  <c r="UH18" i="3" s="1"/>
  <c r="UG4" i="4" s="1"/>
  <c r="UG11" i="4" s="1"/>
  <c r="UG47" i="4" s="1"/>
  <c r="UG16" i="3"/>
  <c r="UG18" i="3" s="1"/>
  <c r="UF4" i="4" s="1"/>
  <c r="UF11" i="4" s="1"/>
  <c r="UF47" i="4" s="1"/>
  <c r="UF16" i="3"/>
  <c r="UF18" i="3" s="1"/>
  <c r="UE4" i="4" s="1"/>
  <c r="UE11" i="4" s="1"/>
  <c r="UE47" i="4" s="1"/>
  <c r="UE16" i="3"/>
  <c r="UE18" i="3" s="1"/>
  <c r="UD4" i="4" s="1"/>
  <c r="UD11" i="4" s="1"/>
  <c r="UD47" i="4" s="1"/>
  <c r="UD16" i="3"/>
  <c r="UD18" i="3" s="1"/>
  <c r="UC4" i="4" s="1"/>
  <c r="UC11" i="4" s="1"/>
  <c r="UC47" i="4" s="1"/>
  <c r="UC16" i="3"/>
  <c r="UC18" i="3" s="1"/>
  <c r="UB4" i="4" s="1"/>
  <c r="UB11" i="4" s="1"/>
  <c r="UB47" i="4" s="1"/>
  <c r="UB16" i="3"/>
  <c r="UB18" i="3" s="1"/>
  <c r="UA4" i="4" s="1"/>
  <c r="UA11" i="4" s="1"/>
  <c r="UA47" i="4" s="1"/>
  <c r="UA16" i="3"/>
  <c r="UA18" i="3" s="1"/>
  <c r="TZ4" i="4" s="1"/>
  <c r="TZ11" i="4" s="1"/>
  <c r="TZ47" i="4" s="1"/>
  <c r="TZ16" i="3"/>
  <c r="TZ18" i="3" s="1"/>
  <c r="TY4" i="4" s="1"/>
  <c r="TY11" i="4" s="1"/>
  <c r="TY47" i="4" s="1"/>
  <c r="TY16" i="3"/>
  <c r="TY18" i="3" s="1"/>
  <c r="TX4" i="4" s="1"/>
  <c r="TX11" i="4" s="1"/>
  <c r="TX47" i="4" s="1"/>
  <c r="TX16" i="3"/>
  <c r="TX18" i="3" s="1"/>
  <c r="TW4" i="4" s="1"/>
  <c r="TW11" i="4" s="1"/>
  <c r="TW47" i="4" s="1"/>
  <c r="TW16" i="3"/>
  <c r="TW18" i="3" s="1"/>
  <c r="TV4" i="4" s="1"/>
  <c r="TV11" i="4" s="1"/>
  <c r="TV47" i="4" s="1"/>
  <c r="TV16" i="3"/>
  <c r="TV18" i="3" s="1"/>
  <c r="TU4" i="4" s="1"/>
  <c r="TU11" i="4" s="1"/>
  <c r="TU47" i="4" s="1"/>
  <c r="TU16" i="3"/>
  <c r="TU18" i="3" s="1"/>
  <c r="TT4" i="4" s="1"/>
  <c r="TT11" i="4" s="1"/>
  <c r="TT47" i="4" s="1"/>
  <c r="TR16" i="3"/>
  <c r="TR18" i="3" s="1"/>
  <c r="TQ4" i="4" s="1"/>
  <c r="TQ11" i="4" s="1"/>
  <c r="TQ47" i="4" s="1"/>
  <c r="TQ16" i="3"/>
  <c r="TQ18" i="3" s="1"/>
  <c r="TP4" i="4" s="1"/>
  <c r="TP11" i="4" s="1"/>
  <c r="TP47" i="4" s="1"/>
  <c r="TP16" i="3"/>
  <c r="TP18" i="3" s="1"/>
  <c r="TO4" i="4" s="1"/>
  <c r="TO11" i="4" s="1"/>
  <c r="TO47" i="4" s="1"/>
  <c r="TO16" i="3"/>
  <c r="TO18" i="3" s="1"/>
  <c r="TN4" i="4" s="1"/>
  <c r="TN11" i="4" s="1"/>
  <c r="TN47" i="4" s="1"/>
  <c r="TN16" i="3"/>
  <c r="TN18" i="3" s="1"/>
  <c r="TM4" i="4" s="1"/>
  <c r="TM11" i="4" s="1"/>
  <c r="TM47" i="4" s="1"/>
  <c r="TM16" i="3"/>
  <c r="TM18" i="3" s="1"/>
  <c r="TL4" i="4" s="1"/>
  <c r="TL11" i="4" s="1"/>
  <c r="TL47" i="4" s="1"/>
  <c r="TL16" i="3"/>
  <c r="TL18" i="3" s="1"/>
  <c r="TK4" i="4" s="1"/>
  <c r="TK11" i="4" s="1"/>
  <c r="TK47" i="4" s="1"/>
  <c r="TK16" i="3"/>
  <c r="TK18" i="3" s="1"/>
  <c r="TJ4" i="4" s="1"/>
  <c r="TJ11" i="4" s="1"/>
  <c r="TJ47" i="4" s="1"/>
  <c r="TJ16" i="3"/>
  <c r="TJ18" i="3" s="1"/>
  <c r="TI4" i="4" s="1"/>
  <c r="TI11" i="4" s="1"/>
  <c r="TI47" i="4" s="1"/>
  <c r="TI16" i="3"/>
  <c r="TI18" i="3" s="1"/>
  <c r="TH4" i="4" s="1"/>
  <c r="TH11" i="4" s="1"/>
  <c r="TH47" i="4" s="1"/>
  <c r="TH16" i="3"/>
  <c r="TH18" i="3" s="1"/>
  <c r="TG4" i="4" s="1"/>
  <c r="TG11" i="4" s="1"/>
  <c r="TG47" i="4" s="1"/>
  <c r="TG16" i="3"/>
  <c r="TG18" i="3" s="1"/>
  <c r="TF4" i="4" s="1"/>
  <c r="TF11" i="4" s="1"/>
  <c r="TF47" i="4" s="1"/>
  <c r="TF16" i="3"/>
  <c r="TF18" i="3" s="1"/>
  <c r="TE4" i="4" s="1"/>
  <c r="TE11" i="4" s="1"/>
  <c r="TE47" i="4" s="1"/>
  <c r="TE16" i="3"/>
  <c r="TE18" i="3" s="1"/>
  <c r="TD4" i="4" s="1"/>
  <c r="TD11" i="4" s="1"/>
  <c r="TD47" i="4" s="1"/>
  <c r="TD16" i="3"/>
  <c r="TD18" i="3" s="1"/>
  <c r="TC4" i="4" s="1"/>
  <c r="TC11" i="4" s="1"/>
  <c r="TC47" i="4" s="1"/>
  <c r="TC16" i="3"/>
  <c r="TC18" i="3" s="1"/>
  <c r="TB4" i="4" s="1"/>
  <c r="TB11" i="4" s="1"/>
  <c r="TB47" i="4" s="1"/>
  <c r="TB16" i="3"/>
  <c r="TB18" i="3" s="1"/>
  <c r="TA4" i="4" s="1"/>
  <c r="TA11" i="4" s="1"/>
  <c r="TA47" i="4" s="1"/>
  <c r="TA16" i="3"/>
  <c r="TA18" i="3" s="1"/>
  <c r="SZ4" i="4" s="1"/>
  <c r="SZ11" i="4" s="1"/>
  <c r="SZ47" i="4" s="1"/>
  <c r="SZ16" i="3"/>
  <c r="SZ18" i="3" s="1"/>
  <c r="SY4" i="4" s="1"/>
  <c r="SY11" i="4" s="1"/>
  <c r="SY47" i="4" s="1"/>
  <c r="SY16" i="3"/>
  <c r="SY18" i="3" s="1"/>
  <c r="SX4" i="4" s="1"/>
  <c r="SX11" i="4" s="1"/>
  <c r="SX47" i="4" s="1"/>
  <c r="SX16" i="3"/>
  <c r="SX18" i="3" s="1"/>
  <c r="SW4" i="4" s="1"/>
  <c r="SW11" i="4" s="1"/>
  <c r="SW47" i="4" s="1"/>
  <c r="SW16" i="3"/>
  <c r="SW18" i="3" s="1"/>
  <c r="SV4" i="4" s="1"/>
  <c r="SV11" i="4" s="1"/>
  <c r="SV47" i="4" s="1"/>
  <c r="SV16" i="3"/>
  <c r="SV18" i="3" s="1"/>
  <c r="SU4" i="4" s="1"/>
  <c r="SU11" i="4" s="1"/>
  <c r="SU47" i="4" s="1"/>
  <c r="SU16" i="3"/>
  <c r="SU18" i="3" s="1"/>
  <c r="ST4" i="4" s="1"/>
  <c r="ST11" i="4" s="1"/>
  <c r="ST47" i="4" s="1"/>
  <c r="ST16" i="3"/>
  <c r="ST18" i="3" s="1"/>
  <c r="SS4" i="4" s="1"/>
  <c r="SS11" i="4" s="1"/>
  <c r="SS47" i="4" s="1"/>
  <c r="SS16" i="3"/>
  <c r="SS18" i="3" s="1"/>
  <c r="SR4" i="4" s="1"/>
  <c r="SR16" i="3"/>
  <c r="SR18" i="3" s="1"/>
  <c r="SQ4" i="4" s="1"/>
  <c r="SQ16" i="3"/>
  <c r="SQ18" i="3" s="1"/>
  <c r="SP4" i="4" s="1"/>
  <c r="SP16" i="3"/>
  <c r="SP18" i="3" s="1"/>
  <c r="SO4" i="4" s="1"/>
  <c r="SN16" i="3"/>
  <c r="SN18" i="3" s="1"/>
  <c r="SM4" i="4" s="1"/>
  <c r="SL16" i="3"/>
  <c r="SL18" i="3" s="1"/>
  <c r="SK4" i="4" s="1"/>
  <c r="SK16" i="3"/>
  <c r="SK18" i="3" s="1"/>
  <c r="SJ4" i="4" s="1"/>
  <c r="SJ16" i="3"/>
  <c r="SJ18" i="3" s="1"/>
  <c r="SI4" i="4" s="1"/>
  <c r="SI16" i="3"/>
  <c r="SI18" i="3" s="1"/>
  <c r="SH4" i="4" s="1"/>
  <c r="SH16" i="3"/>
  <c r="SH18" i="3" s="1"/>
  <c r="SG4" i="4" s="1"/>
  <c r="SG16" i="3"/>
  <c r="SG18" i="3" s="1"/>
  <c r="SF4" i="4" s="1"/>
  <c r="SF16" i="3"/>
  <c r="SF18" i="3" s="1"/>
  <c r="SE4" i="4" s="1"/>
  <c r="SE16" i="3"/>
  <c r="SE18" i="3" s="1"/>
  <c r="SD4" i="4" s="1"/>
  <c r="SD16" i="3"/>
  <c r="SD18" i="3" s="1"/>
  <c r="SC4" i="4" s="1"/>
  <c r="SC16" i="3"/>
  <c r="SC18" i="3" s="1"/>
  <c r="SB4" i="4" s="1"/>
  <c r="SB16" i="3"/>
  <c r="SB18" i="3" s="1"/>
  <c r="SA4" i="4" s="1"/>
  <c r="SA16" i="3"/>
  <c r="SA18" i="3" s="1"/>
  <c r="RZ4" i="4" s="1"/>
  <c r="RZ16" i="3"/>
  <c r="RZ18" i="3" s="1"/>
  <c r="RY4" i="4" s="1"/>
  <c r="RY16" i="3"/>
  <c r="RY18" i="3" s="1"/>
  <c r="RX4" i="4" s="1"/>
  <c r="RX16" i="3"/>
  <c r="RX18" i="3" s="1"/>
  <c r="RW4" i="4" s="1"/>
  <c r="RW16" i="3"/>
  <c r="RW18" i="3" s="1"/>
  <c r="RV4" i="4" s="1"/>
  <c r="RV16" i="3"/>
  <c r="RV18" i="3" s="1"/>
  <c r="RU4" i="4" s="1"/>
  <c r="RU16" i="3"/>
  <c r="RU18" i="3" s="1"/>
  <c r="RT4" i="4" s="1"/>
  <c r="RT16" i="3"/>
  <c r="RT18" i="3" s="1"/>
  <c r="RS4" i="4" s="1"/>
  <c r="RS16" i="3"/>
  <c r="RS18" i="3" s="1"/>
  <c r="RR4" i="4" s="1"/>
  <c r="RR16" i="3"/>
  <c r="RR18" i="3" s="1"/>
  <c r="RQ4" i="4" s="1"/>
  <c r="RQ16" i="3"/>
  <c r="RQ18" i="3" s="1"/>
  <c r="RP4" i="4" s="1"/>
  <c r="RP16" i="3"/>
  <c r="RP18" i="3" s="1"/>
  <c r="RO4" i="4" s="1"/>
  <c r="RO16" i="3"/>
  <c r="RO18" i="3" s="1"/>
  <c r="RN4" i="4" s="1"/>
  <c r="RN16" i="3"/>
  <c r="RN18" i="3" s="1"/>
  <c r="RM4" i="4" s="1"/>
  <c r="RM16" i="3"/>
  <c r="RM18" i="3" s="1"/>
  <c r="RL4" i="4" s="1"/>
  <c r="RL16" i="3"/>
  <c r="RL18" i="3" s="1"/>
  <c r="RK4" i="4" s="1"/>
  <c r="RK16" i="3"/>
  <c r="RK18" i="3" s="1"/>
  <c r="RJ4" i="4" s="1"/>
  <c r="RJ16" i="3"/>
  <c r="RJ18" i="3" s="1"/>
  <c r="RI4" i="4" s="1"/>
  <c r="RG16" i="3"/>
  <c r="RG18" i="3" s="1"/>
  <c r="RF4" i="4" s="1"/>
  <c r="RF16" i="3"/>
  <c r="RF18" i="3" s="1"/>
  <c r="RE4" i="4" s="1"/>
  <c r="RE16" i="3"/>
  <c r="RE18" i="3" s="1"/>
  <c r="RD4" i="4" s="1"/>
  <c r="RD16" i="3"/>
  <c r="RD18" i="3" s="1"/>
  <c r="RC4" i="4" s="1"/>
  <c r="RC16" i="3"/>
  <c r="RC18" i="3" s="1"/>
  <c r="RB4" i="4" s="1"/>
  <c r="RB16" i="3"/>
  <c r="RB18" i="3" s="1"/>
  <c r="RA4" i="4" s="1"/>
  <c r="RA16" i="3"/>
  <c r="RA18" i="3" s="1"/>
  <c r="QZ4" i="4" s="1"/>
  <c r="QZ16" i="3"/>
  <c r="QZ18" i="3" s="1"/>
  <c r="QY4" i="4" s="1"/>
  <c r="QY16" i="3"/>
  <c r="QY18" i="3" s="1"/>
  <c r="QX4" i="4" s="1"/>
  <c r="QX16" i="3"/>
  <c r="QX18" i="3" s="1"/>
  <c r="QW4" i="4" s="1"/>
  <c r="QW16" i="3"/>
  <c r="QW18" i="3" s="1"/>
  <c r="QV4" i="4" s="1"/>
  <c r="QV16" i="3"/>
  <c r="QV18" i="3" s="1"/>
  <c r="QU4" i="4" s="1"/>
  <c r="QU11" i="4" s="1"/>
  <c r="QU47" i="4" s="1"/>
  <c r="QU16" i="3"/>
  <c r="QU18" i="3" s="1"/>
  <c r="QT4" i="4" s="1"/>
  <c r="QT11" i="4" s="1"/>
  <c r="QT47" i="4" s="1"/>
  <c r="QT16" i="3"/>
  <c r="QT18" i="3" s="1"/>
  <c r="QS4" i="4" s="1"/>
  <c r="QS11" i="4" s="1"/>
  <c r="QS47" i="4" s="1"/>
  <c r="QS16" i="3"/>
  <c r="QS18" i="3" s="1"/>
  <c r="QR4" i="4" s="1"/>
  <c r="QR11" i="4" s="1"/>
  <c r="QR47" i="4" s="1"/>
  <c r="QR16" i="3"/>
  <c r="QR18" i="3" s="1"/>
  <c r="QQ4" i="4" s="1"/>
  <c r="QQ11" i="4" s="1"/>
  <c r="QQ47" i="4" s="1"/>
  <c r="QQ16" i="3"/>
  <c r="QQ18" i="3" s="1"/>
  <c r="QP4" i="4" s="1"/>
  <c r="QP11" i="4" s="1"/>
  <c r="QP47" i="4" s="1"/>
  <c r="QP16" i="3"/>
  <c r="QP18" i="3" s="1"/>
  <c r="QO4" i="4" s="1"/>
  <c r="QO11" i="4" s="1"/>
  <c r="QO47" i="4" s="1"/>
  <c r="QO16" i="3"/>
  <c r="QO18" i="3" s="1"/>
  <c r="QN4" i="4" s="1"/>
  <c r="QN11" i="4" s="1"/>
  <c r="QN47" i="4" s="1"/>
  <c r="QN16" i="3"/>
  <c r="QN18" i="3" s="1"/>
  <c r="QM4" i="4" s="1"/>
  <c r="QM11" i="4" s="1"/>
  <c r="QM47" i="4" s="1"/>
  <c r="QM16" i="3"/>
  <c r="QM18" i="3" s="1"/>
  <c r="QL4" i="4" s="1"/>
  <c r="QL11" i="4" s="1"/>
  <c r="QL47" i="4" s="1"/>
  <c r="QL16" i="3"/>
  <c r="QL18" i="3" s="1"/>
  <c r="QK4" i="4" s="1"/>
  <c r="QK11" i="4" s="1"/>
  <c r="QK47" i="4" s="1"/>
  <c r="QK16" i="3"/>
  <c r="QK18" i="3" s="1"/>
  <c r="QJ4" i="4" s="1"/>
  <c r="QJ11" i="4" s="1"/>
  <c r="QJ47" i="4" s="1"/>
  <c r="QJ16" i="3"/>
  <c r="QJ18" i="3" s="1"/>
  <c r="QI4" i="4" s="1"/>
  <c r="QI11" i="4" s="1"/>
  <c r="QI47" i="4" s="1"/>
  <c r="QI16" i="3"/>
  <c r="QI18" i="3" s="1"/>
  <c r="QH4" i="4" s="1"/>
  <c r="QH11" i="4" s="1"/>
  <c r="QH47" i="4" s="1"/>
  <c r="QH16" i="3"/>
  <c r="QH18" i="3" s="1"/>
  <c r="QG4" i="4" s="1"/>
  <c r="QG11" i="4" s="1"/>
  <c r="QG47" i="4" s="1"/>
  <c r="QG16" i="3"/>
  <c r="QG18" i="3" s="1"/>
  <c r="QF4" i="4" s="1"/>
  <c r="QF11" i="4" s="1"/>
  <c r="QF47" i="4" s="1"/>
  <c r="QF16" i="3"/>
  <c r="QF18" i="3" s="1"/>
  <c r="QE4" i="4" s="1"/>
  <c r="QE16" i="3"/>
  <c r="QE18" i="3" s="1"/>
  <c r="QD4" i="4" s="1"/>
  <c r="QC16" i="3"/>
  <c r="QC18" i="3" s="1"/>
  <c r="QB4" i="4" s="1"/>
  <c r="QA16" i="3"/>
  <c r="QA18" i="3" s="1"/>
  <c r="PZ4" i="4" s="1"/>
  <c r="PZ16" i="3"/>
  <c r="PZ18" i="3" s="1"/>
  <c r="PY4" i="4" s="1"/>
  <c r="PY16" i="3"/>
  <c r="PY18" i="3" s="1"/>
  <c r="PX4" i="4" s="1"/>
  <c r="PX16" i="3"/>
  <c r="PX18" i="3" s="1"/>
  <c r="PW4" i="4" s="1"/>
  <c r="PW16" i="3"/>
  <c r="PW18" i="3" s="1"/>
  <c r="PV4" i="4" s="1"/>
  <c r="PV16" i="3"/>
  <c r="PV18" i="3" s="1"/>
  <c r="PU4" i="4" s="1"/>
  <c r="PU16" i="3"/>
  <c r="PU18" i="3" s="1"/>
  <c r="PT4" i="4" s="1"/>
  <c r="PT16" i="3"/>
  <c r="PT18" i="3" s="1"/>
  <c r="PS4" i="4" s="1"/>
  <c r="PS16" i="3"/>
  <c r="PS18" i="3" s="1"/>
  <c r="PR4" i="4" s="1"/>
  <c r="PR16" i="3"/>
  <c r="PR18" i="3" s="1"/>
  <c r="PQ4" i="4" s="1"/>
  <c r="PQ16" i="3"/>
  <c r="PQ18" i="3" s="1"/>
  <c r="PP4" i="4" s="1"/>
  <c r="PP16" i="3"/>
  <c r="PP18" i="3" s="1"/>
  <c r="PO4" i="4" s="1"/>
  <c r="PO16" i="3"/>
  <c r="PO18" i="3" s="1"/>
  <c r="PN4" i="4" s="1"/>
  <c r="PN16" i="3"/>
  <c r="PN18" i="3" s="1"/>
  <c r="PM4" i="4" s="1"/>
  <c r="PM16" i="3"/>
  <c r="PM18" i="3" s="1"/>
  <c r="PL4" i="4" s="1"/>
  <c r="PL16" i="3"/>
  <c r="PL18" i="3" s="1"/>
  <c r="PK4" i="4" s="1"/>
  <c r="PK16" i="3"/>
  <c r="PK18" i="3" s="1"/>
  <c r="PJ4" i="4" s="1"/>
  <c r="PJ16" i="3"/>
  <c r="PJ18" i="3" s="1"/>
  <c r="PI4" i="4" s="1"/>
  <c r="PI16" i="3"/>
  <c r="PI18" i="3" s="1"/>
  <c r="PH4" i="4" s="1"/>
  <c r="PH16" i="3"/>
  <c r="PH18" i="3" s="1"/>
  <c r="PG4" i="4" s="1"/>
  <c r="PG16" i="3"/>
  <c r="PG18" i="3" s="1"/>
  <c r="PF4" i="4" s="1"/>
  <c r="PF16" i="3"/>
  <c r="PF18" i="3" s="1"/>
  <c r="PE4" i="4" s="1"/>
  <c r="PE16" i="3"/>
  <c r="PE18" i="3" s="1"/>
  <c r="PD4" i="4" s="1"/>
  <c r="PD16" i="3"/>
  <c r="PD18" i="3" s="1"/>
  <c r="PC4" i="4" s="1"/>
  <c r="PC16" i="3"/>
  <c r="PC18" i="3" s="1"/>
  <c r="PB4" i="4" s="1"/>
  <c r="PB16" i="3"/>
  <c r="PB18" i="3" s="1"/>
  <c r="PA4" i="4" s="1"/>
  <c r="PA16" i="3"/>
  <c r="PA18" i="3" s="1"/>
  <c r="OZ4" i="4" s="1"/>
  <c r="OZ16" i="3"/>
  <c r="OZ18" i="3" s="1"/>
  <c r="OY4" i="4" s="1"/>
  <c r="OY16" i="3"/>
  <c r="OY18" i="3" s="1"/>
  <c r="OX4" i="4" s="1"/>
  <c r="OV16" i="3"/>
  <c r="OV18" i="3" s="1"/>
  <c r="OU4" i="4" s="1"/>
  <c r="OU16" i="3"/>
  <c r="OU18" i="3" s="1"/>
  <c r="OT4" i="4" s="1"/>
  <c r="OT16" i="3"/>
  <c r="OT18" i="3" s="1"/>
  <c r="OS4" i="4" s="1"/>
  <c r="OS16" i="3"/>
  <c r="OS18" i="3" s="1"/>
  <c r="OR4" i="4" s="1"/>
  <c r="OR16" i="3"/>
  <c r="OR18" i="3" s="1"/>
  <c r="OQ4" i="4" s="1"/>
  <c r="OQ16" i="3"/>
  <c r="OQ18" i="3" s="1"/>
  <c r="OP4" i="4" s="1"/>
  <c r="OP16" i="3"/>
  <c r="OP18" i="3" s="1"/>
  <c r="OO4" i="4" s="1"/>
  <c r="OO16" i="3"/>
  <c r="OO18" i="3" s="1"/>
  <c r="ON4" i="4" s="1"/>
  <c r="ON16" i="3"/>
  <c r="ON18" i="3" s="1"/>
  <c r="OM4" i="4" s="1"/>
  <c r="OM16" i="3"/>
  <c r="OM18" i="3" s="1"/>
  <c r="OL4" i="4" s="1"/>
  <c r="OL16" i="3"/>
  <c r="OL18" i="3" s="1"/>
  <c r="OK4" i="4" s="1"/>
  <c r="OK16" i="3"/>
  <c r="OK18" i="3" s="1"/>
  <c r="OJ4" i="4" s="1"/>
  <c r="OJ16" i="3"/>
  <c r="OJ18" i="3" s="1"/>
  <c r="OI4" i="4" s="1"/>
  <c r="OI16" i="3"/>
  <c r="OI18" i="3" s="1"/>
  <c r="OH4" i="4" s="1"/>
  <c r="OH16" i="3"/>
  <c r="OH18" i="3" s="1"/>
  <c r="OG4" i="4" s="1"/>
  <c r="OG16" i="3"/>
  <c r="OG18" i="3" s="1"/>
  <c r="OF4" i="4" s="1"/>
  <c r="OF16" i="3"/>
  <c r="OF18" i="3" s="1"/>
  <c r="OE4" i="4" s="1"/>
  <c r="OE16" i="3"/>
  <c r="OE18" i="3" s="1"/>
  <c r="OD4" i="4" s="1"/>
  <c r="OD16" i="3"/>
  <c r="OD18" i="3" s="1"/>
  <c r="OC4" i="4" s="1"/>
  <c r="OC16" i="3"/>
  <c r="OC18" i="3" s="1"/>
  <c r="OB4" i="4" s="1"/>
  <c r="OB16" i="3"/>
  <c r="OB18" i="3" s="1"/>
  <c r="OA4" i="4" s="1"/>
  <c r="OA16" i="3"/>
  <c r="OA18" i="3" s="1"/>
  <c r="NZ4" i="4" s="1"/>
  <c r="NZ16" i="3"/>
  <c r="NZ18" i="3" s="1"/>
  <c r="NY4" i="4" s="1"/>
  <c r="NY16" i="3"/>
  <c r="NY18" i="3" s="1"/>
  <c r="NX4" i="4" s="1"/>
  <c r="NX16" i="3"/>
  <c r="NX18" i="3" s="1"/>
  <c r="NW4" i="4" s="1"/>
  <c r="NW16" i="3"/>
  <c r="NW18" i="3" s="1"/>
  <c r="NV4" i="4" s="1"/>
  <c r="NV16" i="3"/>
  <c r="NV18" i="3" s="1"/>
  <c r="NU4" i="4" s="1"/>
  <c r="NU16" i="3"/>
  <c r="NU18" i="3" s="1"/>
  <c r="NT4" i="4" s="1"/>
  <c r="NT16" i="3"/>
  <c r="NT18" i="3" s="1"/>
  <c r="NS4" i="4" s="1"/>
  <c r="NS16" i="3"/>
  <c r="NS18" i="3" s="1"/>
  <c r="NR4" i="4" s="1"/>
  <c r="NP16" i="3"/>
  <c r="NP18" i="3" s="1"/>
  <c r="NO4" i="4" s="1"/>
  <c r="NO16" i="3"/>
  <c r="NO18" i="3" s="1"/>
  <c r="NN4" i="4" s="1"/>
  <c r="NN16" i="3"/>
  <c r="NN18" i="3" s="1"/>
  <c r="NM4" i="4" s="1"/>
  <c r="NM16" i="3"/>
  <c r="NM18" i="3" s="1"/>
  <c r="NL4" i="4" s="1"/>
  <c r="NL16" i="3"/>
  <c r="NL18" i="3" s="1"/>
  <c r="NK4" i="4" s="1"/>
  <c r="NK16" i="3"/>
  <c r="NK18" i="3" s="1"/>
  <c r="NJ4" i="4" s="1"/>
  <c r="NJ16" i="3"/>
  <c r="NJ18" i="3" s="1"/>
  <c r="NI4" i="4" s="1"/>
  <c r="NI16" i="3"/>
  <c r="NI18" i="3" s="1"/>
  <c r="NH4" i="4" s="1"/>
  <c r="NH16" i="3"/>
  <c r="NH18" i="3" s="1"/>
  <c r="NG4" i="4" s="1"/>
  <c r="NG16" i="3"/>
  <c r="NG18" i="3" s="1"/>
  <c r="NF4" i="4" s="1"/>
  <c r="NF16" i="3"/>
  <c r="NF18" i="3" s="1"/>
  <c r="NE4" i="4" s="1"/>
  <c r="NE16" i="3"/>
  <c r="NE18" i="3" s="1"/>
  <c r="ND4" i="4" s="1"/>
  <c r="ND16" i="3"/>
  <c r="ND18" i="3" s="1"/>
  <c r="NC4" i="4" s="1"/>
  <c r="NC16" i="3"/>
  <c r="NC18" i="3" s="1"/>
  <c r="NB4" i="4" s="1"/>
  <c r="NB16" i="3"/>
  <c r="NB18" i="3" s="1"/>
  <c r="NA4" i="4" s="1"/>
  <c r="NA16" i="3"/>
  <c r="NA18" i="3" s="1"/>
  <c r="MZ4" i="4" s="1"/>
  <c r="MZ16" i="3"/>
  <c r="MZ18" i="3" s="1"/>
  <c r="MY4" i="4" s="1"/>
  <c r="MY16" i="3"/>
  <c r="MY18" i="3" s="1"/>
  <c r="MX4" i="4" s="1"/>
  <c r="MX16" i="3"/>
  <c r="MX18" i="3" s="1"/>
  <c r="MW4" i="4" s="1"/>
  <c r="MW16" i="3"/>
  <c r="MW18" i="3" s="1"/>
  <c r="MV4" i="4" s="1"/>
  <c r="MV16" i="3"/>
  <c r="MV18" i="3" s="1"/>
  <c r="MU4" i="4" s="1"/>
  <c r="MU16" i="3"/>
  <c r="MU18" i="3" s="1"/>
  <c r="MT4" i="4" s="1"/>
  <c r="MT16" i="3"/>
  <c r="MT18" i="3" s="1"/>
  <c r="MS4" i="4" s="1"/>
  <c r="MS16" i="3"/>
  <c r="MS18" i="3" s="1"/>
  <c r="MR4" i="4" s="1"/>
  <c r="MR16" i="3"/>
  <c r="MR18" i="3" s="1"/>
  <c r="MQ4" i="4" s="1"/>
  <c r="MQ16" i="3"/>
  <c r="MQ18" i="3" s="1"/>
  <c r="MP4" i="4" s="1"/>
  <c r="MP16" i="3"/>
  <c r="MP18" i="3" s="1"/>
  <c r="MO4" i="4" s="1"/>
  <c r="MO16" i="3"/>
  <c r="MO18" i="3" s="1"/>
  <c r="MN4" i="4" s="1"/>
  <c r="MN16" i="3"/>
  <c r="MN18" i="3" s="1"/>
  <c r="MM4" i="4" s="1"/>
  <c r="MM16" i="3"/>
  <c r="MM18" i="3" s="1"/>
  <c r="ML4" i="4" s="1"/>
  <c r="MJ16" i="3"/>
  <c r="MJ18" i="3" s="1"/>
  <c r="MI4" i="4" s="1"/>
  <c r="MI16" i="3"/>
  <c r="MI18" i="3" s="1"/>
  <c r="MH4" i="4" s="1"/>
  <c r="MH16" i="3"/>
  <c r="MH18" i="3" s="1"/>
  <c r="MG4" i="4" s="1"/>
  <c r="MG16" i="3"/>
  <c r="MG18" i="3" s="1"/>
  <c r="MF4" i="4" s="1"/>
  <c r="MF16" i="3"/>
  <c r="MF18" i="3" s="1"/>
  <c r="ME4" i="4" s="1"/>
  <c r="ME16" i="3"/>
  <c r="ME18" i="3" s="1"/>
  <c r="MD4" i="4" s="1"/>
  <c r="MD16" i="3"/>
  <c r="MD18" i="3" s="1"/>
  <c r="MC4" i="4" s="1"/>
  <c r="MC16" i="3"/>
  <c r="MC18" i="3" s="1"/>
  <c r="MB4" i="4" s="1"/>
  <c r="MB16" i="3"/>
  <c r="MB18" i="3" s="1"/>
  <c r="MA4" i="4" s="1"/>
  <c r="MA16" i="3"/>
  <c r="MA18" i="3" s="1"/>
  <c r="LZ4" i="4" s="1"/>
  <c r="LZ16" i="3"/>
  <c r="LZ18" i="3" s="1"/>
  <c r="LY4" i="4" s="1"/>
  <c r="LY16" i="3"/>
  <c r="LY18" i="3" s="1"/>
  <c r="LX4" i="4" s="1"/>
  <c r="LX16" i="3"/>
  <c r="LX18" i="3" s="1"/>
  <c r="LW4" i="4" s="1"/>
  <c r="LW16" i="3"/>
  <c r="LW18" i="3" s="1"/>
  <c r="LV4" i="4" s="1"/>
  <c r="LV16" i="3"/>
  <c r="LV18" i="3" s="1"/>
  <c r="LU4" i="4" s="1"/>
  <c r="LU11" i="4" s="1"/>
  <c r="LU47" i="4" s="1"/>
  <c r="LU16" i="3"/>
  <c r="LU18" i="3" s="1"/>
  <c r="LT4" i="4" s="1"/>
  <c r="LT11" i="4" s="1"/>
  <c r="LT47" i="4" s="1"/>
  <c r="LT16" i="3"/>
  <c r="LT18" i="3" s="1"/>
  <c r="LS4" i="4" s="1"/>
  <c r="LS11" i="4" s="1"/>
  <c r="LS47" i="4" s="1"/>
  <c r="LS16" i="3"/>
  <c r="LS18" i="3" s="1"/>
  <c r="LR4" i="4" s="1"/>
  <c r="LR11" i="4" s="1"/>
  <c r="LR47" i="4" s="1"/>
  <c r="LR16" i="3"/>
  <c r="LR18" i="3" s="1"/>
  <c r="LQ4" i="4" s="1"/>
  <c r="LQ11" i="4" s="1"/>
  <c r="LQ47" i="4" s="1"/>
  <c r="LQ16" i="3"/>
  <c r="LQ18" i="3" s="1"/>
  <c r="LP4" i="4" s="1"/>
  <c r="LP11" i="4" s="1"/>
  <c r="LP47" i="4" s="1"/>
  <c r="LP16" i="3"/>
  <c r="LP18" i="3" s="1"/>
  <c r="LO4" i="4" s="1"/>
  <c r="LO11" i="4" s="1"/>
  <c r="LO47" i="4" s="1"/>
  <c r="LO16" i="3"/>
  <c r="LO18" i="3" s="1"/>
  <c r="LN4" i="4" s="1"/>
  <c r="LN11" i="4" s="1"/>
  <c r="LN47" i="4" s="1"/>
  <c r="LN16" i="3"/>
  <c r="LN18" i="3" s="1"/>
  <c r="LM4" i="4" s="1"/>
  <c r="LM11" i="4" s="1"/>
  <c r="LM47" i="4" s="1"/>
  <c r="LM16" i="3"/>
  <c r="LM18" i="3" s="1"/>
  <c r="LL4" i="4" s="1"/>
  <c r="LL11" i="4" s="1"/>
  <c r="LL47" i="4" s="1"/>
  <c r="LL16" i="3"/>
  <c r="LL18" i="3" s="1"/>
  <c r="LK4" i="4" s="1"/>
  <c r="LK11" i="4" s="1"/>
  <c r="LK47" i="4" s="1"/>
  <c r="LK16" i="3"/>
  <c r="LK18" i="3" s="1"/>
  <c r="LJ4" i="4" s="1"/>
  <c r="LJ11" i="4" s="1"/>
  <c r="LJ47" i="4" s="1"/>
  <c r="LJ16" i="3"/>
  <c r="LJ18" i="3" s="1"/>
  <c r="LI4" i="4" s="1"/>
  <c r="LI11" i="4" s="1"/>
  <c r="LI47" i="4" s="1"/>
  <c r="LI16" i="3"/>
  <c r="LI18" i="3" s="1"/>
  <c r="LH4" i="4" s="1"/>
  <c r="LH11" i="4" s="1"/>
  <c r="LH47" i="4" s="1"/>
  <c r="LH16" i="3"/>
  <c r="LH18" i="3" s="1"/>
  <c r="LG4" i="4" s="1"/>
  <c r="LG11" i="4" s="1"/>
  <c r="LG47" i="4" s="1"/>
  <c r="LG16" i="3"/>
  <c r="LG18" i="3" s="1"/>
  <c r="LF4" i="4" s="1"/>
  <c r="LE16" i="3"/>
  <c r="LE18" i="3" s="1"/>
  <c r="LD4" i="4" s="1"/>
  <c r="LD11" i="4" s="1"/>
  <c r="LD47" i="4" s="1"/>
  <c r="LD16" i="3"/>
  <c r="LD18" i="3" s="1"/>
  <c r="LC4" i="4" s="1"/>
  <c r="LC11" i="4" s="1"/>
  <c r="LC47" i="4" s="1"/>
  <c r="LC16" i="3"/>
  <c r="LC18" i="3" s="1"/>
  <c r="LB4" i="4" s="1"/>
  <c r="LB11" i="4" s="1"/>
  <c r="LB47" i="4" s="1"/>
  <c r="LB16" i="3"/>
  <c r="LB18" i="3" s="1"/>
  <c r="LA4" i="4" s="1"/>
  <c r="LA11" i="4" s="1"/>
  <c r="LA47" i="4" s="1"/>
  <c r="LA16" i="3"/>
  <c r="LA18" i="3" s="1"/>
  <c r="KZ4" i="4" s="1"/>
  <c r="KZ11" i="4" s="1"/>
  <c r="KZ47" i="4" s="1"/>
  <c r="KZ16" i="3"/>
  <c r="KZ18" i="3" s="1"/>
  <c r="KY4" i="4" s="1"/>
  <c r="KY11" i="4" s="1"/>
  <c r="KY47" i="4" s="1"/>
  <c r="KY16" i="3"/>
  <c r="KY18" i="3" s="1"/>
  <c r="KX4" i="4" s="1"/>
  <c r="KX11" i="4" s="1"/>
  <c r="KX47" i="4" s="1"/>
  <c r="KX16" i="3"/>
  <c r="KX18" i="3" s="1"/>
  <c r="KW4" i="4" s="1"/>
  <c r="KW11" i="4" s="1"/>
  <c r="KW47" i="4" s="1"/>
  <c r="KW16" i="3"/>
  <c r="KW18" i="3" s="1"/>
  <c r="KV4" i="4" s="1"/>
  <c r="KV11" i="4" s="1"/>
  <c r="KV47" i="4" s="1"/>
  <c r="KV16" i="3"/>
  <c r="KV18" i="3" s="1"/>
  <c r="KU4" i="4" s="1"/>
  <c r="KU11" i="4" s="1"/>
  <c r="KU47" i="4" s="1"/>
  <c r="KU16" i="3"/>
  <c r="KU18" i="3" s="1"/>
  <c r="KT4" i="4" s="1"/>
  <c r="KT11" i="4" s="1"/>
  <c r="KT47" i="4" s="1"/>
  <c r="KT16" i="3"/>
  <c r="KT18" i="3" s="1"/>
  <c r="KS4" i="4" s="1"/>
  <c r="KS11" i="4" s="1"/>
  <c r="KS47" i="4" s="1"/>
  <c r="KS16" i="3"/>
  <c r="KS18" i="3" s="1"/>
  <c r="KR4" i="4" s="1"/>
  <c r="KR11" i="4" s="1"/>
  <c r="KR47" i="4" s="1"/>
  <c r="KR16" i="3"/>
  <c r="KR18" i="3" s="1"/>
  <c r="KQ4" i="4" s="1"/>
  <c r="KQ11" i="4" s="1"/>
  <c r="KQ47" i="4" s="1"/>
  <c r="KQ16" i="3"/>
  <c r="KQ18" i="3" s="1"/>
  <c r="KP4" i="4" s="1"/>
  <c r="KP11" i="4" s="1"/>
  <c r="KP47" i="4" s="1"/>
  <c r="KP16" i="3"/>
  <c r="KP18" i="3" s="1"/>
  <c r="KO4" i="4" s="1"/>
  <c r="KO11" i="4" s="1"/>
  <c r="KO47" i="4" s="1"/>
  <c r="KO16" i="3"/>
  <c r="KO18" i="3" s="1"/>
  <c r="KN4" i="4" s="1"/>
  <c r="KN11" i="4" s="1"/>
  <c r="KN47" i="4" s="1"/>
  <c r="KN16" i="3"/>
  <c r="KN18" i="3" s="1"/>
  <c r="KM4" i="4" s="1"/>
  <c r="KM16" i="3"/>
  <c r="KM18" i="3" s="1"/>
  <c r="KL4" i="4" s="1"/>
  <c r="KL16" i="3"/>
  <c r="KL18" i="3" s="1"/>
  <c r="KK4" i="4" s="1"/>
  <c r="KK16" i="3"/>
  <c r="KK18" i="3" s="1"/>
  <c r="KJ4" i="4" s="1"/>
  <c r="KJ16" i="3"/>
  <c r="KJ18" i="3" s="1"/>
  <c r="KI4" i="4" s="1"/>
  <c r="KI16" i="3"/>
  <c r="KI18" i="3" s="1"/>
  <c r="KH4" i="4" s="1"/>
  <c r="KH16" i="3"/>
  <c r="KH18" i="3" s="1"/>
  <c r="KG4" i="4" s="1"/>
  <c r="KG16" i="3"/>
  <c r="KG18" i="3" s="1"/>
  <c r="KF4" i="4" s="1"/>
  <c r="KF16" i="3"/>
  <c r="KF18" i="3" s="1"/>
  <c r="KE4" i="4" s="1"/>
  <c r="KE16" i="3"/>
  <c r="KE18" i="3" s="1"/>
  <c r="KD4" i="4" s="1"/>
  <c r="KD16" i="3"/>
  <c r="KD18" i="3" s="1"/>
  <c r="KC4" i="4" s="1"/>
  <c r="KC16" i="3"/>
  <c r="KC18" i="3" s="1"/>
  <c r="KB4" i="4" s="1"/>
  <c r="KB16" i="3"/>
  <c r="KB18" i="3" s="1"/>
  <c r="KA4" i="4" s="1"/>
  <c r="JY16" i="3"/>
  <c r="JY18" i="3" s="1"/>
  <c r="JX4" i="4" s="1"/>
  <c r="JX16" i="3"/>
  <c r="JX18" i="3" s="1"/>
  <c r="JW4" i="4" s="1"/>
  <c r="JW16" i="3"/>
  <c r="JW18" i="3" s="1"/>
  <c r="JV4" i="4" s="1"/>
  <c r="JV16" i="3"/>
  <c r="JV18" i="3" s="1"/>
  <c r="JU4" i="4" s="1"/>
  <c r="JU16" i="3"/>
  <c r="JU18" i="3" s="1"/>
  <c r="JT4" i="4" s="1"/>
  <c r="JT16" i="3"/>
  <c r="JT18" i="3" s="1"/>
  <c r="JS4" i="4" s="1"/>
  <c r="JS16" i="3"/>
  <c r="JS18" i="3" s="1"/>
  <c r="JR4" i="4" s="1"/>
  <c r="JR16" i="3"/>
  <c r="JR18" i="3" s="1"/>
  <c r="JQ4" i="4" s="1"/>
  <c r="JQ16" i="3"/>
  <c r="JQ18" i="3" s="1"/>
  <c r="JP4" i="4" s="1"/>
  <c r="JP16" i="3"/>
  <c r="JP18" i="3" s="1"/>
  <c r="JO4" i="4" s="1"/>
  <c r="JO16" i="3"/>
  <c r="JO18" i="3" s="1"/>
  <c r="JN4" i="4" s="1"/>
  <c r="JN16" i="3"/>
  <c r="JN18" i="3" s="1"/>
  <c r="JM4" i="4" s="1"/>
  <c r="JM16" i="3"/>
  <c r="JM18" i="3" s="1"/>
  <c r="JL4" i="4" s="1"/>
  <c r="JL16" i="3"/>
  <c r="JL18" i="3" s="1"/>
  <c r="JK4" i="4" s="1"/>
  <c r="JK16" i="3"/>
  <c r="JK18" i="3" s="1"/>
  <c r="JJ4" i="4" s="1"/>
  <c r="JJ16" i="3"/>
  <c r="JJ18" i="3" s="1"/>
  <c r="JI4" i="4" s="1"/>
  <c r="JI16" i="3"/>
  <c r="JI18" i="3" s="1"/>
  <c r="JH4" i="4" s="1"/>
  <c r="JH16" i="3"/>
  <c r="JH18" i="3" s="1"/>
  <c r="JG4" i="4" s="1"/>
  <c r="JG16" i="3"/>
  <c r="JG18" i="3" s="1"/>
  <c r="JF4" i="4" s="1"/>
  <c r="JF16" i="3"/>
  <c r="JF18" i="3" s="1"/>
  <c r="JE4" i="4" s="1"/>
  <c r="JE16" i="3"/>
  <c r="JE18" i="3" s="1"/>
  <c r="JD4" i="4" s="1"/>
  <c r="JD16" i="3"/>
  <c r="JD18" i="3" s="1"/>
  <c r="JC4" i="4" s="1"/>
  <c r="JC16" i="3"/>
  <c r="JC18" i="3" s="1"/>
  <c r="JB4" i="4" s="1"/>
  <c r="JB16" i="3"/>
  <c r="JB18" i="3" s="1"/>
  <c r="JA4" i="4" s="1"/>
  <c r="JA16" i="3"/>
  <c r="JA18" i="3" s="1"/>
  <c r="IZ4" i="4" s="1"/>
  <c r="IZ16" i="3"/>
  <c r="IZ18" i="3" s="1"/>
  <c r="IY4" i="4" s="1"/>
  <c r="IY16" i="3"/>
  <c r="IY18" i="3" s="1"/>
  <c r="IX4" i="4" s="1"/>
  <c r="IX16" i="3"/>
  <c r="IX18" i="3" s="1"/>
  <c r="IW4" i="4" s="1"/>
  <c r="IW16" i="3"/>
  <c r="IW18" i="3" s="1"/>
  <c r="IV4" i="4" s="1"/>
  <c r="IT16" i="3"/>
  <c r="IT18" i="3" s="1"/>
  <c r="IS4" i="4" s="1"/>
  <c r="IS16" i="3"/>
  <c r="IS18" i="3" s="1"/>
  <c r="IR4" i="4" s="1"/>
  <c r="IR16" i="3"/>
  <c r="IR18" i="3" s="1"/>
  <c r="IQ4" i="4" s="1"/>
  <c r="IQ16" i="3"/>
  <c r="IQ18" i="3" s="1"/>
  <c r="IP4" i="4" s="1"/>
  <c r="IP16" i="3"/>
  <c r="IP18" i="3" s="1"/>
  <c r="IO4" i="4" s="1"/>
  <c r="IO16" i="3"/>
  <c r="IO18" i="3" s="1"/>
  <c r="IN4" i="4" s="1"/>
  <c r="IN16" i="3"/>
  <c r="IN18" i="3" s="1"/>
  <c r="IM4" i="4" s="1"/>
  <c r="IM16" i="3"/>
  <c r="IM18" i="3" s="1"/>
  <c r="IL4" i="4" s="1"/>
  <c r="IL16" i="3"/>
  <c r="IL18" i="3" s="1"/>
  <c r="IK4" i="4" s="1"/>
  <c r="IK16" i="3"/>
  <c r="IK18" i="3" s="1"/>
  <c r="IJ4" i="4" s="1"/>
  <c r="IJ16" i="3"/>
  <c r="IJ18" i="3" s="1"/>
  <c r="II4" i="4" s="1"/>
  <c r="II16" i="3"/>
  <c r="II18" i="3" s="1"/>
  <c r="IH4" i="4" s="1"/>
  <c r="IH16" i="3"/>
  <c r="IH18" i="3" s="1"/>
  <c r="IG4" i="4" s="1"/>
  <c r="IG16" i="3"/>
  <c r="IG18" i="3" s="1"/>
  <c r="IF4" i="4" s="1"/>
  <c r="IF16" i="3"/>
  <c r="IF18" i="3" s="1"/>
  <c r="IE4" i="4" s="1"/>
  <c r="IE16" i="3"/>
  <c r="IE18" i="3" s="1"/>
  <c r="ID4" i="4" s="1"/>
  <c r="ID16" i="3"/>
  <c r="ID18" i="3" s="1"/>
  <c r="IC4" i="4" s="1"/>
  <c r="IC16" i="3"/>
  <c r="IC18" i="3" s="1"/>
  <c r="IB4" i="4" s="1"/>
  <c r="IB16" i="3"/>
  <c r="IB18" i="3" s="1"/>
  <c r="IA4" i="4" s="1"/>
  <c r="IA16" i="3"/>
  <c r="IA18" i="3" s="1"/>
  <c r="HZ4" i="4" s="1"/>
  <c r="HZ16" i="3"/>
  <c r="HZ18" i="3" s="1"/>
  <c r="HY4" i="4" s="1"/>
  <c r="HY16" i="3"/>
  <c r="HY18" i="3" s="1"/>
  <c r="HX4" i="4" s="1"/>
  <c r="HX16" i="3"/>
  <c r="HX18" i="3" s="1"/>
  <c r="HW4" i="4" s="1"/>
  <c r="HW16" i="3"/>
  <c r="HW18" i="3" s="1"/>
  <c r="HV4" i="4" s="1"/>
  <c r="HV16" i="3"/>
  <c r="HV18" i="3" s="1"/>
  <c r="HU4" i="4" s="1"/>
  <c r="HU16" i="3"/>
  <c r="HU18" i="3" s="1"/>
  <c r="HT4" i="4" s="1"/>
  <c r="HT16" i="3"/>
  <c r="HT18" i="3" s="1"/>
  <c r="HS4" i="4" s="1"/>
  <c r="HS16" i="3"/>
  <c r="HS18" i="3" s="1"/>
  <c r="HR4" i="4" s="1"/>
  <c r="HR16" i="3"/>
  <c r="HR18" i="3" s="1"/>
  <c r="HQ4" i="4" s="1"/>
  <c r="HQ16" i="3"/>
  <c r="HQ18" i="3" s="1"/>
  <c r="HP4" i="4" s="1"/>
  <c r="HN16" i="3"/>
  <c r="HN18" i="3" s="1"/>
  <c r="HM4" i="4" s="1"/>
  <c r="HM16" i="3"/>
  <c r="HM18" i="3" s="1"/>
  <c r="HL4" i="4" s="1"/>
  <c r="HL16" i="3"/>
  <c r="HL18" i="3" s="1"/>
  <c r="HK4" i="4" s="1"/>
  <c r="HK16" i="3"/>
  <c r="HK18" i="3" s="1"/>
  <c r="HJ4" i="4" s="1"/>
  <c r="HJ16" i="3"/>
  <c r="HJ18" i="3" s="1"/>
  <c r="HI4" i="4" s="1"/>
  <c r="HI16" i="3"/>
  <c r="HI18" i="3" s="1"/>
  <c r="HH4" i="4" s="1"/>
  <c r="HH16" i="3"/>
  <c r="HH18" i="3" s="1"/>
  <c r="HG4" i="4" s="1"/>
  <c r="HG16" i="3"/>
  <c r="HG18" i="3" s="1"/>
  <c r="HF4" i="4" s="1"/>
  <c r="HF16" i="3"/>
  <c r="HF18" i="3" s="1"/>
  <c r="HE4" i="4" s="1"/>
  <c r="HE16" i="3"/>
  <c r="HE18" i="3" s="1"/>
  <c r="HD4" i="4" s="1"/>
  <c r="HD16" i="3"/>
  <c r="HD18" i="3" s="1"/>
  <c r="HC4" i="4" s="1"/>
  <c r="HC16" i="3"/>
  <c r="HC18" i="3" s="1"/>
  <c r="HB4" i="4" s="1"/>
  <c r="HB16" i="3"/>
  <c r="HB18" i="3" s="1"/>
  <c r="HA4" i="4" s="1"/>
  <c r="HA16" i="3"/>
  <c r="HA18" i="3" s="1"/>
  <c r="GZ4" i="4" s="1"/>
  <c r="GZ16" i="3"/>
  <c r="GZ18" i="3" s="1"/>
  <c r="GY4" i="4" s="1"/>
  <c r="GY16" i="3"/>
  <c r="GY18" i="3" s="1"/>
  <c r="GX4" i="4" s="1"/>
  <c r="GX16" i="3"/>
  <c r="GX18" i="3" s="1"/>
  <c r="GW4" i="4" s="1"/>
  <c r="GW16" i="3"/>
  <c r="GW18" i="3" s="1"/>
  <c r="GV4" i="4" s="1"/>
  <c r="GV16" i="3"/>
  <c r="GV18" i="3" s="1"/>
  <c r="GU4" i="4" s="1"/>
  <c r="GU16" i="3"/>
  <c r="GU18" i="3" s="1"/>
  <c r="GT4" i="4" s="1"/>
  <c r="GT16" i="3"/>
  <c r="GT18" i="3" s="1"/>
  <c r="GS4" i="4" s="1"/>
  <c r="GS16" i="3"/>
  <c r="GS18" i="3" s="1"/>
  <c r="GR4" i="4" s="1"/>
  <c r="GR16" i="3"/>
  <c r="GR18" i="3" s="1"/>
  <c r="GQ4" i="4" s="1"/>
  <c r="GQ16" i="3"/>
  <c r="GQ18" i="3" s="1"/>
  <c r="GP4" i="4" s="1"/>
  <c r="GP16" i="3"/>
  <c r="GP18" i="3" s="1"/>
  <c r="GO4" i="4" s="1"/>
  <c r="GO16" i="3"/>
  <c r="GO18" i="3" s="1"/>
  <c r="GN4" i="4" s="1"/>
  <c r="GN16" i="3"/>
  <c r="GN18" i="3" s="1"/>
  <c r="GM4" i="4" s="1"/>
  <c r="GM16" i="3"/>
  <c r="GM18" i="3" s="1"/>
  <c r="GL4" i="4" s="1"/>
  <c r="GJ16" i="3"/>
  <c r="GJ18" i="3" s="1"/>
  <c r="GI4" i="4" s="1"/>
  <c r="GI16" i="3"/>
  <c r="GI18" i="3" s="1"/>
  <c r="GH4" i="4" s="1"/>
  <c r="GH16" i="3"/>
  <c r="GH18" i="3" s="1"/>
  <c r="GG4" i="4" s="1"/>
  <c r="GG16" i="3"/>
  <c r="GG18" i="3" s="1"/>
  <c r="GF4" i="4" s="1"/>
  <c r="GF16" i="3"/>
  <c r="GF18" i="3" s="1"/>
  <c r="GE4" i="4" s="1"/>
  <c r="GE16" i="3"/>
  <c r="GE18" i="3" s="1"/>
  <c r="GD4" i="4" s="1"/>
  <c r="GD16" i="3"/>
  <c r="GD18" i="3" s="1"/>
  <c r="GC4" i="4" s="1"/>
  <c r="GC16" i="3"/>
  <c r="GC18" i="3" s="1"/>
  <c r="GB4" i="4" s="1"/>
  <c r="GB16" i="3"/>
  <c r="GB18" i="3" s="1"/>
  <c r="GA4" i="4" s="1"/>
  <c r="GA16" i="3"/>
  <c r="GA18" i="3" s="1"/>
  <c r="FZ4" i="4" s="1"/>
  <c r="FZ16" i="3"/>
  <c r="FZ18" i="3" s="1"/>
  <c r="FY4" i="4" s="1"/>
  <c r="FY16" i="3"/>
  <c r="FY18" i="3" s="1"/>
  <c r="FX4" i="4" s="1"/>
  <c r="FX16" i="3"/>
  <c r="FX18" i="3" s="1"/>
  <c r="FW4" i="4" s="1"/>
  <c r="FW16" i="3"/>
  <c r="FW18" i="3" s="1"/>
  <c r="FV4" i="4" s="1"/>
  <c r="FV16" i="3"/>
  <c r="FV18" i="3" s="1"/>
  <c r="FU4" i="4" s="1"/>
  <c r="FU16" i="3"/>
  <c r="FU18" i="3" s="1"/>
  <c r="FT4" i="4" s="1"/>
  <c r="FT16" i="3"/>
  <c r="FT18" i="3" s="1"/>
  <c r="FS4" i="4" s="1"/>
  <c r="FS16" i="3"/>
  <c r="FS18" i="3" s="1"/>
  <c r="FR4" i="4" s="1"/>
  <c r="FR16" i="3"/>
  <c r="FR18" i="3" s="1"/>
  <c r="FQ4" i="4" s="1"/>
  <c r="FQ16" i="3"/>
  <c r="FQ18" i="3" s="1"/>
  <c r="FP4" i="4" s="1"/>
  <c r="FP16" i="3"/>
  <c r="FP18" i="3" s="1"/>
  <c r="FO4" i="4" s="1"/>
  <c r="FO16" i="3"/>
  <c r="FO18" i="3" s="1"/>
  <c r="FN4" i="4" s="1"/>
  <c r="FN16" i="3"/>
  <c r="FN18" i="3" s="1"/>
  <c r="FM4" i="4" s="1"/>
  <c r="FM16" i="3"/>
  <c r="FM18" i="3" s="1"/>
  <c r="FL4" i="4" s="1"/>
  <c r="FL16" i="3"/>
  <c r="FL18" i="3" s="1"/>
  <c r="FK4" i="4" s="1"/>
  <c r="FK16" i="3"/>
  <c r="FK18" i="3" s="1"/>
  <c r="FJ4" i="4" s="1"/>
  <c r="FJ16" i="3"/>
  <c r="FJ18" i="3" s="1"/>
  <c r="FI4" i="4" s="1"/>
  <c r="FI16" i="3"/>
  <c r="FI18" i="3" s="1"/>
  <c r="FH4" i="4" s="1"/>
  <c r="FH16" i="3"/>
  <c r="FH18" i="3" s="1"/>
  <c r="FG4" i="4" s="1"/>
  <c r="FG16" i="3"/>
  <c r="FG18" i="3" s="1"/>
  <c r="FF4" i="4" s="1"/>
  <c r="FD16" i="3"/>
  <c r="FD18" i="3" s="1"/>
  <c r="FC4" i="4" s="1"/>
  <c r="FC16" i="3"/>
  <c r="FC18" i="3" s="1"/>
  <c r="FB4" i="4" s="1"/>
  <c r="FB16" i="3"/>
  <c r="FB18" i="3" s="1"/>
  <c r="FA4" i="4" s="1"/>
  <c r="FA16" i="3"/>
  <c r="FA18" i="3" s="1"/>
  <c r="EZ4" i="4" s="1"/>
  <c r="EZ16" i="3"/>
  <c r="EZ18" i="3" s="1"/>
  <c r="EY4" i="4" s="1"/>
  <c r="EY16" i="3"/>
  <c r="EY18" i="3" s="1"/>
  <c r="EX4" i="4" s="1"/>
  <c r="EX16" i="3"/>
  <c r="EX18" i="3" s="1"/>
  <c r="EW4" i="4" s="1"/>
  <c r="EW16" i="3"/>
  <c r="EW18" i="3" s="1"/>
  <c r="EV4" i="4" s="1"/>
  <c r="EV16" i="3"/>
  <c r="EV18" i="3" s="1"/>
  <c r="EU4" i="4" s="1"/>
  <c r="EU16" i="3"/>
  <c r="EU18" i="3" s="1"/>
  <c r="ET4" i="4" s="1"/>
  <c r="ET16" i="3"/>
  <c r="ET18" i="3" s="1"/>
  <c r="ES4" i="4" s="1"/>
  <c r="ES16" i="3"/>
  <c r="ES18" i="3" s="1"/>
  <c r="ER4" i="4" s="1"/>
  <c r="ER16" i="3"/>
  <c r="ER18" i="3" s="1"/>
  <c r="EQ4" i="4" s="1"/>
  <c r="EQ16" i="3"/>
  <c r="EQ18" i="3" s="1"/>
  <c r="EP4" i="4" s="1"/>
  <c r="EP16" i="3"/>
  <c r="EP18" i="3" s="1"/>
  <c r="EO4" i="4" s="1"/>
  <c r="EO16" i="3"/>
  <c r="EO18" i="3" s="1"/>
  <c r="EN4" i="4" s="1"/>
  <c r="EN16" i="3"/>
  <c r="EN18" i="3" s="1"/>
  <c r="EM4" i="4" s="1"/>
  <c r="EM16" i="3"/>
  <c r="EM18" i="3" s="1"/>
  <c r="EL4" i="4" s="1"/>
  <c r="EL16" i="3"/>
  <c r="EL18" i="3" s="1"/>
  <c r="EK4" i="4" s="1"/>
  <c r="EK16" i="3"/>
  <c r="EK18" i="3" s="1"/>
  <c r="EJ4" i="4" s="1"/>
  <c r="EJ16" i="3"/>
  <c r="EJ18" i="3" s="1"/>
  <c r="EI4" i="4" s="1"/>
  <c r="EI16" i="3"/>
  <c r="EI18" i="3" s="1"/>
  <c r="EH4" i="4" s="1"/>
  <c r="EH16" i="3"/>
  <c r="EH18" i="3" s="1"/>
  <c r="EG4" i="4" s="1"/>
  <c r="EG16" i="3"/>
  <c r="EG18" i="3" s="1"/>
  <c r="EF4" i="4" s="1"/>
  <c r="EF16" i="3"/>
  <c r="EF18" i="3" s="1"/>
  <c r="EE4" i="4" s="1"/>
  <c r="EE16" i="3"/>
  <c r="EE18" i="3" s="1"/>
  <c r="ED4" i="4" s="1"/>
  <c r="ED16" i="3"/>
  <c r="ED18" i="3" s="1"/>
  <c r="EC4" i="4" s="1"/>
  <c r="EC16" i="3"/>
  <c r="EC18" i="3" s="1"/>
  <c r="EB4" i="4" s="1"/>
  <c r="EB16" i="3"/>
  <c r="EB18" i="3" s="1"/>
  <c r="EA4" i="4" s="1"/>
  <c r="EA16" i="3"/>
  <c r="EA18" i="3" s="1"/>
  <c r="DZ4" i="4" s="1"/>
  <c r="DX16" i="3"/>
  <c r="DX18" i="3" s="1"/>
  <c r="DW4" i="4" s="1"/>
  <c r="DW16" i="3"/>
  <c r="DW18" i="3" s="1"/>
  <c r="DV4" i="4" s="1"/>
  <c r="DV16" i="3"/>
  <c r="DV18" i="3" s="1"/>
  <c r="DU4" i="4" s="1"/>
  <c r="DU16" i="3"/>
  <c r="DU18" i="3" s="1"/>
  <c r="DT4" i="4" s="1"/>
  <c r="DT16" i="3"/>
  <c r="DT18" i="3" s="1"/>
  <c r="DS4" i="4" s="1"/>
  <c r="DS16" i="3"/>
  <c r="DS18" i="3" s="1"/>
  <c r="DR4" i="4" s="1"/>
  <c r="DR16" i="3"/>
  <c r="DR18" i="3" s="1"/>
  <c r="DQ4" i="4" s="1"/>
  <c r="DQ16" i="3"/>
  <c r="DQ18" i="3" s="1"/>
  <c r="DP4" i="4" s="1"/>
  <c r="DP16" i="3"/>
  <c r="DP18" i="3" s="1"/>
  <c r="DO4" i="4" s="1"/>
  <c r="DO16" i="3"/>
  <c r="DO18" i="3" s="1"/>
  <c r="DN4" i="4" s="1"/>
  <c r="DN16" i="3"/>
  <c r="DN18" i="3" s="1"/>
  <c r="DM4" i="4" s="1"/>
  <c r="DM16" i="3"/>
  <c r="DM18" i="3" s="1"/>
  <c r="DL4" i="4" s="1"/>
  <c r="DL16" i="3"/>
  <c r="DL18" i="3" s="1"/>
  <c r="DK4" i="4" s="1"/>
  <c r="DK16" i="3"/>
  <c r="DK18" i="3" s="1"/>
  <c r="DJ4" i="4" s="1"/>
  <c r="DJ16" i="3"/>
  <c r="DJ18" i="3" s="1"/>
  <c r="DI4" i="4" s="1"/>
  <c r="DI16" i="3"/>
  <c r="DI18" i="3" s="1"/>
  <c r="DH4" i="4" s="1"/>
  <c r="DH16" i="3"/>
  <c r="DH18" i="3" s="1"/>
  <c r="DG4" i="4" s="1"/>
  <c r="DG16" i="3"/>
  <c r="DG18" i="3" s="1"/>
  <c r="DF4" i="4" s="1"/>
  <c r="DF16" i="3"/>
  <c r="DF18" i="3" s="1"/>
  <c r="DE4" i="4" s="1"/>
  <c r="DE16" i="3"/>
  <c r="DE18" i="3" s="1"/>
  <c r="DD4" i="4" s="1"/>
  <c r="DD16" i="3"/>
  <c r="DD18" i="3" s="1"/>
  <c r="DC4" i="4" s="1"/>
  <c r="DC16" i="3"/>
  <c r="DC18" i="3" s="1"/>
  <c r="DB4" i="4" s="1"/>
  <c r="DB16" i="3"/>
  <c r="DB18" i="3" s="1"/>
  <c r="DA4" i="4" s="1"/>
  <c r="DA16" i="3"/>
  <c r="DA18" i="3" s="1"/>
  <c r="CZ4" i="4" s="1"/>
  <c r="CZ16" i="3"/>
  <c r="CZ18" i="3" s="1"/>
  <c r="CY4" i="4" s="1"/>
  <c r="CY16" i="3"/>
  <c r="CY18" i="3" s="1"/>
  <c r="CX4" i="4" s="1"/>
  <c r="CX16" i="3"/>
  <c r="CX18" i="3" s="1"/>
  <c r="CW4" i="4" s="1"/>
  <c r="CW16" i="3"/>
  <c r="CW18" i="3" s="1"/>
  <c r="CV4" i="4" s="1"/>
  <c r="CV16" i="3"/>
  <c r="CV18" i="3" s="1"/>
  <c r="CU4" i="4" s="1"/>
  <c r="CS16" i="3"/>
  <c r="CS18" i="3" s="1"/>
  <c r="CR4" i="4" s="1"/>
  <c r="CR16" i="3"/>
  <c r="CR18" i="3" s="1"/>
  <c r="CQ4" i="4" s="1"/>
  <c r="CQ16" i="3"/>
  <c r="CQ18" i="3" s="1"/>
  <c r="CP4" i="4" s="1"/>
  <c r="CP16" i="3"/>
  <c r="CP18" i="3" s="1"/>
  <c r="CO4" i="4" s="1"/>
  <c r="CO16" i="3"/>
  <c r="CO18" i="3" s="1"/>
  <c r="CN4" i="4" s="1"/>
  <c r="CN16" i="3"/>
  <c r="CN18" i="3" s="1"/>
  <c r="CM4" i="4" s="1"/>
  <c r="CM16" i="3"/>
  <c r="CM18" i="3" s="1"/>
  <c r="CL4" i="4" s="1"/>
  <c r="CL16" i="3"/>
  <c r="CL18" i="3" s="1"/>
  <c r="CK4" i="4" s="1"/>
  <c r="CK16" i="3"/>
  <c r="CK18" i="3" s="1"/>
  <c r="CJ4" i="4" s="1"/>
  <c r="CJ16" i="3"/>
  <c r="CJ18" i="3" s="1"/>
  <c r="CI4" i="4" s="1"/>
  <c r="CI16" i="3"/>
  <c r="CI18" i="3" s="1"/>
  <c r="CH4" i="4" s="1"/>
  <c r="CH16" i="3"/>
  <c r="CH18" i="3" s="1"/>
  <c r="CG4" i="4" s="1"/>
  <c r="CG16" i="3"/>
  <c r="CG18" i="3" s="1"/>
  <c r="CF4" i="4" s="1"/>
  <c r="CF16" i="3"/>
  <c r="CF18" i="3" s="1"/>
  <c r="CE4" i="4" s="1"/>
  <c r="CE16" i="3"/>
  <c r="CE18" i="3" s="1"/>
  <c r="CD4" i="4" s="1"/>
  <c r="CD16" i="3"/>
  <c r="CD18" i="3" s="1"/>
  <c r="CC4" i="4" s="1"/>
  <c r="CC16" i="3"/>
  <c r="CC18" i="3" s="1"/>
  <c r="CB4" i="4" s="1"/>
  <c r="CB16" i="3"/>
  <c r="CB18" i="3" s="1"/>
  <c r="CA4" i="4" s="1"/>
  <c r="CA16" i="3"/>
  <c r="CA18" i="3" s="1"/>
  <c r="BZ4" i="4" s="1"/>
  <c r="BZ16" i="3"/>
  <c r="BZ18" i="3" s="1"/>
  <c r="BY4" i="4" s="1"/>
  <c r="BY16" i="3"/>
  <c r="BY18" i="3" s="1"/>
  <c r="BX4" i="4" s="1"/>
  <c r="BX16" i="3"/>
  <c r="BX18" i="3" s="1"/>
  <c r="BW4" i="4" s="1"/>
  <c r="BW16" i="3"/>
  <c r="BW18" i="3" s="1"/>
  <c r="BV4" i="4" s="1"/>
  <c r="BV16" i="3"/>
  <c r="BV18" i="3" s="1"/>
  <c r="BU4" i="4" s="1"/>
  <c r="BU16" i="3"/>
  <c r="BU18" i="3" s="1"/>
  <c r="BT4" i="4" s="1"/>
  <c r="BT16" i="3"/>
  <c r="BT18" i="3" s="1"/>
  <c r="BS4" i="4" s="1"/>
  <c r="BS16" i="3"/>
  <c r="BS18" i="3" s="1"/>
  <c r="BR4" i="4" s="1"/>
  <c r="BR16" i="3"/>
  <c r="BR18" i="3" s="1"/>
  <c r="BQ4" i="4" s="1"/>
  <c r="BQ16" i="3"/>
  <c r="BQ18" i="3" s="1"/>
  <c r="BP4" i="4" s="1"/>
  <c r="BP16" i="3"/>
  <c r="BP18" i="3" s="1"/>
  <c r="BO4" i="4" s="1"/>
  <c r="BM16" i="3"/>
  <c r="BM18" i="3" s="1"/>
  <c r="BL4" i="4" s="1"/>
  <c r="BL16" i="3"/>
  <c r="BL18" i="3" s="1"/>
  <c r="BK4" i="4" s="1"/>
  <c r="BK16" i="3"/>
  <c r="BK18" i="3" s="1"/>
  <c r="BJ4" i="4" s="1"/>
  <c r="BJ16" i="3"/>
  <c r="BJ18" i="3" s="1"/>
  <c r="BI4" i="4" s="1"/>
  <c r="BI16" i="3"/>
  <c r="BI18" i="3" s="1"/>
  <c r="BH4" i="4" s="1"/>
  <c r="BH16" i="3"/>
  <c r="BH18" i="3" s="1"/>
  <c r="BG4" i="4" s="1"/>
  <c r="BG16" i="3"/>
  <c r="BG18" i="3" s="1"/>
  <c r="BF4" i="4" s="1"/>
  <c r="BF16" i="3"/>
  <c r="BF18" i="3" s="1"/>
  <c r="BE4" i="4" s="1"/>
  <c r="BE16" i="3"/>
  <c r="BE18" i="3" s="1"/>
  <c r="BD4" i="4" s="1"/>
  <c r="BD16" i="3"/>
  <c r="BD18" i="3" s="1"/>
  <c r="BC4" i="4" s="1"/>
  <c r="BC16" i="3"/>
  <c r="BC18" i="3" s="1"/>
  <c r="BB4" i="4" s="1"/>
  <c r="BB16" i="3"/>
  <c r="BB18" i="3" s="1"/>
  <c r="BA4" i="4" s="1"/>
  <c r="BA16" i="3"/>
  <c r="BA18" i="3" s="1"/>
  <c r="AZ4" i="4" s="1"/>
  <c r="AZ16" i="3"/>
  <c r="AZ18" i="3" s="1"/>
  <c r="AY4" i="4" s="1"/>
  <c r="AY16" i="3"/>
  <c r="AY18" i="3" s="1"/>
  <c r="AX4" i="4" s="1"/>
  <c r="AX16" i="3"/>
  <c r="AX18" i="3" s="1"/>
  <c r="AW4" i="4" s="1"/>
  <c r="AW16" i="3"/>
  <c r="AW18" i="3" s="1"/>
  <c r="AV4" i="4" s="1"/>
  <c r="AV16" i="3"/>
  <c r="AV18" i="3" s="1"/>
  <c r="AU4" i="4" s="1"/>
  <c r="AU16" i="3"/>
  <c r="AU18" i="3" s="1"/>
  <c r="AT4" i="4" s="1"/>
  <c r="AT16" i="3"/>
  <c r="AT18" i="3" s="1"/>
  <c r="AS4" i="4" s="1"/>
  <c r="AS16" i="3"/>
  <c r="AS18" i="3" s="1"/>
  <c r="AR4" i="4" s="1"/>
  <c r="AR16" i="3"/>
  <c r="AR18" i="3" s="1"/>
  <c r="AQ4" i="4" s="1"/>
  <c r="AQ16" i="3"/>
  <c r="AQ18" i="3" s="1"/>
  <c r="AP4" i="4" s="1"/>
  <c r="AP16" i="3"/>
  <c r="AP18" i="3" s="1"/>
  <c r="AO4" i="4" s="1"/>
  <c r="AO16" i="3"/>
  <c r="AO18" i="3" s="1"/>
  <c r="AN4" i="4" s="1"/>
  <c r="AN16" i="3"/>
  <c r="AN18" i="3" s="1"/>
  <c r="AM4" i="4" s="1"/>
  <c r="AM16" i="3"/>
  <c r="AM18" i="3" s="1"/>
  <c r="AL4" i="4" s="1"/>
  <c r="AL16" i="3"/>
  <c r="AL18" i="3" s="1"/>
  <c r="AK4" i="4" s="1"/>
  <c r="AK16" i="3"/>
  <c r="AK18" i="3" s="1"/>
  <c r="AJ4" i="4" s="1"/>
  <c r="AH16" i="3"/>
  <c r="AH18" i="3" s="1"/>
  <c r="AG4" i="4" s="1"/>
  <c r="AG16" i="3"/>
  <c r="AG18" i="3" s="1"/>
  <c r="AF4" i="4" s="1"/>
  <c r="AF16" i="3"/>
  <c r="AF18" i="3" s="1"/>
  <c r="AE4" i="4" s="1"/>
  <c r="AE16" i="3"/>
  <c r="AE18" i="3" s="1"/>
  <c r="AD4" i="4" s="1"/>
  <c r="AD16" i="3"/>
  <c r="AD18" i="3" s="1"/>
  <c r="AC4" i="4" s="1"/>
  <c r="AC16" i="3"/>
  <c r="AC18" i="3" s="1"/>
  <c r="AB4" i="4" s="1"/>
  <c r="AB16" i="3"/>
  <c r="AB18" i="3" s="1"/>
  <c r="AA4" i="4" s="1"/>
  <c r="AA16" i="3"/>
  <c r="AA18" i="3" s="1"/>
  <c r="Z4" i="4" s="1"/>
  <c r="Z16" i="3"/>
  <c r="Z18" i="3" s="1"/>
  <c r="Y4" i="4" s="1"/>
  <c r="Y16" i="3"/>
  <c r="Y18" i="3" s="1"/>
  <c r="X4" i="4" s="1"/>
  <c r="X16" i="3"/>
  <c r="X18" i="3" s="1"/>
  <c r="W4" i="4" s="1"/>
  <c r="W16" i="3"/>
  <c r="W18" i="3" s="1"/>
  <c r="V4" i="4" s="1"/>
  <c r="V16" i="3"/>
  <c r="V18" i="3" s="1"/>
  <c r="U4" i="4" s="1"/>
  <c r="U16" i="3"/>
  <c r="U18" i="3" s="1"/>
  <c r="T4" i="4" s="1"/>
  <c r="T16" i="3"/>
  <c r="T18" i="3" s="1"/>
  <c r="S4" i="4" s="1"/>
  <c r="S16" i="3"/>
  <c r="S18" i="3" s="1"/>
  <c r="R4" i="4" s="1"/>
  <c r="R16" i="3"/>
  <c r="R18" i="3" s="1"/>
  <c r="Q4" i="4" s="1"/>
  <c r="Q16" i="3"/>
  <c r="Q18" i="3" s="1"/>
  <c r="P4" i="4" s="1"/>
  <c r="P16" i="3"/>
  <c r="P18" i="3" s="1"/>
  <c r="O4" i="4" s="1"/>
  <c r="O16" i="3"/>
  <c r="O18" i="3" s="1"/>
  <c r="N4" i="4" s="1"/>
  <c r="N16" i="3"/>
  <c r="N18" i="3" s="1"/>
  <c r="M4" i="4" s="1"/>
  <c r="M16" i="3"/>
  <c r="M18" i="3" s="1"/>
  <c r="L4" i="4" s="1"/>
  <c r="L16" i="3"/>
  <c r="L18" i="3" s="1"/>
  <c r="K4" i="4" s="1"/>
  <c r="K16" i="3"/>
  <c r="K18" i="3" s="1"/>
  <c r="J4" i="4" s="1"/>
  <c r="J16" i="3"/>
  <c r="J18" i="3" s="1"/>
  <c r="I4" i="4" s="1"/>
  <c r="I16" i="3"/>
  <c r="I18" i="3" s="1"/>
  <c r="H4" i="4" s="1"/>
  <c r="H16" i="3"/>
  <c r="H18" i="3" s="1"/>
  <c r="G4" i="4" s="1"/>
  <c r="G16" i="3"/>
  <c r="G18" i="3" s="1"/>
  <c r="F4" i="4" s="1"/>
  <c r="F6" i="4" s="1"/>
  <c r="F16" i="3"/>
  <c r="F18" i="3" s="1"/>
  <c r="E4" i="4" s="1"/>
  <c r="E6" i="4" s="1"/>
  <c r="E16" i="3"/>
  <c r="E18" i="3" s="1"/>
  <c r="D4" i="4" s="1"/>
  <c r="D6" i="4" s="1"/>
  <c r="AI12" i="3"/>
  <c r="DY12" i="3"/>
  <c r="AI9" i="3"/>
  <c r="AI6" i="3"/>
  <c r="AMZ12" i="3"/>
  <c r="DZ52" i="5" l="1"/>
  <c r="EB52" i="5" s="1"/>
  <c r="ED52" i="5" s="1"/>
  <c r="EF52" i="5" s="1"/>
  <c r="EH52" i="5" s="1"/>
  <c r="EJ52" i="5" s="1"/>
  <c r="EL52" i="5" s="1"/>
  <c r="EN52" i="5" s="1"/>
  <c r="EP52" i="5" s="1"/>
  <c r="ER52" i="5" s="1"/>
  <c r="ET52" i="5" s="1"/>
  <c r="EV52" i="5" s="1"/>
  <c r="EX52" i="5" s="1"/>
  <c r="EZ52" i="5" s="1"/>
  <c r="FB52" i="5" s="1"/>
  <c r="EA52" i="5"/>
  <c r="EC52" i="5" s="1"/>
  <c r="EE52" i="5" s="1"/>
  <c r="EG52" i="5" s="1"/>
  <c r="EI52" i="5" s="1"/>
  <c r="EK52" i="5" s="1"/>
  <c r="EM52" i="5" s="1"/>
  <c r="EO52" i="5" s="1"/>
  <c r="EQ52" i="5" s="1"/>
  <c r="ES52" i="5" s="1"/>
  <c r="EU52" i="5" s="1"/>
  <c r="EW52" i="5" s="1"/>
  <c r="EY52" i="5" s="1"/>
  <c r="FA52" i="5" s="1"/>
  <c r="FC52" i="5" s="1"/>
  <c r="FE52" i="5" s="1"/>
  <c r="F48" i="5"/>
  <c r="KC42" i="5"/>
  <c r="KE42" i="5" s="1"/>
  <c r="KG42" i="5" s="1"/>
  <c r="KD42" i="5"/>
  <c r="KF42" i="5" s="1"/>
  <c r="FP42" i="5"/>
  <c r="FR42" i="5" s="1"/>
  <c r="FT42" i="5" s="1"/>
  <c r="FQ42" i="5"/>
  <c r="FS42" i="5" s="1"/>
  <c r="FU42" i="5" s="1"/>
  <c r="FV42" i="5" s="1"/>
  <c r="AK42" i="5"/>
  <c r="AM42" i="5" s="1"/>
  <c r="AL42" i="5"/>
  <c r="AN42" i="5" s="1"/>
  <c r="AO42" i="5" s="1"/>
  <c r="AJ41" i="5"/>
  <c r="AL41" i="5" s="1"/>
  <c r="AN41" i="5" s="1"/>
  <c r="AP41" i="5" s="1"/>
  <c r="AK41" i="5"/>
  <c r="AM41" i="5" s="1"/>
  <c r="AO41" i="5" s="1"/>
  <c r="AQ41" i="5" s="1"/>
  <c r="F40" i="5"/>
  <c r="E44" i="5"/>
  <c r="HJ39" i="5"/>
  <c r="HL39" i="5" s="1"/>
  <c r="HK39" i="5"/>
  <c r="HM39" i="5" s="1"/>
  <c r="HO39" i="5" s="1"/>
  <c r="DZ39" i="5"/>
  <c r="EB39" i="5" s="1"/>
  <c r="ED39" i="5" s="1"/>
  <c r="EF39" i="5" s="1"/>
  <c r="EH39" i="5" s="1"/>
  <c r="EA39" i="5"/>
  <c r="EC39" i="5" s="1"/>
  <c r="EE39" i="5" s="1"/>
  <c r="EG39" i="5" s="1"/>
  <c r="EI39" i="5" s="1"/>
  <c r="AJ39" i="5"/>
  <c r="AL39" i="5" s="1"/>
  <c r="AN39" i="5" s="1"/>
  <c r="AP39" i="5" s="1"/>
  <c r="AR39" i="5" s="1"/>
  <c r="AK39" i="5"/>
  <c r="AM39" i="5" s="1"/>
  <c r="AO39" i="5" s="1"/>
  <c r="AQ39" i="5" s="1"/>
  <c r="I38" i="5"/>
  <c r="AP36" i="5"/>
  <c r="AR36" i="5" s="1"/>
  <c r="AT36" i="5" s="1"/>
  <c r="AQ36" i="5"/>
  <c r="AS36" i="5" s="1"/>
  <c r="AU36" i="5" s="1"/>
  <c r="HT35" i="5"/>
  <c r="HU35" i="5"/>
  <c r="IE34" i="5"/>
  <c r="IG34" i="5" s="1"/>
  <c r="II34" i="5" s="1"/>
  <c r="IK34" i="5" s="1"/>
  <c r="IM34" i="5" s="1"/>
  <c r="IO34" i="5" s="1"/>
  <c r="IQ34" i="5" s="1"/>
  <c r="IS34" i="5" s="1"/>
  <c r="IU34" i="5" s="1"/>
  <c r="IV34" i="5" s="1"/>
  <c r="IW34" i="5" s="1"/>
  <c r="IX34" i="5" s="1"/>
  <c r="IY34" i="5" s="1"/>
  <c r="IZ34" i="5" s="1"/>
  <c r="JA34" i="5" s="1"/>
  <c r="JB34" i="5" s="1"/>
  <c r="JC34" i="5" s="1"/>
  <c r="JD34" i="5" s="1"/>
  <c r="JE34" i="5" s="1"/>
  <c r="JF34" i="5" s="1"/>
  <c r="JG34" i="5" s="1"/>
  <c r="JH34" i="5" s="1"/>
  <c r="JI34" i="5" s="1"/>
  <c r="JJ34" i="5" s="1"/>
  <c r="JK34" i="5" s="1"/>
  <c r="JL34" i="5" s="1"/>
  <c r="JM34" i="5" s="1"/>
  <c r="JN34" i="5" s="1"/>
  <c r="JO34" i="5" s="1"/>
  <c r="JP34" i="5" s="1"/>
  <c r="JQ34" i="5" s="1"/>
  <c r="JR34" i="5" s="1"/>
  <c r="JS34" i="5" s="1"/>
  <c r="JT34" i="5" s="1"/>
  <c r="JU34" i="5" s="1"/>
  <c r="JV34" i="5" s="1"/>
  <c r="JW34" i="5" s="1"/>
  <c r="JX34" i="5" s="1"/>
  <c r="JZ34" i="5" s="1"/>
  <c r="IF34" i="5"/>
  <c r="IH34" i="5" s="1"/>
  <c r="IJ34" i="5" s="1"/>
  <c r="IL34" i="5" s="1"/>
  <c r="IN34" i="5" s="1"/>
  <c r="IP34" i="5" s="1"/>
  <c r="IR34" i="5" s="1"/>
  <c r="NU32" i="5"/>
  <c r="NW32" i="5" s="1"/>
  <c r="NY32" i="5" s="1"/>
  <c r="NV32" i="5"/>
  <c r="NX32" i="5" s="1"/>
  <c r="HA31" i="5"/>
  <c r="HB31" i="5"/>
  <c r="WD30" i="5"/>
  <c r="WE18" i="5"/>
  <c r="VA30" i="5"/>
  <c r="VB18" i="5"/>
  <c r="TU30" i="5"/>
  <c r="TV18" i="5"/>
  <c r="SP18" i="5"/>
  <c r="SO30" i="5"/>
  <c r="RJ30" i="5"/>
  <c r="RK18" i="5"/>
  <c r="QE18" i="5"/>
  <c r="QD30" i="5"/>
  <c r="OY30" i="5"/>
  <c r="OZ18" i="5"/>
  <c r="NT18" i="5"/>
  <c r="NS30" i="5"/>
  <c r="NI30" i="5"/>
  <c r="NJ18" i="5"/>
  <c r="FH18" i="5"/>
  <c r="FG30" i="5"/>
  <c r="EK18" i="5"/>
  <c r="EJ30" i="5"/>
  <c r="BM25" i="5"/>
  <c r="BO25" i="5" s="1"/>
  <c r="BQ25" i="5" s="1"/>
  <c r="BS25" i="5" s="1"/>
  <c r="BU25" i="5" s="1"/>
  <c r="BW25" i="5" s="1"/>
  <c r="BY25" i="5" s="1"/>
  <c r="CA25" i="5" s="1"/>
  <c r="CC25" i="5" s="1"/>
  <c r="CE25" i="5" s="1"/>
  <c r="CG25" i="5" s="1"/>
  <c r="CI25" i="5" s="1"/>
  <c r="CK25" i="5" s="1"/>
  <c r="CM25" i="5" s="1"/>
  <c r="CO25" i="5" s="1"/>
  <c r="CQ25" i="5" s="1"/>
  <c r="BN25" i="5"/>
  <c r="BP25" i="5" s="1"/>
  <c r="BR25" i="5" s="1"/>
  <c r="BT25" i="5" s="1"/>
  <c r="BV25" i="5" s="1"/>
  <c r="BX25" i="5" s="1"/>
  <c r="BZ25" i="5" s="1"/>
  <c r="CB25" i="5" s="1"/>
  <c r="CD25" i="5" s="1"/>
  <c r="CF25" i="5" s="1"/>
  <c r="CH25" i="5" s="1"/>
  <c r="CJ25" i="5" s="1"/>
  <c r="CL25" i="5" s="1"/>
  <c r="CN25" i="5" s="1"/>
  <c r="CP25" i="5" s="1"/>
  <c r="CR25" i="5" s="1"/>
  <c r="CT25" i="5" s="1"/>
  <c r="BM24" i="5"/>
  <c r="BO24" i="5" s="1"/>
  <c r="BQ24" i="5" s="1"/>
  <c r="BS24" i="5" s="1"/>
  <c r="BU24" i="5" s="1"/>
  <c r="BW24" i="5" s="1"/>
  <c r="BY24" i="5" s="1"/>
  <c r="CA24" i="5" s="1"/>
  <c r="CC24" i="5" s="1"/>
  <c r="CE24" i="5" s="1"/>
  <c r="CG24" i="5" s="1"/>
  <c r="CI24" i="5" s="1"/>
  <c r="CK24" i="5" s="1"/>
  <c r="CM24" i="5" s="1"/>
  <c r="CO24" i="5" s="1"/>
  <c r="CQ24" i="5" s="1"/>
  <c r="BN24" i="5"/>
  <c r="BP24" i="5" s="1"/>
  <c r="BR24" i="5" s="1"/>
  <c r="BT24" i="5" s="1"/>
  <c r="BV24" i="5" s="1"/>
  <c r="BX24" i="5" s="1"/>
  <c r="BZ24" i="5" s="1"/>
  <c r="CB24" i="5" s="1"/>
  <c r="CD24" i="5" s="1"/>
  <c r="CF24" i="5" s="1"/>
  <c r="CH24" i="5" s="1"/>
  <c r="CJ24" i="5" s="1"/>
  <c r="CL24" i="5" s="1"/>
  <c r="CN24" i="5" s="1"/>
  <c r="CP24" i="5" s="1"/>
  <c r="CR24" i="5" s="1"/>
  <c r="CT24" i="5" s="1"/>
  <c r="BM23" i="5"/>
  <c r="BO23" i="5" s="1"/>
  <c r="BQ23" i="5" s="1"/>
  <c r="BS23" i="5" s="1"/>
  <c r="BU23" i="5" s="1"/>
  <c r="BW23" i="5" s="1"/>
  <c r="BY23" i="5" s="1"/>
  <c r="CA23" i="5" s="1"/>
  <c r="CC23" i="5" s="1"/>
  <c r="CE23" i="5" s="1"/>
  <c r="CG23" i="5" s="1"/>
  <c r="CI23" i="5" s="1"/>
  <c r="CK23" i="5" s="1"/>
  <c r="CM23" i="5" s="1"/>
  <c r="CO23" i="5" s="1"/>
  <c r="CQ23" i="5" s="1"/>
  <c r="BN23" i="5"/>
  <c r="BP23" i="5" s="1"/>
  <c r="BR23" i="5" s="1"/>
  <c r="BT23" i="5" s="1"/>
  <c r="BV23" i="5" s="1"/>
  <c r="BX23" i="5" s="1"/>
  <c r="BZ23" i="5" s="1"/>
  <c r="CB23" i="5" s="1"/>
  <c r="CD23" i="5" s="1"/>
  <c r="CF23" i="5" s="1"/>
  <c r="CH23" i="5" s="1"/>
  <c r="CJ23" i="5" s="1"/>
  <c r="CL23" i="5" s="1"/>
  <c r="CN23" i="5" s="1"/>
  <c r="CP23" i="5" s="1"/>
  <c r="CR23" i="5" s="1"/>
  <c r="CT23" i="5" s="1"/>
  <c r="VS22" i="5"/>
  <c r="VU22" i="5" s="1"/>
  <c r="VW22" i="5" s="1"/>
  <c r="VY22" i="5" s="1"/>
  <c r="VT22" i="5"/>
  <c r="VV22" i="5" s="1"/>
  <c r="VX22" i="5" s="1"/>
  <c r="VZ22" i="5" s="1"/>
  <c r="WB22" i="5" s="1"/>
  <c r="OX22" i="5"/>
  <c r="OY22" i="5"/>
  <c r="DZ22" i="5"/>
  <c r="EB22" i="5" s="1"/>
  <c r="ED22" i="5" s="1"/>
  <c r="EF22" i="5" s="1"/>
  <c r="EH22" i="5" s="1"/>
  <c r="EJ22" i="5" s="1"/>
  <c r="EL22" i="5" s="1"/>
  <c r="EN22" i="5" s="1"/>
  <c r="EP22" i="5" s="1"/>
  <c r="ER22" i="5" s="1"/>
  <c r="ET22" i="5" s="1"/>
  <c r="EV22" i="5" s="1"/>
  <c r="EX22" i="5" s="1"/>
  <c r="EZ22" i="5" s="1"/>
  <c r="FB22" i="5" s="1"/>
  <c r="EA22" i="5"/>
  <c r="EC22" i="5" s="1"/>
  <c r="EE22" i="5" s="1"/>
  <c r="EG22" i="5" s="1"/>
  <c r="EI22" i="5" s="1"/>
  <c r="EK22" i="5" s="1"/>
  <c r="EM22" i="5" s="1"/>
  <c r="EO22" i="5" s="1"/>
  <c r="EQ22" i="5" s="1"/>
  <c r="ES22" i="5" s="1"/>
  <c r="EU22" i="5" s="1"/>
  <c r="EW22" i="5" s="1"/>
  <c r="EY22" i="5" s="1"/>
  <c r="FA22" i="5" s="1"/>
  <c r="DZ21" i="5"/>
  <c r="EB21" i="5" s="1"/>
  <c r="ED21" i="5" s="1"/>
  <c r="EF21" i="5" s="1"/>
  <c r="EH21" i="5" s="1"/>
  <c r="EJ21" i="5" s="1"/>
  <c r="EL21" i="5" s="1"/>
  <c r="EN21" i="5" s="1"/>
  <c r="EP21" i="5" s="1"/>
  <c r="ER21" i="5" s="1"/>
  <c r="ET21" i="5" s="1"/>
  <c r="EV21" i="5" s="1"/>
  <c r="EX21" i="5" s="1"/>
  <c r="EZ21" i="5" s="1"/>
  <c r="FB21" i="5" s="1"/>
  <c r="EA21" i="5"/>
  <c r="EC21" i="5" s="1"/>
  <c r="EE21" i="5" s="1"/>
  <c r="EG21" i="5" s="1"/>
  <c r="EI21" i="5" s="1"/>
  <c r="EK21" i="5" s="1"/>
  <c r="EM21" i="5" s="1"/>
  <c r="EO21" i="5" s="1"/>
  <c r="EQ21" i="5" s="1"/>
  <c r="ES21" i="5" s="1"/>
  <c r="EU21" i="5" s="1"/>
  <c r="EW21" i="5" s="1"/>
  <c r="EY21" i="5" s="1"/>
  <c r="FA21" i="5" s="1"/>
  <c r="FC21" i="5" s="1"/>
  <c r="FE21" i="5" s="1"/>
  <c r="G20" i="5"/>
  <c r="AT19" i="5"/>
  <c r="ANN17" i="5"/>
  <c r="ADY17" i="5"/>
  <c r="WN16" i="5"/>
  <c r="HY16" i="5"/>
  <c r="FL16" i="5"/>
  <c r="CZ16" i="5"/>
  <c r="DA16" i="5"/>
  <c r="ANP15" i="5"/>
  <c r="AKW15" i="5"/>
  <c r="VG15" i="5"/>
  <c r="RT15" i="5"/>
  <c r="ALX14" i="5"/>
  <c r="AKY14" i="5"/>
  <c r="AKR14" i="5"/>
  <c r="AJO14" i="5"/>
  <c r="AII14" i="5"/>
  <c r="AHO14" i="5"/>
  <c r="AGH14" i="5"/>
  <c r="AEY14" i="5"/>
  <c r="AEA14" i="5"/>
  <c r="ACM14" i="5"/>
  <c r="ABR14" i="5"/>
  <c r="ZY14" i="5"/>
  <c r="ZA14" i="5"/>
  <c r="XT14" i="5"/>
  <c r="UC14" i="5"/>
  <c r="SV14" i="5"/>
  <c r="RV14" i="5"/>
  <c r="QL14" i="5"/>
  <c r="PL14" i="5"/>
  <c r="NZ14" i="5"/>
  <c r="NL14" i="5"/>
  <c r="LV14" i="5"/>
  <c r="KK14" i="5"/>
  <c r="JA14" i="5"/>
  <c r="GY14" i="5"/>
  <c r="EM14" i="5"/>
  <c r="DE14" i="5"/>
  <c r="DD14" i="5"/>
  <c r="CE14" i="5"/>
  <c r="AW14" i="5"/>
  <c r="I14" i="5"/>
  <c r="CS13" i="5"/>
  <c r="AL3" i="5"/>
  <c r="BP3" i="5"/>
  <c r="CU3" i="5" s="1"/>
  <c r="C43" i="4"/>
  <c r="C36" i="4"/>
  <c r="CU17" i="5"/>
  <c r="CV17" i="5"/>
  <c r="ANA15" i="5"/>
  <c r="ALV16" i="5"/>
  <c r="AKP16" i="5"/>
  <c r="AJM16" i="5"/>
  <c r="AH28" i="5"/>
  <c r="AI16" i="5"/>
  <c r="AJ16" i="5" s="1"/>
  <c r="AK16" i="5" s="1"/>
  <c r="AL16" i="5" s="1"/>
  <c r="AM16" i="5" s="1"/>
  <c r="AN16" i="5" s="1"/>
  <c r="AO16" i="5" s="1"/>
  <c r="AP16" i="5" s="1"/>
  <c r="AQ16" i="5" s="1"/>
  <c r="AR16" i="5" s="1"/>
  <c r="MK15" i="5"/>
  <c r="ML15" i="5"/>
  <c r="MM15" i="5" s="1"/>
  <c r="MN15" i="5" s="1"/>
  <c r="MO15" i="5" s="1"/>
  <c r="MP15" i="5" s="1"/>
  <c r="MQ15" i="5" s="1"/>
  <c r="MR15" i="5" s="1"/>
  <c r="MS15" i="5" s="1"/>
  <c r="MT15" i="5" s="1"/>
  <c r="MU15" i="5" s="1"/>
  <c r="MV15" i="5" s="1"/>
  <c r="MW15" i="5" s="1"/>
  <c r="MX15" i="5" s="1"/>
  <c r="MY15" i="5" s="1"/>
  <c r="MZ15" i="5" s="1"/>
  <c r="NA15" i="5" s="1"/>
  <c r="NB15" i="5" s="1"/>
  <c r="NC15" i="5" s="1"/>
  <c r="ND15" i="5" s="1"/>
  <c r="NE15" i="5" s="1"/>
  <c r="NF15" i="5" s="1"/>
  <c r="NG15" i="5" s="1"/>
  <c r="CU15" i="5"/>
  <c r="CV15" i="5"/>
  <c r="AHA14" i="5"/>
  <c r="AFV14" i="5"/>
  <c r="ADK14" i="5"/>
  <c r="XI14" i="5"/>
  <c r="WC14" i="5"/>
  <c r="KA14" i="5"/>
  <c r="IV14" i="5"/>
  <c r="GL14" i="5"/>
  <c r="FF14" i="5"/>
  <c r="CU14" i="5"/>
  <c r="CV14" i="5"/>
  <c r="BN14" i="5"/>
  <c r="D26" i="5"/>
  <c r="I1" i="5"/>
  <c r="G13" i="5"/>
  <c r="AL3" i="4"/>
  <c r="BP3" i="4"/>
  <c r="CU3" i="4" s="1"/>
  <c r="AL2" i="2"/>
  <c r="BP2" i="2"/>
  <c r="CU2" i="2" s="1"/>
  <c r="YO18" i="4"/>
  <c r="ZR18" i="4" s="1"/>
  <c r="ZR17" i="4"/>
  <c r="YO30" i="5"/>
  <c r="YP30" i="5" s="1"/>
  <c r="YQ30" i="5" s="1"/>
  <c r="YR30" i="5" s="1"/>
  <c r="YS30" i="5" s="1"/>
  <c r="YT30" i="5" s="1"/>
  <c r="YU30" i="5" s="1"/>
  <c r="YV30" i="5" s="1"/>
  <c r="YW30" i="5" s="1"/>
  <c r="YX30" i="5" s="1"/>
  <c r="YY30" i="5" s="1"/>
  <c r="YZ30" i="5" s="1"/>
  <c r="ZA30" i="5" s="1"/>
  <c r="ZB30" i="5" s="1"/>
  <c r="ZC30" i="5" s="1"/>
  <c r="ZD30" i="5" s="1"/>
  <c r="ZE30" i="5" s="1"/>
  <c r="ZF30" i="5" s="1"/>
  <c r="ZG30" i="5" s="1"/>
  <c r="ZH30" i="5" s="1"/>
  <c r="ZI30" i="5" s="1"/>
  <c r="ZJ30" i="5" s="1"/>
  <c r="ZK30" i="5" s="1"/>
  <c r="ZL30" i="5" s="1"/>
  <c r="ZM30" i="5" s="1"/>
  <c r="ZN30" i="5" s="1"/>
  <c r="ZO30" i="5" s="1"/>
  <c r="ZP30" i="5" s="1"/>
  <c r="ZQ30" i="5" s="1"/>
  <c r="ZS17" i="5" s="1"/>
  <c r="ZT17" i="5" s="1"/>
  <c r="QA16" i="4"/>
  <c r="PC18" i="4"/>
  <c r="QA18" i="4" s="1"/>
  <c r="PC29" i="5"/>
  <c r="PD29" i="5" s="1"/>
  <c r="PE29" i="5" s="1"/>
  <c r="PF29" i="5" s="1"/>
  <c r="PG29" i="5" s="1"/>
  <c r="PH29" i="5" s="1"/>
  <c r="PI29" i="5" s="1"/>
  <c r="PJ29" i="5" s="1"/>
  <c r="PK29" i="5" s="1"/>
  <c r="PL29" i="5" s="1"/>
  <c r="PM29" i="5" s="1"/>
  <c r="PN29" i="5" s="1"/>
  <c r="PO29" i="5" s="1"/>
  <c r="PP29" i="5" s="1"/>
  <c r="PQ29" i="5" s="1"/>
  <c r="PR29" i="5" s="1"/>
  <c r="PS29" i="5" s="1"/>
  <c r="PT29" i="5" s="1"/>
  <c r="PU29" i="5" s="1"/>
  <c r="PV29" i="5" s="1"/>
  <c r="PW29" i="5" s="1"/>
  <c r="PX29" i="5" s="1"/>
  <c r="PY29" i="5" s="1"/>
  <c r="PZ29" i="5" s="1"/>
  <c r="QB17" i="5" s="1"/>
  <c r="QC17" i="5" s="1"/>
  <c r="QD17" i="5" s="1"/>
  <c r="QE17" i="5" s="1"/>
  <c r="QF17" i="5" s="1"/>
  <c r="QG17" i="5" s="1"/>
  <c r="C29" i="5"/>
  <c r="AH16" i="4"/>
  <c r="AK3" i="1"/>
  <c r="BO3" i="1"/>
  <c r="CT3" i="1" s="1"/>
  <c r="AI34" i="3"/>
  <c r="C7" i="4"/>
  <c r="AMZ32" i="3"/>
  <c r="ALV34" i="3"/>
  <c r="ALU32" i="3"/>
  <c r="AKP34" i="3"/>
  <c r="AKO32" i="3"/>
  <c r="AJM34" i="3"/>
  <c r="AJL32" i="3"/>
  <c r="AIG34" i="3"/>
  <c r="AIF7" i="4" s="1"/>
  <c r="AIF32" i="3"/>
  <c r="AHA34" i="3"/>
  <c r="AGZ7" i="4" s="1"/>
  <c r="AGZ32" i="3"/>
  <c r="AFV34" i="3"/>
  <c r="AFU32" i="3"/>
  <c r="AEP34" i="3"/>
  <c r="AEO32" i="3"/>
  <c r="ADK34" i="3"/>
  <c r="ADJ32" i="3"/>
  <c r="ACE34" i="3"/>
  <c r="ACD32" i="3"/>
  <c r="AAY34" i="3"/>
  <c r="AAX32" i="3"/>
  <c r="ZT34" i="3"/>
  <c r="ZS7" i="4" s="1"/>
  <c r="ZS32" i="3"/>
  <c r="YN34" i="3"/>
  <c r="YM7" i="4" s="1"/>
  <c r="XH32" i="3"/>
  <c r="YM32" i="3" s="1"/>
  <c r="WC34" i="3"/>
  <c r="WB7" i="4" s="1"/>
  <c r="WA7" i="4"/>
  <c r="UY9" i="4"/>
  <c r="UY11" i="4"/>
  <c r="UY47" i="4" s="1"/>
  <c r="UY39" i="4"/>
  <c r="UY40" i="4" s="1"/>
  <c r="UY42" i="4" s="1"/>
  <c r="UW40" i="4"/>
  <c r="UX47" i="4"/>
  <c r="WA47" i="4" s="1"/>
  <c r="UX39" i="4"/>
  <c r="WA39" i="4" s="1"/>
  <c r="TT40" i="4"/>
  <c r="UX7" i="4"/>
  <c r="TS9" i="4"/>
  <c r="TS11" i="4"/>
  <c r="TS47" i="4" s="1"/>
  <c r="TS39" i="4"/>
  <c r="TS40" i="4" s="1"/>
  <c r="TS42" i="4" s="1"/>
  <c r="TS43" i="4" s="1"/>
  <c r="SN9" i="4"/>
  <c r="SN11" i="4"/>
  <c r="SN47" i="4" s="1"/>
  <c r="SN39" i="4"/>
  <c r="TR9" i="4"/>
  <c r="SL7" i="4"/>
  <c r="RH9" i="4"/>
  <c r="RH11" i="4"/>
  <c r="RH47" i="4" s="1"/>
  <c r="RH39" i="4"/>
  <c r="QC9" i="4"/>
  <c r="QC11" i="4"/>
  <c r="QC47" i="4" s="1"/>
  <c r="QC39" i="4"/>
  <c r="QA7" i="4"/>
  <c r="OW9" i="4"/>
  <c r="OW11" i="4"/>
  <c r="OW39" i="4"/>
  <c r="OV7" i="4"/>
  <c r="NR9" i="4"/>
  <c r="NR11" i="4"/>
  <c r="NR39" i="4"/>
  <c r="NQ9" i="4"/>
  <c r="NQ11" i="4"/>
  <c r="NQ47" i="4" s="1"/>
  <c r="NQ39" i="4"/>
  <c r="NQ40" i="4" s="1"/>
  <c r="NQ42" i="4" s="1"/>
  <c r="NQ43" i="4" s="1"/>
  <c r="NP7" i="4"/>
  <c r="ML9" i="4"/>
  <c r="ML11" i="4"/>
  <c r="ML39" i="4"/>
  <c r="MK9" i="4"/>
  <c r="MK11" i="4"/>
  <c r="MK47" i="4" s="1"/>
  <c r="MK39" i="4"/>
  <c r="MK40" i="4" s="1"/>
  <c r="MK42" i="4" s="1"/>
  <c r="MK43" i="4" s="1"/>
  <c r="MJ7" i="4"/>
  <c r="LF9" i="4"/>
  <c r="LF11" i="4"/>
  <c r="LF39" i="4"/>
  <c r="LE7" i="4"/>
  <c r="KA9" i="4"/>
  <c r="KA11" i="4"/>
  <c r="KA39" i="4"/>
  <c r="JZ9" i="4"/>
  <c r="JZ11" i="4"/>
  <c r="JZ47" i="4" s="1"/>
  <c r="JZ39" i="4"/>
  <c r="JZ40" i="4" s="1"/>
  <c r="JZ42" i="4" s="1"/>
  <c r="JZ43" i="4" s="1"/>
  <c r="JY7" i="4"/>
  <c r="IU9" i="4"/>
  <c r="IU11" i="4"/>
  <c r="IU39" i="4"/>
  <c r="FE32" i="3"/>
  <c r="DZ34" i="3"/>
  <c r="DY32" i="3"/>
  <c r="CU34" i="3"/>
  <c r="CT32" i="3"/>
  <c r="BO34" i="3"/>
  <c r="BN32" i="3"/>
  <c r="AJ34" i="3"/>
  <c r="AI18" i="3"/>
  <c r="C4" i="4"/>
  <c r="AMZ18" i="3"/>
  <c r="ALU4" i="4"/>
  <c r="ALU18" i="3"/>
  <c r="AKO4" i="4"/>
  <c r="AKO18" i="3"/>
  <c r="AJL4" i="4"/>
  <c r="AJL18" i="3"/>
  <c r="AIF4" i="4"/>
  <c r="AIF18" i="3"/>
  <c r="AGZ4" i="4"/>
  <c r="AGZ18" i="3"/>
  <c r="AFU4" i="4"/>
  <c r="AFU18" i="3"/>
  <c r="AEO4" i="4"/>
  <c r="AEO18" i="3"/>
  <c r="ADJ4" i="4"/>
  <c r="ADJ18" i="3"/>
  <c r="ACD4" i="4"/>
  <c r="ACD18" i="3"/>
  <c r="AAX4" i="4"/>
  <c r="AAX18" i="3"/>
  <c r="ZS4" i="4"/>
  <c r="ZS18" i="3"/>
  <c r="YM4" i="4"/>
  <c r="XH18" i="3"/>
  <c r="YM18" i="3" s="1"/>
  <c r="WB4" i="4"/>
  <c r="WA4" i="4"/>
  <c r="WA6" i="4" s="1"/>
  <c r="UY6" i="4"/>
  <c r="UY32" i="4"/>
  <c r="UY33" i="4" s="1"/>
  <c r="UY35" i="4" s="1"/>
  <c r="UX4" i="4"/>
  <c r="UX6" i="4" s="1"/>
  <c r="TS6" i="4"/>
  <c r="TS32" i="4"/>
  <c r="TS33" i="4" s="1"/>
  <c r="TS35" i="4" s="1"/>
  <c r="SN6" i="4"/>
  <c r="SN32" i="4"/>
  <c r="SL4" i="4"/>
  <c r="SL6" i="4" s="1"/>
  <c r="RH6" i="4"/>
  <c r="RH32" i="4"/>
  <c r="QC6" i="4"/>
  <c r="RG6" i="4" s="1"/>
  <c r="QC32" i="4"/>
  <c r="QA4" i="4"/>
  <c r="OW6" i="4"/>
  <c r="QA6" i="4" s="1"/>
  <c r="OW32" i="4"/>
  <c r="NQ6" i="4"/>
  <c r="NQ32" i="4"/>
  <c r="NQ33" i="4" s="1"/>
  <c r="NQ35" i="4" s="1"/>
  <c r="NQ36" i="4" s="1"/>
  <c r="MK6" i="4"/>
  <c r="MK32" i="4"/>
  <c r="MK33" i="4" s="1"/>
  <c r="MK35" i="4" s="1"/>
  <c r="MK36" i="4" s="1"/>
  <c r="JZ6" i="4"/>
  <c r="JZ32" i="4"/>
  <c r="JZ33" i="4" s="1"/>
  <c r="JZ35" i="4" s="1"/>
  <c r="JZ36" i="4" s="1"/>
  <c r="JY4" i="4"/>
  <c r="IU6" i="4"/>
  <c r="JY6" i="4" s="1"/>
  <c r="IU32" i="4"/>
  <c r="FE16" i="3"/>
  <c r="DZ18" i="3"/>
  <c r="DY18" i="3"/>
  <c r="CT4" i="4"/>
  <c r="CT16" i="3"/>
  <c r="BO18" i="3"/>
  <c r="BN16" i="3"/>
  <c r="AJ18" i="3"/>
  <c r="BQ3" i="3"/>
  <c r="CV3" i="3" s="1"/>
  <c r="AM3" i="3"/>
  <c r="AOB11" i="4"/>
  <c r="AOB47" i="4" s="1"/>
  <c r="AOB39" i="4"/>
  <c r="AOB40" i="4" s="1"/>
  <c r="AOB42" i="4" s="1"/>
  <c r="AOB43" i="4" s="1"/>
  <c r="AOB45" i="4" s="1"/>
  <c r="AOB9" i="4"/>
  <c r="AOB12" i="4" s="1"/>
  <c r="AOB28" i="4" s="1"/>
  <c r="AOB30" i="4" s="1"/>
  <c r="AOA11" i="4"/>
  <c r="AOA47" i="4" s="1"/>
  <c r="AOA39" i="4"/>
  <c r="AOA40" i="4" s="1"/>
  <c r="AOA42" i="4" s="1"/>
  <c r="AOA43" i="4" s="1"/>
  <c r="AOA45" i="4" s="1"/>
  <c r="AOA9" i="4"/>
  <c r="AOA12" i="4" s="1"/>
  <c r="AOA28" i="4" s="1"/>
  <c r="AOA30" i="4" s="1"/>
  <c r="ANZ11" i="4"/>
  <c r="ANZ47" i="4" s="1"/>
  <c r="ANZ39" i="4"/>
  <c r="ANZ40" i="4" s="1"/>
  <c r="ANZ42" i="4" s="1"/>
  <c r="ANZ43" i="4" s="1"/>
  <c r="ANZ45" i="4" s="1"/>
  <c r="ANZ9" i="4"/>
  <c r="ANZ12" i="4" s="1"/>
  <c r="ANZ28" i="4" s="1"/>
  <c r="ANZ30" i="4" s="1"/>
  <c r="ANY39" i="4"/>
  <c r="ANY40" i="4" s="1"/>
  <c r="ANY42" i="4" s="1"/>
  <c r="ANY43" i="4" s="1"/>
  <c r="ANY45" i="4" s="1"/>
  <c r="ANY11" i="4"/>
  <c r="ANY47" i="4" s="1"/>
  <c r="ANY9" i="4"/>
  <c r="ANY12" i="4" s="1"/>
  <c r="ANY28" i="4" s="1"/>
  <c r="ANY30" i="4" s="1"/>
  <c r="ANX39" i="4"/>
  <c r="ANX40" i="4" s="1"/>
  <c r="ANX42" i="4" s="1"/>
  <c r="ANX43" i="4" s="1"/>
  <c r="ANX45" i="4" s="1"/>
  <c r="ANX11" i="4"/>
  <c r="ANX47" i="4" s="1"/>
  <c r="ANX9" i="4"/>
  <c r="ANX12" i="4" s="1"/>
  <c r="ANX28" i="4" s="1"/>
  <c r="ANX30" i="4" s="1"/>
  <c r="ANW11" i="4"/>
  <c r="ANW47" i="4" s="1"/>
  <c r="ANW39" i="4"/>
  <c r="ANW40" i="4" s="1"/>
  <c r="ANW42" i="4" s="1"/>
  <c r="ANW43" i="4" s="1"/>
  <c r="ANW45" i="4" s="1"/>
  <c r="ANW9" i="4"/>
  <c r="ANW12" i="4" s="1"/>
  <c r="ANW28" i="4" s="1"/>
  <c r="ANW30" i="4" s="1"/>
  <c r="ANV11" i="4"/>
  <c r="ANV47" i="4" s="1"/>
  <c r="ANV39" i="4"/>
  <c r="ANV40" i="4" s="1"/>
  <c r="ANV42" i="4" s="1"/>
  <c r="ANV43" i="4" s="1"/>
  <c r="ANV45" i="4" s="1"/>
  <c r="ANV9" i="4"/>
  <c r="ANV12" i="4" s="1"/>
  <c r="ANV28" i="4" s="1"/>
  <c r="ANV30" i="4" s="1"/>
  <c r="ANU11" i="4"/>
  <c r="ANU47" i="4" s="1"/>
  <c r="ANU39" i="4"/>
  <c r="ANU40" i="4" s="1"/>
  <c r="ANU42" i="4" s="1"/>
  <c r="ANU43" i="4" s="1"/>
  <c r="ANU45" i="4" s="1"/>
  <c r="ANU9" i="4"/>
  <c r="ANU12" i="4" s="1"/>
  <c r="ANU28" i="4" s="1"/>
  <c r="ANU30" i="4" s="1"/>
  <c r="ANT39" i="4"/>
  <c r="ANT40" i="4" s="1"/>
  <c r="ANT42" i="4" s="1"/>
  <c r="ANT43" i="4" s="1"/>
  <c r="ANT45" i="4" s="1"/>
  <c r="ANT11" i="4"/>
  <c r="ANT47" i="4" s="1"/>
  <c r="ANT9" i="4"/>
  <c r="ANT12" i="4" s="1"/>
  <c r="ANT28" i="4" s="1"/>
  <c r="ANT30" i="4" s="1"/>
  <c r="ANS39" i="4"/>
  <c r="ANS40" i="4" s="1"/>
  <c r="ANS42" i="4" s="1"/>
  <c r="ANS43" i="4" s="1"/>
  <c r="ANS45" i="4" s="1"/>
  <c r="ANS11" i="4"/>
  <c r="ANS47" i="4" s="1"/>
  <c r="ANS9" i="4"/>
  <c r="ANS12" i="4" s="1"/>
  <c r="ANS28" i="4" s="1"/>
  <c r="ANS30" i="4" s="1"/>
  <c r="ANR11" i="4"/>
  <c r="ANR47" i="4" s="1"/>
  <c r="ANR39" i="4"/>
  <c r="ANR40" i="4" s="1"/>
  <c r="ANR42" i="4" s="1"/>
  <c r="ANR43" i="4" s="1"/>
  <c r="ANR45" i="4" s="1"/>
  <c r="ANR9" i="4"/>
  <c r="ANR12" i="4" s="1"/>
  <c r="ANR28" i="4" s="1"/>
  <c r="ANR30" i="4" s="1"/>
  <c r="ANQ11" i="4"/>
  <c r="ANQ47" i="4" s="1"/>
  <c r="ANQ39" i="4"/>
  <c r="ANQ40" i="4" s="1"/>
  <c r="ANQ42" i="4" s="1"/>
  <c r="ANQ43" i="4" s="1"/>
  <c r="ANQ45" i="4" s="1"/>
  <c r="ANQ9" i="4"/>
  <c r="ANQ12" i="4" s="1"/>
  <c r="ANQ28" i="4" s="1"/>
  <c r="ANQ30" i="4" s="1"/>
  <c r="ANP39" i="4"/>
  <c r="ANP40" i="4" s="1"/>
  <c r="ANP42" i="4" s="1"/>
  <c r="ANP43" i="4" s="1"/>
  <c r="ANP45" i="4" s="1"/>
  <c r="ANP11" i="4"/>
  <c r="ANP47" i="4" s="1"/>
  <c r="ANP9" i="4"/>
  <c r="ANP12" i="4" s="1"/>
  <c r="ANP28" i="4" s="1"/>
  <c r="ANP30" i="4" s="1"/>
  <c r="ANO11" i="4"/>
  <c r="ANO47" i="4" s="1"/>
  <c r="ANO39" i="4"/>
  <c r="ANO40" i="4" s="1"/>
  <c r="ANO42" i="4" s="1"/>
  <c r="ANO43" i="4" s="1"/>
  <c r="ANO45" i="4" s="1"/>
  <c r="ANO9" i="4"/>
  <c r="ANO12" i="4" s="1"/>
  <c r="ANO28" i="4" s="1"/>
  <c r="ANO30" i="4" s="1"/>
  <c r="ANN11" i="4"/>
  <c r="ANN47" i="4" s="1"/>
  <c r="ANN39" i="4"/>
  <c r="ANN40" i="4" s="1"/>
  <c r="ANN42" i="4" s="1"/>
  <c r="ANN43" i="4" s="1"/>
  <c r="ANN45" i="4" s="1"/>
  <c r="ANN9" i="4"/>
  <c r="ANN12" i="4" s="1"/>
  <c r="ANN28" i="4" s="1"/>
  <c r="ANN30" i="4" s="1"/>
  <c r="ANM11" i="4"/>
  <c r="ANM47" i="4" s="1"/>
  <c r="ANM48" i="4" s="1"/>
  <c r="ANM39" i="4"/>
  <c r="ANM40" i="4" s="1"/>
  <c r="ANM42" i="4" s="1"/>
  <c r="ANM43" i="4" s="1"/>
  <c r="ANM45" i="4" s="1"/>
  <c r="ANM9" i="4"/>
  <c r="ANM12" i="4" s="1"/>
  <c r="ANM28" i="4" s="1"/>
  <c r="ANM30" i="4" s="1"/>
  <c r="ANL39" i="4"/>
  <c r="ANL40" i="4" s="1"/>
  <c r="ANL42" i="4" s="1"/>
  <c r="ANL43" i="4" s="1"/>
  <c r="ANL45" i="4" s="1"/>
  <c r="ANL11" i="4"/>
  <c r="ANL47" i="4" s="1"/>
  <c r="ANL48" i="4" s="1"/>
  <c r="ANL9" i="4"/>
  <c r="ANL12" i="4" s="1"/>
  <c r="ANL28" i="4" s="1"/>
  <c r="ANL30" i="4" s="1"/>
  <c r="ANK39" i="4"/>
  <c r="ANK40" i="4" s="1"/>
  <c r="ANK42" i="4" s="1"/>
  <c r="ANK43" i="4" s="1"/>
  <c r="ANK45" i="4" s="1"/>
  <c r="ANK11" i="4"/>
  <c r="ANK47" i="4" s="1"/>
  <c r="ANK48" i="4" s="1"/>
  <c r="ANK9" i="4"/>
  <c r="ANK12" i="4" s="1"/>
  <c r="ANK28" i="4" s="1"/>
  <c r="ANK30" i="4" s="1"/>
  <c r="ANJ39" i="4"/>
  <c r="ANJ40" i="4" s="1"/>
  <c r="ANJ42" i="4" s="1"/>
  <c r="ANJ43" i="4" s="1"/>
  <c r="ANJ45" i="4" s="1"/>
  <c r="ANJ11" i="4"/>
  <c r="ANJ47" i="4" s="1"/>
  <c r="ANJ9" i="4"/>
  <c r="ANJ12" i="4" s="1"/>
  <c r="ANJ28" i="4" s="1"/>
  <c r="ANJ30" i="4" s="1"/>
  <c r="ANI11" i="4"/>
  <c r="ANI47" i="4" s="1"/>
  <c r="ANI39" i="4"/>
  <c r="ANI40" i="4" s="1"/>
  <c r="ANI42" i="4" s="1"/>
  <c r="ANI43" i="4" s="1"/>
  <c r="ANI45" i="4" s="1"/>
  <c r="ANI9" i="4"/>
  <c r="ANI12" i="4" s="1"/>
  <c r="ANI28" i="4" s="1"/>
  <c r="ANI30" i="4" s="1"/>
  <c r="ANH39" i="4"/>
  <c r="ANH40" i="4" s="1"/>
  <c r="ANH42" i="4" s="1"/>
  <c r="ANH43" i="4" s="1"/>
  <c r="ANH45" i="4" s="1"/>
  <c r="ANH11" i="4"/>
  <c r="ANH47" i="4" s="1"/>
  <c r="ANH9" i="4"/>
  <c r="ANH12" i="4" s="1"/>
  <c r="ANH28" i="4" s="1"/>
  <c r="ANH30" i="4" s="1"/>
  <c r="ANG11" i="4"/>
  <c r="ANG47" i="4" s="1"/>
  <c r="ANG39" i="4"/>
  <c r="ANG40" i="4" s="1"/>
  <c r="ANG42" i="4" s="1"/>
  <c r="ANG43" i="4" s="1"/>
  <c r="ANG45" i="4" s="1"/>
  <c r="ANG9" i="4"/>
  <c r="ANG12" i="4" s="1"/>
  <c r="ANG28" i="4" s="1"/>
  <c r="ANG30" i="4" s="1"/>
  <c r="ANF11" i="4"/>
  <c r="ANF47" i="4" s="1"/>
  <c r="ANF39" i="4"/>
  <c r="ANF40" i="4" s="1"/>
  <c r="ANF42" i="4" s="1"/>
  <c r="ANF43" i="4" s="1"/>
  <c r="ANF45" i="4" s="1"/>
  <c r="ANF9" i="4"/>
  <c r="ANF12" i="4" s="1"/>
  <c r="ANF28" i="4" s="1"/>
  <c r="ANF30" i="4" s="1"/>
  <c r="ANE11" i="4"/>
  <c r="ANE47" i="4" s="1"/>
  <c r="ANE39" i="4"/>
  <c r="ANE40" i="4" s="1"/>
  <c r="ANE42" i="4" s="1"/>
  <c r="ANE43" i="4" s="1"/>
  <c r="ANE45" i="4" s="1"/>
  <c r="ANE9" i="4"/>
  <c r="ANE12" i="4" s="1"/>
  <c r="ANE28" i="4" s="1"/>
  <c r="ANE30" i="4" s="1"/>
  <c r="AND11" i="4"/>
  <c r="AND47" i="4" s="1"/>
  <c r="AND39" i="4"/>
  <c r="AND40" i="4" s="1"/>
  <c r="AND42" i="4" s="1"/>
  <c r="AND43" i="4" s="1"/>
  <c r="AND45" i="4" s="1"/>
  <c r="AND9" i="4"/>
  <c r="AND12" i="4" s="1"/>
  <c r="AND28" i="4" s="1"/>
  <c r="AND30" i="4" s="1"/>
  <c r="ANC11" i="4"/>
  <c r="ANC47" i="4" s="1"/>
  <c r="ANC39" i="4"/>
  <c r="ANC40" i="4" s="1"/>
  <c r="ANC42" i="4" s="1"/>
  <c r="ANC43" i="4" s="1"/>
  <c r="ANC45" i="4" s="1"/>
  <c r="ANC9" i="4"/>
  <c r="ANC12" i="4" s="1"/>
  <c r="ANC28" i="4" s="1"/>
  <c r="ANC30" i="4" s="1"/>
  <c r="ANB11" i="4"/>
  <c r="ANB47" i="4" s="1"/>
  <c r="ANB39" i="4"/>
  <c r="ANB40" i="4" s="1"/>
  <c r="ANB42" i="4" s="1"/>
  <c r="ANB43" i="4" s="1"/>
  <c r="ANB45" i="4" s="1"/>
  <c r="ANB9" i="4"/>
  <c r="ANB12" i="4" s="1"/>
  <c r="ANB28" i="4" s="1"/>
  <c r="ANB30" i="4" s="1"/>
  <c r="ANA11" i="4"/>
  <c r="ANA47" i="4" s="1"/>
  <c r="ANA39" i="4"/>
  <c r="ANA40" i="4" s="1"/>
  <c r="ANA42" i="4" s="1"/>
  <c r="ANA43" i="4" s="1"/>
  <c r="ANA45" i="4" s="1"/>
  <c r="ANA9" i="4"/>
  <c r="ANA12" i="4" s="1"/>
  <c r="ANA28" i="4" s="1"/>
  <c r="ANA30" i="4" s="1"/>
  <c r="AMZ39" i="4"/>
  <c r="AMZ40" i="4" s="1"/>
  <c r="AMZ42" i="4" s="1"/>
  <c r="AMZ43" i="4" s="1"/>
  <c r="AMZ45" i="4" s="1"/>
  <c r="AMZ11" i="4"/>
  <c r="AMZ47" i="4" s="1"/>
  <c r="AMZ9" i="4"/>
  <c r="AMZ12" i="4" s="1"/>
  <c r="AMZ28" i="4" s="1"/>
  <c r="AMZ30" i="4" s="1"/>
  <c r="AMX39" i="4"/>
  <c r="AMX40" i="4" s="1"/>
  <c r="AMX42" i="4" s="1"/>
  <c r="AMX43" i="4" s="1"/>
  <c r="AMX45" i="4" s="1"/>
  <c r="AMX11" i="4"/>
  <c r="AMX47" i="4" s="1"/>
  <c r="AMX9" i="4"/>
  <c r="AMX12" i="4" s="1"/>
  <c r="AMX28" i="4" s="1"/>
  <c r="AMX30" i="4" s="1"/>
  <c r="AMW11" i="4"/>
  <c r="AMW47" i="4" s="1"/>
  <c r="AMW48" i="4" s="1"/>
  <c r="AMW39" i="4"/>
  <c r="AMW40" i="4" s="1"/>
  <c r="AMW42" i="4" s="1"/>
  <c r="AMW43" i="4" s="1"/>
  <c r="AMW45" i="4" s="1"/>
  <c r="AMW9" i="4"/>
  <c r="AMW12" i="4" s="1"/>
  <c r="AMW28" i="4" s="1"/>
  <c r="AMW30" i="4" s="1"/>
  <c r="AMV11" i="4"/>
  <c r="AMV47" i="4" s="1"/>
  <c r="AMV39" i="4"/>
  <c r="AMV40" i="4" s="1"/>
  <c r="AMV42" i="4" s="1"/>
  <c r="AMV43" i="4" s="1"/>
  <c r="AMV45" i="4" s="1"/>
  <c r="AMV9" i="4"/>
  <c r="AMV12" i="4" s="1"/>
  <c r="AMV28" i="4" s="1"/>
  <c r="AMV30" i="4" s="1"/>
  <c r="AMU39" i="4"/>
  <c r="AMU40" i="4" s="1"/>
  <c r="AMU42" i="4" s="1"/>
  <c r="AMU43" i="4" s="1"/>
  <c r="AMU45" i="4" s="1"/>
  <c r="AMU11" i="4"/>
  <c r="AMU47" i="4" s="1"/>
  <c r="AMU48" i="4" s="1"/>
  <c r="AMU9" i="4"/>
  <c r="AMU12" i="4" s="1"/>
  <c r="AMU28" i="4" s="1"/>
  <c r="AMU30" i="4" s="1"/>
  <c r="AMT11" i="4"/>
  <c r="AMT47" i="4" s="1"/>
  <c r="AMT39" i="4"/>
  <c r="AMT40" i="4" s="1"/>
  <c r="AMT42" i="4" s="1"/>
  <c r="AMT43" i="4" s="1"/>
  <c r="AMT45" i="4" s="1"/>
  <c r="AMT9" i="4"/>
  <c r="AMT12" i="4" s="1"/>
  <c r="AMT28" i="4" s="1"/>
  <c r="AMT30" i="4" s="1"/>
  <c r="AMS39" i="4"/>
  <c r="AMS40" i="4" s="1"/>
  <c r="AMS42" i="4" s="1"/>
  <c r="AMS43" i="4" s="1"/>
  <c r="AMS45" i="4" s="1"/>
  <c r="AMS11" i="4"/>
  <c r="AMS47" i="4" s="1"/>
  <c r="AMS9" i="4"/>
  <c r="AMS12" i="4" s="1"/>
  <c r="AMS28" i="4" s="1"/>
  <c r="AMS30" i="4" s="1"/>
  <c r="AMR39" i="4"/>
  <c r="AMR40" i="4" s="1"/>
  <c r="AMR42" i="4" s="1"/>
  <c r="AMR43" i="4" s="1"/>
  <c r="AMR45" i="4" s="1"/>
  <c r="AMR11" i="4"/>
  <c r="AMR47" i="4" s="1"/>
  <c r="AMR48" i="4" s="1"/>
  <c r="AMR9" i="4"/>
  <c r="AMR12" i="4" s="1"/>
  <c r="AMR28" i="4" s="1"/>
  <c r="AMR30" i="4" s="1"/>
  <c r="AMQ11" i="4"/>
  <c r="AMQ47" i="4" s="1"/>
  <c r="AMQ39" i="4"/>
  <c r="AMQ40" i="4" s="1"/>
  <c r="AMQ42" i="4" s="1"/>
  <c r="AMQ43" i="4" s="1"/>
  <c r="AMQ45" i="4" s="1"/>
  <c r="AMQ9" i="4"/>
  <c r="AMQ12" i="4" s="1"/>
  <c r="AMQ28" i="4" s="1"/>
  <c r="AMQ30" i="4" s="1"/>
  <c r="AMP11" i="4"/>
  <c r="AMP47" i="4" s="1"/>
  <c r="AMP48" i="4" s="1"/>
  <c r="AMP39" i="4"/>
  <c r="AMP40" i="4" s="1"/>
  <c r="AMP42" i="4" s="1"/>
  <c r="AMP43" i="4" s="1"/>
  <c r="AMP45" i="4" s="1"/>
  <c r="AMP9" i="4"/>
  <c r="AMP12" i="4" s="1"/>
  <c r="AMP28" i="4" s="1"/>
  <c r="AMP30" i="4" s="1"/>
  <c r="AMO39" i="4"/>
  <c r="AMO40" i="4" s="1"/>
  <c r="AMO42" i="4" s="1"/>
  <c r="AMO43" i="4" s="1"/>
  <c r="AMO45" i="4" s="1"/>
  <c r="AMO11" i="4"/>
  <c r="AMO47" i="4" s="1"/>
  <c r="AMO48" i="4" s="1"/>
  <c r="AMO9" i="4"/>
  <c r="AMO12" i="4" s="1"/>
  <c r="AMO28" i="4" s="1"/>
  <c r="AMO30" i="4" s="1"/>
  <c r="AMN39" i="4"/>
  <c r="AMN40" i="4" s="1"/>
  <c r="AMN42" i="4" s="1"/>
  <c r="AMN43" i="4" s="1"/>
  <c r="AMN45" i="4" s="1"/>
  <c r="AMN11" i="4"/>
  <c r="AMN47" i="4" s="1"/>
  <c r="AMN9" i="4"/>
  <c r="AMN12" i="4" s="1"/>
  <c r="AMN28" i="4" s="1"/>
  <c r="AMN30" i="4" s="1"/>
  <c r="AMM39" i="4"/>
  <c r="AMM40" i="4" s="1"/>
  <c r="AMM42" i="4" s="1"/>
  <c r="AMM43" i="4" s="1"/>
  <c r="AMM45" i="4" s="1"/>
  <c r="AMM11" i="4"/>
  <c r="AMM47" i="4" s="1"/>
  <c r="AMM9" i="4"/>
  <c r="AMM12" i="4" s="1"/>
  <c r="AMM28" i="4" s="1"/>
  <c r="AMM30" i="4" s="1"/>
  <c r="AML11" i="4"/>
  <c r="AML47" i="4" s="1"/>
  <c r="AML39" i="4"/>
  <c r="AML40" i="4" s="1"/>
  <c r="AML42" i="4" s="1"/>
  <c r="AML43" i="4" s="1"/>
  <c r="AML45" i="4" s="1"/>
  <c r="AML9" i="4"/>
  <c r="AML12" i="4" s="1"/>
  <c r="AML28" i="4" s="1"/>
  <c r="AML30" i="4" s="1"/>
  <c r="AMK11" i="4"/>
  <c r="AMK47" i="4" s="1"/>
  <c r="AMK39" i="4"/>
  <c r="AMK40" i="4" s="1"/>
  <c r="AMK42" i="4" s="1"/>
  <c r="AMK43" i="4" s="1"/>
  <c r="AMK45" i="4" s="1"/>
  <c r="AMK9" i="4"/>
  <c r="AMK12" i="4" s="1"/>
  <c r="AMK28" i="4" s="1"/>
  <c r="AMK30" i="4" s="1"/>
  <c r="AMJ39" i="4"/>
  <c r="AMJ40" i="4" s="1"/>
  <c r="AMJ42" i="4" s="1"/>
  <c r="AMJ43" i="4" s="1"/>
  <c r="AMJ45" i="4" s="1"/>
  <c r="AMJ11" i="4"/>
  <c r="AMJ47" i="4" s="1"/>
  <c r="AMJ9" i="4"/>
  <c r="AMJ12" i="4" s="1"/>
  <c r="AMJ28" i="4" s="1"/>
  <c r="AMJ30" i="4" s="1"/>
  <c r="AMI39" i="4"/>
  <c r="AMI40" i="4" s="1"/>
  <c r="AMI42" i="4" s="1"/>
  <c r="AMI43" i="4" s="1"/>
  <c r="AMI45" i="4" s="1"/>
  <c r="AMI11" i="4"/>
  <c r="AMI47" i="4" s="1"/>
  <c r="AMI9" i="4"/>
  <c r="AMI12" i="4" s="1"/>
  <c r="AMI28" i="4" s="1"/>
  <c r="AMI30" i="4" s="1"/>
  <c r="AMH39" i="4"/>
  <c r="AMH40" i="4" s="1"/>
  <c r="AMH42" i="4" s="1"/>
  <c r="AMH43" i="4" s="1"/>
  <c r="AMH45" i="4" s="1"/>
  <c r="AMH11" i="4"/>
  <c r="AMH47" i="4" s="1"/>
  <c r="AMH9" i="4"/>
  <c r="AMH12" i="4" s="1"/>
  <c r="AMH28" i="4" s="1"/>
  <c r="AMH30" i="4" s="1"/>
  <c r="AMG11" i="4"/>
  <c r="AMG47" i="4" s="1"/>
  <c r="AMG39" i="4"/>
  <c r="AMG40" i="4" s="1"/>
  <c r="AMG42" i="4" s="1"/>
  <c r="AMG43" i="4" s="1"/>
  <c r="AMG45" i="4" s="1"/>
  <c r="AMG9" i="4"/>
  <c r="AMG12" i="4" s="1"/>
  <c r="AMG28" i="4" s="1"/>
  <c r="AMG30" i="4" s="1"/>
  <c r="AMF39" i="4"/>
  <c r="AMF40" i="4" s="1"/>
  <c r="AMF42" i="4" s="1"/>
  <c r="AMF43" i="4" s="1"/>
  <c r="AMF45" i="4" s="1"/>
  <c r="AMF11" i="4"/>
  <c r="AMF47" i="4" s="1"/>
  <c r="AMF48" i="4" s="1"/>
  <c r="AMF9" i="4"/>
  <c r="AMF12" i="4" s="1"/>
  <c r="AMF28" i="4" s="1"/>
  <c r="AMF30" i="4" s="1"/>
  <c r="AME11" i="4"/>
  <c r="AME47" i="4" s="1"/>
  <c r="AME39" i="4"/>
  <c r="AME40" i="4" s="1"/>
  <c r="AME42" i="4" s="1"/>
  <c r="AME43" i="4" s="1"/>
  <c r="AME45" i="4" s="1"/>
  <c r="AME9" i="4"/>
  <c r="AME12" i="4" s="1"/>
  <c r="AME28" i="4" s="1"/>
  <c r="AME30" i="4" s="1"/>
  <c r="AMD11" i="4"/>
  <c r="AMD47" i="4" s="1"/>
  <c r="AMD39" i="4"/>
  <c r="AMD40" i="4" s="1"/>
  <c r="AMD42" i="4" s="1"/>
  <c r="AMD43" i="4" s="1"/>
  <c r="AMD45" i="4" s="1"/>
  <c r="AMD9" i="4"/>
  <c r="AMD12" i="4" s="1"/>
  <c r="AMD28" i="4" s="1"/>
  <c r="AMD30" i="4" s="1"/>
  <c r="AMC39" i="4"/>
  <c r="AMC40" i="4" s="1"/>
  <c r="AMC42" i="4" s="1"/>
  <c r="AMC43" i="4" s="1"/>
  <c r="AMC45" i="4" s="1"/>
  <c r="AMC11" i="4"/>
  <c r="AMC47" i="4" s="1"/>
  <c r="AMC9" i="4"/>
  <c r="AMB11" i="4"/>
  <c r="AMB47" i="4" s="1"/>
  <c r="AMB39" i="4"/>
  <c r="AMB40" i="4" s="1"/>
  <c r="AMB42" i="4" s="1"/>
  <c r="AMB43" i="4" s="1"/>
  <c r="AMB9" i="4"/>
  <c r="AMA11" i="4"/>
  <c r="AMA47" i="4" s="1"/>
  <c r="AMA39" i="4"/>
  <c r="AMA40" i="4" s="1"/>
  <c r="AMA42" i="4" s="1"/>
  <c r="AMA43" i="4" s="1"/>
  <c r="AMA9" i="4"/>
  <c r="ALZ39" i="4"/>
  <c r="ALZ40" i="4" s="1"/>
  <c r="ALZ42" i="4" s="1"/>
  <c r="ALZ43" i="4" s="1"/>
  <c r="ALZ11" i="4"/>
  <c r="ALZ47" i="4" s="1"/>
  <c r="ALZ9" i="4"/>
  <c r="ALY11" i="4"/>
  <c r="ALY47" i="4" s="1"/>
  <c r="ALY39" i="4"/>
  <c r="ALY40" i="4" s="1"/>
  <c r="ALY42" i="4" s="1"/>
  <c r="ALY43" i="4" s="1"/>
  <c r="ALY9" i="4"/>
  <c r="ALX39" i="4"/>
  <c r="ALX40" i="4" s="1"/>
  <c r="ALX42" i="4" s="1"/>
  <c r="ALX43" i="4" s="1"/>
  <c r="ALX11" i="4"/>
  <c r="ALX47" i="4" s="1"/>
  <c r="ALX9" i="4"/>
  <c r="ALW39" i="4"/>
  <c r="ALW40" i="4" s="1"/>
  <c r="ALW42" i="4" s="1"/>
  <c r="ALW43" i="4" s="1"/>
  <c r="ALW11" i="4"/>
  <c r="ALW47" i="4" s="1"/>
  <c r="ALW9" i="4"/>
  <c r="ALV11" i="4"/>
  <c r="ALV47" i="4" s="1"/>
  <c r="ALV39" i="4"/>
  <c r="ALV40" i="4" s="1"/>
  <c r="ALV42" i="4" s="1"/>
  <c r="ALV43" i="4" s="1"/>
  <c r="ALV9" i="4"/>
  <c r="ALS11" i="4"/>
  <c r="ALS47" i="4" s="1"/>
  <c r="ALS39" i="4"/>
  <c r="ALS40" i="4" s="1"/>
  <c r="ALS42" i="4" s="1"/>
  <c r="ALS43" i="4" s="1"/>
  <c r="ALS9" i="4"/>
  <c r="ALR39" i="4"/>
  <c r="ALR40" i="4" s="1"/>
  <c r="ALR42" i="4" s="1"/>
  <c r="ALR43" i="4" s="1"/>
  <c r="ALR11" i="4"/>
  <c r="ALR47" i="4" s="1"/>
  <c r="ALR9" i="4"/>
  <c r="ALQ39" i="4"/>
  <c r="ALQ40" i="4" s="1"/>
  <c r="ALQ42" i="4" s="1"/>
  <c r="ALQ43" i="4" s="1"/>
  <c r="ALQ11" i="4"/>
  <c r="ALQ47" i="4" s="1"/>
  <c r="ALQ9" i="4"/>
  <c r="ALP11" i="4"/>
  <c r="ALP47" i="4" s="1"/>
  <c r="ALP39" i="4"/>
  <c r="ALP40" i="4" s="1"/>
  <c r="ALP42" i="4" s="1"/>
  <c r="ALP43" i="4" s="1"/>
  <c r="ALP9" i="4"/>
  <c r="ALO39" i="4"/>
  <c r="ALO40" i="4" s="1"/>
  <c r="ALO42" i="4" s="1"/>
  <c r="ALO43" i="4" s="1"/>
  <c r="ALO11" i="4"/>
  <c r="ALO47" i="4" s="1"/>
  <c r="ALO9" i="4"/>
  <c r="ALN11" i="4"/>
  <c r="ALN47" i="4" s="1"/>
  <c r="ALN39" i="4"/>
  <c r="ALN40" i="4" s="1"/>
  <c r="ALN42" i="4" s="1"/>
  <c r="ALN43" i="4" s="1"/>
  <c r="ALN9" i="4"/>
  <c r="ALM11" i="4"/>
  <c r="ALM47" i="4" s="1"/>
  <c r="ALM39" i="4"/>
  <c r="ALM40" i="4" s="1"/>
  <c r="ALM42" i="4" s="1"/>
  <c r="ALM43" i="4" s="1"/>
  <c r="ALM45" i="4" s="1"/>
  <c r="ALM9" i="4"/>
  <c r="ALM12" i="4" s="1"/>
  <c r="ALM28" i="4" s="1"/>
  <c r="ALM30" i="4" s="1"/>
  <c r="ALL39" i="4"/>
  <c r="ALL40" i="4" s="1"/>
  <c r="ALL42" i="4" s="1"/>
  <c r="ALL43" i="4" s="1"/>
  <c r="ALL45" i="4" s="1"/>
  <c r="ALL11" i="4"/>
  <c r="ALL47" i="4" s="1"/>
  <c r="ALL48" i="4" s="1"/>
  <c r="ALL9" i="4"/>
  <c r="ALL12" i="4" s="1"/>
  <c r="ALL28" i="4" s="1"/>
  <c r="ALL30" i="4" s="1"/>
  <c r="ALK11" i="4"/>
  <c r="ALK47" i="4" s="1"/>
  <c r="ALK39" i="4"/>
  <c r="ALK40" i="4" s="1"/>
  <c r="ALK42" i="4" s="1"/>
  <c r="ALK43" i="4" s="1"/>
  <c r="ALK45" i="4" s="1"/>
  <c r="ALK9" i="4"/>
  <c r="ALK12" i="4" s="1"/>
  <c r="ALK28" i="4" s="1"/>
  <c r="ALK30" i="4" s="1"/>
  <c r="ALJ39" i="4"/>
  <c r="ALJ40" i="4" s="1"/>
  <c r="ALJ42" i="4" s="1"/>
  <c r="ALJ43" i="4" s="1"/>
  <c r="ALJ45" i="4" s="1"/>
  <c r="ALJ11" i="4"/>
  <c r="ALJ47" i="4" s="1"/>
  <c r="ALJ48" i="4" s="1"/>
  <c r="ALJ9" i="4"/>
  <c r="ALJ12" i="4" s="1"/>
  <c r="ALJ28" i="4" s="1"/>
  <c r="ALJ30" i="4" s="1"/>
  <c r="ALI39" i="4"/>
  <c r="ALI40" i="4" s="1"/>
  <c r="ALI42" i="4" s="1"/>
  <c r="ALI43" i="4" s="1"/>
  <c r="ALI45" i="4" s="1"/>
  <c r="ALI11" i="4"/>
  <c r="ALI47" i="4" s="1"/>
  <c r="ALI48" i="4" s="1"/>
  <c r="ALI9" i="4"/>
  <c r="ALI12" i="4" s="1"/>
  <c r="ALI28" i="4" s="1"/>
  <c r="ALI30" i="4" s="1"/>
  <c r="ALH39" i="4"/>
  <c r="ALH40" i="4" s="1"/>
  <c r="ALH42" i="4" s="1"/>
  <c r="ALH43" i="4" s="1"/>
  <c r="ALH45" i="4" s="1"/>
  <c r="ALH11" i="4"/>
  <c r="ALH47" i="4" s="1"/>
  <c r="ALH48" i="4" s="1"/>
  <c r="ALH9" i="4"/>
  <c r="ALH12" i="4" s="1"/>
  <c r="ALH28" i="4" s="1"/>
  <c r="ALH30" i="4" s="1"/>
  <c r="ALG39" i="4"/>
  <c r="ALG40" i="4" s="1"/>
  <c r="ALG42" i="4" s="1"/>
  <c r="ALG43" i="4" s="1"/>
  <c r="ALG45" i="4" s="1"/>
  <c r="ALG11" i="4"/>
  <c r="ALG47" i="4" s="1"/>
  <c r="ALG48" i="4" s="1"/>
  <c r="ALG9" i="4"/>
  <c r="ALG12" i="4" s="1"/>
  <c r="ALG28" i="4" s="1"/>
  <c r="ALG30" i="4" s="1"/>
  <c r="ALF39" i="4"/>
  <c r="ALF40" i="4" s="1"/>
  <c r="ALF42" i="4" s="1"/>
  <c r="ALF43" i="4" s="1"/>
  <c r="ALF45" i="4" s="1"/>
  <c r="ALF11" i="4"/>
  <c r="ALF47" i="4" s="1"/>
  <c r="ALF48" i="4" s="1"/>
  <c r="ALF9" i="4"/>
  <c r="ALF12" i="4" s="1"/>
  <c r="ALF28" i="4" s="1"/>
  <c r="ALF30" i="4" s="1"/>
  <c r="ALE11" i="4"/>
  <c r="ALE47" i="4" s="1"/>
  <c r="ALE39" i="4"/>
  <c r="ALE40" i="4" s="1"/>
  <c r="ALE42" i="4" s="1"/>
  <c r="ALE43" i="4" s="1"/>
  <c r="ALE45" i="4" s="1"/>
  <c r="ALE9" i="4"/>
  <c r="ALE12" i="4" s="1"/>
  <c r="ALE28" i="4" s="1"/>
  <c r="ALE30" i="4" s="1"/>
  <c r="ALD11" i="4"/>
  <c r="ALD47" i="4" s="1"/>
  <c r="ALD39" i="4"/>
  <c r="ALD40" i="4" s="1"/>
  <c r="ALD42" i="4" s="1"/>
  <c r="ALD43" i="4" s="1"/>
  <c r="ALD45" i="4" s="1"/>
  <c r="ALD9" i="4"/>
  <c r="ALD12" i="4" s="1"/>
  <c r="ALD28" i="4" s="1"/>
  <c r="ALD30" i="4" s="1"/>
  <c r="ALC39" i="4"/>
  <c r="ALC40" i="4" s="1"/>
  <c r="ALC42" i="4" s="1"/>
  <c r="ALC43" i="4" s="1"/>
  <c r="ALC45" i="4" s="1"/>
  <c r="ALC11" i="4"/>
  <c r="ALC47" i="4" s="1"/>
  <c r="ALC48" i="4" s="1"/>
  <c r="ALC9" i="4"/>
  <c r="ALC12" i="4" s="1"/>
  <c r="ALC28" i="4" s="1"/>
  <c r="ALC30" i="4" s="1"/>
  <c r="ALB39" i="4"/>
  <c r="ALB40" i="4" s="1"/>
  <c r="ALB42" i="4" s="1"/>
  <c r="ALB43" i="4" s="1"/>
  <c r="ALB45" i="4" s="1"/>
  <c r="ALB11" i="4"/>
  <c r="ALB47" i="4" s="1"/>
  <c r="ALB48" i="4" s="1"/>
  <c r="ALB9" i="4"/>
  <c r="ALB12" i="4" s="1"/>
  <c r="ALB28" i="4" s="1"/>
  <c r="ALB30" i="4" s="1"/>
  <c r="ALA11" i="4"/>
  <c r="ALA47" i="4" s="1"/>
  <c r="ALA39" i="4"/>
  <c r="ALA40" i="4" s="1"/>
  <c r="ALA42" i="4" s="1"/>
  <c r="ALA43" i="4" s="1"/>
  <c r="ALA45" i="4" s="1"/>
  <c r="ALA9" i="4"/>
  <c r="ALA12" i="4" s="1"/>
  <c r="ALA28" i="4" s="1"/>
  <c r="ALA30" i="4" s="1"/>
  <c r="AKZ39" i="4"/>
  <c r="AKZ40" i="4" s="1"/>
  <c r="AKZ42" i="4" s="1"/>
  <c r="AKZ43" i="4" s="1"/>
  <c r="AKZ45" i="4" s="1"/>
  <c r="AKZ11" i="4"/>
  <c r="AKZ47" i="4" s="1"/>
  <c r="AKZ48" i="4" s="1"/>
  <c r="AKZ9" i="4"/>
  <c r="AKZ12" i="4" s="1"/>
  <c r="AKZ28" i="4" s="1"/>
  <c r="AKZ30" i="4" s="1"/>
  <c r="AKY11" i="4"/>
  <c r="AKY47" i="4" s="1"/>
  <c r="AKY39" i="4"/>
  <c r="AKY40" i="4" s="1"/>
  <c r="AKY42" i="4" s="1"/>
  <c r="AKY43" i="4" s="1"/>
  <c r="AKY45" i="4" s="1"/>
  <c r="AKY9" i="4"/>
  <c r="AKY12" i="4" s="1"/>
  <c r="AKY28" i="4" s="1"/>
  <c r="AKY30" i="4" s="1"/>
  <c r="AKX39" i="4"/>
  <c r="AKX40" i="4" s="1"/>
  <c r="AKX42" i="4" s="1"/>
  <c r="AKX43" i="4" s="1"/>
  <c r="AKX45" i="4" s="1"/>
  <c r="AKX11" i="4"/>
  <c r="AKX47" i="4" s="1"/>
  <c r="AKX48" i="4" s="1"/>
  <c r="AKX9" i="4"/>
  <c r="AKX12" i="4" s="1"/>
  <c r="AKX28" i="4" s="1"/>
  <c r="AKX30" i="4" s="1"/>
  <c r="AKW11" i="4"/>
  <c r="AKW47" i="4" s="1"/>
  <c r="AKW39" i="4"/>
  <c r="AKW40" i="4" s="1"/>
  <c r="AKW42" i="4" s="1"/>
  <c r="AKW43" i="4" s="1"/>
  <c r="AKW45" i="4" s="1"/>
  <c r="AKW9" i="4"/>
  <c r="AKW12" i="4" s="1"/>
  <c r="AKW28" i="4" s="1"/>
  <c r="AKW30" i="4" s="1"/>
  <c r="AKV11" i="4"/>
  <c r="AKV47" i="4" s="1"/>
  <c r="AKV39" i="4"/>
  <c r="AKV40" i="4" s="1"/>
  <c r="AKV42" i="4" s="1"/>
  <c r="AKV43" i="4" s="1"/>
  <c r="AKV45" i="4" s="1"/>
  <c r="AKV9" i="4"/>
  <c r="AKV12" i="4" s="1"/>
  <c r="AKV28" i="4" s="1"/>
  <c r="AKV30" i="4" s="1"/>
  <c r="AKU11" i="4"/>
  <c r="AKU47" i="4" s="1"/>
  <c r="AKU39" i="4"/>
  <c r="AKU40" i="4" s="1"/>
  <c r="AKU42" i="4" s="1"/>
  <c r="AKU43" i="4" s="1"/>
  <c r="AKU45" i="4" s="1"/>
  <c r="AKU9" i="4"/>
  <c r="AKU12" i="4" s="1"/>
  <c r="AKU28" i="4" s="1"/>
  <c r="AKU30" i="4" s="1"/>
  <c r="AKT39" i="4"/>
  <c r="AKT40" i="4" s="1"/>
  <c r="AKT42" i="4" s="1"/>
  <c r="AKT43" i="4" s="1"/>
  <c r="AKT45" i="4" s="1"/>
  <c r="AKT11" i="4"/>
  <c r="AKT47" i="4" s="1"/>
  <c r="AKT48" i="4" s="1"/>
  <c r="AKT9" i="4"/>
  <c r="AKT12" i="4" s="1"/>
  <c r="AKT28" i="4" s="1"/>
  <c r="AKT30" i="4" s="1"/>
  <c r="AKS11" i="4"/>
  <c r="AKS47" i="4" s="1"/>
  <c r="AKS39" i="4"/>
  <c r="AKS40" i="4" s="1"/>
  <c r="AKS42" i="4" s="1"/>
  <c r="AKS43" i="4" s="1"/>
  <c r="AKS45" i="4" s="1"/>
  <c r="AKS9" i="4"/>
  <c r="AKS12" i="4" s="1"/>
  <c r="AKS28" i="4" s="1"/>
  <c r="AKS30" i="4" s="1"/>
  <c r="AKR39" i="4"/>
  <c r="AKR40" i="4" s="1"/>
  <c r="AKR42" i="4" s="1"/>
  <c r="AKR43" i="4" s="1"/>
  <c r="AKR45" i="4" s="1"/>
  <c r="AKR11" i="4"/>
  <c r="AKR47" i="4" s="1"/>
  <c r="AKR48" i="4" s="1"/>
  <c r="AKR9" i="4"/>
  <c r="AKR12" i="4" s="1"/>
  <c r="AKR28" i="4" s="1"/>
  <c r="AKR30" i="4" s="1"/>
  <c r="AKQ11" i="4"/>
  <c r="AKQ47" i="4" s="1"/>
  <c r="AKQ39" i="4"/>
  <c r="AKQ40" i="4" s="1"/>
  <c r="AKQ42" i="4" s="1"/>
  <c r="AKQ43" i="4" s="1"/>
  <c r="AKQ45" i="4" s="1"/>
  <c r="AKQ9" i="4"/>
  <c r="AKQ12" i="4" s="1"/>
  <c r="AKQ28" i="4" s="1"/>
  <c r="AKQ30" i="4" s="1"/>
  <c r="AKP39" i="4"/>
  <c r="AKP40" i="4" s="1"/>
  <c r="AKP42" i="4" s="1"/>
  <c r="AKP43" i="4" s="1"/>
  <c r="AKP45" i="4" s="1"/>
  <c r="AKP11" i="4"/>
  <c r="AKP47" i="4" s="1"/>
  <c r="AKP48" i="4" s="1"/>
  <c r="AKP9" i="4"/>
  <c r="AKP12" i="4" s="1"/>
  <c r="AKP28" i="4" s="1"/>
  <c r="AKP30" i="4" s="1"/>
  <c r="AKM39" i="4"/>
  <c r="AKM40" i="4" s="1"/>
  <c r="AKM42" i="4" s="1"/>
  <c r="AKM43" i="4" s="1"/>
  <c r="AKM45" i="4" s="1"/>
  <c r="AKM11" i="4"/>
  <c r="AKM47" i="4" s="1"/>
  <c r="AKM48" i="4" s="1"/>
  <c r="AKM9" i="4"/>
  <c r="AKM12" i="4" s="1"/>
  <c r="AKM28" i="4" s="1"/>
  <c r="AKM30" i="4" s="1"/>
  <c r="AKL39" i="4"/>
  <c r="AKL40" i="4" s="1"/>
  <c r="AKL42" i="4" s="1"/>
  <c r="AKL43" i="4" s="1"/>
  <c r="AKL45" i="4" s="1"/>
  <c r="AKL11" i="4"/>
  <c r="AKL47" i="4" s="1"/>
  <c r="AKL48" i="4" s="1"/>
  <c r="AKL9" i="4"/>
  <c r="AKL12" i="4" s="1"/>
  <c r="AKL28" i="4" s="1"/>
  <c r="AKL30" i="4" s="1"/>
  <c r="AKK39" i="4"/>
  <c r="AKK40" i="4" s="1"/>
  <c r="AKK42" i="4" s="1"/>
  <c r="AKK43" i="4" s="1"/>
  <c r="AKK45" i="4" s="1"/>
  <c r="AKK11" i="4"/>
  <c r="AKK47" i="4" s="1"/>
  <c r="AKK48" i="4" s="1"/>
  <c r="AKK9" i="4"/>
  <c r="AKK12" i="4" s="1"/>
  <c r="AKK28" i="4" s="1"/>
  <c r="AKK30" i="4" s="1"/>
  <c r="AKJ11" i="4"/>
  <c r="AKJ47" i="4" s="1"/>
  <c r="AKJ39" i="4"/>
  <c r="AKJ40" i="4" s="1"/>
  <c r="AKJ42" i="4" s="1"/>
  <c r="AKJ43" i="4" s="1"/>
  <c r="AKJ45" i="4" s="1"/>
  <c r="AKJ9" i="4"/>
  <c r="AKJ12" i="4" s="1"/>
  <c r="AKJ28" i="4" s="1"/>
  <c r="AKJ30" i="4" s="1"/>
  <c r="AKI39" i="4"/>
  <c r="AKI40" i="4" s="1"/>
  <c r="AKI42" i="4" s="1"/>
  <c r="AKI43" i="4" s="1"/>
  <c r="AKI45" i="4" s="1"/>
  <c r="AKI11" i="4"/>
  <c r="AKI47" i="4" s="1"/>
  <c r="AKI48" i="4" s="1"/>
  <c r="AKI9" i="4"/>
  <c r="AKI12" i="4" s="1"/>
  <c r="AKI28" i="4" s="1"/>
  <c r="AKI30" i="4" s="1"/>
  <c r="AKH11" i="4"/>
  <c r="AKH47" i="4" s="1"/>
  <c r="AKH39" i="4"/>
  <c r="AKH40" i="4" s="1"/>
  <c r="AKH42" i="4" s="1"/>
  <c r="AKH43" i="4" s="1"/>
  <c r="AKH45" i="4" s="1"/>
  <c r="AKH9" i="4"/>
  <c r="AKH12" i="4" s="1"/>
  <c r="AKH28" i="4" s="1"/>
  <c r="AKH30" i="4" s="1"/>
  <c r="AKG39" i="4"/>
  <c r="AKG40" i="4" s="1"/>
  <c r="AKG42" i="4" s="1"/>
  <c r="AKG43" i="4" s="1"/>
  <c r="AKG45" i="4" s="1"/>
  <c r="AKG11" i="4"/>
  <c r="AKG47" i="4" s="1"/>
  <c r="AKG48" i="4" s="1"/>
  <c r="AKG9" i="4"/>
  <c r="AKG12" i="4" s="1"/>
  <c r="AKG28" i="4" s="1"/>
  <c r="AKG30" i="4" s="1"/>
  <c r="AKF11" i="4"/>
  <c r="AKF47" i="4" s="1"/>
  <c r="AKF39" i="4"/>
  <c r="AKF40" i="4" s="1"/>
  <c r="AKF42" i="4" s="1"/>
  <c r="AKF43" i="4" s="1"/>
  <c r="AKF45" i="4" s="1"/>
  <c r="AKF9" i="4"/>
  <c r="AKF12" i="4" s="1"/>
  <c r="AKF28" i="4" s="1"/>
  <c r="AKF30" i="4" s="1"/>
  <c r="AKE39" i="4"/>
  <c r="AKE40" i="4" s="1"/>
  <c r="AKE42" i="4" s="1"/>
  <c r="AKE43" i="4" s="1"/>
  <c r="AKE45" i="4" s="1"/>
  <c r="AKE11" i="4"/>
  <c r="AKE47" i="4" s="1"/>
  <c r="AKE48" i="4" s="1"/>
  <c r="AKE9" i="4"/>
  <c r="AKE12" i="4" s="1"/>
  <c r="AKE28" i="4" s="1"/>
  <c r="AKE30" i="4" s="1"/>
  <c r="AKD39" i="4"/>
  <c r="AKD40" i="4" s="1"/>
  <c r="AKD42" i="4" s="1"/>
  <c r="AKD43" i="4" s="1"/>
  <c r="AKD45" i="4" s="1"/>
  <c r="AKD11" i="4"/>
  <c r="AKD47" i="4" s="1"/>
  <c r="AKD48" i="4" s="1"/>
  <c r="AKD9" i="4"/>
  <c r="AKD12" i="4" s="1"/>
  <c r="AKD28" i="4" s="1"/>
  <c r="AKD30" i="4" s="1"/>
  <c r="AKC39" i="4"/>
  <c r="AKC40" i="4" s="1"/>
  <c r="AKC42" i="4" s="1"/>
  <c r="AKC43" i="4" s="1"/>
  <c r="AKC45" i="4" s="1"/>
  <c r="AKC11" i="4"/>
  <c r="AKC47" i="4" s="1"/>
  <c r="AKC48" i="4" s="1"/>
  <c r="AKC9" i="4"/>
  <c r="AKC12" i="4" s="1"/>
  <c r="AKC28" i="4" s="1"/>
  <c r="AKC30" i="4" s="1"/>
  <c r="AKB39" i="4"/>
  <c r="AKB40" i="4" s="1"/>
  <c r="AKB42" i="4" s="1"/>
  <c r="AKB43" i="4" s="1"/>
  <c r="AKB45" i="4" s="1"/>
  <c r="AKB11" i="4"/>
  <c r="AKB47" i="4" s="1"/>
  <c r="AKB48" i="4" s="1"/>
  <c r="AKB9" i="4"/>
  <c r="AKB12" i="4" s="1"/>
  <c r="AKB28" i="4" s="1"/>
  <c r="AKB30" i="4" s="1"/>
  <c r="AKA11" i="4"/>
  <c r="AKA47" i="4" s="1"/>
  <c r="AKA39" i="4"/>
  <c r="AKA40" i="4" s="1"/>
  <c r="AKA42" i="4" s="1"/>
  <c r="AKA43" i="4" s="1"/>
  <c r="AKA45" i="4" s="1"/>
  <c r="AKA9" i="4"/>
  <c r="AKA12" i="4" s="1"/>
  <c r="AKA28" i="4" s="1"/>
  <c r="AKA30" i="4" s="1"/>
  <c r="AJZ11" i="4"/>
  <c r="AJZ47" i="4" s="1"/>
  <c r="AJZ39" i="4"/>
  <c r="AJZ40" i="4" s="1"/>
  <c r="AJZ42" i="4" s="1"/>
  <c r="AJZ43" i="4" s="1"/>
  <c r="AJZ45" i="4" s="1"/>
  <c r="AJZ9" i="4"/>
  <c r="AJZ12" i="4" s="1"/>
  <c r="AJZ28" i="4" s="1"/>
  <c r="AJZ30" i="4" s="1"/>
  <c r="AJY11" i="4"/>
  <c r="AJY47" i="4" s="1"/>
  <c r="AJY39" i="4"/>
  <c r="AJY40" i="4" s="1"/>
  <c r="AJY42" i="4" s="1"/>
  <c r="AJY43" i="4" s="1"/>
  <c r="AJY45" i="4" s="1"/>
  <c r="AJY9" i="4"/>
  <c r="AJY12" i="4" s="1"/>
  <c r="AJY28" i="4" s="1"/>
  <c r="AJY30" i="4" s="1"/>
  <c r="AJX39" i="4"/>
  <c r="AJX40" i="4" s="1"/>
  <c r="AJX42" i="4" s="1"/>
  <c r="AJX43" i="4" s="1"/>
  <c r="AJX45" i="4" s="1"/>
  <c r="AJX11" i="4"/>
  <c r="AJX47" i="4" s="1"/>
  <c r="AJX48" i="4" s="1"/>
  <c r="AJX9" i="4"/>
  <c r="AJX12" i="4" s="1"/>
  <c r="AJX28" i="4" s="1"/>
  <c r="AJX30" i="4" s="1"/>
  <c r="AJW39" i="4"/>
  <c r="AJW40" i="4" s="1"/>
  <c r="AJW42" i="4" s="1"/>
  <c r="AJW43" i="4" s="1"/>
  <c r="AJW45" i="4" s="1"/>
  <c r="AJW11" i="4"/>
  <c r="AJW47" i="4" s="1"/>
  <c r="AJW48" i="4" s="1"/>
  <c r="AJW9" i="4"/>
  <c r="AJW12" i="4" s="1"/>
  <c r="AJW28" i="4" s="1"/>
  <c r="AJW30" i="4" s="1"/>
  <c r="AJV11" i="4"/>
  <c r="AJV47" i="4" s="1"/>
  <c r="AJV39" i="4"/>
  <c r="AJV40" i="4" s="1"/>
  <c r="AJV42" i="4" s="1"/>
  <c r="AJV43" i="4" s="1"/>
  <c r="AJV45" i="4" s="1"/>
  <c r="AJV9" i="4"/>
  <c r="AJV12" i="4" s="1"/>
  <c r="AJV28" i="4" s="1"/>
  <c r="AJV30" i="4" s="1"/>
  <c r="AJU39" i="4"/>
  <c r="AJU40" i="4" s="1"/>
  <c r="AJU42" i="4" s="1"/>
  <c r="AJU43" i="4" s="1"/>
  <c r="AJU45" i="4" s="1"/>
  <c r="AJU11" i="4"/>
  <c r="AJU47" i="4" s="1"/>
  <c r="AJU48" i="4" s="1"/>
  <c r="AJU9" i="4"/>
  <c r="AJU12" i="4" s="1"/>
  <c r="AJU28" i="4" s="1"/>
  <c r="AJU30" i="4" s="1"/>
  <c r="AJT11" i="4"/>
  <c r="AJT47" i="4" s="1"/>
  <c r="AJT39" i="4"/>
  <c r="AJT40" i="4" s="1"/>
  <c r="AJT42" i="4" s="1"/>
  <c r="AJT43" i="4" s="1"/>
  <c r="AJT45" i="4" s="1"/>
  <c r="AJT9" i="4"/>
  <c r="AJT12" i="4" s="1"/>
  <c r="AJT28" i="4" s="1"/>
  <c r="AJT30" i="4" s="1"/>
  <c r="AJS11" i="4"/>
  <c r="AJS47" i="4" s="1"/>
  <c r="AJS39" i="4"/>
  <c r="AJS40" i="4" s="1"/>
  <c r="AJS42" i="4" s="1"/>
  <c r="AJS43" i="4" s="1"/>
  <c r="AJS45" i="4" s="1"/>
  <c r="AJS9" i="4"/>
  <c r="AJS12" i="4" s="1"/>
  <c r="AJS28" i="4" s="1"/>
  <c r="AJS30" i="4" s="1"/>
  <c r="AJR39" i="4"/>
  <c r="AJR40" i="4" s="1"/>
  <c r="AJR42" i="4" s="1"/>
  <c r="AJR43" i="4" s="1"/>
  <c r="AJR45" i="4" s="1"/>
  <c r="AJR11" i="4"/>
  <c r="AJR47" i="4" s="1"/>
  <c r="AJR48" i="4" s="1"/>
  <c r="AJR9" i="4"/>
  <c r="AJR12" i="4" s="1"/>
  <c r="AJR28" i="4" s="1"/>
  <c r="AJR30" i="4" s="1"/>
  <c r="AJQ39" i="4"/>
  <c r="AJQ40" i="4" s="1"/>
  <c r="AJQ42" i="4" s="1"/>
  <c r="AJQ43" i="4" s="1"/>
  <c r="AJQ45" i="4" s="1"/>
  <c r="AJQ11" i="4"/>
  <c r="AJQ47" i="4" s="1"/>
  <c r="AJQ48" i="4" s="1"/>
  <c r="AJQ9" i="4"/>
  <c r="AJQ12" i="4" s="1"/>
  <c r="AJQ28" i="4" s="1"/>
  <c r="AJQ30" i="4" s="1"/>
  <c r="AJP39" i="4"/>
  <c r="AJP40" i="4" s="1"/>
  <c r="AJP42" i="4" s="1"/>
  <c r="AJP43" i="4" s="1"/>
  <c r="AJP45" i="4" s="1"/>
  <c r="AJP11" i="4"/>
  <c r="AJP47" i="4" s="1"/>
  <c r="AJP48" i="4" s="1"/>
  <c r="AJP9" i="4"/>
  <c r="AJP12" i="4" s="1"/>
  <c r="AJP28" i="4" s="1"/>
  <c r="AJP30" i="4" s="1"/>
  <c r="AJO11" i="4"/>
  <c r="AJO47" i="4" s="1"/>
  <c r="AJO39" i="4"/>
  <c r="AJO40" i="4" s="1"/>
  <c r="AJO42" i="4" s="1"/>
  <c r="AJO43" i="4" s="1"/>
  <c r="AJO45" i="4" s="1"/>
  <c r="AJO9" i="4"/>
  <c r="AJO12" i="4" s="1"/>
  <c r="AJO28" i="4" s="1"/>
  <c r="AJO30" i="4" s="1"/>
  <c r="AJN11" i="4"/>
  <c r="AJN47" i="4" s="1"/>
  <c r="AJN39" i="4"/>
  <c r="AJN40" i="4" s="1"/>
  <c r="AJN42" i="4" s="1"/>
  <c r="AJN43" i="4" s="1"/>
  <c r="AJN45" i="4" s="1"/>
  <c r="AJN9" i="4"/>
  <c r="AJN12" i="4" s="1"/>
  <c r="AJN28" i="4" s="1"/>
  <c r="AJN30" i="4" s="1"/>
  <c r="AJM11" i="4"/>
  <c r="AJM47" i="4" s="1"/>
  <c r="AJM39" i="4"/>
  <c r="AJM40" i="4" s="1"/>
  <c r="AJM42" i="4" s="1"/>
  <c r="AJM43" i="4" s="1"/>
  <c r="AJM45" i="4" s="1"/>
  <c r="AJM9" i="4"/>
  <c r="AJM12" i="4" s="1"/>
  <c r="AJM28" i="4" s="1"/>
  <c r="AJM30" i="4" s="1"/>
  <c r="AJJ11" i="4"/>
  <c r="AJJ47" i="4" s="1"/>
  <c r="AJJ39" i="4"/>
  <c r="AJJ40" i="4" s="1"/>
  <c r="AJJ42" i="4" s="1"/>
  <c r="AJJ43" i="4" s="1"/>
  <c r="AJJ45" i="4" s="1"/>
  <c r="AJJ9" i="4"/>
  <c r="AJJ12" i="4" s="1"/>
  <c r="AJJ28" i="4" s="1"/>
  <c r="AJJ30" i="4" s="1"/>
  <c r="AJI39" i="4"/>
  <c r="AJI40" i="4" s="1"/>
  <c r="AJI42" i="4" s="1"/>
  <c r="AJI43" i="4" s="1"/>
  <c r="AJI45" i="4" s="1"/>
  <c r="AJI11" i="4"/>
  <c r="AJI47" i="4" s="1"/>
  <c r="AJI48" i="4" s="1"/>
  <c r="AJI9" i="4"/>
  <c r="AJI12" i="4" s="1"/>
  <c r="AJI28" i="4" s="1"/>
  <c r="AJI30" i="4" s="1"/>
  <c r="AJH39" i="4"/>
  <c r="AJH40" i="4" s="1"/>
  <c r="AJH42" i="4" s="1"/>
  <c r="AJH43" i="4" s="1"/>
  <c r="AJH45" i="4" s="1"/>
  <c r="AJH11" i="4"/>
  <c r="AJH47" i="4" s="1"/>
  <c r="AJH48" i="4" s="1"/>
  <c r="AJH9" i="4"/>
  <c r="AJH12" i="4" s="1"/>
  <c r="AJH28" i="4" s="1"/>
  <c r="AJH30" i="4" s="1"/>
  <c r="AJG11" i="4"/>
  <c r="AJG47" i="4" s="1"/>
  <c r="AJG39" i="4"/>
  <c r="AJG40" i="4" s="1"/>
  <c r="AJG42" i="4" s="1"/>
  <c r="AJG43" i="4" s="1"/>
  <c r="AJG45" i="4" s="1"/>
  <c r="AJG9" i="4"/>
  <c r="AJG12" i="4" s="1"/>
  <c r="AJG28" i="4" s="1"/>
  <c r="AJG30" i="4" s="1"/>
  <c r="AJF39" i="4"/>
  <c r="AJF40" i="4" s="1"/>
  <c r="AJF42" i="4" s="1"/>
  <c r="AJF43" i="4" s="1"/>
  <c r="AJF45" i="4" s="1"/>
  <c r="AJF11" i="4"/>
  <c r="AJF47" i="4" s="1"/>
  <c r="AJF48" i="4" s="1"/>
  <c r="AJF9" i="4"/>
  <c r="AJF12" i="4" s="1"/>
  <c r="AJF28" i="4" s="1"/>
  <c r="AJF30" i="4" s="1"/>
  <c r="AJE11" i="4"/>
  <c r="AJE47" i="4" s="1"/>
  <c r="AJE39" i="4"/>
  <c r="AJE40" i="4" s="1"/>
  <c r="AJE42" i="4" s="1"/>
  <c r="AJE43" i="4" s="1"/>
  <c r="AJE45" i="4" s="1"/>
  <c r="AJE9" i="4"/>
  <c r="AJE12" i="4" s="1"/>
  <c r="AJE28" i="4" s="1"/>
  <c r="AJE30" i="4" s="1"/>
  <c r="AJD39" i="4"/>
  <c r="AJD40" i="4" s="1"/>
  <c r="AJD42" i="4" s="1"/>
  <c r="AJD43" i="4" s="1"/>
  <c r="AJD45" i="4" s="1"/>
  <c r="AJD11" i="4"/>
  <c r="AJD47" i="4" s="1"/>
  <c r="AJD48" i="4" s="1"/>
  <c r="AJD9" i="4"/>
  <c r="AJD12" i="4" s="1"/>
  <c r="AJD28" i="4" s="1"/>
  <c r="AJD30" i="4" s="1"/>
  <c r="AJC11" i="4"/>
  <c r="AJC47" i="4" s="1"/>
  <c r="AJC39" i="4"/>
  <c r="AJC40" i="4" s="1"/>
  <c r="AJC42" i="4" s="1"/>
  <c r="AJC43" i="4" s="1"/>
  <c r="AJC45" i="4" s="1"/>
  <c r="AJC9" i="4"/>
  <c r="AJC12" i="4" s="1"/>
  <c r="AJC28" i="4" s="1"/>
  <c r="AJC30" i="4" s="1"/>
  <c r="AJB11" i="4"/>
  <c r="AJB47" i="4" s="1"/>
  <c r="AJB39" i="4"/>
  <c r="AJB40" i="4" s="1"/>
  <c r="AJB42" i="4" s="1"/>
  <c r="AJB43" i="4" s="1"/>
  <c r="AJB45" i="4" s="1"/>
  <c r="AJB9" i="4"/>
  <c r="AJB12" i="4" s="1"/>
  <c r="AJB28" i="4" s="1"/>
  <c r="AJB30" i="4" s="1"/>
  <c r="AJA39" i="4"/>
  <c r="AJA40" i="4" s="1"/>
  <c r="AJA42" i="4" s="1"/>
  <c r="AJA43" i="4" s="1"/>
  <c r="AJA45" i="4" s="1"/>
  <c r="AJA11" i="4"/>
  <c r="AJA47" i="4" s="1"/>
  <c r="AJA48" i="4" s="1"/>
  <c r="AJA9" i="4"/>
  <c r="AJA12" i="4" s="1"/>
  <c r="AJA28" i="4" s="1"/>
  <c r="AJA30" i="4" s="1"/>
  <c r="AIZ39" i="4"/>
  <c r="AIZ40" i="4" s="1"/>
  <c r="AIZ42" i="4" s="1"/>
  <c r="AIZ43" i="4" s="1"/>
  <c r="AIZ45" i="4" s="1"/>
  <c r="AIZ11" i="4"/>
  <c r="AIZ47" i="4" s="1"/>
  <c r="AIZ48" i="4" s="1"/>
  <c r="AIZ9" i="4"/>
  <c r="AIZ12" i="4" s="1"/>
  <c r="AIZ28" i="4" s="1"/>
  <c r="AIZ30" i="4" s="1"/>
  <c r="AIY39" i="4"/>
  <c r="AIY40" i="4" s="1"/>
  <c r="AIY42" i="4" s="1"/>
  <c r="AIY43" i="4" s="1"/>
  <c r="AIY45" i="4" s="1"/>
  <c r="AIY11" i="4"/>
  <c r="AIY47" i="4" s="1"/>
  <c r="AIY48" i="4" s="1"/>
  <c r="AIY9" i="4"/>
  <c r="AIY12" i="4" s="1"/>
  <c r="AIY28" i="4" s="1"/>
  <c r="AIY30" i="4" s="1"/>
  <c r="AIX11" i="4"/>
  <c r="AIX47" i="4" s="1"/>
  <c r="AIX39" i="4"/>
  <c r="AIX40" i="4" s="1"/>
  <c r="AIX42" i="4" s="1"/>
  <c r="AIX43" i="4" s="1"/>
  <c r="AIX45" i="4" s="1"/>
  <c r="AIX9" i="4"/>
  <c r="AIX12" i="4" s="1"/>
  <c r="AIX28" i="4" s="1"/>
  <c r="AIX30" i="4" s="1"/>
  <c r="AIW39" i="4"/>
  <c r="AIW40" i="4" s="1"/>
  <c r="AIW42" i="4" s="1"/>
  <c r="AIW43" i="4" s="1"/>
  <c r="AIW45" i="4" s="1"/>
  <c r="AIW11" i="4"/>
  <c r="AIW47" i="4" s="1"/>
  <c r="AIW48" i="4" s="1"/>
  <c r="AIW9" i="4"/>
  <c r="AIW12" i="4" s="1"/>
  <c r="AIW28" i="4" s="1"/>
  <c r="AIW30" i="4" s="1"/>
  <c r="AIV11" i="4"/>
  <c r="AIV47" i="4" s="1"/>
  <c r="AIV39" i="4"/>
  <c r="AIV40" i="4" s="1"/>
  <c r="AIV42" i="4" s="1"/>
  <c r="AIV43" i="4" s="1"/>
  <c r="AIV45" i="4" s="1"/>
  <c r="AIV9" i="4"/>
  <c r="AIV12" i="4" s="1"/>
  <c r="AIV28" i="4" s="1"/>
  <c r="AIV30" i="4" s="1"/>
  <c r="AIU39" i="4"/>
  <c r="AIU40" i="4" s="1"/>
  <c r="AIU42" i="4" s="1"/>
  <c r="AIU43" i="4" s="1"/>
  <c r="AIU45" i="4" s="1"/>
  <c r="AIU11" i="4"/>
  <c r="AIU47" i="4" s="1"/>
  <c r="AIU48" i="4" s="1"/>
  <c r="AIU9" i="4"/>
  <c r="AIU12" i="4" s="1"/>
  <c r="AIU28" i="4" s="1"/>
  <c r="AIU30" i="4" s="1"/>
  <c r="AIT11" i="4"/>
  <c r="AIT47" i="4" s="1"/>
  <c r="AIT39" i="4"/>
  <c r="AIT40" i="4" s="1"/>
  <c r="AIT42" i="4" s="1"/>
  <c r="AIT43" i="4" s="1"/>
  <c r="AIT45" i="4" s="1"/>
  <c r="AIT9" i="4"/>
  <c r="AIT12" i="4" s="1"/>
  <c r="AIT28" i="4" s="1"/>
  <c r="AIT30" i="4" s="1"/>
  <c r="AIS11" i="4"/>
  <c r="AIS47" i="4" s="1"/>
  <c r="AIS39" i="4"/>
  <c r="AIS40" i="4" s="1"/>
  <c r="AIS42" i="4" s="1"/>
  <c r="AIS43" i="4" s="1"/>
  <c r="AIS45" i="4" s="1"/>
  <c r="AIS9" i="4"/>
  <c r="AIS12" i="4" s="1"/>
  <c r="AIS28" i="4" s="1"/>
  <c r="AIS30" i="4" s="1"/>
  <c r="AIR39" i="4"/>
  <c r="AIR40" i="4" s="1"/>
  <c r="AIR42" i="4" s="1"/>
  <c r="AIR43" i="4" s="1"/>
  <c r="AIR45" i="4" s="1"/>
  <c r="AIR11" i="4"/>
  <c r="AIR47" i="4" s="1"/>
  <c r="AIR48" i="4" s="1"/>
  <c r="AIR9" i="4"/>
  <c r="AIR12" i="4" s="1"/>
  <c r="AIR28" i="4" s="1"/>
  <c r="AIR30" i="4" s="1"/>
  <c r="AIQ39" i="4"/>
  <c r="AIQ40" i="4" s="1"/>
  <c r="AIQ42" i="4" s="1"/>
  <c r="AIQ43" i="4" s="1"/>
  <c r="AIQ45" i="4" s="1"/>
  <c r="AIQ11" i="4"/>
  <c r="AIQ47" i="4" s="1"/>
  <c r="AIQ48" i="4" s="1"/>
  <c r="AIQ9" i="4"/>
  <c r="AIQ12" i="4" s="1"/>
  <c r="AIQ28" i="4" s="1"/>
  <c r="AIQ30" i="4" s="1"/>
  <c r="AIP39" i="4"/>
  <c r="AIP40" i="4" s="1"/>
  <c r="AIP42" i="4" s="1"/>
  <c r="AIP43" i="4" s="1"/>
  <c r="AIP45" i="4" s="1"/>
  <c r="AIP11" i="4"/>
  <c r="AIP47" i="4" s="1"/>
  <c r="AIP48" i="4" s="1"/>
  <c r="AIP9" i="4"/>
  <c r="AIP12" i="4" s="1"/>
  <c r="AIP28" i="4" s="1"/>
  <c r="AIP30" i="4" s="1"/>
  <c r="AIO39" i="4"/>
  <c r="AIO40" i="4" s="1"/>
  <c r="AIO42" i="4" s="1"/>
  <c r="AIO43" i="4" s="1"/>
  <c r="AIO45" i="4" s="1"/>
  <c r="AIO11" i="4"/>
  <c r="AIO47" i="4" s="1"/>
  <c r="AIO48" i="4" s="1"/>
  <c r="AIO9" i="4"/>
  <c r="AIO12" i="4" s="1"/>
  <c r="AIO28" i="4" s="1"/>
  <c r="AIO30" i="4" s="1"/>
  <c r="AIN11" i="4"/>
  <c r="AIN47" i="4" s="1"/>
  <c r="AIN39" i="4"/>
  <c r="AIN40" i="4" s="1"/>
  <c r="AIN42" i="4" s="1"/>
  <c r="AIN43" i="4" s="1"/>
  <c r="AIN45" i="4" s="1"/>
  <c r="AIN9" i="4"/>
  <c r="AIN12" i="4" s="1"/>
  <c r="AIN28" i="4" s="1"/>
  <c r="AIN30" i="4" s="1"/>
  <c r="AIM11" i="4"/>
  <c r="AIM47" i="4" s="1"/>
  <c r="AIM39" i="4"/>
  <c r="AIM40" i="4" s="1"/>
  <c r="AIM42" i="4" s="1"/>
  <c r="AIM43" i="4" s="1"/>
  <c r="AIM45" i="4" s="1"/>
  <c r="AIM9" i="4"/>
  <c r="AIM12" i="4" s="1"/>
  <c r="AIM28" i="4" s="1"/>
  <c r="AIM30" i="4" s="1"/>
  <c r="AIL39" i="4"/>
  <c r="AIL40" i="4" s="1"/>
  <c r="AIL42" i="4" s="1"/>
  <c r="AIL43" i="4" s="1"/>
  <c r="AIL45" i="4" s="1"/>
  <c r="AIL11" i="4"/>
  <c r="AIL47" i="4" s="1"/>
  <c r="AIL48" i="4" s="1"/>
  <c r="AIL9" i="4"/>
  <c r="AIL12" i="4" s="1"/>
  <c r="AIL28" i="4" s="1"/>
  <c r="AIL30" i="4" s="1"/>
  <c r="AIK39" i="4"/>
  <c r="AIK40" i="4" s="1"/>
  <c r="AIK42" i="4" s="1"/>
  <c r="AIK43" i="4" s="1"/>
  <c r="AIK45" i="4" s="1"/>
  <c r="AIK11" i="4"/>
  <c r="AIK47" i="4" s="1"/>
  <c r="AIK48" i="4" s="1"/>
  <c r="AIK9" i="4"/>
  <c r="AIK12" i="4" s="1"/>
  <c r="AIK28" i="4" s="1"/>
  <c r="AIK30" i="4" s="1"/>
  <c r="AIJ11" i="4"/>
  <c r="AIJ47" i="4" s="1"/>
  <c r="AIJ39" i="4"/>
  <c r="AIJ40" i="4" s="1"/>
  <c r="AIJ42" i="4" s="1"/>
  <c r="AIJ43" i="4" s="1"/>
  <c r="AIJ45" i="4" s="1"/>
  <c r="AIJ9" i="4"/>
  <c r="AIJ12" i="4" s="1"/>
  <c r="AIJ28" i="4" s="1"/>
  <c r="AIJ30" i="4" s="1"/>
  <c r="AII39" i="4"/>
  <c r="AII40" i="4" s="1"/>
  <c r="AII42" i="4" s="1"/>
  <c r="AII43" i="4" s="1"/>
  <c r="AII45" i="4" s="1"/>
  <c r="AII11" i="4"/>
  <c r="AII47" i="4" s="1"/>
  <c r="AII48" i="4" s="1"/>
  <c r="AII9" i="4"/>
  <c r="AII12" i="4" s="1"/>
  <c r="AII28" i="4" s="1"/>
  <c r="AII30" i="4" s="1"/>
  <c r="AIH11" i="4"/>
  <c r="AIH47" i="4" s="1"/>
  <c r="AIH39" i="4"/>
  <c r="AIH40" i="4" s="1"/>
  <c r="AIH42" i="4" s="1"/>
  <c r="AIH43" i="4" s="1"/>
  <c r="AIH45" i="4" s="1"/>
  <c r="AIH9" i="4"/>
  <c r="AIH12" i="4" s="1"/>
  <c r="AIH28" i="4" s="1"/>
  <c r="AIH30" i="4" s="1"/>
  <c r="AIG7" i="4"/>
  <c r="AJL34" i="3"/>
  <c r="AID11" i="4"/>
  <c r="AID47" i="4" s="1"/>
  <c r="AID39" i="4"/>
  <c r="AID40" i="4" s="1"/>
  <c r="AID42" i="4" s="1"/>
  <c r="AID43" i="4" s="1"/>
  <c r="AID45" i="4" s="1"/>
  <c r="AID9" i="4"/>
  <c r="AID12" i="4" s="1"/>
  <c r="AID28" i="4" s="1"/>
  <c r="AID30" i="4" s="1"/>
  <c r="AIC11" i="4"/>
  <c r="AIC47" i="4" s="1"/>
  <c r="AIC39" i="4"/>
  <c r="AIC40" i="4" s="1"/>
  <c r="AIC42" i="4" s="1"/>
  <c r="AIC43" i="4" s="1"/>
  <c r="AIC45" i="4" s="1"/>
  <c r="AIC9" i="4"/>
  <c r="AIC12" i="4" s="1"/>
  <c r="AIC28" i="4" s="1"/>
  <c r="AIC30" i="4" s="1"/>
  <c r="AIB39" i="4"/>
  <c r="AIB40" i="4" s="1"/>
  <c r="AIB42" i="4" s="1"/>
  <c r="AIB43" i="4" s="1"/>
  <c r="AIB45" i="4" s="1"/>
  <c r="AIB11" i="4"/>
  <c r="AIB47" i="4" s="1"/>
  <c r="AIB48" i="4" s="1"/>
  <c r="AIB9" i="4"/>
  <c r="AIB12" i="4" s="1"/>
  <c r="AIB28" i="4" s="1"/>
  <c r="AIB30" i="4" s="1"/>
  <c r="AIA39" i="4"/>
  <c r="AIA40" i="4" s="1"/>
  <c r="AIA42" i="4" s="1"/>
  <c r="AIA43" i="4" s="1"/>
  <c r="AIA45" i="4" s="1"/>
  <c r="AIA11" i="4"/>
  <c r="AIA47" i="4" s="1"/>
  <c r="AIA48" i="4" s="1"/>
  <c r="AIA9" i="4"/>
  <c r="AIA12" i="4" s="1"/>
  <c r="AIA28" i="4" s="1"/>
  <c r="AIA30" i="4" s="1"/>
  <c r="AHZ39" i="4"/>
  <c r="AHZ40" i="4" s="1"/>
  <c r="AHZ42" i="4" s="1"/>
  <c r="AHZ43" i="4" s="1"/>
  <c r="AHZ45" i="4" s="1"/>
  <c r="AHZ11" i="4"/>
  <c r="AHZ47" i="4" s="1"/>
  <c r="AHZ48" i="4" s="1"/>
  <c r="AHZ9" i="4"/>
  <c r="AHZ12" i="4" s="1"/>
  <c r="AHZ28" i="4" s="1"/>
  <c r="AHZ30" i="4" s="1"/>
  <c r="AHY11" i="4"/>
  <c r="AHY47" i="4" s="1"/>
  <c r="AHY39" i="4"/>
  <c r="AHY40" i="4" s="1"/>
  <c r="AHY42" i="4" s="1"/>
  <c r="AHY43" i="4" s="1"/>
  <c r="AHY45" i="4" s="1"/>
  <c r="AHY9" i="4"/>
  <c r="AHY12" i="4" s="1"/>
  <c r="AHY28" i="4" s="1"/>
  <c r="AHY30" i="4" s="1"/>
  <c r="AHX39" i="4"/>
  <c r="AHX40" i="4" s="1"/>
  <c r="AHX42" i="4" s="1"/>
  <c r="AHX43" i="4" s="1"/>
  <c r="AHX45" i="4" s="1"/>
  <c r="AHX11" i="4"/>
  <c r="AHX47" i="4" s="1"/>
  <c r="AHX48" i="4" s="1"/>
  <c r="AHX9" i="4"/>
  <c r="AHX12" i="4" s="1"/>
  <c r="AHX28" i="4" s="1"/>
  <c r="AHX30" i="4" s="1"/>
  <c r="AHW39" i="4"/>
  <c r="AHW40" i="4" s="1"/>
  <c r="AHW42" i="4" s="1"/>
  <c r="AHW43" i="4" s="1"/>
  <c r="AHW45" i="4" s="1"/>
  <c r="AHW11" i="4"/>
  <c r="AHW47" i="4" s="1"/>
  <c r="AHW48" i="4" s="1"/>
  <c r="AHW9" i="4"/>
  <c r="AHW12" i="4" s="1"/>
  <c r="AHW28" i="4" s="1"/>
  <c r="AHW30" i="4" s="1"/>
  <c r="AHV39" i="4"/>
  <c r="AHV40" i="4" s="1"/>
  <c r="AHV42" i="4" s="1"/>
  <c r="AHV43" i="4" s="1"/>
  <c r="AHV45" i="4" s="1"/>
  <c r="AHV11" i="4"/>
  <c r="AHV47" i="4" s="1"/>
  <c r="AHV48" i="4" s="1"/>
  <c r="AHV9" i="4"/>
  <c r="AHV12" i="4" s="1"/>
  <c r="AHV28" i="4" s="1"/>
  <c r="AHV30" i="4" s="1"/>
  <c r="AHU11" i="4"/>
  <c r="AHU47" i="4" s="1"/>
  <c r="AHU39" i="4"/>
  <c r="AHU40" i="4" s="1"/>
  <c r="AHU42" i="4" s="1"/>
  <c r="AHU43" i="4" s="1"/>
  <c r="AHU45" i="4" s="1"/>
  <c r="AHU9" i="4"/>
  <c r="AHU12" i="4" s="1"/>
  <c r="AHU28" i="4" s="1"/>
  <c r="AHU30" i="4" s="1"/>
  <c r="AHT39" i="4"/>
  <c r="AHT40" i="4" s="1"/>
  <c r="AHT42" i="4" s="1"/>
  <c r="AHT43" i="4" s="1"/>
  <c r="AHT45" i="4" s="1"/>
  <c r="AHT11" i="4"/>
  <c r="AHT47" i="4" s="1"/>
  <c r="AHT48" i="4" s="1"/>
  <c r="AHT9" i="4"/>
  <c r="AHT12" i="4" s="1"/>
  <c r="AHT28" i="4" s="1"/>
  <c r="AHT30" i="4" s="1"/>
  <c r="AHS39" i="4"/>
  <c r="AHS40" i="4" s="1"/>
  <c r="AHS42" i="4" s="1"/>
  <c r="AHS43" i="4" s="1"/>
  <c r="AHS45" i="4" s="1"/>
  <c r="AHS11" i="4"/>
  <c r="AHS47" i="4" s="1"/>
  <c r="AHS48" i="4" s="1"/>
  <c r="AHS9" i="4"/>
  <c r="AHS12" i="4" s="1"/>
  <c r="AHS28" i="4" s="1"/>
  <c r="AHS30" i="4" s="1"/>
  <c r="AHR39" i="4"/>
  <c r="AHR40" i="4" s="1"/>
  <c r="AHR42" i="4" s="1"/>
  <c r="AHR43" i="4" s="1"/>
  <c r="AHR45" i="4" s="1"/>
  <c r="AHR11" i="4"/>
  <c r="AHR47" i="4" s="1"/>
  <c r="AHR48" i="4" s="1"/>
  <c r="AHR9" i="4"/>
  <c r="AHR12" i="4" s="1"/>
  <c r="AHR28" i="4" s="1"/>
  <c r="AHR30" i="4" s="1"/>
  <c r="AHQ39" i="4"/>
  <c r="AHQ40" i="4" s="1"/>
  <c r="AHQ42" i="4" s="1"/>
  <c r="AHQ43" i="4" s="1"/>
  <c r="AHQ45" i="4" s="1"/>
  <c r="AHQ11" i="4"/>
  <c r="AHQ47" i="4" s="1"/>
  <c r="AHQ48" i="4" s="1"/>
  <c r="AHQ9" i="4"/>
  <c r="AHQ12" i="4" s="1"/>
  <c r="AHQ28" i="4" s="1"/>
  <c r="AHQ30" i="4" s="1"/>
  <c r="AHP39" i="4"/>
  <c r="AHP40" i="4" s="1"/>
  <c r="AHP42" i="4" s="1"/>
  <c r="AHP43" i="4" s="1"/>
  <c r="AHP45" i="4" s="1"/>
  <c r="AHP11" i="4"/>
  <c r="AHP47" i="4" s="1"/>
  <c r="AHP48" i="4" s="1"/>
  <c r="AHP9" i="4"/>
  <c r="AHP12" i="4" s="1"/>
  <c r="AHP28" i="4" s="1"/>
  <c r="AHP30" i="4" s="1"/>
  <c r="AHO11" i="4"/>
  <c r="AHO47" i="4" s="1"/>
  <c r="AHO39" i="4"/>
  <c r="AHO40" i="4" s="1"/>
  <c r="AHO42" i="4" s="1"/>
  <c r="AHO43" i="4" s="1"/>
  <c r="AHO45" i="4" s="1"/>
  <c r="AHO9" i="4"/>
  <c r="AHO12" i="4" s="1"/>
  <c r="AHO28" i="4" s="1"/>
  <c r="AHO30" i="4" s="1"/>
  <c r="AHN11" i="4"/>
  <c r="AHN47" i="4" s="1"/>
  <c r="AHN39" i="4"/>
  <c r="AHN40" i="4" s="1"/>
  <c r="AHN42" i="4" s="1"/>
  <c r="AHN43" i="4" s="1"/>
  <c r="AHN45" i="4" s="1"/>
  <c r="AHN9" i="4"/>
  <c r="AHN12" i="4" s="1"/>
  <c r="AHN28" i="4" s="1"/>
  <c r="AHN30" i="4" s="1"/>
  <c r="AHM39" i="4"/>
  <c r="AHM40" i="4" s="1"/>
  <c r="AHM42" i="4" s="1"/>
  <c r="AHM43" i="4" s="1"/>
  <c r="AHM45" i="4" s="1"/>
  <c r="AHM11" i="4"/>
  <c r="AHM47" i="4" s="1"/>
  <c r="AHM48" i="4" s="1"/>
  <c r="AHM9" i="4"/>
  <c r="AHM12" i="4" s="1"/>
  <c r="AHM28" i="4" s="1"/>
  <c r="AHM30" i="4" s="1"/>
  <c r="AHL39" i="4"/>
  <c r="AHL40" i="4" s="1"/>
  <c r="AHL42" i="4" s="1"/>
  <c r="AHL43" i="4" s="1"/>
  <c r="AHL45" i="4" s="1"/>
  <c r="AHL11" i="4"/>
  <c r="AHL47" i="4" s="1"/>
  <c r="AHL48" i="4" s="1"/>
  <c r="AHL9" i="4"/>
  <c r="AHL12" i="4" s="1"/>
  <c r="AHL28" i="4" s="1"/>
  <c r="AHL30" i="4" s="1"/>
  <c r="AHK39" i="4"/>
  <c r="AHK40" i="4" s="1"/>
  <c r="AHK42" i="4" s="1"/>
  <c r="AHK43" i="4" s="1"/>
  <c r="AHK45" i="4" s="1"/>
  <c r="AHK11" i="4"/>
  <c r="AHK47" i="4" s="1"/>
  <c r="AHK48" i="4" s="1"/>
  <c r="AHK9" i="4"/>
  <c r="AHK12" i="4" s="1"/>
  <c r="AHK28" i="4" s="1"/>
  <c r="AHK30" i="4" s="1"/>
  <c r="AHJ11" i="4"/>
  <c r="AHJ47" i="4" s="1"/>
  <c r="AHJ39" i="4"/>
  <c r="AHJ40" i="4" s="1"/>
  <c r="AHJ42" i="4" s="1"/>
  <c r="AHJ43" i="4" s="1"/>
  <c r="AHJ45" i="4" s="1"/>
  <c r="AHJ9" i="4"/>
  <c r="AHJ12" i="4" s="1"/>
  <c r="AHJ28" i="4" s="1"/>
  <c r="AHJ30" i="4" s="1"/>
  <c r="AHI39" i="4"/>
  <c r="AHI40" i="4" s="1"/>
  <c r="AHI42" i="4" s="1"/>
  <c r="AHI43" i="4" s="1"/>
  <c r="AHI45" i="4" s="1"/>
  <c r="AHI11" i="4"/>
  <c r="AHI47" i="4" s="1"/>
  <c r="AHI48" i="4" s="1"/>
  <c r="AHI9" i="4"/>
  <c r="AHI12" i="4" s="1"/>
  <c r="AHI28" i="4" s="1"/>
  <c r="AHI30" i="4" s="1"/>
  <c r="AHH39" i="4"/>
  <c r="AHH40" i="4" s="1"/>
  <c r="AHH42" i="4" s="1"/>
  <c r="AHH43" i="4" s="1"/>
  <c r="AHH45" i="4" s="1"/>
  <c r="AHH11" i="4"/>
  <c r="AHH47" i="4" s="1"/>
  <c r="AHH48" i="4" s="1"/>
  <c r="AHH9" i="4"/>
  <c r="AHH12" i="4" s="1"/>
  <c r="AHH28" i="4" s="1"/>
  <c r="AHH30" i="4" s="1"/>
  <c r="AHG11" i="4"/>
  <c r="AHG47" i="4" s="1"/>
  <c r="AHG39" i="4"/>
  <c r="AHG40" i="4" s="1"/>
  <c r="AHG42" i="4" s="1"/>
  <c r="AHG43" i="4" s="1"/>
  <c r="AHG45" i="4" s="1"/>
  <c r="AHG9" i="4"/>
  <c r="AHG12" i="4" s="1"/>
  <c r="AHG28" i="4" s="1"/>
  <c r="AHG30" i="4" s="1"/>
  <c r="AHF11" i="4"/>
  <c r="AHF47" i="4" s="1"/>
  <c r="AHF39" i="4"/>
  <c r="AHF40" i="4" s="1"/>
  <c r="AHF42" i="4" s="1"/>
  <c r="AHF43" i="4" s="1"/>
  <c r="AHF45" i="4" s="1"/>
  <c r="AHF9" i="4"/>
  <c r="AHF12" i="4" s="1"/>
  <c r="AHF28" i="4" s="1"/>
  <c r="AHF30" i="4" s="1"/>
  <c r="AHE39" i="4"/>
  <c r="AHE40" i="4" s="1"/>
  <c r="AHE42" i="4" s="1"/>
  <c r="AHE43" i="4" s="1"/>
  <c r="AHE45" i="4" s="1"/>
  <c r="AHE11" i="4"/>
  <c r="AHE47" i="4" s="1"/>
  <c r="AHE48" i="4" s="1"/>
  <c r="AHE9" i="4"/>
  <c r="AHE12" i="4" s="1"/>
  <c r="AHE28" i="4" s="1"/>
  <c r="AHE30" i="4" s="1"/>
  <c r="AHD39" i="4"/>
  <c r="AHD40" i="4" s="1"/>
  <c r="AHD42" i="4" s="1"/>
  <c r="AHD43" i="4" s="1"/>
  <c r="AHD45" i="4" s="1"/>
  <c r="AHD11" i="4"/>
  <c r="AHD47" i="4" s="1"/>
  <c r="AHD48" i="4" s="1"/>
  <c r="AHD9" i="4"/>
  <c r="AHD12" i="4" s="1"/>
  <c r="AHD28" i="4" s="1"/>
  <c r="AHD30" i="4" s="1"/>
  <c r="AHC11" i="4"/>
  <c r="AHC47" i="4" s="1"/>
  <c r="AHC39" i="4"/>
  <c r="AHC40" i="4" s="1"/>
  <c r="AHC42" i="4" s="1"/>
  <c r="AHC43" i="4" s="1"/>
  <c r="AHC45" i="4" s="1"/>
  <c r="AHC9" i="4"/>
  <c r="AHC12" i="4" s="1"/>
  <c r="AHC28" i="4" s="1"/>
  <c r="AHC30" i="4" s="1"/>
  <c r="AHB39" i="4"/>
  <c r="AHB40" i="4" s="1"/>
  <c r="AHB42" i="4" s="1"/>
  <c r="AHB43" i="4" s="1"/>
  <c r="AHB45" i="4" s="1"/>
  <c r="AHB11" i="4"/>
  <c r="AHB47" i="4" s="1"/>
  <c r="AHB48" i="4" s="1"/>
  <c r="AHB9" i="4"/>
  <c r="AHB12" i="4" s="1"/>
  <c r="AHB28" i="4" s="1"/>
  <c r="AHB30" i="4" s="1"/>
  <c r="AHA7" i="4"/>
  <c r="AIF34" i="3"/>
  <c r="AGX11" i="4"/>
  <c r="AGX47" i="4" s="1"/>
  <c r="AGX39" i="4"/>
  <c r="AGX40" i="4" s="1"/>
  <c r="AGX42" i="4" s="1"/>
  <c r="AGX43" i="4" s="1"/>
  <c r="AGX45" i="4" s="1"/>
  <c r="AGX9" i="4"/>
  <c r="AGX12" i="4" s="1"/>
  <c r="AGX28" i="4" s="1"/>
  <c r="AGX30" i="4" s="1"/>
  <c r="AGW11" i="4"/>
  <c r="AGW47" i="4" s="1"/>
  <c r="AGW39" i="4"/>
  <c r="AGW40" i="4" s="1"/>
  <c r="AGW42" i="4" s="1"/>
  <c r="AGW43" i="4" s="1"/>
  <c r="AGW45" i="4" s="1"/>
  <c r="AGW9" i="4"/>
  <c r="AGW12" i="4" s="1"/>
  <c r="AGW28" i="4" s="1"/>
  <c r="AGW30" i="4" s="1"/>
  <c r="AGV39" i="4"/>
  <c r="AGV40" i="4" s="1"/>
  <c r="AGV42" i="4" s="1"/>
  <c r="AGV43" i="4" s="1"/>
  <c r="AGV45" i="4" s="1"/>
  <c r="AGV11" i="4"/>
  <c r="AGV47" i="4" s="1"/>
  <c r="AGV48" i="4" s="1"/>
  <c r="AGV9" i="4"/>
  <c r="AGV12" i="4" s="1"/>
  <c r="AGV28" i="4" s="1"/>
  <c r="AGV30" i="4" s="1"/>
  <c r="AGU11" i="4"/>
  <c r="AGU47" i="4" s="1"/>
  <c r="AGU39" i="4"/>
  <c r="AGU40" i="4" s="1"/>
  <c r="AGU42" i="4" s="1"/>
  <c r="AGU43" i="4" s="1"/>
  <c r="AGU45" i="4" s="1"/>
  <c r="AGU9" i="4"/>
  <c r="AGU12" i="4" s="1"/>
  <c r="AGU28" i="4" s="1"/>
  <c r="AGU30" i="4" s="1"/>
  <c r="AGT39" i="4"/>
  <c r="AGT40" i="4" s="1"/>
  <c r="AGT42" i="4" s="1"/>
  <c r="AGT43" i="4" s="1"/>
  <c r="AGT45" i="4" s="1"/>
  <c r="AGT11" i="4"/>
  <c r="AGT47" i="4" s="1"/>
  <c r="AGT9" i="4"/>
  <c r="AGT12" i="4" s="1"/>
  <c r="AGT28" i="4" s="1"/>
  <c r="AGT30" i="4" s="1"/>
  <c r="AGS11" i="4"/>
  <c r="AGS47" i="4" s="1"/>
  <c r="AGS39" i="4"/>
  <c r="AGS40" i="4" s="1"/>
  <c r="AGS42" i="4" s="1"/>
  <c r="AGS43" i="4" s="1"/>
  <c r="AGS45" i="4" s="1"/>
  <c r="AGS9" i="4"/>
  <c r="AGS12" i="4" s="1"/>
  <c r="AGS28" i="4" s="1"/>
  <c r="AGS30" i="4" s="1"/>
  <c r="AGR11" i="4"/>
  <c r="AGR47" i="4" s="1"/>
  <c r="AGR39" i="4"/>
  <c r="AGR40" i="4" s="1"/>
  <c r="AGR42" i="4" s="1"/>
  <c r="AGR43" i="4" s="1"/>
  <c r="AGR45" i="4" s="1"/>
  <c r="AGR9" i="4"/>
  <c r="AGR12" i="4" s="1"/>
  <c r="AGR28" i="4" s="1"/>
  <c r="AGR30" i="4" s="1"/>
  <c r="AGQ11" i="4"/>
  <c r="AGQ47" i="4" s="1"/>
  <c r="AGQ39" i="4"/>
  <c r="AGQ40" i="4" s="1"/>
  <c r="AGQ42" i="4" s="1"/>
  <c r="AGQ43" i="4" s="1"/>
  <c r="AGQ45" i="4" s="1"/>
  <c r="AGQ9" i="4"/>
  <c r="AGQ12" i="4" s="1"/>
  <c r="AGQ28" i="4" s="1"/>
  <c r="AGQ30" i="4" s="1"/>
  <c r="AGP39" i="4"/>
  <c r="AGP40" i="4" s="1"/>
  <c r="AGP42" i="4" s="1"/>
  <c r="AGP43" i="4" s="1"/>
  <c r="AGP45" i="4" s="1"/>
  <c r="AGP11" i="4"/>
  <c r="AGP47" i="4" s="1"/>
  <c r="AGP9" i="4"/>
  <c r="AGP12" i="4" s="1"/>
  <c r="AGP28" i="4" s="1"/>
  <c r="AGP30" i="4" s="1"/>
  <c r="AGO39" i="4"/>
  <c r="AGO40" i="4" s="1"/>
  <c r="AGO42" i="4" s="1"/>
  <c r="AGO43" i="4" s="1"/>
  <c r="AGO45" i="4" s="1"/>
  <c r="AGO11" i="4"/>
  <c r="AGO47" i="4" s="1"/>
  <c r="AGO9" i="4"/>
  <c r="AGN11" i="4"/>
  <c r="AGN47" i="4" s="1"/>
  <c r="AGN39" i="4"/>
  <c r="AGN40" i="4" s="1"/>
  <c r="AGN42" i="4" s="1"/>
  <c r="AGN43" i="4" s="1"/>
  <c r="AGN9" i="4"/>
  <c r="AGM11" i="4"/>
  <c r="AGM47" i="4" s="1"/>
  <c r="AGM39" i="4"/>
  <c r="AGM40" i="4" s="1"/>
  <c r="AGM42" i="4" s="1"/>
  <c r="AGM43" i="4" s="1"/>
  <c r="AGM9" i="4"/>
  <c r="AGL39" i="4"/>
  <c r="AGL40" i="4" s="1"/>
  <c r="AGL42" i="4" s="1"/>
  <c r="AGL43" i="4" s="1"/>
  <c r="AGL11" i="4"/>
  <c r="AGL47" i="4" s="1"/>
  <c r="AGL9" i="4"/>
  <c r="AGK11" i="4"/>
  <c r="AGK47" i="4" s="1"/>
  <c r="AGK39" i="4"/>
  <c r="AGK40" i="4" s="1"/>
  <c r="AGK42" i="4" s="1"/>
  <c r="AGK43" i="4" s="1"/>
  <c r="AGK9" i="4"/>
  <c r="AGJ39" i="4"/>
  <c r="AGJ40" i="4" s="1"/>
  <c r="AGJ42" i="4" s="1"/>
  <c r="AGJ43" i="4" s="1"/>
  <c r="AGJ11" i="4"/>
  <c r="AGJ47" i="4" s="1"/>
  <c r="AGJ9" i="4"/>
  <c r="AGI39" i="4"/>
  <c r="AGI40" i="4" s="1"/>
  <c r="AGI42" i="4" s="1"/>
  <c r="AGI43" i="4" s="1"/>
  <c r="AGI11" i="4"/>
  <c r="AGI47" i="4" s="1"/>
  <c r="AGI9" i="4"/>
  <c r="AGH39" i="4"/>
  <c r="AGH40" i="4" s="1"/>
  <c r="AGH42" i="4" s="1"/>
  <c r="AGH43" i="4" s="1"/>
  <c r="AGH11" i="4"/>
  <c r="AGH47" i="4" s="1"/>
  <c r="AGH9" i="4"/>
  <c r="AGG39" i="4"/>
  <c r="AGG40" i="4" s="1"/>
  <c r="AGG42" i="4" s="1"/>
  <c r="AGG43" i="4" s="1"/>
  <c r="AGG11" i="4"/>
  <c r="AGG47" i="4" s="1"/>
  <c r="AGG9" i="4"/>
  <c r="AGF11" i="4"/>
  <c r="AGF47" i="4" s="1"/>
  <c r="AGF39" i="4"/>
  <c r="AGF40" i="4" s="1"/>
  <c r="AGF42" i="4" s="1"/>
  <c r="AGF43" i="4" s="1"/>
  <c r="AGF9" i="4"/>
  <c r="AGE39" i="4"/>
  <c r="AGE40" i="4" s="1"/>
  <c r="AGE42" i="4" s="1"/>
  <c r="AGE43" i="4" s="1"/>
  <c r="AGE11" i="4"/>
  <c r="AGE47" i="4" s="1"/>
  <c r="AGE9" i="4"/>
  <c r="AGD39" i="4"/>
  <c r="AGD40" i="4" s="1"/>
  <c r="AGD42" i="4" s="1"/>
  <c r="AGD43" i="4" s="1"/>
  <c r="AGD11" i="4"/>
  <c r="AGD47" i="4" s="1"/>
  <c r="AGD9" i="4"/>
  <c r="AGC11" i="4"/>
  <c r="AGC47" i="4" s="1"/>
  <c r="AGC39" i="4"/>
  <c r="AGC40" i="4" s="1"/>
  <c r="AGC42" i="4" s="1"/>
  <c r="AGC43" i="4" s="1"/>
  <c r="AGC9" i="4"/>
  <c r="AGB11" i="4"/>
  <c r="AGB47" i="4" s="1"/>
  <c r="AGB39" i="4"/>
  <c r="AGB40" i="4" s="1"/>
  <c r="AGB42" i="4" s="1"/>
  <c r="AGB43" i="4" s="1"/>
  <c r="AGB9" i="4"/>
  <c r="AGA11" i="4"/>
  <c r="AGA47" i="4" s="1"/>
  <c r="AGA39" i="4"/>
  <c r="AGA40" i="4" s="1"/>
  <c r="AGA42" i="4" s="1"/>
  <c r="AGA43" i="4" s="1"/>
  <c r="AGA9" i="4"/>
  <c r="AFZ39" i="4"/>
  <c r="AFZ40" i="4" s="1"/>
  <c r="AFZ42" i="4" s="1"/>
  <c r="AFZ43" i="4" s="1"/>
  <c r="AFZ11" i="4"/>
  <c r="AFZ47" i="4" s="1"/>
  <c r="AFZ9" i="4"/>
  <c r="AFY11" i="4"/>
  <c r="AFY47" i="4" s="1"/>
  <c r="AFY39" i="4"/>
  <c r="AFY40" i="4" s="1"/>
  <c r="AFY42" i="4" s="1"/>
  <c r="AFY43" i="4" s="1"/>
  <c r="AFY9" i="4"/>
  <c r="AFX11" i="4"/>
  <c r="AFX47" i="4" s="1"/>
  <c r="AFX39" i="4"/>
  <c r="AFX40" i="4" s="1"/>
  <c r="AFX42" i="4" s="1"/>
  <c r="AFX43" i="4" s="1"/>
  <c r="AFX9" i="4"/>
  <c r="AFW39" i="4"/>
  <c r="AFW40" i="4" s="1"/>
  <c r="AFW42" i="4" s="1"/>
  <c r="AFW43" i="4" s="1"/>
  <c r="AFW11" i="4"/>
  <c r="AFW47" i="4" s="1"/>
  <c r="AFW9" i="4"/>
  <c r="AFV11" i="4"/>
  <c r="AFV47" i="4" s="1"/>
  <c r="AFV39" i="4"/>
  <c r="AFV40" i="4" s="1"/>
  <c r="AFV42" i="4" s="1"/>
  <c r="AFV43" i="4" s="1"/>
  <c r="AFV9" i="4"/>
  <c r="AFS11" i="4"/>
  <c r="AFS47" i="4" s="1"/>
  <c r="AFS39" i="4"/>
  <c r="AFS40" i="4" s="1"/>
  <c r="AFS42" i="4" s="1"/>
  <c r="AFS43" i="4" s="1"/>
  <c r="AFS9" i="4"/>
  <c r="AFR39" i="4"/>
  <c r="AFR40" i="4" s="1"/>
  <c r="AFR42" i="4" s="1"/>
  <c r="AFR43" i="4" s="1"/>
  <c r="AFR11" i="4"/>
  <c r="AFR47" i="4" s="1"/>
  <c r="AFR9" i="4"/>
  <c r="AFQ11" i="4"/>
  <c r="AFQ47" i="4" s="1"/>
  <c r="AFQ39" i="4"/>
  <c r="AFQ40" i="4" s="1"/>
  <c r="AFQ42" i="4" s="1"/>
  <c r="AFQ43" i="4" s="1"/>
  <c r="AFQ9" i="4"/>
  <c r="AFP11" i="4"/>
  <c r="AFP47" i="4" s="1"/>
  <c r="AFP39" i="4"/>
  <c r="AFP40" i="4" s="1"/>
  <c r="AFP42" i="4" s="1"/>
  <c r="AFP43" i="4" s="1"/>
  <c r="AFP9" i="4"/>
  <c r="AFO11" i="4"/>
  <c r="AFO47" i="4" s="1"/>
  <c r="AFO39" i="4"/>
  <c r="AFO40" i="4" s="1"/>
  <c r="AFO42" i="4" s="1"/>
  <c r="AFO43" i="4" s="1"/>
  <c r="AFO9" i="4"/>
  <c r="AFN39" i="4"/>
  <c r="AFN40" i="4" s="1"/>
  <c r="AFN42" i="4" s="1"/>
  <c r="AFN43" i="4" s="1"/>
  <c r="AFN11" i="4"/>
  <c r="AFN47" i="4" s="1"/>
  <c r="AFN9" i="4"/>
  <c r="AFM11" i="4"/>
  <c r="AFM47" i="4" s="1"/>
  <c r="AFM39" i="4"/>
  <c r="AFM40" i="4" s="1"/>
  <c r="AFM42" i="4" s="1"/>
  <c r="AFM43" i="4" s="1"/>
  <c r="AFM9" i="4"/>
  <c r="AFL11" i="4"/>
  <c r="AFL47" i="4" s="1"/>
  <c r="AFL39" i="4"/>
  <c r="AFL40" i="4" s="1"/>
  <c r="AFL42" i="4" s="1"/>
  <c r="AFL43" i="4" s="1"/>
  <c r="AFL9" i="4"/>
  <c r="AFK11" i="4"/>
  <c r="AFK47" i="4" s="1"/>
  <c r="AFK39" i="4"/>
  <c r="AFK40" i="4" s="1"/>
  <c r="AFK42" i="4" s="1"/>
  <c r="AFK43" i="4" s="1"/>
  <c r="AFK9" i="4"/>
  <c r="AFJ11" i="4"/>
  <c r="AFJ47" i="4" s="1"/>
  <c r="AFJ39" i="4"/>
  <c r="AFJ40" i="4" s="1"/>
  <c r="AFJ42" i="4" s="1"/>
  <c r="AFJ43" i="4" s="1"/>
  <c r="AFJ9" i="4"/>
  <c r="AFI39" i="4"/>
  <c r="AFI40" i="4" s="1"/>
  <c r="AFI42" i="4" s="1"/>
  <c r="AFI43" i="4" s="1"/>
  <c r="AFI11" i="4"/>
  <c r="AFI47" i="4" s="1"/>
  <c r="AFI9" i="4"/>
  <c r="AFH39" i="4"/>
  <c r="AFH40" i="4" s="1"/>
  <c r="AFH42" i="4" s="1"/>
  <c r="AFH43" i="4" s="1"/>
  <c r="AFH11" i="4"/>
  <c r="AFH47" i="4" s="1"/>
  <c r="AFH9" i="4"/>
  <c r="AFG11" i="4"/>
  <c r="AFG47" i="4" s="1"/>
  <c r="AFG39" i="4"/>
  <c r="AFG40" i="4" s="1"/>
  <c r="AFG42" i="4" s="1"/>
  <c r="AFG43" i="4" s="1"/>
  <c r="AFG9" i="4"/>
  <c r="AFF39" i="4"/>
  <c r="AFF40" i="4" s="1"/>
  <c r="AFF42" i="4" s="1"/>
  <c r="AFF43" i="4" s="1"/>
  <c r="AFF11" i="4"/>
  <c r="AFF47" i="4" s="1"/>
  <c r="AFF9" i="4"/>
  <c r="AFE11" i="4"/>
  <c r="AFE47" i="4" s="1"/>
  <c r="AFE39" i="4"/>
  <c r="AFE40" i="4" s="1"/>
  <c r="AFE42" i="4" s="1"/>
  <c r="AFE43" i="4" s="1"/>
  <c r="AFE9" i="4"/>
  <c r="AFD39" i="4"/>
  <c r="AFD40" i="4" s="1"/>
  <c r="AFD42" i="4" s="1"/>
  <c r="AFD43" i="4" s="1"/>
  <c r="AFD11" i="4"/>
  <c r="AFD47" i="4" s="1"/>
  <c r="AFD9" i="4"/>
  <c r="AFC39" i="4"/>
  <c r="AFC40" i="4" s="1"/>
  <c r="AFC42" i="4" s="1"/>
  <c r="AFC43" i="4" s="1"/>
  <c r="AFC11" i="4"/>
  <c r="AFC47" i="4" s="1"/>
  <c r="AFC9" i="4"/>
  <c r="AFB11" i="4"/>
  <c r="AFB47" i="4" s="1"/>
  <c r="AFB39" i="4"/>
  <c r="AFB40" i="4" s="1"/>
  <c r="AFB42" i="4" s="1"/>
  <c r="AFB43" i="4" s="1"/>
  <c r="AFB9" i="4"/>
  <c r="AFA11" i="4"/>
  <c r="AFA47" i="4" s="1"/>
  <c r="AFA39" i="4"/>
  <c r="AFA40" i="4" s="1"/>
  <c r="AFA42" i="4" s="1"/>
  <c r="AFA43" i="4" s="1"/>
  <c r="AFA9" i="4"/>
  <c r="AEZ11" i="4"/>
  <c r="AEZ47" i="4" s="1"/>
  <c r="AEZ39" i="4"/>
  <c r="AEZ40" i="4" s="1"/>
  <c r="AEZ42" i="4" s="1"/>
  <c r="AEZ43" i="4" s="1"/>
  <c r="AEZ9" i="4"/>
  <c r="AEY39" i="4"/>
  <c r="AEY40" i="4" s="1"/>
  <c r="AEY42" i="4" s="1"/>
  <c r="AEY43" i="4" s="1"/>
  <c r="AEY11" i="4"/>
  <c r="AEY47" i="4" s="1"/>
  <c r="AEY9" i="4"/>
  <c r="AEX39" i="4"/>
  <c r="AEX40" i="4" s="1"/>
  <c r="AEX42" i="4" s="1"/>
  <c r="AEX43" i="4" s="1"/>
  <c r="AEX11" i="4"/>
  <c r="AEX47" i="4" s="1"/>
  <c r="AEX9" i="4"/>
  <c r="AEW39" i="4"/>
  <c r="AEW40" i="4" s="1"/>
  <c r="AEW42" i="4" s="1"/>
  <c r="AEW43" i="4" s="1"/>
  <c r="AEW11" i="4"/>
  <c r="AEW47" i="4" s="1"/>
  <c r="AEW9" i="4"/>
  <c r="AEV11" i="4"/>
  <c r="AEV47" i="4" s="1"/>
  <c r="AEV39" i="4"/>
  <c r="AEV40" i="4" s="1"/>
  <c r="AEV42" i="4" s="1"/>
  <c r="AEV43" i="4" s="1"/>
  <c r="AEV9" i="4"/>
  <c r="AEU11" i="4"/>
  <c r="AEU47" i="4" s="1"/>
  <c r="AEU39" i="4"/>
  <c r="AEU40" i="4" s="1"/>
  <c r="AEU42" i="4" s="1"/>
  <c r="AEU43" i="4" s="1"/>
  <c r="AEU9" i="4"/>
  <c r="AET39" i="4"/>
  <c r="AET40" i="4" s="1"/>
  <c r="AET42" i="4" s="1"/>
  <c r="AET43" i="4" s="1"/>
  <c r="AET11" i="4"/>
  <c r="AET47" i="4" s="1"/>
  <c r="AET9" i="4"/>
  <c r="AES11" i="4"/>
  <c r="AES47" i="4" s="1"/>
  <c r="AES39" i="4"/>
  <c r="AES40" i="4" s="1"/>
  <c r="AES42" i="4" s="1"/>
  <c r="AES43" i="4" s="1"/>
  <c r="AES9" i="4"/>
  <c r="AER11" i="4"/>
  <c r="AER47" i="4" s="1"/>
  <c r="AER39" i="4"/>
  <c r="AER40" i="4" s="1"/>
  <c r="AER42" i="4" s="1"/>
  <c r="AER43" i="4" s="1"/>
  <c r="AER9" i="4"/>
  <c r="AEQ39" i="4"/>
  <c r="AEQ40" i="4" s="1"/>
  <c r="AEQ42" i="4" s="1"/>
  <c r="AEQ43" i="4" s="1"/>
  <c r="AEQ11" i="4"/>
  <c r="AEQ47" i="4" s="1"/>
  <c r="AEQ9" i="4"/>
  <c r="AEP39" i="4"/>
  <c r="AEP40" i="4" s="1"/>
  <c r="AEP42" i="4" s="1"/>
  <c r="AEP43" i="4" s="1"/>
  <c r="AEP11" i="4"/>
  <c r="AEP47" i="4" s="1"/>
  <c r="AEP9" i="4"/>
  <c r="AEM11" i="4"/>
  <c r="AEM47" i="4" s="1"/>
  <c r="AEM39" i="4"/>
  <c r="AEM40" i="4" s="1"/>
  <c r="AEM42" i="4" s="1"/>
  <c r="AEM43" i="4" s="1"/>
  <c r="AEM9" i="4"/>
  <c r="AEL39" i="4"/>
  <c r="AEL40" i="4" s="1"/>
  <c r="AEL42" i="4" s="1"/>
  <c r="AEL43" i="4" s="1"/>
  <c r="AEL11" i="4"/>
  <c r="AEL47" i="4" s="1"/>
  <c r="AEL9" i="4"/>
  <c r="AEK39" i="4"/>
  <c r="AEK40" i="4" s="1"/>
  <c r="AEK42" i="4" s="1"/>
  <c r="AEK43" i="4" s="1"/>
  <c r="AEK11" i="4"/>
  <c r="AEK47" i="4" s="1"/>
  <c r="AEK9" i="4"/>
  <c r="AEJ39" i="4"/>
  <c r="AEJ40" i="4" s="1"/>
  <c r="AEJ42" i="4" s="1"/>
  <c r="AEJ43" i="4" s="1"/>
  <c r="AEJ11" i="4"/>
  <c r="AEJ47" i="4" s="1"/>
  <c r="AEJ9" i="4"/>
  <c r="AEI11" i="4"/>
  <c r="AEI47" i="4" s="1"/>
  <c r="AEI39" i="4"/>
  <c r="AEI40" i="4" s="1"/>
  <c r="AEI42" i="4" s="1"/>
  <c r="AEI43" i="4" s="1"/>
  <c r="AEI9" i="4"/>
  <c r="AEH39" i="4"/>
  <c r="AEH40" i="4" s="1"/>
  <c r="AEH42" i="4" s="1"/>
  <c r="AEH43" i="4" s="1"/>
  <c r="AEH11" i="4"/>
  <c r="AEH47" i="4" s="1"/>
  <c r="AEH9" i="4"/>
  <c r="AEG39" i="4"/>
  <c r="AEG40" i="4" s="1"/>
  <c r="AEG42" i="4" s="1"/>
  <c r="AEG43" i="4" s="1"/>
  <c r="AEG11" i="4"/>
  <c r="AEG47" i="4" s="1"/>
  <c r="AEG9" i="4"/>
  <c r="AEF11" i="4"/>
  <c r="AEF47" i="4" s="1"/>
  <c r="AEF39" i="4"/>
  <c r="AEF40" i="4" s="1"/>
  <c r="AEF42" i="4" s="1"/>
  <c r="AEF43" i="4" s="1"/>
  <c r="AEF9" i="4"/>
  <c r="AEE39" i="4"/>
  <c r="AEE40" i="4" s="1"/>
  <c r="AEE42" i="4" s="1"/>
  <c r="AEE43" i="4" s="1"/>
  <c r="AEE11" i="4"/>
  <c r="AEE47" i="4" s="1"/>
  <c r="AEE9" i="4"/>
  <c r="AED11" i="4"/>
  <c r="AED47" i="4" s="1"/>
  <c r="AED39" i="4"/>
  <c r="AED40" i="4" s="1"/>
  <c r="AED42" i="4" s="1"/>
  <c r="AED43" i="4" s="1"/>
  <c r="AED9" i="4"/>
  <c r="AEC11" i="4"/>
  <c r="AEC47" i="4" s="1"/>
  <c r="AEC39" i="4"/>
  <c r="AEC40" i="4" s="1"/>
  <c r="AEC42" i="4" s="1"/>
  <c r="AEC43" i="4" s="1"/>
  <c r="AEC9" i="4"/>
  <c r="AEB11" i="4"/>
  <c r="AEB47" i="4" s="1"/>
  <c r="AEB39" i="4"/>
  <c r="AEB40" i="4" s="1"/>
  <c r="AEB42" i="4" s="1"/>
  <c r="AEB43" i="4" s="1"/>
  <c r="AEB9" i="4"/>
  <c r="AEA39" i="4"/>
  <c r="AEA40" i="4" s="1"/>
  <c r="AEA42" i="4" s="1"/>
  <c r="AEA43" i="4" s="1"/>
  <c r="AEA11" i="4"/>
  <c r="AEA47" i="4" s="1"/>
  <c r="AEA9" i="4"/>
  <c r="ADZ11" i="4"/>
  <c r="ADZ47" i="4" s="1"/>
  <c r="ADZ39" i="4"/>
  <c r="ADZ40" i="4" s="1"/>
  <c r="ADZ42" i="4" s="1"/>
  <c r="ADZ43" i="4" s="1"/>
  <c r="ADZ9" i="4"/>
  <c r="ADY11" i="4"/>
  <c r="ADY47" i="4" s="1"/>
  <c r="ADY39" i="4"/>
  <c r="ADY40" i="4" s="1"/>
  <c r="ADY42" i="4" s="1"/>
  <c r="ADY43" i="4" s="1"/>
  <c r="ADY9" i="4"/>
  <c r="ADX11" i="4"/>
  <c r="ADX47" i="4" s="1"/>
  <c r="ADX39" i="4"/>
  <c r="ADX40" i="4" s="1"/>
  <c r="ADX42" i="4" s="1"/>
  <c r="ADX43" i="4" s="1"/>
  <c r="ADX9" i="4"/>
  <c r="ADW39" i="4"/>
  <c r="ADW40" i="4" s="1"/>
  <c r="ADW42" i="4" s="1"/>
  <c r="ADW43" i="4" s="1"/>
  <c r="ADW11" i="4"/>
  <c r="ADW47" i="4" s="1"/>
  <c r="ADW9" i="4"/>
  <c r="ADV11" i="4"/>
  <c r="ADV47" i="4" s="1"/>
  <c r="ADV39" i="4"/>
  <c r="ADV40" i="4" s="1"/>
  <c r="ADV42" i="4" s="1"/>
  <c r="ADV43" i="4" s="1"/>
  <c r="ADV9" i="4"/>
  <c r="ADU39" i="4"/>
  <c r="ADU40" i="4" s="1"/>
  <c r="ADU42" i="4" s="1"/>
  <c r="ADU43" i="4" s="1"/>
  <c r="ADU11" i="4"/>
  <c r="ADU47" i="4" s="1"/>
  <c r="ADU9" i="4"/>
  <c r="ADT39" i="4"/>
  <c r="ADT40" i="4" s="1"/>
  <c r="ADT42" i="4" s="1"/>
  <c r="ADT43" i="4" s="1"/>
  <c r="ADT11" i="4"/>
  <c r="ADT47" i="4" s="1"/>
  <c r="ADT9" i="4"/>
  <c r="ADS39" i="4"/>
  <c r="ADS40" i="4" s="1"/>
  <c r="ADS42" i="4" s="1"/>
  <c r="ADS43" i="4" s="1"/>
  <c r="ADS11" i="4"/>
  <c r="ADS47" i="4" s="1"/>
  <c r="ADS9" i="4"/>
  <c r="ADR11" i="4"/>
  <c r="ADR47" i="4" s="1"/>
  <c r="ADR39" i="4"/>
  <c r="ADR40" i="4" s="1"/>
  <c r="ADR42" i="4" s="1"/>
  <c r="ADR43" i="4" s="1"/>
  <c r="ADR9" i="4"/>
  <c r="ADQ39" i="4"/>
  <c r="ADQ40" i="4" s="1"/>
  <c r="ADQ42" i="4" s="1"/>
  <c r="ADQ43" i="4" s="1"/>
  <c r="ADQ11" i="4"/>
  <c r="ADQ47" i="4" s="1"/>
  <c r="ADQ9" i="4"/>
  <c r="ADP39" i="4"/>
  <c r="ADP40" i="4" s="1"/>
  <c r="ADP42" i="4" s="1"/>
  <c r="ADP43" i="4" s="1"/>
  <c r="ADP11" i="4"/>
  <c r="ADP47" i="4" s="1"/>
  <c r="ADP9" i="4"/>
  <c r="ADO11" i="4"/>
  <c r="ADO47" i="4" s="1"/>
  <c r="ADO39" i="4"/>
  <c r="ADO40" i="4" s="1"/>
  <c r="ADO42" i="4" s="1"/>
  <c r="ADO43" i="4" s="1"/>
  <c r="ADO9" i="4"/>
  <c r="ADN11" i="4"/>
  <c r="ADN47" i="4" s="1"/>
  <c r="ADN39" i="4"/>
  <c r="ADN40" i="4" s="1"/>
  <c r="ADN42" i="4" s="1"/>
  <c r="ADN43" i="4" s="1"/>
  <c r="ADN9" i="4"/>
  <c r="ADM39" i="4"/>
  <c r="ADM40" i="4" s="1"/>
  <c r="ADM42" i="4" s="1"/>
  <c r="ADM43" i="4" s="1"/>
  <c r="ADM11" i="4"/>
  <c r="ADM47" i="4" s="1"/>
  <c r="ADM9" i="4"/>
  <c r="ADL39" i="4"/>
  <c r="ADL40" i="4" s="1"/>
  <c r="ADL42" i="4" s="1"/>
  <c r="ADL43" i="4" s="1"/>
  <c r="ADL11" i="4"/>
  <c r="ADL47" i="4" s="1"/>
  <c r="ADL9" i="4"/>
  <c r="ADK11" i="4"/>
  <c r="ADK47" i="4" s="1"/>
  <c r="ADK39" i="4"/>
  <c r="ADK40" i="4" s="1"/>
  <c r="ADK42" i="4" s="1"/>
  <c r="ADK43" i="4" s="1"/>
  <c r="ADK9" i="4"/>
  <c r="ADH11" i="4"/>
  <c r="ADH47" i="4" s="1"/>
  <c r="ADH39" i="4"/>
  <c r="ADH40" i="4" s="1"/>
  <c r="ADH42" i="4" s="1"/>
  <c r="ADH43" i="4" s="1"/>
  <c r="ADH9" i="4"/>
  <c r="ADG11" i="4"/>
  <c r="ADG47" i="4" s="1"/>
  <c r="ADG39" i="4"/>
  <c r="ADG40" i="4" s="1"/>
  <c r="ADG42" i="4" s="1"/>
  <c r="ADG43" i="4" s="1"/>
  <c r="ADG9" i="4"/>
  <c r="ADF11" i="4"/>
  <c r="ADF47" i="4" s="1"/>
  <c r="ADF39" i="4"/>
  <c r="ADF40" i="4" s="1"/>
  <c r="ADF42" i="4" s="1"/>
  <c r="ADF43" i="4" s="1"/>
  <c r="ADF9" i="4"/>
  <c r="ADE39" i="4"/>
  <c r="ADE40" i="4" s="1"/>
  <c r="ADE42" i="4" s="1"/>
  <c r="ADE43" i="4" s="1"/>
  <c r="ADE11" i="4"/>
  <c r="ADE47" i="4" s="1"/>
  <c r="ADE9" i="4"/>
  <c r="ADD39" i="4"/>
  <c r="ADD40" i="4" s="1"/>
  <c r="ADD42" i="4" s="1"/>
  <c r="ADD43" i="4" s="1"/>
  <c r="ADD11" i="4"/>
  <c r="ADD47" i="4" s="1"/>
  <c r="ADD9" i="4"/>
  <c r="ADC11" i="4"/>
  <c r="ADC47" i="4" s="1"/>
  <c r="ADC39" i="4"/>
  <c r="ADC40" i="4" s="1"/>
  <c r="ADC42" i="4" s="1"/>
  <c r="ADC43" i="4" s="1"/>
  <c r="ADC9" i="4"/>
  <c r="ADB11" i="4"/>
  <c r="ADB47" i="4" s="1"/>
  <c r="ADB39" i="4"/>
  <c r="ADB40" i="4" s="1"/>
  <c r="ADB42" i="4" s="1"/>
  <c r="ADB43" i="4" s="1"/>
  <c r="ADB9" i="4"/>
  <c r="ADA11" i="4"/>
  <c r="ADA47" i="4" s="1"/>
  <c r="ADA39" i="4"/>
  <c r="ADA40" i="4" s="1"/>
  <c r="ADA42" i="4" s="1"/>
  <c r="ADA43" i="4" s="1"/>
  <c r="ADA9" i="4"/>
  <c r="ACZ39" i="4"/>
  <c r="ACZ40" i="4" s="1"/>
  <c r="ACZ42" i="4" s="1"/>
  <c r="ACZ43" i="4" s="1"/>
  <c r="ACZ11" i="4"/>
  <c r="ACZ47" i="4" s="1"/>
  <c r="ACZ9" i="4"/>
  <c r="ACY39" i="4"/>
  <c r="ACY40" i="4" s="1"/>
  <c r="ACY42" i="4" s="1"/>
  <c r="ACY43" i="4" s="1"/>
  <c r="ACY11" i="4"/>
  <c r="ACY47" i="4" s="1"/>
  <c r="ACY9" i="4"/>
  <c r="ACX39" i="4"/>
  <c r="ACX40" i="4" s="1"/>
  <c r="ACX42" i="4" s="1"/>
  <c r="ACX43" i="4" s="1"/>
  <c r="ACX11" i="4"/>
  <c r="ACX47" i="4" s="1"/>
  <c r="ACX9" i="4"/>
  <c r="ACW39" i="4"/>
  <c r="ACW40" i="4" s="1"/>
  <c r="ACW42" i="4" s="1"/>
  <c r="ACW43" i="4" s="1"/>
  <c r="ACW11" i="4"/>
  <c r="ACW47" i="4" s="1"/>
  <c r="ACW9" i="4"/>
  <c r="ACV11" i="4"/>
  <c r="ACV47" i="4" s="1"/>
  <c r="ACV39" i="4"/>
  <c r="ACV40" i="4" s="1"/>
  <c r="ACV42" i="4" s="1"/>
  <c r="ACV43" i="4" s="1"/>
  <c r="ACV9" i="4"/>
  <c r="ACU39" i="4"/>
  <c r="ACU40" i="4" s="1"/>
  <c r="ACU42" i="4" s="1"/>
  <c r="ACU43" i="4" s="1"/>
  <c r="ACU11" i="4"/>
  <c r="ACU47" i="4" s="1"/>
  <c r="ACU9" i="4"/>
  <c r="ACT39" i="4"/>
  <c r="ACT40" i="4" s="1"/>
  <c r="ACT42" i="4" s="1"/>
  <c r="ACT43" i="4" s="1"/>
  <c r="ACT11" i="4"/>
  <c r="ACT47" i="4" s="1"/>
  <c r="ACT9" i="4"/>
  <c r="ACS11" i="4"/>
  <c r="ACS47" i="4" s="1"/>
  <c r="ACS39" i="4"/>
  <c r="ACS40" i="4" s="1"/>
  <c r="ACS42" i="4" s="1"/>
  <c r="ACS43" i="4" s="1"/>
  <c r="ACS9" i="4"/>
  <c r="ACR39" i="4"/>
  <c r="ACR40" i="4" s="1"/>
  <c r="ACR42" i="4" s="1"/>
  <c r="ACR43" i="4" s="1"/>
  <c r="ACR11" i="4"/>
  <c r="ACR47" i="4" s="1"/>
  <c r="ACR9" i="4"/>
  <c r="ACQ11" i="4"/>
  <c r="ACQ47" i="4" s="1"/>
  <c r="ACQ39" i="4"/>
  <c r="ACQ40" i="4" s="1"/>
  <c r="ACQ42" i="4" s="1"/>
  <c r="ACQ43" i="4" s="1"/>
  <c r="ACQ9" i="4"/>
  <c r="ACP11" i="4"/>
  <c r="ACP47" i="4" s="1"/>
  <c r="ACP39" i="4"/>
  <c r="ACP40" i="4" s="1"/>
  <c r="ACP42" i="4" s="1"/>
  <c r="ACP43" i="4" s="1"/>
  <c r="ACP9" i="4"/>
  <c r="ACO11" i="4"/>
  <c r="ACO47" i="4" s="1"/>
  <c r="ACO39" i="4"/>
  <c r="ACO40" i="4" s="1"/>
  <c r="ACO42" i="4" s="1"/>
  <c r="ACO43" i="4" s="1"/>
  <c r="ACO9" i="4"/>
  <c r="ACN39" i="4"/>
  <c r="ACN40" i="4" s="1"/>
  <c r="ACN42" i="4" s="1"/>
  <c r="ACN43" i="4" s="1"/>
  <c r="ACN11" i="4"/>
  <c r="ACN47" i="4" s="1"/>
  <c r="ACN9" i="4"/>
  <c r="ACM11" i="4"/>
  <c r="ACM47" i="4" s="1"/>
  <c r="ACM39" i="4"/>
  <c r="ACM40" i="4" s="1"/>
  <c r="ACM42" i="4" s="1"/>
  <c r="ACM43" i="4" s="1"/>
  <c r="ACM9" i="4"/>
  <c r="ACL11" i="4"/>
  <c r="ACL47" i="4" s="1"/>
  <c r="ACL39" i="4"/>
  <c r="ACL40" i="4" s="1"/>
  <c r="ACL42" i="4" s="1"/>
  <c r="ACL43" i="4" s="1"/>
  <c r="ACL9" i="4"/>
  <c r="ACK11" i="4"/>
  <c r="ACK47" i="4" s="1"/>
  <c r="ACK39" i="4"/>
  <c r="ACK40" i="4" s="1"/>
  <c r="ACK42" i="4" s="1"/>
  <c r="ACK43" i="4" s="1"/>
  <c r="ACK9" i="4"/>
  <c r="ACJ11" i="4"/>
  <c r="ACJ47" i="4" s="1"/>
  <c r="ACJ39" i="4"/>
  <c r="ACJ40" i="4" s="1"/>
  <c r="ACJ42" i="4" s="1"/>
  <c r="ACJ43" i="4" s="1"/>
  <c r="ACJ9" i="4"/>
  <c r="ACI11" i="4"/>
  <c r="ACI47" i="4" s="1"/>
  <c r="ACI39" i="4"/>
  <c r="ACI40" i="4" s="1"/>
  <c r="ACI42" i="4" s="1"/>
  <c r="ACI43" i="4" s="1"/>
  <c r="ACI9" i="4"/>
  <c r="ACH11" i="4"/>
  <c r="ACH47" i="4" s="1"/>
  <c r="ACH39" i="4"/>
  <c r="ACH40" i="4" s="1"/>
  <c r="ACH42" i="4" s="1"/>
  <c r="ACH43" i="4" s="1"/>
  <c r="ACH9" i="4"/>
  <c r="ACG39" i="4"/>
  <c r="ACG40" i="4" s="1"/>
  <c r="ACG42" i="4" s="1"/>
  <c r="ACG43" i="4" s="1"/>
  <c r="ACG11" i="4"/>
  <c r="ACG47" i="4" s="1"/>
  <c r="ACG9" i="4"/>
  <c r="ACF11" i="4"/>
  <c r="ACF47" i="4" s="1"/>
  <c r="ACF39" i="4"/>
  <c r="ACF40" i="4" s="1"/>
  <c r="ACF42" i="4" s="1"/>
  <c r="ACF43" i="4" s="1"/>
  <c r="ACF9" i="4"/>
  <c r="ACE11" i="4"/>
  <c r="ACE47" i="4" s="1"/>
  <c r="ACE39" i="4"/>
  <c r="ACE40" i="4" s="1"/>
  <c r="ACE42" i="4" s="1"/>
  <c r="ACE43" i="4" s="1"/>
  <c r="ACE9" i="4"/>
  <c r="ACB39" i="4"/>
  <c r="ACB40" i="4" s="1"/>
  <c r="ACB42" i="4" s="1"/>
  <c r="ACB43" i="4" s="1"/>
  <c r="ACB11" i="4"/>
  <c r="ACB47" i="4" s="1"/>
  <c r="ACB9" i="4"/>
  <c r="ACA11" i="4"/>
  <c r="ACA47" i="4" s="1"/>
  <c r="ACA39" i="4"/>
  <c r="ACA40" i="4" s="1"/>
  <c r="ACA42" i="4" s="1"/>
  <c r="ACA43" i="4" s="1"/>
  <c r="ACA9" i="4"/>
  <c r="ABZ11" i="4"/>
  <c r="ABZ47" i="4" s="1"/>
  <c r="ABZ39" i="4"/>
  <c r="ABZ40" i="4" s="1"/>
  <c r="ABZ42" i="4" s="1"/>
  <c r="ABZ43" i="4" s="1"/>
  <c r="ABZ9" i="4"/>
  <c r="ABY11" i="4"/>
  <c r="ABY47" i="4" s="1"/>
  <c r="ABY39" i="4"/>
  <c r="ABY40" i="4" s="1"/>
  <c r="ABY42" i="4" s="1"/>
  <c r="ABY43" i="4" s="1"/>
  <c r="ABY9" i="4"/>
  <c r="ABX11" i="4"/>
  <c r="ABX47" i="4" s="1"/>
  <c r="ABX39" i="4"/>
  <c r="ABX40" i="4" s="1"/>
  <c r="ABX42" i="4" s="1"/>
  <c r="ABX43" i="4" s="1"/>
  <c r="ABX9" i="4"/>
  <c r="ABW11" i="4"/>
  <c r="ABW47" i="4" s="1"/>
  <c r="ABW39" i="4"/>
  <c r="ABW40" i="4" s="1"/>
  <c r="ABW42" i="4" s="1"/>
  <c r="ABW43" i="4" s="1"/>
  <c r="ABW9" i="4"/>
  <c r="ABV39" i="4"/>
  <c r="ABV40" i="4" s="1"/>
  <c r="ABV42" i="4" s="1"/>
  <c r="ABV43" i="4" s="1"/>
  <c r="ABV11" i="4"/>
  <c r="ABV47" i="4" s="1"/>
  <c r="ABV9" i="4"/>
  <c r="ABU39" i="4"/>
  <c r="ABU40" i="4" s="1"/>
  <c r="ABU42" i="4" s="1"/>
  <c r="ABU43" i="4" s="1"/>
  <c r="ABU11" i="4"/>
  <c r="ABU47" i="4" s="1"/>
  <c r="ABU9" i="4"/>
  <c r="ABT11" i="4"/>
  <c r="ABT47" i="4" s="1"/>
  <c r="ABT39" i="4"/>
  <c r="ABT40" i="4" s="1"/>
  <c r="ABT42" i="4" s="1"/>
  <c r="ABT43" i="4" s="1"/>
  <c r="ABT9" i="4"/>
  <c r="ABS39" i="4"/>
  <c r="ABS40" i="4" s="1"/>
  <c r="ABS42" i="4" s="1"/>
  <c r="ABS43" i="4" s="1"/>
  <c r="ABS11" i="4"/>
  <c r="ABS47" i="4" s="1"/>
  <c r="ABS9" i="4"/>
  <c r="ABR11" i="4"/>
  <c r="ABR47" i="4" s="1"/>
  <c r="ABR39" i="4"/>
  <c r="ABR40" i="4" s="1"/>
  <c r="ABR42" i="4" s="1"/>
  <c r="ABR43" i="4" s="1"/>
  <c r="ABR9" i="4"/>
  <c r="ABQ39" i="4"/>
  <c r="ABQ40" i="4" s="1"/>
  <c r="ABQ42" i="4" s="1"/>
  <c r="ABQ43" i="4" s="1"/>
  <c r="ABQ11" i="4"/>
  <c r="ABQ47" i="4" s="1"/>
  <c r="ABQ9" i="4"/>
  <c r="ABP11" i="4"/>
  <c r="ABP47" i="4" s="1"/>
  <c r="ABP39" i="4"/>
  <c r="ABP40" i="4" s="1"/>
  <c r="ABP42" i="4" s="1"/>
  <c r="ABP43" i="4" s="1"/>
  <c r="ABP9" i="4"/>
  <c r="ABO11" i="4"/>
  <c r="ABO47" i="4" s="1"/>
  <c r="ABO39" i="4"/>
  <c r="ABO40" i="4" s="1"/>
  <c r="ABO42" i="4" s="1"/>
  <c r="ABO43" i="4" s="1"/>
  <c r="ABO9" i="4"/>
  <c r="ABN39" i="4"/>
  <c r="ABN40" i="4" s="1"/>
  <c r="ABN42" i="4" s="1"/>
  <c r="ABN43" i="4" s="1"/>
  <c r="ABN11" i="4"/>
  <c r="ABN47" i="4" s="1"/>
  <c r="ABN9" i="4"/>
  <c r="ABM11" i="4"/>
  <c r="ABM47" i="4" s="1"/>
  <c r="ABM39" i="4"/>
  <c r="ABM40" i="4" s="1"/>
  <c r="ABM42" i="4" s="1"/>
  <c r="ABM43" i="4" s="1"/>
  <c r="ABM9" i="4"/>
  <c r="ABL39" i="4"/>
  <c r="ABL40" i="4" s="1"/>
  <c r="ABL42" i="4" s="1"/>
  <c r="ABL43" i="4" s="1"/>
  <c r="ABL11" i="4"/>
  <c r="ABL47" i="4" s="1"/>
  <c r="ABL9" i="4"/>
  <c r="ABK39" i="4"/>
  <c r="ABK40" i="4" s="1"/>
  <c r="ABK42" i="4" s="1"/>
  <c r="ABK43" i="4" s="1"/>
  <c r="ABK11" i="4"/>
  <c r="ABK47" i="4" s="1"/>
  <c r="ABK9" i="4"/>
  <c r="ABJ11" i="4"/>
  <c r="ABJ47" i="4" s="1"/>
  <c r="ABJ39" i="4"/>
  <c r="ABJ40" i="4" s="1"/>
  <c r="ABJ42" i="4" s="1"/>
  <c r="ABJ43" i="4" s="1"/>
  <c r="ABJ9" i="4"/>
  <c r="ABI39" i="4"/>
  <c r="ABI40" i="4" s="1"/>
  <c r="ABI42" i="4" s="1"/>
  <c r="ABI43" i="4" s="1"/>
  <c r="ABI11" i="4"/>
  <c r="ABI47" i="4" s="1"/>
  <c r="ABI9" i="4"/>
  <c r="ABH11" i="4"/>
  <c r="ABH47" i="4" s="1"/>
  <c r="ABH39" i="4"/>
  <c r="ABH40" i="4" s="1"/>
  <c r="ABH42" i="4" s="1"/>
  <c r="ABH43" i="4" s="1"/>
  <c r="ABH9" i="4"/>
  <c r="ABG39" i="4"/>
  <c r="ABG40" i="4" s="1"/>
  <c r="ABG42" i="4" s="1"/>
  <c r="ABG43" i="4" s="1"/>
  <c r="ABG11" i="4"/>
  <c r="ABG47" i="4" s="1"/>
  <c r="ABG9" i="4"/>
  <c r="ABF11" i="4"/>
  <c r="ABF47" i="4" s="1"/>
  <c r="ABF39" i="4"/>
  <c r="ABF40" i="4" s="1"/>
  <c r="ABF42" i="4" s="1"/>
  <c r="ABF43" i="4" s="1"/>
  <c r="ABF9" i="4"/>
  <c r="ABE11" i="4"/>
  <c r="ABE47" i="4" s="1"/>
  <c r="ABE39" i="4"/>
  <c r="ABE40" i="4" s="1"/>
  <c r="ABE42" i="4" s="1"/>
  <c r="ABE43" i="4" s="1"/>
  <c r="ABE9" i="4"/>
  <c r="ABD39" i="4"/>
  <c r="ABD40" i="4" s="1"/>
  <c r="ABD42" i="4" s="1"/>
  <c r="ABD43" i="4" s="1"/>
  <c r="ABD11" i="4"/>
  <c r="ABD47" i="4" s="1"/>
  <c r="ABD9" i="4"/>
  <c r="ABC11" i="4"/>
  <c r="ABC47" i="4" s="1"/>
  <c r="ABC39" i="4"/>
  <c r="ABC40" i="4" s="1"/>
  <c r="ABC42" i="4" s="1"/>
  <c r="ABC43" i="4" s="1"/>
  <c r="ABC9" i="4"/>
  <c r="ABB39" i="4"/>
  <c r="ABB40" i="4" s="1"/>
  <c r="ABB42" i="4" s="1"/>
  <c r="ABB43" i="4" s="1"/>
  <c r="ABB11" i="4"/>
  <c r="ABB47" i="4" s="1"/>
  <c r="ABB9" i="4"/>
  <c r="ABA39" i="4"/>
  <c r="ABA40" i="4" s="1"/>
  <c r="ABA42" i="4" s="1"/>
  <c r="ABA43" i="4" s="1"/>
  <c r="ABA11" i="4"/>
  <c r="ABA47" i="4" s="1"/>
  <c r="ABA9" i="4"/>
  <c r="AAZ11" i="4"/>
  <c r="AAZ47" i="4" s="1"/>
  <c r="AAZ39" i="4"/>
  <c r="AAZ40" i="4" s="1"/>
  <c r="AAZ42" i="4" s="1"/>
  <c r="AAZ43" i="4" s="1"/>
  <c r="AAZ9" i="4"/>
  <c r="AAY11" i="4"/>
  <c r="AAY47" i="4" s="1"/>
  <c r="AAY39" i="4"/>
  <c r="AAY40" i="4" s="1"/>
  <c r="AAY42" i="4" s="1"/>
  <c r="AAY43" i="4" s="1"/>
  <c r="AAY9" i="4"/>
  <c r="AAV11" i="4"/>
  <c r="AAV47" i="4" s="1"/>
  <c r="AAV39" i="4"/>
  <c r="AAV40" i="4" s="1"/>
  <c r="AAV42" i="4" s="1"/>
  <c r="AAV43" i="4" s="1"/>
  <c r="AAV9" i="4"/>
  <c r="AAU39" i="4"/>
  <c r="AAU40" i="4" s="1"/>
  <c r="AAU42" i="4" s="1"/>
  <c r="AAU43" i="4" s="1"/>
  <c r="AAU11" i="4"/>
  <c r="AAU47" i="4" s="1"/>
  <c r="AAU9" i="4"/>
  <c r="AAT39" i="4"/>
  <c r="AAT40" i="4" s="1"/>
  <c r="AAT42" i="4" s="1"/>
  <c r="AAT43" i="4" s="1"/>
  <c r="AAT11" i="4"/>
  <c r="AAT47" i="4" s="1"/>
  <c r="AAT9" i="4"/>
  <c r="AAS39" i="4"/>
  <c r="AAS40" i="4" s="1"/>
  <c r="AAS42" i="4" s="1"/>
  <c r="AAS43" i="4" s="1"/>
  <c r="AAS11" i="4"/>
  <c r="AAS47" i="4" s="1"/>
  <c r="AAS9" i="4"/>
  <c r="AAR11" i="4"/>
  <c r="AAR47" i="4" s="1"/>
  <c r="AAR39" i="4"/>
  <c r="AAR40" i="4" s="1"/>
  <c r="AAR42" i="4" s="1"/>
  <c r="AAR43" i="4" s="1"/>
  <c r="AAR9" i="4"/>
  <c r="AAQ11" i="4"/>
  <c r="AAQ47" i="4" s="1"/>
  <c r="AAQ39" i="4"/>
  <c r="AAQ40" i="4" s="1"/>
  <c r="AAQ42" i="4" s="1"/>
  <c r="AAQ43" i="4" s="1"/>
  <c r="AAQ9" i="4"/>
  <c r="AAP39" i="4"/>
  <c r="AAP40" i="4" s="1"/>
  <c r="AAP42" i="4" s="1"/>
  <c r="AAP43" i="4" s="1"/>
  <c r="AAP11" i="4"/>
  <c r="AAP47" i="4" s="1"/>
  <c r="AAP9" i="4"/>
  <c r="AAO11" i="4"/>
  <c r="AAO47" i="4" s="1"/>
  <c r="AAO39" i="4"/>
  <c r="AAO40" i="4" s="1"/>
  <c r="AAO42" i="4" s="1"/>
  <c r="AAO43" i="4" s="1"/>
  <c r="AAO9" i="4"/>
  <c r="AAN39" i="4"/>
  <c r="AAN40" i="4" s="1"/>
  <c r="AAN42" i="4" s="1"/>
  <c r="AAN43" i="4" s="1"/>
  <c r="AAN11" i="4"/>
  <c r="AAN47" i="4" s="1"/>
  <c r="AAN9" i="4"/>
  <c r="AAM39" i="4"/>
  <c r="AAM40" i="4" s="1"/>
  <c r="AAM42" i="4" s="1"/>
  <c r="AAM43" i="4" s="1"/>
  <c r="AAM11" i="4"/>
  <c r="AAM47" i="4" s="1"/>
  <c r="AAM9" i="4"/>
  <c r="AAL39" i="4"/>
  <c r="AAL40" i="4" s="1"/>
  <c r="AAL42" i="4" s="1"/>
  <c r="AAL43" i="4" s="1"/>
  <c r="AAL11" i="4"/>
  <c r="AAL47" i="4" s="1"/>
  <c r="AAL9" i="4"/>
  <c r="AAK39" i="4"/>
  <c r="AAK40" i="4" s="1"/>
  <c r="AAK42" i="4" s="1"/>
  <c r="AAK43" i="4" s="1"/>
  <c r="AAK11" i="4"/>
  <c r="AAK47" i="4" s="1"/>
  <c r="AAK9" i="4"/>
  <c r="AAJ11" i="4"/>
  <c r="AAJ47" i="4" s="1"/>
  <c r="AAJ39" i="4"/>
  <c r="AAJ40" i="4" s="1"/>
  <c r="AAJ42" i="4" s="1"/>
  <c r="AAJ43" i="4" s="1"/>
  <c r="AAJ9" i="4"/>
  <c r="AAI39" i="4"/>
  <c r="AAI40" i="4" s="1"/>
  <c r="AAI42" i="4" s="1"/>
  <c r="AAI43" i="4" s="1"/>
  <c r="AAI11" i="4"/>
  <c r="AAI47" i="4" s="1"/>
  <c r="AAI9" i="4"/>
  <c r="AAH11" i="4"/>
  <c r="AAH47" i="4" s="1"/>
  <c r="AAH39" i="4"/>
  <c r="AAH40" i="4" s="1"/>
  <c r="AAH42" i="4" s="1"/>
  <c r="AAH43" i="4" s="1"/>
  <c r="AAH9" i="4"/>
  <c r="AAG39" i="4"/>
  <c r="AAG40" i="4" s="1"/>
  <c r="AAG42" i="4" s="1"/>
  <c r="AAG43" i="4" s="1"/>
  <c r="AAG11" i="4"/>
  <c r="AAG47" i="4" s="1"/>
  <c r="AAG9" i="4"/>
  <c r="AAF39" i="4"/>
  <c r="AAF40" i="4" s="1"/>
  <c r="AAF42" i="4" s="1"/>
  <c r="AAF43" i="4" s="1"/>
  <c r="AAF11" i="4"/>
  <c r="AAF47" i="4" s="1"/>
  <c r="AAF9" i="4"/>
  <c r="AAE39" i="4"/>
  <c r="AAE40" i="4" s="1"/>
  <c r="AAE42" i="4" s="1"/>
  <c r="AAE43" i="4" s="1"/>
  <c r="AAE11" i="4"/>
  <c r="AAE47" i="4" s="1"/>
  <c r="AAE9" i="4"/>
  <c r="AAD11" i="4"/>
  <c r="AAD47" i="4" s="1"/>
  <c r="AAD39" i="4"/>
  <c r="AAD40" i="4" s="1"/>
  <c r="AAD42" i="4" s="1"/>
  <c r="AAD43" i="4" s="1"/>
  <c r="AAD9" i="4"/>
  <c r="AAC39" i="4"/>
  <c r="AAC40" i="4" s="1"/>
  <c r="AAC42" i="4" s="1"/>
  <c r="AAC43" i="4" s="1"/>
  <c r="AAC11" i="4"/>
  <c r="AAC47" i="4" s="1"/>
  <c r="AAC9" i="4"/>
  <c r="AAB39" i="4"/>
  <c r="AAB40" i="4" s="1"/>
  <c r="AAB42" i="4" s="1"/>
  <c r="AAB43" i="4" s="1"/>
  <c r="AAB11" i="4"/>
  <c r="AAB47" i="4" s="1"/>
  <c r="AAB9" i="4"/>
  <c r="AAA11" i="4"/>
  <c r="AAA47" i="4" s="1"/>
  <c r="AAA39" i="4"/>
  <c r="AAA40" i="4" s="1"/>
  <c r="AAA42" i="4" s="1"/>
  <c r="AAA43" i="4" s="1"/>
  <c r="AAA9" i="4"/>
  <c r="ZZ39" i="4"/>
  <c r="ZZ40" i="4" s="1"/>
  <c r="ZZ42" i="4" s="1"/>
  <c r="ZZ43" i="4" s="1"/>
  <c r="ZZ11" i="4"/>
  <c r="ZZ47" i="4" s="1"/>
  <c r="ZZ9" i="4"/>
  <c r="ZY11" i="4"/>
  <c r="ZY47" i="4" s="1"/>
  <c r="ZY39" i="4"/>
  <c r="ZY40" i="4" s="1"/>
  <c r="ZY42" i="4" s="1"/>
  <c r="ZY43" i="4" s="1"/>
  <c r="ZY9" i="4"/>
  <c r="ZX11" i="4"/>
  <c r="ZX47" i="4" s="1"/>
  <c r="ZX39" i="4"/>
  <c r="ZX40" i="4" s="1"/>
  <c r="ZX42" i="4" s="1"/>
  <c r="ZX43" i="4" s="1"/>
  <c r="ZX9" i="4"/>
  <c r="ZX12" i="4" s="1"/>
  <c r="ZX28" i="4" s="1"/>
  <c r="ZX30" i="4" s="1"/>
  <c r="ZW39" i="4"/>
  <c r="ZW40" i="4" s="1"/>
  <c r="ZW42" i="4" s="1"/>
  <c r="ZW43" i="4" s="1"/>
  <c r="ZW45" i="4" s="1"/>
  <c r="ZW11" i="4"/>
  <c r="ZW47" i="4" s="1"/>
  <c r="ZW48" i="4" s="1"/>
  <c r="ZW9" i="4"/>
  <c r="ZW12" i="4" s="1"/>
  <c r="ZW28" i="4" s="1"/>
  <c r="ZW30" i="4" s="1"/>
  <c r="ZV11" i="4"/>
  <c r="ZV47" i="4" s="1"/>
  <c r="ZV39" i="4"/>
  <c r="ZV40" i="4" s="1"/>
  <c r="ZV42" i="4" s="1"/>
  <c r="ZV43" i="4" s="1"/>
  <c r="ZV45" i="4" s="1"/>
  <c r="ZV9" i="4"/>
  <c r="ZV12" i="4" s="1"/>
  <c r="ZV28" i="4" s="1"/>
  <c r="ZV30" i="4" s="1"/>
  <c r="ZU11" i="4"/>
  <c r="ZU47" i="4" s="1"/>
  <c r="ZU39" i="4"/>
  <c r="ZU40" i="4" s="1"/>
  <c r="ZU42" i="4" s="1"/>
  <c r="ZU43" i="4" s="1"/>
  <c r="ZU45" i="4" s="1"/>
  <c r="ZU9" i="4"/>
  <c r="ZU12" i="4" s="1"/>
  <c r="ZU28" i="4" s="1"/>
  <c r="ZU30" i="4" s="1"/>
  <c r="ZT11" i="4"/>
  <c r="ZT47" i="4" s="1"/>
  <c r="ZT39" i="4"/>
  <c r="ZT40" i="4" s="1"/>
  <c r="ZT42" i="4" s="1"/>
  <c r="ZT43" i="4" s="1"/>
  <c r="ZT45" i="4" s="1"/>
  <c r="ZT9" i="4"/>
  <c r="ZT12" i="4" s="1"/>
  <c r="ZT28" i="4" s="1"/>
  <c r="ZT30" i="4" s="1"/>
  <c r="ZQ11" i="4"/>
  <c r="ZQ47" i="4" s="1"/>
  <c r="ZQ39" i="4"/>
  <c r="ZQ40" i="4" s="1"/>
  <c r="ZQ42" i="4" s="1"/>
  <c r="ZQ43" i="4" s="1"/>
  <c r="ZQ45" i="4" s="1"/>
  <c r="ZQ9" i="4"/>
  <c r="ZQ12" i="4" s="1"/>
  <c r="ZQ28" i="4" s="1"/>
  <c r="ZQ30" i="4" s="1"/>
  <c r="ZP11" i="4"/>
  <c r="ZP47" i="4" s="1"/>
  <c r="ZP39" i="4"/>
  <c r="ZP40" i="4" s="1"/>
  <c r="ZP42" i="4" s="1"/>
  <c r="ZP43" i="4" s="1"/>
  <c r="ZP45" i="4" s="1"/>
  <c r="ZP9" i="4"/>
  <c r="ZP12" i="4" s="1"/>
  <c r="ZP28" i="4" s="1"/>
  <c r="ZP30" i="4" s="1"/>
  <c r="ZO39" i="4"/>
  <c r="ZO40" i="4" s="1"/>
  <c r="ZO42" i="4" s="1"/>
  <c r="ZO43" i="4" s="1"/>
  <c r="ZO45" i="4" s="1"/>
  <c r="ZO11" i="4"/>
  <c r="ZO47" i="4" s="1"/>
  <c r="ZO48" i="4" s="1"/>
  <c r="ZO9" i="4"/>
  <c r="ZO12" i="4" s="1"/>
  <c r="ZO28" i="4" s="1"/>
  <c r="ZO30" i="4" s="1"/>
  <c r="ZN11" i="4"/>
  <c r="ZN47" i="4" s="1"/>
  <c r="ZN39" i="4"/>
  <c r="ZN40" i="4" s="1"/>
  <c r="ZN42" i="4" s="1"/>
  <c r="ZN43" i="4" s="1"/>
  <c r="ZN45" i="4" s="1"/>
  <c r="ZN9" i="4"/>
  <c r="ZN12" i="4" s="1"/>
  <c r="ZN28" i="4" s="1"/>
  <c r="ZN30" i="4" s="1"/>
  <c r="ZM39" i="4"/>
  <c r="ZM40" i="4" s="1"/>
  <c r="ZM42" i="4" s="1"/>
  <c r="ZM43" i="4" s="1"/>
  <c r="ZM45" i="4" s="1"/>
  <c r="ZM11" i="4"/>
  <c r="ZM47" i="4" s="1"/>
  <c r="ZM48" i="4" s="1"/>
  <c r="ZM9" i="4"/>
  <c r="ZM12" i="4" s="1"/>
  <c r="ZM28" i="4" s="1"/>
  <c r="ZM30" i="4" s="1"/>
  <c r="ZL39" i="4"/>
  <c r="ZL40" i="4" s="1"/>
  <c r="ZL42" i="4" s="1"/>
  <c r="ZL43" i="4" s="1"/>
  <c r="ZL45" i="4" s="1"/>
  <c r="ZL11" i="4"/>
  <c r="ZL47" i="4" s="1"/>
  <c r="ZL48" i="4" s="1"/>
  <c r="ZL9" i="4"/>
  <c r="ZL12" i="4" s="1"/>
  <c r="ZL28" i="4" s="1"/>
  <c r="ZL30" i="4" s="1"/>
  <c r="ZK39" i="4"/>
  <c r="ZK40" i="4" s="1"/>
  <c r="ZK42" i="4" s="1"/>
  <c r="ZK43" i="4" s="1"/>
  <c r="ZK45" i="4" s="1"/>
  <c r="ZK11" i="4"/>
  <c r="ZK47" i="4" s="1"/>
  <c r="ZK48" i="4" s="1"/>
  <c r="ZK9" i="4"/>
  <c r="ZK12" i="4" s="1"/>
  <c r="ZK28" i="4" s="1"/>
  <c r="ZK30" i="4" s="1"/>
  <c r="ZJ39" i="4"/>
  <c r="ZJ40" i="4" s="1"/>
  <c r="ZJ42" i="4" s="1"/>
  <c r="ZJ43" i="4" s="1"/>
  <c r="ZJ45" i="4" s="1"/>
  <c r="ZJ11" i="4"/>
  <c r="ZJ47" i="4" s="1"/>
  <c r="ZJ48" i="4" s="1"/>
  <c r="ZJ9" i="4"/>
  <c r="ZJ12" i="4" s="1"/>
  <c r="ZJ28" i="4" s="1"/>
  <c r="ZJ30" i="4" s="1"/>
  <c r="ZI39" i="4"/>
  <c r="ZI40" i="4" s="1"/>
  <c r="ZI42" i="4" s="1"/>
  <c r="ZI43" i="4" s="1"/>
  <c r="ZI45" i="4" s="1"/>
  <c r="ZI11" i="4"/>
  <c r="ZI47" i="4" s="1"/>
  <c r="ZI48" i="4" s="1"/>
  <c r="ZI9" i="4"/>
  <c r="ZI12" i="4" s="1"/>
  <c r="ZI28" i="4" s="1"/>
  <c r="ZI30" i="4" s="1"/>
  <c r="ZH39" i="4"/>
  <c r="ZH40" i="4" s="1"/>
  <c r="ZH42" i="4" s="1"/>
  <c r="ZH43" i="4" s="1"/>
  <c r="ZH45" i="4" s="1"/>
  <c r="ZH11" i="4"/>
  <c r="ZH47" i="4" s="1"/>
  <c r="ZH48" i="4" s="1"/>
  <c r="ZH9" i="4"/>
  <c r="ZH12" i="4" s="1"/>
  <c r="ZH28" i="4" s="1"/>
  <c r="ZH30" i="4" s="1"/>
  <c r="ZG39" i="4"/>
  <c r="ZG40" i="4" s="1"/>
  <c r="ZG42" i="4" s="1"/>
  <c r="ZG43" i="4" s="1"/>
  <c r="ZG45" i="4" s="1"/>
  <c r="ZG11" i="4"/>
  <c r="ZG47" i="4" s="1"/>
  <c r="ZG48" i="4" s="1"/>
  <c r="ZG9" i="4"/>
  <c r="ZG12" i="4" s="1"/>
  <c r="ZG28" i="4" s="1"/>
  <c r="ZG30" i="4" s="1"/>
  <c r="ZF39" i="4"/>
  <c r="ZF40" i="4" s="1"/>
  <c r="ZF42" i="4" s="1"/>
  <c r="ZF43" i="4" s="1"/>
  <c r="ZF45" i="4" s="1"/>
  <c r="ZF11" i="4"/>
  <c r="ZF47" i="4" s="1"/>
  <c r="ZF48" i="4" s="1"/>
  <c r="ZF9" i="4"/>
  <c r="ZF12" i="4" s="1"/>
  <c r="ZF28" i="4" s="1"/>
  <c r="ZF30" i="4" s="1"/>
  <c r="ZE39" i="4"/>
  <c r="ZE40" i="4" s="1"/>
  <c r="ZE42" i="4" s="1"/>
  <c r="ZE43" i="4" s="1"/>
  <c r="ZE45" i="4" s="1"/>
  <c r="ZE11" i="4"/>
  <c r="ZE47" i="4" s="1"/>
  <c r="ZE48" i="4" s="1"/>
  <c r="ZE9" i="4"/>
  <c r="ZE12" i="4" s="1"/>
  <c r="ZE28" i="4" s="1"/>
  <c r="ZE30" i="4" s="1"/>
  <c r="ZD39" i="4"/>
  <c r="ZD40" i="4" s="1"/>
  <c r="ZD42" i="4" s="1"/>
  <c r="ZD43" i="4" s="1"/>
  <c r="ZD45" i="4" s="1"/>
  <c r="ZD11" i="4"/>
  <c r="ZD47" i="4" s="1"/>
  <c r="ZD48" i="4" s="1"/>
  <c r="ZD9" i="4"/>
  <c r="ZD12" i="4" s="1"/>
  <c r="ZD28" i="4" s="1"/>
  <c r="ZD30" i="4" s="1"/>
  <c r="ZC39" i="4"/>
  <c r="ZC40" i="4" s="1"/>
  <c r="ZC42" i="4" s="1"/>
  <c r="ZC43" i="4" s="1"/>
  <c r="ZC45" i="4" s="1"/>
  <c r="ZC11" i="4"/>
  <c r="ZC47" i="4" s="1"/>
  <c r="ZC48" i="4" s="1"/>
  <c r="ZC9" i="4"/>
  <c r="ZC12" i="4" s="1"/>
  <c r="ZC28" i="4" s="1"/>
  <c r="ZC30" i="4" s="1"/>
  <c r="ZB39" i="4"/>
  <c r="ZB40" i="4" s="1"/>
  <c r="ZB42" i="4" s="1"/>
  <c r="ZB43" i="4" s="1"/>
  <c r="ZB45" i="4" s="1"/>
  <c r="ZB11" i="4"/>
  <c r="ZB47" i="4" s="1"/>
  <c r="ZB48" i="4" s="1"/>
  <c r="ZB9" i="4"/>
  <c r="ZB12" i="4" s="1"/>
  <c r="ZB28" i="4" s="1"/>
  <c r="ZB30" i="4" s="1"/>
  <c r="ZA39" i="4"/>
  <c r="ZA40" i="4" s="1"/>
  <c r="ZA42" i="4" s="1"/>
  <c r="ZA43" i="4" s="1"/>
  <c r="ZA45" i="4" s="1"/>
  <c r="ZA11" i="4"/>
  <c r="ZA47" i="4" s="1"/>
  <c r="ZA48" i="4" s="1"/>
  <c r="ZA9" i="4"/>
  <c r="ZA12" i="4" s="1"/>
  <c r="ZA28" i="4" s="1"/>
  <c r="ZA30" i="4" s="1"/>
  <c r="YZ39" i="4"/>
  <c r="YZ40" i="4" s="1"/>
  <c r="YZ42" i="4" s="1"/>
  <c r="YZ43" i="4" s="1"/>
  <c r="YZ45" i="4" s="1"/>
  <c r="YZ11" i="4"/>
  <c r="YZ47" i="4" s="1"/>
  <c r="YZ48" i="4" s="1"/>
  <c r="YZ9" i="4"/>
  <c r="YZ12" i="4" s="1"/>
  <c r="YZ28" i="4" s="1"/>
  <c r="YZ30" i="4" s="1"/>
  <c r="YY39" i="4"/>
  <c r="YY40" i="4" s="1"/>
  <c r="YY42" i="4" s="1"/>
  <c r="YY43" i="4" s="1"/>
  <c r="YY45" i="4" s="1"/>
  <c r="YY11" i="4"/>
  <c r="YY47" i="4" s="1"/>
  <c r="YY48" i="4" s="1"/>
  <c r="YY9" i="4"/>
  <c r="YY12" i="4" s="1"/>
  <c r="YY28" i="4" s="1"/>
  <c r="YY30" i="4" s="1"/>
  <c r="YX39" i="4"/>
  <c r="YX40" i="4" s="1"/>
  <c r="YX42" i="4" s="1"/>
  <c r="YX43" i="4" s="1"/>
  <c r="YX45" i="4" s="1"/>
  <c r="YX11" i="4"/>
  <c r="YX47" i="4" s="1"/>
  <c r="YX48" i="4" s="1"/>
  <c r="YX9" i="4"/>
  <c r="YX12" i="4" s="1"/>
  <c r="YX28" i="4" s="1"/>
  <c r="YX30" i="4" s="1"/>
  <c r="YW39" i="4"/>
  <c r="YW40" i="4" s="1"/>
  <c r="YW42" i="4" s="1"/>
  <c r="YW43" i="4" s="1"/>
  <c r="YW45" i="4" s="1"/>
  <c r="YW11" i="4"/>
  <c r="YW47" i="4" s="1"/>
  <c r="YW48" i="4" s="1"/>
  <c r="YW9" i="4"/>
  <c r="YW12" i="4" s="1"/>
  <c r="YW28" i="4" s="1"/>
  <c r="YW30" i="4" s="1"/>
  <c r="YV39" i="4"/>
  <c r="YV40" i="4" s="1"/>
  <c r="YV42" i="4" s="1"/>
  <c r="YV43" i="4" s="1"/>
  <c r="YV45" i="4" s="1"/>
  <c r="YV11" i="4"/>
  <c r="YV47" i="4" s="1"/>
  <c r="YV48" i="4" s="1"/>
  <c r="YV9" i="4"/>
  <c r="YV12" i="4" s="1"/>
  <c r="YV28" i="4" s="1"/>
  <c r="YV30" i="4" s="1"/>
  <c r="YU39" i="4"/>
  <c r="YU40" i="4" s="1"/>
  <c r="YU42" i="4" s="1"/>
  <c r="YU43" i="4" s="1"/>
  <c r="YU45" i="4" s="1"/>
  <c r="YU11" i="4"/>
  <c r="YU47" i="4" s="1"/>
  <c r="YU48" i="4" s="1"/>
  <c r="YU9" i="4"/>
  <c r="YU12" i="4" s="1"/>
  <c r="YU28" i="4" s="1"/>
  <c r="YU30" i="4" s="1"/>
  <c r="YT39" i="4"/>
  <c r="YT40" i="4" s="1"/>
  <c r="YT42" i="4" s="1"/>
  <c r="YT43" i="4" s="1"/>
  <c r="YT45" i="4" s="1"/>
  <c r="YT11" i="4"/>
  <c r="YT47" i="4" s="1"/>
  <c r="YT48" i="4" s="1"/>
  <c r="YT9" i="4"/>
  <c r="YT12" i="4" s="1"/>
  <c r="YT28" i="4" s="1"/>
  <c r="YT30" i="4" s="1"/>
  <c r="YS39" i="4"/>
  <c r="YS40" i="4" s="1"/>
  <c r="YS42" i="4" s="1"/>
  <c r="YS43" i="4" s="1"/>
  <c r="YS45" i="4" s="1"/>
  <c r="YS11" i="4"/>
  <c r="YS47" i="4" s="1"/>
  <c r="YS48" i="4" s="1"/>
  <c r="YS9" i="4"/>
  <c r="YS12" i="4" s="1"/>
  <c r="YS28" i="4" s="1"/>
  <c r="YS30" i="4" s="1"/>
  <c r="YR39" i="4"/>
  <c r="YR40" i="4" s="1"/>
  <c r="YR42" i="4" s="1"/>
  <c r="YR43" i="4" s="1"/>
  <c r="YR45" i="4" s="1"/>
  <c r="YR11" i="4"/>
  <c r="YR47" i="4" s="1"/>
  <c r="YR48" i="4" s="1"/>
  <c r="YR9" i="4"/>
  <c r="YR12" i="4" s="1"/>
  <c r="YR28" i="4" s="1"/>
  <c r="YR30" i="4" s="1"/>
  <c r="YQ39" i="4"/>
  <c r="YQ40" i="4" s="1"/>
  <c r="YQ42" i="4" s="1"/>
  <c r="YQ43" i="4" s="1"/>
  <c r="YQ45" i="4" s="1"/>
  <c r="YQ11" i="4"/>
  <c r="YQ47" i="4" s="1"/>
  <c r="YQ48" i="4" s="1"/>
  <c r="YQ9" i="4"/>
  <c r="YQ12" i="4" s="1"/>
  <c r="YQ28" i="4" s="1"/>
  <c r="YQ30" i="4" s="1"/>
  <c r="YP39" i="4"/>
  <c r="YP40" i="4" s="1"/>
  <c r="YP42" i="4" s="1"/>
  <c r="YP43" i="4" s="1"/>
  <c r="YP45" i="4" s="1"/>
  <c r="YP11" i="4"/>
  <c r="YP47" i="4" s="1"/>
  <c r="YP48" i="4" s="1"/>
  <c r="YP9" i="4"/>
  <c r="YP12" i="4" s="1"/>
  <c r="YP28" i="4" s="1"/>
  <c r="YP30" i="4" s="1"/>
  <c r="YO39" i="4"/>
  <c r="YO40" i="4" s="1"/>
  <c r="YO42" i="4" s="1"/>
  <c r="YO43" i="4" s="1"/>
  <c r="YO45" i="4" s="1"/>
  <c r="YO11" i="4"/>
  <c r="YO47" i="4" s="1"/>
  <c r="YO48" i="4" s="1"/>
  <c r="YO9" i="4"/>
  <c r="YO12" i="4" s="1"/>
  <c r="YN39" i="4"/>
  <c r="YN40" i="4" s="1"/>
  <c r="YN42" i="4" s="1"/>
  <c r="YN43" i="4" s="1"/>
  <c r="YN45" i="4" s="1"/>
  <c r="YN11" i="4"/>
  <c r="YN47" i="4" s="1"/>
  <c r="YN48" i="4" s="1"/>
  <c r="YN9" i="4"/>
  <c r="YK39" i="4"/>
  <c r="YK40" i="4" s="1"/>
  <c r="YK42" i="4" s="1"/>
  <c r="YK43" i="4" s="1"/>
  <c r="YK45" i="4" s="1"/>
  <c r="YK11" i="4"/>
  <c r="YK47" i="4" s="1"/>
  <c r="YK48" i="4" s="1"/>
  <c r="YK9" i="4"/>
  <c r="YK12" i="4" s="1"/>
  <c r="YK28" i="4" s="1"/>
  <c r="YK30" i="4" s="1"/>
  <c r="YJ39" i="4"/>
  <c r="YJ40" i="4" s="1"/>
  <c r="YJ42" i="4" s="1"/>
  <c r="YJ43" i="4" s="1"/>
  <c r="YJ45" i="4" s="1"/>
  <c r="YJ11" i="4"/>
  <c r="YJ47" i="4" s="1"/>
  <c r="YJ48" i="4" s="1"/>
  <c r="YJ9" i="4"/>
  <c r="YJ12" i="4" s="1"/>
  <c r="YJ28" i="4" s="1"/>
  <c r="YJ30" i="4" s="1"/>
  <c r="YI39" i="4"/>
  <c r="YI40" i="4" s="1"/>
  <c r="YI42" i="4" s="1"/>
  <c r="YI43" i="4" s="1"/>
  <c r="YI45" i="4" s="1"/>
  <c r="YI11" i="4"/>
  <c r="YI47" i="4" s="1"/>
  <c r="YI48" i="4" s="1"/>
  <c r="YI9" i="4"/>
  <c r="YI12" i="4" s="1"/>
  <c r="YI28" i="4" s="1"/>
  <c r="YI30" i="4" s="1"/>
  <c r="YH39" i="4"/>
  <c r="YH40" i="4" s="1"/>
  <c r="YH42" i="4" s="1"/>
  <c r="YH43" i="4" s="1"/>
  <c r="YH45" i="4" s="1"/>
  <c r="YH11" i="4"/>
  <c r="YH47" i="4" s="1"/>
  <c r="YH48" i="4" s="1"/>
  <c r="YH9" i="4"/>
  <c r="YH12" i="4" s="1"/>
  <c r="YH28" i="4" s="1"/>
  <c r="YH30" i="4" s="1"/>
  <c r="YG39" i="4"/>
  <c r="YG40" i="4" s="1"/>
  <c r="YG42" i="4" s="1"/>
  <c r="YG43" i="4" s="1"/>
  <c r="YG45" i="4" s="1"/>
  <c r="YG11" i="4"/>
  <c r="YG47" i="4" s="1"/>
  <c r="YG48" i="4" s="1"/>
  <c r="YG9" i="4"/>
  <c r="YG12" i="4" s="1"/>
  <c r="YG28" i="4" s="1"/>
  <c r="YG30" i="4" s="1"/>
  <c r="YF39" i="4"/>
  <c r="YF40" i="4" s="1"/>
  <c r="YF42" i="4" s="1"/>
  <c r="YF43" i="4" s="1"/>
  <c r="YF45" i="4" s="1"/>
  <c r="YF11" i="4"/>
  <c r="YF47" i="4" s="1"/>
  <c r="YF48" i="4" s="1"/>
  <c r="YF9" i="4"/>
  <c r="YF12" i="4" s="1"/>
  <c r="YF28" i="4" s="1"/>
  <c r="YF30" i="4" s="1"/>
  <c r="YE39" i="4"/>
  <c r="YE40" i="4" s="1"/>
  <c r="YE42" i="4" s="1"/>
  <c r="YE43" i="4" s="1"/>
  <c r="YE45" i="4" s="1"/>
  <c r="YE11" i="4"/>
  <c r="YE47" i="4" s="1"/>
  <c r="YE48" i="4" s="1"/>
  <c r="YE9" i="4"/>
  <c r="YE12" i="4" s="1"/>
  <c r="YE28" i="4" s="1"/>
  <c r="YE30" i="4" s="1"/>
  <c r="YD39" i="4"/>
  <c r="YD40" i="4" s="1"/>
  <c r="YD42" i="4" s="1"/>
  <c r="YD43" i="4" s="1"/>
  <c r="YD45" i="4" s="1"/>
  <c r="YD11" i="4"/>
  <c r="YD47" i="4" s="1"/>
  <c r="YD48" i="4" s="1"/>
  <c r="YD9" i="4"/>
  <c r="YD12" i="4" s="1"/>
  <c r="YD28" i="4" s="1"/>
  <c r="YD30" i="4" s="1"/>
  <c r="YC39" i="4"/>
  <c r="YC40" i="4" s="1"/>
  <c r="YC42" i="4" s="1"/>
  <c r="YC43" i="4" s="1"/>
  <c r="YC45" i="4" s="1"/>
  <c r="YC11" i="4"/>
  <c r="YC47" i="4" s="1"/>
  <c r="YC48" i="4" s="1"/>
  <c r="YC9" i="4"/>
  <c r="YC12" i="4" s="1"/>
  <c r="YC28" i="4" s="1"/>
  <c r="YC30" i="4" s="1"/>
  <c r="YB39" i="4"/>
  <c r="YB40" i="4" s="1"/>
  <c r="YB42" i="4" s="1"/>
  <c r="YB43" i="4" s="1"/>
  <c r="YB45" i="4" s="1"/>
  <c r="YB11" i="4"/>
  <c r="YB47" i="4" s="1"/>
  <c r="YB48" i="4" s="1"/>
  <c r="YB9" i="4"/>
  <c r="YB12" i="4" s="1"/>
  <c r="YB28" i="4" s="1"/>
  <c r="YB30" i="4" s="1"/>
  <c r="YA39" i="4"/>
  <c r="YA40" i="4" s="1"/>
  <c r="YA42" i="4" s="1"/>
  <c r="YA43" i="4" s="1"/>
  <c r="YA45" i="4" s="1"/>
  <c r="YA11" i="4"/>
  <c r="YA47" i="4" s="1"/>
  <c r="YA48" i="4" s="1"/>
  <c r="YA9" i="4"/>
  <c r="YA12" i="4" s="1"/>
  <c r="YA28" i="4" s="1"/>
  <c r="YA30" i="4" s="1"/>
  <c r="XZ39" i="4"/>
  <c r="XZ40" i="4" s="1"/>
  <c r="XZ42" i="4" s="1"/>
  <c r="XZ43" i="4" s="1"/>
  <c r="XZ45" i="4" s="1"/>
  <c r="XZ11" i="4"/>
  <c r="XZ47" i="4" s="1"/>
  <c r="XZ48" i="4" s="1"/>
  <c r="XZ9" i="4"/>
  <c r="XZ12" i="4" s="1"/>
  <c r="XZ28" i="4" s="1"/>
  <c r="XZ30" i="4" s="1"/>
  <c r="XY39" i="4"/>
  <c r="XY40" i="4" s="1"/>
  <c r="XY42" i="4" s="1"/>
  <c r="XY43" i="4" s="1"/>
  <c r="XY45" i="4" s="1"/>
  <c r="XY11" i="4"/>
  <c r="XY47" i="4" s="1"/>
  <c r="XY48" i="4" s="1"/>
  <c r="XY9" i="4"/>
  <c r="XY12" i="4" s="1"/>
  <c r="XY28" i="4" s="1"/>
  <c r="XY30" i="4" s="1"/>
  <c r="XX39" i="4"/>
  <c r="XX40" i="4" s="1"/>
  <c r="XX42" i="4" s="1"/>
  <c r="XX43" i="4" s="1"/>
  <c r="XX45" i="4" s="1"/>
  <c r="XX11" i="4"/>
  <c r="XX47" i="4" s="1"/>
  <c r="XX48" i="4" s="1"/>
  <c r="XX9" i="4"/>
  <c r="XX12" i="4" s="1"/>
  <c r="XX28" i="4" s="1"/>
  <c r="XX30" i="4" s="1"/>
  <c r="XW39" i="4"/>
  <c r="XW40" i="4" s="1"/>
  <c r="XW42" i="4" s="1"/>
  <c r="XW43" i="4" s="1"/>
  <c r="XW45" i="4" s="1"/>
  <c r="XW11" i="4"/>
  <c r="XW47" i="4" s="1"/>
  <c r="XW48" i="4" s="1"/>
  <c r="XW9" i="4"/>
  <c r="XW12" i="4" s="1"/>
  <c r="XW28" i="4" s="1"/>
  <c r="XW30" i="4" s="1"/>
  <c r="XV39" i="4"/>
  <c r="XV40" i="4" s="1"/>
  <c r="XV42" i="4" s="1"/>
  <c r="XV43" i="4" s="1"/>
  <c r="XV45" i="4" s="1"/>
  <c r="XV11" i="4"/>
  <c r="XV47" i="4" s="1"/>
  <c r="XV48" i="4" s="1"/>
  <c r="XV9" i="4"/>
  <c r="XV12" i="4" s="1"/>
  <c r="XV28" i="4" s="1"/>
  <c r="XV30" i="4" s="1"/>
  <c r="XU39" i="4"/>
  <c r="XU40" i="4" s="1"/>
  <c r="XU42" i="4" s="1"/>
  <c r="XU43" i="4" s="1"/>
  <c r="XU45" i="4" s="1"/>
  <c r="XU11" i="4"/>
  <c r="XU47" i="4" s="1"/>
  <c r="XU48" i="4" s="1"/>
  <c r="XU9" i="4"/>
  <c r="XU12" i="4" s="1"/>
  <c r="XU28" i="4" s="1"/>
  <c r="XU30" i="4" s="1"/>
  <c r="XT39" i="4"/>
  <c r="XT40" i="4" s="1"/>
  <c r="XT42" i="4" s="1"/>
  <c r="XT43" i="4" s="1"/>
  <c r="XT45" i="4" s="1"/>
  <c r="XT11" i="4"/>
  <c r="XT47" i="4" s="1"/>
  <c r="XT48" i="4" s="1"/>
  <c r="XT9" i="4"/>
  <c r="XT12" i="4" s="1"/>
  <c r="XT28" i="4" s="1"/>
  <c r="XT30" i="4" s="1"/>
  <c r="XS39" i="4"/>
  <c r="XS40" i="4" s="1"/>
  <c r="XS42" i="4" s="1"/>
  <c r="XS43" i="4" s="1"/>
  <c r="XS45" i="4" s="1"/>
  <c r="XS11" i="4"/>
  <c r="XS47" i="4" s="1"/>
  <c r="XS48" i="4" s="1"/>
  <c r="XS9" i="4"/>
  <c r="XS12" i="4" s="1"/>
  <c r="XS28" i="4" s="1"/>
  <c r="XS30" i="4" s="1"/>
  <c r="XR39" i="4"/>
  <c r="XR40" i="4" s="1"/>
  <c r="XR42" i="4" s="1"/>
  <c r="XR43" i="4" s="1"/>
  <c r="XR45" i="4" s="1"/>
  <c r="XR11" i="4"/>
  <c r="XR47" i="4" s="1"/>
  <c r="XR48" i="4" s="1"/>
  <c r="XR9" i="4"/>
  <c r="XR12" i="4" s="1"/>
  <c r="XR28" i="4" s="1"/>
  <c r="XR30" i="4" s="1"/>
  <c r="XQ39" i="4"/>
  <c r="XQ40" i="4" s="1"/>
  <c r="XQ42" i="4" s="1"/>
  <c r="XQ43" i="4" s="1"/>
  <c r="XQ45" i="4" s="1"/>
  <c r="XQ11" i="4"/>
  <c r="XQ47" i="4" s="1"/>
  <c r="XQ48" i="4" s="1"/>
  <c r="XQ9" i="4"/>
  <c r="XQ12" i="4" s="1"/>
  <c r="XQ28" i="4" s="1"/>
  <c r="XQ30" i="4" s="1"/>
  <c r="XP39" i="4"/>
  <c r="XP40" i="4" s="1"/>
  <c r="XP42" i="4" s="1"/>
  <c r="XP43" i="4" s="1"/>
  <c r="XP45" i="4" s="1"/>
  <c r="XP11" i="4"/>
  <c r="XP47" i="4" s="1"/>
  <c r="XP48" i="4" s="1"/>
  <c r="XP9" i="4"/>
  <c r="XP12" i="4" s="1"/>
  <c r="XP28" i="4" s="1"/>
  <c r="XP30" i="4" s="1"/>
  <c r="XO39" i="4"/>
  <c r="XO40" i="4" s="1"/>
  <c r="XO42" i="4" s="1"/>
  <c r="XO43" i="4" s="1"/>
  <c r="XO45" i="4" s="1"/>
  <c r="XO11" i="4"/>
  <c r="XO47" i="4" s="1"/>
  <c r="XO48" i="4" s="1"/>
  <c r="XO9" i="4"/>
  <c r="XO12" i="4" s="1"/>
  <c r="XO28" i="4" s="1"/>
  <c r="XO30" i="4" s="1"/>
  <c r="XN39" i="4"/>
  <c r="XN40" i="4" s="1"/>
  <c r="XN42" i="4" s="1"/>
  <c r="XN43" i="4" s="1"/>
  <c r="XN45" i="4" s="1"/>
  <c r="XN11" i="4"/>
  <c r="XN47" i="4" s="1"/>
  <c r="XN48" i="4" s="1"/>
  <c r="XN9" i="4"/>
  <c r="XN12" i="4" s="1"/>
  <c r="XN28" i="4" s="1"/>
  <c r="XN30" i="4" s="1"/>
  <c r="XM39" i="4"/>
  <c r="XM40" i="4" s="1"/>
  <c r="XM42" i="4" s="1"/>
  <c r="XM43" i="4" s="1"/>
  <c r="XM45" i="4" s="1"/>
  <c r="XM11" i="4"/>
  <c r="XM47" i="4" s="1"/>
  <c r="XM48" i="4" s="1"/>
  <c r="XM9" i="4"/>
  <c r="XM12" i="4" s="1"/>
  <c r="XM28" i="4" s="1"/>
  <c r="XM30" i="4" s="1"/>
  <c r="XL39" i="4"/>
  <c r="XL40" i="4" s="1"/>
  <c r="XL42" i="4" s="1"/>
  <c r="XL43" i="4" s="1"/>
  <c r="XL45" i="4" s="1"/>
  <c r="XL11" i="4"/>
  <c r="XL47" i="4" s="1"/>
  <c r="XL48" i="4" s="1"/>
  <c r="XL9" i="4"/>
  <c r="XL12" i="4" s="1"/>
  <c r="XL28" i="4" s="1"/>
  <c r="XL30" i="4" s="1"/>
  <c r="XK39" i="4"/>
  <c r="XK40" i="4" s="1"/>
  <c r="XK42" i="4" s="1"/>
  <c r="XK43" i="4" s="1"/>
  <c r="XK45" i="4" s="1"/>
  <c r="XK11" i="4"/>
  <c r="XK47" i="4" s="1"/>
  <c r="XK48" i="4" s="1"/>
  <c r="XK9" i="4"/>
  <c r="XK12" i="4" s="1"/>
  <c r="XK28" i="4" s="1"/>
  <c r="XK30" i="4" s="1"/>
  <c r="XJ39" i="4"/>
  <c r="XJ40" i="4" s="1"/>
  <c r="XJ42" i="4" s="1"/>
  <c r="XJ43" i="4" s="1"/>
  <c r="XJ45" i="4" s="1"/>
  <c r="XJ11" i="4"/>
  <c r="XJ47" i="4" s="1"/>
  <c r="XJ9" i="4"/>
  <c r="XJ12" i="4" s="1"/>
  <c r="XJ28" i="4" s="1"/>
  <c r="XJ30" i="4" s="1"/>
  <c r="XI39" i="4"/>
  <c r="XI40" i="4" s="1"/>
  <c r="XI42" i="4" s="1"/>
  <c r="XI43" i="4" s="1"/>
  <c r="XI45" i="4" s="1"/>
  <c r="XI11" i="4"/>
  <c r="XI47" i="4" s="1"/>
  <c r="XI9" i="4"/>
  <c r="XI12" i="4" s="1"/>
  <c r="XI28" i="4" s="1"/>
  <c r="XI30" i="4" s="1"/>
  <c r="XH39" i="4"/>
  <c r="XH11" i="4"/>
  <c r="XH47" i="4" s="1"/>
  <c r="XH9" i="4"/>
  <c r="YL7" i="4"/>
  <c r="YL11" i="4" s="1"/>
  <c r="XF39" i="4"/>
  <c r="XF40" i="4" s="1"/>
  <c r="XF42" i="4" s="1"/>
  <c r="XF43" i="4" s="1"/>
  <c r="XF45" i="4" s="1"/>
  <c r="XF11" i="4"/>
  <c r="XF47" i="4" s="1"/>
  <c r="XF9" i="4"/>
  <c r="XF12" i="4" s="1"/>
  <c r="XF28" i="4" s="1"/>
  <c r="XF30" i="4" s="1"/>
  <c r="XE39" i="4"/>
  <c r="XE40" i="4" s="1"/>
  <c r="XE42" i="4" s="1"/>
  <c r="XE43" i="4" s="1"/>
  <c r="XE45" i="4" s="1"/>
  <c r="XE11" i="4"/>
  <c r="XE47" i="4" s="1"/>
  <c r="XE9" i="4"/>
  <c r="XE12" i="4" s="1"/>
  <c r="XE28" i="4" s="1"/>
  <c r="XE30" i="4" s="1"/>
  <c r="XD39" i="4"/>
  <c r="XD40" i="4" s="1"/>
  <c r="XD42" i="4" s="1"/>
  <c r="XD43" i="4" s="1"/>
  <c r="XD45" i="4" s="1"/>
  <c r="XD11" i="4"/>
  <c r="XD47" i="4" s="1"/>
  <c r="XD9" i="4"/>
  <c r="XD12" i="4" s="1"/>
  <c r="XD28" i="4" s="1"/>
  <c r="XD30" i="4" s="1"/>
  <c r="XC39" i="4"/>
  <c r="XC40" i="4" s="1"/>
  <c r="XC42" i="4" s="1"/>
  <c r="XC43" i="4" s="1"/>
  <c r="XC45" i="4" s="1"/>
  <c r="XC11" i="4"/>
  <c r="XC47" i="4" s="1"/>
  <c r="XC48" i="4" s="1"/>
  <c r="XC9" i="4"/>
  <c r="XC12" i="4" s="1"/>
  <c r="XC28" i="4" s="1"/>
  <c r="XC30" i="4" s="1"/>
  <c r="XB39" i="4"/>
  <c r="XB40" i="4" s="1"/>
  <c r="XB42" i="4" s="1"/>
  <c r="XB43" i="4" s="1"/>
  <c r="XB45" i="4" s="1"/>
  <c r="XB11" i="4"/>
  <c r="XB47" i="4" s="1"/>
  <c r="XB48" i="4" s="1"/>
  <c r="XB9" i="4"/>
  <c r="XB12" i="4" s="1"/>
  <c r="XB28" i="4" s="1"/>
  <c r="XB30" i="4" s="1"/>
  <c r="XA39" i="4"/>
  <c r="XA40" i="4" s="1"/>
  <c r="XA42" i="4" s="1"/>
  <c r="XA43" i="4" s="1"/>
  <c r="XA45" i="4" s="1"/>
  <c r="XA11" i="4"/>
  <c r="XA47" i="4" s="1"/>
  <c r="XA9" i="4"/>
  <c r="XA12" i="4" s="1"/>
  <c r="XA28" i="4" s="1"/>
  <c r="XA30" i="4" s="1"/>
  <c r="WZ39" i="4"/>
  <c r="WZ40" i="4" s="1"/>
  <c r="WZ42" i="4" s="1"/>
  <c r="WZ43" i="4" s="1"/>
  <c r="WZ45" i="4" s="1"/>
  <c r="WZ11" i="4"/>
  <c r="WZ47" i="4" s="1"/>
  <c r="WZ9" i="4"/>
  <c r="WZ12" i="4" s="1"/>
  <c r="WZ28" i="4" s="1"/>
  <c r="WZ30" i="4" s="1"/>
  <c r="WY39" i="4"/>
  <c r="WY40" i="4" s="1"/>
  <c r="WY42" i="4" s="1"/>
  <c r="WY43" i="4" s="1"/>
  <c r="WY45" i="4" s="1"/>
  <c r="WY11" i="4"/>
  <c r="WY47" i="4" s="1"/>
  <c r="WY48" i="4" s="1"/>
  <c r="WY9" i="4"/>
  <c r="WY12" i="4" s="1"/>
  <c r="WY28" i="4" s="1"/>
  <c r="WY30" i="4" s="1"/>
  <c r="WX39" i="4"/>
  <c r="WX40" i="4" s="1"/>
  <c r="WX42" i="4" s="1"/>
  <c r="WX43" i="4" s="1"/>
  <c r="WX45" i="4" s="1"/>
  <c r="WX11" i="4"/>
  <c r="WX47" i="4" s="1"/>
  <c r="WX9" i="4"/>
  <c r="WX12" i="4" s="1"/>
  <c r="WX28" i="4" s="1"/>
  <c r="WX30" i="4" s="1"/>
  <c r="WW39" i="4"/>
  <c r="WW40" i="4" s="1"/>
  <c r="WW42" i="4" s="1"/>
  <c r="WW43" i="4" s="1"/>
  <c r="WW45" i="4" s="1"/>
  <c r="WW11" i="4"/>
  <c r="WW47" i="4" s="1"/>
  <c r="WW9" i="4"/>
  <c r="WW12" i="4" s="1"/>
  <c r="WW28" i="4" s="1"/>
  <c r="WW30" i="4" s="1"/>
  <c r="WV39" i="4"/>
  <c r="WV40" i="4" s="1"/>
  <c r="WV42" i="4" s="1"/>
  <c r="WV43" i="4" s="1"/>
  <c r="WV45" i="4" s="1"/>
  <c r="WV11" i="4"/>
  <c r="WV47" i="4" s="1"/>
  <c r="WV9" i="4"/>
  <c r="WV12" i="4" s="1"/>
  <c r="WV28" i="4" s="1"/>
  <c r="WV30" i="4" s="1"/>
  <c r="WU39" i="4"/>
  <c r="WU40" i="4" s="1"/>
  <c r="WU42" i="4" s="1"/>
  <c r="WU43" i="4" s="1"/>
  <c r="WU45" i="4" s="1"/>
  <c r="WU11" i="4"/>
  <c r="WU47" i="4" s="1"/>
  <c r="WU48" i="4" s="1"/>
  <c r="WU9" i="4"/>
  <c r="WU12" i="4" s="1"/>
  <c r="WU28" i="4" s="1"/>
  <c r="WU30" i="4" s="1"/>
  <c r="WT39" i="4"/>
  <c r="WT40" i="4" s="1"/>
  <c r="WT42" i="4" s="1"/>
  <c r="WT43" i="4" s="1"/>
  <c r="WT45" i="4" s="1"/>
  <c r="WT11" i="4"/>
  <c r="WT47" i="4" s="1"/>
  <c r="WT48" i="4" s="1"/>
  <c r="WT9" i="4"/>
  <c r="WT12" i="4" s="1"/>
  <c r="WT28" i="4" s="1"/>
  <c r="WT30" i="4" s="1"/>
  <c r="WS39" i="4"/>
  <c r="WS40" i="4" s="1"/>
  <c r="WS42" i="4" s="1"/>
  <c r="WS43" i="4" s="1"/>
  <c r="WS45" i="4" s="1"/>
  <c r="WS11" i="4"/>
  <c r="WS47" i="4" s="1"/>
  <c r="WS9" i="4"/>
  <c r="WS12" i="4" s="1"/>
  <c r="WS28" i="4" s="1"/>
  <c r="WS30" i="4" s="1"/>
  <c r="WR39" i="4"/>
  <c r="WR40" i="4" s="1"/>
  <c r="WR42" i="4" s="1"/>
  <c r="WR43" i="4" s="1"/>
  <c r="WR45" i="4" s="1"/>
  <c r="WR11" i="4"/>
  <c r="WR47" i="4" s="1"/>
  <c r="WR9" i="4"/>
  <c r="WR12" i="4" s="1"/>
  <c r="WR28" i="4" s="1"/>
  <c r="WR30" i="4" s="1"/>
  <c r="WQ39" i="4"/>
  <c r="WQ40" i="4" s="1"/>
  <c r="WQ42" i="4" s="1"/>
  <c r="WQ43" i="4" s="1"/>
  <c r="WQ45" i="4" s="1"/>
  <c r="WQ11" i="4"/>
  <c r="WQ47" i="4" s="1"/>
  <c r="WQ48" i="4" s="1"/>
  <c r="WQ9" i="4"/>
  <c r="WQ12" i="4" s="1"/>
  <c r="WQ28" i="4" s="1"/>
  <c r="WQ30" i="4" s="1"/>
  <c r="WP39" i="4"/>
  <c r="WP40" i="4" s="1"/>
  <c r="WP42" i="4" s="1"/>
  <c r="WP43" i="4" s="1"/>
  <c r="WP45" i="4" s="1"/>
  <c r="WP11" i="4"/>
  <c r="WP47" i="4" s="1"/>
  <c r="WP9" i="4"/>
  <c r="WP12" i="4" s="1"/>
  <c r="WP28" i="4" s="1"/>
  <c r="WP30" i="4" s="1"/>
  <c r="WO39" i="4"/>
  <c r="WO40" i="4" s="1"/>
  <c r="WO42" i="4" s="1"/>
  <c r="WO43" i="4" s="1"/>
  <c r="WO45" i="4" s="1"/>
  <c r="WO11" i="4"/>
  <c r="WO47" i="4" s="1"/>
  <c r="WO48" i="4" s="1"/>
  <c r="WO9" i="4"/>
  <c r="WO12" i="4" s="1"/>
  <c r="WO28" i="4" s="1"/>
  <c r="WO30" i="4" s="1"/>
  <c r="WN39" i="4"/>
  <c r="WN40" i="4" s="1"/>
  <c r="WN42" i="4" s="1"/>
  <c r="WN43" i="4" s="1"/>
  <c r="WN45" i="4" s="1"/>
  <c r="WN11" i="4"/>
  <c r="WN47" i="4" s="1"/>
  <c r="WN48" i="4" s="1"/>
  <c r="WN9" i="4"/>
  <c r="WN12" i="4" s="1"/>
  <c r="WN28" i="4" s="1"/>
  <c r="WN30" i="4" s="1"/>
  <c r="WM39" i="4"/>
  <c r="WM40" i="4" s="1"/>
  <c r="WM42" i="4" s="1"/>
  <c r="WM43" i="4" s="1"/>
  <c r="WM45" i="4" s="1"/>
  <c r="WM11" i="4"/>
  <c r="WM47" i="4" s="1"/>
  <c r="WM48" i="4" s="1"/>
  <c r="WM9" i="4"/>
  <c r="WM12" i="4" s="1"/>
  <c r="WM28" i="4" s="1"/>
  <c r="WM30" i="4" s="1"/>
  <c r="WL39" i="4"/>
  <c r="WL40" i="4" s="1"/>
  <c r="WL42" i="4" s="1"/>
  <c r="WL43" i="4" s="1"/>
  <c r="WL45" i="4" s="1"/>
  <c r="WL11" i="4"/>
  <c r="WL47" i="4" s="1"/>
  <c r="WL48" i="4" s="1"/>
  <c r="WL9" i="4"/>
  <c r="WL12" i="4" s="1"/>
  <c r="WL28" i="4" s="1"/>
  <c r="WL30" i="4" s="1"/>
  <c r="WK39" i="4"/>
  <c r="WK40" i="4" s="1"/>
  <c r="WK42" i="4" s="1"/>
  <c r="WK43" i="4" s="1"/>
  <c r="WK45" i="4" s="1"/>
  <c r="WK11" i="4"/>
  <c r="WK47" i="4" s="1"/>
  <c r="WK9" i="4"/>
  <c r="WK12" i="4" s="1"/>
  <c r="WK28" i="4" s="1"/>
  <c r="WK30" i="4" s="1"/>
  <c r="WJ39" i="4"/>
  <c r="WJ40" i="4" s="1"/>
  <c r="WJ42" i="4" s="1"/>
  <c r="WJ43" i="4" s="1"/>
  <c r="WJ45" i="4" s="1"/>
  <c r="WJ11" i="4"/>
  <c r="WJ47" i="4" s="1"/>
  <c r="WJ48" i="4" s="1"/>
  <c r="WJ9" i="4"/>
  <c r="WJ12" i="4" s="1"/>
  <c r="WJ28" i="4" s="1"/>
  <c r="WJ30" i="4" s="1"/>
  <c r="WI39" i="4"/>
  <c r="WI40" i="4" s="1"/>
  <c r="WI42" i="4" s="1"/>
  <c r="WI43" i="4" s="1"/>
  <c r="WI45" i="4" s="1"/>
  <c r="WI11" i="4"/>
  <c r="WI47" i="4" s="1"/>
  <c r="WI9" i="4"/>
  <c r="WI12" i="4" s="1"/>
  <c r="WI28" i="4" s="1"/>
  <c r="WI30" i="4" s="1"/>
  <c r="WH39" i="4"/>
  <c r="WH40" i="4" s="1"/>
  <c r="WH42" i="4" s="1"/>
  <c r="WH43" i="4" s="1"/>
  <c r="WH45" i="4" s="1"/>
  <c r="WH11" i="4"/>
  <c r="WH47" i="4" s="1"/>
  <c r="WH9" i="4"/>
  <c r="WH12" i="4" s="1"/>
  <c r="WH28" i="4" s="1"/>
  <c r="WH30" i="4" s="1"/>
  <c r="WG39" i="4"/>
  <c r="WG40" i="4" s="1"/>
  <c r="WG42" i="4" s="1"/>
  <c r="WG43" i="4" s="1"/>
  <c r="WG45" i="4" s="1"/>
  <c r="WG11" i="4"/>
  <c r="WG47" i="4" s="1"/>
  <c r="WG48" i="4" s="1"/>
  <c r="WG9" i="4"/>
  <c r="WG12" i="4" s="1"/>
  <c r="WG28" i="4" s="1"/>
  <c r="WG30" i="4" s="1"/>
  <c r="WF39" i="4"/>
  <c r="WF40" i="4" s="1"/>
  <c r="WF42" i="4" s="1"/>
  <c r="WF43" i="4" s="1"/>
  <c r="WF45" i="4" s="1"/>
  <c r="WF11" i="4"/>
  <c r="WF47" i="4" s="1"/>
  <c r="WF48" i="4" s="1"/>
  <c r="WF9" i="4"/>
  <c r="WF12" i="4" s="1"/>
  <c r="WF28" i="4" s="1"/>
  <c r="WF30" i="4" s="1"/>
  <c r="WE39" i="4"/>
  <c r="WE40" i="4" s="1"/>
  <c r="WE42" i="4" s="1"/>
  <c r="WE43" i="4" s="1"/>
  <c r="WE45" i="4" s="1"/>
  <c r="WE11" i="4"/>
  <c r="WE47" i="4" s="1"/>
  <c r="WE9" i="4"/>
  <c r="WE12" i="4" s="1"/>
  <c r="WE28" i="4" s="1"/>
  <c r="WE30" i="4" s="1"/>
  <c r="WD39" i="4"/>
  <c r="WD40" i="4" s="1"/>
  <c r="WD42" i="4" s="1"/>
  <c r="WD43" i="4" s="1"/>
  <c r="WD45" i="4" s="1"/>
  <c r="WD11" i="4"/>
  <c r="WD47" i="4" s="1"/>
  <c r="WD9" i="4"/>
  <c r="WD12" i="4" s="1"/>
  <c r="WD28" i="4" s="1"/>
  <c r="WD30" i="4" s="1"/>
  <c r="WC39" i="4"/>
  <c r="WC40" i="4" s="1"/>
  <c r="WC42" i="4" s="1"/>
  <c r="WC43" i="4" s="1"/>
  <c r="WC45" i="4" s="1"/>
  <c r="WC11" i="4"/>
  <c r="WC47" i="4" s="1"/>
  <c r="WC9" i="4"/>
  <c r="WC12" i="4" s="1"/>
  <c r="WC28" i="4" s="1"/>
  <c r="WC30" i="4" s="1"/>
  <c r="VZ39" i="4"/>
  <c r="VZ40" i="4" s="1"/>
  <c r="VZ42" i="4" s="1"/>
  <c r="VZ43" i="4" s="1"/>
  <c r="VZ45" i="4" s="1"/>
  <c r="VZ11" i="4"/>
  <c r="VZ47" i="4" s="1"/>
  <c r="VZ48" i="4" s="1"/>
  <c r="VZ9" i="4"/>
  <c r="VZ12" i="4" s="1"/>
  <c r="VZ28" i="4" s="1"/>
  <c r="VZ30" i="4" s="1"/>
  <c r="VY39" i="4"/>
  <c r="VY40" i="4" s="1"/>
  <c r="VY42" i="4" s="1"/>
  <c r="VY43" i="4" s="1"/>
  <c r="VY45" i="4" s="1"/>
  <c r="VY11" i="4"/>
  <c r="VY47" i="4" s="1"/>
  <c r="VY9" i="4"/>
  <c r="VY12" i="4" s="1"/>
  <c r="VY28" i="4" s="1"/>
  <c r="VY30" i="4" s="1"/>
  <c r="VX39" i="4"/>
  <c r="VX40" i="4" s="1"/>
  <c r="VX42" i="4" s="1"/>
  <c r="VX43" i="4" s="1"/>
  <c r="VX45" i="4" s="1"/>
  <c r="VX11" i="4"/>
  <c r="VX47" i="4" s="1"/>
  <c r="VX9" i="4"/>
  <c r="VX12" i="4" s="1"/>
  <c r="VX28" i="4" s="1"/>
  <c r="VX30" i="4" s="1"/>
  <c r="VW39" i="4"/>
  <c r="VW40" i="4" s="1"/>
  <c r="VW42" i="4" s="1"/>
  <c r="VW43" i="4" s="1"/>
  <c r="VW45" i="4" s="1"/>
  <c r="VW11" i="4"/>
  <c r="VW47" i="4" s="1"/>
  <c r="VW9" i="4"/>
  <c r="VW12" i="4" s="1"/>
  <c r="VW28" i="4" s="1"/>
  <c r="VW30" i="4" s="1"/>
  <c r="VV39" i="4"/>
  <c r="VV40" i="4" s="1"/>
  <c r="VV42" i="4" s="1"/>
  <c r="VV43" i="4" s="1"/>
  <c r="VV45" i="4" s="1"/>
  <c r="VV11" i="4"/>
  <c r="VV47" i="4" s="1"/>
  <c r="VV48" i="4" s="1"/>
  <c r="VV9" i="4"/>
  <c r="VV12" i="4" s="1"/>
  <c r="VV28" i="4" s="1"/>
  <c r="VV30" i="4" s="1"/>
  <c r="VU39" i="4"/>
  <c r="VU40" i="4" s="1"/>
  <c r="VU42" i="4" s="1"/>
  <c r="VU43" i="4" s="1"/>
  <c r="VU45" i="4" s="1"/>
  <c r="VU11" i="4"/>
  <c r="VU47" i="4" s="1"/>
  <c r="VU9" i="4"/>
  <c r="VU12" i="4" s="1"/>
  <c r="VU28" i="4" s="1"/>
  <c r="VU30" i="4" s="1"/>
  <c r="VT39" i="4"/>
  <c r="VT40" i="4" s="1"/>
  <c r="VT42" i="4" s="1"/>
  <c r="VT43" i="4" s="1"/>
  <c r="VT45" i="4" s="1"/>
  <c r="VT11" i="4"/>
  <c r="VT47" i="4" s="1"/>
  <c r="VT48" i="4" s="1"/>
  <c r="VT9" i="4"/>
  <c r="VT12" i="4" s="1"/>
  <c r="VT28" i="4" s="1"/>
  <c r="VT30" i="4" s="1"/>
  <c r="VS39" i="4"/>
  <c r="VS40" i="4" s="1"/>
  <c r="VS42" i="4" s="1"/>
  <c r="VS43" i="4" s="1"/>
  <c r="VS45" i="4" s="1"/>
  <c r="VS11" i="4"/>
  <c r="VS47" i="4" s="1"/>
  <c r="VS9" i="4"/>
  <c r="VS12" i="4" s="1"/>
  <c r="VS28" i="4" s="1"/>
  <c r="VS30" i="4" s="1"/>
  <c r="VR39" i="4"/>
  <c r="VR40" i="4" s="1"/>
  <c r="VR42" i="4" s="1"/>
  <c r="VR43" i="4" s="1"/>
  <c r="VR45" i="4" s="1"/>
  <c r="VR11" i="4"/>
  <c r="VR47" i="4" s="1"/>
  <c r="VR48" i="4" s="1"/>
  <c r="VR9" i="4"/>
  <c r="VQ39" i="4"/>
  <c r="VQ40" i="4" s="1"/>
  <c r="VQ42" i="4" s="1"/>
  <c r="VQ43" i="4" s="1"/>
  <c r="VQ11" i="4"/>
  <c r="VQ47" i="4" s="1"/>
  <c r="VQ9" i="4"/>
  <c r="VP39" i="4"/>
  <c r="VP40" i="4" s="1"/>
  <c r="VP42" i="4" s="1"/>
  <c r="VP43" i="4" s="1"/>
  <c r="VP11" i="4"/>
  <c r="VP47" i="4" s="1"/>
  <c r="VP9" i="4"/>
  <c r="VO39" i="4"/>
  <c r="VO40" i="4" s="1"/>
  <c r="VO42" i="4" s="1"/>
  <c r="VO43" i="4" s="1"/>
  <c r="VO11" i="4"/>
  <c r="VO47" i="4" s="1"/>
  <c r="VO9" i="4"/>
  <c r="VN39" i="4"/>
  <c r="VN40" i="4" s="1"/>
  <c r="VN42" i="4" s="1"/>
  <c r="VN43" i="4" s="1"/>
  <c r="VN11" i="4"/>
  <c r="VN47" i="4" s="1"/>
  <c r="VN9" i="4"/>
  <c r="VM39" i="4"/>
  <c r="VM40" i="4" s="1"/>
  <c r="VM42" i="4" s="1"/>
  <c r="VM43" i="4" s="1"/>
  <c r="VM11" i="4"/>
  <c r="VM47" i="4" s="1"/>
  <c r="VM9" i="4"/>
  <c r="VL39" i="4"/>
  <c r="VL40" i="4" s="1"/>
  <c r="VL42" i="4" s="1"/>
  <c r="VL43" i="4" s="1"/>
  <c r="VL11" i="4"/>
  <c r="VL47" i="4" s="1"/>
  <c r="VL9" i="4"/>
  <c r="VK39" i="4"/>
  <c r="VK40" i="4" s="1"/>
  <c r="VK42" i="4" s="1"/>
  <c r="VK43" i="4" s="1"/>
  <c r="VK11" i="4"/>
  <c r="VK47" i="4" s="1"/>
  <c r="VK9" i="4"/>
  <c r="VJ39" i="4"/>
  <c r="VJ40" i="4" s="1"/>
  <c r="VJ42" i="4" s="1"/>
  <c r="VJ43" i="4" s="1"/>
  <c r="VJ11" i="4"/>
  <c r="VJ47" i="4" s="1"/>
  <c r="VJ9" i="4"/>
  <c r="VI39" i="4"/>
  <c r="VI40" i="4" s="1"/>
  <c r="VI42" i="4" s="1"/>
  <c r="VI43" i="4" s="1"/>
  <c r="VI11" i="4"/>
  <c r="VI47" i="4" s="1"/>
  <c r="VI9" i="4"/>
  <c r="VH39" i="4"/>
  <c r="VH40" i="4" s="1"/>
  <c r="VH42" i="4" s="1"/>
  <c r="VH43" i="4" s="1"/>
  <c r="VH11" i="4"/>
  <c r="VH47" i="4" s="1"/>
  <c r="VH9" i="4"/>
  <c r="VG39" i="4"/>
  <c r="VG40" i="4" s="1"/>
  <c r="VG42" i="4" s="1"/>
  <c r="VG43" i="4" s="1"/>
  <c r="VG11" i="4"/>
  <c r="VG47" i="4" s="1"/>
  <c r="VG9" i="4"/>
  <c r="VF39" i="4"/>
  <c r="VF40" i="4" s="1"/>
  <c r="VF42" i="4" s="1"/>
  <c r="VF43" i="4" s="1"/>
  <c r="VF11" i="4"/>
  <c r="VF47" i="4" s="1"/>
  <c r="VF9" i="4"/>
  <c r="VE39" i="4"/>
  <c r="VE40" i="4" s="1"/>
  <c r="VE42" i="4" s="1"/>
  <c r="VE43" i="4" s="1"/>
  <c r="VE11" i="4"/>
  <c r="VE47" i="4" s="1"/>
  <c r="VE9" i="4"/>
  <c r="VD39" i="4"/>
  <c r="VD40" i="4" s="1"/>
  <c r="VD42" i="4" s="1"/>
  <c r="VD43" i="4" s="1"/>
  <c r="VD11" i="4"/>
  <c r="VD47" i="4" s="1"/>
  <c r="VD9" i="4"/>
  <c r="VC39" i="4"/>
  <c r="VC40" i="4" s="1"/>
  <c r="VC42" i="4" s="1"/>
  <c r="VC43" i="4" s="1"/>
  <c r="VC11" i="4"/>
  <c r="VC47" i="4" s="1"/>
  <c r="VC9" i="4"/>
  <c r="VB39" i="4"/>
  <c r="VB40" i="4" s="1"/>
  <c r="VB42" i="4" s="1"/>
  <c r="VB43" i="4" s="1"/>
  <c r="VB11" i="4"/>
  <c r="VB47" i="4" s="1"/>
  <c r="VB9" i="4"/>
  <c r="VA39" i="4"/>
  <c r="VA40" i="4" s="1"/>
  <c r="VA42" i="4" s="1"/>
  <c r="VA43" i="4" s="1"/>
  <c r="VA11" i="4"/>
  <c r="VA47" i="4" s="1"/>
  <c r="VA9" i="4"/>
  <c r="UZ39" i="4"/>
  <c r="UZ40" i="4" s="1"/>
  <c r="UZ42" i="4" s="1"/>
  <c r="UZ43" i="4" s="1"/>
  <c r="UZ11" i="4"/>
  <c r="UZ47" i="4" s="1"/>
  <c r="UZ9" i="4"/>
  <c r="IS39" i="4"/>
  <c r="IS40" i="4" s="1"/>
  <c r="IS42" i="4" s="1"/>
  <c r="IS43" i="4" s="1"/>
  <c r="IS11" i="4"/>
  <c r="IS47" i="4" s="1"/>
  <c r="IS9" i="4"/>
  <c r="IR39" i="4"/>
  <c r="IR40" i="4" s="1"/>
  <c r="IR42" i="4" s="1"/>
  <c r="IR43" i="4" s="1"/>
  <c r="IR11" i="4"/>
  <c r="IR47" i="4" s="1"/>
  <c r="IR9" i="4"/>
  <c r="IQ39" i="4"/>
  <c r="IQ40" i="4" s="1"/>
  <c r="IQ42" i="4" s="1"/>
  <c r="IQ43" i="4" s="1"/>
  <c r="IQ11" i="4"/>
  <c r="IQ47" i="4" s="1"/>
  <c r="IQ9" i="4"/>
  <c r="IP39" i="4"/>
  <c r="IP40" i="4" s="1"/>
  <c r="IP42" i="4" s="1"/>
  <c r="IP43" i="4" s="1"/>
  <c r="IP11" i="4"/>
  <c r="IP47" i="4" s="1"/>
  <c r="IP9" i="4"/>
  <c r="IO39" i="4"/>
  <c r="IO40" i="4" s="1"/>
  <c r="IO42" i="4" s="1"/>
  <c r="IO43" i="4" s="1"/>
  <c r="IO11" i="4"/>
  <c r="IO47" i="4" s="1"/>
  <c r="IO9" i="4"/>
  <c r="IN39" i="4"/>
  <c r="IN40" i="4" s="1"/>
  <c r="IN42" i="4" s="1"/>
  <c r="IN43" i="4" s="1"/>
  <c r="IN11" i="4"/>
  <c r="IN47" i="4" s="1"/>
  <c r="IN9" i="4"/>
  <c r="IM39" i="4"/>
  <c r="IM40" i="4" s="1"/>
  <c r="IM42" i="4" s="1"/>
  <c r="IM43" i="4" s="1"/>
  <c r="IM11" i="4"/>
  <c r="IM47" i="4" s="1"/>
  <c r="IM9" i="4"/>
  <c r="IL39" i="4"/>
  <c r="IL40" i="4" s="1"/>
  <c r="IL42" i="4" s="1"/>
  <c r="IL43" i="4" s="1"/>
  <c r="IL11" i="4"/>
  <c r="IL47" i="4" s="1"/>
  <c r="IL9" i="4"/>
  <c r="IK39" i="4"/>
  <c r="IK40" i="4" s="1"/>
  <c r="IK42" i="4" s="1"/>
  <c r="IK43" i="4" s="1"/>
  <c r="IK11" i="4"/>
  <c r="IK47" i="4" s="1"/>
  <c r="IK9" i="4"/>
  <c r="IJ39" i="4"/>
  <c r="IJ40" i="4" s="1"/>
  <c r="IJ42" i="4" s="1"/>
  <c r="IJ43" i="4" s="1"/>
  <c r="IJ11" i="4"/>
  <c r="IJ47" i="4" s="1"/>
  <c r="IJ9" i="4"/>
  <c r="II39" i="4"/>
  <c r="II40" i="4" s="1"/>
  <c r="II42" i="4" s="1"/>
  <c r="II43" i="4" s="1"/>
  <c r="II11" i="4"/>
  <c r="II47" i="4" s="1"/>
  <c r="II9" i="4"/>
  <c r="IH39" i="4"/>
  <c r="IH40" i="4" s="1"/>
  <c r="IH42" i="4" s="1"/>
  <c r="IH43" i="4" s="1"/>
  <c r="IH11" i="4"/>
  <c r="IH47" i="4" s="1"/>
  <c r="IH9" i="4"/>
  <c r="IG39" i="4"/>
  <c r="IG40" i="4" s="1"/>
  <c r="IG42" i="4" s="1"/>
  <c r="IG43" i="4" s="1"/>
  <c r="IG11" i="4"/>
  <c r="IG47" i="4" s="1"/>
  <c r="IG9" i="4"/>
  <c r="IF39" i="4"/>
  <c r="IF40" i="4" s="1"/>
  <c r="IF42" i="4" s="1"/>
  <c r="IF43" i="4" s="1"/>
  <c r="IF11" i="4"/>
  <c r="IF47" i="4" s="1"/>
  <c r="IF9" i="4"/>
  <c r="IE39" i="4"/>
  <c r="IE40" i="4" s="1"/>
  <c r="IE42" i="4" s="1"/>
  <c r="IE43" i="4" s="1"/>
  <c r="IE11" i="4"/>
  <c r="IE47" i="4" s="1"/>
  <c r="IE9" i="4"/>
  <c r="ID39" i="4"/>
  <c r="ID40" i="4" s="1"/>
  <c r="ID42" i="4" s="1"/>
  <c r="ID43" i="4" s="1"/>
  <c r="ID11" i="4"/>
  <c r="ID47" i="4" s="1"/>
  <c r="ID9" i="4"/>
  <c r="IC39" i="4"/>
  <c r="IC40" i="4" s="1"/>
  <c r="IC42" i="4" s="1"/>
  <c r="IC43" i="4" s="1"/>
  <c r="IC11" i="4"/>
  <c r="IC47" i="4" s="1"/>
  <c r="IC9" i="4"/>
  <c r="IB39" i="4"/>
  <c r="IB40" i="4" s="1"/>
  <c r="IB42" i="4" s="1"/>
  <c r="IB43" i="4" s="1"/>
  <c r="IB11" i="4"/>
  <c r="IB47" i="4" s="1"/>
  <c r="IB9" i="4"/>
  <c r="IA39" i="4"/>
  <c r="IA40" i="4" s="1"/>
  <c r="IA42" i="4" s="1"/>
  <c r="IA43" i="4" s="1"/>
  <c r="IA11" i="4"/>
  <c r="IA47" i="4" s="1"/>
  <c r="IA9" i="4"/>
  <c r="HZ39" i="4"/>
  <c r="HZ40" i="4" s="1"/>
  <c r="HZ42" i="4" s="1"/>
  <c r="HZ43" i="4" s="1"/>
  <c r="HZ11" i="4"/>
  <c r="HZ47" i="4" s="1"/>
  <c r="HZ9" i="4"/>
  <c r="HY39" i="4"/>
  <c r="HY40" i="4" s="1"/>
  <c r="HY42" i="4" s="1"/>
  <c r="HY43" i="4" s="1"/>
  <c r="HY11" i="4"/>
  <c r="HY47" i="4" s="1"/>
  <c r="HY9" i="4"/>
  <c r="HX39" i="4"/>
  <c r="HX40" i="4" s="1"/>
  <c r="HX42" i="4" s="1"/>
  <c r="HX43" i="4" s="1"/>
  <c r="HX11" i="4"/>
  <c r="HX47" i="4" s="1"/>
  <c r="HX9" i="4"/>
  <c r="HW39" i="4"/>
  <c r="HW40" i="4" s="1"/>
  <c r="HW42" i="4" s="1"/>
  <c r="HW43" i="4" s="1"/>
  <c r="HW11" i="4"/>
  <c r="HW47" i="4" s="1"/>
  <c r="HW9" i="4"/>
  <c r="HV39" i="4"/>
  <c r="HV40" i="4" s="1"/>
  <c r="HV42" i="4" s="1"/>
  <c r="HV43" i="4" s="1"/>
  <c r="HV11" i="4"/>
  <c r="HV47" i="4" s="1"/>
  <c r="HV9" i="4"/>
  <c r="HU39" i="4"/>
  <c r="HU40" i="4" s="1"/>
  <c r="HU42" i="4" s="1"/>
  <c r="HU43" i="4" s="1"/>
  <c r="HU11" i="4"/>
  <c r="HU47" i="4" s="1"/>
  <c r="HU9" i="4"/>
  <c r="HT39" i="4"/>
  <c r="HT40" i="4" s="1"/>
  <c r="HT42" i="4" s="1"/>
  <c r="HT43" i="4" s="1"/>
  <c r="HT11" i="4"/>
  <c r="HT47" i="4" s="1"/>
  <c r="HT9" i="4"/>
  <c r="HS39" i="4"/>
  <c r="HS40" i="4" s="1"/>
  <c r="HS42" i="4" s="1"/>
  <c r="HS43" i="4" s="1"/>
  <c r="HS11" i="4"/>
  <c r="HS47" i="4" s="1"/>
  <c r="HS9" i="4"/>
  <c r="HR39" i="4"/>
  <c r="HR40" i="4" s="1"/>
  <c r="HR42" i="4" s="1"/>
  <c r="HR43" i="4" s="1"/>
  <c r="HR11" i="4"/>
  <c r="HR47" i="4" s="1"/>
  <c r="HR9" i="4"/>
  <c r="HQ39" i="4"/>
  <c r="HQ40" i="4" s="1"/>
  <c r="HQ42" i="4" s="1"/>
  <c r="HQ43" i="4" s="1"/>
  <c r="HQ11" i="4"/>
  <c r="HQ47" i="4" s="1"/>
  <c r="HQ9" i="4"/>
  <c r="HP39" i="4"/>
  <c r="HP40" i="4" s="1"/>
  <c r="HP42" i="4" s="1"/>
  <c r="HP43" i="4" s="1"/>
  <c r="HP11" i="4"/>
  <c r="HP47" i="4" s="1"/>
  <c r="HP9" i="4"/>
  <c r="HM39" i="4"/>
  <c r="HM40" i="4" s="1"/>
  <c r="HM42" i="4" s="1"/>
  <c r="HM43" i="4" s="1"/>
  <c r="HM11" i="4"/>
  <c r="HM47" i="4" s="1"/>
  <c r="HM9" i="4"/>
  <c r="HL39" i="4"/>
  <c r="HL40" i="4" s="1"/>
  <c r="HL42" i="4" s="1"/>
  <c r="HL43" i="4" s="1"/>
  <c r="HL11" i="4"/>
  <c r="HL47" i="4" s="1"/>
  <c r="HL9" i="4"/>
  <c r="HK39" i="4"/>
  <c r="HK40" i="4" s="1"/>
  <c r="HK42" i="4" s="1"/>
  <c r="HK43" i="4" s="1"/>
  <c r="HK11" i="4"/>
  <c r="HK47" i="4" s="1"/>
  <c r="HK9" i="4"/>
  <c r="HJ39" i="4"/>
  <c r="HJ40" i="4" s="1"/>
  <c r="HJ42" i="4" s="1"/>
  <c r="HJ43" i="4" s="1"/>
  <c r="HJ11" i="4"/>
  <c r="HJ47" i="4" s="1"/>
  <c r="HJ9" i="4"/>
  <c r="HI39" i="4"/>
  <c r="HI40" i="4" s="1"/>
  <c r="HI42" i="4" s="1"/>
  <c r="HI43" i="4" s="1"/>
  <c r="HI11" i="4"/>
  <c r="HI47" i="4" s="1"/>
  <c r="HI9" i="4"/>
  <c r="HH39" i="4"/>
  <c r="HH40" i="4" s="1"/>
  <c r="HH42" i="4" s="1"/>
  <c r="HH43" i="4" s="1"/>
  <c r="HH11" i="4"/>
  <c r="HH47" i="4" s="1"/>
  <c r="HH9" i="4"/>
  <c r="HG39" i="4"/>
  <c r="HG40" i="4" s="1"/>
  <c r="HG42" i="4" s="1"/>
  <c r="HG43" i="4" s="1"/>
  <c r="HG11" i="4"/>
  <c r="HG47" i="4" s="1"/>
  <c r="HG9" i="4"/>
  <c r="HF39" i="4"/>
  <c r="HF40" i="4" s="1"/>
  <c r="HF42" i="4" s="1"/>
  <c r="HF43" i="4" s="1"/>
  <c r="HF11" i="4"/>
  <c r="HF47" i="4" s="1"/>
  <c r="HF9" i="4"/>
  <c r="HE39" i="4"/>
  <c r="HE40" i="4" s="1"/>
  <c r="HE42" i="4" s="1"/>
  <c r="HE43" i="4" s="1"/>
  <c r="HE11" i="4"/>
  <c r="HE47" i="4" s="1"/>
  <c r="HE9" i="4"/>
  <c r="HD39" i="4"/>
  <c r="HD40" i="4" s="1"/>
  <c r="HD42" i="4" s="1"/>
  <c r="HD43" i="4" s="1"/>
  <c r="HD11" i="4"/>
  <c r="HD47" i="4" s="1"/>
  <c r="HD9" i="4"/>
  <c r="HC39" i="4"/>
  <c r="HC40" i="4" s="1"/>
  <c r="HC42" i="4" s="1"/>
  <c r="HC43" i="4" s="1"/>
  <c r="HC11" i="4"/>
  <c r="HC47" i="4" s="1"/>
  <c r="HC9" i="4"/>
  <c r="HB39" i="4"/>
  <c r="HB40" i="4" s="1"/>
  <c r="HB42" i="4" s="1"/>
  <c r="HB43" i="4" s="1"/>
  <c r="HB11" i="4"/>
  <c r="HB47" i="4" s="1"/>
  <c r="HB9" i="4"/>
  <c r="HA39" i="4"/>
  <c r="HA40" i="4" s="1"/>
  <c r="HA42" i="4" s="1"/>
  <c r="HA43" i="4" s="1"/>
  <c r="HA11" i="4"/>
  <c r="HA47" i="4" s="1"/>
  <c r="HA9" i="4"/>
  <c r="GZ39" i="4"/>
  <c r="GZ40" i="4" s="1"/>
  <c r="GZ42" i="4" s="1"/>
  <c r="GZ43" i="4" s="1"/>
  <c r="GZ11" i="4"/>
  <c r="GZ47" i="4" s="1"/>
  <c r="GZ9" i="4"/>
  <c r="GY39" i="4"/>
  <c r="GY40" i="4" s="1"/>
  <c r="GY42" i="4" s="1"/>
  <c r="GY43" i="4" s="1"/>
  <c r="GY11" i="4"/>
  <c r="GY47" i="4" s="1"/>
  <c r="GY9" i="4"/>
  <c r="GX39" i="4"/>
  <c r="GX40" i="4" s="1"/>
  <c r="GX42" i="4" s="1"/>
  <c r="GX43" i="4" s="1"/>
  <c r="GX11" i="4"/>
  <c r="GX47" i="4" s="1"/>
  <c r="GX9" i="4"/>
  <c r="GW39" i="4"/>
  <c r="GW40" i="4" s="1"/>
  <c r="GW42" i="4" s="1"/>
  <c r="GW43" i="4" s="1"/>
  <c r="GW11" i="4"/>
  <c r="GW47" i="4" s="1"/>
  <c r="GW9" i="4"/>
  <c r="GV39" i="4"/>
  <c r="GV40" i="4" s="1"/>
  <c r="GV42" i="4" s="1"/>
  <c r="GV43" i="4" s="1"/>
  <c r="GV11" i="4"/>
  <c r="GV47" i="4" s="1"/>
  <c r="GV9" i="4"/>
  <c r="GU39" i="4"/>
  <c r="GU40" i="4" s="1"/>
  <c r="GU42" i="4" s="1"/>
  <c r="GU43" i="4" s="1"/>
  <c r="GU11" i="4"/>
  <c r="GU47" i="4" s="1"/>
  <c r="GU9" i="4"/>
  <c r="GT39" i="4"/>
  <c r="GT40" i="4" s="1"/>
  <c r="GT42" i="4" s="1"/>
  <c r="GT43" i="4" s="1"/>
  <c r="GT11" i="4"/>
  <c r="GT47" i="4" s="1"/>
  <c r="GT9" i="4"/>
  <c r="GS39" i="4"/>
  <c r="GS40" i="4" s="1"/>
  <c r="GS42" i="4" s="1"/>
  <c r="GS43" i="4" s="1"/>
  <c r="GS11" i="4"/>
  <c r="GS47" i="4" s="1"/>
  <c r="GS9" i="4"/>
  <c r="GR39" i="4"/>
  <c r="GR40" i="4" s="1"/>
  <c r="GR42" i="4" s="1"/>
  <c r="GR43" i="4" s="1"/>
  <c r="GR11" i="4"/>
  <c r="GR47" i="4" s="1"/>
  <c r="GR9" i="4"/>
  <c r="GQ39" i="4"/>
  <c r="GQ40" i="4" s="1"/>
  <c r="GQ42" i="4" s="1"/>
  <c r="GQ43" i="4" s="1"/>
  <c r="GQ11" i="4"/>
  <c r="GQ47" i="4" s="1"/>
  <c r="GQ9" i="4"/>
  <c r="GP39" i="4"/>
  <c r="GP40" i="4" s="1"/>
  <c r="GP42" i="4" s="1"/>
  <c r="GP43" i="4" s="1"/>
  <c r="GP11" i="4"/>
  <c r="GP47" i="4" s="1"/>
  <c r="GP9" i="4"/>
  <c r="GO39" i="4"/>
  <c r="GO40" i="4" s="1"/>
  <c r="GO42" i="4" s="1"/>
  <c r="GO43" i="4" s="1"/>
  <c r="GO11" i="4"/>
  <c r="GO47" i="4" s="1"/>
  <c r="GO9" i="4"/>
  <c r="GN39" i="4"/>
  <c r="GN40" i="4" s="1"/>
  <c r="GN42" i="4" s="1"/>
  <c r="GN43" i="4" s="1"/>
  <c r="GN11" i="4"/>
  <c r="GN47" i="4" s="1"/>
  <c r="GN9" i="4"/>
  <c r="GM39" i="4"/>
  <c r="GM40" i="4" s="1"/>
  <c r="GM42" i="4" s="1"/>
  <c r="GM43" i="4" s="1"/>
  <c r="GM11" i="4"/>
  <c r="GM47" i="4" s="1"/>
  <c r="GM9" i="4"/>
  <c r="GL39" i="4"/>
  <c r="GL40" i="4" s="1"/>
  <c r="GL42" i="4" s="1"/>
  <c r="GL43" i="4" s="1"/>
  <c r="GL11" i="4"/>
  <c r="GL47" i="4" s="1"/>
  <c r="GL9" i="4"/>
  <c r="GI39" i="4"/>
  <c r="GI40" i="4" s="1"/>
  <c r="GI42" i="4" s="1"/>
  <c r="GI43" i="4" s="1"/>
  <c r="GI11" i="4"/>
  <c r="GI47" i="4" s="1"/>
  <c r="GI9" i="4"/>
  <c r="GH39" i="4"/>
  <c r="GH40" i="4" s="1"/>
  <c r="GH42" i="4" s="1"/>
  <c r="GH43" i="4" s="1"/>
  <c r="GH11" i="4"/>
  <c r="GH47" i="4" s="1"/>
  <c r="GH9" i="4"/>
  <c r="GG39" i="4"/>
  <c r="GG40" i="4" s="1"/>
  <c r="GG42" i="4" s="1"/>
  <c r="GG43" i="4" s="1"/>
  <c r="GG11" i="4"/>
  <c r="GG47" i="4" s="1"/>
  <c r="GG9" i="4"/>
  <c r="GF39" i="4"/>
  <c r="GF40" i="4" s="1"/>
  <c r="GF42" i="4" s="1"/>
  <c r="GF43" i="4" s="1"/>
  <c r="GF11" i="4"/>
  <c r="GF47" i="4" s="1"/>
  <c r="GF9" i="4"/>
  <c r="GE39" i="4"/>
  <c r="GE40" i="4" s="1"/>
  <c r="GE42" i="4" s="1"/>
  <c r="GE43" i="4" s="1"/>
  <c r="GE11" i="4"/>
  <c r="GE47" i="4" s="1"/>
  <c r="GE9" i="4"/>
  <c r="GD39" i="4"/>
  <c r="GD40" i="4" s="1"/>
  <c r="GD42" i="4" s="1"/>
  <c r="GD43" i="4" s="1"/>
  <c r="GD11" i="4"/>
  <c r="GD47" i="4" s="1"/>
  <c r="GD9" i="4"/>
  <c r="GC39" i="4"/>
  <c r="GC40" i="4" s="1"/>
  <c r="GC42" i="4" s="1"/>
  <c r="GC43" i="4" s="1"/>
  <c r="GC11" i="4"/>
  <c r="GC47" i="4" s="1"/>
  <c r="GC9" i="4"/>
  <c r="GB39" i="4"/>
  <c r="GB40" i="4" s="1"/>
  <c r="GB42" i="4" s="1"/>
  <c r="GB43" i="4" s="1"/>
  <c r="GB11" i="4"/>
  <c r="GB47" i="4" s="1"/>
  <c r="GB9" i="4"/>
  <c r="GA39" i="4"/>
  <c r="GA40" i="4" s="1"/>
  <c r="GA42" i="4" s="1"/>
  <c r="GA43" i="4" s="1"/>
  <c r="GA11" i="4"/>
  <c r="GA47" i="4" s="1"/>
  <c r="GA9" i="4"/>
  <c r="FZ39" i="4"/>
  <c r="FZ40" i="4" s="1"/>
  <c r="FZ42" i="4" s="1"/>
  <c r="FZ43" i="4" s="1"/>
  <c r="FZ11" i="4"/>
  <c r="FZ47" i="4" s="1"/>
  <c r="FZ9" i="4"/>
  <c r="FY39" i="4"/>
  <c r="FY40" i="4" s="1"/>
  <c r="FY42" i="4" s="1"/>
  <c r="FY43" i="4" s="1"/>
  <c r="FY11" i="4"/>
  <c r="FY47" i="4" s="1"/>
  <c r="FY9" i="4"/>
  <c r="FX39" i="4"/>
  <c r="FX40" i="4" s="1"/>
  <c r="FX42" i="4" s="1"/>
  <c r="FX43" i="4" s="1"/>
  <c r="FX11" i="4"/>
  <c r="FX47" i="4" s="1"/>
  <c r="FX9" i="4"/>
  <c r="FW39" i="4"/>
  <c r="FW40" i="4" s="1"/>
  <c r="FW42" i="4" s="1"/>
  <c r="FW43" i="4" s="1"/>
  <c r="FW11" i="4"/>
  <c r="FW47" i="4" s="1"/>
  <c r="FW9" i="4"/>
  <c r="FV39" i="4"/>
  <c r="FV40" i="4" s="1"/>
  <c r="FV42" i="4" s="1"/>
  <c r="FV43" i="4" s="1"/>
  <c r="FV11" i="4"/>
  <c r="FV47" i="4" s="1"/>
  <c r="FV9" i="4"/>
  <c r="FU39" i="4"/>
  <c r="FU40" i="4" s="1"/>
  <c r="FU42" i="4" s="1"/>
  <c r="FU43" i="4" s="1"/>
  <c r="FU11" i="4"/>
  <c r="FU47" i="4" s="1"/>
  <c r="FU9" i="4"/>
  <c r="FT39" i="4"/>
  <c r="FT40" i="4" s="1"/>
  <c r="FT42" i="4" s="1"/>
  <c r="FT43" i="4" s="1"/>
  <c r="FT11" i="4"/>
  <c r="FT47" i="4" s="1"/>
  <c r="FT9" i="4"/>
  <c r="FS39" i="4"/>
  <c r="FS40" i="4" s="1"/>
  <c r="FS42" i="4" s="1"/>
  <c r="FS43" i="4" s="1"/>
  <c r="FS11" i="4"/>
  <c r="FS47" i="4" s="1"/>
  <c r="FS9" i="4"/>
  <c r="FR39" i="4"/>
  <c r="FR40" i="4" s="1"/>
  <c r="FR42" i="4" s="1"/>
  <c r="FR43" i="4" s="1"/>
  <c r="FR11" i="4"/>
  <c r="FR47" i="4" s="1"/>
  <c r="FR9" i="4"/>
  <c r="FQ39" i="4"/>
  <c r="FQ40" i="4" s="1"/>
  <c r="FQ42" i="4" s="1"/>
  <c r="FQ43" i="4" s="1"/>
  <c r="FQ11" i="4"/>
  <c r="FQ47" i="4" s="1"/>
  <c r="FQ9" i="4"/>
  <c r="FP39" i="4"/>
  <c r="FP40" i="4" s="1"/>
  <c r="FP42" i="4" s="1"/>
  <c r="FP43" i="4" s="1"/>
  <c r="FP11" i="4"/>
  <c r="FP47" i="4" s="1"/>
  <c r="FP9" i="4"/>
  <c r="FO39" i="4"/>
  <c r="FO40" i="4" s="1"/>
  <c r="FO42" i="4" s="1"/>
  <c r="FO43" i="4" s="1"/>
  <c r="FO11" i="4"/>
  <c r="FO47" i="4" s="1"/>
  <c r="FO9" i="4"/>
  <c r="FN39" i="4"/>
  <c r="FN40" i="4" s="1"/>
  <c r="FN42" i="4" s="1"/>
  <c r="FN43" i="4" s="1"/>
  <c r="FN11" i="4"/>
  <c r="FN47" i="4" s="1"/>
  <c r="FN9" i="4"/>
  <c r="FM39" i="4"/>
  <c r="FM40" i="4" s="1"/>
  <c r="FM42" i="4" s="1"/>
  <c r="FM43" i="4" s="1"/>
  <c r="FM11" i="4"/>
  <c r="FM47" i="4" s="1"/>
  <c r="FM9" i="4"/>
  <c r="FL39" i="4"/>
  <c r="FL40" i="4" s="1"/>
  <c r="FL42" i="4" s="1"/>
  <c r="FL43" i="4" s="1"/>
  <c r="FL11" i="4"/>
  <c r="FL47" i="4" s="1"/>
  <c r="FL9" i="4"/>
  <c r="FK39" i="4"/>
  <c r="FK40" i="4" s="1"/>
  <c r="FK42" i="4" s="1"/>
  <c r="FK43" i="4" s="1"/>
  <c r="FK11" i="4"/>
  <c r="FK47" i="4" s="1"/>
  <c r="FK9" i="4"/>
  <c r="FJ39" i="4"/>
  <c r="FJ40" i="4" s="1"/>
  <c r="FJ42" i="4" s="1"/>
  <c r="FJ43" i="4" s="1"/>
  <c r="FJ11" i="4"/>
  <c r="FJ47" i="4" s="1"/>
  <c r="FJ9" i="4"/>
  <c r="FI39" i="4"/>
  <c r="FI40" i="4" s="1"/>
  <c r="FI42" i="4" s="1"/>
  <c r="FI43" i="4" s="1"/>
  <c r="FI11" i="4"/>
  <c r="FI47" i="4" s="1"/>
  <c r="FI9" i="4"/>
  <c r="FH39" i="4"/>
  <c r="FH40" i="4" s="1"/>
  <c r="FH42" i="4" s="1"/>
  <c r="FH43" i="4" s="1"/>
  <c r="FH11" i="4"/>
  <c r="FH47" i="4" s="1"/>
  <c r="FH9" i="4"/>
  <c r="FG39" i="4"/>
  <c r="FG40" i="4" s="1"/>
  <c r="FG42" i="4" s="1"/>
  <c r="FG43" i="4" s="1"/>
  <c r="FG11" i="4"/>
  <c r="FG47" i="4" s="1"/>
  <c r="FG9" i="4"/>
  <c r="FF39" i="4"/>
  <c r="FF40" i="4" s="1"/>
  <c r="FF42" i="4" s="1"/>
  <c r="FF43" i="4" s="1"/>
  <c r="FF11" i="4"/>
  <c r="FF47" i="4" s="1"/>
  <c r="FF9" i="4"/>
  <c r="FC39" i="4"/>
  <c r="FC40" i="4" s="1"/>
  <c r="FC42" i="4" s="1"/>
  <c r="FC43" i="4" s="1"/>
  <c r="FC11" i="4"/>
  <c r="FC47" i="4" s="1"/>
  <c r="FC9" i="4"/>
  <c r="FB39" i="4"/>
  <c r="FB40" i="4" s="1"/>
  <c r="FB42" i="4" s="1"/>
  <c r="FB43" i="4" s="1"/>
  <c r="FB11" i="4"/>
  <c r="FB47" i="4" s="1"/>
  <c r="FB9" i="4"/>
  <c r="FA39" i="4"/>
  <c r="FA40" i="4" s="1"/>
  <c r="FA42" i="4" s="1"/>
  <c r="FA43" i="4" s="1"/>
  <c r="FA11" i="4"/>
  <c r="FA47" i="4" s="1"/>
  <c r="FA9" i="4"/>
  <c r="EZ39" i="4"/>
  <c r="EZ40" i="4" s="1"/>
  <c r="EZ42" i="4" s="1"/>
  <c r="EZ43" i="4" s="1"/>
  <c r="EZ11" i="4"/>
  <c r="EZ47" i="4" s="1"/>
  <c r="EZ9" i="4"/>
  <c r="EY39" i="4"/>
  <c r="EY40" i="4" s="1"/>
  <c r="EY42" i="4" s="1"/>
  <c r="EY43" i="4" s="1"/>
  <c r="EY11" i="4"/>
  <c r="EY47" i="4" s="1"/>
  <c r="EY9" i="4"/>
  <c r="EX39" i="4"/>
  <c r="EX40" i="4" s="1"/>
  <c r="EX42" i="4" s="1"/>
  <c r="EX43" i="4" s="1"/>
  <c r="EX11" i="4"/>
  <c r="EX47" i="4" s="1"/>
  <c r="EX9" i="4"/>
  <c r="EW39" i="4"/>
  <c r="EW40" i="4" s="1"/>
  <c r="EW42" i="4" s="1"/>
  <c r="EW43" i="4" s="1"/>
  <c r="EW11" i="4"/>
  <c r="EW47" i="4" s="1"/>
  <c r="EW9" i="4"/>
  <c r="EV39" i="4"/>
  <c r="EV40" i="4" s="1"/>
  <c r="EV42" i="4" s="1"/>
  <c r="EV43" i="4" s="1"/>
  <c r="EV11" i="4"/>
  <c r="EV47" i="4" s="1"/>
  <c r="EV9" i="4"/>
  <c r="EU39" i="4"/>
  <c r="EU40" i="4" s="1"/>
  <c r="EU42" i="4" s="1"/>
  <c r="EU43" i="4" s="1"/>
  <c r="EU11" i="4"/>
  <c r="EU47" i="4" s="1"/>
  <c r="EU9" i="4"/>
  <c r="ET39" i="4"/>
  <c r="ET40" i="4" s="1"/>
  <c r="ET42" i="4" s="1"/>
  <c r="ET43" i="4" s="1"/>
  <c r="ET11" i="4"/>
  <c r="ET47" i="4" s="1"/>
  <c r="ET9" i="4"/>
  <c r="ES39" i="4"/>
  <c r="ES40" i="4" s="1"/>
  <c r="ES42" i="4" s="1"/>
  <c r="ES43" i="4" s="1"/>
  <c r="ES11" i="4"/>
  <c r="ES47" i="4" s="1"/>
  <c r="ES9" i="4"/>
  <c r="ER39" i="4"/>
  <c r="ER40" i="4" s="1"/>
  <c r="ER42" i="4" s="1"/>
  <c r="ER43" i="4" s="1"/>
  <c r="ER11" i="4"/>
  <c r="ER47" i="4" s="1"/>
  <c r="ER9" i="4"/>
  <c r="EQ39" i="4"/>
  <c r="EQ40" i="4" s="1"/>
  <c r="EQ42" i="4" s="1"/>
  <c r="EQ43" i="4" s="1"/>
  <c r="EQ11" i="4"/>
  <c r="EQ47" i="4" s="1"/>
  <c r="EQ9" i="4"/>
  <c r="EP39" i="4"/>
  <c r="EP40" i="4" s="1"/>
  <c r="EP42" i="4" s="1"/>
  <c r="EP43" i="4" s="1"/>
  <c r="EP11" i="4"/>
  <c r="EP47" i="4" s="1"/>
  <c r="EP9" i="4"/>
  <c r="EO39" i="4"/>
  <c r="EO40" i="4" s="1"/>
  <c r="EO42" i="4" s="1"/>
  <c r="EO43" i="4" s="1"/>
  <c r="EO11" i="4"/>
  <c r="EO47" i="4" s="1"/>
  <c r="EO9" i="4"/>
  <c r="EN39" i="4"/>
  <c r="EN40" i="4" s="1"/>
  <c r="EN42" i="4" s="1"/>
  <c r="EN43" i="4" s="1"/>
  <c r="EN11" i="4"/>
  <c r="EN47" i="4" s="1"/>
  <c r="EN9" i="4"/>
  <c r="EM39" i="4"/>
  <c r="EM40" i="4" s="1"/>
  <c r="EM42" i="4" s="1"/>
  <c r="EM43" i="4" s="1"/>
  <c r="EM11" i="4"/>
  <c r="EM47" i="4" s="1"/>
  <c r="EM9" i="4"/>
  <c r="EL39" i="4"/>
  <c r="EL40" i="4" s="1"/>
  <c r="EL42" i="4" s="1"/>
  <c r="EL43" i="4" s="1"/>
  <c r="EL11" i="4"/>
  <c r="EL47" i="4" s="1"/>
  <c r="EL9" i="4"/>
  <c r="EK39" i="4"/>
  <c r="EK40" i="4" s="1"/>
  <c r="EK42" i="4" s="1"/>
  <c r="EK43" i="4" s="1"/>
  <c r="EK11" i="4"/>
  <c r="EK47" i="4" s="1"/>
  <c r="EK9" i="4"/>
  <c r="EJ39" i="4"/>
  <c r="EJ40" i="4" s="1"/>
  <c r="EJ42" i="4" s="1"/>
  <c r="EJ43" i="4" s="1"/>
  <c r="EJ11" i="4"/>
  <c r="EJ47" i="4" s="1"/>
  <c r="EJ9" i="4"/>
  <c r="EI39" i="4"/>
  <c r="EI40" i="4" s="1"/>
  <c r="EI42" i="4" s="1"/>
  <c r="EI43" i="4" s="1"/>
  <c r="EI11" i="4"/>
  <c r="EI47" i="4" s="1"/>
  <c r="EI9" i="4"/>
  <c r="EH39" i="4"/>
  <c r="EH40" i="4" s="1"/>
  <c r="EH42" i="4" s="1"/>
  <c r="EH43" i="4" s="1"/>
  <c r="EH11" i="4"/>
  <c r="EH47" i="4" s="1"/>
  <c r="EH9" i="4"/>
  <c r="EG39" i="4"/>
  <c r="EG40" i="4" s="1"/>
  <c r="EG42" i="4" s="1"/>
  <c r="EG43" i="4" s="1"/>
  <c r="EG11" i="4"/>
  <c r="EG47" i="4" s="1"/>
  <c r="EG9" i="4"/>
  <c r="EF39" i="4"/>
  <c r="EF40" i="4" s="1"/>
  <c r="EF42" i="4" s="1"/>
  <c r="EF43" i="4" s="1"/>
  <c r="EF11" i="4"/>
  <c r="EF47" i="4" s="1"/>
  <c r="EF9" i="4"/>
  <c r="EE39" i="4"/>
  <c r="EE40" i="4" s="1"/>
  <c r="EE42" i="4" s="1"/>
  <c r="EE43" i="4" s="1"/>
  <c r="EE11" i="4"/>
  <c r="EE47" i="4" s="1"/>
  <c r="EE9" i="4"/>
  <c r="ED39" i="4"/>
  <c r="ED40" i="4" s="1"/>
  <c r="ED42" i="4" s="1"/>
  <c r="ED43" i="4" s="1"/>
  <c r="ED11" i="4"/>
  <c r="ED47" i="4" s="1"/>
  <c r="ED9" i="4"/>
  <c r="EC39" i="4"/>
  <c r="EC40" i="4" s="1"/>
  <c r="EC42" i="4" s="1"/>
  <c r="EC43" i="4" s="1"/>
  <c r="EC11" i="4"/>
  <c r="EC47" i="4" s="1"/>
  <c r="EC9" i="4"/>
  <c r="EB39" i="4"/>
  <c r="EB40" i="4" s="1"/>
  <c r="EB42" i="4" s="1"/>
  <c r="EB43" i="4" s="1"/>
  <c r="EB11" i="4"/>
  <c r="EB47" i="4" s="1"/>
  <c r="EB9" i="4"/>
  <c r="EA39" i="4"/>
  <c r="EA40" i="4" s="1"/>
  <c r="EA42" i="4" s="1"/>
  <c r="EA43" i="4" s="1"/>
  <c r="EA11" i="4"/>
  <c r="EA47" i="4" s="1"/>
  <c r="EA9" i="4"/>
  <c r="DZ39" i="4"/>
  <c r="DZ40" i="4" s="1"/>
  <c r="DZ42" i="4" s="1"/>
  <c r="DZ43" i="4" s="1"/>
  <c r="DZ11" i="4"/>
  <c r="DZ47" i="4" s="1"/>
  <c r="DZ9" i="4"/>
  <c r="DW39" i="4"/>
  <c r="DW40" i="4" s="1"/>
  <c r="DW42" i="4" s="1"/>
  <c r="DW43" i="4" s="1"/>
  <c r="DW11" i="4"/>
  <c r="DW47" i="4" s="1"/>
  <c r="DW9" i="4"/>
  <c r="DV39" i="4"/>
  <c r="DV40" i="4" s="1"/>
  <c r="DV42" i="4" s="1"/>
  <c r="DV43" i="4" s="1"/>
  <c r="DV11" i="4"/>
  <c r="DV47" i="4" s="1"/>
  <c r="DV9" i="4"/>
  <c r="DU39" i="4"/>
  <c r="DU40" i="4" s="1"/>
  <c r="DU42" i="4" s="1"/>
  <c r="DU43" i="4" s="1"/>
  <c r="DU11" i="4"/>
  <c r="DU47" i="4" s="1"/>
  <c r="DU9" i="4"/>
  <c r="DT39" i="4"/>
  <c r="DT40" i="4" s="1"/>
  <c r="DT42" i="4" s="1"/>
  <c r="DT43" i="4" s="1"/>
  <c r="DT11" i="4"/>
  <c r="DT47" i="4" s="1"/>
  <c r="DT9" i="4"/>
  <c r="DS39" i="4"/>
  <c r="DS40" i="4" s="1"/>
  <c r="DS42" i="4" s="1"/>
  <c r="DS43" i="4" s="1"/>
  <c r="DS11" i="4"/>
  <c r="DS47" i="4" s="1"/>
  <c r="DS9" i="4"/>
  <c r="DR39" i="4"/>
  <c r="DR40" i="4" s="1"/>
  <c r="DR42" i="4" s="1"/>
  <c r="DR43" i="4" s="1"/>
  <c r="DR11" i="4"/>
  <c r="DR47" i="4" s="1"/>
  <c r="DR9" i="4"/>
  <c r="DQ39" i="4"/>
  <c r="DQ40" i="4" s="1"/>
  <c r="DQ42" i="4" s="1"/>
  <c r="DQ43" i="4" s="1"/>
  <c r="DQ11" i="4"/>
  <c r="DQ47" i="4" s="1"/>
  <c r="DQ9" i="4"/>
  <c r="DP39" i="4"/>
  <c r="DP40" i="4" s="1"/>
  <c r="DP42" i="4" s="1"/>
  <c r="DP43" i="4" s="1"/>
  <c r="DP11" i="4"/>
  <c r="DP47" i="4" s="1"/>
  <c r="DP9" i="4"/>
  <c r="DO39" i="4"/>
  <c r="DO40" i="4" s="1"/>
  <c r="DO42" i="4" s="1"/>
  <c r="DO43" i="4" s="1"/>
  <c r="DO11" i="4"/>
  <c r="DO47" i="4" s="1"/>
  <c r="DO9" i="4"/>
  <c r="DN39" i="4"/>
  <c r="DN40" i="4" s="1"/>
  <c r="DN42" i="4" s="1"/>
  <c r="DN43" i="4" s="1"/>
  <c r="DN11" i="4"/>
  <c r="DN47" i="4" s="1"/>
  <c r="DN9" i="4"/>
  <c r="DM39" i="4"/>
  <c r="DM40" i="4" s="1"/>
  <c r="DM42" i="4" s="1"/>
  <c r="DM43" i="4" s="1"/>
  <c r="DM11" i="4"/>
  <c r="DM47" i="4" s="1"/>
  <c r="DM9" i="4"/>
  <c r="DL39" i="4"/>
  <c r="DL40" i="4" s="1"/>
  <c r="DL42" i="4" s="1"/>
  <c r="DL43" i="4" s="1"/>
  <c r="DL11" i="4"/>
  <c r="DL47" i="4" s="1"/>
  <c r="DL9" i="4"/>
  <c r="DK39" i="4"/>
  <c r="DK40" i="4" s="1"/>
  <c r="DK42" i="4" s="1"/>
  <c r="DK43" i="4" s="1"/>
  <c r="DK11" i="4"/>
  <c r="DK47" i="4" s="1"/>
  <c r="DK9" i="4"/>
  <c r="DJ39" i="4"/>
  <c r="DJ40" i="4" s="1"/>
  <c r="DJ42" i="4" s="1"/>
  <c r="DJ43" i="4" s="1"/>
  <c r="DJ11" i="4"/>
  <c r="DJ47" i="4" s="1"/>
  <c r="DJ9" i="4"/>
  <c r="DI39" i="4"/>
  <c r="DI40" i="4" s="1"/>
  <c r="DI42" i="4" s="1"/>
  <c r="DI43" i="4" s="1"/>
  <c r="DI11" i="4"/>
  <c r="DI47" i="4" s="1"/>
  <c r="DI9" i="4"/>
  <c r="DH39" i="4"/>
  <c r="DH40" i="4" s="1"/>
  <c r="DH42" i="4" s="1"/>
  <c r="DH43" i="4" s="1"/>
  <c r="DH11" i="4"/>
  <c r="DH47" i="4" s="1"/>
  <c r="DH9" i="4"/>
  <c r="DG39" i="4"/>
  <c r="DG40" i="4" s="1"/>
  <c r="DG42" i="4" s="1"/>
  <c r="DG43" i="4" s="1"/>
  <c r="DG11" i="4"/>
  <c r="DG47" i="4" s="1"/>
  <c r="DG9" i="4"/>
  <c r="DF39" i="4"/>
  <c r="DF40" i="4" s="1"/>
  <c r="DF42" i="4" s="1"/>
  <c r="DF43" i="4" s="1"/>
  <c r="DF11" i="4"/>
  <c r="DF47" i="4" s="1"/>
  <c r="DF9" i="4"/>
  <c r="DE39" i="4"/>
  <c r="DE40" i="4" s="1"/>
  <c r="DE42" i="4" s="1"/>
  <c r="DE43" i="4" s="1"/>
  <c r="DE11" i="4"/>
  <c r="DE47" i="4" s="1"/>
  <c r="DE9" i="4"/>
  <c r="DD39" i="4"/>
  <c r="DD40" i="4" s="1"/>
  <c r="DD42" i="4" s="1"/>
  <c r="DD43" i="4" s="1"/>
  <c r="DD11" i="4"/>
  <c r="DD47" i="4" s="1"/>
  <c r="DD9" i="4"/>
  <c r="DC39" i="4"/>
  <c r="DC40" i="4" s="1"/>
  <c r="DC42" i="4" s="1"/>
  <c r="DC43" i="4" s="1"/>
  <c r="DC11" i="4"/>
  <c r="DC47" i="4" s="1"/>
  <c r="DC9" i="4"/>
  <c r="DB39" i="4"/>
  <c r="DB40" i="4" s="1"/>
  <c r="DB42" i="4" s="1"/>
  <c r="DB43" i="4" s="1"/>
  <c r="DB11" i="4"/>
  <c r="DB47" i="4" s="1"/>
  <c r="DB9" i="4"/>
  <c r="DA39" i="4"/>
  <c r="DA40" i="4" s="1"/>
  <c r="DA42" i="4" s="1"/>
  <c r="DA43" i="4" s="1"/>
  <c r="DA11" i="4"/>
  <c r="DA47" i="4" s="1"/>
  <c r="DA9" i="4"/>
  <c r="CZ39" i="4"/>
  <c r="CZ40" i="4" s="1"/>
  <c r="CZ42" i="4" s="1"/>
  <c r="CZ43" i="4" s="1"/>
  <c r="CZ11" i="4"/>
  <c r="CZ47" i="4" s="1"/>
  <c r="CZ9" i="4"/>
  <c r="CY39" i="4"/>
  <c r="CY40" i="4" s="1"/>
  <c r="CY42" i="4" s="1"/>
  <c r="CY43" i="4" s="1"/>
  <c r="CY11" i="4"/>
  <c r="CY47" i="4" s="1"/>
  <c r="CY9" i="4"/>
  <c r="CX39" i="4"/>
  <c r="CX40" i="4" s="1"/>
  <c r="CX42" i="4" s="1"/>
  <c r="CX43" i="4" s="1"/>
  <c r="CX11" i="4"/>
  <c r="CX47" i="4" s="1"/>
  <c r="CX9" i="4"/>
  <c r="CW39" i="4"/>
  <c r="CW40" i="4" s="1"/>
  <c r="CW42" i="4" s="1"/>
  <c r="CW43" i="4" s="1"/>
  <c r="CW11" i="4"/>
  <c r="CW47" i="4" s="1"/>
  <c r="CW9" i="4"/>
  <c r="CV39" i="4"/>
  <c r="CV40" i="4" s="1"/>
  <c r="CV42" i="4" s="1"/>
  <c r="CV43" i="4" s="1"/>
  <c r="CV11" i="4"/>
  <c r="CV47" i="4" s="1"/>
  <c r="CV9" i="4"/>
  <c r="CU39" i="4"/>
  <c r="CU40" i="4" s="1"/>
  <c r="CU42" i="4" s="1"/>
  <c r="CU43" i="4" s="1"/>
  <c r="CU11" i="4"/>
  <c r="CU47" i="4" s="1"/>
  <c r="CU9" i="4"/>
  <c r="CR39" i="4"/>
  <c r="CR40" i="4" s="1"/>
  <c r="CR42" i="4" s="1"/>
  <c r="CR43" i="4" s="1"/>
  <c r="CR11" i="4"/>
  <c r="CR47" i="4" s="1"/>
  <c r="CR9" i="4"/>
  <c r="CQ39" i="4"/>
  <c r="CQ40" i="4" s="1"/>
  <c r="CQ42" i="4" s="1"/>
  <c r="CQ43" i="4" s="1"/>
  <c r="CQ11" i="4"/>
  <c r="CQ47" i="4" s="1"/>
  <c r="CQ9" i="4"/>
  <c r="CP39" i="4"/>
  <c r="CP40" i="4" s="1"/>
  <c r="CP42" i="4" s="1"/>
  <c r="CP43" i="4" s="1"/>
  <c r="CP11" i="4"/>
  <c r="CP47" i="4" s="1"/>
  <c r="CP9" i="4"/>
  <c r="CO39" i="4"/>
  <c r="CO40" i="4" s="1"/>
  <c r="CO42" i="4" s="1"/>
  <c r="CO43" i="4" s="1"/>
  <c r="CO11" i="4"/>
  <c r="CO47" i="4" s="1"/>
  <c r="CO9" i="4"/>
  <c r="CN39" i="4"/>
  <c r="CN40" i="4" s="1"/>
  <c r="CN42" i="4" s="1"/>
  <c r="CN43" i="4" s="1"/>
  <c r="CN11" i="4"/>
  <c r="CN47" i="4" s="1"/>
  <c r="CN9" i="4"/>
  <c r="CM39" i="4"/>
  <c r="CM40" i="4" s="1"/>
  <c r="CM42" i="4" s="1"/>
  <c r="CM43" i="4" s="1"/>
  <c r="CM11" i="4"/>
  <c r="CM47" i="4" s="1"/>
  <c r="CM9" i="4"/>
  <c r="CL39" i="4"/>
  <c r="CL40" i="4" s="1"/>
  <c r="CL42" i="4" s="1"/>
  <c r="CL43" i="4" s="1"/>
  <c r="CL11" i="4"/>
  <c r="CL47" i="4" s="1"/>
  <c r="CL9" i="4"/>
  <c r="CK39" i="4"/>
  <c r="CK40" i="4" s="1"/>
  <c r="CK42" i="4" s="1"/>
  <c r="CK43" i="4" s="1"/>
  <c r="CK11" i="4"/>
  <c r="CK47" i="4" s="1"/>
  <c r="CK9" i="4"/>
  <c r="CJ39" i="4"/>
  <c r="CJ40" i="4" s="1"/>
  <c r="CJ42" i="4" s="1"/>
  <c r="CJ43" i="4" s="1"/>
  <c r="CJ11" i="4"/>
  <c r="CJ47" i="4" s="1"/>
  <c r="CJ9" i="4"/>
  <c r="CI39" i="4"/>
  <c r="CI40" i="4" s="1"/>
  <c r="CI42" i="4" s="1"/>
  <c r="CI43" i="4" s="1"/>
  <c r="CI11" i="4"/>
  <c r="CI47" i="4" s="1"/>
  <c r="CI9" i="4"/>
  <c r="CH39" i="4"/>
  <c r="CH40" i="4" s="1"/>
  <c r="CH42" i="4" s="1"/>
  <c r="CH43" i="4" s="1"/>
  <c r="CH11" i="4"/>
  <c r="CH47" i="4" s="1"/>
  <c r="CH9" i="4"/>
  <c r="CG39" i="4"/>
  <c r="CG40" i="4" s="1"/>
  <c r="CG42" i="4" s="1"/>
  <c r="CG43" i="4" s="1"/>
  <c r="CG11" i="4"/>
  <c r="CG47" i="4" s="1"/>
  <c r="CG9" i="4"/>
  <c r="CF39" i="4"/>
  <c r="CF40" i="4" s="1"/>
  <c r="CF42" i="4" s="1"/>
  <c r="CF43" i="4" s="1"/>
  <c r="CF11" i="4"/>
  <c r="CF47" i="4" s="1"/>
  <c r="CF9" i="4"/>
  <c r="CE39" i="4"/>
  <c r="CE40" i="4" s="1"/>
  <c r="CE42" i="4" s="1"/>
  <c r="CE43" i="4" s="1"/>
  <c r="CE11" i="4"/>
  <c r="CE47" i="4" s="1"/>
  <c r="CE9" i="4"/>
  <c r="CD39" i="4"/>
  <c r="CD40" i="4" s="1"/>
  <c r="CD42" i="4" s="1"/>
  <c r="CD43" i="4" s="1"/>
  <c r="CD11" i="4"/>
  <c r="CD47" i="4" s="1"/>
  <c r="CD9" i="4"/>
  <c r="CC39" i="4"/>
  <c r="CC40" i="4" s="1"/>
  <c r="CC42" i="4" s="1"/>
  <c r="CC43" i="4" s="1"/>
  <c r="CC11" i="4"/>
  <c r="CC47" i="4" s="1"/>
  <c r="CC9" i="4"/>
  <c r="CB39" i="4"/>
  <c r="CB40" i="4" s="1"/>
  <c r="CB42" i="4" s="1"/>
  <c r="CB43" i="4" s="1"/>
  <c r="CB11" i="4"/>
  <c r="CB47" i="4" s="1"/>
  <c r="CB9" i="4"/>
  <c r="CA39" i="4"/>
  <c r="CA40" i="4" s="1"/>
  <c r="CA42" i="4" s="1"/>
  <c r="CA43" i="4" s="1"/>
  <c r="CA11" i="4"/>
  <c r="CA47" i="4" s="1"/>
  <c r="CA9" i="4"/>
  <c r="BZ39" i="4"/>
  <c r="BZ40" i="4" s="1"/>
  <c r="BZ42" i="4" s="1"/>
  <c r="BZ43" i="4" s="1"/>
  <c r="BZ11" i="4"/>
  <c r="BZ47" i="4" s="1"/>
  <c r="BZ9" i="4"/>
  <c r="BY39" i="4"/>
  <c r="BY40" i="4" s="1"/>
  <c r="BY42" i="4" s="1"/>
  <c r="BY43" i="4" s="1"/>
  <c r="BY11" i="4"/>
  <c r="BY47" i="4" s="1"/>
  <c r="BY9" i="4"/>
  <c r="BX39" i="4"/>
  <c r="BX40" i="4" s="1"/>
  <c r="BX42" i="4" s="1"/>
  <c r="BX43" i="4" s="1"/>
  <c r="BX11" i="4"/>
  <c r="BX47" i="4" s="1"/>
  <c r="BX9" i="4"/>
  <c r="BW39" i="4"/>
  <c r="BW40" i="4" s="1"/>
  <c r="BW42" i="4" s="1"/>
  <c r="BW43" i="4" s="1"/>
  <c r="BW11" i="4"/>
  <c r="BW47" i="4" s="1"/>
  <c r="BW9" i="4"/>
  <c r="BV39" i="4"/>
  <c r="BV40" i="4" s="1"/>
  <c r="BV42" i="4" s="1"/>
  <c r="BV43" i="4" s="1"/>
  <c r="BV11" i="4"/>
  <c r="BV47" i="4" s="1"/>
  <c r="BV9" i="4"/>
  <c r="BU39" i="4"/>
  <c r="BU40" i="4" s="1"/>
  <c r="BU42" i="4" s="1"/>
  <c r="BU43" i="4" s="1"/>
  <c r="BU11" i="4"/>
  <c r="BU47" i="4" s="1"/>
  <c r="BU9" i="4"/>
  <c r="BT39" i="4"/>
  <c r="BT40" i="4" s="1"/>
  <c r="BT42" i="4" s="1"/>
  <c r="BT43" i="4" s="1"/>
  <c r="BT11" i="4"/>
  <c r="BT47" i="4" s="1"/>
  <c r="BT9" i="4"/>
  <c r="BS39" i="4"/>
  <c r="BS40" i="4" s="1"/>
  <c r="BS42" i="4" s="1"/>
  <c r="BS43" i="4" s="1"/>
  <c r="BS11" i="4"/>
  <c r="BS47" i="4" s="1"/>
  <c r="BS9" i="4"/>
  <c r="BR39" i="4"/>
  <c r="BR40" i="4" s="1"/>
  <c r="BR42" i="4" s="1"/>
  <c r="BR43" i="4" s="1"/>
  <c r="BR11" i="4"/>
  <c r="BR47" i="4" s="1"/>
  <c r="BR9" i="4"/>
  <c r="BQ39" i="4"/>
  <c r="BQ40" i="4" s="1"/>
  <c r="BQ42" i="4" s="1"/>
  <c r="BQ43" i="4" s="1"/>
  <c r="BQ11" i="4"/>
  <c r="BQ47" i="4" s="1"/>
  <c r="BQ9" i="4"/>
  <c r="BP39" i="4"/>
  <c r="BP40" i="4" s="1"/>
  <c r="BP42" i="4" s="1"/>
  <c r="BP43" i="4" s="1"/>
  <c r="BP11" i="4"/>
  <c r="BP47" i="4" s="1"/>
  <c r="BP9" i="4"/>
  <c r="BO39" i="4"/>
  <c r="BO40" i="4" s="1"/>
  <c r="BO42" i="4" s="1"/>
  <c r="BO43" i="4" s="1"/>
  <c r="BO11" i="4"/>
  <c r="BO47" i="4" s="1"/>
  <c r="BO9" i="4"/>
  <c r="BL39" i="4"/>
  <c r="BL40" i="4" s="1"/>
  <c r="BL42" i="4" s="1"/>
  <c r="BL43" i="4" s="1"/>
  <c r="BL11" i="4"/>
  <c r="BL47" i="4" s="1"/>
  <c r="BL9" i="4"/>
  <c r="BK39" i="4"/>
  <c r="BK40" i="4" s="1"/>
  <c r="BK42" i="4" s="1"/>
  <c r="BK43" i="4" s="1"/>
  <c r="BK11" i="4"/>
  <c r="BK47" i="4" s="1"/>
  <c r="BK9" i="4"/>
  <c r="BJ39" i="4"/>
  <c r="BJ40" i="4" s="1"/>
  <c r="BJ42" i="4" s="1"/>
  <c r="BJ43" i="4" s="1"/>
  <c r="BJ11" i="4"/>
  <c r="BJ47" i="4" s="1"/>
  <c r="BJ9" i="4"/>
  <c r="BI39" i="4"/>
  <c r="BI40" i="4" s="1"/>
  <c r="BI42" i="4" s="1"/>
  <c r="BI43" i="4" s="1"/>
  <c r="BI11" i="4"/>
  <c r="BI47" i="4" s="1"/>
  <c r="BI9" i="4"/>
  <c r="BH39" i="4"/>
  <c r="BH40" i="4" s="1"/>
  <c r="BH42" i="4" s="1"/>
  <c r="BH43" i="4" s="1"/>
  <c r="BH11" i="4"/>
  <c r="BH47" i="4" s="1"/>
  <c r="BH9" i="4"/>
  <c r="BG39" i="4"/>
  <c r="BG40" i="4" s="1"/>
  <c r="BG42" i="4" s="1"/>
  <c r="BG43" i="4" s="1"/>
  <c r="BG11" i="4"/>
  <c r="BG47" i="4" s="1"/>
  <c r="BG9" i="4"/>
  <c r="BF39" i="4"/>
  <c r="BF40" i="4" s="1"/>
  <c r="BF42" i="4" s="1"/>
  <c r="BF43" i="4" s="1"/>
  <c r="BF11" i="4"/>
  <c r="BF47" i="4" s="1"/>
  <c r="BF9" i="4"/>
  <c r="BE39" i="4"/>
  <c r="BE40" i="4" s="1"/>
  <c r="BE42" i="4" s="1"/>
  <c r="BE43" i="4" s="1"/>
  <c r="BE11" i="4"/>
  <c r="BE47" i="4" s="1"/>
  <c r="BE9" i="4"/>
  <c r="BD39" i="4"/>
  <c r="BD40" i="4" s="1"/>
  <c r="BD42" i="4" s="1"/>
  <c r="BD43" i="4" s="1"/>
  <c r="BD11" i="4"/>
  <c r="BD47" i="4" s="1"/>
  <c r="BD9" i="4"/>
  <c r="BC39" i="4"/>
  <c r="BC40" i="4" s="1"/>
  <c r="BC42" i="4" s="1"/>
  <c r="BC43" i="4" s="1"/>
  <c r="BC11" i="4"/>
  <c r="BC47" i="4" s="1"/>
  <c r="BC9" i="4"/>
  <c r="BB39" i="4"/>
  <c r="BB40" i="4" s="1"/>
  <c r="BB42" i="4" s="1"/>
  <c r="BB43" i="4" s="1"/>
  <c r="BB11" i="4"/>
  <c r="BB47" i="4" s="1"/>
  <c r="BB9" i="4"/>
  <c r="BA39" i="4"/>
  <c r="BA40" i="4" s="1"/>
  <c r="BA42" i="4" s="1"/>
  <c r="BA43" i="4" s="1"/>
  <c r="BA11" i="4"/>
  <c r="BA47" i="4" s="1"/>
  <c r="BA9" i="4"/>
  <c r="AZ39" i="4"/>
  <c r="AZ40" i="4" s="1"/>
  <c r="AZ42" i="4" s="1"/>
  <c r="AZ43" i="4" s="1"/>
  <c r="AZ11" i="4"/>
  <c r="AZ47" i="4" s="1"/>
  <c r="AZ9" i="4"/>
  <c r="AY39" i="4"/>
  <c r="AY40" i="4" s="1"/>
  <c r="AY42" i="4" s="1"/>
  <c r="AY43" i="4" s="1"/>
  <c r="AY11" i="4"/>
  <c r="AY47" i="4" s="1"/>
  <c r="AY9" i="4"/>
  <c r="AX39" i="4"/>
  <c r="AX40" i="4" s="1"/>
  <c r="AX42" i="4" s="1"/>
  <c r="AX43" i="4" s="1"/>
  <c r="AX11" i="4"/>
  <c r="AX47" i="4" s="1"/>
  <c r="AX9" i="4"/>
  <c r="AW39" i="4"/>
  <c r="AW40" i="4" s="1"/>
  <c r="AW42" i="4" s="1"/>
  <c r="AW43" i="4" s="1"/>
  <c r="AW11" i="4"/>
  <c r="AW47" i="4" s="1"/>
  <c r="AW9" i="4"/>
  <c r="AV39" i="4"/>
  <c r="AV40" i="4" s="1"/>
  <c r="AV42" i="4" s="1"/>
  <c r="AV43" i="4" s="1"/>
  <c r="AV11" i="4"/>
  <c r="AV47" i="4" s="1"/>
  <c r="AV9" i="4"/>
  <c r="AU39" i="4"/>
  <c r="AU40" i="4" s="1"/>
  <c r="AU42" i="4" s="1"/>
  <c r="AU43" i="4" s="1"/>
  <c r="AU11" i="4"/>
  <c r="AU47" i="4" s="1"/>
  <c r="AU9" i="4"/>
  <c r="AT39" i="4"/>
  <c r="AT40" i="4" s="1"/>
  <c r="AT42" i="4" s="1"/>
  <c r="AT43" i="4" s="1"/>
  <c r="AT11" i="4"/>
  <c r="AT47" i="4" s="1"/>
  <c r="AT9" i="4"/>
  <c r="AS39" i="4"/>
  <c r="AS40" i="4" s="1"/>
  <c r="AS42" i="4" s="1"/>
  <c r="AS43" i="4" s="1"/>
  <c r="AS11" i="4"/>
  <c r="AS47" i="4" s="1"/>
  <c r="AS9" i="4"/>
  <c r="AR39" i="4"/>
  <c r="AR40" i="4" s="1"/>
  <c r="AR42" i="4" s="1"/>
  <c r="AR43" i="4" s="1"/>
  <c r="AR11" i="4"/>
  <c r="AR47" i="4" s="1"/>
  <c r="AR9" i="4"/>
  <c r="AQ39" i="4"/>
  <c r="AQ40" i="4" s="1"/>
  <c r="AQ42" i="4" s="1"/>
  <c r="AQ43" i="4" s="1"/>
  <c r="AQ11" i="4"/>
  <c r="AQ47" i="4" s="1"/>
  <c r="AQ9" i="4"/>
  <c r="AP39" i="4"/>
  <c r="AP40" i="4" s="1"/>
  <c r="AP42" i="4" s="1"/>
  <c r="AP43" i="4" s="1"/>
  <c r="AP11" i="4"/>
  <c r="AP47" i="4" s="1"/>
  <c r="AP9" i="4"/>
  <c r="AO39" i="4"/>
  <c r="AO40" i="4" s="1"/>
  <c r="AO42" i="4" s="1"/>
  <c r="AO43" i="4" s="1"/>
  <c r="AO11" i="4"/>
  <c r="AO47" i="4" s="1"/>
  <c r="AO9" i="4"/>
  <c r="AN39" i="4"/>
  <c r="AN40" i="4" s="1"/>
  <c r="AN42" i="4" s="1"/>
  <c r="AN43" i="4" s="1"/>
  <c r="AN11" i="4"/>
  <c r="AN47" i="4" s="1"/>
  <c r="AN9" i="4"/>
  <c r="AM39" i="4"/>
  <c r="AM40" i="4" s="1"/>
  <c r="AM42" i="4" s="1"/>
  <c r="AM43" i="4" s="1"/>
  <c r="AM11" i="4"/>
  <c r="AM47" i="4" s="1"/>
  <c r="AM9" i="4"/>
  <c r="AL39" i="4"/>
  <c r="AL40" i="4" s="1"/>
  <c r="AL42" i="4" s="1"/>
  <c r="AL43" i="4" s="1"/>
  <c r="AL11" i="4"/>
  <c r="AL47" i="4" s="1"/>
  <c r="AL9" i="4"/>
  <c r="AK39" i="4"/>
  <c r="AK40" i="4" s="1"/>
  <c r="AK42" i="4" s="1"/>
  <c r="AK43" i="4" s="1"/>
  <c r="AK11" i="4"/>
  <c r="AK47" i="4" s="1"/>
  <c r="AK9" i="4"/>
  <c r="AJ39" i="4"/>
  <c r="AJ40" i="4" s="1"/>
  <c r="AJ42" i="4" s="1"/>
  <c r="AJ43" i="4" s="1"/>
  <c r="AJ11" i="4"/>
  <c r="AJ47" i="4" s="1"/>
  <c r="AJ9" i="4"/>
  <c r="AG39" i="4"/>
  <c r="AG40" i="4" s="1"/>
  <c r="AG42" i="4" s="1"/>
  <c r="AG43" i="4" s="1"/>
  <c r="AG11" i="4"/>
  <c r="AG47" i="4" s="1"/>
  <c r="AG9" i="4"/>
  <c r="AF39" i="4"/>
  <c r="AF40" i="4" s="1"/>
  <c r="AF42" i="4" s="1"/>
  <c r="AF43" i="4" s="1"/>
  <c r="AF11" i="4"/>
  <c r="AF47" i="4" s="1"/>
  <c r="AF9" i="4"/>
  <c r="AE39" i="4"/>
  <c r="AE40" i="4" s="1"/>
  <c r="AE42" i="4" s="1"/>
  <c r="AE43" i="4" s="1"/>
  <c r="AE11" i="4"/>
  <c r="AE47" i="4" s="1"/>
  <c r="AE9" i="4"/>
  <c r="AD39" i="4"/>
  <c r="AD40" i="4" s="1"/>
  <c r="AD42" i="4" s="1"/>
  <c r="AD43" i="4" s="1"/>
  <c r="AD11" i="4"/>
  <c r="AD47" i="4" s="1"/>
  <c r="AD9" i="4"/>
  <c r="AC39" i="4"/>
  <c r="AC40" i="4" s="1"/>
  <c r="AC42" i="4" s="1"/>
  <c r="AC43" i="4" s="1"/>
  <c r="AC11" i="4"/>
  <c r="AC47" i="4" s="1"/>
  <c r="AC9" i="4"/>
  <c r="AB39" i="4"/>
  <c r="AB40" i="4" s="1"/>
  <c r="AB42" i="4" s="1"/>
  <c r="AB43" i="4" s="1"/>
  <c r="AB11" i="4"/>
  <c r="AB47" i="4" s="1"/>
  <c r="AB9" i="4"/>
  <c r="AA39" i="4"/>
  <c r="AA40" i="4" s="1"/>
  <c r="AA42" i="4" s="1"/>
  <c r="AA43" i="4" s="1"/>
  <c r="AA11" i="4"/>
  <c r="AA47" i="4" s="1"/>
  <c r="AA9" i="4"/>
  <c r="Z39" i="4"/>
  <c r="Z40" i="4" s="1"/>
  <c r="Z42" i="4" s="1"/>
  <c r="Z43" i="4" s="1"/>
  <c r="Z11" i="4"/>
  <c r="Z47" i="4" s="1"/>
  <c r="Z9" i="4"/>
  <c r="Y39" i="4"/>
  <c r="Y40" i="4" s="1"/>
  <c r="Y42" i="4" s="1"/>
  <c r="Y43" i="4" s="1"/>
  <c r="Y11" i="4"/>
  <c r="Y47" i="4" s="1"/>
  <c r="Y9" i="4"/>
  <c r="X39" i="4"/>
  <c r="X40" i="4" s="1"/>
  <c r="X42" i="4" s="1"/>
  <c r="X43" i="4" s="1"/>
  <c r="X11" i="4"/>
  <c r="X47" i="4" s="1"/>
  <c r="X9" i="4"/>
  <c r="W39" i="4"/>
  <c r="W40" i="4" s="1"/>
  <c r="W42" i="4" s="1"/>
  <c r="W43" i="4" s="1"/>
  <c r="W11" i="4"/>
  <c r="W47" i="4" s="1"/>
  <c r="W9" i="4"/>
  <c r="V39" i="4"/>
  <c r="V40" i="4" s="1"/>
  <c r="V42" i="4" s="1"/>
  <c r="V43" i="4" s="1"/>
  <c r="V11" i="4"/>
  <c r="V47" i="4" s="1"/>
  <c r="V9" i="4"/>
  <c r="U39" i="4"/>
  <c r="U40" i="4" s="1"/>
  <c r="U42" i="4" s="1"/>
  <c r="U43" i="4" s="1"/>
  <c r="U11" i="4"/>
  <c r="U47" i="4" s="1"/>
  <c r="U9" i="4"/>
  <c r="T39" i="4"/>
  <c r="T40" i="4" s="1"/>
  <c r="T42" i="4" s="1"/>
  <c r="T43" i="4" s="1"/>
  <c r="T11" i="4"/>
  <c r="T47" i="4" s="1"/>
  <c r="T9" i="4"/>
  <c r="S39" i="4"/>
  <c r="S40" i="4" s="1"/>
  <c r="S42" i="4" s="1"/>
  <c r="S43" i="4" s="1"/>
  <c r="S11" i="4"/>
  <c r="S47" i="4" s="1"/>
  <c r="S9" i="4"/>
  <c r="R39" i="4"/>
  <c r="R40" i="4" s="1"/>
  <c r="R42" i="4" s="1"/>
  <c r="R43" i="4" s="1"/>
  <c r="R11" i="4"/>
  <c r="R47" i="4" s="1"/>
  <c r="R9" i="4"/>
  <c r="Q39" i="4"/>
  <c r="Q40" i="4" s="1"/>
  <c r="Q42" i="4" s="1"/>
  <c r="Q43" i="4" s="1"/>
  <c r="Q11" i="4"/>
  <c r="Q47" i="4" s="1"/>
  <c r="Q9" i="4"/>
  <c r="P39" i="4"/>
  <c r="P40" i="4" s="1"/>
  <c r="P42" i="4" s="1"/>
  <c r="P43" i="4" s="1"/>
  <c r="P11" i="4"/>
  <c r="P47" i="4" s="1"/>
  <c r="P9" i="4"/>
  <c r="O39" i="4"/>
  <c r="O40" i="4" s="1"/>
  <c r="O42" i="4" s="1"/>
  <c r="O43" i="4" s="1"/>
  <c r="O11" i="4"/>
  <c r="O47" i="4" s="1"/>
  <c r="O9" i="4"/>
  <c r="N39" i="4"/>
  <c r="N40" i="4" s="1"/>
  <c r="N42" i="4" s="1"/>
  <c r="N43" i="4" s="1"/>
  <c r="N11" i="4"/>
  <c r="N47" i="4" s="1"/>
  <c r="N9" i="4"/>
  <c r="M39" i="4"/>
  <c r="M40" i="4" s="1"/>
  <c r="M42" i="4" s="1"/>
  <c r="M43" i="4" s="1"/>
  <c r="M11" i="4"/>
  <c r="M47" i="4" s="1"/>
  <c r="M9" i="4"/>
  <c r="L39" i="4"/>
  <c r="L40" i="4" s="1"/>
  <c r="L42" i="4" s="1"/>
  <c r="L43" i="4" s="1"/>
  <c r="L11" i="4"/>
  <c r="L47" i="4" s="1"/>
  <c r="L9" i="4"/>
  <c r="K39" i="4"/>
  <c r="K40" i="4" s="1"/>
  <c r="K42" i="4" s="1"/>
  <c r="K43" i="4" s="1"/>
  <c r="K11" i="4"/>
  <c r="K47" i="4" s="1"/>
  <c r="K9" i="4"/>
  <c r="J39" i="4"/>
  <c r="J40" i="4" s="1"/>
  <c r="J42" i="4" s="1"/>
  <c r="J43" i="4" s="1"/>
  <c r="J11" i="4"/>
  <c r="J47" i="4" s="1"/>
  <c r="J9" i="4"/>
  <c r="I9" i="4"/>
  <c r="I39" i="4"/>
  <c r="I40" i="4" s="1"/>
  <c r="I42" i="4" s="1"/>
  <c r="I43" i="4" s="1"/>
  <c r="I45" i="4" s="1"/>
  <c r="I11" i="4"/>
  <c r="I47" i="4" s="1"/>
  <c r="H39" i="4"/>
  <c r="H40" i="4" s="1"/>
  <c r="H42" i="4" s="1"/>
  <c r="H43" i="4" s="1"/>
  <c r="H11" i="4"/>
  <c r="H47" i="4" s="1"/>
  <c r="H9" i="4"/>
  <c r="G9" i="4"/>
  <c r="G39" i="4"/>
  <c r="G11" i="4"/>
  <c r="G47" i="4" s="1"/>
  <c r="F11" i="4"/>
  <c r="F47" i="4" s="1"/>
  <c r="F48" i="4" s="1"/>
  <c r="F9" i="4"/>
  <c r="F12" i="4" s="1"/>
  <c r="F28" i="4" s="1"/>
  <c r="E11" i="4"/>
  <c r="E47" i="4" s="1"/>
  <c r="E48" i="4" s="1"/>
  <c r="E9" i="4"/>
  <c r="E12" i="4" s="1"/>
  <c r="E28" i="4" s="1"/>
  <c r="D9" i="4"/>
  <c r="D12" i="4" s="1"/>
  <c r="D28" i="4" s="1"/>
  <c r="D46" i="5" s="1"/>
  <c r="D11" i="4"/>
  <c r="D47" i="4" s="1"/>
  <c r="D48" i="4" s="1"/>
  <c r="AOB32" i="4"/>
  <c r="AOB33" i="4" s="1"/>
  <c r="AOB35" i="4" s="1"/>
  <c r="AOB36" i="4" s="1"/>
  <c r="AOB6" i="4"/>
  <c r="AOA32" i="4"/>
  <c r="AOA33" i="4" s="1"/>
  <c r="AOA35" i="4" s="1"/>
  <c r="AOA36" i="4" s="1"/>
  <c r="AOA6" i="4"/>
  <c r="ANZ32" i="4"/>
  <c r="ANZ33" i="4" s="1"/>
  <c r="ANZ35" i="4" s="1"/>
  <c r="ANZ36" i="4" s="1"/>
  <c r="ANZ6" i="4"/>
  <c r="ANY32" i="4"/>
  <c r="ANY33" i="4" s="1"/>
  <c r="ANY35" i="4" s="1"/>
  <c r="ANY36" i="4" s="1"/>
  <c r="ANY6" i="4"/>
  <c r="ANX32" i="4"/>
  <c r="ANX33" i="4" s="1"/>
  <c r="ANX35" i="4" s="1"/>
  <c r="ANX36" i="4" s="1"/>
  <c r="ANX6" i="4"/>
  <c r="ANW32" i="4"/>
  <c r="ANW33" i="4" s="1"/>
  <c r="ANW35" i="4" s="1"/>
  <c r="ANW36" i="4" s="1"/>
  <c r="ANW6" i="4"/>
  <c r="ANV32" i="4"/>
  <c r="ANV33" i="4" s="1"/>
  <c r="ANV35" i="4" s="1"/>
  <c r="ANV36" i="4" s="1"/>
  <c r="ANV6" i="4"/>
  <c r="ANU32" i="4"/>
  <c r="ANU33" i="4" s="1"/>
  <c r="ANU35" i="4" s="1"/>
  <c r="ANU36" i="4" s="1"/>
  <c r="ANU6" i="4"/>
  <c r="ANT32" i="4"/>
  <c r="ANT33" i="4" s="1"/>
  <c r="ANT35" i="4" s="1"/>
  <c r="ANT36" i="4" s="1"/>
  <c r="ANT6" i="4"/>
  <c r="ANS32" i="4"/>
  <c r="ANS33" i="4" s="1"/>
  <c r="ANS35" i="4" s="1"/>
  <c r="ANS36" i="4" s="1"/>
  <c r="ANS6" i="4"/>
  <c r="ANR32" i="4"/>
  <c r="ANR33" i="4" s="1"/>
  <c r="ANR35" i="4" s="1"/>
  <c r="ANR36" i="4" s="1"/>
  <c r="ANR6" i="4"/>
  <c r="ANQ32" i="4"/>
  <c r="ANQ33" i="4" s="1"/>
  <c r="ANQ35" i="4" s="1"/>
  <c r="ANQ36" i="4" s="1"/>
  <c r="ANQ6" i="4"/>
  <c r="ANP32" i="4"/>
  <c r="ANP33" i="4" s="1"/>
  <c r="ANP35" i="4" s="1"/>
  <c r="ANP36" i="4" s="1"/>
  <c r="ANP6" i="4"/>
  <c r="ANO32" i="4"/>
  <c r="ANO33" i="4" s="1"/>
  <c r="ANO35" i="4" s="1"/>
  <c r="ANO36" i="4" s="1"/>
  <c r="ANO6" i="4"/>
  <c r="ANN32" i="4"/>
  <c r="ANN33" i="4" s="1"/>
  <c r="ANN35" i="4" s="1"/>
  <c r="ANN36" i="4" s="1"/>
  <c r="ANN6" i="4"/>
  <c r="ANM32" i="4"/>
  <c r="ANM33" i="4" s="1"/>
  <c r="ANM35" i="4" s="1"/>
  <c r="ANM36" i="4" s="1"/>
  <c r="ANM6" i="4"/>
  <c r="ANL32" i="4"/>
  <c r="ANL33" i="4" s="1"/>
  <c r="ANL35" i="4" s="1"/>
  <c r="ANL36" i="4" s="1"/>
  <c r="ANL6" i="4"/>
  <c r="ANK32" i="4"/>
  <c r="ANK33" i="4" s="1"/>
  <c r="ANK35" i="4" s="1"/>
  <c r="ANK36" i="4" s="1"/>
  <c r="ANK6" i="4"/>
  <c r="ANJ32" i="4"/>
  <c r="ANJ33" i="4" s="1"/>
  <c r="ANJ35" i="4" s="1"/>
  <c r="ANJ36" i="4" s="1"/>
  <c r="ANJ6" i="4"/>
  <c r="ANI32" i="4"/>
  <c r="ANI33" i="4" s="1"/>
  <c r="ANI35" i="4" s="1"/>
  <c r="ANI36" i="4" s="1"/>
  <c r="ANI6" i="4"/>
  <c r="ANH32" i="4"/>
  <c r="ANH33" i="4" s="1"/>
  <c r="ANH35" i="4" s="1"/>
  <c r="ANH36" i="4" s="1"/>
  <c r="ANH6" i="4"/>
  <c r="ANG32" i="4"/>
  <c r="ANG33" i="4" s="1"/>
  <c r="ANG35" i="4" s="1"/>
  <c r="ANG36" i="4" s="1"/>
  <c r="ANG6" i="4"/>
  <c r="ANF32" i="4"/>
  <c r="ANF33" i="4" s="1"/>
  <c r="ANF35" i="4" s="1"/>
  <c r="ANF36" i="4" s="1"/>
  <c r="ANF6" i="4"/>
  <c r="ANE32" i="4"/>
  <c r="ANE33" i="4" s="1"/>
  <c r="ANE35" i="4" s="1"/>
  <c r="ANE36" i="4" s="1"/>
  <c r="ANE6" i="4"/>
  <c r="AND32" i="4"/>
  <c r="AND33" i="4" s="1"/>
  <c r="AND35" i="4" s="1"/>
  <c r="AND36" i="4" s="1"/>
  <c r="AND6" i="4"/>
  <c r="ANC32" i="4"/>
  <c r="ANC33" i="4" s="1"/>
  <c r="ANC35" i="4" s="1"/>
  <c r="ANC36" i="4" s="1"/>
  <c r="ANC6" i="4"/>
  <c r="ANB32" i="4"/>
  <c r="ANB33" i="4" s="1"/>
  <c r="ANB35" i="4" s="1"/>
  <c r="ANB36" i="4" s="1"/>
  <c r="ANB6" i="4"/>
  <c r="ANA32" i="4"/>
  <c r="ANA33" i="4" s="1"/>
  <c r="ANA35" i="4" s="1"/>
  <c r="ANA36" i="4" s="1"/>
  <c r="ANA6" i="4"/>
  <c r="AMZ32" i="4"/>
  <c r="AMZ33" i="4" s="1"/>
  <c r="AMZ35" i="4" s="1"/>
  <c r="AMZ36" i="4" s="1"/>
  <c r="AMZ6" i="4"/>
  <c r="AMX32" i="4"/>
  <c r="AMX33" i="4" s="1"/>
  <c r="AMX35" i="4" s="1"/>
  <c r="AMX36" i="4" s="1"/>
  <c r="AMX6" i="4"/>
  <c r="AMW32" i="4"/>
  <c r="AMW33" i="4" s="1"/>
  <c r="AMW35" i="4" s="1"/>
  <c r="AMW36" i="4" s="1"/>
  <c r="AMW6" i="4"/>
  <c r="AMV32" i="4"/>
  <c r="AMV33" i="4" s="1"/>
  <c r="AMV35" i="4" s="1"/>
  <c r="AMV36" i="4" s="1"/>
  <c r="AMV6" i="4"/>
  <c r="AMU32" i="4"/>
  <c r="AMU33" i="4" s="1"/>
  <c r="AMU35" i="4" s="1"/>
  <c r="AMU36" i="4" s="1"/>
  <c r="AMU6" i="4"/>
  <c r="AMT32" i="4"/>
  <c r="AMT33" i="4" s="1"/>
  <c r="AMT35" i="4" s="1"/>
  <c r="AMT36" i="4" s="1"/>
  <c r="AMT6" i="4"/>
  <c r="AMS32" i="4"/>
  <c r="AMS33" i="4" s="1"/>
  <c r="AMS35" i="4" s="1"/>
  <c r="AMS36" i="4" s="1"/>
  <c r="AMS6" i="4"/>
  <c r="AMR32" i="4"/>
  <c r="AMR33" i="4" s="1"/>
  <c r="AMR35" i="4" s="1"/>
  <c r="AMR36" i="4" s="1"/>
  <c r="AMR6" i="4"/>
  <c r="AMQ32" i="4"/>
  <c r="AMQ33" i="4" s="1"/>
  <c r="AMQ35" i="4" s="1"/>
  <c r="AMQ36" i="4" s="1"/>
  <c r="AMQ6" i="4"/>
  <c r="AMP32" i="4"/>
  <c r="AMP33" i="4" s="1"/>
  <c r="AMP35" i="4" s="1"/>
  <c r="AMP36" i="4" s="1"/>
  <c r="AMP6" i="4"/>
  <c r="AMO32" i="4"/>
  <c r="AMO33" i="4" s="1"/>
  <c r="AMO35" i="4" s="1"/>
  <c r="AMO36" i="4" s="1"/>
  <c r="AMO6" i="4"/>
  <c r="AMN32" i="4"/>
  <c r="AMN33" i="4" s="1"/>
  <c r="AMN35" i="4" s="1"/>
  <c r="AMN36" i="4" s="1"/>
  <c r="AMN6" i="4"/>
  <c r="AMM32" i="4"/>
  <c r="AMM33" i="4" s="1"/>
  <c r="AMM35" i="4" s="1"/>
  <c r="AMM36" i="4" s="1"/>
  <c r="AMM6" i="4"/>
  <c r="AML32" i="4"/>
  <c r="AML33" i="4" s="1"/>
  <c r="AML35" i="4" s="1"/>
  <c r="AML36" i="4" s="1"/>
  <c r="AML6" i="4"/>
  <c r="AMK32" i="4"/>
  <c r="AMK33" i="4" s="1"/>
  <c r="AMK35" i="4" s="1"/>
  <c r="AMK36" i="4" s="1"/>
  <c r="AMK6" i="4"/>
  <c r="AMJ32" i="4"/>
  <c r="AMJ33" i="4" s="1"/>
  <c r="AMJ35" i="4" s="1"/>
  <c r="AMJ36" i="4" s="1"/>
  <c r="AMJ6" i="4"/>
  <c r="AMI32" i="4"/>
  <c r="AMI33" i="4" s="1"/>
  <c r="AMI35" i="4" s="1"/>
  <c r="AMI36" i="4" s="1"/>
  <c r="AMI6" i="4"/>
  <c r="AMH32" i="4"/>
  <c r="AMH33" i="4" s="1"/>
  <c r="AMH35" i="4" s="1"/>
  <c r="AMH36" i="4" s="1"/>
  <c r="AMH6" i="4"/>
  <c r="AMG32" i="4"/>
  <c r="AMG33" i="4" s="1"/>
  <c r="AMG35" i="4" s="1"/>
  <c r="AMG36" i="4" s="1"/>
  <c r="AMG6" i="4"/>
  <c r="AMF32" i="4"/>
  <c r="AMF33" i="4" s="1"/>
  <c r="AMF35" i="4" s="1"/>
  <c r="AMF36" i="4" s="1"/>
  <c r="AMF6" i="4"/>
  <c r="AME32" i="4"/>
  <c r="AME33" i="4" s="1"/>
  <c r="AME35" i="4" s="1"/>
  <c r="AME36" i="4" s="1"/>
  <c r="AME6" i="4"/>
  <c r="AMD32" i="4"/>
  <c r="AMD33" i="4" s="1"/>
  <c r="AMD35" i="4" s="1"/>
  <c r="AMD36" i="4" s="1"/>
  <c r="AMD6" i="4"/>
  <c r="AMC32" i="4"/>
  <c r="AMC33" i="4" s="1"/>
  <c r="AMC35" i="4" s="1"/>
  <c r="AMC36" i="4" s="1"/>
  <c r="AMC6" i="4"/>
  <c r="AMB32" i="4"/>
  <c r="AMB33" i="4" s="1"/>
  <c r="AMB35" i="4" s="1"/>
  <c r="AMB36" i="4" s="1"/>
  <c r="AMB6" i="4"/>
  <c r="AMA32" i="4"/>
  <c r="AMA33" i="4" s="1"/>
  <c r="AMA35" i="4" s="1"/>
  <c r="AMA36" i="4" s="1"/>
  <c r="AMA6" i="4"/>
  <c r="ALZ32" i="4"/>
  <c r="ALZ33" i="4" s="1"/>
  <c r="ALZ35" i="4" s="1"/>
  <c r="ALZ36" i="4" s="1"/>
  <c r="ALZ6" i="4"/>
  <c r="ALY32" i="4"/>
  <c r="ALY33" i="4" s="1"/>
  <c r="ALY35" i="4" s="1"/>
  <c r="ALY36" i="4" s="1"/>
  <c r="ALY6" i="4"/>
  <c r="ALX32" i="4"/>
  <c r="ALX33" i="4" s="1"/>
  <c r="ALX35" i="4" s="1"/>
  <c r="ALX36" i="4" s="1"/>
  <c r="ALX6" i="4"/>
  <c r="ALW32" i="4"/>
  <c r="ALW33" i="4" s="1"/>
  <c r="ALW35" i="4" s="1"/>
  <c r="ALW36" i="4" s="1"/>
  <c r="ALW6" i="4"/>
  <c r="ALV32" i="4"/>
  <c r="ALV33" i="4" s="1"/>
  <c r="ALV35" i="4" s="1"/>
  <c r="ALV36" i="4" s="1"/>
  <c r="ALV6" i="4"/>
  <c r="ALS32" i="4"/>
  <c r="ALS33" i="4" s="1"/>
  <c r="ALS35" i="4" s="1"/>
  <c r="ALS36" i="4" s="1"/>
  <c r="ALS6" i="4"/>
  <c r="ALR32" i="4"/>
  <c r="ALR33" i="4" s="1"/>
  <c r="ALR35" i="4" s="1"/>
  <c r="ALR36" i="4" s="1"/>
  <c r="ALR6" i="4"/>
  <c r="ALQ32" i="4"/>
  <c r="ALQ33" i="4" s="1"/>
  <c r="ALQ35" i="4" s="1"/>
  <c r="ALQ36" i="4" s="1"/>
  <c r="ALQ6" i="4"/>
  <c r="ALP32" i="4"/>
  <c r="ALP33" i="4" s="1"/>
  <c r="ALP35" i="4" s="1"/>
  <c r="ALP36" i="4" s="1"/>
  <c r="ALP6" i="4"/>
  <c r="ALO32" i="4"/>
  <c r="ALO33" i="4" s="1"/>
  <c r="ALO35" i="4" s="1"/>
  <c r="ALO36" i="4" s="1"/>
  <c r="ALO6" i="4"/>
  <c r="ALN32" i="4"/>
  <c r="ALN33" i="4" s="1"/>
  <c r="ALN35" i="4" s="1"/>
  <c r="ALN36" i="4" s="1"/>
  <c r="ALN6" i="4"/>
  <c r="ALM32" i="4"/>
  <c r="ALM33" i="4" s="1"/>
  <c r="ALM35" i="4" s="1"/>
  <c r="ALM36" i="4" s="1"/>
  <c r="ALM6" i="4"/>
  <c r="ALL32" i="4"/>
  <c r="ALL33" i="4" s="1"/>
  <c r="ALL35" i="4" s="1"/>
  <c r="ALL36" i="4" s="1"/>
  <c r="ALL6" i="4"/>
  <c r="ALK32" i="4"/>
  <c r="ALK33" i="4" s="1"/>
  <c r="ALK35" i="4" s="1"/>
  <c r="ALK36" i="4" s="1"/>
  <c r="ALK6" i="4"/>
  <c r="ALJ32" i="4"/>
  <c r="ALJ33" i="4" s="1"/>
  <c r="ALJ35" i="4" s="1"/>
  <c r="ALJ36" i="4" s="1"/>
  <c r="ALJ6" i="4"/>
  <c r="ALI32" i="4"/>
  <c r="ALI33" i="4" s="1"/>
  <c r="ALI35" i="4" s="1"/>
  <c r="ALI36" i="4" s="1"/>
  <c r="ALI6" i="4"/>
  <c r="ALH32" i="4"/>
  <c r="ALH33" i="4" s="1"/>
  <c r="ALH35" i="4" s="1"/>
  <c r="ALH36" i="4" s="1"/>
  <c r="ALH6" i="4"/>
  <c r="ALG32" i="4"/>
  <c r="ALG33" i="4" s="1"/>
  <c r="ALG35" i="4" s="1"/>
  <c r="ALG36" i="4" s="1"/>
  <c r="ALG6" i="4"/>
  <c r="ALF32" i="4"/>
  <c r="ALF33" i="4" s="1"/>
  <c r="ALF35" i="4" s="1"/>
  <c r="ALF36" i="4" s="1"/>
  <c r="ALF6" i="4"/>
  <c r="ALE32" i="4"/>
  <c r="ALE33" i="4" s="1"/>
  <c r="ALE35" i="4" s="1"/>
  <c r="ALE36" i="4" s="1"/>
  <c r="ALE6" i="4"/>
  <c r="ALD32" i="4"/>
  <c r="ALD33" i="4" s="1"/>
  <c r="ALD35" i="4" s="1"/>
  <c r="ALD36" i="4" s="1"/>
  <c r="ALD6" i="4"/>
  <c r="ALC32" i="4"/>
  <c r="ALC33" i="4" s="1"/>
  <c r="ALC35" i="4" s="1"/>
  <c r="ALC36" i="4" s="1"/>
  <c r="ALC6" i="4"/>
  <c r="ALB32" i="4"/>
  <c r="ALB33" i="4" s="1"/>
  <c r="ALB35" i="4" s="1"/>
  <c r="ALB36" i="4" s="1"/>
  <c r="ALB6" i="4"/>
  <c r="ALA32" i="4"/>
  <c r="ALA33" i="4" s="1"/>
  <c r="ALA35" i="4" s="1"/>
  <c r="ALA36" i="4" s="1"/>
  <c r="ALA6" i="4"/>
  <c r="AKZ32" i="4"/>
  <c r="AKZ33" i="4" s="1"/>
  <c r="AKZ35" i="4" s="1"/>
  <c r="AKZ36" i="4" s="1"/>
  <c r="AKZ6" i="4"/>
  <c r="AKY32" i="4"/>
  <c r="AKY33" i="4" s="1"/>
  <c r="AKY35" i="4" s="1"/>
  <c r="AKY36" i="4" s="1"/>
  <c r="AKY6" i="4"/>
  <c r="AKX32" i="4"/>
  <c r="AKX33" i="4" s="1"/>
  <c r="AKX35" i="4" s="1"/>
  <c r="AKX36" i="4" s="1"/>
  <c r="AKX6" i="4"/>
  <c r="AKW32" i="4"/>
  <c r="AKW33" i="4" s="1"/>
  <c r="AKW35" i="4" s="1"/>
  <c r="AKW36" i="4" s="1"/>
  <c r="AKW6" i="4"/>
  <c r="AKV32" i="4"/>
  <c r="AKV33" i="4" s="1"/>
  <c r="AKV35" i="4" s="1"/>
  <c r="AKV36" i="4" s="1"/>
  <c r="AKV6" i="4"/>
  <c r="AKU32" i="4"/>
  <c r="AKU33" i="4" s="1"/>
  <c r="AKU35" i="4" s="1"/>
  <c r="AKU36" i="4" s="1"/>
  <c r="AKU6" i="4"/>
  <c r="AKT32" i="4"/>
  <c r="AKT33" i="4" s="1"/>
  <c r="AKT35" i="4" s="1"/>
  <c r="AKT36" i="4" s="1"/>
  <c r="AKT6" i="4"/>
  <c r="AKS32" i="4"/>
  <c r="AKS33" i="4" s="1"/>
  <c r="AKS35" i="4" s="1"/>
  <c r="AKS36" i="4" s="1"/>
  <c r="AKS6" i="4"/>
  <c r="AKR32" i="4"/>
  <c r="AKR33" i="4" s="1"/>
  <c r="AKR35" i="4" s="1"/>
  <c r="AKR36" i="4" s="1"/>
  <c r="AKR6" i="4"/>
  <c r="AKQ32" i="4"/>
  <c r="AKQ33" i="4" s="1"/>
  <c r="AKQ35" i="4" s="1"/>
  <c r="AKQ36" i="4" s="1"/>
  <c r="AKQ6" i="4"/>
  <c r="AKP32" i="4"/>
  <c r="AKP33" i="4" s="1"/>
  <c r="AKP35" i="4" s="1"/>
  <c r="AKP36" i="4" s="1"/>
  <c r="AKP6" i="4"/>
  <c r="AKM32" i="4"/>
  <c r="AKM33" i="4" s="1"/>
  <c r="AKM35" i="4" s="1"/>
  <c r="AKM36" i="4" s="1"/>
  <c r="AKM6" i="4"/>
  <c r="AKL32" i="4"/>
  <c r="AKL33" i="4" s="1"/>
  <c r="AKL35" i="4" s="1"/>
  <c r="AKL36" i="4" s="1"/>
  <c r="AKL6" i="4"/>
  <c r="AKK32" i="4"/>
  <c r="AKK33" i="4" s="1"/>
  <c r="AKK35" i="4" s="1"/>
  <c r="AKK36" i="4" s="1"/>
  <c r="AKK6" i="4"/>
  <c r="AKJ32" i="4"/>
  <c r="AKJ33" i="4" s="1"/>
  <c r="AKJ35" i="4" s="1"/>
  <c r="AKJ36" i="4" s="1"/>
  <c r="AKJ6" i="4"/>
  <c r="AKI32" i="4"/>
  <c r="AKI33" i="4" s="1"/>
  <c r="AKI35" i="4" s="1"/>
  <c r="AKI36" i="4" s="1"/>
  <c r="AKI6" i="4"/>
  <c r="AKH32" i="4"/>
  <c r="AKH33" i="4" s="1"/>
  <c r="AKH35" i="4" s="1"/>
  <c r="AKH36" i="4" s="1"/>
  <c r="AKH6" i="4"/>
  <c r="AKG32" i="4"/>
  <c r="AKG33" i="4" s="1"/>
  <c r="AKG35" i="4" s="1"/>
  <c r="AKG36" i="4" s="1"/>
  <c r="AKG6" i="4"/>
  <c r="AKF32" i="4"/>
  <c r="AKF33" i="4" s="1"/>
  <c r="AKF35" i="4" s="1"/>
  <c r="AKF36" i="4" s="1"/>
  <c r="AKF6" i="4"/>
  <c r="AKE32" i="4"/>
  <c r="AKE33" i="4" s="1"/>
  <c r="AKE35" i="4" s="1"/>
  <c r="AKE36" i="4" s="1"/>
  <c r="AKE6" i="4"/>
  <c r="AKD32" i="4"/>
  <c r="AKD33" i="4" s="1"/>
  <c r="AKD35" i="4" s="1"/>
  <c r="AKD36" i="4" s="1"/>
  <c r="AKD6" i="4"/>
  <c r="AKC32" i="4"/>
  <c r="AKC33" i="4" s="1"/>
  <c r="AKC35" i="4" s="1"/>
  <c r="AKC36" i="4" s="1"/>
  <c r="AKC6" i="4"/>
  <c r="AKB32" i="4"/>
  <c r="AKB33" i="4" s="1"/>
  <c r="AKB35" i="4" s="1"/>
  <c r="AKB36" i="4" s="1"/>
  <c r="AKB6" i="4"/>
  <c r="AKA32" i="4"/>
  <c r="AKA33" i="4" s="1"/>
  <c r="AKA35" i="4" s="1"/>
  <c r="AKA36" i="4" s="1"/>
  <c r="AKA6" i="4"/>
  <c r="AJZ32" i="4"/>
  <c r="AJZ33" i="4" s="1"/>
  <c r="AJZ35" i="4" s="1"/>
  <c r="AJZ36" i="4" s="1"/>
  <c r="AJZ6" i="4"/>
  <c r="AJY32" i="4"/>
  <c r="AJY33" i="4" s="1"/>
  <c r="AJY35" i="4" s="1"/>
  <c r="AJY36" i="4" s="1"/>
  <c r="AJY6" i="4"/>
  <c r="AJX32" i="4"/>
  <c r="AJX33" i="4" s="1"/>
  <c r="AJX35" i="4" s="1"/>
  <c r="AJX36" i="4" s="1"/>
  <c r="AJX6" i="4"/>
  <c r="AJW32" i="4"/>
  <c r="AJW33" i="4" s="1"/>
  <c r="AJW35" i="4" s="1"/>
  <c r="AJW36" i="4" s="1"/>
  <c r="AJW6" i="4"/>
  <c r="AJV32" i="4"/>
  <c r="AJV33" i="4" s="1"/>
  <c r="AJV35" i="4" s="1"/>
  <c r="AJV36" i="4" s="1"/>
  <c r="AJV6" i="4"/>
  <c r="AJU32" i="4"/>
  <c r="AJU33" i="4" s="1"/>
  <c r="AJU35" i="4" s="1"/>
  <c r="AJU36" i="4" s="1"/>
  <c r="AJU6" i="4"/>
  <c r="AJT32" i="4"/>
  <c r="AJT33" i="4" s="1"/>
  <c r="AJT35" i="4" s="1"/>
  <c r="AJT36" i="4" s="1"/>
  <c r="AJT6" i="4"/>
  <c r="AJS32" i="4"/>
  <c r="AJS33" i="4" s="1"/>
  <c r="AJS35" i="4" s="1"/>
  <c r="AJS36" i="4" s="1"/>
  <c r="AJS6" i="4"/>
  <c r="AJR32" i="4"/>
  <c r="AJR33" i="4" s="1"/>
  <c r="AJR35" i="4" s="1"/>
  <c r="AJR36" i="4" s="1"/>
  <c r="AJR6" i="4"/>
  <c r="AJQ32" i="4"/>
  <c r="AJQ33" i="4" s="1"/>
  <c r="AJQ35" i="4" s="1"/>
  <c r="AJQ36" i="4" s="1"/>
  <c r="AJQ6" i="4"/>
  <c r="AJP32" i="4"/>
  <c r="AJP33" i="4" s="1"/>
  <c r="AJP35" i="4" s="1"/>
  <c r="AJP36" i="4" s="1"/>
  <c r="AJP6" i="4"/>
  <c r="AJO32" i="4"/>
  <c r="AJO33" i="4" s="1"/>
  <c r="AJO35" i="4" s="1"/>
  <c r="AJO36" i="4" s="1"/>
  <c r="AJO6" i="4"/>
  <c r="AJN32" i="4"/>
  <c r="AJN33" i="4" s="1"/>
  <c r="AJN35" i="4" s="1"/>
  <c r="AJN36" i="4" s="1"/>
  <c r="AJN6" i="4"/>
  <c r="AJM32" i="4"/>
  <c r="AJM33" i="4" s="1"/>
  <c r="AJM35" i="4" s="1"/>
  <c r="AJM36" i="4" s="1"/>
  <c r="AJM6" i="4"/>
  <c r="AJJ32" i="4"/>
  <c r="AJJ33" i="4" s="1"/>
  <c r="AJJ35" i="4" s="1"/>
  <c r="AJJ36" i="4" s="1"/>
  <c r="AJJ6" i="4"/>
  <c r="AJI32" i="4"/>
  <c r="AJI33" i="4" s="1"/>
  <c r="AJI35" i="4" s="1"/>
  <c r="AJI36" i="4" s="1"/>
  <c r="AJI6" i="4"/>
  <c r="AJH32" i="4"/>
  <c r="AJH33" i="4" s="1"/>
  <c r="AJH35" i="4" s="1"/>
  <c r="AJH36" i="4" s="1"/>
  <c r="AJH6" i="4"/>
  <c r="AJG32" i="4"/>
  <c r="AJG33" i="4" s="1"/>
  <c r="AJG35" i="4" s="1"/>
  <c r="AJG36" i="4" s="1"/>
  <c r="AJG6" i="4"/>
  <c r="AJF32" i="4"/>
  <c r="AJF33" i="4" s="1"/>
  <c r="AJF35" i="4" s="1"/>
  <c r="AJF36" i="4" s="1"/>
  <c r="AJF6" i="4"/>
  <c r="AJE32" i="4"/>
  <c r="AJE33" i="4" s="1"/>
  <c r="AJE35" i="4" s="1"/>
  <c r="AJE36" i="4" s="1"/>
  <c r="AJE6" i="4"/>
  <c r="AJD32" i="4"/>
  <c r="AJD33" i="4" s="1"/>
  <c r="AJD35" i="4" s="1"/>
  <c r="AJD36" i="4" s="1"/>
  <c r="AJD6" i="4"/>
  <c r="AJC32" i="4"/>
  <c r="AJC33" i="4" s="1"/>
  <c r="AJC35" i="4" s="1"/>
  <c r="AJC36" i="4" s="1"/>
  <c r="AJC6" i="4"/>
  <c r="AJB32" i="4"/>
  <c r="AJB33" i="4" s="1"/>
  <c r="AJB35" i="4" s="1"/>
  <c r="AJB36" i="4" s="1"/>
  <c r="AJB6" i="4"/>
  <c r="AJA32" i="4"/>
  <c r="AJA33" i="4" s="1"/>
  <c r="AJA35" i="4" s="1"/>
  <c r="AJA36" i="4" s="1"/>
  <c r="AJA6" i="4"/>
  <c r="AIZ32" i="4"/>
  <c r="AIZ33" i="4" s="1"/>
  <c r="AIZ35" i="4" s="1"/>
  <c r="AIZ36" i="4" s="1"/>
  <c r="AIZ6" i="4"/>
  <c r="AIY32" i="4"/>
  <c r="AIY33" i="4" s="1"/>
  <c r="AIY35" i="4" s="1"/>
  <c r="AIY36" i="4" s="1"/>
  <c r="AIY6" i="4"/>
  <c r="AIX32" i="4"/>
  <c r="AIX33" i="4" s="1"/>
  <c r="AIX35" i="4" s="1"/>
  <c r="AIX36" i="4" s="1"/>
  <c r="AIX6" i="4"/>
  <c r="AIW32" i="4"/>
  <c r="AIW33" i="4" s="1"/>
  <c r="AIW35" i="4" s="1"/>
  <c r="AIW36" i="4" s="1"/>
  <c r="AIW6" i="4"/>
  <c r="AIV32" i="4"/>
  <c r="AIV33" i="4" s="1"/>
  <c r="AIV35" i="4" s="1"/>
  <c r="AIV36" i="4" s="1"/>
  <c r="AIV6" i="4"/>
  <c r="AIU32" i="4"/>
  <c r="AIU33" i="4" s="1"/>
  <c r="AIU35" i="4" s="1"/>
  <c r="AIU36" i="4" s="1"/>
  <c r="AIU6" i="4"/>
  <c r="AIT32" i="4"/>
  <c r="AIT33" i="4" s="1"/>
  <c r="AIT35" i="4" s="1"/>
  <c r="AIT36" i="4" s="1"/>
  <c r="AIT6" i="4"/>
  <c r="AIS32" i="4"/>
  <c r="AIS33" i="4" s="1"/>
  <c r="AIS35" i="4" s="1"/>
  <c r="AIS36" i="4" s="1"/>
  <c r="AIS6" i="4"/>
  <c r="AIR32" i="4"/>
  <c r="AIR33" i="4" s="1"/>
  <c r="AIR35" i="4" s="1"/>
  <c r="AIR36" i="4" s="1"/>
  <c r="AIR6" i="4"/>
  <c r="AIQ32" i="4"/>
  <c r="AIQ33" i="4" s="1"/>
  <c r="AIQ35" i="4" s="1"/>
  <c r="AIQ36" i="4" s="1"/>
  <c r="AIQ6" i="4"/>
  <c r="AIP32" i="4"/>
  <c r="AIP33" i="4" s="1"/>
  <c r="AIP35" i="4" s="1"/>
  <c r="AIP36" i="4" s="1"/>
  <c r="AIP6" i="4"/>
  <c r="AIO32" i="4"/>
  <c r="AIO33" i="4" s="1"/>
  <c r="AIO35" i="4" s="1"/>
  <c r="AIO36" i="4" s="1"/>
  <c r="AIO6" i="4"/>
  <c r="AIN32" i="4"/>
  <c r="AIN33" i="4" s="1"/>
  <c r="AIN35" i="4" s="1"/>
  <c r="AIN36" i="4" s="1"/>
  <c r="AIN6" i="4"/>
  <c r="AIM32" i="4"/>
  <c r="AIM33" i="4" s="1"/>
  <c r="AIM35" i="4" s="1"/>
  <c r="AIM36" i="4" s="1"/>
  <c r="AIM6" i="4"/>
  <c r="AIL32" i="4"/>
  <c r="AIL33" i="4" s="1"/>
  <c r="AIL35" i="4" s="1"/>
  <c r="AIL36" i="4" s="1"/>
  <c r="AIL6" i="4"/>
  <c r="AIK32" i="4"/>
  <c r="AIK33" i="4" s="1"/>
  <c r="AIK35" i="4" s="1"/>
  <c r="AIK36" i="4" s="1"/>
  <c r="AIK6" i="4"/>
  <c r="AIJ32" i="4"/>
  <c r="AIJ33" i="4" s="1"/>
  <c r="AIJ35" i="4" s="1"/>
  <c r="AIJ36" i="4" s="1"/>
  <c r="AIJ6" i="4"/>
  <c r="AII32" i="4"/>
  <c r="AII33" i="4" s="1"/>
  <c r="AII35" i="4" s="1"/>
  <c r="AII36" i="4" s="1"/>
  <c r="AII6" i="4"/>
  <c r="AIH32" i="4"/>
  <c r="AIH33" i="4" s="1"/>
  <c r="AIH35" i="4" s="1"/>
  <c r="AIH36" i="4" s="1"/>
  <c r="AIH6" i="4"/>
  <c r="AIG32" i="4"/>
  <c r="AIG33" i="4" s="1"/>
  <c r="AIG35" i="4" s="1"/>
  <c r="AIG36" i="4" s="1"/>
  <c r="AJK36" i="4" s="1"/>
  <c r="AIG6" i="4"/>
  <c r="AID32" i="4"/>
  <c r="AID33" i="4" s="1"/>
  <c r="AID35" i="4" s="1"/>
  <c r="AID36" i="4" s="1"/>
  <c r="AID6" i="4"/>
  <c r="AIC32" i="4"/>
  <c r="AIC33" i="4" s="1"/>
  <c r="AIC35" i="4" s="1"/>
  <c r="AIC36" i="4" s="1"/>
  <c r="AIC6" i="4"/>
  <c r="AIB32" i="4"/>
  <c r="AIB33" i="4" s="1"/>
  <c r="AIB35" i="4" s="1"/>
  <c r="AIB36" i="4" s="1"/>
  <c r="AIB6" i="4"/>
  <c r="AIA32" i="4"/>
  <c r="AIA33" i="4" s="1"/>
  <c r="AIA35" i="4" s="1"/>
  <c r="AIA36" i="4" s="1"/>
  <c r="AIA6" i="4"/>
  <c r="AHZ32" i="4"/>
  <c r="AHZ33" i="4" s="1"/>
  <c r="AHZ35" i="4" s="1"/>
  <c r="AHZ36" i="4" s="1"/>
  <c r="AHZ6" i="4"/>
  <c r="AHY32" i="4"/>
  <c r="AHY33" i="4" s="1"/>
  <c r="AHY35" i="4" s="1"/>
  <c r="AHY36" i="4" s="1"/>
  <c r="AHY6" i="4"/>
  <c r="AHX32" i="4"/>
  <c r="AHX33" i="4" s="1"/>
  <c r="AHX35" i="4" s="1"/>
  <c r="AHX36" i="4" s="1"/>
  <c r="AHX6" i="4"/>
  <c r="AHW32" i="4"/>
  <c r="AHW33" i="4" s="1"/>
  <c r="AHW35" i="4" s="1"/>
  <c r="AHW36" i="4" s="1"/>
  <c r="AHW6" i="4"/>
  <c r="AHV32" i="4"/>
  <c r="AHV33" i="4" s="1"/>
  <c r="AHV35" i="4" s="1"/>
  <c r="AHV36" i="4" s="1"/>
  <c r="AHV6" i="4"/>
  <c r="AHU32" i="4"/>
  <c r="AHU33" i="4" s="1"/>
  <c r="AHU35" i="4" s="1"/>
  <c r="AHU36" i="4" s="1"/>
  <c r="AHU6" i="4"/>
  <c r="AHT32" i="4"/>
  <c r="AHT33" i="4" s="1"/>
  <c r="AHT35" i="4" s="1"/>
  <c r="AHT36" i="4" s="1"/>
  <c r="AHT6" i="4"/>
  <c r="AHS32" i="4"/>
  <c r="AHS33" i="4" s="1"/>
  <c r="AHS35" i="4" s="1"/>
  <c r="AHS36" i="4" s="1"/>
  <c r="AHS6" i="4"/>
  <c r="AHR32" i="4"/>
  <c r="AHR33" i="4" s="1"/>
  <c r="AHR35" i="4" s="1"/>
  <c r="AHR36" i="4" s="1"/>
  <c r="AHR6" i="4"/>
  <c r="AHQ32" i="4"/>
  <c r="AHQ33" i="4" s="1"/>
  <c r="AHQ35" i="4" s="1"/>
  <c r="AHQ36" i="4" s="1"/>
  <c r="AHQ6" i="4"/>
  <c r="AHP32" i="4"/>
  <c r="AHP33" i="4" s="1"/>
  <c r="AHP35" i="4" s="1"/>
  <c r="AHP36" i="4" s="1"/>
  <c r="AHP6" i="4"/>
  <c r="AHO32" i="4"/>
  <c r="AHO33" i="4" s="1"/>
  <c r="AHO35" i="4" s="1"/>
  <c r="AHO36" i="4" s="1"/>
  <c r="AHO6" i="4"/>
  <c r="AHN32" i="4"/>
  <c r="AHN33" i="4" s="1"/>
  <c r="AHN35" i="4" s="1"/>
  <c r="AHN36" i="4" s="1"/>
  <c r="AHN6" i="4"/>
  <c r="AHM32" i="4"/>
  <c r="AHM33" i="4" s="1"/>
  <c r="AHM35" i="4" s="1"/>
  <c r="AHM36" i="4" s="1"/>
  <c r="AHM6" i="4"/>
  <c r="AHL32" i="4"/>
  <c r="AHL33" i="4" s="1"/>
  <c r="AHL35" i="4" s="1"/>
  <c r="AHL36" i="4" s="1"/>
  <c r="AHL6" i="4"/>
  <c r="AHK32" i="4"/>
  <c r="AHK33" i="4" s="1"/>
  <c r="AHK35" i="4" s="1"/>
  <c r="AHK36" i="4" s="1"/>
  <c r="AHK6" i="4"/>
  <c r="AHJ32" i="4"/>
  <c r="AHJ33" i="4" s="1"/>
  <c r="AHJ35" i="4" s="1"/>
  <c r="AHJ36" i="4" s="1"/>
  <c r="AHJ6" i="4"/>
  <c r="AHI32" i="4"/>
  <c r="AHI33" i="4" s="1"/>
  <c r="AHI35" i="4" s="1"/>
  <c r="AHI36" i="4" s="1"/>
  <c r="AHI6" i="4"/>
  <c r="AHH32" i="4"/>
  <c r="AHH33" i="4" s="1"/>
  <c r="AHH35" i="4" s="1"/>
  <c r="AHH36" i="4" s="1"/>
  <c r="AHH6" i="4"/>
  <c r="AHG32" i="4"/>
  <c r="AHG33" i="4" s="1"/>
  <c r="AHG35" i="4" s="1"/>
  <c r="AHG36" i="4" s="1"/>
  <c r="AHG6" i="4"/>
  <c r="AHF32" i="4"/>
  <c r="AHF33" i="4" s="1"/>
  <c r="AHF35" i="4" s="1"/>
  <c r="AHF36" i="4" s="1"/>
  <c r="AHF6" i="4"/>
  <c r="AHE32" i="4"/>
  <c r="AHE33" i="4" s="1"/>
  <c r="AHE35" i="4" s="1"/>
  <c r="AHE36" i="4" s="1"/>
  <c r="AHE6" i="4"/>
  <c r="AHD32" i="4"/>
  <c r="AHD33" i="4" s="1"/>
  <c r="AHD35" i="4" s="1"/>
  <c r="AHD36" i="4" s="1"/>
  <c r="AHD6" i="4"/>
  <c r="AHC32" i="4"/>
  <c r="AHC33" i="4" s="1"/>
  <c r="AHC35" i="4" s="1"/>
  <c r="AHC36" i="4" s="1"/>
  <c r="AHC6" i="4"/>
  <c r="AHB32" i="4"/>
  <c r="AHB33" i="4" s="1"/>
  <c r="AHB35" i="4" s="1"/>
  <c r="AHB36" i="4" s="1"/>
  <c r="AHB6" i="4"/>
  <c r="AHA32" i="4"/>
  <c r="AHA33" i="4" s="1"/>
  <c r="AHA35" i="4" s="1"/>
  <c r="AHA36" i="4" s="1"/>
  <c r="AIE36" i="4" s="1"/>
  <c r="AHA6" i="4"/>
  <c r="AGX32" i="4"/>
  <c r="AGX33" i="4" s="1"/>
  <c r="AGX35" i="4" s="1"/>
  <c r="AGX36" i="4" s="1"/>
  <c r="AGX6" i="4"/>
  <c r="AGW32" i="4"/>
  <c r="AGW33" i="4" s="1"/>
  <c r="AGW35" i="4" s="1"/>
  <c r="AGW36" i="4" s="1"/>
  <c r="AGW6" i="4"/>
  <c r="AGV32" i="4"/>
  <c r="AGV33" i="4" s="1"/>
  <c r="AGV35" i="4" s="1"/>
  <c r="AGV36" i="4" s="1"/>
  <c r="AGV6" i="4"/>
  <c r="AGU32" i="4"/>
  <c r="AGU33" i="4" s="1"/>
  <c r="AGU35" i="4" s="1"/>
  <c r="AGU36" i="4" s="1"/>
  <c r="AGU6" i="4"/>
  <c r="AGT32" i="4"/>
  <c r="AGT33" i="4" s="1"/>
  <c r="AGT35" i="4" s="1"/>
  <c r="AGT36" i="4" s="1"/>
  <c r="AGT6" i="4"/>
  <c r="AGS32" i="4"/>
  <c r="AGS33" i="4" s="1"/>
  <c r="AGS35" i="4" s="1"/>
  <c r="AGS36" i="4" s="1"/>
  <c r="AGS6" i="4"/>
  <c r="AGR32" i="4"/>
  <c r="AGR33" i="4" s="1"/>
  <c r="AGR35" i="4" s="1"/>
  <c r="AGR36" i="4" s="1"/>
  <c r="AGR6" i="4"/>
  <c r="AGQ32" i="4"/>
  <c r="AGQ33" i="4" s="1"/>
  <c r="AGQ35" i="4" s="1"/>
  <c r="AGQ36" i="4" s="1"/>
  <c r="AGQ6" i="4"/>
  <c r="AGP32" i="4"/>
  <c r="AGP33" i="4" s="1"/>
  <c r="AGP35" i="4" s="1"/>
  <c r="AGP36" i="4" s="1"/>
  <c r="AGP6" i="4"/>
  <c r="AGO32" i="4"/>
  <c r="AGO33" i="4" s="1"/>
  <c r="AGO35" i="4" s="1"/>
  <c r="AGO36" i="4" s="1"/>
  <c r="AGO6" i="4"/>
  <c r="AGN32" i="4"/>
  <c r="AGN33" i="4" s="1"/>
  <c r="AGN35" i="4" s="1"/>
  <c r="AGN36" i="4" s="1"/>
  <c r="AGN6" i="4"/>
  <c r="AGM32" i="4"/>
  <c r="AGM33" i="4" s="1"/>
  <c r="AGM35" i="4" s="1"/>
  <c r="AGM36" i="4" s="1"/>
  <c r="AGM6" i="4"/>
  <c r="AGL32" i="4"/>
  <c r="AGL33" i="4" s="1"/>
  <c r="AGL35" i="4" s="1"/>
  <c r="AGL36" i="4" s="1"/>
  <c r="AGL6" i="4"/>
  <c r="AGK32" i="4"/>
  <c r="AGK33" i="4" s="1"/>
  <c r="AGK35" i="4" s="1"/>
  <c r="AGK36" i="4" s="1"/>
  <c r="AGK6" i="4"/>
  <c r="AGJ32" i="4"/>
  <c r="AGJ33" i="4" s="1"/>
  <c r="AGJ35" i="4" s="1"/>
  <c r="AGJ36" i="4" s="1"/>
  <c r="AGJ6" i="4"/>
  <c r="AGI32" i="4"/>
  <c r="AGI33" i="4" s="1"/>
  <c r="AGI35" i="4" s="1"/>
  <c r="AGI36" i="4" s="1"/>
  <c r="AGI6" i="4"/>
  <c r="AGH32" i="4"/>
  <c r="AGH33" i="4" s="1"/>
  <c r="AGH35" i="4" s="1"/>
  <c r="AGH36" i="4" s="1"/>
  <c r="AGH6" i="4"/>
  <c r="AGG32" i="4"/>
  <c r="AGG33" i="4" s="1"/>
  <c r="AGG35" i="4" s="1"/>
  <c r="AGG36" i="4" s="1"/>
  <c r="AGG6" i="4"/>
  <c r="AGF32" i="4"/>
  <c r="AGF33" i="4" s="1"/>
  <c r="AGF35" i="4" s="1"/>
  <c r="AGF36" i="4" s="1"/>
  <c r="AGF6" i="4"/>
  <c r="AGE32" i="4"/>
  <c r="AGE33" i="4" s="1"/>
  <c r="AGE35" i="4" s="1"/>
  <c r="AGE36" i="4" s="1"/>
  <c r="AGE6" i="4"/>
  <c r="AGD32" i="4"/>
  <c r="AGD33" i="4" s="1"/>
  <c r="AGD35" i="4" s="1"/>
  <c r="AGD36" i="4" s="1"/>
  <c r="AGD6" i="4"/>
  <c r="AGC32" i="4"/>
  <c r="AGC33" i="4" s="1"/>
  <c r="AGC35" i="4" s="1"/>
  <c r="AGC36" i="4" s="1"/>
  <c r="AGC6" i="4"/>
  <c r="AGB32" i="4"/>
  <c r="AGB33" i="4" s="1"/>
  <c r="AGB35" i="4" s="1"/>
  <c r="AGB36" i="4" s="1"/>
  <c r="AGB6" i="4"/>
  <c r="AGA32" i="4"/>
  <c r="AGA33" i="4" s="1"/>
  <c r="AGA35" i="4" s="1"/>
  <c r="AGA36" i="4" s="1"/>
  <c r="AGA6" i="4"/>
  <c r="AFZ32" i="4"/>
  <c r="AFZ33" i="4" s="1"/>
  <c r="AFZ35" i="4" s="1"/>
  <c r="AFZ36" i="4" s="1"/>
  <c r="AFZ6" i="4"/>
  <c r="AFY32" i="4"/>
  <c r="AFY33" i="4" s="1"/>
  <c r="AFY35" i="4" s="1"/>
  <c r="AFY36" i="4" s="1"/>
  <c r="AFY6" i="4"/>
  <c r="AFX32" i="4"/>
  <c r="AFX33" i="4" s="1"/>
  <c r="AFX35" i="4" s="1"/>
  <c r="AFX36" i="4" s="1"/>
  <c r="AFX6" i="4"/>
  <c r="AFW32" i="4"/>
  <c r="AFW33" i="4" s="1"/>
  <c r="AFW35" i="4" s="1"/>
  <c r="AFW36" i="4" s="1"/>
  <c r="AFW6" i="4"/>
  <c r="AFV32" i="4"/>
  <c r="AFV33" i="4" s="1"/>
  <c r="AFV35" i="4" s="1"/>
  <c r="AFV36" i="4" s="1"/>
  <c r="AFV6" i="4"/>
  <c r="AFS32" i="4"/>
  <c r="AFS33" i="4" s="1"/>
  <c r="AFS35" i="4" s="1"/>
  <c r="AFS36" i="4" s="1"/>
  <c r="AFS6" i="4"/>
  <c r="AFR32" i="4"/>
  <c r="AFR33" i="4" s="1"/>
  <c r="AFR35" i="4" s="1"/>
  <c r="AFR36" i="4" s="1"/>
  <c r="AFR6" i="4"/>
  <c r="AFQ32" i="4"/>
  <c r="AFQ33" i="4" s="1"/>
  <c r="AFQ35" i="4" s="1"/>
  <c r="AFQ36" i="4" s="1"/>
  <c r="AFQ6" i="4"/>
  <c r="AFP32" i="4"/>
  <c r="AFP33" i="4" s="1"/>
  <c r="AFP35" i="4" s="1"/>
  <c r="AFP36" i="4" s="1"/>
  <c r="AFP6" i="4"/>
  <c r="AFO32" i="4"/>
  <c r="AFO33" i="4" s="1"/>
  <c r="AFO35" i="4" s="1"/>
  <c r="AFO36" i="4" s="1"/>
  <c r="AFO6" i="4"/>
  <c r="AFN32" i="4"/>
  <c r="AFN33" i="4" s="1"/>
  <c r="AFN35" i="4" s="1"/>
  <c r="AFN36" i="4" s="1"/>
  <c r="AFN6" i="4"/>
  <c r="AFM32" i="4"/>
  <c r="AFM33" i="4" s="1"/>
  <c r="AFM35" i="4" s="1"/>
  <c r="AFM36" i="4" s="1"/>
  <c r="AFM6" i="4"/>
  <c r="AFL32" i="4"/>
  <c r="AFL33" i="4" s="1"/>
  <c r="AFL35" i="4" s="1"/>
  <c r="AFL36" i="4" s="1"/>
  <c r="AFL6" i="4"/>
  <c r="AFK32" i="4"/>
  <c r="AFK33" i="4" s="1"/>
  <c r="AFK35" i="4" s="1"/>
  <c r="AFK36" i="4" s="1"/>
  <c r="AFK6" i="4"/>
  <c r="AFJ32" i="4"/>
  <c r="AFJ33" i="4" s="1"/>
  <c r="AFJ35" i="4" s="1"/>
  <c r="AFJ36" i="4" s="1"/>
  <c r="AFJ6" i="4"/>
  <c r="AFI32" i="4"/>
  <c r="AFI33" i="4" s="1"/>
  <c r="AFI35" i="4" s="1"/>
  <c r="AFI36" i="4" s="1"/>
  <c r="AFI6" i="4"/>
  <c r="AFH32" i="4"/>
  <c r="AFH33" i="4" s="1"/>
  <c r="AFH35" i="4" s="1"/>
  <c r="AFH36" i="4" s="1"/>
  <c r="AFH6" i="4"/>
  <c r="AFG32" i="4"/>
  <c r="AFG33" i="4" s="1"/>
  <c r="AFG35" i="4" s="1"/>
  <c r="AFG36" i="4" s="1"/>
  <c r="AFG6" i="4"/>
  <c r="AFF32" i="4"/>
  <c r="AFF33" i="4" s="1"/>
  <c r="AFF35" i="4" s="1"/>
  <c r="AFF36" i="4" s="1"/>
  <c r="AFF6" i="4"/>
  <c r="AFE32" i="4"/>
  <c r="AFE33" i="4" s="1"/>
  <c r="AFE35" i="4" s="1"/>
  <c r="AFE36" i="4" s="1"/>
  <c r="AFE6" i="4"/>
  <c r="AFD32" i="4"/>
  <c r="AFD33" i="4" s="1"/>
  <c r="AFD35" i="4" s="1"/>
  <c r="AFD36" i="4" s="1"/>
  <c r="AFD6" i="4"/>
  <c r="AFC32" i="4"/>
  <c r="AFC33" i="4" s="1"/>
  <c r="AFC35" i="4" s="1"/>
  <c r="AFC36" i="4" s="1"/>
  <c r="AFC6" i="4"/>
  <c r="AFB32" i="4"/>
  <c r="AFB33" i="4" s="1"/>
  <c r="AFB35" i="4" s="1"/>
  <c r="AFB36" i="4" s="1"/>
  <c r="AFB6" i="4"/>
  <c r="AFA32" i="4"/>
  <c r="AFA33" i="4" s="1"/>
  <c r="AFA35" i="4" s="1"/>
  <c r="AFA36" i="4" s="1"/>
  <c r="AFA6" i="4"/>
  <c r="AEZ32" i="4"/>
  <c r="AEZ33" i="4" s="1"/>
  <c r="AEZ35" i="4" s="1"/>
  <c r="AEZ36" i="4" s="1"/>
  <c r="AEZ6" i="4"/>
  <c r="AEY32" i="4"/>
  <c r="AEY33" i="4" s="1"/>
  <c r="AEY35" i="4" s="1"/>
  <c r="AEY36" i="4" s="1"/>
  <c r="AEY6" i="4"/>
  <c r="AEX32" i="4"/>
  <c r="AEX33" i="4" s="1"/>
  <c r="AEX35" i="4" s="1"/>
  <c r="AEX36" i="4" s="1"/>
  <c r="AEX6" i="4"/>
  <c r="AEW32" i="4"/>
  <c r="AEW33" i="4" s="1"/>
  <c r="AEW35" i="4" s="1"/>
  <c r="AEW36" i="4" s="1"/>
  <c r="AEW6" i="4"/>
  <c r="AEV32" i="4"/>
  <c r="AEV33" i="4" s="1"/>
  <c r="AEV35" i="4" s="1"/>
  <c r="AEV36" i="4" s="1"/>
  <c r="AEV6" i="4"/>
  <c r="AEU32" i="4"/>
  <c r="AEU33" i="4" s="1"/>
  <c r="AEU35" i="4" s="1"/>
  <c r="AEU36" i="4" s="1"/>
  <c r="AEU6" i="4"/>
  <c r="AET32" i="4"/>
  <c r="AET33" i="4" s="1"/>
  <c r="AET35" i="4" s="1"/>
  <c r="AET36" i="4" s="1"/>
  <c r="AET6" i="4"/>
  <c r="AES32" i="4"/>
  <c r="AES33" i="4" s="1"/>
  <c r="AES35" i="4" s="1"/>
  <c r="AES36" i="4" s="1"/>
  <c r="AES6" i="4"/>
  <c r="AER32" i="4"/>
  <c r="AER33" i="4" s="1"/>
  <c r="AER35" i="4" s="1"/>
  <c r="AER36" i="4" s="1"/>
  <c r="AER6" i="4"/>
  <c r="AEQ32" i="4"/>
  <c r="AEQ33" i="4" s="1"/>
  <c r="AEQ35" i="4" s="1"/>
  <c r="AEQ36" i="4" s="1"/>
  <c r="AEQ6" i="4"/>
  <c r="AEP32" i="4"/>
  <c r="AEP33" i="4" s="1"/>
  <c r="AEP35" i="4" s="1"/>
  <c r="AEP36" i="4" s="1"/>
  <c r="AEP6" i="4"/>
  <c r="AEM32" i="4"/>
  <c r="AEM33" i="4" s="1"/>
  <c r="AEM35" i="4" s="1"/>
  <c r="AEM36" i="4" s="1"/>
  <c r="AEM6" i="4"/>
  <c r="AEL32" i="4"/>
  <c r="AEL33" i="4" s="1"/>
  <c r="AEL35" i="4" s="1"/>
  <c r="AEL36" i="4" s="1"/>
  <c r="AEL6" i="4"/>
  <c r="AEK32" i="4"/>
  <c r="AEK33" i="4" s="1"/>
  <c r="AEK35" i="4" s="1"/>
  <c r="AEK36" i="4" s="1"/>
  <c r="AEK6" i="4"/>
  <c r="AEJ32" i="4"/>
  <c r="AEJ33" i="4" s="1"/>
  <c r="AEJ35" i="4" s="1"/>
  <c r="AEJ36" i="4" s="1"/>
  <c r="AEJ6" i="4"/>
  <c r="AEI32" i="4"/>
  <c r="AEI33" i="4" s="1"/>
  <c r="AEI35" i="4" s="1"/>
  <c r="AEI36" i="4" s="1"/>
  <c r="AEI6" i="4"/>
  <c r="AEH32" i="4"/>
  <c r="AEH33" i="4" s="1"/>
  <c r="AEH35" i="4" s="1"/>
  <c r="AEH36" i="4" s="1"/>
  <c r="AEH6" i="4"/>
  <c r="AEG32" i="4"/>
  <c r="AEG33" i="4" s="1"/>
  <c r="AEG35" i="4" s="1"/>
  <c r="AEG36" i="4" s="1"/>
  <c r="AEG6" i="4"/>
  <c r="AEF32" i="4"/>
  <c r="AEF33" i="4" s="1"/>
  <c r="AEF35" i="4" s="1"/>
  <c r="AEF36" i="4" s="1"/>
  <c r="AEF6" i="4"/>
  <c r="AEE32" i="4"/>
  <c r="AEE33" i="4" s="1"/>
  <c r="AEE35" i="4" s="1"/>
  <c r="AEE36" i="4" s="1"/>
  <c r="AEE6" i="4"/>
  <c r="AED32" i="4"/>
  <c r="AED33" i="4" s="1"/>
  <c r="AED35" i="4" s="1"/>
  <c r="AED36" i="4" s="1"/>
  <c r="AED6" i="4"/>
  <c r="AEC32" i="4"/>
  <c r="AEC33" i="4" s="1"/>
  <c r="AEC35" i="4" s="1"/>
  <c r="AEC36" i="4" s="1"/>
  <c r="AEC6" i="4"/>
  <c r="AEB32" i="4"/>
  <c r="AEB33" i="4" s="1"/>
  <c r="AEB35" i="4" s="1"/>
  <c r="AEB36" i="4" s="1"/>
  <c r="AEB6" i="4"/>
  <c r="AEA32" i="4"/>
  <c r="AEA33" i="4" s="1"/>
  <c r="AEA35" i="4" s="1"/>
  <c r="AEA36" i="4" s="1"/>
  <c r="AEA6" i="4"/>
  <c r="ADZ32" i="4"/>
  <c r="ADZ33" i="4" s="1"/>
  <c r="ADZ35" i="4" s="1"/>
  <c r="ADZ36" i="4" s="1"/>
  <c r="ADZ6" i="4"/>
  <c r="ADY32" i="4"/>
  <c r="ADY33" i="4" s="1"/>
  <c r="ADY35" i="4" s="1"/>
  <c r="ADY36" i="4" s="1"/>
  <c r="ADY6" i="4"/>
  <c r="ADX32" i="4"/>
  <c r="ADX33" i="4" s="1"/>
  <c r="ADX35" i="4" s="1"/>
  <c r="ADX36" i="4" s="1"/>
  <c r="ADX6" i="4"/>
  <c r="ADW32" i="4"/>
  <c r="ADW33" i="4" s="1"/>
  <c r="ADW35" i="4" s="1"/>
  <c r="ADW36" i="4" s="1"/>
  <c r="ADW6" i="4"/>
  <c r="ADV32" i="4"/>
  <c r="ADV33" i="4" s="1"/>
  <c r="ADV35" i="4" s="1"/>
  <c r="ADV36" i="4" s="1"/>
  <c r="ADV6" i="4"/>
  <c r="ADU32" i="4"/>
  <c r="ADU33" i="4" s="1"/>
  <c r="ADU35" i="4" s="1"/>
  <c r="ADU36" i="4" s="1"/>
  <c r="ADU6" i="4"/>
  <c r="ADT32" i="4"/>
  <c r="ADT33" i="4" s="1"/>
  <c r="ADT35" i="4" s="1"/>
  <c r="ADT36" i="4" s="1"/>
  <c r="ADT6" i="4"/>
  <c r="ADS32" i="4"/>
  <c r="ADS33" i="4" s="1"/>
  <c r="ADS35" i="4" s="1"/>
  <c r="ADS36" i="4" s="1"/>
  <c r="ADS6" i="4"/>
  <c r="ADR32" i="4"/>
  <c r="ADR33" i="4" s="1"/>
  <c r="ADR35" i="4" s="1"/>
  <c r="ADR36" i="4" s="1"/>
  <c r="ADR6" i="4"/>
  <c r="ADQ32" i="4"/>
  <c r="ADQ33" i="4" s="1"/>
  <c r="ADQ35" i="4" s="1"/>
  <c r="ADQ36" i="4" s="1"/>
  <c r="ADQ6" i="4"/>
  <c r="ADP32" i="4"/>
  <c r="ADP33" i="4" s="1"/>
  <c r="ADP35" i="4" s="1"/>
  <c r="ADP36" i="4" s="1"/>
  <c r="ADP6" i="4"/>
  <c r="ADO32" i="4"/>
  <c r="ADO33" i="4" s="1"/>
  <c r="ADO35" i="4" s="1"/>
  <c r="ADO36" i="4" s="1"/>
  <c r="ADO6" i="4"/>
  <c r="ADN32" i="4"/>
  <c r="ADN33" i="4" s="1"/>
  <c r="ADN35" i="4" s="1"/>
  <c r="ADN36" i="4" s="1"/>
  <c r="ADN6" i="4"/>
  <c r="ADM32" i="4"/>
  <c r="ADM33" i="4" s="1"/>
  <c r="ADM35" i="4" s="1"/>
  <c r="ADM36" i="4" s="1"/>
  <c r="ADM6" i="4"/>
  <c r="ADL32" i="4"/>
  <c r="ADL33" i="4" s="1"/>
  <c r="ADL35" i="4" s="1"/>
  <c r="ADL36" i="4" s="1"/>
  <c r="ADL6" i="4"/>
  <c r="ADK32" i="4"/>
  <c r="ADK33" i="4" s="1"/>
  <c r="ADK35" i="4" s="1"/>
  <c r="ADK36" i="4" s="1"/>
  <c r="ADK6" i="4"/>
  <c r="ADH32" i="4"/>
  <c r="ADH33" i="4" s="1"/>
  <c r="ADH35" i="4" s="1"/>
  <c r="ADH36" i="4" s="1"/>
  <c r="ADH6" i="4"/>
  <c r="ADG32" i="4"/>
  <c r="ADG33" i="4" s="1"/>
  <c r="ADG35" i="4" s="1"/>
  <c r="ADG36" i="4" s="1"/>
  <c r="ADG6" i="4"/>
  <c r="ADF32" i="4"/>
  <c r="ADF33" i="4" s="1"/>
  <c r="ADF35" i="4" s="1"/>
  <c r="ADF36" i="4" s="1"/>
  <c r="ADF6" i="4"/>
  <c r="ADE32" i="4"/>
  <c r="ADE33" i="4" s="1"/>
  <c r="ADE35" i="4" s="1"/>
  <c r="ADE36" i="4" s="1"/>
  <c r="ADE6" i="4"/>
  <c r="ADD32" i="4"/>
  <c r="ADD33" i="4" s="1"/>
  <c r="ADD35" i="4" s="1"/>
  <c r="ADD36" i="4" s="1"/>
  <c r="ADD6" i="4"/>
  <c r="ADC32" i="4"/>
  <c r="ADC33" i="4" s="1"/>
  <c r="ADC35" i="4" s="1"/>
  <c r="ADC36" i="4" s="1"/>
  <c r="ADC6" i="4"/>
  <c r="ADB32" i="4"/>
  <c r="ADB33" i="4" s="1"/>
  <c r="ADB35" i="4" s="1"/>
  <c r="ADB36" i="4" s="1"/>
  <c r="ADB6" i="4"/>
  <c r="ADA32" i="4"/>
  <c r="ADA33" i="4" s="1"/>
  <c r="ADA35" i="4" s="1"/>
  <c r="ADA36" i="4" s="1"/>
  <c r="ADA6" i="4"/>
  <c r="ACZ32" i="4"/>
  <c r="ACZ33" i="4" s="1"/>
  <c r="ACZ35" i="4" s="1"/>
  <c r="ACZ36" i="4" s="1"/>
  <c r="ACZ6" i="4"/>
  <c r="ACY32" i="4"/>
  <c r="ACY33" i="4" s="1"/>
  <c r="ACY35" i="4" s="1"/>
  <c r="ACY36" i="4" s="1"/>
  <c r="ACY6" i="4"/>
  <c r="ACX32" i="4"/>
  <c r="ACX33" i="4" s="1"/>
  <c r="ACX35" i="4" s="1"/>
  <c r="ACX36" i="4" s="1"/>
  <c r="ACX6" i="4"/>
  <c r="ACW32" i="4"/>
  <c r="ACW33" i="4" s="1"/>
  <c r="ACW35" i="4" s="1"/>
  <c r="ACW36" i="4" s="1"/>
  <c r="ACW6" i="4"/>
  <c r="ACV32" i="4"/>
  <c r="ACV33" i="4" s="1"/>
  <c r="ACV35" i="4" s="1"/>
  <c r="ACV36" i="4" s="1"/>
  <c r="ACV6" i="4"/>
  <c r="ACU32" i="4"/>
  <c r="ACU33" i="4" s="1"/>
  <c r="ACU35" i="4" s="1"/>
  <c r="ACU36" i="4" s="1"/>
  <c r="ACU6" i="4"/>
  <c r="ACT32" i="4"/>
  <c r="ACT33" i="4" s="1"/>
  <c r="ACT35" i="4" s="1"/>
  <c r="ACT36" i="4" s="1"/>
  <c r="ACT6" i="4"/>
  <c r="ACS32" i="4"/>
  <c r="ACS33" i="4" s="1"/>
  <c r="ACS35" i="4" s="1"/>
  <c r="ACS36" i="4" s="1"/>
  <c r="ACS6" i="4"/>
  <c r="ACR32" i="4"/>
  <c r="ACR33" i="4" s="1"/>
  <c r="ACR35" i="4" s="1"/>
  <c r="ACR36" i="4" s="1"/>
  <c r="ACR6" i="4"/>
  <c r="ACQ32" i="4"/>
  <c r="ACQ33" i="4" s="1"/>
  <c r="ACQ35" i="4" s="1"/>
  <c r="ACQ36" i="4" s="1"/>
  <c r="ACQ6" i="4"/>
  <c r="ACP32" i="4"/>
  <c r="ACP33" i="4" s="1"/>
  <c r="ACP35" i="4" s="1"/>
  <c r="ACP36" i="4" s="1"/>
  <c r="ACP6" i="4"/>
  <c r="ACO32" i="4"/>
  <c r="ACO33" i="4" s="1"/>
  <c r="ACO35" i="4" s="1"/>
  <c r="ACO36" i="4" s="1"/>
  <c r="ACO6" i="4"/>
  <c r="ACN32" i="4"/>
  <c r="ACN33" i="4" s="1"/>
  <c r="ACN35" i="4" s="1"/>
  <c r="ACN36" i="4" s="1"/>
  <c r="ACN6" i="4"/>
  <c r="ACM32" i="4"/>
  <c r="ACM33" i="4" s="1"/>
  <c r="ACM35" i="4" s="1"/>
  <c r="ACM36" i="4" s="1"/>
  <c r="ACM6" i="4"/>
  <c r="ACL32" i="4"/>
  <c r="ACL33" i="4" s="1"/>
  <c r="ACL35" i="4" s="1"/>
  <c r="ACL36" i="4" s="1"/>
  <c r="ACL6" i="4"/>
  <c r="ACK32" i="4"/>
  <c r="ACK33" i="4" s="1"/>
  <c r="ACK35" i="4" s="1"/>
  <c r="ACK36" i="4" s="1"/>
  <c r="ACK6" i="4"/>
  <c r="ACJ32" i="4"/>
  <c r="ACJ33" i="4" s="1"/>
  <c r="ACJ35" i="4" s="1"/>
  <c r="ACJ36" i="4" s="1"/>
  <c r="ACJ6" i="4"/>
  <c r="ACI32" i="4"/>
  <c r="ACI33" i="4" s="1"/>
  <c r="ACI35" i="4" s="1"/>
  <c r="ACI36" i="4" s="1"/>
  <c r="ACI6" i="4"/>
  <c r="ACH32" i="4"/>
  <c r="ACH33" i="4" s="1"/>
  <c r="ACH35" i="4" s="1"/>
  <c r="ACH36" i="4" s="1"/>
  <c r="ACH6" i="4"/>
  <c r="ACG32" i="4"/>
  <c r="ACG33" i="4" s="1"/>
  <c r="ACG35" i="4" s="1"/>
  <c r="ACG36" i="4" s="1"/>
  <c r="ACG6" i="4"/>
  <c r="ACF32" i="4"/>
  <c r="ACF33" i="4" s="1"/>
  <c r="ACF35" i="4" s="1"/>
  <c r="ACF36" i="4" s="1"/>
  <c r="ACF6" i="4"/>
  <c r="ACE32" i="4"/>
  <c r="ACE33" i="4" s="1"/>
  <c r="ACE35" i="4" s="1"/>
  <c r="ACE36" i="4" s="1"/>
  <c r="ACE6" i="4"/>
  <c r="ACB32" i="4"/>
  <c r="ACB33" i="4" s="1"/>
  <c r="ACB35" i="4" s="1"/>
  <c r="ACB36" i="4" s="1"/>
  <c r="ACB6" i="4"/>
  <c r="ACA32" i="4"/>
  <c r="ACA33" i="4" s="1"/>
  <c r="ACA35" i="4" s="1"/>
  <c r="ACA36" i="4" s="1"/>
  <c r="ACA6" i="4"/>
  <c r="ABZ32" i="4"/>
  <c r="ABZ33" i="4" s="1"/>
  <c r="ABZ35" i="4" s="1"/>
  <c r="ABZ36" i="4" s="1"/>
  <c r="ABZ6" i="4"/>
  <c r="ABY32" i="4"/>
  <c r="ABY33" i="4" s="1"/>
  <c r="ABY35" i="4" s="1"/>
  <c r="ABY36" i="4" s="1"/>
  <c r="ABY6" i="4"/>
  <c r="ABX32" i="4"/>
  <c r="ABX33" i="4" s="1"/>
  <c r="ABX35" i="4" s="1"/>
  <c r="ABX36" i="4" s="1"/>
  <c r="ABX6" i="4"/>
  <c r="ABW32" i="4"/>
  <c r="ABW33" i="4" s="1"/>
  <c r="ABW35" i="4" s="1"/>
  <c r="ABW36" i="4" s="1"/>
  <c r="ABW6" i="4"/>
  <c r="ABV32" i="4"/>
  <c r="ABV33" i="4" s="1"/>
  <c r="ABV35" i="4" s="1"/>
  <c r="ABV36" i="4" s="1"/>
  <c r="ABV6" i="4"/>
  <c r="ABU32" i="4"/>
  <c r="ABU33" i="4" s="1"/>
  <c r="ABU35" i="4" s="1"/>
  <c r="ABU36" i="4" s="1"/>
  <c r="ABU6" i="4"/>
  <c r="ABT32" i="4"/>
  <c r="ABT33" i="4" s="1"/>
  <c r="ABT35" i="4" s="1"/>
  <c r="ABT36" i="4" s="1"/>
  <c r="ABT6" i="4"/>
  <c r="ABS32" i="4"/>
  <c r="ABS33" i="4" s="1"/>
  <c r="ABS35" i="4" s="1"/>
  <c r="ABS36" i="4" s="1"/>
  <c r="ABS6" i="4"/>
  <c r="ABR32" i="4"/>
  <c r="ABR33" i="4" s="1"/>
  <c r="ABR35" i="4" s="1"/>
  <c r="ABR36" i="4" s="1"/>
  <c r="ABR6" i="4"/>
  <c r="ABQ32" i="4"/>
  <c r="ABQ33" i="4" s="1"/>
  <c r="ABQ35" i="4" s="1"/>
  <c r="ABQ36" i="4" s="1"/>
  <c r="ABQ6" i="4"/>
  <c r="ABP32" i="4"/>
  <c r="ABP33" i="4" s="1"/>
  <c r="ABP35" i="4" s="1"/>
  <c r="ABP36" i="4" s="1"/>
  <c r="ABP6" i="4"/>
  <c r="ABO32" i="4"/>
  <c r="ABO33" i="4" s="1"/>
  <c r="ABO35" i="4" s="1"/>
  <c r="ABO36" i="4" s="1"/>
  <c r="ABO6" i="4"/>
  <c r="ABN32" i="4"/>
  <c r="ABN33" i="4" s="1"/>
  <c r="ABN35" i="4" s="1"/>
  <c r="ABN36" i="4" s="1"/>
  <c r="ABN6" i="4"/>
  <c r="ABM32" i="4"/>
  <c r="ABM33" i="4" s="1"/>
  <c r="ABM35" i="4" s="1"/>
  <c r="ABM36" i="4" s="1"/>
  <c r="ABM6" i="4"/>
  <c r="ABL32" i="4"/>
  <c r="ABL33" i="4" s="1"/>
  <c r="ABL35" i="4" s="1"/>
  <c r="ABL36" i="4" s="1"/>
  <c r="ABL6" i="4"/>
  <c r="ABK32" i="4"/>
  <c r="ABK33" i="4" s="1"/>
  <c r="ABK35" i="4" s="1"/>
  <c r="ABK36" i="4" s="1"/>
  <c r="ABK6" i="4"/>
  <c r="ABJ32" i="4"/>
  <c r="ABJ33" i="4" s="1"/>
  <c r="ABJ35" i="4" s="1"/>
  <c r="ABJ36" i="4" s="1"/>
  <c r="ABJ6" i="4"/>
  <c r="ABI32" i="4"/>
  <c r="ABI33" i="4" s="1"/>
  <c r="ABI35" i="4" s="1"/>
  <c r="ABI36" i="4" s="1"/>
  <c r="ABI6" i="4"/>
  <c r="ABH32" i="4"/>
  <c r="ABH33" i="4" s="1"/>
  <c r="ABH35" i="4" s="1"/>
  <c r="ABH36" i="4" s="1"/>
  <c r="ABH6" i="4"/>
  <c r="ABG32" i="4"/>
  <c r="ABG33" i="4" s="1"/>
  <c r="ABG35" i="4" s="1"/>
  <c r="ABG36" i="4" s="1"/>
  <c r="ABG6" i="4"/>
  <c r="ABF32" i="4"/>
  <c r="ABF33" i="4" s="1"/>
  <c r="ABF35" i="4" s="1"/>
  <c r="ABF36" i="4" s="1"/>
  <c r="ABF6" i="4"/>
  <c r="ABE32" i="4"/>
  <c r="ABE33" i="4" s="1"/>
  <c r="ABE35" i="4" s="1"/>
  <c r="ABE36" i="4" s="1"/>
  <c r="ABE6" i="4"/>
  <c r="ABD32" i="4"/>
  <c r="ABD33" i="4" s="1"/>
  <c r="ABD35" i="4" s="1"/>
  <c r="ABD36" i="4" s="1"/>
  <c r="ABD6" i="4"/>
  <c r="ABC32" i="4"/>
  <c r="ABC33" i="4" s="1"/>
  <c r="ABC35" i="4" s="1"/>
  <c r="ABC36" i="4" s="1"/>
  <c r="ABC6" i="4"/>
  <c r="ABB32" i="4"/>
  <c r="ABB33" i="4" s="1"/>
  <c r="ABB35" i="4" s="1"/>
  <c r="ABB36" i="4" s="1"/>
  <c r="ABB6" i="4"/>
  <c r="ABA32" i="4"/>
  <c r="ABA33" i="4" s="1"/>
  <c r="ABA35" i="4" s="1"/>
  <c r="ABA36" i="4" s="1"/>
  <c r="ABA6" i="4"/>
  <c r="AAZ32" i="4"/>
  <c r="AAZ33" i="4" s="1"/>
  <c r="AAZ35" i="4" s="1"/>
  <c r="AAZ36" i="4" s="1"/>
  <c r="AAZ6" i="4"/>
  <c r="AAY32" i="4"/>
  <c r="AAY33" i="4" s="1"/>
  <c r="AAY35" i="4" s="1"/>
  <c r="AAY36" i="4" s="1"/>
  <c r="AAY6" i="4"/>
  <c r="AAV32" i="4"/>
  <c r="AAV33" i="4" s="1"/>
  <c r="AAV35" i="4" s="1"/>
  <c r="AAV36" i="4" s="1"/>
  <c r="AAV6" i="4"/>
  <c r="AAU32" i="4"/>
  <c r="AAU33" i="4" s="1"/>
  <c r="AAU35" i="4" s="1"/>
  <c r="AAU36" i="4" s="1"/>
  <c r="AAU6" i="4"/>
  <c r="AAT32" i="4"/>
  <c r="AAT33" i="4" s="1"/>
  <c r="AAT35" i="4" s="1"/>
  <c r="AAT36" i="4" s="1"/>
  <c r="AAT6" i="4"/>
  <c r="AAS32" i="4"/>
  <c r="AAS33" i="4" s="1"/>
  <c r="AAS35" i="4" s="1"/>
  <c r="AAS36" i="4" s="1"/>
  <c r="AAS6" i="4"/>
  <c r="AAR32" i="4"/>
  <c r="AAR33" i="4" s="1"/>
  <c r="AAR35" i="4" s="1"/>
  <c r="AAR36" i="4" s="1"/>
  <c r="AAR6" i="4"/>
  <c r="AAQ32" i="4"/>
  <c r="AAQ33" i="4" s="1"/>
  <c r="AAQ35" i="4" s="1"/>
  <c r="AAQ36" i="4" s="1"/>
  <c r="AAQ6" i="4"/>
  <c r="AAP32" i="4"/>
  <c r="AAP33" i="4" s="1"/>
  <c r="AAP35" i="4" s="1"/>
  <c r="AAP36" i="4" s="1"/>
  <c r="AAP6" i="4"/>
  <c r="AAO32" i="4"/>
  <c r="AAO33" i="4" s="1"/>
  <c r="AAO35" i="4" s="1"/>
  <c r="AAO36" i="4" s="1"/>
  <c r="AAO6" i="4"/>
  <c r="AAN32" i="4"/>
  <c r="AAN33" i="4" s="1"/>
  <c r="AAN35" i="4" s="1"/>
  <c r="AAN36" i="4" s="1"/>
  <c r="AAN6" i="4"/>
  <c r="AAM32" i="4"/>
  <c r="AAM33" i="4" s="1"/>
  <c r="AAM35" i="4" s="1"/>
  <c r="AAM36" i="4" s="1"/>
  <c r="AAM6" i="4"/>
  <c r="AAL32" i="4"/>
  <c r="AAL33" i="4" s="1"/>
  <c r="AAL35" i="4" s="1"/>
  <c r="AAL36" i="4" s="1"/>
  <c r="AAL6" i="4"/>
  <c r="AAK32" i="4"/>
  <c r="AAK33" i="4" s="1"/>
  <c r="AAK35" i="4" s="1"/>
  <c r="AAK36" i="4" s="1"/>
  <c r="AAK6" i="4"/>
  <c r="AAJ32" i="4"/>
  <c r="AAJ33" i="4" s="1"/>
  <c r="AAJ35" i="4" s="1"/>
  <c r="AAJ36" i="4" s="1"/>
  <c r="AAJ6" i="4"/>
  <c r="AAI32" i="4"/>
  <c r="AAI33" i="4" s="1"/>
  <c r="AAI35" i="4" s="1"/>
  <c r="AAI36" i="4" s="1"/>
  <c r="AAI6" i="4"/>
  <c r="AAH32" i="4"/>
  <c r="AAH33" i="4" s="1"/>
  <c r="AAH35" i="4" s="1"/>
  <c r="AAH36" i="4" s="1"/>
  <c r="AAH6" i="4"/>
  <c r="AAG32" i="4"/>
  <c r="AAG33" i="4" s="1"/>
  <c r="AAG35" i="4" s="1"/>
  <c r="AAG36" i="4" s="1"/>
  <c r="AAG6" i="4"/>
  <c r="AAF32" i="4"/>
  <c r="AAF33" i="4" s="1"/>
  <c r="AAF35" i="4" s="1"/>
  <c r="AAF36" i="4" s="1"/>
  <c r="AAF6" i="4"/>
  <c r="AAE32" i="4"/>
  <c r="AAE33" i="4" s="1"/>
  <c r="AAE35" i="4" s="1"/>
  <c r="AAE36" i="4" s="1"/>
  <c r="AAE6" i="4"/>
  <c r="AAD32" i="4"/>
  <c r="AAD33" i="4" s="1"/>
  <c r="AAD35" i="4" s="1"/>
  <c r="AAD36" i="4" s="1"/>
  <c r="AAD6" i="4"/>
  <c r="AAC32" i="4"/>
  <c r="AAC33" i="4" s="1"/>
  <c r="AAC35" i="4" s="1"/>
  <c r="AAC36" i="4" s="1"/>
  <c r="AAC6" i="4"/>
  <c r="AAB32" i="4"/>
  <c r="AAB33" i="4" s="1"/>
  <c r="AAB35" i="4" s="1"/>
  <c r="AAB36" i="4" s="1"/>
  <c r="AAB6" i="4"/>
  <c r="AAA32" i="4"/>
  <c r="AAA33" i="4" s="1"/>
  <c r="AAA35" i="4" s="1"/>
  <c r="AAA36" i="4" s="1"/>
  <c r="AAA6" i="4"/>
  <c r="ZZ32" i="4"/>
  <c r="ZZ33" i="4" s="1"/>
  <c r="ZZ35" i="4" s="1"/>
  <c r="ZZ36" i="4" s="1"/>
  <c r="ZZ6" i="4"/>
  <c r="ZY32" i="4"/>
  <c r="ZY33" i="4" s="1"/>
  <c r="ZY35" i="4" s="1"/>
  <c r="ZY36" i="4" s="1"/>
  <c r="ZY6" i="4"/>
  <c r="ZX32" i="4"/>
  <c r="ZX33" i="4" s="1"/>
  <c r="ZX35" i="4" s="1"/>
  <c r="ZX36" i="4" s="1"/>
  <c r="ZX6" i="4"/>
  <c r="ZW32" i="4"/>
  <c r="ZW33" i="4" s="1"/>
  <c r="ZW35" i="4" s="1"/>
  <c r="ZW36" i="4" s="1"/>
  <c r="ZW6" i="4"/>
  <c r="ZV32" i="4"/>
  <c r="ZV33" i="4" s="1"/>
  <c r="ZV35" i="4" s="1"/>
  <c r="ZV36" i="4" s="1"/>
  <c r="ZV6" i="4"/>
  <c r="ZU32" i="4"/>
  <c r="ZU33" i="4" s="1"/>
  <c r="ZU35" i="4" s="1"/>
  <c r="ZU36" i="4" s="1"/>
  <c r="ZU6" i="4"/>
  <c r="ZT32" i="4"/>
  <c r="ZT33" i="4" s="1"/>
  <c r="ZT35" i="4" s="1"/>
  <c r="ZT36" i="4" s="1"/>
  <c r="ZT6" i="4"/>
  <c r="ZQ32" i="4"/>
  <c r="ZQ33" i="4" s="1"/>
  <c r="ZQ35" i="4" s="1"/>
  <c r="ZQ36" i="4" s="1"/>
  <c r="ZQ6" i="4"/>
  <c r="ZP32" i="4"/>
  <c r="ZP33" i="4" s="1"/>
  <c r="ZP35" i="4" s="1"/>
  <c r="ZP36" i="4" s="1"/>
  <c r="ZP6" i="4"/>
  <c r="ZO32" i="4"/>
  <c r="ZO33" i="4" s="1"/>
  <c r="ZO35" i="4" s="1"/>
  <c r="ZO36" i="4" s="1"/>
  <c r="ZO6" i="4"/>
  <c r="ZN32" i="4"/>
  <c r="ZN33" i="4" s="1"/>
  <c r="ZN35" i="4" s="1"/>
  <c r="ZN36" i="4" s="1"/>
  <c r="ZN6" i="4"/>
  <c r="ZM32" i="4"/>
  <c r="ZM33" i="4" s="1"/>
  <c r="ZM35" i="4" s="1"/>
  <c r="ZM36" i="4" s="1"/>
  <c r="ZM6" i="4"/>
  <c r="ZL32" i="4"/>
  <c r="ZL33" i="4" s="1"/>
  <c r="ZL35" i="4" s="1"/>
  <c r="ZL36" i="4" s="1"/>
  <c r="ZL6" i="4"/>
  <c r="ZK32" i="4"/>
  <c r="ZK33" i="4" s="1"/>
  <c r="ZK35" i="4" s="1"/>
  <c r="ZK36" i="4" s="1"/>
  <c r="ZK6" i="4"/>
  <c r="ZJ32" i="4"/>
  <c r="ZJ33" i="4" s="1"/>
  <c r="ZJ35" i="4" s="1"/>
  <c r="ZJ36" i="4" s="1"/>
  <c r="ZJ6" i="4"/>
  <c r="ZI32" i="4"/>
  <c r="ZI33" i="4" s="1"/>
  <c r="ZI35" i="4" s="1"/>
  <c r="ZI36" i="4" s="1"/>
  <c r="ZI6" i="4"/>
  <c r="ZH32" i="4"/>
  <c r="ZH33" i="4" s="1"/>
  <c r="ZH35" i="4" s="1"/>
  <c r="ZH36" i="4" s="1"/>
  <c r="ZH6" i="4"/>
  <c r="ZG32" i="4"/>
  <c r="ZG33" i="4" s="1"/>
  <c r="ZG35" i="4" s="1"/>
  <c r="ZG36" i="4" s="1"/>
  <c r="ZG6" i="4"/>
  <c r="ZF32" i="4"/>
  <c r="ZF33" i="4" s="1"/>
  <c r="ZF35" i="4" s="1"/>
  <c r="ZF36" i="4" s="1"/>
  <c r="ZF6" i="4"/>
  <c r="ZE32" i="4"/>
  <c r="ZE33" i="4" s="1"/>
  <c r="ZE35" i="4" s="1"/>
  <c r="ZE36" i="4" s="1"/>
  <c r="ZE6" i="4"/>
  <c r="ZD32" i="4"/>
  <c r="ZD33" i="4" s="1"/>
  <c r="ZD35" i="4" s="1"/>
  <c r="ZD36" i="4" s="1"/>
  <c r="ZD6" i="4"/>
  <c r="ZC32" i="4"/>
  <c r="ZC33" i="4" s="1"/>
  <c r="ZC35" i="4" s="1"/>
  <c r="ZC36" i="4" s="1"/>
  <c r="ZC6" i="4"/>
  <c r="ZB32" i="4"/>
  <c r="ZB33" i="4" s="1"/>
  <c r="ZB35" i="4" s="1"/>
  <c r="ZB36" i="4" s="1"/>
  <c r="ZB6" i="4"/>
  <c r="ZA32" i="4"/>
  <c r="ZA33" i="4" s="1"/>
  <c r="ZA35" i="4" s="1"/>
  <c r="ZA36" i="4" s="1"/>
  <c r="ZA6" i="4"/>
  <c r="YZ32" i="4"/>
  <c r="YZ33" i="4" s="1"/>
  <c r="YZ35" i="4" s="1"/>
  <c r="YZ36" i="4" s="1"/>
  <c r="YZ6" i="4"/>
  <c r="YY32" i="4"/>
  <c r="YY33" i="4" s="1"/>
  <c r="YY35" i="4" s="1"/>
  <c r="YY36" i="4" s="1"/>
  <c r="YY6" i="4"/>
  <c r="YX32" i="4"/>
  <c r="YX33" i="4" s="1"/>
  <c r="YX35" i="4" s="1"/>
  <c r="YX36" i="4" s="1"/>
  <c r="YX6" i="4"/>
  <c r="YW32" i="4"/>
  <c r="YW33" i="4" s="1"/>
  <c r="YW35" i="4" s="1"/>
  <c r="YW36" i="4" s="1"/>
  <c r="YW6" i="4"/>
  <c r="YV32" i="4"/>
  <c r="YV33" i="4" s="1"/>
  <c r="YV35" i="4" s="1"/>
  <c r="YV36" i="4" s="1"/>
  <c r="YV6" i="4"/>
  <c r="YU32" i="4"/>
  <c r="YU33" i="4" s="1"/>
  <c r="YU35" i="4" s="1"/>
  <c r="YU36" i="4" s="1"/>
  <c r="YU6" i="4"/>
  <c r="YT32" i="4"/>
  <c r="YT33" i="4" s="1"/>
  <c r="YT35" i="4" s="1"/>
  <c r="YT36" i="4" s="1"/>
  <c r="YT6" i="4"/>
  <c r="YS32" i="4"/>
  <c r="YS33" i="4" s="1"/>
  <c r="YS35" i="4" s="1"/>
  <c r="YS36" i="4" s="1"/>
  <c r="YS6" i="4"/>
  <c r="YR32" i="4"/>
  <c r="YR33" i="4" s="1"/>
  <c r="YR35" i="4" s="1"/>
  <c r="YR36" i="4" s="1"/>
  <c r="YR6" i="4"/>
  <c r="YQ32" i="4"/>
  <c r="YQ33" i="4" s="1"/>
  <c r="YQ35" i="4" s="1"/>
  <c r="YQ36" i="4" s="1"/>
  <c r="YQ6" i="4"/>
  <c r="YP32" i="4"/>
  <c r="YP33" i="4" s="1"/>
  <c r="YP35" i="4" s="1"/>
  <c r="YP36" i="4" s="1"/>
  <c r="YP6" i="4"/>
  <c r="YO32" i="4"/>
  <c r="YO33" i="4" s="1"/>
  <c r="YO35" i="4" s="1"/>
  <c r="YO36" i="4" s="1"/>
  <c r="YO6" i="4"/>
  <c r="YN32" i="4"/>
  <c r="YN33" i="4" s="1"/>
  <c r="YN35" i="4" s="1"/>
  <c r="YN36" i="4" s="1"/>
  <c r="YN6" i="4"/>
  <c r="YK32" i="4"/>
  <c r="YK33" i="4" s="1"/>
  <c r="YK35" i="4" s="1"/>
  <c r="YK36" i="4" s="1"/>
  <c r="YK6" i="4"/>
  <c r="YJ32" i="4"/>
  <c r="YJ33" i="4" s="1"/>
  <c r="YJ35" i="4" s="1"/>
  <c r="YJ36" i="4" s="1"/>
  <c r="YJ6" i="4"/>
  <c r="YI32" i="4"/>
  <c r="YI33" i="4" s="1"/>
  <c r="YI35" i="4" s="1"/>
  <c r="YI36" i="4" s="1"/>
  <c r="YI6" i="4"/>
  <c r="YH32" i="4"/>
  <c r="YH33" i="4" s="1"/>
  <c r="YH35" i="4" s="1"/>
  <c r="YH36" i="4" s="1"/>
  <c r="YH6" i="4"/>
  <c r="YG32" i="4"/>
  <c r="YG33" i="4" s="1"/>
  <c r="YG35" i="4" s="1"/>
  <c r="YG36" i="4" s="1"/>
  <c r="YG6" i="4"/>
  <c r="YF32" i="4"/>
  <c r="YF33" i="4" s="1"/>
  <c r="YF35" i="4" s="1"/>
  <c r="YF36" i="4" s="1"/>
  <c r="YF6" i="4"/>
  <c r="YE32" i="4"/>
  <c r="YE33" i="4" s="1"/>
  <c r="YE35" i="4" s="1"/>
  <c r="YE36" i="4" s="1"/>
  <c r="YE6" i="4"/>
  <c r="YD32" i="4"/>
  <c r="YD33" i="4" s="1"/>
  <c r="YD35" i="4" s="1"/>
  <c r="YD36" i="4" s="1"/>
  <c r="YD6" i="4"/>
  <c r="YC32" i="4"/>
  <c r="YC33" i="4" s="1"/>
  <c r="YC35" i="4" s="1"/>
  <c r="YC36" i="4" s="1"/>
  <c r="YC6" i="4"/>
  <c r="YB32" i="4"/>
  <c r="YB33" i="4" s="1"/>
  <c r="YB35" i="4" s="1"/>
  <c r="YB36" i="4" s="1"/>
  <c r="YB6" i="4"/>
  <c r="YA32" i="4"/>
  <c r="YA33" i="4" s="1"/>
  <c r="YA35" i="4" s="1"/>
  <c r="YA36" i="4" s="1"/>
  <c r="YA6" i="4"/>
  <c r="XZ32" i="4"/>
  <c r="XZ33" i="4" s="1"/>
  <c r="XZ35" i="4" s="1"/>
  <c r="XZ36" i="4" s="1"/>
  <c r="XZ6" i="4"/>
  <c r="XY32" i="4"/>
  <c r="XY33" i="4" s="1"/>
  <c r="XY35" i="4" s="1"/>
  <c r="XY36" i="4" s="1"/>
  <c r="XY6" i="4"/>
  <c r="XX32" i="4"/>
  <c r="XX33" i="4" s="1"/>
  <c r="XX35" i="4" s="1"/>
  <c r="XX36" i="4" s="1"/>
  <c r="XX6" i="4"/>
  <c r="XW32" i="4"/>
  <c r="XW33" i="4" s="1"/>
  <c r="XW35" i="4" s="1"/>
  <c r="XW36" i="4" s="1"/>
  <c r="XW6" i="4"/>
  <c r="XV32" i="4"/>
  <c r="XV33" i="4" s="1"/>
  <c r="XV35" i="4" s="1"/>
  <c r="XV36" i="4" s="1"/>
  <c r="XV6" i="4"/>
  <c r="XU32" i="4"/>
  <c r="XU33" i="4" s="1"/>
  <c r="XU35" i="4" s="1"/>
  <c r="XU36" i="4" s="1"/>
  <c r="XU6" i="4"/>
  <c r="XT32" i="4"/>
  <c r="XT33" i="4" s="1"/>
  <c r="XT35" i="4" s="1"/>
  <c r="XT36" i="4" s="1"/>
  <c r="XT6" i="4"/>
  <c r="XS32" i="4"/>
  <c r="XS33" i="4" s="1"/>
  <c r="XS35" i="4" s="1"/>
  <c r="XS36" i="4" s="1"/>
  <c r="XS6" i="4"/>
  <c r="XR32" i="4"/>
  <c r="XR33" i="4" s="1"/>
  <c r="XR35" i="4" s="1"/>
  <c r="XR36" i="4" s="1"/>
  <c r="XR6" i="4"/>
  <c r="XQ32" i="4"/>
  <c r="XQ33" i="4" s="1"/>
  <c r="XQ35" i="4" s="1"/>
  <c r="XQ36" i="4" s="1"/>
  <c r="XQ6" i="4"/>
  <c r="XP32" i="4"/>
  <c r="XP33" i="4" s="1"/>
  <c r="XP35" i="4" s="1"/>
  <c r="XP36" i="4" s="1"/>
  <c r="XP6" i="4"/>
  <c r="XO32" i="4"/>
  <c r="XO33" i="4" s="1"/>
  <c r="XO35" i="4" s="1"/>
  <c r="XO36" i="4" s="1"/>
  <c r="XO6" i="4"/>
  <c r="XN32" i="4"/>
  <c r="XN33" i="4" s="1"/>
  <c r="XN35" i="4" s="1"/>
  <c r="XN36" i="4" s="1"/>
  <c r="XN6" i="4"/>
  <c r="XM32" i="4"/>
  <c r="XM33" i="4" s="1"/>
  <c r="XM35" i="4" s="1"/>
  <c r="XM36" i="4" s="1"/>
  <c r="XM6" i="4"/>
  <c r="XL32" i="4"/>
  <c r="XL33" i="4" s="1"/>
  <c r="XL35" i="4" s="1"/>
  <c r="XL36" i="4" s="1"/>
  <c r="XL6" i="4"/>
  <c r="XK32" i="4"/>
  <c r="XK33" i="4" s="1"/>
  <c r="XK35" i="4" s="1"/>
  <c r="XK36" i="4" s="1"/>
  <c r="XK6" i="4"/>
  <c r="XJ32" i="4"/>
  <c r="XJ33" i="4" s="1"/>
  <c r="XJ35" i="4" s="1"/>
  <c r="XJ36" i="4" s="1"/>
  <c r="XJ6" i="4"/>
  <c r="XI32" i="4"/>
  <c r="XI33" i="4" s="1"/>
  <c r="XI35" i="4" s="1"/>
  <c r="XI36" i="4" s="1"/>
  <c r="XI6" i="4"/>
  <c r="XH32" i="4"/>
  <c r="XH6" i="4"/>
  <c r="YL6" i="4" s="1"/>
  <c r="YL4" i="4"/>
  <c r="XF32" i="4"/>
  <c r="XF33" i="4" s="1"/>
  <c r="XF35" i="4" s="1"/>
  <c r="XF36" i="4" s="1"/>
  <c r="XF6" i="4"/>
  <c r="XE32" i="4"/>
  <c r="XE33" i="4" s="1"/>
  <c r="XE35" i="4" s="1"/>
  <c r="XE36" i="4" s="1"/>
  <c r="XE6" i="4"/>
  <c r="XD32" i="4"/>
  <c r="XD33" i="4" s="1"/>
  <c r="XD35" i="4" s="1"/>
  <c r="XD36" i="4" s="1"/>
  <c r="XD6" i="4"/>
  <c r="XC32" i="4"/>
  <c r="XC33" i="4" s="1"/>
  <c r="XC35" i="4" s="1"/>
  <c r="XC36" i="4" s="1"/>
  <c r="XC6" i="4"/>
  <c r="XB32" i="4"/>
  <c r="XB33" i="4" s="1"/>
  <c r="XB35" i="4" s="1"/>
  <c r="XB36" i="4" s="1"/>
  <c r="XB6" i="4"/>
  <c r="XA32" i="4"/>
  <c r="XA33" i="4" s="1"/>
  <c r="XA35" i="4" s="1"/>
  <c r="XA36" i="4" s="1"/>
  <c r="XA6" i="4"/>
  <c r="WZ32" i="4"/>
  <c r="WZ33" i="4" s="1"/>
  <c r="WZ35" i="4" s="1"/>
  <c r="WZ36" i="4" s="1"/>
  <c r="WZ6" i="4"/>
  <c r="WY32" i="4"/>
  <c r="WY33" i="4" s="1"/>
  <c r="WY35" i="4" s="1"/>
  <c r="WY36" i="4" s="1"/>
  <c r="WY6" i="4"/>
  <c r="WX32" i="4"/>
  <c r="WX33" i="4" s="1"/>
  <c r="WX35" i="4" s="1"/>
  <c r="WX36" i="4" s="1"/>
  <c r="WX6" i="4"/>
  <c r="WW32" i="4"/>
  <c r="WW33" i="4" s="1"/>
  <c r="WW35" i="4" s="1"/>
  <c r="WW36" i="4" s="1"/>
  <c r="WW6" i="4"/>
  <c r="WV32" i="4"/>
  <c r="WV33" i="4" s="1"/>
  <c r="WV35" i="4" s="1"/>
  <c r="WV36" i="4" s="1"/>
  <c r="WV6" i="4"/>
  <c r="WU32" i="4"/>
  <c r="WU33" i="4" s="1"/>
  <c r="WU35" i="4" s="1"/>
  <c r="WU36" i="4" s="1"/>
  <c r="WU6" i="4"/>
  <c r="WT32" i="4"/>
  <c r="WT33" i="4" s="1"/>
  <c r="WT35" i="4" s="1"/>
  <c r="WT36" i="4" s="1"/>
  <c r="WT6" i="4"/>
  <c r="WS32" i="4"/>
  <c r="WS33" i="4" s="1"/>
  <c r="WS35" i="4" s="1"/>
  <c r="WS36" i="4" s="1"/>
  <c r="WS6" i="4"/>
  <c r="WR32" i="4"/>
  <c r="WR33" i="4" s="1"/>
  <c r="WR35" i="4" s="1"/>
  <c r="WR36" i="4" s="1"/>
  <c r="WR6" i="4"/>
  <c r="WQ32" i="4"/>
  <c r="WQ33" i="4" s="1"/>
  <c r="WQ35" i="4" s="1"/>
  <c r="WQ36" i="4" s="1"/>
  <c r="WQ6" i="4"/>
  <c r="WP32" i="4"/>
  <c r="WP33" i="4" s="1"/>
  <c r="WP35" i="4" s="1"/>
  <c r="WP36" i="4" s="1"/>
  <c r="WP6" i="4"/>
  <c r="WO32" i="4"/>
  <c r="WO33" i="4" s="1"/>
  <c r="WO35" i="4" s="1"/>
  <c r="WO36" i="4" s="1"/>
  <c r="WO6" i="4"/>
  <c r="WN32" i="4"/>
  <c r="WN33" i="4" s="1"/>
  <c r="WN35" i="4" s="1"/>
  <c r="WN36" i="4" s="1"/>
  <c r="WN6" i="4"/>
  <c r="WM32" i="4"/>
  <c r="WM33" i="4" s="1"/>
  <c r="WM35" i="4" s="1"/>
  <c r="WM36" i="4" s="1"/>
  <c r="WM6" i="4"/>
  <c r="WL32" i="4"/>
  <c r="WL33" i="4" s="1"/>
  <c r="WL35" i="4" s="1"/>
  <c r="WL36" i="4" s="1"/>
  <c r="WL6" i="4"/>
  <c r="WK32" i="4"/>
  <c r="WK33" i="4" s="1"/>
  <c r="WK35" i="4" s="1"/>
  <c r="WK36" i="4" s="1"/>
  <c r="WK6" i="4"/>
  <c r="WJ32" i="4"/>
  <c r="WJ33" i="4" s="1"/>
  <c r="WJ35" i="4" s="1"/>
  <c r="WJ36" i="4" s="1"/>
  <c r="WJ6" i="4"/>
  <c r="WI32" i="4"/>
  <c r="WI33" i="4" s="1"/>
  <c r="WI35" i="4" s="1"/>
  <c r="WI36" i="4" s="1"/>
  <c r="WI6" i="4"/>
  <c r="WH32" i="4"/>
  <c r="WH33" i="4" s="1"/>
  <c r="WH35" i="4" s="1"/>
  <c r="WH36" i="4" s="1"/>
  <c r="WH6" i="4"/>
  <c r="WG32" i="4"/>
  <c r="WG33" i="4" s="1"/>
  <c r="WG35" i="4" s="1"/>
  <c r="WG36" i="4" s="1"/>
  <c r="WG6" i="4"/>
  <c r="WF32" i="4"/>
  <c r="WF33" i="4" s="1"/>
  <c r="WF35" i="4" s="1"/>
  <c r="WF36" i="4" s="1"/>
  <c r="WF6" i="4"/>
  <c r="WE32" i="4"/>
  <c r="WE33" i="4" s="1"/>
  <c r="WE35" i="4" s="1"/>
  <c r="WE36" i="4" s="1"/>
  <c r="WE6" i="4"/>
  <c r="WD32" i="4"/>
  <c r="WD33" i="4" s="1"/>
  <c r="WD35" i="4" s="1"/>
  <c r="WD36" i="4" s="1"/>
  <c r="WD6" i="4"/>
  <c r="WC32" i="4"/>
  <c r="WC33" i="4" s="1"/>
  <c r="WC35" i="4" s="1"/>
  <c r="WC36" i="4" s="1"/>
  <c r="WC6" i="4"/>
  <c r="VZ32" i="4"/>
  <c r="VZ33" i="4" s="1"/>
  <c r="VZ35" i="4" s="1"/>
  <c r="VZ36" i="4" s="1"/>
  <c r="VZ6" i="4"/>
  <c r="VY32" i="4"/>
  <c r="VY33" i="4" s="1"/>
  <c r="VY35" i="4" s="1"/>
  <c r="VY36" i="4" s="1"/>
  <c r="VY6" i="4"/>
  <c r="VX32" i="4"/>
  <c r="VX33" i="4" s="1"/>
  <c r="VX35" i="4" s="1"/>
  <c r="VX36" i="4" s="1"/>
  <c r="VX6" i="4"/>
  <c r="VW32" i="4"/>
  <c r="VW33" i="4" s="1"/>
  <c r="VW35" i="4" s="1"/>
  <c r="VW36" i="4" s="1"/>
  <c r="VW6" i="4"/>
  <c r="VV32" i="4"/>
  <c r="VV33" i="4" s="1"/>
  <c r="VV35" i="4" s="1"/>
  <c r="VV36" i="4" s="1"/>
  <c r="VV6" i="4"/>
  <c r="VU32" i="4"/>
  <c r="VU33" i="4" s="1"/>
  <c r="VU35" i="4" s="1"/>
  <c r="VU36" i="4" s="1"/>
  <c r="VU6" i="4"/>
  <c r="VT32" i="4"/>
  <c r="VT33" i="4" s="1"/>
  <c r="VT35" i="4" s="1"/>
  <c r="VT36" i="4" s="1"/>
  <c r="VT6" i="4"/>
  <c r="VS32" i="4"/>
  <c r="VS33" i="4" s="1"/>
  <c r="VS35" i="4" s="1"/>
  <c r="VS36" i="4" s="1"/>
  <c r="VS6" i="4"/>
  <c r="VR32" i="4"/>
  <c r="VR33" i="4" s="1"/>
  <c r="VR35" i="4" s="1"/>
  <c r="VR36" i="4" s="1"/>
  <c r="VR6" i="4"/>
  <c r="VQ32" i="4"/>
  <c r="VQ33" i="4" s="1"/>
  <c r="VQ35" i="4" s="1"/>
  <c r="VQ36" i="4" s="1"/>
  <c r="VQ6" i="4"/>
  <c r="VP32" i="4"/>
  <c r="VP33" i="4" s="1"/>
  <c r="VP35" i="4" s="1"/>
  <c r="VP36" i="4" s="1"/>
  <c r="VP6" i="4"/>
  <c r="VO32" i="4"/>
  <c r="VO33" i="4" s="1"/>
  <c r="VO35" i="4" s="1"/>
  <c r="VO36" i="4" s="1"/>
  <c r="VO6" i="4"/>
  <c r="VN32" i="4"/>
  <c r="VN33" i="4" s="1"/>
  <c r="VN35" i="4" s="1"/>
  <c r="VN36" i="4" s="1"/>
  <c r="VN6" i="4"/>
  <c r="VM32" i="4"/>
  <c r="VM33" i="4" s="1"/>
  <c r="VM35" i="4" s="1"/>
  <c r="VM36" i="4" s="1"/>
  <c r="VM6" i="4"/>
  <c r="VL32" i="4"/>
  <c r="VL33" i="4" s="1"/>
  <c r="VL35" i="4" s="1"/>
  <c r="VL36" i="4" s="1"/>
  <c r="VL6" i="4"/>
  <c r="VK32" i="4"/>
  <c r="VK33" i="4" s="1"/>
  <c r="VK35" i="4" s="1"/>
  <c r="VK36" i="4" s="1"/>
  <c r="VK6" i="4"/>
  <c r="VJ32" i="4"/>
  <c r="VJ33" i="4" s="1"/>
  <c r="VJ35" i="4" s="1"/>
  <c r="VJ36" i="4" s="1"/>
  <c r="VJ6" i="4"/>
  <c r="VI32" i="4"/>
  <c r="VI33" i="4" s="1"/>
  <c r="VI35" i="4" s="1"/>
  <c r="VI36" i="4" s="1"/>
  <c r="VI6" i="4"/>
  <c r="VH32" i="4"/>
  <c r="VH33" i="4" s="1"/>
  <c r="VH35" i="4" s="1"/>
  <c r="VH36" i="4" s="1"/>
  <c r="VH6" i="4"/>
  <c r="VG32" i="4"/>
  <c r="VG33" i="4" s="1"/>
  <c r="VG35" i="4" s="1"/>
  <c r="VG36" i="4" s="1"/>
  <c r="VG6" i="4"/>
  <c r="VF32" i="4"/>
  <c r="VF33" i="4" s="1"/>
  <c r="VF35" i="4" s="1"/>
  <c r="VF36" i="4" s="1"/>
  <c r="VF6" i="4"/>
  <c r="VE32" i="4"/>
  <c r="VE33" i="4" s="1"/>
  <c r="VE35" i="4" s="1"/>
  <c r="VE36" i="4" s="1"/>
  <c r="VE6" i="4"/>
  <c r="VD32" i="4"/>
  <c r="VD33" i="4" s="1"/>
  <c r="VD35" i="4" s="1"/>
  <c r="VD36" i="4" s="1"/>
  <c r="VD6" i="4"/>
  <c r="VC32" i="4"/>
  <c r="VC33" i="4" s="1"/>
  <c r="VC35" i="4" s="1"/>
  <c r="VC36" i="4" s="1"/>
  <c r="VC6" i="4"/>
  <c r="VB32" i="4"/>
  <c r="VB33" i="4" s="1"/>
  <c r="VB35" i="4" s="1"/>
  <c r="VB36" i="4" s="1"/>
  <c r="VB6" i="4"/>
  <c r="VA32" i="4"/>
  <c r="VA33" i="4" s="1"/>
  <c r="VA35" i="4" s="1"/>
  <c r="VA36" i="4" s="1"/>
  <c r="VA6" i="4"/>
  <c r="UZ32" i="4"/>
  <c r="UZ33" i="4" s="1"/>
  <c r="UZ35" i="4" s="1"/>
  <c r="UZ36" i="4" s="1"/>
  <c r="UZ6" i="4"/>
  <c r="UW32" i="4"/>
  <c r="UW6" i="4"/>
  <c r="UW12" i="4" s="1"/>
  <c r="UW28" i="4" s="1"/>
  <c r="UW30" i="4" s="1"/>
  <c r="UV32" i="4"/>
  <c r="UV33" i="4" s="1"/>
  <c r="UV35" i="4" s="1"/>
  <c r="UV36" i="4" s="1"/>
  <c r="UV45" i="4" s="1"/>
  <c r="UV48" i="4" s="1"/>
  <c r="UV6" i="4"/>
  <c r="UV12" i="4" s="1"/>
  <c r="UV28" i="4" s="1"/>
  <c r="UV30" i="4" s="1"/>
  <c r="UU32" i="4"/>
  <c r="UU33" i="4" s="1"/>
  <c r="UU35" i="4" s="1"/>
  <c r="UU36" i="4" s="1"/>
  <c r="UU45" i="4" s="1"/>
  <c r="UU48" i="4" s="1"/>
  <c r="UU6" i="4"/>
  <c r="UU12" i="4" s="1"/>
  <c r="UU28" i="4" s="1"/>
  <c r="UU30" i="4" s="1"/>
  <c r="UT32" i="4"/>
  <c r="UT33" i="4" s="1"/>
  <c r="UT35" i="4" s="1"/>
  <c r="UT36" i="4" s="1"/>
  <c r="UT45" i="4" s="1"/>
  <c r="UT48" i="4" s="1"/>
  <c r="UT6" i="4"/>
  <c r="UT12" i="4" s="1"/>
  <c r="UT28" i="4" s="1"/>
  <c r="UT30" i="4" s="1"/>
  <c r="US32" i="4"/>
  <c r="US33" i="4" s="1"/>
  <c r="US35" i="4" s="1"/>
  <c r="US36" i="4" s="1"/>
  <c r="US45" i="4" s="1"/>
  <c r="US48" i="4" s="1"/>
  <c r="US6" i="4"/>
  <c r="US12" i="4" s="1"/>
  <c r="US28" i="4" s="1"/>
  <c r="US30" i="4" s="1"/>
  <c r="UR32" i="4"/>
  <c r="UR33" i="4" s="1"/>
  <c r="UR35" i="4" s="1"/>
  <c r="UR36" i="4" s="1"/>
  <c r="UR45" i="4" s="1"/>
  <c r="UR48" i="4" s="1"/>
  <c r="UR6" i="4"/>
  <c r="UR12" i="4" s="1"/>
  <c r="UR28" i="4" s="1"/>
  <c r="UR30" i="4" s="1"/>
  <c r="UQ32" i="4"/>
  <c r="UQ33" i="4" s="1"/>
  <c r="UQ35" i="4" s="1"/>
  <c r="UQ36" i="4" s="1"/>
  <c r="UQ45" i="4" s="1"/>
  <c r="UQ48" i="4" s="1"/>
  <c r="UQ6" i="4"/>
  <c r="UQ12" i="4" s="1"/>
  <c r="UQ28" i="4" s="1"/>
  <c r="UQ30" i="4" s="1"/>
  <c r="UP32" i="4"/>
  <c r="UP33" i="4" s="1"/>
  <c r="UP35" i="4" s="1"/>
  <c r="UP36" i="4" s="1"/>
  <c r="UP45" i="4" s="1"/>
  <c r="UP48" i="4" s="1"/>
  <c r="UP6" i="4"/>
  <c r="UP12" i="4" s="1"/>
  <c r="UP28" i="4" s="1"/>
  <c r="UP30" i="4" s="1"/>
  <c r="UO32" i="4"/>
  <c r="UO33" i="4" s="1"/>
  <c r="UO35" i="4" s="1"/>
  <c r="UO36" i="4" s="1"/>
  <c r="UO45" i="4" s="1"/>
  <c r="UO48" i="4" s="1"/>
  <c r="UO6" i="4"/>
  <c r="UO12" i="4" s="1"/>
  <c r="UO28" i="4" s="1"/>
  <c r="UO30" i="4" s="1"/>
  <c r="UN32" i="4"/>
  <c r="UN33" i="4" s="1"/>
  <c r="UN35" i="4" s="1"/>
  <c r="UN36" i="4" s="1"/>
  <c r="UN45" i="4" s="1"/>
  <c r="UN48" i="4" s="1"/>
  <c r="UN6" i="4"/>
  <c r="UN12" i="4" s="1"/>
  <c r="UN28" i="4" s="1"/>
  <c r="UN30" i="4" s="1"/>
  <c r="UM32" i="4"/>
  <c r="UM33" i="4" s="1"/>
  <c r="UM35" i="4" s="1"/>
  <c r="UM36" i="4" s="1"/>
  <c r="UM45" i="4" s="1"/>
  <c r="UM48" i="4" s="1"/>
  <c r="UM6" i="4"/>
  <c r="UM12" i="4" s="1"/>
  <c r="UM28" i="4" s="1"/>
  <c r="UM30" i="4" s="1"/>
  <c r="UL32" i="4"/>
  <c r="UL33" i="4" s="1"/>
  <c r="UL35" i="4" s="1"/>
  <c r="UL36" i="4" s="1"/>
  <c r="UL45" i="4" s="1"/>
  <c r="UL48" i="4" s="1"/>
  <c r="UL6" i="4"/>
  <c r="UL12" i="4" s="1"/>
  <c r="UL28" i="4" s="1"/>
  <c r="UL30" i="4" s="1"/>
  <c r="UK32" i="4"/>
  <c r="UK33" i="4" s="1"/>
  <c r="UK35" i="4" s="1"/>
  <c r="UK36" i="4" s="1"/>
  <c r="UK45" i="4" s="1"/>
  <c r="UK48" i="4" s="1"/>
  <c r="UK6" i="4"/>
  <c r="UK12" i="4" s="1"/>
  <c r="UK28" i="4" s="1"/>
  <c r="UK30" i="4" s="1"/>
  <c r="UJ32" i="4"/>
  <c r="UJ33" i="4" s="1"/>
  <c r="UJ35" i="4" s="1"/>
  <c r="UJ36" i="4" s="1"/>
  <c r="UJ45" i="4" s="1"/>
  <c r="UJ48" i="4" s="1"/>
  <c r="UJ6" i="4"/>
  <c r="UJ12" i="4" s="1"/>
  <c r="UJ28" i="4" s="1"/>
  <c r="UJ30" i="4" s="1"/>
  <c r="UI32" i="4"/>
  <c r="UI33" i="4" s="1"/>
  <c r="UI35" i="4" s="1"/>
  <c r="UI36" i="4" s="1"/>
  <c r="UI45" i="4" s="1"/>
  <c r="UI48" i="4" s="1"/>
  <c r="UI6" i="4"/>
  <c r="UI12" i="4" s="1"/>
  <c r="UI28" i="4" s="1"/>
  <c r="UI30" i="4" s="1"/>
  <c r="UH32" i="4"/>
  <c r="UH33" i="4" s="1"/>
  <c r="UH35" i="4" s="1"/>
  <c r="UH36" i="4" s="1"/>
  <c r="UH45" i="4" s="1"/>
  <c r="UH48" i="4" s="1"/>
  <c r="UH6" i="4"/>
  <c r="UH12" i="4" s="1"/>
  <c r="UH28" i="4" s="1"/>
  <c r="UH30" i="4" s="1"/>
  <c r="UG32" i="4"/>
  <c r="UG33" i="4" s="1"/>
  <c r="UG35" i="4" s="1"/>
  <c r="UG36" i="4" s="1"/>
  <c r="UG45" i="4" s="1"/>
  <c r="UG48" i="4" s="1"/>
  <c r="UG6" i="4"/>
  <c r="UG12" i="4" s="1"/>
  <c r="UG28" i="4" s="1"/>
  <c r="UG30" i="4" s="1"/>
  <c r="UF32" i="4"/>
  <c r="UF33" i="4" s="1"/>
  <c r="UF35" i="4" s="1"/>
  <c r="UF36" i="4" s="1"/>
  <c r="UF45" i="4" s="1"/>
  <c r="UF48" i="4" s="1"/>
  <c r="UF6" i="4"/>
  <c r="UF12" i="4" s="1"/>
  <c r="UF28" i="4" s="1"/>
  <c r="UF30" i="4" s="1"/>
  <c r="UE32" i="4"/>
  <c r="UE33" i="4" s="1"/>
  <c r="UE35" i="4" s="1"/>
  <c r="UE36" i="4" s="1"/>
  <c r="UE45" i="4" s="1"/>
  <c r="UE48" i="4" s="1"/>
  <c r="UE6" i="4"/>
  <c r="UE12" i="4" s="1"/>
  <c r="UE28" i="4" s="1"/>
  <c r="UE30" i="4" s="1"/>
  <c r="UD32" i="4"/>
  <c r="UD33" i="4" s="1"/>
  <c r="UD35" i="4" s="1"/>
  <c r="UD36" i="4" s="1"/>
  <c r="UD45" i="4" s="1"/>
  <c r="UD48" i="4" s="1"/>
  <c r="UD6" i="4"/>
  <c r="UD12" i="4" s="1"/>
  <c r="UD28" i="4" s="1"/>
  <c r="UD30" i="4" s="1"/>
  <c r="UC32" i="4"/>
  <c r="UC33" i="4" s="1"/>
  <c r="UC35" i="4" s="1"/>
  <c r="UC36" i="4" s="1"/>
  <c r="UC45" i="4" s="1"/>
  <c r="UC48" i="4" s="1"/>
  <c r="UC6" i="4"/>
  <c r="UC12" i="4" s="1"/>
  <c r="UC28" i="4" s="1"/>
  <c r="UC30" i="4" s="1"/>
  <c r="UB32" i="4"/>
  <c r="UB33" i="4" s="1"/>
  <c r="UB35" i="4" s="1"/>
  <c r="UB36" i="4" s="1"/>
  <c r="UB45" i="4" s="1"/>
  <c r="UB48" i="4" s="1"/>
  <c r="UB6" i="4"/>
  <c r="UB12" i="4" s="1"/>
  <c r="UB28" i="4" s="1"/>
  <c r="UB30" i="4" s="1"/>
  <c r="UA32" i="4"/>
  <c r="UA33" i="4" s="1"/>
  <c r="UA35" i="4" s="1"/>
  <c r="UA36" i="4" s="1"/>
  <c r="UA45" i="4" s="1"/>
  <c r="UA48" i="4" s="1"/>
  <c r="UA6" i="4"/>
  <c r="UA12" i="4" s="1"/>
  <c r="UA28" i="4" s="1"/>
  <c r="UA30" i="4" s="1"/>
  <c r="TZ32" i="4"/>
  <c r="TZ33" i="4" s="1"/>
  <c r="TZ35" i="4" s="1"/>
  <c r="TZ36" i="4" s="1"/>
  <c r="TZ45" i="4" s="1"/>
  <c r="TZ48" i="4" s="1"/>
  <c r="TZ6" i="4"/>
  <c r="TZ12" i="4" s="1"/>
  <c r="TZ28" i="4" s="1"/>
  <c r="TZ30" i="4" s="1"/>
  <c r="TY32" i="4"/>
  <c r="TY33" i="4" s="1"/>
  <c r="TY35" i="4" s="1"/>
  <c r="TY36" i="4" s="1"/>
  <c r="TY45" i="4" s="1"/>
  <c r="TY48" i="4" s="1"/>
  <c r="TY6" i="4"/>
  <c r="TY12" i="4" s="1"/>
  <c r="TY28" i="4" s="1"/>
  <c r="TY30" i="4" s="1"/>
  <c r="TX32" i="4"/>
  <c r="TX33" i="4" s="1"/>
  <c r="TX35" i="4" s="1"/>
  <c r="TX36" i="4" s="1"/>
  <c r="TX45" i="4" s="1"/>
  <c r="TX48" i="4" s="1"/>
  <c r="TX6" i="4"/>
  <c r="TX12" i="4" s="1"/>
  <c r="TX28" i="4" s="1"/>
  <c r="TX30" i="4" s="1"/>
  <c r="TW32" i="4"/>
  <c r="TW33" i="4" s="1"/>
  <c r="TW35" i="4" s="1"/>
  <c r="TW36" i="4" s="1"/>
  <c r="TW45" i="4" s="1"/>
  <c r="TW48" i="4" s="1"/>
  <c r="TW6" i="4"/>
  <c r="TW12" i="4" s="1"/>
  <c r="TW28" i="4" s="1"/>
  <c r="TW30" i="4" s="1"/>
  <c r="TV32" i="4"/>
  <c r="TV33" i="4" s="1"/>
  <c r="TV35" i="4" s="1"/>
  <c r="TV36" i="4" s="1"/>
  <c r="TV45" i="4" s="1"/>
  <c r="TV48" i="4" s="1"/>
  <c r="TV6" i="4"/>
  <c r="TV12" i="4" s="1"/>
  <c r="TV28" i="4" s="1"/>
  <c r="TV30" i="4" s="1"/>
  <c r="TU32" i="4"/>
  <c r="TU33" i="4" s="1"/>
  <c r="TU35" i="4" s="1"/>
  <c r="TU36" i="4" s="1"/>
  <c r="TU45" i="4" s="1"/>
  <c r="TU48" i="4" s="1"/>
  <c r="TU6" i="4"/>
  <c r="TU12" i="4" s="1"/>
  <c r="TU28" i="4" s="1"/>
  <c r="TU30" i="4" s="1"/>
  <c r="TT32" i="4"/>
  <c r="TT6" i="4"/>
  <c r="TT12" i="4" s="1"/>
  <c r="TQ32" i="4"/>
  <c r="TQ33" i="4" s="1"/>
  <c r="TQ35" i="4" s="1"/>
  <c r="TQ36" i="4" s="1"/>
  <c r="TQ45" i="4" s="1"/>
  <c r="TQ48" i="4" s="1"/>
  <c r="TQ6" i="4"/>
  <c r="TQ12" i="4" s="1"/>
  <c r="TQ28" i="4" s="1"/>
  <c r="TQ30" i="4" s="1"/>
  <c r="TP32" i="4"/>
  <c r="TP33" i="4" s="1"/>
  <c r="TP35" i="4" s="1"/>
  <c r="TP36" i="4" s="1"/>
  <c r="TP45" i="4" s="1"/>
  <c r="TP48" i="4" s="1"/>
  <c r="TP6" i="4"/>
  <c r="TP12" i="4" s="1"/>
  <c r="TP28" i="4" s="1"/>
  <c r="TP30" i="4" s="1"/>
  <c r="TO32" i="4"/>
  <c r="TO33" i="4" s="1"/>
  <c r="TO35" i="4" s="1"/>
  <c r="TO36" i="4" s="1"/>
  <c r="TO45" i="4" s="1"/>
  <c r="TO48" i="4" s="1"/>
  <c r="TO6" i="4"/>
  <c r="TO12" i="4" s="1"/>
  <c r="TO28" i="4" s="1"/>
  <c r="TO30" i="4" s="1"/>
  <c r="TN32" i="4"/>
  <c r="TN33" i="4" s="1"/>
  <c r="TN35" i="4" s="1"/>
  <c r="TN36" i="4" s="1"/>
  <c r="TN45" i="4" s="1"/>
  <c r="TN48" i="4" s="1"/>
  <c r="TN6" i="4"/>
  <c r="TN12" i="4" s="1"/>
  <c r="TN28" i="4" s="1"/>
  <c r="TN30" i="4" s="1"/>
  <c r="TM32" i="4"/>
  <c r="TM33" i="4" s="1"/>
  <c r="TM35" i="4" s="1"/>
  <c r="TM36" i="4" s="1"/>
  <c r="TM45" i="4" s="1"/>
  <c r="TM48" i="4" s="1"/>
  <c r="TM6" i="4"/>
  <c r="TM12" i="4" s="1"/>
  <c r="TM28" i="4" s="1"/>
  <c r="TM30" i="4" s="1"/>
  <c r="TL32" i="4"/>
  <c r="TL33" i="4" s="1"/>
  <c r="TL35" i="4" s="1"/>
  <c r="TL36" i="4" s="1"/>
  <c r="TL45" i="4" s="1"/>
  <c r="TL48" i="4" s="1"/>
  <c r="TL6" i="4"/>
  <c r="TL12" i="4" s="1"/>
  <c r="TL28" i="4" s="1"/>
  <c r="TL30" i="4" s="1"/>
  <c r="TK32" i="4"/>
  <c r="TK33" i="4" s="1"/>
  <c r="TK35" i="4" s="1"/>
  <c r="TK36" i="4" s="1"/>
  <c r="TK45" i="4" s="1"/>
  <c r="TK48" i="4" s="1"/>
  <c r="TK6" i="4"/>
  <c r="TK12" i="4" s="1"/>
  <c r="TK28" i="4" s="1"/>
  <c r="TK30" i="4" s="1"/>
  <c r="TJ32" i="4"/>
  <c r="TJ33" i="4" s="1"/>
  <c r="TJ35" i="4" s="1"/>
  <c r="TJ36" i="4" s="1"/>
  <c r="TJ45" i="4" s="1"/>
  <c r="TJ48" i="4" s="1"/>
  <c r="TJ6" i="4"/>
  <c r="TJ12" i="4" s="1"/>
  <c r="TJ28" i="4" s="1"/>
  <c r="TJ30" i="4" s="1"/>
  <c r="TI32" i="4"/>
  <c r="TI33" i="4" s="1"/>
  <c r="TI35" i="4" s="1"/>
  <c r="TI36" i="4" s="1"/>
  <c r="TI45" i="4" s="1"/>
  <c r="TI48" i="4" s="1"/>
  <c r="TI6" i="4"/>
  <c r="TI12" i="4" s="1"/>
  <c r="TI28" i="4" s="1"/>
  <c r="TI30" i="4" s="1"/>
  <c r="TH32" i="4"/>
  <c r="TH33" i="4" s="1"/>
  <c r="TH35" i="4" s="1"/>
  <c r="TH36" i="4" s="1"/>
  <c r="TH45" i="4" s="1"/>
  <c r="TH48" i="4" s="1"/>
  <c r="TH6" i="4"/>
  <c r="TH12" i="4" s="1"/>
  <c r="TH28" i="4" s="1"/>
  <c r="TH30" i="4" s="1"/>
  <c r="TG32" i="4"/>
  <c r="TG33" i="4" s="1"/>
  <c r="TG35" i="4" s="1"/>
  <c r="TG36" i="4" s="1"/>
  <c r="TG45" i="4" s="1"/>
  <c r="TG48" i="4" s="1"/>
  <c r="TG6" i="4"/>
  <c r="TG12" i="4" s="1"/>
  <c r="TG28" i="4" s="1"/>
  <c r="TG30" i="4" s="1"/>
  <c r="TF32" i="4"/>
  <c r="TF33" i="4" s="1"/>
  <c r="TF35" i="4" s="1"/>
  <c r="TF36" i="4" s="1"/>
  <c r="TF45" i="4" s="1"/>
  <c r="TF48" i="4" s="1"/>
  <c r="TF6" i="4"/>
  <c r="TF12" i="4" s="1"/>
  <c r="TF28" i="4" s="1"/>
  <c r="TF30" i="4" s="1"/>
  <c r="TE32" i="4"/>
  <c r="TE33" i="4" s="1"/>
  <c r="TE35" i="4" s="1"/>
  <c r="TE36" i="4" s="1"/>
  <c r="TE45" i="4" s="1"/>
  <c r="TE48" i="4" s="1"/>
  <c r="TE6" i="4"/>
  <c r="TE12" i="4" s="1"/>
  <c r="TE28" i="4" s="1"/>
  <c r="TE30" i="4" s="1"/>
  <c r="TD32" i="4"/>
  <c r="TD33" i="4" s="1"/>
  <c r="TD35" i="4" s="1"/>
  <c r="TD36" i="4" s="1"/>
  <c r="TD45" i="4" s="1"/>
  <c r="TD48" i="4" s="1"/>
  <c r="TD6" i="4"/>
  <c r="TD12" i="4" s="1"/>
  <c r="TD28" i="4" s="1"/>
  <c r="TD30" i="4" s="1"/>
  <c r="TC32" i="4"/>
  <c r="TC33" i="4" s="1"/>
  <c r="TC35" i="4" s="1"/>
  <c r="TC36" i="4" s="1"/>
  <c r="TC45" i="4" s="1"/>
  <c r="TC48" i="4" s="1"/>
  <c r="TC6" i="4"/>
  <c r="TC12" i="4" s="1"/>
  <c r="TC28" i="4" s="1"/>
  <c r="TC30" i="4" s="1"/>
  <c r="TB32" i="4"/>
  <c r="TB33" i="4" s="1"/>
  <c r="TB35" i="4" s="1"/>
  <c r="TB36" i="4" s="1"/>
  <c r="TB45" i="4" s="1"/>
  <c r="TB48" i="4" s="1"/>
  <c r="TB6" i="4"/>
  <c r="TB12" i="4" s="1"/>
  <c r="TB28" i="4" s="1"/>
  <c r="TB30" i="4" s="1"/>
  <c r="TA32" i="4"/>
  <c r="TA33" i="4" s="1"/>
  <c r="TA35" i="4" s="1"/>
  <c r="TA36" i="4" s="1"/>
  <c r="TA45" i="4" s="1"/>
  <c r="TA48" i="4" s="1"/>
  <c r="TA6" i="4"/>
  <c r="TA12" i="4" s="1"/>
  <c r="TA28" i="4" s="1"/>
  <c r="TA30" i="4" s="1"/>
  <c r="SZ32" i="4"/>
  <c r="SZ33" i="4" s="1"/>
  <c r="SZ35" i="4" s="1"/>
  <c r="SZ36" i="4" s="1"/>
  <c r="SZ45" i="4" s="1"/>
  <c r="SZ48" i="4" s="1"/>
  <c r="SZ6" i="4"/>
  <c r="SZ12" i="4" s="1"/>
  <c r="SZ28" i="4" s="1"/>
  <c r="SZ30" i="4" s="1"/>
  <c r="SY32" i="4"/>
  <c r="SY33" i="4" s="1"/>
  <c r="SY35" i="4" s="1"/>
  <c r="SY36" i="4" s="1"/>
  <c r="SY45" i="4" s="1"/>
  <c r="SY48" i="4" s="1"/>
  <c r="SY6" i="4"/>
  <c r="SY12" i="4" s="1"/>
  <c r="SY28" i="4" s="1"/>
  <c r="SY30" i="4" s="1"/>
  <c r="SX32" i="4"/>
  <c r="SX33" i="4" s="1"/>
  <c r="SX35" i="4" s="1"/>
  <c r="SX36" i="4" s="1"/>
  <c r="SX45" i="4" s="1"/>
  <c r="SX48" i="4" s="1"/>
  <c r="SX6" i="4"/>
  <c r="SX12" i="4" s="1"/>
  <c r="SX28" i="4" s="1"/>
  <c r="SX30" i="4" s="1"/>
  <c r="SW32" i="4"/>
  <c r="SW33" i="4" s="1"/>
  <c r="SW35" i="4" s="1"/>
  <c r="SW36" i="4" s="1"/>
  <c r="SW45" i="4" s="1"/>
  <c r="SW48" i="4" s="1"/>
  <c r="SW6" i="4"/>
  <c r="SW12" i="4" s="1"/>
  <c r="SW28" i="4" s="1"/>
  <c r="SW30" i="4" s="1"/>
  <c r="SV32" i="4"/>
  <c r="SV33" i="4" s="1"/>
  <c r="SV35" i="4" s="1"/>
  <c r="SV36" i="4" s="1"/>
  <c r="SV45" i="4" s="1"/>
  <c r="SV48" i="4" s="1"/>
  <c r="SV6" i="4"/>
  <c r="SV12" i="4" s="1"/>
  <c r="SV28" i="4" s="1"/>
  <c r="SV30" i="4" s="1"/>
  <c r="SU32" i="4"/>
  <c r="SU33" i="4" s="1"/>
  <c r="SU35" i="4" s="1"/>
  <c r="SU36" i="4" s="1"/>
  <c r="SU45" i="4" s="1"/>
  <c r="SU48" i="4" s="1"/>
  <c r="SU6" i="4"/>
  <c r="SU12" i="4" s="1"/>
  <c r="SU28" i="4" s="1"/>
  <c r="SU30" i="4" s="1"/>
  <c r="ST32" i="4"/>
  <c r="ST33" i="4" s="1"/>
  <c r="ST35" i="4" s="1"/>
  <c r="ST36" i="4" s="1"/>
  <c r="ST45" i="4" s="1"/>
  <c r="ST48" i="4" s="1"/>
  <c r="ST6" i="4"/>
  <c r="ST12" i="4" s="1"/>
  <c r="ST28" i="4" s="1"/>
  <c r="ST30" i="4" s="1"/>
  <c r="SS32" i="4"/>
  <c r="SS33" i="4" s="1"/>
  <c r="SS35" i="4" s="1"/>
  <c r="SS36" i="4" s="1"/>
  <c r="SS45" i="4" s="1"/>
  <c r="SS48" i="4" s="1"/>
  <c r="SS6" i="4"/>
  <c r="SS12" i="4" s="1"/>
  <c r="SS28" i="4" s="1"/>
  <c r="SS30" i="4" s="1"/>
  <c r="SR32" i="4"/>
  <c r="SR33" i="4" s="1"/>
  <c r="SR35" i="4" s="1"/>
  <c r="SR36" i="4" s="1"/>
  <c r="SR45" i="4" s="1"/>
  <c r="SR6" i="4"/>
  <c r="SR12" i="4" s="1"/>
  <c r="SR28" i="4" s="1"/>
  <c r="SR30" i="4" s="1"/>
  <c r="SQ32" i="4"/>
  <c r="SQ33" i="4" s="1"/>
  <c r="SQ35" i="4" s="1"/>
  <c r="SQ36" i="4" s="1"/>
  <c r="SQ45" i="4" s="1"/>
  <c r="SQ6" i="4"/>
  <c r="SQ12" i="4" s="1"/>
  <c r="SQ28" i="4" s="1"/>
  <c r="SQ30" i="4" s="1"/>
  <c r="SP32" i="4"/>
  <c r="SP33" i="4" s="1"/>
  <c r="SP35" i="4" s="1"/>
  <c r="SP36" i="4" s="1"/>
  <c r="SP45" i="4" s="1"/>
  <c r="SP48" i="4" s="1"/>
  <c r="SP6" i="4"/>
  <c r="SP12" i="4" s="1"/>
  <c r="SP28" i="4" s="1"/>
  <c r="SP30" i="4" s="1"/>
  <c r="SO32" i="4"/>
  <c r="SO33" i="4" s="1"/>
  <c r="SO35" i="4" s="1"/>
  <c r="SO36" i="4" s="1"/>
  <c r="SO45" i="4" s="1"/>
  <c r="SO6" i="4"/>
  <c r="SO12" i="4" s="1"/>
  <c r="SO28" i="4" s="1"/>
  <c r="SO30" i="4" s="1"/>
  <c r="SM32" i="4"/>
  <c r="SM33" i="4" s="1"/>
  <c r="SM35" i="4" s="1"/>
  <c r="SM6" i="4"/>
  <c r="SM12" i="4" s="1"/>
  <c r="SM28" i="4" s="1"/>
  <c r="SM30" i="4" s="1"/>
  <c r="TR4" i="4"/>
  <c r="SK32" i="4"/>
  <c r="SK33" i="4" s="1"/>
  <c r="SK35" i="4" s="1"/>
  <c r="SK36" i="4" s="1"/>
  <c r="SK45" i="4" s="1"/>
  <c r="SK6" i="4"/>
  <c r="SK12" i="4" s="1"/>
  <c r="SK28" i="4" s="1"/>
  <c r="SK30" i="4" s="1"/>
  <c r="SJ32" i="4"/>
  <c r="SJ33" i="4" s="1"/>
  <c r="SJ35" i="4" s="1"/>
  <c r="SJ36" i="4" s="1"/>
  <c r="SJ45" i="4" s="1"/>
  <c r="SJ48" i="4" s="1"/>
  <c r="SJ6" i="4"/>
  <c r="SJ12" i="4" s="1"/>
  <c r="SJ28" i="4" s="1"/>
  <c r="SJ30" i="4" s="1"/>
  <c r="SI32" i="4"/>
  <c r="SI33" i="4" s="1"/>
  <c r="SI35" i="4" s="1"/>
  <c r="SI36" i="4" s="1"/>
  <c r="SI45" i="4" s="1"/>
  <c r="SI6" i="4"/>
  <c r="SI12" i="4" s="1"/>
  <c r="SI28" i="4" s="1"/>
  <c r="SI30" i="4" s="1"/>
  <c r="SH32" i="4"/>
  <c r="SH33" i="4" s="1"/>
  <c r="SH35" i="4" s="1"/>
  <c r="SH36" i="4" s="1"/>
  <c r="SH45" i="4" s="1"/>
  <c r="SH6" i="4"/>
  <c r="SH12" i="4" s="1"/>
  <c r="SH28" i="4" s="1"/>
  <c r="SH30" i="4" s="1"/>
  <c r="SG32" i="4"/>
  <c r="SG33" i="4" s="1"/>
  <c r="SG35" i="4" s="1"/>
  <c r="SG36" i="4" s="1"/>
  <c r="SG45" i="4" s="1"/>
  <c r="SG48" i="4" s="1"/>
  <c r="SG6" i="4"/>
  <c r="SG12" i="4" s="1"/>
  <c r="SG28" i="4" s="1"/>
  <c r="SG30" i="4" s="1"/>
  <c r="SF32" i="4"/>
  <c r="SF33" i="4" s="1"/>
  <c r="SF35" i="4" s="1"/>
  <c r="SF36" i="4" s="1"/>
  <c r="SF45" i="4" s="1"/>
  <c r="SF48" i="4" s="1"/>
  <c r="SF6" i="4"/>
  <c r="SF12" i="4" s="1"/>
  <c r="SF28" i="4" s="1"/>
  <c r="SF30" i="4" s="1"/>
  <c r="SE32" i="4"/>
  <c r="SE33" i="4" s="1"/>
  <c r="SE35" i="4" s="1"/>
  <c r="SE36" i="4" s="1"/>
  <c r="SE45" i="4" s="1"/>
  <c r="SE6" i="4"/>
  <c r="SE12" i="4" s="1"/>
  <c r="SE28" i="4" s="1"/>
  <c r="SE30" i="4" s="1"/>
  <c r="SD32" i="4"/>
  <c r="SD33" i="4" s="1"/>
  <c r="SD35" i="4" s="1"/>
  <c r="SD36" i="4" s="1"/>
  <c r="SD45" i="4" s="1"/>
  <c r="SD6" i="4"/>
  <c r="SD12" i="4" s="1"/>
  <c r="SD28" i="4" s="1"/>
  <c r="SD30" i="4" s="1"/>
  <c r="SC32" i="4"/>
  <c r="SC33" i="4" s="1"/>
  <c r="SC35" i="4" s="1"/>
  <c r="SC36" i="4" s="1"/>
  <c r="SC45" i="4" s="1"/>
  <c r="SC6" i="4"/>
  <c r="SC12" i="4" s="1"/>
  <c r="SC28" i="4" s="1"/>
  <c r="SC30" i="4" s="1"/>
  <c r="SB32" i="4"/>
  <c r="SB33" i="4" s="1"/>
  <c r="SB35" i="4" s="1"/>
  <c r="SB36" i="4" s="1"/>
  <c r="SB45" i="4" s="1"/>
  <c r="SB48" i="4" s="1"/>
  <c r="SB6" i="4"/>
  <c r="SB12" i="4" s="1"/>
  <c r="SB28" i="4" s="1"/>
  <c r="SB30" i="4" s="1"/>
  <c r="SA32" i="4"/>
  <c r="SA33" i="4" s="1"/>
  <c r="SA35" i="4" s="1"/>
  <c r="SA36" i="4" s="1"/>
  <c r="SA45" i="4" s="1"/>
  <c r="SA6" i="4"/>
  <c r="SA12" i="4" s="1"/>
  <c r="SA28" i="4" s="1"/>
  <c r="SA30" i="4" s="1"/>
  <c r="RZ32" i="4"/>
  <c r="RZ33" i="4" s="1"/>
  <c r="RZ35" i="4" s="1"/>
  <c r="RZ36" i="4" s="1"/>
  <c r="RZ45" i="4" s="1"/>
  <c r="RZ6" i="4"/>
  <c r="RZ12" i="4" s="1"/>
  <c r="RZ28" i="4" s="1"/>
  <c r="RZ30" i="4" s="1"/>
  <c r="RY32" i="4"/>
  <c r="RY33" i="4" s="1"/>
  <c r="RY35" i="4" s="1"/>
  <c r="RY36" i="4" s="1"/>
  <c r="RY45" i="4" s="1"/>
  <c r="RY48" i="4" s="1"/>
  <c r="RY6" i="4"/>
  <c r="RY12" i="4" s="1"/>
  <c r="RY28" i="4" s="1"/>
  <c r="RY30" i="4" s="1"/>
  <c r="RX32" i="4"/>
  <c r="RX33" i="4" s="1"/>
  <c r="RX35" i="4" s="1"/>
  <c r="RX36" i="4" s="1"/>
  <c r="RX45" i="4" s="1"/>
  <c r="RX6" i="4"/>
  <c r="RX12" i="4" s="1"/>
  <c r="RX28" i="4" s="1"/>
  <c r="RX30" i="4" s="1"/>
  <c r="RW32" i="4"/>
  <c r="RW33" i="4" s="1"/>
  <c r="RW35" i="4" s="1"/>
  <c r="RW36" i="4" s="1"/>
  <c r="RW45" i="4" s="1"/>
  <c r="RW48" i="4" s="1"/>
  <c r="RW6" i="4"/>
  <c r="RW12" i="4" s="1"/>
  <c r="RW28" i="4" s="1"/>
  <c r="RW30" i="4" s="1"/>
  <c r="RV32" i="4"/>
  <c r="RV33" i="4" s="1"/>
  <c r="RV35" i="4" s="1"/>
  <c r="RV36" i="4" s="1"/>
  <c r="RV45" i="4" s="1"/>
  <c r="RV6" i="4"/>
  <c r="RV12" i="4" s="1"/>
  <c r="RV28" i="4" s="1"/>
  <c r="RV30" i="4" s="1"/>
  <c r="RU32" i="4"/>
  <c r="RU33" i="4" s="1"/>
  <c r="RU35" i="4" s="1"/>
  <c r="RU36" i="4" s="1"/>
  <c r="RU45" i="4" s="1"/>
  <c r="RU6" i="4"/>
  <c r="RU12" i="4" s="1"/>
  <c r="RU28" i="4" s="1"/>
  <c r="RU30" i="4" s="1"/>
  <c r="RT32" i="4"/>
  <c r="RT33" i="4" s="1"/>
  <c r="RT35" i="4" s="1"/>
  <c r="RT36" i="4" s="1"/>
  <c r="RT45" i="4" s="1"/>
  <c r="RT6" i="4"/>
  <c r="RT12" i="4" s="1"/>
  <c r="RT28" i="4" s="1"/>
  <c r="RT30" i="4" s="1"/>
  <c r="RS32" i="4"/>
  <c r="RS33" i="4" s="1"/>
  <c r="RS35" i="4" s="1"/>
  <c r="RS36" i="4" s="1"/>
  <c r="RS45" i="4" s="1"/>
  <c r="RS6" i="4"/>
  <c r="RS12" i="4" s="1"/>
  <c r="RS28" i="4" s="1"/>
  <c r="RS30" i="4" s="1"/>
  <c r="RR32" i="4"/>
  <c r="RR33" i="4" s="1"/>
  <c r="RR35" i="4" s="1"/>
  <c r="RR36" i="4" s="1"/>
  <c r="RR45" i="4" s="1"/>
  <c r="RR48" i="4" s="1"/>
  <c r="RR6" i="4"/>
  <c r="RR12" i="4" s="1"/>
  <c r="RR28" i="4" s="1"/>
  <c r="RR30" i="4" s="1"/>
  <c r="RQ32" i="4"/>
  <c r="RQ33" i="4" s="1"/>
  <c r="RQ35" i="4" s="1"/>
  <c r="RQ36" i="4" s="1"/>
  <c r="RQ45" i="4" s="1"/>
  <c r="RQ6" i="4"/>
  <c r="RQ12" i="4" s="1"/>
  <c r="RQ28" i="4" s="1"/>
  <c r="RQ30" i="4" s="1"/>
  <c r="RP32" i="4"/>
  <c r="RP33" i="4" s="1"/>
  <c r="RP35" i="4" s="1"/>
  <c r="RP36" i="4" s="1"/>
  <c r="RP45" i="4" s="1"/>
  <c r="RP48" i="4" s="1"/>
  <c r="RP6" i="4"/>
  <c r="RP12" i="4" s="1"/>
  <c r="RP28" i="4" s="1"/>
  <c r="RP30" i="4" s="1"/>
  <c r="RO32" i="4"/>
  <c r="RO33" i="4" s="1"/>
  <c r="RO35" i="4" s="1"/>
  <c r="RO36" i="4" s="1"/>
  <c r="RO45" i="4" s="1"/>
  <c r="RO6" i="4"/>
  <c r="RO12" i="4" s="1"/>
  <c r="RO28" i="4" s="1"/>
  <c r="RO30" i="4" s="1"/>
  <c r="RN32" i="4"/>
  <c r="RN33" i="4" s="1"/>
  <c r="RN35" i="4" s="1"/>
  <c r="RN36" i="4" s="1"/>
  <c r="RN45" i="4" s="1"/>
  <c r="RN6" i="4"/>
  <c r="RN12" i="4" s="1"/>
  <c r="RN28" i="4" s="1"/>
  <c r="RN30" i="4" s="1"/>
  <c r="RM32" i="4"/>
  <c r="RM33" i="4" s="1"/>
  <c r="RM35" i="4" s="1"/>
  <c r="RM36" i="4" s="1"/>
  <c r="RM45" i="4" s="1"/>
  <c r="RM6" i="4"/>
  <c r="RM12" i="4" s="1"/>
  <c r="RM28" i="4" s="1"/>
  <c r="RM30" i="4" s="1"/>
  <c r="RL32" i="4"/>
  <c r="RL33" i="4" s="1"/>
  <c r="RL35" i="4" s="1"/>
  <c r="RL36" i="4" s="1"/>
  <c r="RL45" i="4" s="1"/>
  <c r="RL48" i="4" s="1"/>
  <c r="RL6" i="4"/>
  <c r="RL12" i="4" s="1"/>
  <c r="RL28" i="4" s="1"/>
  <c r="RL30" i="4" s="1"/>
  <c r="RK32" i="4"/>
  <c r="RK33" i="4" s="1"/>
  <c r="RK35" i="4" s="1"/>
  <c r="RK36" i="4" s="1"/>
  <c r="RK45" i="4" s="1"/>
  <c r="RK48" i="4" s="1"/>
  <c r="RK6" i="4"/>
  <c r="RK12" i="4" s="1"/>
  <c r="RK28" i="4" s="1"/>
  <c r="RK30" i="4" s="1"/>
  <c r="RJ32" i="4"/>
  <c r="RJ33" i="4" s="1"/>
  <c r="RJ35" i="4" s="1"/>
  <c r="RJ36" i="4" s="1"/>
  <c r="RJ45" i="4" s="1"/>
  <c r="RJ6" i="4"/>
  <c r="RJ12" i="4" s="1"/>
  <c r="RJ28" i="4" s="1"/>
  <c r="RJ30" i="4" s="1"/>
  <c r="RI32" i="4"/>
  <c r="RI33" i="4" s="1"/>
  <c r="RI35" i="4" s="1"/>
  <c r="RI36" i="4" s="1"/>
  <c r="RI45" i="4" s="1"/>
  <c r="RI6" i="4"/>
  <c r="RI12" i="4" s="1"/>
  <c r="RI28" i="4" s="1"/>
  <c r="RI30" i="4" s="1"/>
  <c r="RF32" i="4"/>
  <c r="RF33" i="4" s="1"/>
  <c r="RF35" i="4" s="1"/>
  <c r="RF36" i="4" s="1"/>
  <c r="RF45" i="4" s="1"/>
  <c r="RF48" i="4" s="1"/>
  <c r="RF6" i="4"/>
  <c r="RF12" i="4" s="1"/>
  <c r="RF28" i="4" s="1"/>
  <c r="RF30" i="4" s="1"/>
  <c r="RE32" i="4"/>
  <c r="RE33" i="4" s="1"/>
  <c r="RE35" i="4" s="1"/>
  <c r="RE36" i="4" s="1"/>
  <c r="RE45" i="4" s="1"/>
  <c r="RE6" i="4"/>
  <c r="RE12" i="4" s="1"/>
  <c r="RE28" i="4" s="1"/>
  <c r="RE30" i="4" s="1"/>
  <c r="RD32" i="4"/>
  <c r="RD33" i="4" s="1"/>
  <c r="RD35" i="4" s="1"/>
  <c r="RD36" i="4" s="1"/>
  <c r="RD45" i="4" s="1"/>
  <c r="RD6" i="4"/>
  <c r="RD12" i="4" s="1"/>
  <c r="RD28" i="4" s="1"/>
  <c r="RD30" i="4" s="1"/>
  <c r="RC32" i="4"/>
  <c r="RC33" i="4" s="1"/>
  <c r="RC35" i="4" s="1"/>
  <c r="RC36" i="4" s="1"/>
  <c r="RC45" i="4" s="1"/>
  <c r="RC6" i="4"/>
  <c r="RC12" i="4" s="1"/>
  <c r="RC28" i="4" s="1"/>
  <c r="RC30" i="4" s="1"/>
  <c r="RB32" i="4"/>
  <c r="RB33" i="4" s="1"/>
  <c r="RB35" i="4" s="1"/>
  <c r="RB36" i="4" s="1"/>
  <c r="RB45" i="4" s="1"/>
  <c r="RB48" i="4" s="1"/>
  <c r="RB6" i="4"/>
  <c r="RB12" i="4" s="1"/>
  <c r="RB28" i="4" s="1"/>
  <c r="RB30" i="4" s="1"/>
  <c r="RA32" i="4"/>
  <c r="RA33" i="4" s="1"/>
  <c r="RA35" i="4" s="1"/>
  <c r="RA36" i="4" s="1"/>
  <c r="RA45" i="4" s="1"/>
  <c r="RA48" i="4" s="1"/>
  <c r="RA6" i="4"/>
  <c r="RA12" i="4" s="1"/>
  <c r="RA28" i="4" s="1"/>
  <c r="RA30" i="4" s="1"/>
  <c r="QZ32" i="4"/>
  <c r="QZ33" i="4" s="1"/>
  <c r="QZ35" i="4" s="1"/>
  <c r="QZ36" i="4" s="1"/>
  <c r="QZ45" i="4" s="1"/>
  <c r="QZ48" i="4" s="1"/>
  <c r="QZ6" i="4"/>
  <c r="QZ12" i="4" s="1"/>
  <c r="QZ28" i="4" s="1"/>
  <c r="QZ30" i="4" s="1"/>
  <c r="QY32" i="4"/>
  <c r="QY33" i="4" s="1"/>
  <c r="QY35" i="4" s="1"/>
  <c r="QY36" i="4" s="1"/>
  <c r="QY45" i="4" s="1"/>
  <c r="QY48" i="4" s="1"/>
  <c r="QY6" i="4"/>
  <c r="QY12" i="4" s="1"/>
  <c r="QY28" i="4" s="1"/>
  <c r="QY30" i="4" s="1"/>
  <c r="QX32" i="4"/>
  <c r="QX33" i="4" s="1"/>
  <c r="QX35" i="4" s="1"/>
  <c r="QX36" i="4" s="1"/>
  <c r="QX45" i="4" s="1"/>
  <c r="QX48" i="4" s="1"/>
  <c r="QX6" i="4"/>
  <c r="QX12" i="4" s="1"/>
  <c r="QX28" i="4" s="1"/>
  <c r="QX30" i="4" s="1"/>
  <c r="QW32" i="4"/>
  <c r="QW33" i="4" s="1"/>
  <c r="QW35" i="4" s="1"/>
  <c r="QW36" i="4" s="1"/>
  <c r="QW45" i="4" s="1"/>
  <c r="QW6" i="4"/>
  <c r="QW12" i="4" s="1"/>
  <c r="QW28" i="4" s="1"/>
  <c r="QW30" i="4" s="1"/>
  <c r="QV32" i="4"/>
  <c r="QV33" i="4" s="1"/>
  <c r="QV35" i="4" s="1"/>
  <c r="QV36" i="4" s="1"/>
  <c r="QV45" i="4" s="1"/>
  <c r="QV48" i="4" s="1"/>
  <c r="QV6" i="4"/>
  <c r="QV12" i="4" s="1"/>
  <c r="QV28" i="4" s="1"/>
  <c r="QV30" i="4" s="1"/>
  <c r="QU32" i="4"/>
  <c r="QU33" i="4" s="1"/>
  <c r="QU35" i="4" s="1"/>
  <c r="QU36" i="4" s="1"/>
  <c r="QU45" i="4" s="1"/>
  <c r="QU48" i="4" s="1"/>
  <c r="QU6" i="4"/>
  <c r="QU12" i="4" s="1"/>
  <c r="QU28" i="4" s="1"/>
  <c r="QU30" i="4" s="1"/>
  <c r="QT32" i="4"/>
  <c r="QT33" i="4" s="1"/>
  <c r="QT35" i="4" s="1"/>
  <c r="QT36" i="4" s="1"/>
  <c r="QT45" i="4" s="1"/>
  <c r="QT48" i="4" s="1"/>
  <c r="QT6" i="4"/>
  <c r="QT12" i="4" s="1"/>
  <c r="QT28" i="4" s="1"/>
  <c r="QT30" i="4" s="1"/>
  <c r="QS32" i="4"/>
  <c r="QS33" i="4" s="1"/>
  <c r="QS35" i="4" s="1"/>
  <c r="QS36" i="4" s="1"/>
  <c r="QS45" i="4" s="1"/>
  <c r="QS48" i="4" s="1"/>
  <c r="QS6" i="4"/>
  <c r="QS12" i="4" s="1"/>
  <c r="QS28" i="4" s="1"/>
  <c r="QS30" i="4" s="1"/>
  <c r="QR32" i="4"/>
  <c r="QR33" i="4" s="1"/>
  <c r="QR35" i="4" s="1"/>
  <c r="QR36" i="4" s="1"/>
  <c r="QR45" i="4" s="1"/>
  <c r="QR48" i="4" s="1"/>
  <c r="QR6" i="4"/>
  <c r="QR12" i="4" s="1"/>
  <c r="QR28" i="4" s="1"/>
  <c r="QR30" i="4" s="1"/>
  <c r="QQ32" i="4"/>
  <c r="QQ33" i="4" s="1"/>
  <c r="QQ35" i="4" s="1"/>
  <c r="QQ36" i="4" s="1"/>
  <c r="QQ45" i="4" s="1"/>
  <c r="QQ48" i="4" s="1"/>
  <c r="QQ6" i="4"/>
  <c r="QQ12" i="4" s="1"/>
  <c r="QQ28" i="4" s="1"/>
  <c r="QQ30" i="4" s="1"/>
  <c r="QP32" i="4"/>
  <c r="QP33" i="4" s="1"/>
  <c r="QP35" i="4" s="1"/>
  <c r="QP36" i="4" s="1"/>
  <c r="QP45" i="4" s="1"/>
  <c r="QP48" i="4" s="1"/>
  <c r="QP6" i="4"/>
  <c r="QP12" i="4" s="1"/>
  <c r="QP28" i="4" s="1"/>
  <c r="QP30" i="4" s="1"/>
  <c r="QO32" i="4"/>
  <c r="QO33" i="4" s="1"/>
  <c r="QO35" i="4" s="1"/>
  <c r="QO36" i="4" s="1"/>
  <c r="QO45" i="4" s="1"/>
  <c r="QO48" i="4" s="1"/>
  <c r="QO6" i="4"/>
  <c r="QO12" i="4" s="1"/>
  <c r="QO28" i="4" s="1"/>
  <c r="QO30" i="4" s="1"/>
  <c r="QN32" i="4"/>
  <c r="QN33" i="4" s="1"/>
  <c r="QN35" i="4" s="1"/>
  <c r="QN36" i="4" s="1"/>
  <c r="QN45" i="4" s="1"/>
  <c r="QN48" i="4" s="1"/>
  <c r="QN6" i="4"/>
  <c r="QN12" i="4" s="1"/>
  <c r="QN28" i="4" s="1"/>
  <c r="QN30" i="4" s="1"/>
  <c r="QM32" i="4"/>
  <c r="QM33" i="4" s="1"/>
  <c r="QM35" i="4" s="1"/>
  <c r="QM36" i="4" s="1"/>
  <c r="QM45" i="4" s="1"/>
  <c r="QM48" i="4" s="1"/>
  <c r="QM6" i="4"/>
  <c r="QM12" i="4" s="1"/>
  <c r="QM28" i="4" s="1"/>
  <c r="QM30" i="4" s="1"/>
  <c r="QL32" i="4"/>
  <c r="QL33" i="4" s="1"/>
  <c r="QL35" i="4" s="1"/>
  <c r="QL36" i="4" s="1"/>
  <c r="QL45" i="4" s="1"/>
  <c r="QL48" i="4" s="1"/>
  <c r="QL6" i="4"/>
  <c r="QL12" i="4" s="1"/>
  <c r="QL28" i="4" s="1"/>
  <c r="QL30" i="4" s="1"/>
  <c r="QK32" i="4"/>
  <c r="QK33" i="4" s="1"/>
  <c r="QK35" i="4" s="1"/>
  <c r="QK36" i="4" s="1"/>
  <c r="QK45" i="4" s="1"/>
  <c r="QK48" i="4" s="1"/>
  <c r="QK6" i="4"/>
  <c r="QK12" i="4" s="1"/>
  <c r="QK28" i="4" s="1"/>
  <c r="QK30" i="4" s="1"/>
  <c r="QJ32" i="4"/>
  <c r="QJ33" i="4" s="1"/>
  <c r="QJ35" i="4" s="1"/>
  <c r="QJ36" i="4" s="1"/>
  <c r="QJ45" i="4" s="1"/>
  <c r="QJ48" i="4" s="1"/>
  <c r="QJ6" i="4"/>
  <c r="QJ12" i="4" s="1"/>
  <c r="QJ28" i="4" s="1"/>
  <c r="QJ30" i="4" s="1"/>
  <c r="QI32" i="4"/>
  <c r="QI33" i="4" s="1"/>
  <c r="QI35" i="4" s="1"/>
  <c r="QI36" i="4" s="1"/>
  <c r="QI45" i="4" s="1"/>
  <c r="QI48" i="4" s="1"/>
  <c r="QI6" i="4"/>
  <c r="QI12" i="4" s="1"/>
  <c r="QI28" i="4" s="1"/>
  <c r="QI30" i="4" s="1"/>
  <c r="QH32" i="4"/>
  <c r="QH33" i="4" s="1"/>
  <c r="QH35" i="4" s="1"/>
  <c r="QH36" i="4" s="1"/>
  <c r="QH45" i="4" s="1"/>
  <c r="QH48" i="4" s="1"/>
  <c r="QH6" i="4"/>
  <c r="QH12" i="4" s="1"/>
  <c r="QH28" i="4" s="1"/>
  <c r="QH30" i="4" s="1"/>
  <c r="QG32" i="4"/>
  <c r="QG33" i="4" s="1"/>
  <c r="QG35" i="4" s="1"/>
  <c r="QG36" i="4" s="1"/>
  <c r="QG45" i="4" s="1"/>
  <c r="QG48" i="4" s="1"/>
  <c r="QG6" i="4"/>
  <c r="QG12" i="4" s="1"/>
  <c r="QG28" i="4" s="1"/>
  <c r="QG30" i="4" s="1"/>
  <c r="QF32" i="4"/>
  <c r="QF33" i="4" s="1"/>
  <c r="QF35" i="4" s="1"/>
  <c r="QF36" i="4" s="1"/>
  <c r="QF45" i="4" s="1"/>
  <c r="QF48" i="4" s="1"/>
  <c r="QF6" i="4"/>
  <c r="QF12" i="4" s="1"/>
  <c r="QF28" i="4" s="1"/>
  <c r="QF30" i="4" s="1"/>
  <c r="QE32" i="4"/>
  <c r="QE33" i="4" s="1"/>
  <c r="QE35" i="4" s="1"/>
  <c r="QE36" i="4" s="1"/>
  <c r="QE45" i="4" s="1"/>
  <c r="QE6" i="4"/>
  <c r="QE12" i="4" s="1"/>
  <c r="QE28" i="4" s="1"/>
  <c r="QE30" i="4" s="1"/>
  <c r="QD32" i="4"/>
  <c r="QD33" i="4" s="1"/>
  <c r="QD35" i="4" s="1"/>
  <c r="QD36" i="4" s="1"/>
  <c r="QD45" i="4" s="1"/>
  <c r="QD6" i="4"/>
  <c r="QD12" i="4" s="1"/>
  <c r="QD28" i="4" s="1"/>
  <c r="QD30" i="4" s="1"/>
  <c r="QB32" i="4"/>
  <c r="QB33" i="4" s="1"/>
  <c r="QB35" i="4" s="1"/>
  <c r="QB6" i="4"/>
  <c r="QB12" i="4" s="1"/>
  <c r="QB28" i="4" s="1"/>
  <c r="QB30" i="4" s="1"/>
  <c r="RG4" i="4"/>
  <c r="RG11" i="4" s="1"/>
  <c r="PZ32" i="4"/>
  <c r="PZ33" i="4" s="1"/>
  <c r="PZ35" i="4" s="1"/>
  <c r="PZ36" i="4" s="1"/>
  <c r="PZ45" i="4" s="1"/>
  <c r="PZ6" i="4"/>
  <c r="PZ12" i="4" s="1"/>
  <c r="PZ28" i="4" s="1"/>
  <c r="PZ30" i="4" s="1"/>
  <c r="PY32" i="4"/>
  <c r="PY33" i="4" s="1"/>
  <c r="PY35" i="4" s="1"/>
  <c r="PY36" i="4" s="1"/>
  <c r="PY45" i="4" s="1"/>
  <c r="PY6" i="4"/>
  <c r="PY12" i="4" s="1"/>
  <c r="PY28" i="4" s="1"/>
  <c r="PY30" i="4" s="1"/>
  <c r="PX32" i="4"/>
  <c r="PX33" i="4" s="1"/>
  <c r="PX35" i="4" s="1"/>
  <c r="PX36" i="4" s="1"/>
  <c r="PX45" i="4" s="1"/>
  <c r="PX6" i="4"/>
  <c r="PX12" i="4" s="1"/>
  <c r="PX28" i="4" s="1"/>
  <c r="PX30" i="4" s="1"/>
  <c r="PW32" i="4"/>
  <c r="PW33" i="4" s="1"/>
  <c r="PW35" i="4" s="1"/>
  <c r="PW36" i="4" s="1"/>
  <c r="PW45" i="4" s="1"/>
  <c r="PW6" i="4"/>
  <c r="PW12" i="4" s="1"/>
  <c r="PW28" i="4" s="1"/>
  <c r="PW30" i="4" s="1"/>
  <c r="PV32" i="4"/>
  <c r="PV33" i="4" s="1"/>
  <c r="PV35" i="4" s="1"/>
  <c r="PV36" i="4" s="1"/>
  <c r="PV45" i="4" s="1"/>
  <c r="PV6" i="4"/>
  <c r="PV12" i="4" s="1"/>
  <c r="PV28" i="4" s="1"/>
  <c r="PV30" i="4" s="1"/>
  <c r="PU32" i="4"/>
  <c r="PU33" i="4" s="1"/>
  <c r="PU35" i="4" s="1"/>
  <c r="PU36" i="4" s="1"/>
  <c r="PU45" i="4" s="1"/>
  <c r="PU6" i="4"/>
  <c r="PU12" i="4" s="1"/>
  <c r="PU28" i="4" s="1"/>
  <c r="PU30" i="4" s="1"/>
  <c r="PT32" i="4"/>
  <c r="PT33" i="4" s="1"/>
  <c r="PT35" i="4" s="1"/>
  <c r="PT36" i="4" s="1"/>
  <c r="PT45" i="4" s="1"/>
  <c r="PT6" i="4"/>
  <c r="PT12" i="4" s="1"/>
  <c r="PT28" i="4" s="1"/>
  <c r="PT30" i="4" s="1"/>
  <c r="PS32" i="4"/>
  <c r="PS33" i="4" s="1"/>
  <c r="PS35" i="4" s="1"/>
  <c r="PS36" i="4" s="1"/>
  <c r="PS45" i="4" s="1"/>
  <c r="PS6" i="4"/>
  <c r="PS12" i="4" s="1"/>
  <c r="PS28" i="4" s="1"/>
  <c r="PS30" i="4" s="1"/>
  <c r="PR32" i="4"/>
  <c r="PR33" i="4" s="1"/>
  <c r="PR35" i="4" s="1"/>
  <c r="PR36" i="4" s="1"/>
  <c r="PR45" i="4" s="1"/>
  <c r="PR6" i="4"/>
  <c r="PR12" i="4" s="1"/>
  <c r="PR28" i="4" s="1"/>
  <c r="PR30" i="4" s="1"/>
  <c r="PQ32" i="4"/>
  <c r="PQ33" i="4" s="1"/>
  <c r="PQ35" i="4" s="1"/>
  <c r="PQ36" i="4" s="1"/>
  <c r="PQ45" i="4" s="1"/>
  <c r="PQ6" i="4"/>
  <c r="PQ12" i="4" s="1"/>
  <c r="PQ28" i="4" s="1"/>
  <c r="PQ30" i="4" s="1"/>
  <c r="PP32" i="4"/>
  <c r="PP33" i="4" s="1"/>
  <c r="PP35" i="4" s="1"/>
  <c r="PP36" i="4" s="1"/>
  <c r="PP45" i="4" s="1"/>
  <c r="PP6" i="4"/>
  <c r="PP12" i="4" s="1"/>
  <c r="PP28" i="4" s="1"/>
  <c r="PP30" i="4" s="1"/>
  <c r="PO32" i="4"/>
  <c r="PO33" i="4" s="1"/>
  <c r="PO35" i="4" s="1"/>
  <c r="PO36" i="4" s="1"/>
  <c r="PO45" i="4" s="1"/>
  <c r="PO6" i="4"/>
  <c r="PO12" i="4" s="1"/>
  <c r="PO28" i="4" s="1"/>
  <c r="PO30" i="4" s="1"/>
  <c r="PN32" i="4"/>
  <c r="PN33" i="4" s="1"/>
  <c r="PN35" i="4" s="1"/>
  <c r="PN36" i="4" s="1"/>
  <c r="PN45" i="4" s="1"/>
  <c r="PN6" i="4"/>
  <c r="PN12" i="4" s="1"/>
  <c r="PN28" i="4" s="1"/>
  <c r="PN30" i="4" s="1"/>
  <c r="PM32" i="4"/>
  <c r="PM33" i="4" s="1"/>
  <c r="PM35" i="4" s="1"/>
  <c r="PM36" i="4" s="1"/>
  <c r="PM45" i="4" s="1"/>
  <c r="PM6" i="4"/>
  <c r="PM12" i="4" s="1"/>
  <c r="PM28" i="4" s="1"/>
  <c r="PM30" i="4" s="1"/>
  <c r="PL32" i="4"/>
  <c r="PL33" i="4" s="1"/>
  <c r="PL35" i="4" s="1"/>
  <c r="PL36" i="4" s="1"/>
  <c r="PL45" i="4" s="1"/>
  <c r="PL6" i="4"/>
  <c r="PL12" i="4" s="1"/>
  <c r="PL28" i="4" s="1"/>
  <c r="PL30" i="4" s="1"/>
  <c r="PK32" i="4"/>
  <c r="PK33" i="4" s="1"/>
  <c r="PK35" i="4" s="1"/>
  <c r="PK36" i="4" s="1"/>
  <c r="PK45" i="4" s="1"/>
  <c r="PK6" i="4"/>
  <c r="PK12" i="4" s="1"/>
  <c r="PK28" i="4" s="1"/>
  <c r="PK30" i="4" s="1"/>
  <c r="PJ32" i="4"/>
  <c r="PJ33" i="4" s="1"/>
  <c r="PJ35" i="4" s="1"/>
  <c r="PJ36" i="4" s="1"/>
  <c r="PJ45" i="4" s="1"/>
  <c r="PJ6" i="4"/>
  <c r="PJ12" i="4" s="1"/>
  <c r="PJ28" i="4" s="1"/>
  <c r="PJ30" i="4" s="1"/>
  <c r="PI32" i="4"/>
  <c r="PI33" i="4" s="1"/>
  <c r="PI35" i="4" s="1"/>
  <c r="PI36" i="4" s="1"/>
  <c r="PI45" i="4" s="1"/>
  <c r="PI6" i="4"/>
  <c r="PI12" i="4" s="1"/>
  <c r="PI28" i="4" s="1"/>
  <c r="PI30" i="4" s="1"/>
  <c r="PH32" i="4"/>
  <c r="PH33" i="4" s="1"/>
  <c r="PH35" i="4" s="1"/>
  <c r="PH36" i="4" s="1"/>
  <c r="PH45" i="4" s="1"/>
  <c r="PH6" i="4"/>
  <c r="PH12" i="4" s="1"/>
  <c r="PH28" i="4" s="1"/>
  <c r="PH30" i="4" s="1"/>
  <c r="PG32" i="4"/>
  <c r="PG33" i="4" s="1"/>
  <c r="PG35" i="4" s="1"/>
  <c r="PG36" i="4" s="1"/>
  <c r="PG45" i="4" s="1"/>
  <c r="PG6" i="4"/>
  <c r="PG12" i="4" s="1"/>
  <c r="PG28" i="4" s="1"/>
  <c r="PG30" i="4" s="1"/>
  <c r="PF32" i="4"/>
  <c r="PF33" i="4" s="1"/>
  <c r="PF35" i="4" s="1"/>
  <c r="PF36" i="4" s="1"/>
  <c r="PF45" i="4" s="1"/>
  <c r="PF6" i="4"/>
  <c r="PF12" i="4" s="1"/>
  <c r="PF28" i="4" s="1"/>
  <c r="PF30" i="4" s="1"/>
  <c r="PE32" i="4"/>
  <c r="PE33" i="4" s="1"/>
  <c r="PE35" i="4" s="1"/>
  <c r="PE36" i="4" s="1"/>
  <c r="PE45" i="4" s="1"/>
  <c r="PE6" i="4"/>
  <c r="PE12" i="4" s="1"/>
  <c r="PE28" i="4" s="1"/>
  <c r="PE30" i="4" s="1"/>
  <c r="PD32" i="4"/>
  <c r="PD33" i="4" s="1"/>
  <c r="PD35" i="4" s="1"/>
  <c r="PD36" i="4" s="1"/>
  <c r="PD45" i="4" s="1"/>
  <c r="PD6" i="4"/>
  <c r="PD12" i="4" s="1"/>
  <c r="PD28" i="4" s="1"/>
  <c r="PD30" i="4" s="1"/>
  <c r="PC32" i="4"/>
  <c r="PC33" i="4" s="1"/>
  <c r="PC35" i="4" s="1"/>
  <c r="PC36" i="4" s="1"/>
  <c r="PC45" i="4" s="1"/>
  <c r="PC6" i="4"/>
  <c r="PC12" i="4" s="1"/>
  <c r="PB32" i="4"/>
  <c r="PB33" i="4" s="1"/>
  <c r="PB35" i="4" s="1"/>
  <c r="PB36" i="4" s="1"/>
  <c r="PB45" i="4" s="1"/>
  <c r="PB6" i="4"/>
  <c r="PB12" i="4" s="1"/>
  <c r="PB28" i="4" s="1"/>
  <c r="PB30" i="4" s="1"/>
  <c r="PA32" i="4"/>
  <c r="PA33" i="4" s="1"/>
  <c r="PA35" i="4" s="1"/>
  <c r="PA36" i="4" s="1"/>
  <c r="PA45" i="4" s="1"/>
  <c r="PA6" i="4"/>
  <c r="PA12" i="4" s="1"/>
  <c r="PA28" i="4" s="1"/>
  <c r="PA30" i="4" s="1"/>
  <c r="OZ32" i="4"/>
  <c r="OZ33" i="4" s="1"/>
  <c r="OZ35" i="4" s="1"/>
  <c r="OZ36" i="4" s="1"/>
  <c r="OZ45" i="4" s="1"/>
  <c r="OZ6" i="4"/>
  <c r="OZ12" i="4" s="1"/>
  <c r="OZ28" i="4" s="1"/>
  <c r="OZ30" i="4" s="1"/>
  <c r="OY32" i="4"/>
  <c r="OY33" i="4" s="1"/>
  <c r="OY35" i="4" s="1"/>
  <c r="OY36" i="4" s="1"/>
  <c r="OY45" i="4" s="1"/>
  <c r="OY6" i="4"/>
  <c r="OY12" i="4" s="1"/>
  <c r="OY28" i="4" s="1"/>
  <c r="OY30" i="4" s="1"/>
  <c r="OX32" i="4"/>
  <c r="OX33" i="4" s="1"/>
  <c r="OX35" i="4" s="1"/>
  <c r="OX36" i="4" s="1"/>
  <c r="OX45" i="4" s="1"/>
  <c r="OX6" i="4"/>
  <c r="OX12" i="4" s="1"/>
  <c r="OX28" i="4" s="1"/>
  <c r="OX30" i="4" s="1"/>
  <c r="OU32" i="4"/>
  <c r="OU33" i="4" s="1"/>
  <c r="OU35" i="4" s="1"/>
  <c r="OU36" i="4" s="1"/>
  <c r="OU45" i="4" s="1"/>
  <c r="OU6" i="4"/>
  <c r="OU12" i="4" s="1"/>
  <c r="OU28" i="4" s="1"/>
  <c r="OU30" i="4" s="1"/>
  <c r="OT32" i="4"/>
  <c r="OT33" i="4" s="1"/>
  <c r="OT35" i="4" s="1"/>
  <c r="OT36" i="4" s="1"/>
  <c r="OT45" i="4" s="1"/>
  <c r="OT6" i="4"/>
  <c r="OT12" i="4" s="1"/>
  <c r="OT28" i="4" s="1"/>
  <c r="OT30" i="4" s="1"/>
  <c r="OS32" i="4"/>
  <c r="OS33" i="4" s="1"/>
  <c r="OS35" i="4" s="1"/>
  <c r="OS36" i="4" s="1"/>
  <c r="OS45" i="4" s="1"/>
  <c r="OS6" i="4"/>
  <c r="OS12" i="4" s="1"/>
  <c r="OS28" i="4" s="1"/>
  <c r="OS30" i="4" s="1"/>
  <c r="OR32" i="4"/>
  <c r="OR33" i="4" s="1"/>
  <c r="OR35" i="4" s="1"/>
  <c r="OR36" i="4" s="1"/>
  <c r="OR45" i="4" s="1"/>
  <c r="OR6" i="4"/>
  <c r="OR12" i="4" s="1"/>
  <c r="OR28" i="4" s="1"/>
  <c r="OR30" i="4" s="1"/>
  <c r="OQ32" i="4"/>
  <c r="OQ33" i="4" s="1"/>
  <c r="OQ35" i="4" s="1"/>
  <c r="OQ36" i="4" s="1"/>
  <c r="OQ45" i="4" s="1"/>
  <c r="OQ6" i="4"/>
  <c r="OQ12" i="4" s="1"/>
  <c r="OQ28" i="4" s="1"/>
  <c r="OQ30" i="4" s="1"/>
  <c r="OP32" i="4"/>
  <c r="OP33" i="4" s="1"/>
  <c r="OP35" i="4" s="1"/>
  <c r="OP36" i="4" s="1"/>
  <c r="OP45" i="4" s="1"/>
  <c r="OP6" i="4"/>
  <c r="OP12" i="4" s="1"/>
  <c r="OP28" i="4" s="1"/>
  <c r="OP30" i="4" s="1"/>
  <c r="OO32" i="4"/>
  <c r="OO33" i="4" s="1"/>
  <c r="OO35" i="4" s="1"/>
  <c r="OO36" i="4" s="1"/>
  <c r="OO45" i="4" s="1"/>
  <c r="OO6" i="4"/>
  <c r="OO12" i="4" s="1"/>
  <c r="OO28" i="4" s="1"/>
  <c r="OO30" i="4" s="1"/>
  <c r="ON32" i="4"/>
  <c r="ON33" i="4" s="1"/>
  <c r="ON35" i="4" s="1"/>
  <c r="ON36" i="4" s="1"/>
  <c r="ON45" i="4" s="1"/>
  <c r="ON6" i="4"/>
  <c r="ON12" i="4" s="1"/>
  <c r="ON28" i="4" s="1"/>
  <c r="ON30" i="4" s="1"/>
  <c r="OM32" i="4"/>
  <c r="OM33" i="4" s="1"/>
  <c r="OM35" i="4" s="1"/>
  <c r="OM36" i="4" s="1"/>
  <c r="OM45" i="4" s="1"/>
  <c r="OM6" i="4"/>
  <c r="OM12" i="4" s="1"/>
  <c r="OM28" i="4" s="1"/>
  <c r="OM30" i="4" s="1"/>
  <c r="OL32" i="4"/>
  <c r="OL33" i="4" s="1"/>
  <c r="OL35" i="4" s="1"/>
  <c r="OL36" i="4" s="1"/>
  <c r="OL45" i="4" s="1"/>
  <c r="OL6" i="4"/>
  <c r="OL12" i="4" s="1"/>
  <c r="OL28" i="4" s="1"/>
  <c r="OL30" i="4" s="1"/>
  <c r="OK32" i="4"/>
  <c r="OK33" i="4" s="1"/>
  <c r="OK35" i="4" s="1"/>
  <c r="OK36" i="4" s="1"/>
  <c r="OK45" i="4" s="1"/>
  <c r="OK6" i="4"/>
  <c r="OK12" i="4" s="1"/>
  <c r="OK28" i="4" s="1"/>
  <c r="OK30" i="4" s="1"/>
  <c r="OJ32" i="4"/>
  <c r="OJ33" i="4" s="1"/>
  <c r="OJ35" i="4" s="1"/>
  <c r="OJ36" i="4" s="1"/>
  <c r="OJ45" i="4" s="1"/>
  <c r="OJ6" i="4"/>
  <c r="OJ12" i="4" s="1"/>
  <c r="OJ28" i="4" s="1"/>
  <c r="OJ30" i="4" s="1"/>
  <c r="OI32" i="4"/>
  <c r="OI33" i="4" s="1"/>
  <c r="OI35" i="4" s="1"/>
  <c r="OI36" i="4" s="1"/>
  <c r="OI45" i="4" s="1"/>
  <c r="OI6" i="4"/>
  <c r="OI12" i="4" s="1"/>
  <c r="OI28" i="4" s="1"/>
  <c r="OI30" i="4" s="1"/>
  <c r="OH32" i="4"/>
  <c r="OH33" i="4" s="1"/>
  <c r="OH35" i="4" s="1"/>
  <c r="OH36" i="4" s="1"/>
  <c r="OH45" i="4" s="1"/>
  <c r="OH6" i="4"/>
  <c r="OH12" i="4" s="1"/>
  <c r="OH28" i="4" s="1"/>
  <c r="OH30" i="4" s="1"/>
  <c r="OG32" i="4"/>
  <c r="OG33" i="4" s="1"/>
  <c r="OG35" i="4" s="1"/>
  <c r="OG36" i="4" s="1"/>
  <c r="OG45" i="4" s="1"/>
  <c r="OG6" i="4"/>
  <c r="OG12" i="4" s="1"/>
  <c r="OG28" i="4" s="1"/>
  <c r="OG30" i="4" s="1"/>
  <c r="OF32" i="4"/>
  <c r="OF33" i="4" s="1"/>
  <c r="OF35" i="4" s="1"/>
  <c r="OF36" i="4" s="1"/>
  <c r="OF45" i="4" s="1"/>
  <c r="OF6" i="4"/>
  <c r="OF12" i="4" s="1"/>
  <c r="OF28" i="4" s="1"/>
  <c r="OF30" i="4" s="1"/>
  <c r="OE32" i="4"/>
  <c r="OE33" i="4" s="1"/>
  <c r="OE35" i="4" s="1"/>
  <c r="OE36" i="4" s="1"/>
  <c r="OE45" i="4" s="1"/>
  <c r="OE6" i="4"/>
  <c r="OE12" i="4" s="1"/>
  <c r="OE28" i="4" s="1"/>
  <c r="OE30" i="4" s="1"/>
  <c r="OD32" i="4"/>
  <c r="OD33" i="4" s="1"/>
  <c r="OD35" i="4" s="1"/>
  <c r="OD36" i="4" s="1"/>
  <c r="OD45" i="4" s="1"/>
  <c r="OD6" i="4"/>
  <c r="OD12" i="4" s="1"/>
  <c r="OD28" i="4" s="1"/>
  <c r="OD30" i="4" s="1"/>
  <c r="OC32" i="4"/>
  <c r="OC33" i="4" s="1"/>
  <c r="OC35" i="4" s="1"/>
  <c r="OC36" i="4" s="1"/>
  <c r="OC45" i="4" s="1"/>
  <c r="OC6" i="4"/>
  <c r="OC12" i="4" s="1"/>
  <c r="OC28" i="4" s="1"/>
  <c r="OC30" i="4" s="1"/>
  <c r="OB32" i="4"/>
  <c r="OB33" i="4" s="1"/>
  <c r="OB35" i="4" s="1"/>
  <c r="OB36" i="4" s="1"/>
  <c r="OB45" i="4" s="1"/>
  <c r="OB6" i="4"/>
  <c r="OB12" i="4" s="1"/>
  <c r="OB28" i="4" s="1"/>
  <c r="OB30" i="4" s="1"/>
  <c r="OA32" i="4"/>
  <c r="OA33" i="4" s="1"/>
  <c r="OA35" i="4" s="1"/>
  <c r="OA36" i="4" s="1"/>
  <c r="OA45" i="4" s="1"/>
  <c r="OA6" i="4"/>
  <c r="OA12" i="4" s="1"/>
  <c r="OA28" i="4" s="1"/>
  <c r="OA30" i="4" s="1"/>
  <c r="NZ32" i="4"/>
  <c r="NZ33" i="4" s="1"/>
  <c r="NZ35" i="4" s="1"/>
  <c r="NZ36" i="4" s="1"/>
  <c r="NZ45" i="4" s="1"/>
  <c r="NZ6" i="4"/>
  <c r="NZ12" i="4" s="1"/>
  <c r="NZ28" i="4" s="1"/>
  <c r="NZ30" i="4" s="1"/>
  <c r="NY32" i="4"/>
  <c r="NY33" i="4" s="1"/>
  <c r="NY35" i="4" s="1"/>
  <c r="NY36" i="4" s="1"/>
  <c r="NY45" i="4" s="1"/>
  <c r="NY6" i="4"/>
  <c r="NY12" i="4" s="1"/>
  <c r="NY28" i="4" s="1"/>
  <c r="NY30" i="4" s="1"/>
  <c r="NX32" i="4"/>
  <c r="NX33" i="4" s="1"/>
  <c r="NX35" i="4" s="1"/>
  <c r="NX36" i="4" s="1"/>
  <c r="NX45" i="4" s="1"/>
  <c r="NX6" i="4"/>
  <c r="NX12" i="4" s="1"/>
  <c r="NX28" i="4" s="1"/>
  <c r="NX30" i="4" s="1"/>
  <c r="NW32" i="4"/>
  <c r="NW33" i="4" s="1"/>
  <c r="NW35" i="4" s="1"/>
  <c r="NW36" i="4" s="1"/>
  <c r="NW45" i="4" s="1"/>
  <c r="NW6" i="4"/>
  <c r="NW12" i="4" s="1"/>
  <c r="NW28" i="4" s="1"/>
  <c r="NW30" i="4" s="1"/>
  <c r="NV32" i="4"/>
  <c r="NV33" i="4" s="1"/>
  <c r="NV35" i="4" s="1"/>
  <c r="NV36" i="4" s="1"/>
  <c r="NV45" i="4" s="1"/>
  <c r="NV6" i="4"/>
  <c r="NV12" i="4" s="1"/>
  <c r="NV28" i="4" s="1"/>
  <c r="NV30" i="4" s="1"/>
  <c r="NU32" i="4"/>
  <c r="NU33" i="4" s="1"/>
  <c r="NU35" i="4" s="1"/>
  <c r="NU36" i="4" s="1"/>
  <c r="NU45" i="4" s="1"/>
  <c r="NU6" i="4"/>
  <c r="NU12" i="4" s="1"/>
  <c r="NU28" i="4" s="1"/>
  <c r="NU30" i="4" s="1"/>
  <c r="NT32" i="4"/>
  <c r="NT33" i="4" s="1"/>
  <c r="NT35" i="4" s="1"/>
  <c r="NT36" i="4" s="1"/>
  <c r="NT45" i="4" s="1"/>
  <c r="NT6" i="4"/>
  <c r="NT12" i="4" s="1"/>
  <c r="NT28" i="4" s="1"/>
  <c r="NT30" i="4" s="1"/>
  <c r="NS32" i="4"/>
  <c r="NS33" i="4" s="1"/>
  <c r="NS35" i="4" s="1"/>
  <c r="NS36" i="4" s="1"/>
  <c r="NS45" i="4" s="1"/>
  <c r="NS6" i="4"/>
  <c r="NS12" i="4" s="1"/>
  <c r="NS28" i="4" s="1"/>
  <c r="NS30" i="4" s="1"/>
  <c r="NR32" i="4"/>
  <c r="NR6" i="4"/>
  <c r="OV6" i="4" s="1"/>
  <c r="OV4" i="4"/>
  <c r="NO32" i="4"/>
  <c r="NO33" i="4" s="1"/>
  <c r="NO35" i="4" s="1"/>
  <c r="NO36" i="4" s="1"/>
  <c r="NO45" i="4" s="1"/>
  <c r="NO6" i="4"/>
  <c r="NO12" i="4" s="1"/>
  <c r="NO28" i="4" s="1"/>
  <c r="NO30" i="4" s="1"/>
  <c r="NN32" i="4"/>
  <c r="NN33" i="4" s="1"/>
  <c r="NN35" i="4" s="1"/>
  <c r="NN36" i="4" s="1"/>
  <c r="NN45" i="4" s="1"/>
  <c r="NN6" i="4"/>
  <c r="NN12" i="4" s="1"/>
  <c r="NN28" i="4" s="1"/>
  <c r="NN30" i="4" s="1"/>
  <c r="NM32" i="4"/>
  <c r="NM33" i="4" s="1"/>
  <c r="NM35" i="4" s="1"/>
  <c r="NM36" i="4" s="1"/>
  <c r="NM45" i="4" s="1"/>
  <c r="NM6" i="4"/>
  <c r="NM12" i="4" s="1"/>
  <c r="NM28" i="4" s="1"/>
  <c r="NM30" i="4" s="1"/>
  <c r="NL32" i="4"/>
  <c r="NL33" i="4" s="1"/>
  <c r="NL35" i="4" s="1"/>
  <c r="NL36" i="4" s="1"/>
  <c r="NL45" i="4" s="1"/>
  <c r="NL6" i="4"/>
  <c r="NL12" i="4" s="1"/>
  <c r="NL28" i="4" s="1"/>
  <c r="NL30" i="4" s="1"/>
  <c r="NK32" i="4"/>
  <c r="NK33" i="4" s="1"/>
  <c r="NK35" i="4" s="1"/>
  <c r="NK36" i="4" s="1"/>
  <c r="NK45" i="4" s="1"/>
  <c r="NK6" i="4"/>
  <c r="NK12" i="4" s="1"/>
  <c r="NK28" i="4" s="1"/>
  <c r="NK30" i="4" s="1"/>
  <c r="NJ32" i="4"/>
  <c r="NJ33" i="4" s="1"/>
  <c r="NJ35" i="4" s="1"/>
  <c r="NJ36" i="4" s="1"/>
  <c r="NJ45" i="4" s="1"/>
  <c r="NJ6" i="4"/>
  <c r="NJ12" i="4" s="1"/>
  <c r="NJ28" i="4" s="1"/>
  <c r="NJ30" i="4" s="1"/>
  <c r="NI32" i="4"/>
  <c r="NI33" i="4" s="1"/>
  <c r="NI35" i="4" s="1"/>
  <c r="NI36" i="4" s="1"/>
  <c r="NI45" i="4" s="1"/>
  <c r="NI6" i="4"/>
  <c r="NI12" i="4" s="1"/>
  <c r="NI28" i="4" s="1"/>
  <c r="NI30" i="4" s="1"/>
  <c r="NH32" i="4"/>
  <c r="NH33" i="4" s="1"/>
  <c r="NH35" i="4" s="1"/>
  <c r="NH36" i="4" s="1"/>
  <c r="NH45" i="4" s="1"/>
  <c r="NH6" i="4"/>
  <c r="NH12" i="4" s="1"/>
  <c r="NH28" i="4" s="1"/>
  <c r="NH30" i="4" s="1"/>
  <c r="NG32" i="4"/>
  <c r="NG33" i="4" s="1"/>
  <c r="NG35" i="4" s="1"/>
  <c r="NG36" i="4" s="1"/>
  <c r="NG45" i="4" s="1"/>
  <c r="NG6" i="4"/>
  <c r="NG12" i="4" s="1"/>
  <c r="NG28" i="4" s="1"/>
  <c r="NG30" i="4" s="1"/>
  <c r="NF32" i="4"/>
  <c r="NF33" i="4" s="1"/>
  <c r="NF35" i="4" s="1"/>
  <c r="NF36" i="4" s="1"/>
  <c r="NF45" i="4" s="1"/>
  <c r="NF6" i="4"/>
  <c r="NF12" i="4" s="1"/>
  <c r="NF28" i="4" s="1"/>
  <c r="NF30" i="4" s="1"/>
  <c r="NE32" i="4"/>
  <c r="NE33" i="4" s="1"/>
  <c r="NE35" i="4" s="1"/>
  <c r="NE36" i="4" s="1"/>
  <c r="NE45" i="4" s="1"/>
  <c r="NE6" i="4"/>
  <c r="NE12" i="4" s="1"/>
  <c r="NE28" i="4" s="1"/>
  <c r="NE30" i="4" s="1"/>
  <c r="ND32" i="4"/>
  <c r="ND33" i="4" s="1"/>
  <c r="ND35" i="4" s="1"/>
  <c r="ND36" i="4" s="1"/>
  <c r="ND45" i="4" s="1"/>
  <c r="ND6" i="4"/>
  <c r="ND12" i="4" s="1"/>
  <c r="ND28" i="4" s="1"/>
  <c r="ND30" i="4" s="1"/>
  <c r="NC32" i="4"/>
  <c r="NC33" i="4" s="1"/>
  <c r="NC35" i="4" s="1"/>
  <c r="NC36" i="4" s="1"/>
  <c r="NC45" i="4" s="1"/>
  <c r="NC6" i="4"/>
  <c r="NC12" i="4" s="1"/>
  <c r="NC28" i="4" s="1"/>
  <c r="NC30" i="4" s="1"/>
  <c r="NB32" i="4"/>
  <c r="NB33" i="4" s="1"/>
  <c r="NB35" i="4" s="1"/>
  <c r="NB36" i="4" s="1"/>
  <c r="NB45" i="4" s="1"/>
  <c r="NB6" i="4"/>
  <c r="NB12" i="4" s="1"/>
  <c r="NB28" i="4" s="1"/>
  <c r="NB30" i="4" s="1"/>
  <c r="NA32" i="4"/>
  <c r="NA33" i="4" s="1"/>
  <c r="NA35" i="4" s="1"/>
  <c r="NA36" i="4" s="1"/>
  <c r="NA45" i="4" s="1"/>
  <c r="NA6" i="4"/>
  <c r="NA12" i="4" s="1"/>
  <c r="NA28" i="4" s="1"/>
  <c r="NA30" i="4" s="1"/>
  <c r="MZ32" i="4"/>
  <c r="MZ33" i="4" s="1"/>
  <c r="MZ35" i="4" s="1"/>
  <c r="MZ36" i="4" s="1"/>
  <c r="MZ45" i="4" s="1"/>
  <c r="MZ6" i="4"/>
  <c r="MZ12" i="4" s="1"/>
  <c r="MZ28" i="4" s="1"/>
  <c r="MZ30" i="4" s="1"/>
  <c r="MY32" i="4"/>
  <c r="MY33" i="4" s="1"/>
  <c r="MY35" i="4" s="1"/>
  <c r="MY36" i="4" s="1"/>
  <c r="MY45" i="4" s="1"/>
  <c r="MY6" i="4"/>
  <c r="MY12" i="4" s="1"/>
  <c r="MY28" i="4" s="1"/>
  <c r="MY30" i="4" s="1"/>
  <c r="MX32" i="4"/>
  <c r="MX33" i="4" s="1"/>
  <c r="MX35" i="4" s="1"/>
  <c r="MX36" i="4" s="1"/>
  <c r="MX45" i="4" s="1"/>
  <c r="MX6" i="4"/>
  <c r="MX12" i="4" s="1"/>
  <c r="MX28" i="4" s="1"/>
  <c r="MX30" i="4" s="1"/>
  <c r="MW32" i="4"/>
  <c r="MW33" i="4" s="1"/>
  <c r="MW35" i="4" s="1"/>
  <c r="MW36" i="4" s="1"/>
  <c r="MW45" i="4" s="1"/>
  <c r="MW6" i="4"/>
  <c r="MW12" i="4" s="1"/>
  <c r="MW28" i="4" s="1"/>
  <c r="MW30" i="4" s="1"/>
  <c r="MV32" i="4"/>
  <c r="MV33" i="4" s="1"/>
  <c r="MV35" i="4" s="1"/>
  <c r="MV36" i="4" s="1"/>
  <c r="MV45" i="4" s="1"/>
  <c r="MV6" i="4"/>
  <c r="MV12" i="4" s="1"/>
  <c r="MV28" i="4" s="1"/>
  <c r="MV30" i="4" s="1"/>
  <c r="MU32" i="4"/>
  <c r="MU33" i="4" s="1"/>
  <c r="MU35" i="4" s="1"/>
  <c r="MU36" i="4" s="1"/>
  <c r="MU45" i="4" s="1"/>
  <c r="MU6" i="4"/>
  <c r="MU12" i="4" s="1"/>
  <c r="MU28" i="4" s="1"/>
  <c r="MU30" i="4" s="1"/>
  <c r="MT32" i="4"/>
  <c r="MT33" i="4" s="1"/>
  <c r="MT35" i="4" s="1"/>
  <c r="MT36" i="4" s="1"/>
  <c r="MT45" i="4" s="1"/>
  <c r="MT6" i="4"/>
  <c r="MT12" i="4" s="1"/>
  <c r="MT28" i="4" s="1"/>
  <c r="MT30" i="4" s="1"/>
  <c r="MS32" i="4"/>
  <c r="MS33" i="4" s="1"/>
  <c r="MS35" i="4" s="1"/>
  <c r="MS36" i="4" s="1"/>
  <c r="MS45" i="4" s="1"/>
  <c r="MS6" i="4"/>
  <c r="MS12" i="4" s="1"/>
  <c r="MS28" i="4" s="1"/>
  <c r="MS30" i="4" s="1"/>
  <c r="MR32" i="4"/>
  <c r="MR33" i="4" s="1"/>
  <c r="MR35" i="4" s="1"/>
  <c r="MR36" i="4" s="1"/>
  <c r="MR45" i="4" s="1"/>
  <c r="MR6" i="4"/>
  <c r="MR12" i="4" s="1"/>
  <c r="MR28" i="4" s="1"/>
  <c r="MR30" i="4" s="1"/>
  <c r="MQ32" i="4"/>
  <c r="MQ33" i="4" s="1"/>
  <c r="MQ35" i="4" s="1"/>
  <c r="MQ36" i="4" s="1"/>
  <c r="MQ45" i="4" s="1"/>
  <c r="MQ6" i="4"/>
  <c r="MQ12" i="4" s="1"/>
  <c r="MQ28" i="4" s="1"/>
  <c r="MQ30" i="4" s="1"/>
  <c r="MP32" i="4"/>
  <c r="MP33" i="4" s="1"/>
  <c r="MP35" i="4" s="1"/>
  <c r="MP36" i="4" s="1"/>
  <c r="MP45" i="4" s="1"/>
  <c r="MP6" i="4"/>
  <c r="MP12" i="4" s="1"/>
  <c r="MP28" i="4" s="1"/>
  <c r="MP30" i="4" s="1"/>
  <c r="MO32" i="4"/>
  <c r="MO33" i="4" s="1"/>
  <c r="MO35" i="4" s="1"/>
  <c r="MO36" i="4" s="1"/>
  <c r="MO45" i="4" s="1"/>
  <c r="MO6" i="4"/>
  <c r="MO12" i="4" s="1"/>
  <c r="MO28" i="4" s="1"/>
  <c r="MO30" i="4" s="1"/>
  <c r="MN32" i="4"/>
  <c r="MN33" i="4" s="1"/>
  <c r="MN35" i="4" s="1"/>
  <c r="MN36" i="4" s="1"/>
  <c r="MN45" i="4" s="1"/>
  <c r="MN6" i="4"/>
  <c r="MN12" i="4" s="1"/>
  <c r="MN28" i="4" s="1"/>
  <c r="MN30" i="4" s="1"/>
  <c r="MM32" i="4"/>
  <c r="MM33" i="4" s="1"/>
  <c r="MM35" i="4" s="1"/>
  <c r="MM36" i="4" s="1"/>
  <c r="MM45" i="4" s="1"/>
  <c r="MM6" i="4"/>
  <c r="MM12" i="4" s="1"/>
  <c r="MM28" i="4" s="1"/>
  <c r="MM30" i="4" s="1"/>
  <c r="ML32" i="4"/>
  <c r="ML6" i="4"/>
  <c r="NP6" i="4" s="1"/>
  <c r="NP4" i="4"/>
  <c r="MI32" i="4"/>
  <c r="MI33" i="4" s="1"/>
  <c r="MI35" i="4" s="1"/>
  <c r="MI36" i="4" s="1"/>
  <c r="MI45" i="4" s="1"/>
  <c r="MI6" i="4"/>
  <c r="MI12" i="4" s="1"/>
  <c r="MI28" i="4" s="1"/>
  <c r="MI30" i="4" s="1"/>
  <c r="MH32" i="4"/>
  <c r="MH33" i="4" s="1"/>
  <c r="MH35" i="4" s="1"/>
  <c r="MH36" i="4" s="1"/>
  <c r="MH45" i="4" s="1"/>
  <c r="MH48" i="4" s="1"/>
  <c r="MH6" i="4"/>
  <c r="MH12" i="4" s="1"/>
  <c r="MH28" i="4" s="1"/>
  <c r="MH30" i="4" s="1"/>
  <c r="MG32" i="4"/>
  <c r="MG33" i="4" s="1"/>
  <c r="MG35" i="4" s="1"/>
  <c r="MG36" i="4" s="1"/>
  <c r="MG45" i="4" s="1"/>
  <c r="MG6" i="4"/>
  <c r="MG12" i="4" s="1"/>
  <c r="MG28" i="4" s="1"/>
  <c r="MG30" i="4" s="1"/>
  <c r="MF32" i="4"/>
  <c r="MF33" i="4" s="1"/>
  <c r="MF35" i="4" s="1"/>
  <c r="MF36" i="4" s="1"/>
  <c r="MF45" i="4" s="1"/>
  <c r="MF6" i="4"/>
  <c r="MF12" i="4" s="1"/>
  <c r="MF28" i="4" s="1"/>
  <c r="MF30" i="4" s="1"/>
  <c r="ME32" i="4"/>
  <c r="ME33" i="4" s="1"/>
  <c r="ME35" i="4" s="1"/>
  <c r="ME36" i="4" s="1"/>
  <c r="ME45" i="4" s="1"/>
  <c r="ME48" i="4" s="1"/>
  <c r="ME6" i="4"/>
  <c r="ME12" i="4" s="1"/>
  <c r="ME28" i="4" s="1"/>
  <c r="ME30" i="4" s="1"/>
  <c r="MD32" i="4"/>
  <c r="MD33" i="4" s="1"/>
  <c r="MD35" i="4" s="1"/>
  <c r="MD36" i="4" s="1"/>
  <c r="MD45" i="4" s="1"/>
  <c r="MD48" i="4" s="1"/>
  <c r="MD6" i="4"/>
  <c r="MD12" i="4" s="1"/>
  <c r="MD28" i="4" s="1"/>
  <c r="MD30" i="4" s="1"/>
  <c r="MC32" i="4"/>
  <c r="MC33" i="4" s="1"/>
  <c r="MC35" i="4" s="1"/>
  <c r="MC36" i="4" s="1"/>
  <c r="MC45" i="4" s="1"/>
  <c r="MC6" i="4"/>
  <c r="MC12" i="4" s="1"/>
  <c r="MC28" i="4" s="1"/>
  <c r="MC30" i="4" s="1"/>
  <c r="MB32" i="4"/>
  <c r="MB33" i="4" s="1"/>
  <c r="MB35" i="4" s="1"/>
  <c r="MB36" i="4" s="1"/>
  <c r="MB45" i="4" s="1"/>
  <c r="MB6" i="4"/>
  <c r="MB12" i="4" s="1"/>
  <c r="MB28" i="4" s="1"/>
  <c r="MB30" i="4" s="1"/>
  <c r="MA32" i="4"/>
  <c r="MA33" i="4" s="1"/>
  <c r="MA35" i="4" s="1"/>
  <c r="MA36" i="4" s="1"/>
  <c r="MA45" i="4" s="1"/>
  <c r="MA6" i="4"/>
  <c r="MA12" i="4" s="1"/>
  <c r="MA28" i="4" s="1"/>
  <c r="MA30" i="4" s="1"/>
  <c r="LZ32" i="4"/>
  <c r="LZ33" i="4" s="1"/>
  <c r="LZ35" i="4" s="1"/>
  <c r="LZ36" i="4" s="1"/>
  <c r="LZ45" i="4" s="1"/>
  <c r="LZ48" i="4" s="1"/>
  <c r="LZ6" i="4"/>
  <c r="LZ12" i="4" s="1"/>
  <c r="LZ28" i="4" s="1"/>
  <c r="LZ30" i="4" s="1"/>
  <c r="LY32" i="4"/>
  <c r="LY33" i="4" s="1"/>
  <c r="LY35" i="4" s="1"/>
  <c r="LY36" i="4" s="1"/>
  <c r="LY45" i="4" s="1"/>
  <c r="LY48" i="4" s="1"/>
  <c r="LY6" i="4"/>
  <c r="LY12" i="4" s="1"/>
  <c r="LY28" i="4" s="1"/>
  <c r="LY30" i="4" s="1"/>
  <c r="LX32" i="4"/>
  <c r="LX33" i="4" s="1"/>
  <c r="LX35" i="4" s="1"/>
  <c r="LX36" i="4" s="1"/>
  <c r="LX45" i="4" s="1"/>
  <c r="LX6" i="4"/>
  <c r="LX12" i="4" s="1"/>
  <c r="LX28" i="4" s="1"/>
  <c r="LX30" i="4" s="1"/>
  <c r="LW32" i="4"/>
  <c r="LW33" i="4" s="1"/>
  <c r="LW35" i="4" s="1"/>
  <c r="LW36" i="4" s="1"/>
  <c r="LW45" i="4" s="1"/>
  <c r="LW48" i="4" s="1"/>
  <c r="LW6" i="4"/>
  <c r="LW12" i="4" s="1"/>
  <c r="LW28" i="4" s="1"/>
  <c r="LW30" i="4" s="1"/>
  <c r="LV32" i="4"/>
  <c r="LV33" i="4" s="1"/>
  <c r="LV35" i="4" s="1"/>
  <c r="LV36" i="4" s="1"/>
  <c r="LV45" i="4" s="1"/>
  <c r="LV48" i="4" s="1"/>
  <c r="LV6" i="4"/>
  <c r="LV12" i="4" s="1"/>
  <c r="LV28" i="4" s="1"/>
  <c r="LV30" i="4" s="1"/>
  <c r="LU32" i="4"/>
  <c r="LU33" i="4" s="1"/>
  <c r="LU35" i="4" s="1"/>
  <c r="LU36" i="4" s="1"/>
  <c r="LU45" i="4" s="1"/>
  <c r="LU48" i="4" s="1"/>
  <c r="LU6" i="4"/>
  <c r="LU12" i="4" s="1"/>
  <c r="LU28" i="4" s="1"/>
  <c r="LU30" i="4" s="1"/>
  <c r="LT32" i="4"/>
  <c r="LT33" i="4" s="1"/>
  <c r="LT35" i="4" s="1"/>
  <c r="LT36" i="4" s="1"/>
  <c r="LT45" i="4" s="1"/>
  <c r="LT48" i="4" s="1"/>
  <c r="LT6" i="4"/>
  <c r="LT12" i="4" s="1"/>
  <c r="LT28" i="4" s="1"/>
  <c r="LT30" i="4" s="1"/>
  <c r="LS32" i="4"/>
  <c r="LS33" i="4" s="1"/>
  <c r="LS35" i="4" s="1"/>
  <c r="LS36" i="4" s="1"/>
  <c r="LS45" i="4" s="1"/>
  <c r="LS48" i="4" s="1"/>
  <c r="LS6" i="4"/>
  <c r="LS12" i="4" s="1"/>
  <c r="LS28" i="4" s="1"/>
  <c r="LS30" i="4" s="1"/>
  <c r="LR32" i="4"/>
  <c r="LR33" i="4" s="1"/>
  <c r="LR35" i="4" s="1"/>
  <c r="LR36" i="4" s="1"/>
  <c r="LR45" i="4" s="1"/>
  <c r="LR48" i="4" s="1"/>
  <c r="LR6" i="4"/>
  <c r="LR12" i="4" s="1"/>
  <c r="LR28" i="4" s="1"/>
  <c r="LR30" i="4" s="1"/>
  <c r="LQ32" i="4"/>
  <c r="LQ33" i="4" s="1"/>
  <c r="LQ35" i="4" s="1"/>
  <c r="LQ36" i="4" s="1"/>
  <c r="LQ45" i="4" s="1"/>
  <c r="LQ48" i="4" s="1"/>
  <c r="LQ6" i="4"/>
  <c r="LQ12" i="4" s="1"/>
  <c r="LQ28" i="4" s="1"/>
  <c r="LQ30" i="4" s="1"/>
  <c r="LP32" i="4"/>
  <c r="LP33" i="4" s="1"/>
  <c r="LP35" i="4" s="1"/>
  <c r="LP36" i="4" s="1"/>
  <c r="LP45" i="4" s="1"/>
  <c r="LP48" i="4" s="1"/>
  <c r="LP6" i="4"/>
  <c r="LP12" i="4" s="1"/>
  <c r="LP28" i="4" s="1"/>
  <c r="LP30" i="4" s="1"/>
  <c r="LO32" i="4"/>
  <c r="LO33" i="4" s="1"/>
  <c r="LO35" i="4" s="1"/>
  <c r="LO36" i="4" s="1"/>
  <c r="LO45" i="4" s="1"/>
  <c r="LO48" i="4" s="1"/>
  <c r="LO6" i="4"/>
  <c r="LO12" i="4" s="1"/>
  <c r="LO28" i="4" s="1"/>
  <c r="LO30" i="4" s="1"/>
  <c r="LN32" i="4"/>
  <c r="LN33" i="4" s="1"/>
  <c r="LN35" i="4" s="1"/>
  <c r="LN36" i="4" s="1"/>
  <c r="LN45" i="4" s="1"/>
  <c r="LN48" i="4" s="1"/>
  <c r="LN6" i="4"/>
  <c r="LN12" i="4" s="1"/>
  <c r="LN28" i="4" s="1"/>
  <c r="LN30" i="4" s="1"/>
  <c r="LM32" i="4"/>
  <c r="LM33" i="4" s="1"/>
  <c r="LM35" i="4" s="1"/>
  <c r="LM36" i="4" s="1"/>
  <c r="LM45" i="4" s="1"/>
  <c r="LM48" i="4" s="1"/>
  <c r="LM6" i="4"/>
  <c r="LM12" i="4" s="1"/>
  <c r="LM28" i="4" s="1"/>
  <c r="LM30" i="4" s="1"/>
  <c r="LL32" i="4"/>
  <c r="LL33" i="4" s="1"/>
  <c r="LL35" i="4" s="1"/>
  <c r="LL36" i="4" s="1"/>
  <c r="LL45" i="4" s="1"/>
  <c r="LL48" i="4" s="1"/>
  <c r="LL6" i="4"/>
  <c r="LL12" i="4" s="1"/>
  <c r="LL28" i="4" s="1"/>
  <c r="LL30" i="4" s="1"/>
  <c r="LK32" i="4"/>
  <c r="LK33" i="4" s="1"/>
  <c r="LK35" i="4" s="1"/>
  <c r="LK36" i="4" s="1"/>
  <c r="LK45" i="4" s="1"/>
  <c r="LK48" i="4" s="1"/>
  <c r="LK6" i="4"/>
  <c r="LK12" i="4" s="1"/>
  <c r="LK28" i="4" s="1"/>
  <c r="LK30" i="4" s="1"/>
  <c r="LJ32" i="4"/>
  <c r="LJ33" i="4" s="1"/>
  <c r="LJ35" i="4" s="1"/>
  <c r="LJ36" i="4" s="1"/>
  <c r="LJ45" i="4" s="1"/>
  <c r="LJ48" i="4" s="1"/>
  <c r="LJ6" i="4"/>
  <c r="LJ12" i="4" s="1"/>
  <c r="LJ28" i="4" s="1"/>
  <c r="LJ30" i="4" s="1"/>
  <c r="LI32" i="4"/>
  <c r="LI33" i="4" s="1"/>
  <c r="LI35" i="4" s="1"/>
  <c r="LI36" i="4" s="1"/>
  <c r="LI45" i="4" s="1"/>
  <c r="LI48" i="4" s="1"/>
  <c r="LI6" i="4"/>
  <c r="LI12" i="4" s="1"/>
  <c r="LI28" i="4" s="1"/>
  <c r="LI30" i="4" s="1"/>
  <c r="LH32" i="4"/>
  <c r="LH33" i="4" s="1"/>
  <c r="LH35" i="4" s="1"/>
  <c r="LH36" i="4" s="1"/>
  <c r="LH45" i="4" s="1"/>
  <c r="LH48" i="4" s="1"/>
  <c r="LH6" i="4"/>
  <c r="LH12" i="4" s="1"/>
  <c r="LH28" i="4" s="1"/>
  <c r="LH30" i="4" s="1"/>
  <c r="LG32" i="4"/>
  <c r="LG33" i="4" s="1"/>
  <c r="LG35" i="4" s="1"/>
  <c r="LG36" i="4" s="1"/>
  <c r="LG45" i="4" s="1"/>
  <c r="LG48" i="4" s="1"/>
  <c r="LG6" i="4"/>
  <c r="LG12" i="4" s="1"/>
  <c r="LG28" i="4" s="1"/>
  <c r="LG30" i="4" s="1"/>
  <c r="LF32" i="4"/>
  <c r="LF6" i="4"/>
  <c r="MJ6" i="4" s="1"/>
  <c r="MJ4" i="4"/>
  <c r="LD32" i="4"/>
  <c r="LD33" i="4" s="1"/>
  <c r="LD35" i="4" s="1"/>
  <c r="LD36" i="4" s="1"/>
  <c r="LD45" i="4" s="1"/>
  <c r="LD48" i="4" s="1"/>
  <c r="LD6" i="4"/>
  <c r="LD12" i="4" s="1"/>
  <c r="LD28" i="4" s="1"/>
  <c r="LD30" i="4" s="1"/>
  <c r="LC32" i="4"/>
  <c r="LC33" i="4" s="1"/>
  <c r="LC35" i="4" s="1"/>
  <c r="LC36" i="4" s="1"/>
  <c r="LC45" i="4" s="1"/>
  <c r="LC48" i="4" s="1"/>
  <c r="LC6" i="4"/>
  <c r="LC12" i="4" s="1"/>
  <c r="LC28" i="4" s="1"/>
  <c r="LC30" i="4" s="1"/>
  <c r="LB32" i="4"/>
  <c r="LB33" i="4" s="1"/>
  <c r="LB35" i="4" s="1"/>
  <c r="LB36" i="4" s="1"/>
  <c r="LB45" i="4" s="1"/>
  <c r="LB48" i="4" s="1"/>
  <c r="LB6" i="4"/>
  <c r="LB12" i="4" s="1"/>
  <c r="LB28" i="4" s="1"/>
  <c r="LB30" i="4" s="1"/>
  <c r="LA32" i="4"/>
  <c r="LA33" i="4" s="1"/>
  <c r="LA35" i="4" s="1"/>
  <c r="LA36" i="4" s="1"/>
  <c r="LA45" i="4" s="1"/>
  <c r="LA48" i="4" s="1"/>
  <c r="LA6" i="4"/>
  <c r="LA12" i="4" s="1"/>
  <c r="LA28" i="4" s="1"/>
  <c r="LA30" i="4" s="1"/>
  <c r="KZ32" i="4"/>
  <c r="KZ33" i="4" s="1"/>
  <c r="KZ35" i="4" s="1"/>
  <c r="KZ36" i="4" s="1"/>
  <c r="KZ45" i="4" s="1"/>
  <c r="KZ48" i="4" s="1"/>
  <c r="KZ6" i="4"/>
  <c r="KZ12" i="4" s="1"/>
  <c r="KZ28" i="4" s="1"/>
  <c r="KZ30" i="4" s="1"/>
  <c r="KY32" i="4"/>
  <c r="KY33" i="4" s="1"/>
  <c r="KY35" i="4" s="1"/>
  <c r="KY36" i="4" s="1"/>
  <c r="KY45" i="4" s="1"/>
  <c r="KY48" i="4" s="1"/>
  <c r="KY6" i="4"/>
  <c r="KY12" i="4" s="1"/>
  <c r="KY28" i="4" s="1"/>
  <c r="KY30" i="4" s="1"/>
  <c r="KX32" i="4"/>
  <c r="KX33" i="4" s="1"/>
  <c r="KX35" i="4" s="1"/>
  <c r="KX36" i="4" s="1"/>
  <c r="KX45" i="4" s="1"/>
  <c r="KX48" i="4" s="1"/>
  <c r="KX6" i="4"/>
  <c r="KX12" i="4" s="1"/>
  <c r="KX28" i="4" s="1"/>
  <c r="KX30" i="4" s="1"/>
  <c r="KW32" i="4"/>
  <c r="KW33" i="4" s="1"/>
  <c r="KW35" i="4" s="1"/>
  <c r="KW36" i="4" s="1"/>
  <c r="KW45" i="4" s="1"/>
  <c r="KW48" i="4" s="1"/>
  <c r="KW6" i="4"/>
  <c r="KW12" i="4" s="1"/>
  <c r="KW28" i="4" s="1"/>
  <c r="KW30" i="4" s="1"/>
  <c r="KV32" i="4"/>
  <c r="KV33" i="4" s="1"/>
  <c r="KV35" i="4" s="1"/>
  <c r="KV36" i="4" s="1"/>
  <c r="KV45" i="4" s="1"/>
  <c r="KV48" i="4" s="1"/>
  <c r="KV6" i="4"/>
  <c r="KV12" i="4" s="1"/>
  <c r="KV28" i="4" s="1"/>
  <c r="KV30" i="4" s="1"/>
  <c r="KU32" i="4"/>
  <c r="KU33" i="4" s="1"/>
  <c r="KU35" i="4" s="1"/>
  <c r="KU36" i="4" s="1"/>
  <c r="KU45" i="4" s="1"/>
  <c r="KU48" i="4" s="1"/>
  <c r="KU6" i="4"/>
  <c r="KU12" i="4" s="1"/>
  <c r="KU28" i="4" s="1"/>
  <c r="KU30" i="4" s="1"/>
  <c r="KT32" i="4"/>
  <c r="KT33" i="4" s="1"/>
  <c r="KT35" i="4" s="1"/>
  <c r="KT36" i="4" s="1"/>
  <c r="KT45" i="4" s="1"/>
  <c r="KT48" i="4" s="1"/>
  <c r="KT6" i="4"/>
  <c r="KT12" i="4" s="1"/>
  <c r="KT28" i="4" s="1"/>
  <c r="KT30" i="4" s="1"/>
  <c r="KS32" i="4"/>
  <c r="KS33" i="4" s="1"/>
  <c r="KS35" i="4" s="1"/>
  <c r="KS36" i="4" s="1"/>
  <c r="KS45" i="4" s="1"/>
  <c r="KS48" i="4" s="1"/>
  <c r="KS6" i="4"/>
  <c r="KS12" i="4" s="1"/>
  <c r="KS28" i="4" s="1"/>
  <c r="KS30" i="4" s="1"/>
  <c r="KR32" i="4"/>
  <c r="KR33" i="4" s="1"/>
  <c r="KR35" i="4" s="1"/>
  <c r="KR36" i="4" s="1"/>
  <c r="KR45" i="4" s="1"/>
  <c r="KR48" i="4" s="1"/>
  <c r="KR6" i="4"/>
  <c r="KR12" i="4" s="1"/>
  <c r="KR28" i="4" s="1"/>
  <c r="KR30" i="4" s="1"/>
  <c r="KQ32" i="4"/>
  <c r="KQ33" i="4" s="1"/>
  <c r="KQ35" i="4" s="1"/>
  <c r="KQ36" i="4" s="1"/>
  <c r="KQ45" i="4" s="1"/>
  <c r="KQ48" i="4" s="1"/>
  <c r="KQ6" i="4"/>
  <c r="KQ12" i="4" s="1"/>
  <c r="KQ28" i="4" s="1"/>
  <c r="KQ30" i="4" s="1"/>
  <c r="KP32" i="4"/>
  <c r="KP33" i="4" s="1"/>
  <c r="KP35" i="4" s="1"/>
  <c r="KP36" i="4" s="1"/>
  <c r="KP45" i="4" s="1"/>
  <c r="KP48" i="4" s="1"/>
  <c r="KP6" i="4"/>
  <c r="KP12" i="4" s="1"/>
  <c r="KP28" i="4" s="1"/>
  <c r="KP30" i="4" s="1"/>
  <c r="KO32" i="4"/>
  <c r="KO33" i="4" s="1"/>
  <c r="KO35" i="4" s="1"/>
  <c r="KO36" i="4" s="1"/>
  <c r="KO45" i="4" s="1"/>
  <c r="KO48" i="4" s="1"/>
  <c r="KO6" i="4"/>
  <c r="KO12" i="4" s="1"/>
  <c r="KO28" i="4" s="1"/>
  <c r="KO30" i="4" s="1"/>
  <c r="KN32" i="4"/>
  <c r="KN33" i="4" s="1"/>
  <c r="KN35" i="4" s="1"/>
  <c r="KN36" i="4" s="1"/>
  <c r="KN45" i="4" s="1"/>
  <c r="KN48" i="4" s="1"/>
  <c r="KN6" i="4"/>
  <c r="KN12" i="4" s="1"/>
  <c r="KN28" i="4" s="1"/>
  <c r="KN30" i="4" s="1"/>
  <c r="KM32" i="4"/>
  <c r="KM33" i="4" s="1"/>
  <c r="KM35" i="4" s="1"/>
  <c r="KM36" i="4" s="1"/>
  <c r="KM45" i="4" s="1"/>
  <c r="KM6" i="4"/>
  <c r="KM12" i="4" s="1"/>
  <c r="KM28" i="4" s="1"/>
  <c r="KM30" i="4" s="1"/>
  <c r="KL32" i="4"/>
  <c r="KL33" i="4" s="1"/>
  <c r="KL35" i="4" s="1"/>
  <c r="KL36" i="4" s="1"/>
  <c r="KL45" i="4" s="1"/>
  <c r="KL6" i="4"/>
  <c r="KL12" i="4" s="1"/>
  <c r="KL28" i="4" s="1"/>
  <c r="KL30" i="4" s="1"/>
  <c r="KK32" i="4"/>
  <c r="KK33" i="4" s="1"/>
  <c r="KK35" i="4" s="1"/>
  <c r="KK36" i="4" s="1"/>
  <c r="KK45" i="4" s="1"/>
  <c r="KK6" i="4"/>
  <c r="KK12" i="4" s="1"/>
  <c r="KK28" i="4" s="1"/>
  <c r="KK30" i="4" s="1"/>
  <c r="KJ32" i="4"/>
  <c r="KJ33" i="4" s="1"/>
  <c r="KJ35" i="4" s="1"/>
  <c r="KJ36" i="4" s="1"/>
  <c r="KJ45" i="4" s="1"/>
  <c r="KJ6" i="4"/>
  <c r="KJ12" i="4" s="1"/>
  <c r="KJ28" i="4" s="1"/>
  <c r="KJ30" i="4" s="1"/>
  <c r="KI32" i="4"/>
  <c r="KI33" i="4" s="1"/>
  <c r="KI35" i="4" s="1"/>
  <c r="KI36" i="4" s="1"/>
  <c r="KI45" i="4" s="1"/>
  <c r="KI6" i="4"/>
  <c r="KI12" i="4" s="1"/>
  <c r="KI28" i="4" s="1"/>
  <c r="KI30" i="4" s="1"/>
  <c r="KH32" i="4"/>
  <c r="KH33" i="4" s="1"/>
  <c r="KH35" i="4" s="1"/>
  <c r="KH36" i="4" s="1"/>
  <c r="KH45" i="4" s="1"/>
  <c r="KH6" i="4"/>
  <c r="KH12" i="4" s="1"/>
  <c r="KH28" i="4" s="1"/>
  <c r="KH30" i="4" s="1"/>
  <c r="KG32" i="4"/>
  <c r="KG33" i="4" s="1"/>
  <c r="KG35" i="4" s="1"/>
  <c r="KG36" i="4" s="1"/>
  <c r="KG45" i="4" s="1"/>
  <c r="KG6" i="4"/>
  <c r="KG12" i="4" s="1"/>
  <c r="KG28" i="4" s="1"/>
  <c r="KG30" i="4" s="1"/>
  <c r="KF32" i="4"/>
  <c r="KF33" i="4" s="1"/>
  <c r="KF35" i="4" s="1"/>
  <c r="KF36" i="4" s="1"/>
  <c r="KF45" i="4" s="1"/>
  <c r="KF6" i="4"/>
  <c r="KF12" i="4" s="1"/>
  <c r="KF28" i="4" s="1"/>
  <c r="KF30" i="4" s="1"/>
  <c r="KE32" i="4"/>
  <c r="KE33" i="4" s="1"/>
  <c r="KE35" i="4" s="1"/>
  <c r="KE36" i="4" s="1"/>
  <c r="KE45" i="4" s="1"/>
  <c r="KE6" i="4"/>
  <c r="KE12" i="4" s="1"/>
  <c r="KE28" i="4" s="1"/>
  <c r="KE30" i="4" s="1"/>
  <c r="KD32" i="4"/>
  <c r="KD33" i="4" s="1"/>
  <c r="KD35" i="4" s="1"/>
  <c r="KD36" i="4" s="1"/>
  <c r="KD45" i="4" s="1"/>
  <c r="KD6" i="4"/>
  <c r="KD12" i="4" s="1"/>
  <c r="KD28" i="4" s="1"/>
  <c r="KD30" i="4" s="1"/>
  <c r="KC32" i="4"/>
  <c r="KC33" i="4" s="1"/>
  <c r="KC35" i="4" s="1"/>
  <c r="KC36" i="4" s="1"/>
  <c r="KC45" i="4" s="1"/>
  <c r="KC6" i="4"/>
  <c r="KC12" i="4" s="1"/>
  <c r="KC28" i="4" s="1"/>
  <c r="KC30" i="4" s="1"/>
  <c r="KB32" i="4"/>
  <c r="KB33" i="4" s="1"/>
  <c r="KB35" i="4" s="1"/>
  <c r="KB36" i="4" s="1"/>
  <c r="KB45" i="4" s="1"/>
  <c r="KB6" i="4"/>
  <c r="KB12" i="4" s="1"/>
  <c r="KB28" i="4" s="1"/>
  <c r="KB30" i="4" s="1"/>
  <c r="KA32" i="4"/>
  <c r="KA6" i="4"/>
  <c r="LE6" i="4" s="1"/>
  <c r="LE4" i="4"/>
  <c r="JX32" i="4"/>
  <c r="JX33" i="4" s="1"/>
  <c r="JX35" i="4" s="1"/>
  <c r="JX36" i="4" s="1"/>
  <c r="JX45" i="4" s="1"/>
  <c r="JX6" i="4"/>
  <c r="JX12" i="4" s="1"/>
  <c r="JX28" i="4" s="1"/>
  <c r="JX30" i="4" s="1"/>
  <c r="JW32" i="4"/>
  <c r="JW33" i="4" s="1"/>
  <c r="JW35" i="4" s="1"/>
  <c r="JW36" i="4" s="1"/>
  <c r="JW45" i="4" s="1"/>
  <c r="JW6" i="4"/>
  <c r="JW12" i="4" s="1"/>
  <c r="JW28" i="4" s="1"/>
  <c r="JW30" i="4" s="1"/>
  <c r="JV32" i="4"/>
  <c r="JV33" i="4" s="1"/>
  <c r="JV35" i="4" s="1"/>
  <c r="JV36" i="4" s="1"/>
  <c r="JV45" i="4" s="1"/>
  <c r="JV6" i="4"/>
  <c r="JV12" i="4" s="1"/>
  <c r="JV28" i="4" s="1"/>
  <c r="JV30" i="4" s="1"/>
  <c r="JU32" i="4"/>
  <c r="JU33" i="4" s="1"/>
  <c r="JU35" i="4" s="1"/>
  <c r="JU36" i="4" s="1"/>
  <c r="JU45" i="4" s="1"/>
  <c r="JU6" i="4"/>
  <c r="JU12" i="4" s="1"/>
  <c r="JU28" i="4" s="1"/>
  <c r="JU30" i="4" s="1"/>
  <c r="JT32" i="4"/>
  <c r="JT33" i="4" s="1"/>
  <c r="JT35" i="4" s="1"/>
  <c r="JT36" i="4" s="1"/>
  <c r="JT45" i="4" s="1"/>
  <c r="JT6" i="4"/>
  <c r="JT12" i="4" s="1"/>
  <c r="JT28" i="4" s="1"/>
  <c r="JT30" i="4" s="1"/>
  <c r="JS32" i="4"/>
  <c r="JS33" i="4" s="1"/>
  <c r="JS35" i="4" s="1"/>
  <c r="JS36" i="4" s="1"/>
  <c r="JS45" i="4" s="1"/>
  <c r="JS6" i="4"/>
  <c r="JS12" i="4" s="1"/>
  <c r="JS28" i="4" s="1"/>
  <c r="JS30" i="4" s="1"/>
  <c r="JR32" i="4"/>
  <c r="JR33" i="4" s="1"/>
  <c r="JR35" i="4" s="1"/>
  <c r="JR36" i="4" s="1"/>
  <c r="JR45" i="4" s="1"/>
  <c r="JR6" i="4"/>
  <c r="JR12" i="4" s="1"/>
  <c r="JR28" i="4" s="1"/>
  <c r="JR30" i="4" s="1"/>
  <c r="JQ32" i="4"/>
  <c r="JQ33" i="4" s="1"/>
  <c r="JQ35" i="4" s="1"/>
  <c r="JQ36" i="4" s="1"/>
  <c r="JQ45" i="4" s="1"/>
  <c r="JQ6" i="4"/>
  <c r="JQ12" i="4" s="1"/>
  <c r="JQ28" i="4" s="1"/>
  <c r="JQ30" i="4" s="1"/>
  <c r="JP32" i="4"/>
  <c r="JP33" i="4" s="1"/>
  <c r="JP35" i="4" s="1"/>
  <c r="JP36" i="4" s="1"/>
  <c r="JP45" i="4" s="1"/>
  <c r="JP6" i="4"/>
  <c r="JP12" i="4" s="1"/>
  <c r="JP28" i="4" s="1"/>
  <c r="JP30" i="4" s="1"/>
  <c r="JO32" i="4"/>
  <c r="JO33" i="4" s="1"/>
  <c r="JO35" i="4" s="1"/>
  <c r="JO36" i="4" s="1"/>
  <c r="JO45" i="4" s="1"/>
  <c r="JO6" i="4"/>
  <c r="JO12" i="4" s="1"/>
  <c r="JO28" i="4" s="1"/>
  <c r="JO30" i="4" s="1"/>
  <c r="JN32" i="4"/>
  <c r="JN33" i="4" s="1"/>
  <c r="JN35" i="4" s="1"/>
  <c r="JN36" i="4" s="1"/>
  <c r="JN45" i="4" s="1"/>
  <c r="JN6" i="4"/>
  <c r="JN12" i="4" s="1"/>
  <c r="JN28" i="4" s="1"/>
  <c r="JN30" i="4" s="1"/>
  <c r="JM32" i="4"/>
  <c r="JM33" i="4" s="1"/>
  <c r="JM35" i="4" s="1"/>
  <c r="JM36" i="4" s="1"/>
  <c r="JM45" i="4" s="1"/>
  <c r="JM6" i="4"/>
  <c r="JM12" i="4" s="1"/>
  <c r="JM28" i="4" s="1"/>
  <c r="JM30" i="4" s="1"/>
  <c r="JL32" i="4"/>
  <c r="JL33" i="4" s="1"/>
  <c r="JL35" i="4" s="1"/>
  <c r="JL36" i="4" s="1"/>
  <c r="JL45" i="4" s="1"/>
  <c r="JL6" i="4"/>
  <c r="JL12" i="4" s="1"/>
  <c r="JL28" i="4" s="1"/>
  <c r="JL30" i="4" s="1"/>
  <c r="JK32" i="4"/>
  <c r="JK33" i="4" s="1"/>
  <c r="JK35" i="4" s="1"/>
  <c r="JK36" i="4" s="1"/>
  <c r="JK45" i="4" s="1"/>
  <c r="JK6" i="4"/>
  <c r="JK12" i="4" s="1"/>
  <c r="JK28" i="4" s="1"/>
  <c r="JK30" i="4" s="1"/>
  <c r="JJ32" i="4"/>
  <c r="JJ33" i="4" s="1"/>
  <c r="JJ35" i="4" s="1"/>
  <c r="JJ36" i="4" s="1"/>
  <c r="JJ45" i="4" s="1"/>
  <c r="JJ6" i="4"/>
  <c r="JJ12" i="4" s="1"/>
  <c r="JJ28" i="4" s="1"/>
  <c r="JJ30" i="4" s="1"/>
  <c r="JI32" i="4"/>
  <c r="JI33" i="4" s="1"/>
  <c r="JI35" i="4" s="1"/>
  <c r="JI36" i="4" s="1"/>
  <c r="JI45" i="4" s="1"/>
  <c r="JI6" i="4"/>
  <c r="JI12" i="4" s="1"/>
  <c r="JI28" i="4" s="1"/>
  <c r="JI30" i="4" s="1"/>
  <c r="JH32" i="4"/>
  <c r="JH33" i="4" s="1"/>
  <c r="JH35" i="4" s="1"/>
  <c r="JH36" i="4" s="1"/>
  <c r="JH45" i="4" s="1"/>
  <c r="JH6" i="4"/>
  <c r="JH12" i="4" s="1"/>
  <c r="JH28" i="4" s="1"/>
  <c r="JH30" i="4" s="1"/>
  <c r="JG32" i="4"/>
  <c r="JG33" i="4" s="1"/>
  <c r="JG35" i="4" s="1"/>
  <c r="JG36" i="4" s="1"/>
  <c r="JG45" i="4" s="1"/>
  <c r="JG6" i="4"/>
  <c r="JG12" i="4" s="1"/>
  <c r="JG28" i="4" s="1"/>
  <c r="JG30" i="4" s="1"/>
  <c r="JF32" i="4"/>
  <c r="JF33" i="4" s="1"/>
  <c r="JF35" i="4" s="1"/>
  <c r="JF36" i="4" s="1"/>
  <c r="JF45" i="4" s="1"/>
  <c r="JF6" i="4"/>
  <c r="JF12" i="4" s="1"/>
  <c r="JF28" i="4" s="1"/>
  <c r="JF30" i="4" s="1"/>
  <c r="JE32" i="4"/>
  <c r="JE33" i="4" s="1"/>
  <c r="JE35" i="4" s="1"/>
  <c r="JE36" i="4" s="1"/>
  <c r="JE45" i="4" s="1"/>
  <c r="JE6" i="4"/>
  <c r="JE12" i="4" s="1"/>
  <c r="JE28" i="4" s="1"/>
  <c r="JE30" i="4" s="1"/>
  <c r="JD32" i="4"/>
  <c r="JD33" i="4" s="1"/>
  <c r="JD35" i="4" s="1"/>
  <c r="JD36" i="4" s="1"/>
  <c r="JD45" i="4" s="1"/>
  <c r="JD6" i="4"/>
  <c r="JD12" i="4" s="1"/>
  <c r="JD28" i="4" s="1"/>
  <c r="JD30" i="4" s="1"/>
  <c r="JC32" i="4"/>
  <c r="JC33" i="4" s="1"/>
  <c r="JC35" i="4" s="1"/>
  <c r="JC36" i="4" s="1"/>
  <c r="JC45" i="4" s="1"/>
  <c r="JC6" i="4"/>
  <c r="JC12" i="4" s="1"/>
  <c r="JC28" i="4" s="1"/>
  <c r="JC30" i="4" s="1"/>
  <c r="JB32" i="4"/>
  <c r="JB33" i="4" s="1"/>
  <c r="JB35" i="4" s="1"/>
  <c r="JB36" i="4" s="1"/>
  <c r="JB45" i="4" s="1"/>
  <c r="JB6" i="4"/>
  <c r="JB12" i="4" s="1"/>
  <c r="JB28" i="4" s="1"/>
  <c r="JB30" i="4" s="1"/>
  <c r="JA32" i="4"/>
  <c r="JA33" i="4" s="1"/>
  <c r="JA35" i="4" s="1"/>
  <c r="JA36" i="4" s="1"/>
  <c r="JA45" i="4" s="1"/>
  <c r="JA6" i="4"/>
  <c r="JA12" i="4" s="1"/>
  <c r="JA28" i="4" s="1"/>
  <c r="JA30" i="4" s="1"/>
  <c r="IZ32" i="4"/>
  <c r="IZ33" i="4" s="1"/>
  <c r="IZ35" i="4" s="1"/>
  <c r="IZ36" i="4" s="1"/>
  <c r="IZ45" i="4" s="1"/>
  <c r="IZ6" i="4"/>
  <c r="IZ12" i="4" s="1"/>
  <c r="IZ28" i="4" s="1"/>
  <c r="IZ30" i="4" s="1"/>
  <c r="IY32" i="4"/>
  <c r="IY33" i="4" s="1"/>
  <c r="IY35" i="4" s="1"/>
  <c r="IY36" i="4" s="1"/>
  <c r="IY45" i="4" s="1"/>
  <c r="IY6" i="4"/>
  <c r="IY12" i="4" s="1"/>
  <c r="IY28" i="4" s="1"/>
  <c r="IY30" i="4" s="1"/>
  <c r="IX32" i="4"/>
  <c r="IX33" i="4" s="1"/>
  <c r="IX35" i="4" s="1"/>
  <c r="IX36" i="4" s="1"/>
  <c r="IX45" i="4" s="1"/>
  <c r="IX6" i="4"/>
  <c r="IX12" i="4" s="1"/>
  <c r="IX28" i="4" s="1"/>
  <c r="IX30" i="4" s="1"/>
  <c r="IW32" i="4"/>
  <c r="IW33" i="4" s="1"/>
  <c r="IW35" i="4" s="1"/>
  <c r="IW36" i="4" s="1"/>
  <c r="IW45" i="4" s="1"/>
  <c r="IW6" i="4"/>
  <c r="IW12" i="4" s="1"/>
  <c r="IW28" i="4" s="1"/>
  <c r="IW30" i="4" s="1"/>
  <c r="IV32" i="4"/>
  <c r="IV33" i="4" s="1"/>
  <c r="IV35" i="4" s="1"/>
  <c r="IV36" i="4" s="1"/>
  <c r="IV45" i="4" s="1"/>
  <c r="IV6" i="4"/>
  <c r="IV12" i="4" s="1"/>
  <c r="IV28" i="4" s="1"/>
  <c r="IV30" i="4" s="1"/>
  <c r="IS32" i="4"/>
  <c r="IS33" i="4" s="1"/>
  <c r="IS35" i="4" s="1"/>
  <c r="IS36" i="4" s="1"/>
  <c r="IS6" i="4"/>
  <c r="IR32" i="4"/>
  <c r="IR33" i="4" s="1"/>
  <c r="IR35" i="4" s="1"/>
  <c r="IR36" i="4" s="1"/>
  <c r="IR6" i="4"/>
  <c r="IQ32" i="4"/>
  <c r="IQ33" i="4" s="1"/>
  <c r="IQ35" i="4" s="1"/>
  <c r="IQ36" i="4" s="1"/>
  <c r="IQ6" i="4"/>
  <c r="IP32" i="4"/>
  <c r="IP33" i="4" s="1"/>
  <c r="IP35" i="4" s="1"/>
  <c r="IP36" i="4" s="1"/>
  <c r="IP6" i="4"/>
  <c r="IO32" i="4"/>
  <c r="IO33" i="4" s="1"/>
  <c r="IO35" i="4" s="1"/>
  <c r="IO36" i="4" s="1"/>
  <c r="IO6" i="4"/>
  <c r="IN32" i="4"/>
  <c r="IN33" i="4" s="1"/>
  <c r="IN35" i="4" s="1"/>
  <c r="IN36" i="4" s="1"/>
  <c r="IN6" i="4"/>
  <c r="IM32" i="4"/>
  <c r="IM33" i="4" s="1"/>
  <c r="IM35" i="4" s="1"/>
  <c r="IM36" i="4" s="1"/>
  <c r="IM6" i="4"/>
  <c r="IL32" i="4"/>
  <c r="IL33" i="4" s="1"/>
  <c r="IL35" i="4" s="1"/>
  <c r="IL36" i="4" s="1"/>
  <c r="IL6" i="4"/>
  <c r="IK32" i="4"/>
  <c r="IK33" i="4" s="1"/>
  <c r="IK35" i="4" s="1"/>
  <c r="IK36" i="4" s="1"/>
  <c r="IK6" i="4"/>
  <c r="IJ32" i="4"/>
  <c r="IJ33" i="4" s="1"/>
  <c r="IJ35" i="4" s="1"/>
  <c r="IJ36" i="4" s="1"/>
  <c r="IJ6" i="4"/>
  <c r="II32" i="4"/>
  <c r="II33" i="4" s="1"/>
  <c r="II35" i="4" s="1"/>
  <c r="II36" i="4" s="1"/>
  <c r="II6" i="4"/>
  <c r="IH32" i="4"/>
  <c r="IH33" i="4" s="1"/>
  <c r="IH35" i="4" s="1"/>
  <c r="IH36" i="4" s="1"/>
  <c r="IH6" i="4"/>
  <c r="IG32" i="4"/>
  <c r="IG33" i="4" s="1"/>
  <c r="IG35" i="4" s="1"/>
  <c r="IG36" i="4" s="1"/>
  <c r="IG6" i="4"/>
  <c r="IF32" i="4"/>
  <c r="IF33" i="4" s="1"/>
  <c r="IF35" i="4" s="1"/>
  <c r="IF36" i="4" s="1"/>
  <c r="IF6" i="4"/>
  <c r="IE32" i="4"/>
  <c r="IE33" i="4" s="1"/>
  <c r="IE35" i="4" s="1"/>
  <c r="IE36" i="4" s="1"/>
  <c r="IE6" i="4"/>
  <c r="ID32" i="4"/>
  <c r="ID33" i="4" s="1"/>
  <c r="ID35" i="4" s="1"/>
  <c r="ID36" i="4" s="1"/>
  <c r="ID6" i="4"/>
  <c r="IC32" i="4"/>
  <c r="IC33" i="4" s="1"/>
  <c r="IC35" i="4" s="1"/>
  <c r="IC36" i="4" s="1"/>
  <c r="IC6" i="4"/>
  <c r="IB32" i="4"/>
  <c r="IB33" i="4" s="1"/>
  <c r="IB35" i="4" s="1"/>
  <c r="IB36" i="4" s="1"/>
  <c r="IB6" i="4"/>
  <c r="IA32" i="4"/>
  <c r="IA33" i="4" s="1"/>
  <c r="IA35" i="4" s="1"/>
  <c r="IA36" i="4" s="1"/>
  <c r="IA6" i="4"/>
  <c r="HZ32" i="4"/>
  <c r="HZ33" i="4" s="1"/>
  <c r="HZ35" i="4" s="1"/>
  <c r="HZ36" i="4" s="1"/>
  <c r="HZ6" i="4"/>
  <c r="HY32" i="4"/>
  <c r="HY33" i="4" s="1"/>
  <c r="HY35" i="4" s="1"/>
  <c r="HY36" i="4" s="1"/>
  <c r="HY6" i="4"/>
  <c r="HX32" i="4"/>
  <c r="HX33" i="4" s="1"/>
  <c r="HX35" i="4" s="1"/>
  <c r="HX36" i="4" s="1"/>
  <c r="HX6" i="4"/>
  <c r="HW32" i="4"/>
  <c r="HW33" i="4" s="1"/>
  <c r="HW35" i="4" s="1"/>
  <c r="HW36" i="4" s="1"/>
  <c r="HW6" i="4"/>
  <c r="HV32" i="4"/>
  <c r="HV33" i="4" s="1"/>
  <c r="HV35" i="4" s="1"/>
  <c r="HV36" i="4" s="1"/>
  <c r="HV6" i="4"/>
  <c r="HU32" i="4"/>
  <c r="HU33" i="4" s="1"/>
  <c r="HU35" i="4" s="1"/>
  <c r="HU36" i="4" s="1"/>
  <c r="HU6" i="4"/>
  <c r="HT32" i="4"/>
  <c r="HT33" i="4" s="1"/>
  <c r="HT35" i="4" s="1"/>
  <c r="HT36" i="4" s="1"/>
  <c r="HT6" i="4"/>
  <c r="HS32" i="4"/>
  <c r="HS33" i="4" s="1"/>
  <c r="HS35" i="4" s="1"/>
  <c r="HS36" i="4" s="1"/>
  <c r="HS6" i="4"/>
  <c r="HR32" i="4"/>
  <c r="HR33" i="4" s="1"/>
  <c r="HR35" i="4" s="1"/>
  <c r="HR36" i="4" s="1"/>
  <c r="HR6" i="4"/>
  <c r="HQ32" i="4"/>
  <c r="HQ33" i="4" s="1"/>
  <c r="HQ35" i="4" s="1"/>
  <c r="HQ36" i="4" s="1"/>
  <c r="HQ6" i="4"/>
  <c r="HP32" i="4"/>
  <c r="HP33" i="4" s="1"/>
  <c r="HP35" i="4" s="1"/>
  <c r="HP36" i="4" s="1"/>
  <c r="HP6" i="4"/>
  <c r="HM32" i="4"/>
  <c r="HM33" i="4" s="1"/>
  <c r="HM35" i="4" s="1"/>
  <c r="HM36" i="4" s="1"/>
  <c r="HM6" i="4"/>
  <c r="HL32" i="4"/>
  <c r="HL33" i="4" s="1"/>
  <c r="HL35" i="4" s="1"/>
  <c r="HL36" i="4" s="1"/>
  <c r="HL6" i="4"/>
  <c r="HK32" i="4"/>
  <c r="HK33" i="4" s="1"/>
  <c r="HK35" i="4" s="1"/>
  <c r="HK36" i="4" s="1"/>
  <c r="HK6" i="4"/>
  <c r="HJ32" i="4"/>
  <c r="HJ33" i="4" s="1"/>
  <c r="HJ35" i="4" s="1"/>
  <c r="HJ36" i="4" s="1"/>
  <c r="HJ6" i="4"/>
  <c r="HI32" i="4"/>
  <c r="HI33" i="4" s="1"/>
  <c r="HI35" i="4" s="1"/>
  <c r="HI36" i="4" s="1"/>
  <c r="HI6" i="4"/>
  <c r="HH32" i="4"/>
  <c r="HH33" i="4" s="1"/>
  <c r="HH35" i="4" s="1"/>
  <c r="HH36" i="4" s="1"/>
  <c r="HH6" i="4"/>
  <c r="HG32" i="4"/>
  <c r="HG33" i="4" s="1"/>
  <c r="HG35" i="4" s="1"/>
  <c r="HG36" i="4" s="1"/>
  <c r="HG6" i="4"/>
  <c r="HF32" i="4"/>
  <c r="HF33" i="4" s="1"/>
  <c r="HF35" i="4" s="1"/>
  <c r="HF36" i="4" s="1"/>
  <c r="HF6" i="4"/>
  <c r="HE32" i="4"/>
  <c r="HE33" i="4" s="1"/>
  <c r="HE35" i="4" s="1"/>
  <c r="HE36" i="4" s="1"/>
  <c r="HE6" i="4"/>
  <c r="HD32" i="4"/>
  <c r="HD33" i="4" s="1"/>
  <c r="HD35" i="4" s="1"/>
  <c r="HD36" i="4" s="1"/>
  <c r="HD6" i="4"/>
  <c r="HC32" i="4"/>
  <c r="HC33" i="4" s="1"/>
  <c r="HC35" i="4" s="1"/>
  <c r="HC36" i="4" s="1"/>
  <c r="HC6" i="4"/>
  <c r="HB32" i="4"/>
  <c r="HB33" i="4" s="1"/>
  <c r="HB35" i="4" s="1"/>
  <c r="HB36" i="4" s="1"/>
  <c r="HB6" i="4"/>
  <c r="HA32" i="4"/>
  <c r="HA33" i="4" s="1"/>
  <c r="HA35" i="4" s="1"/>
  <c r="HA36" i="4" s="1"/>
  <c r="HA6" i="4"/>
  <c r="GZ32" i="4"/>
  <c r="GZ33" i="4" s="1"/>
  <c r="GZ35" i="4" s="1"/>
  <c r="GZ36" i="4" s="1"/>
  <c r="GZ6" i="4"/>
  <c r="GY32" i="4"/>
  <c r="GY33" i="4" s="1"/>
  <c r="GY35" i="4" s="1"/>
  <c r="GY36" i="4" s="1"/>
  <c r="GY6" i="4"/>
  <c r="GX32" i="4"/>
  <c r="GX33" i="4" s="1"/>
  <c r="GX35" i="4" s="1"/>
  <c r="GX36" i="4" s="1"/>
  <c r="GX6" i="4"/>
  <c r="GW32" i="4"/>
  <c r="GW33" i="4" s="1"/>
  <c r="GW35" i="4" s="1"/>
  <c r="GW36" i="4" s="1"/>
  <c r="GW6" i="4"/>
  <c r="GV32" i="4"/>
  <c r="GV33" i="4" s="1"/>
  <c r="GV35" i="4" s="1"/>
  <c r="GV36" i="4" s="1"/>
  <c r="GV6" i="4"/>
  <c r="GU32" i="4"/>
  <c r="GU33" i="4" s="1"/>
  <c r="GU35" i="4" s="1"/>
  <c r="GU36" i="4" s="1"/>
  <c r="GU6" i="4"/>
  <c r="GT32" i="4"/>
  <c r="GT33" i="4" s="1"/>
  <c r="GT35" i="4" s="1"/>
  <c r="GT36" i="4" s="1"/>
  <c r="GT6" i="4"/>
  <c r="GS32" i="4"/>
  <c r="GS33" i="4" s="1"/>
  <c r="GS35" i="4" s="1"/>
  <c r="GS36" i="4" s="1"/>
  <c r="GS6" i="4"/>
  <c r="GR32" i="4"/>
  <c r="GR33" i="4" s="1"/>
  <c r="GR35" i="4" s="1"/>
  <c r="GR36" i="4" s="1"/>
  <c r="GR6" i="4"/>
  <c r="GQ32" i="4"/>
  <c r="GQ33" i="4" s="1"/>
  <c r="GQ35" i="4" s="1"/>
  <c r="GQ36" i="4" s="1"/>
  <c r="GQ6" i="4"/>
  <c r="GP32" i="4"/>
  <c r="GP33" i="4" s="1"/>
  <c r="GP35" i="4" s="1"/>
  <c r="GP36" i="4" s="1"/>
  <c r="GP6" i="4"/>
  <c r="GO32" i="4"/>
  <c r="GO33" i="4" s="1"/>
  <c r="GO35" i="4" s="1"/>
  <c r="GO36" i="4" s="1"/>
  <c r="GO6" i="4"/>
  <c r="GN32" i="4"/>
  <c r="GN33" i="4" s="1"/>
  <c r="GN35" i="4" s="1"/>
  <c r="GN36" i="4" s="1"/>
  <c r="GN6" i="4"/>
  <c r="GM32" i="4"/>
  <c r="GM33" i="4" s="1"/>
  <c r="GM35" i="4" s="1"/>
  <c r="GM36" i="4" s="1"/>
  <c r="GM6" i="4"/>
  <c r="GL32" i="4"/>
  <c r="GL33" i="4" s="1"/>
  <c r="GL35" i="4" s="1"/>
  <c r="GL36" i="4" s="1"/>
  <c r="GL6" i="4"/>
  <c r="GI32" i="4"/>
  <c r="GI33" i="4" s="1"/>
  <c r="GI35" i="4" s="1"/>
  <c r="GI36" i="4" s="1"/>
  <c r="GI6" i="4"/>
  <c r="GH32" i="4"/>
  <c r="GH33" i="4" s="1"/>
  <c r="GH35" i="4" s="1"/>
  <c r="GH36" i="4" s="1"/>
  <c r="GH6" i="4"/>
  <c r="GG32" i="4"/>
  <c r="GG33" i="4" s="1"/>
  <c r="GG35" i="4" s="1"/>
  <c r="GG36" i="4" s="1"/>
  <c r="GG6" i="4"/>
  <c r="GF32" i="4"/>
  <c r="GF33" i="4" s="1"/>
  <c r="GF35" i="4" s="1"/>
  <c r="GF36" i="4" s="1"/>
  <c r="GF6" i="4"/>
  <c r="GE32" i="4"/>
  <c r="GE33" i="4" s="1"/>
  <c r="GE35" i="4" s="1"/>
  <c r="GE36" i="4" s="1"/>
  <c r="GE6" i="4"/>
  <c r="GD32" i="4"/>
  <c r="GD33" i="4" s="1"/>
  <c r="GD35" i="4" s="1"/>
  <c r="GD36" i="4" s="1"/>
  <c r="GD6" i="4"/>
  <c r="GC32" i="4"/>
  <c r="GC33" i="4" s="1"/>
  <c r="GC35" i="4" s="1"/>
  <c r="GC36" i="4" s="1"/>
  <c r="GC6" i="4"/>
  <c r="GB32" i="4"/>
  <c r="GB33" i="4" s="1"/>
  <c r="GB35" i="4" s="1"/>
  <c r="GB36" i="4" s="1"/>
  <c r="GB6" i="4"/>
  <c r="GA32" i="4"/>
  <c r="GA33" i="4" s="1"/>
  <c r="GA35" i="4" s="1"/>
  <c r="GA36" i="4" s="1"/>
  <c r="GA6" i="4"/>
  <c r="FZ32" i="4"/>
  <c r="FZ33" i="4" s="1"/>
  <c r="FZ35" i="4" s="1"/>
  <c r="FZ36" i="4" s="1"/>
  <c r="FZ6" i="4"/>
  <c r="FY32" i="4"/>
  <c r="FY33" i="4" s="1"/>
  <c r="FY35" i="4" s="1"/>
  <c r="FY36" i="4" s="1"/>
  <c r="FY6" i="4"/>
  <c r="FX32" i="4"/>
  <c r="FX33" i="4" s="1"/>
  <c r="FX35" i="4" s="1"/>
  <c r="FX36" i="4" s="1"/>
  <c r="FX6" i="4"/>
  <c r="FW32" i="4"/>
  <c r="FW33" i="4" s="1"/>
  <c r="FW35" i="4" s="1"/>
  <c r="FW36" i="4" s="1"/>
  <c r="FW6" i="4"/>
  <c r="FV32" i="4"/>
  <c r="FV33" i="4" s="1"/>
  <c r="FV35" i="4" s="1"/>
  <c r="FV36" i="4" s="1"/>
  <c r="FV6" i="4"/>
  <c r="FU32" i="4"/>
  <c r="FU33" i="4" s="1"/>
  <c r="FU35" i="4" s="1"/>
  <c r="FU36" i="4" s="1"/>
  <c r="FU6" i="4"/>
  <c r="FT32" i="4"/>
  <c r="FT33" i="4" s="1"/>
  <c r="FT35" i="4" s="1"/>
  <c r="FT36" i="4" s="1"/>
  <c r="FT6" i="4"/>
  <c r="FS32" i="4"/>
  <c r="FS33" i="4" s="1"/>
  <c r="FS35" i="4" s="1"/>
  <c r="FS36" i="4" s="1"/>
  <c r="FS6" i="4"/>
  <c r="FR32" i="4"/>
  <c r="FR33" i="4" s="1"/>
  <c r="FR35" i="4" s="1"/>
  <c r="FR36" i="4" s="1"/>
  <c r="FR6" i="4"/>
  <c r="FQ32" i="4"/>
  <c r="FQ33" i="4" s="1"/>
  <c r="FQ35" i="4" s="1"/>
  <c r="FQ36" i="4" s="1"/>
  <c r="FQ6" i="4"/>
  <c r="FP32" i="4"/>
  <c r="FP33" i="4" s="1"/>
  <c r="FP35" i="4" s="1"/>
  <c r="FP36" i="4" s="1"/>
  <c r="FP6" i="4"/>
  <c r="FO32" i="4"/>
  <c r="FO33" i="4" s="1"/>
  <c r="FO35" i="4" s="1"/>
  <c r="FO36" i="4" s="1"/>
  <c r="FO6" i="4"/>
  <c r="FN32" i="4"/>
  <c r="FN33" i="4" s="1"/>
  <c r="FN35" i="4" s="1"/>
  <c r="FN36" i="4" s="1"/>
  <c r="FN6" i="4"/>
  <c r="FM32" i="4"/>
  <c r="FM33" i="4" s="1"/>
  <c r="FM35" i="4" s="1"/>
  <c r="FM36" i="4" s="1"/>
  <c r="FM6" i="4"/>
  <c r="FL32" i="4"/>
  <c r="FL33" i="4" s="1"/>
  <c r="FL35" i="4" s="1"/>
  <c r="FL36" i="4" s="1"/>
  <c r="FL6" i="4"/>
  <c r="FK32" i="4"/>
  <c r="FK33" i="4" s="1"/>
  <c r="FK35" i="4" s="1"/>
  <c r="FK36" i="4" s="1"/>
  <c r="FK6" i="4"/>
  <c r="FJ32" i="4"/>
  <c r="FJ33" i="4" s="1"/>
  <c r="FJ35" i="4" s="1"/>
  <c r="FJ36" i="4" s="1"/>
  <c r="FJ6" i="4"/>
  <c r="FI32" i="4"/>
  <c r="FI33" i="4" s="1"/>
  <c r="FI35" i="4" s="1"/>
  <c r="FI36" i="4" s="1"/>
  <c r="FI6" i="4"/>
  <c r="FH32" i="4"/>
  <c r="FH33" i="4" s="1"/>
  <c r="FH35" i="4" s="1"/>
  <c r="FH36" i="4" s="1"/>
  <c r="FH6" i="4"/>
  <c r="FG32" i="4"/>
  <c r="FG33" i="4" s="1"/>
  <c r="FG35" i="4" s="1"/>
  <c r="FG36" i="4" s="1"/>
  <c r="FG6" i="4"/>
  <c r="FF32" i="4"/>
  <c r="FF33" i="4" s="1"/>
  <c r="FF35" i="4" s="1"/>
  <c r="FF36" i="4" s="1"/>
  <c r="FF6" i="4"/>
  <c r="FC32" i="4"/>
  <c r="FC33" i="4" s="1"/>
  <c r="FC35" i="4" s="1"/>
  <c r="FC36" i="4" s="1"/>
  <c r="FC6" i="4"/>
  <c r="FB32" i="4"/>
  <c r="FB33" i="4" s="1"/>
  <c r="FB35" i="4" s="1"/>
  <c r="FB36" i="4" s="1"/>
  <c r="FB6" i="4"/>
  <c r="FA32" i="4"/>
  <c r="FA33" i="4" s="1"/>
  <c r="FA35" i="4" s="1"/>
  <c r="FA36" i="4" s="1"/>
  <c r="FA6" i="4"/>
  <c r="EZ32" i="4"/>
  <c r="EZ33" i="4" s="1"/>
  <c r="EZ35" i="4" s="1"/>
  <c r="EZ36" i="4" s="1"/>
  <c r="EZ6" i="4"/>
  <c r="EY32" i="4"/>
  <c r="EY33" i="4" s="1"/>
  <c r="EY35" i="4" s="1"/>
  <c r="EY36" i="4" s="1"/>
  <c r="EY6" i="4"/>
  <c r="EX32" i="4"/>
  <c r="EX33" i="4" s="1"/>
  <c r="EX35" i="4" s="1"/>
  <c r="EX36" i="4" s="1"/>
  <c r="EX6" i="4"/>
  <c r="EW32" i="4"/>
  <c r="EW33" i="4" s="1"/>
  <c r="EW35" i="4" s="1"/>
  <c r="EW36" i="4" s="1"/>
  <c r="EW6" i="4"/>
  <c r="EV32" i="4"/>
  <c r="EV33" i="4" s="1"/>
  <c r="EV35" i="4" s="1"/>
  <c r="EV36" i="4" s="1"/>
  <c r="EV6" i="4"/>
  <c r="EU32" i="4"/>
  <c r="EU33" i="4" s="1"/>
  <c r="EU35" i="4" s="1"/>
  <c r="EU36" i="4" s="1"/>
  <c r="EU6" i="4"/>
  <c r="ET32" i="4"/>
  <c r="ET33" i="4" s="1"/>
  <c r="ET35" i="4" s="1"/>
  <c r="ET36" i="4" s="1"/>
  <c r="ET6" i="4"/>
  <c r="ES32" i="4"/>
  <c r="ES33" i="4" s="1"/>
  <c r="ES35" i="4" s="1"/>
  <c r="ES36" i="4" s="1"/>
  <c r="ES6" i="4"/>
  <c r="ER32" i="4"/>
  <c r="ER33" i="4" s="1"/>
  <c r="ER35" i="4" s="1"/>
  <c r="ER36" i="4" s="1"/>
  <c r="ER6" i="4"/>
  <c r="EQ32" i="4"/>
  <c r="EQ33" i="4" s="1"/>
  <c r="EQ35" i="4" s="1"/>
  <c r="EQ36" i="4" s="1"/>
  <c r="EQ6" i="4"/>
  <c r="EP32" i="4"/>
  <c r="EP33" i="4" s="1"/>
  <c r="EP35" i="4" s="1"/>
  <c r="EP36" i="4" s="1"/>
  <c r="EP6" i="4"/>
  <c r="EO32" i="4"/>
  <c r="EO33" i="4" s="1"/>
  <c r="EO35" i="4" s="1"/>
  <c r="EO36" i="4" s="1"/>
  <c r="EO6" i="4"/>
  <c r="EN32" i="4"/>
  <c r="EN33" i="4" s="1"/>
  <c r="EN35" i="4" s="1"/>
  <c r="EN36" i="4" s="1"/>
  <c r="EN6" i="4"/>
  <c r="EM32" i="4"/>
  <c r="EM33" i="4" s="1"/>
  <c r="EM35" i="4" s="1"/>
  <c r="EM36" i="4" s="1"/>
  <c r="EM6" i="4"/>
  <c r="EL32" i="4"/>
  <c r="EL33" i="4" s="1"/>
  <c r="EL35" i="4" s="1"/>
  <c r="EL36" i="4" s="1"/>
  <c r="EL6" i="4"/>
  <c r="EK32" i="4"/>
  <c r="EK33" i="4" s="1"/>
  <c r="EK35" i="4" s="1"/>
  <c r="EK36" i="4" s="1"/>
  <c r="EK6" i="4"/>
  <c r="EJ32" i="4"/>
  <c r="EJ33" i="4" s="1"/>
  <c r="EJ35" i="4" s="1"/>
  <c r="EJ36" i="4" s="1"/>
  <c r="EJ6" i="4"/>
  <c r="EI32" i="4"/>
  <c r="EI33" i="4" s="1"/>
  <c r="EI35" i="4" s="1"/>
  <c r="EI36" i="4" s="1"/>
  <c r="EI6" i="4"/>
  <c r="EH32" i="4"/>
  <c r="EH33" i="4" s="1"/>
  <c r="EH35" i="4" s="1"/>
  <c r="EH36" i="4" s="1"/>
  <c r="EH6" i="4"/>
  <c r="EG32" i="4"/>
  <c r="EG33" i="4" s="1"/>
  <c r="EG35" i="4" s="1"/>
  <c r="EG36" i="4" s="1"/>
  <c r="EG6" i="4"/>
  <c r="EF32" i="4"/>
  <c r="EF33" i="4" s="1"/>
  <c r="EF35" i="4" s="1"/>
  <c r="EF36" i="4" s="1"/>
  <c r="EF6" i="4"/>
  <c r="EE32" i="4"/>
  <c r="EE33" i="4" s="1"/>
  <c r="EE35" i="4" s="1"/>
  <c r="EE36" i="4" s="1"/>
  <c r="EE6" i="4"/>
  <c r="ED32" i="4"/>
  <c r="ED33" i="4" s="1"/>
  <c r="ED35" i="4" s="1"/>
  <c r="ED36" i="4" s="1"/>
  <c r="ED6" i="4"/>
  <c r="EC32" i="4"/>
  <c r="EC33" i="4" s="1"/>
  <c r="EC35" i="4" s="1"/>
  <c r="EC36" i="4" s="1"/>
  <c r="EC6" i="4"/>
  <c r="EB32" i="4"/>
  <c r="EB33" i="4" s="1"/>
  <c r="EB35" i="4" s="1"/>
  <c r="EB36" i="4" s="1"/>
  <c r="EB6" i="4"/>
  <c r="EA32" i="4"/>
  <c r="EA33" i="4" s="1"/>
  <c r="EA35" i="4" s="1"/>
  <c r="EA36" i="4" s="1"/>
  <c r="EA6" i="4"/>
  <c r="DZ32" i="4"/>
  <c r="DZ33" i="4" s="1"/>
  <c r="DZ35" i="4" s="1"/>
  <c r="DZ36" i="4" s="1"/>
  <c r="DZ6" i="4"/>
  <c r="DW32" i="4"/>
  <c r="DW33" i="4" s="1"/>
  <c r="DW35" i="4" s="1"/>
  <c r="DW36" i="4" s="1"/>
  <c r="DW6" i="4"/>
  <c r="DV32" i="4"/>
  <c r="DV33" i="4" s="1"/>
  <c r="DV35" i="4" s="1"/>
  <c r="DV36" i="4" s="1"/>
  <c r="DV6" i="4"/>
  <c r="DU32" i="4"/>
  <c r="DU33" i="4" s="1"/>
  <c r="DU35" i="4" s="1"/>
  <c r="DU36" i="4" s="1"/>
  <c r="DU6" i="4"/>
  <c r="DT32" i="4"/>
  <c r="DT33" i="4" s="1"/>
  <c r="DT35" i="4" s="1"/>
  <c r="DT36" i="4" s="1"/>
  <c r="DT6" i="4"/>
  <c r="DS32" i="4"/>
  <c r="DS33" i="4" s="1"/>
  <c r="DS35" i="4" s="1"/>
  <c r="DS36" i="4" s="1"/>
  <c r="DS6" i="4"/>
  <c r="DR32" i="4"/>
  <c r="DR33" i="4" s="1"/>
  <c r="DR35" i="4" s="1"/>
  <c r="DR36" i="4" s="1"/>
  <c r="DR6" i="4"/>
  <c r="DQ32" i="4"/>
  <c r="DQ33" i="4" s="1"/>
  <c r="DQ35" i="4" s="1"/>
  <c r="DQ36" i="4" s="1"/>
  <c r="DQ6" i="4"/>
  <c r="DP32" i="4"/>
  <c r="DP33" i="4" s="1"/>
  <c r="DP35" i="4" s="1"/>
  <c r="DP36" i="4" s="1"/>
  <c r="DP6" i="4"/>
  <c r="DO32" i="4"/>
  <c r="DO33" i="4" s="1"/>
  <c r="DO35" i="4" s="1"/>
  <c r="DO36" i="4" s="1"/>
  <c r="DO6" i="4"/>
  <c r="DN32" i="4"/>
  <c r="DN33" i="4" s="1"/>
  <c r="DN35" i="4" s="1"/>
  <c r="DN36" i="4" s="1"/>
  <c r="DN6" i="4"/>
  <c r="DM32" i="4"/>
  <c r="DM33" i="4" s="1"/>
  <c r="DM35" i="4" s="1"/>
  <c r="DM36" i="4" s="1"/>
  <c r="DM6" i="4"/>
  <c r="DL32" i="4"/>
  <c r="DL33" i="4" s="1"/>
  <c r="DL35" i="4" s="1"/>
  <c r="DL36" i="4" s="1"/>
  <c r="DL6" i="4"/>
  <c r="DK32" i="4"/>
  <c r="DK33" i="4" s="1"/>
  <c r="DK35" i="4" s="1"/>
  <c r="DK36" i="4" s="1"/>
  <c r="DK6" i="4"/>
  <c r="DJ32" i="4"/>
  <c r="DJ33" i="4" s="1"/>
  <c r="DJ35" i="4" s="1"/>
  <c r="DJ36" i="4" s="1"/>
  <c r="DJ6" i="4"/>
  <c r="DI32" i="4"/>
  <c r="DI33" i="4" s="1"/>
  <c r="DI35" i="4" s="1"/>
  <c r="DI36" i="4" s="1"/>
  <c r="DI6" i="4"/>
  <c r="DH32" i="4"/>
  <c r="DH33" i="4" s="1"/>
  <c r="DH35" i="4" s="1"/>
  <c r="DH36" i="4" s="1"/>
  <c r="DH6" i="4"/>
  <c r="DG32" i="4"/>
  <c r="DG33" i="4" s="1"/>
  <c r="DG35" i="4" s="1"/>
  <c r="DG36" i="4" s="1"/>
  <c r="DG6" i="4"/>
  <c r="DF32" i="4"/>
  <c r="DF33" i="4" s="1"/>
  <c r="DF35" i="4" s="1"/>
  <c r="DF36" i="4" s="1"/>
  <c r="DF6" i="4"/>
  <c r="DE32" i="4"/>
  <c r="DE33" i="4" s="1"/>
  <c r="DE35" i="4" s="1"/>
  <c r="DE36" i="4" s="1"/>
  <c r="DE6" i="4"/>
  <c r="DD32" i="4"/>
  <c r="DD33" i="4" s="1"/>
  <c r="DD35" i="4" s="1"/>
  <c r="DD36" i="4" s="1"/>
  <c r="DD6" i="4"/>
  <c r="DC32" i="4"/>
  <c r="DC33" i="4" s="1"/>
  <c r="DC35" i="4" s="1"/>
  <c r="DC36" i="4" s="1"/>
  <c r="DC6" i="4"/>
  <c r="DB32" i="4"/>
  <c r="DB33" i="4" s="1"/>
  <c r="DB35" i="4" s="1"/>
  <c r="DB36" i="4" s="1"/>
  <c r="DB6" i="4"/>
  <c r="DA32" i="4"/>
  <c r="DA33" i="4" s="1"/>
  <c r="DA35" i="4" s="1"/>
  <c r="DA36" i="4" s="1"/>
  <c r="DA6" i="4"/>
  <c r="CZ32" i="4"/>
  <c r="CZ33" i="4" s="1"/>
  <c r="CZ35" i="4" s="1"/>
  <c r="CZ36" i="4" s="1"/>
  <c r="CZ6" i="4"/>
  <c r="CY32" i="4"/>
  <c r="CY33" i="4" s="1"/>
  <c r="CY35" i="4" s="1"/>
  <c r="CY36" i="4" s="1"/>
  <c r="CY6" i="4"/>
  <c r="CX32" i="4"/>
  <c r="CX33" i="4" s="1"/>
  <c r="CX35" i="4" s="1"/>
  <c r="CX36" i="4" s="1"/>
  <c r="CX6" i="4"/>
  <c r="CW32" i="4"/>
  <c r="CW33" i="4" s="1"/>
  <c r="CW35" i="4" s="1"/>
  <c r="CW36" i="4" s="1"/>
  <c r="CW6" i="4"/>
  <c r="CV32" i="4"/>
  <c r="CV33" i="4" s="1"/>
  <c r="CV35" i="4" s="1"/>
  <c r="CV36" i="4" s="1"/>
  <c r="CV6" i="4"/>
  <c r="CU32" i="4"/>
  <c r="CU33" i="4" s="1"/>
  <c r="CU35" i="4" s="1"/>
  <c r="CU36" i="4" s="1"/>
  <c r="CU6" i="4"/>
  <c r="CR32" i="4"/>
  <c r="CR33" i="4" s="1"/>
  <c r="CR35" i="4" s="1"/>
  <c r="CR36" i="4" s="1"/>
  <c r="CR6" i="4"/>
  <c r="CQ32" i="4"/>
  <c r="CQ33" i="4" s="1"/>
  <c r="CQ35" i="4" s="1"/>
  <c r="CQ36" i="4" s="1"/>
  <c r="CQ6" i="4"/>
  <c r="CP32" i="4"/>
  <c r="CP33" i="4" s="1"/>
  <c r="CP35" i="4" s="1"/>
  <c r="CP36" i="4" s="1"/>
  <c r="CP6" i="4"/>
  <c r="CO32" i="4"/>
  <c r="CO33" i="4" s="1"/>
  <c r="CO35" i="4" s="1"/>
  <c r="CO36" i="4" s="1"/>
  <c r="CO6" i="4"/>
  <c r="CN32" i="4"/>
  <c r="CN33" i="4" s="1"/>
  <c r="CN35" i="4" s="1"/>
  <c r="CN36" i="4" s="1"/>
  <c r="CN6" i="4"/>
  <c r="CM32" i="4"/>
  <c r="CM33" i="4" s="1"/>
  <c r="CM35" i="4" s="1"/>
  <c r="CM36" i="4" s="1"/>
  <c r="CM6" i="4"/>
  <c r="CL32" i="4"/>
  <c r="CL33" i="4" s="1"/>
  <c r="CL35" i="4" s="1"/>
  <c r="CL36" i="4" s="1"/>
  <c r="CL6" i="4"/>
  <c r="CK32" i="4"/>
  <c r="CK33" i="4" s="1"/>
  <c r="CK35" i="4" s="1"/>
  <c r="CK36" i="4" s="1"/>
  <c r="CK6" i="4"/>
  <c r="CJ32" i="4"/>
  <c r="CJ33" i="4" s="1"/>
  <c r="CJ35" i="4" s="1"/>
  <c r="CJ36" i="4" s="1"/>
  <c r="CJ6" i="4"/>
  <c r="CI32" i="4"/>
  <c r="CI33" i="4" s="1"/>
  <c r="CI35" i="4" s="1"/>
  <c r="CI36" i="4" s="1"/>
  <c r="CI6" i="4"/>
  <c r="CH32" i="4"/>
  <c r="CH33" i="4" s="1"/>
  <c r="CH35" i="4" s="1"/>
  <c r="CH36" i="4" s="1"/>
  <c r="CH6" i="4"/>
  <c r="CG32" i="4"/>
  <c r="CG33" i="4" s="1"/>
  <c r="CG35" i="4" s="1"/>
  <c r="CG36" i="4" s="1"/>
  <c r="CG6" i="4"/>
  <c r="CF32" i="4"/>
  <c r="CF33" i="4" s="1"/>
  <c r="CF35" i="4" s="1"/>
  <c r="CF36" i="4" s="1"/>
  <c r="CF6" i="4"/>
  <c r="CE32" i="4"/>
  <c r="CE33" i="4" s="1"/>
  <c r="CE35" i="4" s="1"/>
  <c r="CE36" i="4" s="1"/>
  <c r="CE6" i="4"/>
  <c r="CD32" i="4"/>
  <c r="CD33" i="4" s="1"/>
  <c r="CD35" i="4" s="1"/>
  <c r="CD36" i="4" s="1"/>
  <c r="CD6" i="4"/>
  <c r="CC32" i="4"/>
  <c r="CC33" i="4" s="1"/>
  <c r="CC35" i="4" s="1"/>
  <c r="CC36" i="4" s="1"/>
  <c r="CC6" i="4"/>
  <c r="CB32" i="4"/>
  <c r="CB33" i="4" s="1"/>
  <c r="CB35" i="4" s="1"/>
  <c r="CB36" i="4" s="1"/>
  <c r="CB6" i="4"/>
  <c r="CA32" i="4"/>
  <c r="CA33" i="4" s="1"/>
  <c r="CA35" i="4" s="1"/>
  <c r="CA36" i="4" s="1"/>
  <c r="CA6" i="4"/>
  <c r="BZ32" i="4"/>
  <c r="BZ33" i="4" s="1"/>
  <c r="BZ35" i="4" s="1"/>
  <c r="BZ36" i="4" s="1"/>
  <c r="BZ6" i="4"/>
  <c r="BY32" i="4"/>
  <c r="BY33" i="4" s="1"/>
  <c r="BY35" i="4" s="1"/>
  <c r="BY36" i="4" s="1"/>
  <c r="BY6" i="4"/>
  <c r="BX32" i="4"/>
  <c r="BX33" i="4" s="1"/>
  <c r="BX35" i="4" s="1"/>
  <c r="BX36" i="4" s="1"/>
  <c r="BX6" i="4"/>
  <c r="BW32" i="4"/>
  <c r="BW33" i="4" s="1"/>
  <c r="BW35" i="4" s="1"/>
  <c r="BW36" i="4" s="1"/>
  <c r="BW6" i="4"/>
  <c r="BV32" i="4"/>
  <c r="BV33" i="4" s="1"/>
  <c r="BV35" i="4" s="1"/>
  <c r="BV36" i="4" s="1"/>
  <c r="BV6" i="4"/>
  <c r="BU32" i="4"/>
  <c r="BU33" i="4" s="1"/>
  <c r="BU35" i="4" s="1"/>
  <c r="BU36" i="4" s="1"/>
  <c r="BU6" i="4"/>
  <c r="BT32" i="4"/>
  <c r="BT33" i="4" s="1"/>
  <c r="BT35" i="4" s="1"/>
  <c r="BT36" i="4" s="1"/>
  <c r="BT6" i="4"/>
  <c r="BS32" i="4"/>
  <c r="BS33" i="4" s="1"/>
  <c r="BS35" i="4" s="1"/>
  <c r="BS36" i="4" s="1"/>
  <c r="BS6" i="4"/>
  <c r="BR32" i="4"/>
  <c r="BR33" i="4" s="1"/>
  <c r="BR35" i="4" s="1"/>
  <c r="BR36" i="4" s="1"/>
  <c r="BR6" i="4"/>
  <c r="BQ32" i="4"/>
  <c r="BQ33" i="4" s="1"/>
  <c r="BQ35" i="4" s="1"/>
  <c r="BQ36" i="4" s="1"/>
  <c r="BQ6" i="4"/>
  <c r="BP32" i="4"/>
  <c r="BP33" i="4" s="1"/>
  <c r="BP35" i="4" s="1"/>
  <c r="BP36" i="4" s="1"/>
  <c r="BP6" i="4"/>
  <c r="BO32" i="4"/>
  <c r="BO33" i="4" s="1"/>
  <c r="BO35" i="4" s="1"/>
  <c r="BO36" i="4" s="1"/>
  <c r="BO6" i="4"/>
  <c r="BL32" i="4"/>
  <c r="BL33" i="4" s="1"/>
  <c r="BL35" i="4" s="1"/>
  <c r="BL36" i="4" s="1"/>
  <c r="BL6" i="4"/>
  <c r="BK32" i="4"/>
  <c r="BK33" i="4" s="1"/>
  <c r="BK35" i="4" s="1"/>
  <c r="BK36" i="4" s="1"/>
  <c r="BK6" i="4"/>
  <c r="BJ32" i="4"/>
  <c r="BJ33" i="4" s="1"/>
  <c r="BJ35" i="4" s="1"/>
  <c r="BJ36" i="4" s="1"/>
  <c r="BJ6" i="4"/>
  <c r="BI32" i="4"/>
  <c r="BI33" i="4" s="1"/>
  <c r="BI35" i="4" s="1"/>
  <c r="BI36" i="4" s="1"/>
  <c r="BI6" i="4"/>
  <c r="BH32" i="4"/>
  <c r="BH33" i="4" s="1"/>
  <c r="BH35" i="4" s="1"/>
  <c r="BH36" i="4" s="1"/>
  <c r="BH6" i="4"/>
  <c r="BG32" i="4"/>
  <c r="BG33" i="4" s="1"/>
  <c r="BG35" i="4" s="1"/>
  <c r="BG36" i="4" s="1"/>
  <c r="BG6" i="4"/>
  <c r="BF32" i="4"/>
  <c r="BF33" i="4" s="1"/>
  <c r="BF35" i="4" s="1"/>
  <c r="BF36" i="4" s="1"/>
  <c r="BF6" i="4"/>
  <c r="BE32" i="4"/>
  <c r="BE33" i="4" s="1"/>
  <c r="BE35" i="4" s="1"/>
  <c r="BE36" i="4" s="1"/>
  <c r="BE6" i="4"/>
  <c r="BD32" i="4"/>
  <c r="BD33" i="4" s="1"/>
  <c r="BD35" i="4" s="1"/>
  <c r="BD36" i="4" s="1"/>
  <c r="BD6" i="4"/>
  <c r="BC32" i="4"/>
  <c r="BC33" i="4" s="1"/>
  <c r="BC35" i="4" s="1"/>
  <c r="BC36" i="4" s="1"/>
  <c r="BC6" i="4"/>
  <c r="BB32" i="4"/>
  <c r="BB33" i="4" s="1"/>
  <c r="BB35" i="4" s="1"/>
  <c r="BB36" i="4" s="1"/>
  <c r="BB6" i="4"/>
  <c r="BA32" i="4"/>
  <c r="BA33" i="4" s="1"/>
  <c r="BA35" i="4" s="1"/>
  <c r="BA36" i="4" s="1"/>
  <c r="BA6" i="4"/>
  <c r="AZ32" i="4"/>
  <c r="AZ33" i="4" s="1"/>
  <c r="AZ35" i="4" s="1"/>
  <c r="AZ36" i="4" s="1"/>
  <c r="AZ6" i="4"/>
  <c r="AY32" i="4"/>
  <c r="AY33" i="4" s="1"/>
  <c r="AY35" i="4" s="1"/>
  <c r="AY36" i="4" s="1"/>
  <c r="AY6" i="4"/>
  <c r="AX32" i="4"/>
  <c r="AX33" i="4" s="1"/>
  <c r="AX35" i="4" s="1"/>
  <c r="AX36" i="4" s="1"/>
  <c r="AX6" i="4"/>
  <c r="AW32" i="4"/>
  <c r="AW33" i="4" s="1"/>
  <c r="AW35" i="4" s="1"/>
  <c r="AW36" i="4" s="1"/>
  <c r="AW6" i="4"/>
  <c r="AV32" i="4"/>
  <c r="AV33" i="4" s="1"/>
  <c r="AV35" i="4" s="1"/>
  <c r="AV36" i="4" s="1"/>
  <c r="AV6" i="4"/>
  <c r="AU32" i="4"/>
  <c r="AU33" i="4" s="1"/>
  <c r="AU35" i="4" s="1"/>
  <c r="AU36" i="4" s="1"/>
  <c r="AU6" i="4"/>
  <c r="AT32" i="4"/>
  <c r="AT33" i="4" s="1"/>
  <c r="AT35" i="4" s="1"/>
  <c r="AT36" i="4" s="1"/>
  <c r="AT6" i="4"/>
  <c r="AS32" i="4"/>
  <c r="AS33" i="4" s="1"/>
  <c r="AS35" i="4" s="1"/>
  <c r="AS36" i="4" s="1"/>
  <c r="AS6" i="4"/>
  <c r="AR32" i="4"/>
  <c r="AR33" i="4" s="1"/>
  <c r="AR35" i="4" s="1"/>
  <c r="AR36" i="4" s="1"/>
  <c r="AR6" i="4"/>
  <c r="AQ32" i="4"/>
  <c r="AQ33" i="4" s="1"/>
  <c r="AQ35" i="4" s="1"/>
  <c r="AQ36" i="4" s="1"/>
  <c r="AQ6" i="4"/>
  <c r="AP32" i="4"/>
  <c r="AP33" i="4" s="1"/>
  <c r="AP35" i="4" s="1"/>
  <c r="AP36" i="4" s="1"/>
  <c r="AP6" i="4"/>
  <c r="AO32" i="4"/>
  <c r="AO33" i="4" s="1"/>
  <c r="AO35" i="4" s="1"/>
  <c r="AO36" i="4" s="1"/>
  <c r="AO6" i="4"/>
  <c r="AN32" i="4"/>
  <c r="AN33" i="4" s="1"/>
  <c r="AN35" i="4" s="1"/>
  <c r="AN36" i="4" s="1"/>
  <c r="AN6" i="4"/>
  <c r="AM32" i="4"/>
  <c r="AM33" i="4" s="1"/>
  <c r="AM35" i="4" s="1"/>
  <c r="AM36" i="4" s="1"/>
  <c r="AM6" i="4"/>
  <c r="AL32" i="4"/>
  <c r="AL33" i="4" s="1"/>
  <c r="AL35" i="4" s="1"/>
  <c r="AL36" i="4" s="1"/>
  <c r="AL6" i="4"/>
  <c r="AK32" i="4"/>
  <c r="AK33" i="4" s="1"/>
  <c r="AK35" i="4" s="1"/>
  <c r="AK36" i="4" s="1"/>
  <c r="AK6" i="4"/>
  <c r="AJ32" i="4"/>
  <c r="AJ33" i="4" s="1"/>
  <c r="AJ35" i="4" s="1"/>
  <c r="AJ36" i="4" s="1"/>
  <c r="AJ6" i="4"/>
  <c r="AG32" i="4"/>
  <c r="AG33" i="4" s="1"/>
  <c r="AG35" i="4" s="1"/>
  <c r="AG36" i="4" s="1"/>
  <c r="AG6" i="4"/>
  <c r="AF32" i="4"/>
  <c r="AF33" i="4" s="1"/>
  <c r="AF35" i="4" s="1"/>
  <c r="AF36" i="4" s="1"/>
  <c r="AF6" i="4"/>
  <c r="AE32" i="4"/>
  <c r="AE33" i="4" s="1"/>
  <c r="AE35" i="4" s="1"/>
  <c r="AE36" i="4" s="1"/>
  <c r="AE6" i="4"/>
  <c r="AD32" i="4"/>
  <c r="AD33" i="4" s="1"/>
  <c r="AD35" i="4" s="1"/>
  <c r="AD36" i="4" s="1"/>
  <c r="AD6" i="4"/>
  <c r="AC32" i="4"/>
  <c r="AC33" i="4" s="1"/>
  <c r="AC35" i="4" s="1"/>
  <c r="AC36" i="4" s="1"/>
  <c r="AC6" i="4"/>
  <c r="AB32" i="4"/>
  <c r="AB33" i="4" s="1"/>
  <c r="AB35" i="4" s="1"/>
  <c r="AB36" i="4" s="1"/>
  <c r="AB6" i="4"/>
  <c r="AA32" i="4"/>
  <c r="AA33" i="4" s="1"/>
  <c r="AA35" i="4" s="1"/>
  <c r="AA36" i="4" s="1"/>
  <c r="AA6" i="4"/>
  <c r="Z32" i="4"/>
  <c r="Z33" i="4" s="1"/>
  <c r="Z35" i="4" s="1"/>
  <c r="Z36" i="4" s="1"/>
  <c r="Z6" i="4"/>
  <c r="Y32" i="4"/>
  <c r="Y33" i="4" s="1"/>
  <c r="Y35" i="4" s="1"/>
  <c r="Y36" i="4" s="1"/>
  <c r="Y6" i="4"/>
  <c r="X32" i="4"/>
  <c r="X33" i="4" s="1"/>
  <c r="X35" i="4" s="1"/>
  <c r="X36" i="4" s="1"/>
  <c r="X6" i="4"/>
  <c r="W32" i="4"/>
  <c r="W33" i="4" s="1"/>
  <c r="W35" i="4" s="1"/>
  <c r="W36" i="4" s="1"/>
  <c r="W6" i="4"/>
  <c r="V32" i="4"/>
  <c r="V33" i="4" s="1"/>
  <c r="V35" i="4" s="1"/>
  <c r="V36" i="4" s="1"/>
  <c r="V6" i="4"/>
  <c r="U32" i="4"/>
  <c r="U33" i="4" s="1"/>
  <c r="U35" i="4" s="1"/>
  <c r="U36" i="4" s="1"/>
  <c r="U6" i="4"/>
  <c r="T32" i="4"/>
  <c r="T33" i="4" s="1"/>
  <c r="T35" i="4" s="1"/>
  <c r="T36" i="4" s="1"/>
  <c r="T6" i="4"/>
  <c r="S32" i="4"/>
  <c r="S33" i="4" s="1"/>
  <c r="S35" i="4" s="1"/>
  <c r="S36" i="4" s="1"/>
  <c r="S6" i="4"/>
  <c r="R32" i="4"/>
  <c r="R33" i="4" s="1"/>
  <c r="R35" i="4" s="1"/>
  <c r="R36" i="4" s="1"/>
  <c r="R6" i="4"/>
  <c r="Q32" i="4"/>
  <c r="Q33" i="4" s="1"/>
  <c r="Q35" i="4" s="1"/>
  <c r="Q36" i="4" s="1"/>
  <c r="Q6" i="4"/>
  <c r="P32" i="4"/>
  <c r="P33" i="4" s="1"/>
  <c r="P35" i="4" s="1"/>
  <c r="P36" i="4" s="1"/>
  <c r="P6" i="4"/>
  <c r="O32" i="4"/>
  <c r="O33" i="4" s="1"/>
  <c r="O35" i="4" s="1"/>
  <c r="O36" i="4" s="1"/>
  <c r="O6" i="4"/>
  <c r="N32" i="4"/>
  <c r="N33" i="4" s="1"/>
  <c r="N35" i="4" s="1"/>
  <c r="N36" i="4" s="1"/>
  <c r="N6" i="4"/>
  <c r="M32" i="4"/>
  <c r="M33" i="4" s="1"/>
  <c r="M35" i="4" s="1"/>
  <c r="M36" i="4" s="1"/>
  <c r="M6" i="4"/>
  <c r="L32" i="4"/>
  <c r="L33" i="4" s="1"/>
  <c r="L35" i="4" s="1"/>
  <c r="L36" i="4" s="1"/>
  <c r="L6" i="4"/>
  <c r="K32" i="4"/>
  <c r="K33" i="4" s="1"/>
  <c r="K35" i="4" s="1"/>
  <c r="K36" i="4" s="1"/>
  <c r="K6" i="4"/>
  <c r="J32" i="4"/>
  <c r="J33" i="4" s="1"/>
  <c r="J35" i="4" s="1"/>
  <c r="J36" i="4" s="1"/>
  <c r="J6" i="4"/>
  <c r="H32" i="4"/>
  <c r="H33" i="4" s="1"/>
  <c r="H35" i="4" s="1"/>
  <c r="H36" i="4" s="1"/>
  <c r="H6" i="4"/>
  <c r="AIF16" i="5"/>
  <c r="CT16" i="5"/>
  <c r="AW29" i="5"/>
  <c r="AX29" i="5" s="1"/>
  <c r="AY29" i="5" s="1"/>
  <c r="AZ29" i="5" s="1"/>
  <c r="BA29" i="5" s="1"/>
  <c r="BB29" i="5" s="1"/>
  <c r="BC29" i="5" s="1"/>
  <c r="BD29" i="5" s="1"/>
  <c r="BE29" i="5" s="1"/>
  <c r="BF29" i="5" s="1"/>
  <c r="BG29" i="5" s="1"/>
  <c r="BH29" i="5" s="1"/>
  <c r="BI29" i="5" s="1"/>
  <c r="BJ29" i="5" s="1"/>
  <c r="BK29" i="5" s="1"/>
  <c r="BL29" i="5" s="1"/>
  <c r="BM17" i="5" s="1"/>
  <c r="SI48" i="4"/>
  <c r="SD48" i="4"/>
  <c r="RZ48" i="4"/>
  <c r="RX48" i="4"/>
  <c r="RU48" i="4"/>
  <c r="RT48" i="4"/>
  <c r="RS48" i="4"/>
  <c r="RO48" i="4"/>
  <c r="RN48" i="4"/>
  <c r="RM48" i="4"/>
  <c r="RI48" i="4"/>
  <c r="RD48" i="4"/>
  <c r="QW48" i="4"/>
  <c r="MA48" i="4"/>
  <c r="LX48" i="4"/>
  <c r="WA18" i="4"/>
  <c r="SL18" i="4"/>
  <c r="BM18" i="4"/>
  <c r="AOC12" i="4"/>
  <c r="AOC28" i="4" s="1"/>
  <c r="AOC30" i="4" s="1"/>
  <c r="SR48" i="4"/>
  <c r="SQ48" i="4"/>
  <c r="SO48" i="4"/>
  <c r="SK48" i="4"/>
  <c r="SH48" i="4"/>
  <c r="SC48" i="4"/>
  <c r="SA48" i="4"/>
  <c r="RV48" i="4"/>
  <c r="RQ48" i="4"/>
  <c r="RC48" i="4"/>
  <c r="MG48" i="4"/>
  <c r="MF48" i="4"/>
  <c r="SL26" i="4"/>
  <c r="MJ26" i="4"/>
  <c r="LE26" i="4"/>
  <c r="IT26" i="4"/>
  <c r="AOC45" i="4"/>
  <c r="AOC48" i="4" s="1"/>
  <c r="SE48" i="4"/>
  <c r="MB48" i="4"/>
  <c r="QE48" i="4"/>
  <c r="QD48" i="4"/>
  <c r="PZ48" i="4"/>
  <c r="PY48" i="4"/>
  <c r="PX48" i="4"/>
  <c r="PW48" i="4"/>
  <c r="PV48" i="4"/>
  <c r="PU48" i="4"/>
  <c r="PT48" i="4"/>
  <c r="PS48" i="4"/>
  <c r="PR48" i="4"/>
  <c r="PQ48" i="4"/>
  <c r="PP48" i="4"/>
  <c r="PO48" i="4"/>
  <c r="PN48" i="4"/>
  <c r="PM48" i="4"/>
  <c r="PL48" i="4"/>
  <c r="PK48" i="4"/>
  <c r="PJ48" i="4"/>
  <c r="PI48" i="4"/>
  <c r="PH48" i="4"/>
  <c r="PG48" i="4"/>
  <c r="PF48" i="4"/>
  <c r="PE48" i="4"/>
  <c r="PD48" i="4"/>
  <c r="PC48" i="4"/>
  <c r="PB48" i="4"/>
  <c r="PA48" i="4"/>
  <c r="OZ48" i="4"/>
  <c r="OY48" i="4"/>
  <c r="OX48" i="4"/>
  <c r="OU48" i="4"/>
  <c r="OT48" i="4"/>
  <c r="OS48" i="4"/>
  <c r="OR48" i="4"/>
  <c r="OQ48" i="4"/>
  <c r="OP48" i="4"/>
  <c r="OO48" i="4"/>
  <c r="ON48" i="4"/>
  <c r="OM48" i="4"/>
  <c r="OL48" i="4"/>
  <c r="OK48" i="4"/>
  <c r="OJ48" i="4"/>
  <c r="OI48" i="4"/>
  <c r="OH48" i="4"/>
  <c r="OG48" i="4"/>
  <c r="OF48" i="4"/>
  <c r="OE48" i="4"/>
  <c r="OD48" i="4"/>
  <c r="OC48" i="4"/>
  <c r="OB48" i="4"/>
  <c r="OA48" i="4"/>
  <c r="NZ48" i="4"/>
  <c r="NY48" i="4"/>
  <c r="NX48" i="4"/>
  <c r="NW48" i="4"/>
  <c r="NV48" i="4"/>
  <c r="NU48" i="4"/>
  <c r="NT48" i="4"/>
  <c r="NS48" i="4"/>
  <c r="NO48" i="4"/>
  <c r="NN48" i="4"/>
  <c r="NM48" i="4"/>
  <c r="NL48" i="4"/>
  <c r="NK48" i="4"/>
  <c r="NJ48" i="4"/>
  <c r="NI48" i="4"/>
  <c r="NH48" i="4"/>
  <c r="NG48" i="4"/>
  <c r="NF48" i="4"/>
  <c r="NE48" i="4"/>
  <c r="ND48" i="4"/>
  <c r="NC48" i="4"/>
  <c r="NB48" i="4"/>
  <c r="NA48" i="4"/>
  <c r="MZ48" i="4"/>
  <c r="MY48" i="4"/>
  <c r="MX48" i="4"/>
  <c r="MW48" i="4"/>
  <c r="MV48" i="4"/>
  <c r="MU48" i="4"/>
  <c r="MT48" i="4"/>
  <c r="MS48" i="4"/>
  <c r="MR48" i="4"/>
  <c r="MQ48" i="4"/>
  <c r="MP48" i="4"/>
  <c r="MO48" i="4"/>
  <c r="MN48" i="4"/>
  <c r="MM48" i="4"/>
  <c r="MI48" i="4"/>
  <c r="KM48" i="4"/>
  <c r="KL48" i="4"/>
  <c r="KK48" i="4"/>
  <c r="KJ48" i="4"/>
  <c r="KI48" i="4"/>
  <c r="KH48" i="4"/>
  <c r="KG48" i="4"/>
  <c r="KF48" i="4"/>
  <c r="KE48" i="4"/>
  <c r="KD48" i="4"/>
  <c r="KC48" i="4"/>
  <c r="KB48" i="4"/>
  <c r="JX48" i="4"/>
  <c r="JW48" i="4"/>
  <c r="JV48" i="4"/>
  <c r="JU48" i="4"/>
  <c r="JT48" i="4"/>
  <c r="JS48" i="4"/>
  <c r="JR48" i="4"/>
  <c r="JQ48" i="4"/>
  <c r="JP48" i="4"/>
  <c r="JO48" i="4"/>
  <c r="JN48" i="4"/>
  <c r="JM48" i="4"/>
  <c r="JL48" i="4"/>
  <c r="JK48" i="4"/>
  <c r="JJ48" i="4"/>
  <c r="JI48" i="4"/>
  <c r="JH48" i="4"/>
  <c r="JG48" i="4"/>
  <c r="JF48" i="4"/>
  <c r="JE48" i="4"/>
  <c r="JD48" i="4"/>
  <c r="JC48" i="4"/>
  <c r="JB48" i="4"/>
  <c r="JA48" i="4"/>
  <c r="IZ48" i="4"/>
  <c r="IY48" i="4"/>
  <c r="IX48" i="4"/>
  <c r="IW48" i="4"/>
  <c r="IV48" i="4"/>
  <c r="HP32" i="3"/>
  <c r="GL32" i="3"/>
  <c r="FF32" i="3"/>
  <c r="HP16" i="3"/>
  <c r="GL16" i="3"/>
  <c r="FF16" i="3"/>
  <c r="RJ48" i="4"/>
  <c r="RE48" i="4"/>
  <c r="MC48" i="4"/>
  <c r="F35" i="4"/>
  <c r="F36" i="4" s="1"/>
  <c r="F45" i="4" s="1"/>
  <c r="ALB26" i="4"/>
  <c r="ALT26" i="4" s="1"/>
  <c r="ALU32" i="2"/>
  <c r="ADZ26" i="4"/>
  <c r="AEN26" i="4" s="1"/>
  <c r="AEO32" i="2"/>
  <c r="AU26" i="4"/>
  <c r="BM26" i="4" s="1"/>
  <c r="BM32" i="2"/>
  <c r="BP26" i="4"/>
  <c r="CS26" i="4" s="1"/>
  <c r="CS32" i="2"/>
  <c r="UY34" i="3"/>
  <c r="UY32" i="3"/>
  <c r="TS34" i="3"/>
  <c r="TS32" i="3"/>
  <c r="SM34" i="3"/>
  <c r="SM32" i="3"/>
  <c r="I32" i="4"/>
  <c r="I33" i="4" s="1"/>
  <c r="I35" i="4" s="1"/>
  <c r="I36" i="4" s="1"/>
  <c r="I6" i="4"/>
  <c r="G32" i="4"/>
  <c r="G6" i="4"/>
  <c r="FF52" i="5" l="1"/>
  <c r="FH52" i="5" s="1"/>
  <c r="FJ52" i="5" s="1"/>
  <c r="FL52" i="5" s="1"/>
  <c r="FN52" i="5" s="1"/>
  <c r="FP52" i="5" s="1"/>
  <c r="FR52" i="5" s="1"/>
  <c r="FT52" i="5" s="1"/>
  <c r="FV52" i="5" s="1"/>
  <c r="FX52" i="5" s="1"/>
  <c r="FZ52" i="5" s="1"/>
  <c r="GB52" i="5" s="1"/>
  <c r="GD52" i="5" s="1"/>
  <c r="GF52" i="5" s="1"/>
  <c r="GH52" i="5" s="1"/>
  <c r="FG52" i="5"/>
  <c r="FI52" i="5" s="1"/>
  <c r="FK52" i="5" s="1"/>
  <c r="FM52" i="5" s="1"/>
  <c r="FO52" i="5" s="1"/>
  <c r="FQ52" i="5" s="1"/>
  <c r="FS52" i="5" s="1"/>
  <c r="FU52" i="5" s="1"/>
  <c r="FW52" i="5" s="1"/>
  <c r="FY52" i="5" s="1"/>
  <c r="GA52" i="5" s="1"/>
  <c r="GC52" i="5" s="1"/>
  <c r="GE52" i="5" s="1"/>
  <c r="GG52" i="5" s="1"/>
  <c r="GI52" i="5" s="1"/>
  <c r="GK52" i="5" s="1"/>
  <c r="G48" i="5"/>
  <c r="KH42" i="5"/>
  <c r="KI42" i="5"/>
  <c r="FW42" i="5"/>
  <c r="FY42" i="5" s="1"/>
  <c r="GA42" i="5" s="1"/>
  <c r="FX42" i="5"/>
  <c r="FZ42" i="5" s="1"/>
  <c r="GB42" i="5" s="1"/>
  <c r="AP42" i="5"/>
  <c r="AQ42" i="5"/>
  <c r="AR41" i="5"/>
  <c r="AT41" i="5" s="1"/>
  <c r="AS41" i="5"/>
  <c r="G40" i="5"/>
  <c r="F44" i="5"/>
  <c r="HP39" i="5"/>
  <c r="HR39" i="5" s="1"/>
  <c r="HT39" i="5" s="1"/>
  <c r="HQ39" i="5"/>
  <c r="HS39" i="5" s="1"/>
  <c r="HU39" i="5" s="1"/>
  <c r="HV39" i="5" s="1"/>
  <c r="EJ39" i="5"/>
  <c r="EL39" i="5" s="1"/>
  <c r="EN39" i="5" s="1"/>
  <c r="EK39" i="5"/>
  <c r="EM39" i="5" s="1"/>
  <c r="J38" i="5"/>
  <c r="AV36" i="5"/>
  <c r="AX36" i="5" s="1"/>
  <c r="AW36" i="5"/>
  <c r="AY36" i="5" s="1"/>
  <c r="HV35" i="5"/>
  <c r="HW35" i="5"/>
  <c r="KA34" i="5"/>
  <c r="KC34" i="5" s="1"/>
  <c r="KE34" i="5" s="1"/>
  <c r="KG34" i="5" s="1"/>
  <c r="KI34" i="5" s="1"/>
  <c r="KK34" i="5" s="1"/>
  <c r="KM34" i="5" s="1"/>
  <c r="KO34" i="5" s="1"/>
  <c r="KQ34" i="5" s="1"/>
  <c r="KS34" i="5" s="1"/>
  <c r="KU34" i="5" s="1"/>
  <c r="KW34" i="5" s="1"/>
  <c r="KY34" i="5" s="1"/>
  <c r="KB34" i="5"/>
  <c r="KD34" i="5" s="1"/>
  <c r="KF34" i="5" s="1"/>
  <c r="KH34" i="5" s="1"/>
  <c r="KJ34" i="5" s="1"/>
  <c r="KL34" i="5" s="1"/>
  <c r="KN34" i="5" s="1"/>
  <c r="KP34" i="5" s="1"/>
  <c r="KR34" i="5" s="1"/>
  <c r="KT34" i="5" s="1"/>
  <c r="KV34" i="5" s="1"/>
  <c r="KX34" i="5" s="1"/>
  <c r="KZ34" i="5" s="1"/>
  <c r="NZ32" i="5"/>
  <c r="OB32" i="5" s="1"/>
  <c r="OD32" i="5" s="1"/>
  <c r="OF32" i="5" s="1"/>
  <c r="OH32" i="5" s="1"/>
  <c r="OJ32" i="5" s="1"/>
  <c r="OL32" i="5" s="1"/>
  <c r="OA32" i="5"/>
  <c r="OC32" i="5" s="1"/>
  <c r="OE32" i="5" s="1"/>
  <c r="OG32" i="5" s="1"/>
  <c r="OI32" i="5" s="1"/>
  <c r="OK32" i="5" s="1"/>
  <c r="OM32" i="5" s="1"/>
  <c r="HC31" i="5"/>
  <c r="HD31" i="5"/>
  <c r="WF18" i="5"/>
  <c r="WE30" i="5"/>
  <c r="VB30" i="5"/>
  <c r="VC18" i="5"/>
  <c r="TW18" i="5"/>
  <c r="TV30" i="5"/>
  <c r="SP30" i="5"/>
  <c r="SQ18" i="5"/>
  <c r="RK30" i="5"/>
  <c r="RL18" i="5"/>
  <c r="QE30" i="5"/>
  <c r="QF18" i="5"/>
  <c r="PA18" i="5"/>
  <c r="OZ30" i="5"/>
  <c r="NT30" i="5"/>
  <c r="NU18" i="5"/>
  <c r="NJ30" i="5"/>
  <c r="NK18" i="5"/>
  <c r="FH30" i="5"/>
  <c r="FI18" i="5"/>
  <c r="EK30" i="5"/>
  <c r="EL18" i="5"/>
  <c r="CU25" i="5"/>
  <c r="CW25" i="5" s="1"/>
  <c r="CY25" i="5" s="1"/>
  <c r="DA25" i="5" s="1"/>
  <c r="DC25" i="5" s="1"/>
  <c r="DE25" i="5" s="1"/>
  <c r="DG25" i="5" s="1"/>
  <c r="DI25" i="5" s="1"/>
  <c r="DK25" i="5" s="1"/>
  <c r="DM25" i="5" s="1"/>
  <c r="DO25" i="5" s="1"/>
  <c r="DQ25" i="5" s="1"/>
  <c r="DS25" i="5" s="1"/>
  <c r="DU25" i="5" s="1"/>
  <c r="DW25" i="5" s="1"/>
  <c r="DY25" i="5" s="1"/>
  <c r="CV25" i="5"/>
  <c r="CX25" i="5" s="1"/>
  <c r="CZ25" i="5" s="1"/>
  <c r="DB25" i="5" s="1"/>
  <c r="DD25" i="5" s="1"/>
  <c r="DF25" i="5" s="1"/>
  <c r="DH25" i="5" s="1"/>
  <c r="DJ25" i="5" s="1"/>
  <c r="DL25" i="5" s="1"/>
  <c r="DN25" i="5" s="1"/>
  <c r="DP25" i="5" s="1"/>
  <c r="DR25" i="5" s="1"/>
  <c r="DT25" i="5" s="1"/>
  <c r="DV25" i="5" s="1"/>
  <c r="CU24" i="5"/>
  <c r="CW24" i="5" s="1"/>
  <c r="CY24" i="5" s="1"/>
  <c r="DA24" i="5" s="1"/>
  <c r="DC24" i="5" s="1"/>
  <c r="DE24" i="5" s="1"/>
  <c r="DG24" i="5" s="1"/>
  <c r="DI24" i="5" s="1"/>
  <c r="DK24" i="5" s="1"/>
  <c r="DM24" i="5" s="1"/>
  <c r="DO24" i="5" s="1"/>
  <c r="DQ24" i="5" s="1"/>
  <c r="DS24" i="5" s="1"/>
  <c r="DU24" i="5" s="1"/>
  <c r="DW24" i="5" s="1"/>
  <c r="DY24" i="5" s="1"/>
  <c r="CV24" i="5"/>
  <c r="CX24" i="5" s="1"/>
  <c r="CZ24" i="5" s="1"/>
  <c r="DB24" i="5" s="1"/>
  <c r="DD24" i="5" s="1"/>
  <c r="DF24" i="5" s="1"/>
  <c r="DH24" i="5" s="1"/>
  <c r="DJ24" i="5" s="1"/>
  <c r="DL24" i="5" s="1"/>
  <c r="DN24" i="5" s="1"/>
  <c r="DP24" i="5" s="1"/>
  <c r="DR24" i="5" s="1"/>
  <c r="DT24" i="5" s="1"/>
  <c r="DV24" i="5" s="1"/>
  <c r="CU23" i="5"/>
  <c r="CW23" i="5" s="1"/>
  <c r="CY23" i="5" s="1"/>
  <c r="DA23" i="5" s="1"/>
  <c r="DC23" i="5" s="1"/>
  <c r="DE23" i="5" s="1"/>
  <c r="DG23" i="5" s="1"/>
  <c r="DI23" i="5" s="1"/>
  <c r="DK23" i="5" s="1"/>
  <c r="DM23" i="5" s="1"/>
  <c r="DO23" i="5" s="1"/>
  <c r="DQ23" i="5" s="1"/>
  <c r="DS23" i="5" s="1"/>
  <c r="DU23" i="5" s="1"/>
  <c r="DW23" i="5" s="1"/>
  <c r="DY23" i="5" s="1"/>
  <c r="CV23" i="5"/>
  <c r="CX23" i="5" s="1"/>
  <c r="CZ23" i="5" s="1"/>
  <c r="DB23" i="5" s="1"/>
  <c r="DD23" i="5" s="1"/>
  <c r="DF23" i="5" s="1"/>
  <c r="DH23" i="5" s="1"/>
  <c r="DJ23" i="5" s="1"/>
  <c r="DL23" i="5" s="1"/>
  <c r="DN23" i="5" s="1"/>
  <c r="DP23" i="5" s="1"/>
  <c r="DR23" i="5" s="1"/>
  <c r="DT23" i="5" s="1"/>
  <c r="DV23" i="5" s="1"/>
  <c r="WC22" i="5"/>
  <c r="WD22" i="5"/>
  <c r="OZ22" i="5"/>
  <c r="PB22" i="5" s="1"/>
  <c r="PD22" i="5" s="1"/>
  <c r="PF22" i="5" s="1"/>
  <c r="PH22" i="5" s="1"/>
  <c r="PJ22" i="5" s="1"/>
  <c r="PL22" i="5" s="1"/>
  <c r="PN22" i="5" s="1"/>
  <c r="PP22" i="5" s="1"/>
  <c r="PR22" i="5" s="1"/>
  <c r="PT22" i="5" s="1"/>
  <c r="PV22" i="5" s="1"/>
  <c r="PX22" i="5" s="1"/>
  <c r="PZ22" i="5" s="1"/>
  <c r="QB22" i="5" s="1"/>
  <c r="PA22" i="5"/>
  <c r="PC22" i="5" s="1"/>
  <c r="PE22" i="5" s="1"/>
  <c r="PG22" i="5" s="1"/>
  <c r="PI22" i="5" s="1"/>
  <c r="PK22" i="5" s="1"/>
  <c r="PM22" i="5" s="1"/>
  <c r="PO22" i="5" s="1"/>
  <c r="PQ22" i="5" s="1"/>
  <c r="PS22" i="5" s="1"/>
  <c r="PU22" i="5" s="1"/>
  <c r="PW22" i="5" s="1"/>
  <c r="PY22" i="5" s="1"/>
  <c r="FF21" i="5"/>
  <c r="FH21" i="5" s="1"/>
  <c r="FJ21" i="5" s="1"/>
  <c r="FL21" i="5" s="1"/>
  <c r="FN21" i="5" s="1"/>
  <c r="FP21" i="5" s="1"/>
  <c r="FR21" i="5" s="1"/>
  <c r="FT21" i="5" s="1"/>
  <c r="FV21" i="5" s="1"/>
  <c r="FX21" i="5" s="1"/>
  <c r="FZ21" i="5" s="1"/>
  <c r="GB21" i="5" s="1"/>
  <c r="GD21" i="5" s="1"/>
  <c r="GF21" i="5" s="1"/>
  <c r="GH21" i="5" s="1"/>
  <c r="FG21" i="5"/>
  <c r="FI21" i="5" s="1"/>
  <c r="FK21" i="5" s="1"/>
  <c r="FM21" i="5" s="1"/>
  <c r="FO21" i="5" s="1"/>
  <c r="FQ21" i="5" s="1"/>
  <c r="FS21" i="5" s="1"/>
  <c r="FU21" i="5" s="1"/>
  <c r="FW21" i="5" s="1"/>
  <c r="FY21" i="5" s="1"/>
  <c r="GA21" i="5" s="1"/>
  <c r="GC21" i="5" s="1"/>
  <c r="GE21" i="5" s="1"/>
  <c r="GG21" i="5" s="1"/>
  <c r="GI21" i="5" s="1"/>
  <c r="GK21" i="5" s="1"/>
  <c r="H20" i="5"/>
  <c r="AU19" i="5"/>
  <c r="ANO17" i="5"/>
  <c r="ADZ17" i="5"/>
  <c r="WO16" i="5"/>
  <c r="HZ16" i="5"/>
  <c r="FM16" i="5"/>
  <c r="DB16" i="5"/>
  <c r="DC16" i="5"/>
  <c r="ANQ15" i="5"/>
  <c r="AKX15" i="5"/>
  <c r="VH15" i="5"/>
  <c r="RU15" i="5"/>
  <c r="ALY14" i="5"/>
  <c r="AKZ14" i="5"/>
  <c r="AKS14" i="5"/>
  <c r="AJP14" i="5"/>
  <c r="AIJ14" i="5"/>
  <c r="AHP14" i="5"/>
  <c r="AGI14" i="5"/>
  <c r="AEZ14" i="5"/>
  <c r="AEB14" i="5"/>
  <c r="ACN14" i="5"/>
  <c r="ABS14" i="5"/>
  <c r="ZZ14" i="5"/>
  <c r="ZB14" i="5"/>
  <c r="XU14" i="5"/>
  <c r="UD14" i="5"/>
  <c r="SW14" i="5"/>
  <c r="RW14" i="5"/>
  <c r="QM14" i="5"/>
  <c r="PM14" i="5"/>
  <c r="OA14" i="5"/>
  <c r="NM14" i="5"/>
  <c r="LW14" i="5"/>
  <c r="KL14" i="5"/>
  <c r="JB14" i="5"/>
  <c r="GZ14" i="5"/>
  <c r="EN14" i="5"/>
  <c r="DG14" i="5"/>
  <c r="DF14" i="5"/>
  <c r="CF14" i="5"/>
  <c r="AX14" i="5"/>
  <c r="J14" i="5"/>
  <c r="AM3" i="5"/>
  <c r="BQ3" i="5"/>
  <c r="CV3" i="5" s="1"/>
  <c r="C45" i="4"/>
  <c r="ANB15" i="5"/>
  <c r="ALW16" i="5"/>
  <c r="AKQ16" i="5"/>
  <c r="AJN16" i="5"/>
  <c r="AHB14" i="5"/>
  <c r="AFW14" i="5"/>
  <c r="ADL14" i="5"/>
  <c r="XJ14" i="5"/>
  <c r="WD14" i="5"/>
  <c r="KB14" i="5"/>
  <c r="GM14" i="5"/>
  <c r="FG14" i="5"/>
  <c r="BO14" i="5"/>
  <c r="D37" i="5"/>
  <c r="D51" i="5" s="1"/>
  <c r="D53" i="5" s="1"/>
  <c r="E26" i="5"/>
  <c r="AM3" i="4"/>
  <c r="BQ3" i="4"/>
  <c r="CV3" i="4" s="1"/>
  <c r="AM2" i="2"/>
  <c r="BQ2" i="2"/>
  <c r="CV2" i="2" s="1"/>
  <c r="AL3" i="1"/>
  <c r="BP3" i="1"/>
  <c r="CU3" i="1" s="1"/>
  <c r="AH7" i="4"/>
  <c r="C9" i="4"/>
  <c r="C11" i="4"/>
  <c r="AMZ34" i="3"/>
  <c r="ALU7" i="4"/>
  <c r="ALU34" i="3"/>
  <c r="AKO7" i="4"/>
  <c r="AKO34" i="3"/>
  <c r="AJL7" i="4"/>
  <c r="AJK7" i="4"/>
  <c r="AIF9" i="4"/>
  <c r="AIF39" i="4"/>
  <c r="AIF11" i="4"/>
  <c r="AIE7" i="4"/>
  <c r="AGZ9" i="4"/>
  <c r="AGZ11" i="4"/>
  <c r="AGZ39" i="4"/>
  <c r="AGZ34" i="3"/>
  <c r="AFU7" i="4"/>
  <c r="AFU34" i="3"/>
  <c r="AEO7" i="4"/>
  <c r="AEO34" i="3"/>
  <c r="ADJ7" i="4"/>
  <c r="ADJ34" i="3"/>
  <c r="ACD7" i="4"/>
  <c r="ACD34" i="3"/>
  <c r="AAX7" i="4"/>
  <c r="AAW7" i="4"/>
  <c r="ZS9" i="4"/>
  <c r="ZS11" i="4"/>
  <c r="ZS39" i="4"/>
  <c r="ZR7" i="4"/>
  <c r="YM9" i="4"/>
  <c r="YM12" i="4" s="1"/>
  <c r="YM11" i="4"/>
  <c r="YM39" i="4"/>
  <c r="XG7" i="4"/>
  <c r="XG11" i="4" s="1"/>
  <c r="WB9" i="4"/>
  <c r="WB11" i="4"/>
  <c r="WB47" i="4" s="1"/>
  <c r="WB39" i="4"/>
  <c r="WA9" i="4"/>
  <c r="WA11" i="4"/>
  <c r="WA42" i="4"/>
  <c r="UY43" i="4"/>
  <c r="UY45" i="4" s="1"/>
  <c r="UY48" i="4" s="1"/>
  <c r="UW42" i="4"/>
  <c r="UW43" i="4" s="1"/>
  <c r="UX40" i="4"/>
  <c r="WA40" i="4" s="1"/>
  <c r="TT42" i="4"/>
  <c r="UX9" i="4"/>
  <c r="UX11" i="4"/>
  <c r="TR47" i="4"/>
  <c r="TR39" i="4"/>
  <c r="SN40" i="4"/>
  <c r="SL9" i="4"/>
  <c r="SL11" i="4"/>
  <c r="SL47" i="4"/>
  <c r="SL39" i="4"/>
  <c r="RH40" i="4"/>
  <c r="RG9" i="4"/>
  <c r="QC12" i="4"/>
  <c r="RG47" i="4"/>
  <c r="RG39" i="4"/>
  <c r="QC40" i="4"/>
  <c r="QA9" i="4"/>
  <c r="OW12" i="4"/>
  <c r="QA11" i="4"/>
  <c r="OW47" i="4"/>
  <c r="QA39" i="4"/>
  <c r="OW40" i="4"/>
  <c r="OV9" i="4"/>
  <c r="NR12" i="4"/>
  <c r="OV11" i="4"/>
  <c r="NR47" i="4"/>
  <c r="OV39" i="4"/>
  <c r="NR40" i="4"/>
  <c r="NP9" i="4"/>
  <c r="ML12" i="4"/>
  <c r="NP11" i="4"/>
  <c r="ML47" i="4"/>
  <c r="NP39" i="4"/>
  <c r="ML40" i="4"/>
  <c r="MJ9" i="4"/>
  <c r="LF12" i="4"/>
  <c r="MJ11" i="4"/>
  <c r="LF47" i="4"/>
  <c r="MJ39" i="4"/>
  <c r="LF40" i="4"/>
  <c r="LE9" i="4"/>
  <c r="KA12" i="4"/>
  <c r="LE11" i="4"/>
  <c r="KA47" i="4"/>
  <c r="LE39" i="4"/>
  <c r="KA40" i="4"/>
  <c r="JY9" i="4"/>
  <c r="IU12" i="4"/>
  <c r="JY11" i="4"/>
  <c r="IU47" i="4"/>
  <c r="JY39" i="4"/>
  <c r="IU40" i="4"/>
  <c r="FE34" i="3"/>
  <c r="DY7" i="4"/>
  <c r="DY34" i="3"/>
  <c r="CT7" i="4"/>
  <c r="CT34" i="3"/>
  <c r="BN7" i="4"/>
  <c r="BN34" i="3"/>
  <c r="AI7" i="4"/>
  <c r="AH4" i="4"/>
  <c r="C6" i="4"/>
  <c r="AH6" i="4" s="1"/>
  <c r="AMY4" i="4"/>
  <c r="ALU6" i="4"/>
  <c r="AMY6" i="4" s="1"/>
  <c r="ALU32" i="4"/>
  <c r="ALT4" i="4"/>
  <c r="AKO6" i="4"/>
  <c r="ALT6" i="4" s="1"/>
  <c r="AKO32" i="4"/>
  <c r="AKN4" i="4"/>
  <c r="AJL6" i="4"/>
  <c r="AKN6" i="4" s="1"/>
  <c r="AJL32" i="4"/>
  <c r="AJK4" i="4"/>
  <c r="AIF6" i="4"/>
  <c r="AJK6" i="4" s="1"/>
  <c r="AIF32" i="4"/>
  <c r="AIE4" i="4"/>
  <c r="AGZ6" i="4"/>
  <c r="AIE6" i="4" s="1"/>
  <c r="AGZ32" i="4"/>
  <c r="AGY4" i="4"/>
  <c r="AFU6" i="4"/>
  <c r="AGY6" i="4" s="1"/>
  <c r="AFU32" i="4"/>
  <c r="AFT4" i="4"/>
  <c r="AEO6" i="4"/>
  <c r="AFT6" i="4" s="1"/>
  <c r="AEO32" i="4"/>
  <c r="AEN4" i="4"/>
  <c r="ADJ6" i="4"/>
  <c r="AEN6" i="4" s="1"/>
  <c r="ADJ32" i="4"/>
  <c r="ADI4" i="4"/>
  <c r="ACD6" i="4"/>
  <c r="ADI6" i="4" s="1"/>
  <c r="ACD32" i="4"/>
  <c r="ACC4" i="4"/>
  <c r="AAX6" i="4"/>
  <c r="ACC6" i="4" s="1"/>
  <c r="AAX32" i="4"/>
  <c r="AAW4" i="4"/>
  <c r="ZS6" i="4"/>
  <c r="AAW6" i="4" s="1"/>
  <c r="ZS32" i="4"/>
  <c r="ZR4" i="4"/>
  <c r="YM6" i="4"/>
  <c r="ZR6" i="4" s="1"/>
  <c r="YM32" i="4"/>
  <c r="XG4" i="4"/>
  <c r="WB6" i="4"/>
  <c r="XG6" i="4" s="1"/>
  <c r="WB32" i="4"/>
  <c r="UY36" i="4"/>
  <c r="WA35" i="4"/>
  <c r="TS36" i="4"/>
  <c r="TS45" i="4" s="1"/>
  <c r="SN33" i="4"/>
  <c r="TR32" i="4"/>
  <c r="RH33" i="4"/>
  <c r="SL32" i="4"/>
  <c r="QC33" i="4"/>
  <c r="RG32" i="4"/>
  <c r="OW33" i="4"/>
  <c r="QA32" i="4"/>
  <c r="IU33" i="4"/>
  <c r="JY32" i="4"/>
  <c r="FE18" i="3"/>
  <c r="DY4" i="4"/>
  <c r="DX4" i="4"/>
  <c r="CT6" i="4"/>
  <c r="DX6" i="4" s="1"/>
  <c r="CT32" i="4"/>
  <c r="CT33" i="4" s="1"/>
  <c r="CT35" i="4" s="1"/>
  <c r="CT18" i="3"/>
  <c r="BN4" i="4"/>
  <c r="BN18" i="3"/>
  <c r="AI4" i="4"/>
  <c r="BR3" i="3"/>
  <c r="CW3" i="3" s="1"/>
  <c r="AN3" i="3"/>
  <c r="AIG9" i="4"/>
  <c r="AIG12" i="4" s="1"/>
  <c r="AIG28" i="4" s="1"/>
  <c r="AIG30" i="4" s="1"/>
  <c r="AIG39" i="4"/>
  <c r="AIG40" i="4" s="1"/>
  <c r="AIG42" i="4" s="1"/>
  <c r="AIG43" i="4" s="1"/>
  <c r="AIG45" i="4" s="1"/>
  <c r="AIG11" i="4"/>
  <c r="AIG47" i="4" s="1"/>
  <c r="AIG48" i="4" s="1"/>
  <c r="AHA9" i="4"/>
  <c r="AHA12" i="4" s="1"/>
  <c r="AHA28" i="4" s="1"/>
  <c r="AHA30" i="4" s="1"/>
  <c r="AHA39" i="4"/>
  <c r="AHA40" i="4" s="1"/>
  <c r="AHA42" i="4" s="1"/>
  <c r="AHA43" i="4" s="1"/>
  <c r="AHA45" i="4" s="1"/>
  <c r="AHA11" i="4"/>
  <c r="AHA47" i="4" s="1"/>
  <c r="AHA48" i="4" s="1"/>
  <c r="ZR9" i="4"/>
  <c r="YN12" i="4"/>
  <c r="YN28" i="4" s="1"/>
  <c r="YN30" i="4" s="1"/>
  <c r="YL47" i="4"/>
  <c r="XI48" i="4"/>
  <c r="XH40" i="4"/>
  <c r="YL39" i="4"/>
  <c r="YL9" i="4"/>
  <c r="XH12" i="4"/>
  <c r="XG47" i="4"/>
  <c r="WC48" i="4"/>
  <c r="AH39" i="4"/>
  <c r="G40" i="4"/>
  <c r="D49" i="5"/>
  <c r="E46" i="5"/>
  <c r="XH33" i="4"/>
  <c r="YL32" i="4"/>
  <c r="UW33" i="4"/>
  <c r="TT33" i="4"/>
  <c r="UX32" i="4"/>
  <c r="WA32" i="4" s="1"/>
  <c r="UX12" i="4"/>
  <c r="TT28" i="4"/>
  <c r="SM36" i="4"/>
  <c r="SM45" i="4" s="1"/>
  <c r="SM48" i="4" s="1"/>
  <c r="QB36" i="4"/>
  <c r="QB45" i="4" s="1"/>
  <c r="QB48" i="4" s="1"/>
  <c r="NR33" i="4"/>
  <c r="OV32" i="4"/>
  <c r="ML33" i="4"/>
  <c r="NP32" i="4"/>
  <c r="LF33" i="4"/>
  <c r="MJ32" i="4"/>
  <c r="KA33" i="4"/>
  <c r="LE32" i="4"/>
  <c r="AIG16" i="5"/>
  <c r="CV16" i="5"/>
  <c r="CU16" i="5"/>
  <c r="HP34" i="3"/>
  <c r="HO7" i="4" s="1"/>
  <c r="IU32" i="3"/>
  <c r="JZ32" i="3" s="1"/>
  <c r="GL34" i="3"/>
  <c r="GK7" i="4" s="1"/>
  <c r="HO32" i="3"/>
  <c r="FF34" i="3"/>
  <c r="FE7" i="4" s="1"/>
  <c r="GK32" i="3"/>
  <c r="HP18" i="3"/>
  <c r="HO4" i="4" s="1"/>
  <c r="IU16" i="3"/>
  <c r="GL18" i="3"/>
  <c r="GK4" i="4" s="1"/>
  <c r="HO16" i="3"/>
  <c r="FF18" i="3"/>
  <c r="FE4" i="4" s="1"/>
  <c r="GK16" i="3"/>
  <c r="AH32" i="4"/>
  <c r="G33" i="4"/>
  <c r="UY12" i="4"/>
  <c r="TS12" i="4"/>
  <c r="TS28" i="4" s="1"/>
  <c r="TS30" i="4" s="1"/>
  <c r="TS48" i="4"/>
  <c r="SN12" i="4"/>
  <c r="RH12" i="4"/>
  <c r="NQ12" i="4"/>
  <c r="NQ28" i="4" s="1"/>
  <c r="NQ30" i="4" s="1"/>
  <c r="NQ45" i="4"/>
  <c r="NQ48" i="4" s="1"/>
  <c r="MK12" i="4"/>
  <c r="MK28" i="4" s="1"/>
  <c r="MK30" i="4" s="1"/>
  <c r="MK45" i="4"/>
  <c r="MK48" i="4" s="1"/>
  <c r="JZ12" i="4"/>
  <c r="JZ28" i="4" s="1"/>
  <c r="JZ30" i="4" s="1"/>
  <c r="JZ45" i="4"/>
  <c r="JZ48" i="4" s="1"/>
  <c r="AMC48" i="4"/>
  <c r="AMC12" i="4"/>
  <c r="AMC28" i="4" s="1"/>
  <c r="AMC30" i="4" s="1"/>
  <c r="AMB45" i="4"/>
  <c r="AMB48" i="4" s="1"/>
  <c r="AMB12" i="4"/>
  <c r="AMB28" i="4" s="1"/>
  <c r="AMB30" i="4" s="1"/>
  <c r="AMA45" i="4"/>
  <c r="AMA48" i="4" s="1"/>
  <c r="AMA12" i="4"/>
  <c r="AMA28" i="4" s="1"/>
  <c r="AMA30" i="4" s="1"/>
  <c r="ALZ45" i="4"/>
  <c r="ALZ48" i="4" s="1"/>
  <c r="ALZ12" i="4"/>
  <c r="ALZ28" i="4" s="1"/>
  <c r="ALZ30" i="4" s="1"/>
  <c r="ALY45" i="4"/>
  <c r="ALY48" i="4" s="1"/>
  <c r="ALY12" i="4"/>
  <c r="ALY28" i="4" s="1"/>
  <c r="ALY30" i="4" s="1"/>
  <c r="ALX45" i="4"/>
  <c r="ALX48" i="4" s="1"/>
  <c r="ALX12" i="4"/>
  <c r="ALX28" i="4" s="1"/>
  <c r="ALX30" i="4" s="1"/>
  <c r="ALW45" i="4"/>
  <c r="ALW48" i="4" s="1"/>
  <c r="ALW12" i="4"/>
  <c r="ALW28" i="4" s="1"/>
  <c r="ALW30" i="4" s="1"/>
  <c r="ALV45" i="4"/>
  <c r="ALV48" i="4" s="1"/>
  <c r="ALV12" i="4"/>
  <c r="ALV28" i="4" s="1"/>
  <c r="ALV30" i="4" s="1"/>
  <c r="ALS45" i="4"/>
  <c r="ALS48" i="4" s="1"/>
  <c r="ALS12" i="4"/>
  <c r="ALS28" i="4" s="1"/>
  <c r="ALS30" i="4" s="1"/>
  <c r="ALR45" i="4"/>
  <c r="ALR48" i="4" s="1"/>
  <c r="ALR12" i="4"/>
  <c r="ALR28" i="4" s="1"/>
  <c r="ALR30" i="4" s="1"/>
  <c r="ALQ45" i="4"/>
  <c r="ALQ48" i="4" s="1"/>
  <c r="ALQ12" i="4"/>
  <c r="ALQ28" i="4" s="1"/>
  <c r="ALQ30" i="4" s="1"/>
  <c r="ALP45" i="4"/>
  <c r="ALP48" i="4" s="1"/>
  <c r="ALP12" i="4"/>
  <c r="ALP28" i="4" s="1"/>
  <c r="ALP30" i="4" s="1"/>
  <c r="ALO45" i="4"/>
  <c r="ALO48" i="4" s="1"/>
  <c r="ALO12" i="4"/>
  <c r="ALO28" i="4" s="1"/>
  <c r="ALO30" i="4" s="1"/>
  <c r="ALN45" i="4"/>
  <c r="ALN48" i="4" s="1"/>
  <c r="ALN12" i="4"/>
  <c r="ALN28" i="4" s="1"/>
  <c r="ALN30" i="4" s="1"/>
  <c r="ALM48" i="4"/>
  <c r="ALK48" i="4"/>
  <c r="ALE48" i="4"/>
  <c r="ALD48" i="4"/>
  <c r="ALA48" i="4"/>
  <c r="AKY48" i="4"/>
  <c r="AKW48" i="4"/>
  <c r="AKV48" i="4"/>
  <c r="AKU48" i="4"/>
  <c r="AKS48" i="4"/>
  <c r="AKQ48" i="4"/>
  <c r="AKJ48" i="4"/>
  <c r="AKH48" i="4"/>
  <c r="AKF48" i="4"/>
  <c r="AKA48" i="4"/>
  <c r="AJZ48" i="4"/>
  <c r="AJY48" i="4"/>
  <c r="AJV48" i="4"/>
  <c r="AJT48" i="4"/>
  <c r="AJS48" i="4"/>
  <c r="AJO48" i="4"/>
  <c r="AJN48" i="4"/>
  <c r="AJM48" i="4"/>
  <c r="AJJ48" i="4"/>
  <c r="AJG48" i="4"/>
  <c r="AJE48" i="4"/>
  <c r="AJC48" i="4"/>
  <c r="AJB48" i="4"/>
  <c r="AIX48" i="4"/>
  <c r="AIV48" i="4"/>
  <c r="AIT48" i="4"/>
  <c r="AIS48" i="4"/>
  <c r="AIN48" i="4"/>
  <c r="AIM48" i="4"/>
  <c r="AIJ48" i="4"/>
  <c r="AIH48" i="4"/>
  <c r="AID48" i="4"/>
  <c r="AIC48" i="4"/>
  <c r="AHY48" i="4"/>
  <c r="AHU48" i="4"/>
  <c r="AHO48" i="4"/>
  <c r="AHN48" i="4"/>
  <c r="AHJ48" i="4"/>
  <c r="AHG48" i="4"/>
  <c r="AHF48" i="4"/>
  <c r="AHC48" i="4"/>
  <c r="AGX48" i="4"/>
  <c r="AGW48" i="4"/>
  <c r="AGU48" i="4"/>
  <c r="AGO12" i="4"/>
  <c r="AGO28" i="4" s="1"/>
  <c r="AGO30" i="4" s="1"/>
  <c r="AGN45" i="4"/>
  <c r="AGN48" i="4" s="1"/>
  <c r="AGN12" i="4"/>
  <c r="AGN28" i="4" s="1"/>
  <c r="AGN30" i="4" s="1"/>
  <c r="AGM45" i="4"/>
  <c r="AGM48" i="4" s="1"/>
  <c r="AGM12" i="4"/>
  <c r="AGM28" i="4" s="1"/>
  <c r="AGM30" i="4" s="1"/>
  <c r="AGL45" i="4"/>
  <c r="AGL48" i="4" s="1"/>
  <c r="AGL12" i="4"/>
  <c r="AGL28" i="4" s="1"/>
  <c r="AGL30" i="4" s="1"/>
  <c r="AGK45" i="4"/>
  <c r="AGK48" i="4" s="1"/>
  <c r="AGK12" i="4"/>
  <c r="AGK28" i="4" s="1"/>
  <c r="AGK30" i="4" s="1"/>
  <c r="AGJ45" i="4"/>
  <c r="AGJ48" i="4" s="1"/>
  <c r="AGJ12" i="4"/>
  <c r="AGJ28" i="4" s="1"/>
  <c r="AGJ30" i="4" s="1"/>
  <c r="AGI45" i="4"/>
  <c r="AGI48" i="4" s="1"/>
  <c r="AGI12" i="4"/>
  <c r="AGI28" i="4" s="1"/>
  <c r="AGI30" i="4" s="1"/>
  <c r="AGH45" i="4"/>
  <c r="AGH48" i="4" s="1"/>
  <c r="AGH12" i="4"/>
  <c r="AGH28" i="4" s="1"/>
  <c r="AGH30" i="4" s="1"/>
  <c r="AGG45" i="4"/>
  <c r="AGG48" i="4" s="1"/>
  <c r="AGG12" i="4"/>
  <c r="AGG28" i="4" s="1"/>
  <c r="AGG30" i="4" s="1"/>
  <c r="AGF45" i="4"/>
  <c r="AGF48" i="4" s="1"/>
  <c r="AGF12" i="4"/>
  <c r="AGF28" i="4" s="1"/>
  <c r="AGF30" i="4" s="1"/>
  <c r="AGE45" i="4"/>
  <c r="AGE48" i="4" s="1"/>
  <c r="AGE12" i="4"/>
  <c r="AGE28" i="4" s="1"/>
  <c r="AGE30" i="4" s="1"/>
  <c r="AGD45" i="4"/>
  <c r="AGD48" i="4" s="1"/>
  <c r="AGD12" i="4"/>
  <c r="AGD28" i="4" s="1"/>
  <c r="AGD30" i="4" s="1"/>
  <c r="AGC45" i="4"/>
  <c r="AGC48" i="4" s="1"/>
  <c r="AGC12" i="4"/>
  <c r="AGC28" i="4" s="1"/>
  <c r="AGC30" i="4" s="1"/>
  <c r="AGB45" i="4"/>
  <c r="AGB48" i="4" s="1"/>
  <c r="AGB12" i="4"/>
  <c r="AGB28" i="4" s="1"/>
  <c r="AGB30" i="4" s="1"/>
  <c r="AGA45" i="4"/>
  <c r="AGA48" i="4" s="1"/>
  <c r="AGA12" i="4"/>
  <c r="AGA28" i="4" s="1"/>
  <c r="AGA30" i="4" s="1"/>
  <c r="AFZ45" i="4"/>
  <c r="AFZ48" i="4" s="1"/>
  <c r="AFZ12" i="4"/>
  <c r="AFZ28" i="4" s="1"/>
  <c r="AFZ30" i="4" s="1"/>
  <c r="AFY45" i="4"/>
  <c r="AFY48" i="4" s="1"/>
  <c r="AFY12" i="4"/>
  <c r="AFY28" i="4" s="1"/>
  <c r="AFY30" i="4" s="1"/>
  <c r="AFX45" i="4"/>
  <c r="AFX48" i="4" s="1"/>
  <c r="AFX12" i="4"/>
  <c r="AFX28" i="4" s="1"/>
  <c r="AFX30" i="4" s="1"/>
  <c r="AFW45" i="4"/>
  <c r="AFW48" i="4" s="1"/>
  <c r="AFW12" i="4"/>
  <c r="AFW28" i="4" s="1"/>
  <c r="AFW30" i="4" s="1"/>
  <c r="AFV45" i="4"/>
  <c r="AFV48" i="4" s="1"/>
  <c r="AFV12" i="4"/>
  <c r="AFV28" i="4" s="1"/>
  <c r="AFV30" i="4" s="1"/>
  <c r="AFS45" i="4"/>
  <c r="AFS48" i="4" s="1"/>
  <c r="AFS12" i="4"/>
  <c r="AFS28" i="4" s="1"/>
  <c r="AFS30" i="4" s="1"/>
  <c r="AFR45" i="4"/>
  <c r="AFR48" i="4" s="1"/>
  <c r="AFR12" i="4"/>
  <c r="AFR28" i="4" s="1"/>
  <c r="AFR30" i="4" s="1"/>
  <c r="AFQ45" i="4"/>
  <c r="AFQ48" i="4" s="1"/>
  <c r="AFQ12" i="4"/>
  <c r="AFQ28" i="4" s="1"/>
  <c r="AFQ30" i="4" s="1"/>
  <c r="AFP45" i="4"/>
  <c r="AFP48" i="4" s="1"/>
  <c r="AFP12" i="4"/>
  <c r="AFP28" i="4" s="1"/>
  <c r="AFP30" i="4" s="1"/>
  <c r="AFO45" i="4"/>
  <c r="AFO48" i="4" s="1"/>
  <c r="AFO12" i="4"/>
  <c r="AFO28" i="4" s="1"/>
  <c r="AFO30" i="4" s="1"/>
  <c r="AFN45" i="4"/>
  <c r="AFN48" i="4" s="1"/>
  <c r="AFN12" i="4"/>
  <c r="AFN28" i="4" s="1"/>
  <c r="AFN30" i="4" s="1"/>
  <c r="AFM45" i="4"/>
  <c r="AFM48" i="4" s="1"/>
  <c r="AFM12" i="4"/>
  <c r="AFM28" i="4" s="1"/>
  <c r="AFM30" i="4" s="1"/>
  <c r="AFL45" i="4"/>
  <c r="AFL48" i="4" s="1"/>
  <c r="AFL12" i="4"/>
  <c r="AFL28" i="4" s="1"/>
  <c r="AFL30" i="4" s="1"/>
  <c r="AFK45" i="4"/>
  <c r="AFK48" i="4" s="1"/>
  <c r="AFK12" i="4"/>
  <c r="AFK28" i="4" s="1"/>
  <c r="AFK30" i="4" s="1"/>
  <c r="AFJ45" i="4"/>
  <c r="AFJ48" i="4" s="1"/>
  <c r="AFJ12" i="4"/>
  <c r="AFJ28" i="4" s="1"/>
  <c r="AFJ30" i="4" s="1"/>
  <c r="AFI45" i="4"/>
  <c r="AFI48" i="4" s="1"/>
  <c r="AFI12" i="4"/>
  <c r="AFI28" i="4" s="1"/>
  <c r="AFI30" i="4" s="1"/>
  <c r="AFH45" i="4"/>
  <c r="AFH48" i="4" s="1"/>
  <c r="AFH12" i="4"/>
  <c r="AFH28" i="4" s="1"/>
  <c r="AFH30" i="4" s="1"/>
  <c r="AFG45" i="4"/>
  <c r="AFG48" i="4" s="1"/>
  <c r="AFG12" i="4"/>
  <c r="AFG28" i="4" s="1"/>
  <c r="AFG30" i="4" s="1"/>
  <c r="AFF45" i="4"/>
  <c r="AFF48" i="4" s="1"/>
  <c r="AFF12" i="4"/>
  <c r="AFF28" i="4" s="1"/>
  <c r="AFF30" i="4" s="1"/>
  <c r="AFE45" i="4"/>
  <c r="AFE48" i="4" s="1"/>
  <c r="AFE12" i="4"/>
  <c r="AFE28" i="4" s="1"/>
  <c r="AFE30" i="4" s="1"/>
  <c r="AFD45" i="4"/>
  <c r="AFD48" i="4" s="1"/>
  <c r="AFD12" i="4"/>
  <c r="AFD28" i="4" s="1"/>
  <c r="AFD30" i="4" s="1"/>
  <c r="AFC45" i="4"/>
  <c r="AFC48" i="4" s="1"/>
  <c r="AFC12" i="4"/>
  <c r="AFC28" i="4" s="1"/>
  <c r="AFC30" i="4" s="1"/>
  <c r="AFB45" i="4"/>
  <c r="AFB48" i="4" s="1"/>
  <c r="AFB12" i="4"/>
  <c r="AFB28" i="4" s="1"/>
  <c r="AFB30" i="4" s="1"/>
  <c r="AFA45" i="4"/>
  <c r="AFA48" i="4" s="1"/>
  <c r="AFA12" i="4"/>
  <c r="AFA28" i="4" s="1"/>
  <c r="AFA30" i="4" s="1"/>
  <c r="AEZ45" i="4"/>
  <c r="AEZ48" i="4" s="1"/>
  <c r="AEZ12" i="4"/>
  <c r="AEZ28" i="4" s="1"/>
  <c r="AEZ30" i="4" s="1"/>
  <c r="AEY45" i="4"/>
  <c r="AEY48" i="4" s="1"/>
  <c r="AEY12" i="4"/>
  <c r="AEY28" i="4" s="1"/>
  <c r="AEY30" i="4" s="1"/>
  <c r="AEX45" i="4"/>
  <c r="AEX48" i="4" s="1"/>
  <c r="AEX12" i="4"/>
  <c r="AEX28" i="4" s="1"/>
  <c r="AEX30" i="4" s="1"/>
  <c r="AEW45" i="4"/>
  <c r="AEW48" i="4" s="1"/>
  <c r="AEW12" i="4"/>
  <c r="AEW28" i="4" s="1"/>
  <c r="AEW30" i="4" s="1"/>
  <c r="AEV45" i="4"/>
  <c r="AEV48" i="4" s="1"/>
  <c r="AEV12" i="4"/>
  <c r="AEV28" i="4" s="1"/>
  <c r="AEV30" i="4" s="1"/>
  <c r="AEU45" i="4"/>
  <c r="AEU48" i="4" s="1"/>
  <c r="AEU12" i="4"/>
  <c r="AEU28" i="4" s="1"/>
  <c r="AEU30" i="4" s="1"/>
  <c r="AET45" i="4"/>
  <c r="AET48" i="4" s="1"/>
  <c r="AET12" i="4"/>
  <c r="AET28" i="4" s="1"/>
  <c r="AET30" i="4" s="1"/>
  <c r="AES45" i="4"/>
  <c r="AES48" i="4" s="1"/>
  <c r="AES12" i="4"/>
  <c r="AES28" i="4" s="1"/>
  <c r="AES30" i="4" s="1"/>
  <c r="AER45" i="4"/>
  <c r="AER48" i="4" s="1"/>
  <c r="AER12" i="4"/>
  <c r="AER28" i="4" s="1"/>
  <c r="AER30" i="4" s="1"/>
  <c r="AEQ45" i="4"/>
  <c r="AEQ48" i="4" s="1"/>
  <c r="AEQ12" i="4"/>
  <c r="AEQ28" i="4" s="1"/>
  <c r="AEQ30" i="4" s="1"/>
  <c r="AEP45" i="4"/>
  <c r="AEP48" i="4" s="1"/>
  <c r="AEP12" i="4"/>
  <c r="AEP28" i="4" s="1"/>
  <c r="AEP30" i="4" s="1"/>
  <c r="AEM45" i="4"/>
  <c r="AEM48" i="4" s="1"/>
  <c r="AEM12" i="4"/>
  <c r="AEM28" i="4" s="1"/>
  <c r="AEM30" i="4" s="1"/>
  <c r="AEL45" i="4"/>
  <c r="AEL48" i="4" s="1"/>
  <c r="AEL12" i="4"/>
  <c r="AEL28" i="4" s="1"/>
  <c r="AEL30" i="4" s="1"/>
  <c r="AEK45" i="4"/>
  <c r="AEK48" i="4" s="1"/>
  <c r="AEK12" i="4"/>
  <c r="AEK28" i="4" s="1"/>
  <c r="AEK30" i="4" s="1"/>
  <c r="AEJ45" i="4"/>
  <c r="AEJ48" i="4" s="1"/>
  <c r="AEJ12" i="4"/>
  <c r="AEJ28" i="4" s="1"/>
  <c r="AEJ30" i="4" s="1"/>
  <c r="AEI45" i="4"/>
  <c r="AEI48" i="4" s="1"/>
  <c r="AEI12" i="4"/>
  <c r="AEI28" i="4" s="1"/>
  <c r="AEI30" i="4" s="1"/>
  <c r="AEH45" i="4"/>
  <c r="AEH48" i="4" s="1"/>
  <c r="AEH12" i="4"/>
  <c r="AEH28" i="4" s="1"/>
  <c r="AEH30" i="4" s="1"/>
  <c r="AEG45" i="4"/>
  <c r="AEG48" i="4" s="1"/>
  <c r="AEG12" i="4"/>
  <c r="AEG28" i="4" s="1"/>
  <c r="AEG30" i="4" s="1"/>
  <c r="AEF45" i="4"/>
  <c r="AEF48" i="4" s="1"/>
  <c r="AEF12" i="4"/>
  <c r="AEF28" i="4" s="1"/>
  <c r="AEF30" i="4" s="1"/>
  <c r="AEE45" i="4"/>
  <c r="AEE48" i="4" s="1"/>
  <c r="AEE12" i="4"/>
  <c r="AEE28" i="4" s="1"/>
  <c r="AEE30" i="4" s="1"/>
  <c r="AED45" i="4"/>
  <c r="AED48" i="4" s="1"/>
  <c r="AED12" i="4"/>
  <c r="AED28" i="4" s="1"/>
  <c r="AED30" i="4" s="1"/>
  <c r="AEC45" i="4"/>
  <c r="AEC48" i="4" s="1"/>
  <c r="AEC12" i="4"/>
  <c r="AEC28" i="4" s="1"/>
  <c r="AEC30" i="4" s="1"/>
  <c r="AEB45" i="4"/>
  <c r="AEB48" i="4" s="1"/>
  <c r="AEB12" i="4"/>
  <c r="AEB28" i="4" s="1"/>
  <c r="AEB30" i="4" s="1"/>
  <c r="AEA45" i="4"/>
  <c r="AEA48" i="4" s="1"/>
  <c r="AEA12" i="4"/>
  <c r="AEA28" i="4" s="1"/>
  <c r="AEA30" i="4" s="1"/>
  <c r="ADZ45" i="4"/>
  <c r="ADZ48" i="4" s="1"/>
  <c r="ADZ12" i="4"/>
  <c r="ADZ28" i="4" s="1"/>
  <c r="ADZ30" i="4" s="1"/>
  <c r="ADY45" i="4"/>
  <c r="ADY48" i="4" s="1"/>
  <c r="ADY12" i="4"/>
  <c r="ADY28" i="4" s="1"/>
  <c r="ADY30" i="4" s="1"/>
  <c r="ADX45" i="4"/>
  <c r="ADX48" i="4" s="1"/>
  <c r="ADX12" i="4"/>
  <c r="ADX28" i="4" s="1"/>
  <c r="ADX30" i="4" s="1"/>
  <c r="ADW45" i="4"/>
  <c r="ADW48" i="4" s="1"/>
  <c r="ADW12" i="4"/>
  <c r="ADW28" i="4" s="1"/>
  <c r="ADW30" i="4" s="1"/>
  <c r="ADV45" i="4"/>
  <c r="ADV48" i="4" s="1"/>
  <c r="ADV12" i="4"/>
  <c r="ADV28" i="4" s="1"/>
  <c r="ADV30" i="4" s="1"/>
  <c r="ADU45" i="4"/>
  <c r="ADU48" i="4" s="1"/>
  <c r="ADU12" i="4"/>
  <c r="ADU28" i="4" s="1"/>
  <c r="ADU30" i="4" s="1"/>
  <c r="ADT45" i="4"/>
  <c r="ADT48" i="4" s="1"/>
  <c r="ADT12" i="4"/>
  <c r="ADT28" i="4" s="1"/>
  <c r="ADT30" i="4" s="1"/>
  <c r="ADS45" i="4"/>
  <c r="ADS48" i="4" s="1"/>
  <c r="ADS12" i="4"/>
  <c r="ADS28" i="4" s="1"/>
  <c r="ADS30" i="4" s="1"/>
  <c r="ADR45" i="4"/>
  <c r="ADR48" i="4" s="1"/>
  <c r="ADR12" i="4"/>
  <c r="ADR28" i="4" s="1"/>
  <c r="ADR30" i="4" s="1"/>
  <c r="ADQ45" i="4"/>
  <c r="ADQ48" i="4" s="1"/>
  <c r="ADQ12" i="4"/>
  <c r="ADQ28" i="4" s="1"/>
  <c r="ADQ30" i="4" s="1"/>
  <c r="ADP45" i="4"/>
  <c r="ADP48" i="4" s="1"/>
  <c r="ADP12" i="4"/>
  <c r="ADP28" i="4" s="1"/>
  <c r="ADP30" i="4" s="1"/>
  <c r="ADO45" i="4"/>
  <c r="ADO48" i="4" s="1"/>
  <c r="ADO12" i="4"/>
  <c r="ADO28" i="4" s="1"/>
  <c r="ADO30" i="4" s="1"/>
  <c r="ADN45" i="4"/>
  <c r="ADN48" i="4" s="1"/>
  <c r="ADN12" i="4"/>
  <c r="ADN28" i="4" s="1"/>
  <c r="ADN30" i="4" s="1"/>
  <c r="ADM45" i="4"/>
  <c r="ADM48" i="4" s="1"/>
  <c r="ADM12" i="4"/>
  <c r="ADM28" i="4" s="1"/>
  <c r="ADM30" i="4" s="1"/>
  <c r="ADL45" i="4"/>
  <c r="ADL48" i="4" s="1"/>
  <c r="ADL12" i="4"/>
  <c r="ADL28" i="4" s="1"/>
  <c r="ADL30" i="4" s="1"/>
  <c r="ADK45" i="4"/>
  <c r="ADK48" i="4" s="1"/>
  <c r="ADK12" i="4"/>
  <c r="ADK28" i="4" s="1"/>
  <c r="ADK30" i="4" s="1"/>
  <c r="ADH45" i="4"/>
  <c r="ADH48" i="4" s="1"/>
  <c r="ADH12" i="4"/>
  <c r="ADH28" i="4" s="1"/>
  <c r="ADH30" i="4" s="1"/>
  <c r="ADG45" i="4"/>
  <c r="ADG48" i="4" s="1"/>
  <c r="ADG12" i="4"/>
  <c r="ADG28" i="4" s="1"/>
  <c r="ADG30" i="4" s="1"/>
  <c r="ADF45" i="4"/>
  <c r="ADF48" i="4" s="1"/>
  <c r="ADF12" i="4"/>
  <c r="ADF28" i="4" s="1"/>
  <c r="ADF30" i="4" s="1"/>
  <c r="ADE45" i="4"/>
  <c r="ADE48" i="4" s="1"/>
  <c r="ADE12" i="4"/>
  <c r="ADE28" i="4" s="1"/>
  <c r="ADE30" i="4" s="1"/>
  <c r="ADD45" i="4"/>
  <c r="ADD48" i="4" s="1"/>
  <c r="ADD12" i="4"/>
  <c r="ADD28" i="4" s="1"/>
  <c r="ADD30" i="4" s="1"/>
  <c r="ADC45" i="4"/>
  <c r="ADC48" i="4" s="1"/>
  <c r="ADC12" i="4"/>
  <c r="ADC28" i="4" s="1"/>
  <c r="ADC30" i="4" s="1"/>
  <c r="ADB45" i="4"/>
  <c r="ADB48" i="4" s="1"/>
  <c r="ADB12" i="4"/>
  <c r="ADB28" i="4" s="1"/>
  <c r="ADB30" i="4" s="1"/>
  <c r="ADA45" i="4"/>
  <c r="ADA48" i="4" s="1"/>
  <c r="ADA12" i="4"/>
  <c r="ADA28" i="4" s="1"/>
  <c r="ADA30" i="4" s="1"/>
  <c r="ACZ45" i="4"/>
  <c r="ACZ48" i="4" s="1"/>
  <c r="ACZ12" i="4"/>
  <c r="ACZ28" i="4" s="1"/>
  <c r="ACZ30" i="4" s="1"/>
  <c r="ACY45" i="4"/>
  <c r="ACY48" i="4" s="1"/>
  <c r="ACY12" i="4"/>
  <c r="ACY28" i="4" s="1"/>
  <c r="ACY30" i="4" s="1"/>
  <c r="ACX45" i="4"/>
  <c r="ACX48" i="4" s="1"/>
  <c r="ACX12" i="4"/>
  <c r="ACX28" i="4" s="1"/>
  <c r="ACX30" i="4" s="1"/>
  <c r="ACW45" i="4"/>
  <c r="ACW48" i="4" s="1"/>
  <c r="ACW12" i="4"/>
  <c r="ACW28" i="4" s="1"/>
  <c r="ACW30" i="4" s="1"/>
  <c r="ACV45" i="4"/>
  <c r="ACV48" i="4" s="1"/>
  <c r="ACV12" i="4"/>
  <c r="ACV28" i="4" s="1"/>
  <c r="ACV30" i="4" s="1"/>
  <c r="ACU45" i="4"/>
  <c r="ACU48" i="4" s="1"/>
  <c r="ACU12" i="4"/>
  <c r="ACU28" i="4" s="1"/>
  <c r="ACU30" i="4" s="1"/>
  <c r="ACT45" i="4"/>
  <c r="ACT48" i="4" s="1"/>
  <c r="ACT12" i="4"/>
  <c r="ACT28" i="4" s="1"/>
  <c r="ACT30" i="4" s="1"/>
  <c r="ACS45" i="4"/>
  <c r="ACS48" i="4" s="1"/>
  <c r="ACS12" i="4"/>
  <c r="ACS28" i="4" s="1"/>
  <c r="ACS30" i="4" s="1"/>
  <c r="ACR45" i="4"/>
  <c r="ACR48" i="4" s="1"/>
  <c r="ACR12" i="4"/>
  <c r="ACR28" i="4" s="1"/>
  <c r="ACR30" i="4" s="1"/>
  <c r="ACQ45" i="4"/>
  <c r="ACQ48" i="4" s="1"/>
  <c r="ACQ12" i="4"/>
  <c r="ACQ28" i="4" s="1"/>
  <c r="ACQ30" i="4" s="1"/>
  <c r="ACP45" i="4"/>
  <c r="ACP48" i="4" s="1"/>
  <c r="ACP12" i="4"/>
  <c r="ACP28" i="4" s="1"/>
  <c r="ACP30" i="4" s="1"/>
  <c r="ACO45" i="4"/>
  <c r="ACO48" i="4" s="1"/>
  <c r="ACO12" i="4"/>
  <c r="ACO28" i="4" s="1"/>
  <c r="ACO30" i="4" s="1"/>
  <c r="ACN45" i="4"/>
  <c r="ACN48" i="4" s="1"/>
  <c r="ACN12" i="4"/>
  <c r="ACN28" i="4" s="1"/>
  <c r="ACN30" i="4" s="1"/>
  <c r="ACM45" i="4"/>
  <c r="ACM48" i="4" s="1"/>
  <c r="ACM12" i="4"/>
  <c r="ACM28" i="4" s="1"/>
  <c r="ACM30" i="4" s="1"/>
  <c r="ACL45" i="4"/>
  <c r="ACL48" i="4" s="1"/>
  <c r="ACL12" i="4"/>
  <c r="ACL28" i="4" s="1"/>
  <c r="ACL30" i="4" s="1"/>
  <c r="ACK45" i="4"/>
  <c r="ACK48" i="4" s="1"/>
  <c r="ACK12" i="4"/>
  <c r="ACK28" i="4" s="1"/>
  <c r="ACK30" i="4" s="1"/>
  <c r="ACJ45" i="4"/>
  <c r="ACJ48" i="4" s="1"/>
  <c r="ACJ12" i="4"/>
  <c r="ACJ28" i="4" s="1"/>
  <c r="ACJ30" i="4" s="1"/>
  <c r="ACI45" i="4"/>
  <c r="ACI48" i="4" s="1"/>
  <c r="ACI12" i="4"/>
  <c r="ACI28" i="4" s="1"/>
  <c r="ACI30" i="4" s="1"/>
  <c r="ACH45" i="4"/>
  <c r="ACH48" i="4" s="1"/>
  <c r="ACH12" i="4"/>
  <c r="ACH28" i="4" s="1"/>
  <c r="ACH30" i="4" s="1"/>
  <c r="ACG45" i="4"/>
  <c r="ACG48" i="4" s="1"/>
  <c r="ACG12" i="4"/>
  <c r="ACG28" i="4" s="1"/>
  <c r="ACG30" i="4" s="1"/>
  <c r="ACF45" i="4"/>
  <c r="ACF48" i="4" s="1"/>
  <c r="ACF12" i="4"/>
  <c r="ACF28" i="4" s="1"/>
  <c r="ACF30" i="4" s="1"/>
  <c r="ACE45" i="4"/>
  <c r="ACE48" i="4" s="1"/>
  <c r="ACE12" i="4"/>
  <c r="ACE28" i="4" s="1"/>
  <c r="ACE30" i="4" s="1"/>
  <c r="ACB45" i="4"/>
  <c r="ACB48" i="4" s="1"/>
  <c r="ACB12" i="4"/>
  <c r="ACB28" i="4" s="1"/>
  <c r="ACB30" i="4" s="1"/>
  <c r="ACA45" i="4"/>
  <c r="ACA48" i="4" s="1"/>
  <c r="ACA12" i="4"/>
  <c r="ACA28" i="4" s="1"/>
  <c r="ACA30" i="4" s="1"/>
  <c r="ABZ45" i="4"/>
  <c r="ABZ48" i="4" s="1"/>
  <c r="ABZ12" i="4"/>
  <c r="ABZ28" i="4" s="1"/>
  <c r="ABZ30" i="4" s="1"/>
  <c r="ABY45" i="4"/>
  <c r="ABY48" i="4" s="1"/>
  <c r="ABY12" i="4"/>
  <c r="ABY28" i="4" s="1"/>
  <c r="ABY30" i="4" s="1"/>
  <c r="ABX45" i="4"/>
  <c r="ABX48" i="4" s="1"/>
  <c r="ABX12" i="4"/>
  <c r="ABX28" i="4" s="1"/>
  <c r="ABX30" i="4" s="1"/>
  <c r="ABW45" i="4"/>
  <c r="ABW48" i="4" s="1"/>
  <c r="ABW12" i="4"/>
  <c r="ABW28" i="4" s="1"/>
  <c r="ABW30" i="4" s="1"/>
  <c r="ABV45" i="4"/>
  <c r="ABV48" i="4" s="1"/>
  <c r="ABV12" i="4"/>
  <c r="ABV28" i="4" s="1"/>
  <c r="ABV30" i="4" s="1"/>
  <c r="ABU45" i="4"/>
  <c r="ABU48" i="4" s="1"/>
  <c r="ABU12" i="4"/>
  <c r="ABU28" i="4" s="1"/>
  <c r="ABU30" i="4" s="1"/>
  <c r="ABT45" i="4"/>
  <c r="ABT48" i="4" s="1"/>
  <c r="ABT12" i="4"/>
  <c r="ABT28" i="4" s="1"/>
  <c r="ABT30" i="4" s="1"/>
  <c r="ABS45" i="4"/>
  <c r="ABS48" i="4" s="1"/>
  <c r="ABS12" i="4"/>
  <c r="ABS28" i="4" s="1"/>
  <c r="ABS30" i="4" s="1"/>
  <c r="ABR45" i="4"/>
  <c r="ABR48" i="4" s="1"/>
  <c r="ABR12" i="4"/>
  <c r="ABR28" i="4" s="1"/>
  <c r="ABR30" i="4" s="1"/>
  <c r="ABQ45" i="4"/>
  <c r="ABQ48" i="4" s="1"/>
  <c r="ABQ12" i="4"/>
  <c r="ABQ28" i="4" s="1"/>
  <c r="ABQ30" i="4" s="1"/>
  <c r="ABP45" i="4"/>
  <c r="ABP48" i="4" s="1"/>
  <c r="ABP12" i="4"/>
  <c r="ABP28" i="4" s="1"/>
  <c r="ABP30" i="4" s="1"/>
  <c r="ABO45" i="4"/>
  <c r="ABO48" i="4" s="1"/>
  <c r="ABO12" i="4"/>
  <c r="ABO28" i="4" s="1"/>
  <c r="ABO30" i="4" s="1"/>
  <c r="ABN45" i="4"/>
  <c r="ABN48" i="4" s="1"/>
  <c r="ABN12" i="4"/>
  <c r="ABN28" i="4" s="1"/>
  <c r="ABN30" i="4" s="1"/>
  <c r="ABM45" i="4"/>
  <c r="ABM48" i="4" s="1"/>
  <c r="ABM12" i="4"/>
  <c r="ABM28" i="4" s="1"/>
  <c r="ABM30" i="4" s="1"/>
  <c r="ABL45" i="4"/>
  <c r="ABL48" i="4" s="1"/>
  <c r="ABL12" i="4"/>
  <c r="ABL28" i="4" s="1"/>
  <c r="ABL30" i="4" s="1"/>
  <c r="ABK45" i="4"/>
  <c r="ABK48" i="4" s="1"/>
  <c r="ABK12" i="4"/>
  <c r="ABK28" i="4" s="1"/>
  <c r="ABK30" i="4" s="1"/>
  <c r="ABJ45" i="4"/>
  <c r="ABJ48" i="4" s="1"/>
  <c r="ABJ12" i="4"/>
  <c r="ABJ28" i="4" s="1"/>
  <c r="ABJ30" i="4" s="1"/>
  <c r="ABI45" i="4"/>
  <c r="ABI48" i="4" s="1"/>
  <c r="ABI12" i="4"/>
  <c r="ABI28" i="4" s="1"/>
  <c r="ABI30" i="4" s="1"/>
  <c r="ABH45" i="4"/>
  <c r="ABH48" i="4" s="1"/>
  <c r="ABH12" i="4"/>
  <c r="ABH28" i="4" s="1"/>
  <c r="ABH30" i="4" s="1"/>
  <c r="ABG45" i="4"/>
  <c r="ABG48" i="4" s="1"/>
  <c r="ABG12" i="4"/>
  <c r="ABG28" i="4" s="1"/>
  <c r="ABG30" i="4" s="1"/>
  <c r="ABF45" i="4"/>
  <c r="ABF48" i="4" s="1"/>
  <c r="ABF12" i="4"/>
  <c r="ABF28" i="4" s="1"/>
  <c r="ABF30" i="4" s="1"/>
  <c r="ABE45" i="4"/>
  <c r="ABE48" i="4" s="1"/>
  <c r="ABE12" i="4"/>
  <c r="ABE28" i="4" s="1"/>
  <c r="ABE30" i="4" s="1"/>
  <c r="ABD45" i="4"/>
  <c r="ABD48" i="4" s="1"/>
  <c r="XE48" i="4"/>
  <c r="XD48" i="4"/>
  <c r="WZ48" i="4"/>
  <c r="WX48" i="4"/>
  <c r="WW48" i="4"/>
  <c r="WV48" i="4"/>
  <c r="WS48" i="4"/>
  <c r="WP48" i="4"/>
  <c r="WK48" i="4"/>
  <c r="WH48" i="4"/>
  <c r="WE48" i="4"/>
  <c r="WD48" i="4"/>
  <c r="VX48" i="4"/>
  <c r="VW48" i="4"/>
  <c r="VU48" i="4"/>
  <c r="I12" i="4"/>
  <c r="I28" i="4" s="1"/>
  <c r="I30" i="4" s="1"/>
  <c r="I48" i="4"/>
  <c r="H12" i="4"/>
  <c r="H28" i="4" s="1"/>
  <c r="H30" i="4" s="1"/>
  <c r="G12" i="4"/>
  <c r="G28" i="4" s="1"/>
  <c r="G30" i="4" s="1"/>
  <c r="ANI48" i="4"/>
  <c r="ANH48" i="4"/>
  <c r="ANB48" i="4"/>
  <c r="ANA48" i="4"/>
  <c r="AMN48" i="4"/>
  <c r="AMM48" i="4"/>
  <c r="AMK48" i="4"/>
  <c r="AMJ48" i="4"/>
  <c r="ABD12" i="4"/>
  <c r="ABD28" i="4" s="1"/>
  <c r="ABD30" i="4" s="1"/>
  <c r="ABC45" i="4"/>
  <c r="ABC48" i="4" s="1"/>
  <c r="ABC12" i="4"/>
  <c r="ABC28" i="4" s="1"/>
  <c r="ABC30" i="4" s="1"/>
  <c r="ABB45" i="4"/>
  <c r="ABB48" i="4" s="1"/>
  <c r="ABB12" i="4"/>
  <c r="ABB28" i="4" s="1"/>
  <c r="ABB30" i="4" s="1"/>
  <c r="ABA45" i="4"/>
  <c r="ABA48" i="4" s="1"/>
  <c r="ABA12" i="4"/>
  <c r="ABA28" i="4" s="1"/>
  <c r="ABA30" i="4" s="1"/>
  <c r="AAZ45" i="4"/>
  <c r="AAZ48" i="4" s="1"/>
  <c r="AAZ12" i="4"/>
  <c r="AAZ28" i="4" s="1"/>
  <c r="AAZ30" i="4" s="1"/>
  <c r="AAY45" i="4"/>
  <c r="AAY48" i="4" s="1"/>
  <c r="AAY12" i="4"/>
  <c r="AAY28" i="4" s="1"/>
  <c r="AAY30" i="4" s="1"/>
  <c r="AAV45" i="4"/>
  <c r="AAV48" i="4" s="1"/>
  <c r="AAV12" i="4"/>
  <c r="AAV28" i="4" s="1"/>
  <c r="AAV30" i="4" s="1"/>
  <c r="AAU45" i="4"/>
  <c r="AAU48" i="4" s="1"/>
  <c r="AAU12" i="4"/>
  <c r="AAU28" i="4" s="1"/>
  <c r="AAU30" i="4" s="1"/>
  <c r="AAT45" i="4"/>
  <c r="AAT48" i="4" s="1"/>
  <c r="AAT12" i="4"/>
  <c r="AAT28" i="4" s="1"/>
  <c r="AAT30" i="4" s="1"/>
  <c r="AAS45" i="4"/>
  <c r="AAS48" i="4" s="1"/>
  <c r="AAS12" i="4"/>
  <c r="AAS28" i="4" s="1"/>
  <c r="AAS30" i="4" s="1"/>
  <c r="AAR45" i="4"/>
  <c r="AAR48" i="4" s="1"/>
  <c r="AAR12" i="4"/>
  <c r="AAR28" i="4" s="1"/>
  <c r="AAR30" i="4" s="1"/>
  <c r="AAQ45" i="4"/>
  <c r="AAQ48" i="4" s="1"/>
  <c r="AAQ12" i="4"/>
  <c r="AAQ28" i="4" s="1"/>
  <c r="AAQ30" i="4" s="1"/>
  <c r="AAP45" i="4"/>
  <c r="AAP48" i="4" s="1"/>
  <c r="AAP12" i="4"/>
  <c r="AAP28" i="4" s="1"/>
  <c r="AAP30" i="4" s="1"/>
  <c r="AAO45" i="4"/>
  <c r="AAO48" i="4" s="1"/>
  <c r="AAO12" i="4"/>
  <c r="AAO28" i="4" s="1"/>
  <c r="AAO30" i="4" s="1"/>
  <c r="AAN45" i="4"/>
  <c r="AAN48" i="4" s="1"/>
  <c r="AAN12" i="4"/>
  <c r="AAN28" i="4" s="1"/>
  <c r="AAN30" i="4" s="1"/>
  <c r="AAM45" i="4"/>
  <c r="AAM48" i="4" s="1"/>
  <c r="AAM12" i="4"/>
  <c r="AAM28" i="4" s="1"/>
  <c r="AAM30" i="4" s="1"/>
  <c r="AAL45" i="4"/>
  <c r="AAL48" i="4" s="1"/>
  <c r="AAL12" i="4"/>
  <c r="AAL28" i="4" s="1"/>
  <c r="AAL30" i="4" s="1"/>
  <c r="AAK45" i="4"/>
  <c r="AAK48" i="4" s="1"/>
  <c r="AAK12" i="4"/>
  <c r="AAK28" i="4" s="1"/>
  <c r="AAK30" i="4" s="1"/>
  <c r="AAJ45" i="4"/>
  <c r="AAJ48" i="4" s="1"/>
  <c r="AAJ12" i="4"/>
  <c r="AAJ28" i="4" s="1"/>
  <c r="AAJ30" i="4" s="1"/>
  <c r="AAI45" i="4"/>
  <c r="AAI48" i="4" s="1"/>
  <c r="AAI12" i="4"/>
  <c r="AAI28" i="4" s="1"/>
  <c r="AAI30" i="4" s="1"/>
  <c r="AAH45" i="4"/>
  <c r="AAH48" i="4" s="1"/>
  <c r="AAH12" i="4"/>
  <c r="AAH28" i="4" s="1"/>
  <c r="AAH30" i="4" s="1"/>
  <c r="AAG45" i="4"/>
  <c r="AAG48" i="4" s="1"/>
  <c r="AAG12" i="4"/>
  <c r="AAG28" i="4" s="1"/>
  <c r="AAG30" i="4" s="1"/>
  <c r="AAF45" i="4"/>
  <c r="AAF48" i="4" s="1"/>
  <c r="AAF12" i="4"/>
  <c r="AAF28" i="4" s="1"/>
  <c r="AAF30" i="4" s="1"/>
  <c r="AAE45" i="4"/>
  <c r="AAE48" i="4" s="1"/>
  <c r="AAE12" i="4"/>
  <c r="AAE28" i="4" s="1"/>
  <c r="AAE30" i="4" s="1"/>
  <c r="AAD45" i="4"/>
  <c r="AAD48" i="4" s="1"/>
  <c r="AAD12" i="4"/>
  <c r="AAD28" i="4" s="1"/>
  <c r="AAD30" i="4" s="1"/>
  <c r="AAC45" i="4"/>
  <c r="AAC48" i="4" s="1"/>
  <c r="AAC12" i="4"/>
  <c r="AAC28" i="4" s="1"/>
  <c r="AAC30" i="4" s="1"/>
  <c r="AAB45" i="4"/>
  <c r="AAB48" i="4" s="1"/>
  <c r="AAB12" i="4"/>
  <c r="AAB28" i="4" s="1"/>
  <c r="AAB30" i="4" s="1"/>
  <c r="AAA45" i="4"/>
  <c r="AAA48" i="4" s="1"/>
  <c r="AAA12" i="4"/>
  <c r="AAA28" i="4" s="1"/>
  <c r="AAA30" i="4" s="1"/>
  <c r="ZZ45" i="4"/>
  <c r="ZZ48" i="4" s="1"/>
  <c r="ZZ12" i="4"/>
  <c r="ZZ28" i="4" s="1"/>
  <c r="ZZ30" i="4" s="1"/>
  <c r="ZY45" i="4"/>
  <c r="ZY48" i="4" s="1"/>
  <c r="ZY12" i="4"/>
  <c r="ZY28" i="4" s="1"/>
  <c r="ZY30" i="4" s="1"/>
  <c r="ZX45" i="4"/>
  <c r="ZX48" i="4" s="1"/>
  <c r="ZV48" i="4"/>
  <c r="ZU48" i="4"/>
  <c r="ZT48" i="4"/>
  <c r="ZQ48" i="4"/>
  <c r="ZP48" i="4"/>
  <c r="ZN48" i="4"/>
  <c r="YO28" i="4"/>
  <c r="YO30" i="4" s="1"/>
  <c r="XJ48" i="4"/>
  <c r="XF48" i="4"/>
  <c r="XA48" i="4"/>
  <c r="WR48" i="4"/>
  <c r="WI48" i="4"/>
  <c r="VY48" i="4"/>
  <c r="VS48" i="4"/>
  <c r="J12" i="4"/>
  <c r="J28" i="4" s="1"/>
  <c r="J30" i="4" s="1"/>
  <c r="H45" i="4"/>
  <c r="H48" i="4" s="1"/>
  <c r="ANV48" i="4"/>
  <c r="ANR48" i="4"/>
  <c r="ANJ48" i="4"/>
  <c r="AND48" i="4"/>
  <c r="AMX48" i="4"/>
  <c r="AME48" i="4"/>
  <c r="VR12" i="4"/>
  <c r="VR28" i="4" s="1"/>
  <c r="VR30" i="4" s="1"/>
  <c r="VQ45" i="4"/>
  <c r="VQ48" i="4" s="1"/>
  <c r="VQ12" i="4"/>
  <c r="VQ28" i="4" s="1"/>
  <c r="VQ30" i="4" s="1"/>
  <c r="VP45" i="4"/>
  <c r="VP48" i="4" s="1"/>
  <c r="VP12" i="4"/>
  <c r="VP28" i="4" s="1"/>
  <c r="VP30" i="4" s="1"/>
  <c r="VO45" i="4"/>
  <c r="VO48" i="4" s="1"/>
  <c r="VO12" i="4"/>
  <c r="VO28" i="4" s="1"/>
  <c r="VO30" i="4" s="1"/>
  <c r="VN45" i="4"/>
  <c r="VN48" i="4" s="1"/>
  <c r="VN12" i="4"/>
  <c r="VN28" i="4" s="1"/>
  <c r="VN30" i="4" s="1"/>
  <c r="VM45" i="4"/>
  <c r="VM48" i="4" s="1"/>
  <c r="VM12" i="4"/>
  <c r="VM28" i="4" s="1"/>
  <c r="VM30" i="4" s="1"/>
  <c r="VL45" i="4"/>
  <c r="VL48" i="4" s="1"/>
  <c r="VL12" i="4"/>
  <c r="VL28" i="4" s="1"/>
  <c r="VL30" i="4" s="1"/>
  <c r="VK45" i="4"/>
  <c r="VK48" i="4" s="1"/>
  <c r="VK12" i="4"/>
  <c r="VK28" i="4" s="1"/>
  <c r="VK30" i="4" s="1"/>
  <c r="VJ45" i="4"/>
  <c r="VJ48" i="4" s="1"/>
  <c r="VJ12" i="4"/>
  <c r="VJ28" i="4" s="1"/>
  <c r="VJ30" i="4" s="1"/>
  <c r="VI45" i="4"/>
  <c r="VI48" i="4" s="1"/>
  <c r="VI12" i="4"/>
  <c r="VI28" i="4" s="1"/>
  <c r="VI30" i="4" s="1"/>
  <c r="VH45" i="4"/>
  <c r="VH48" i="4" s="1"/>
  <c r="VH12" i="4"/>
  <c r="VH28" i="4" s="1"/>
  <c r="VH30" i="4" s="1"/>
  <c r="VG45" i="4"/>
  <c r="VG48" i="4" s="1"/>
  <c r="VG12" i="4"/>
  <c r="VG28" i="4" s="1"/>
  <c r="VG30" i="4" s="1"/>
  <c r="VF45" i="4"/>
  <c r="VF48" i="4" s="1"/>
  <c r="VF12" i="4"/>
  <c r="VF28" i="4" s="1"/>
  <c r="VF30" i="4" s="1"/>
  <c r="VE45" i="4"/>
  <c r="VE48" i="4" s="1"/>
  <c r="VE12" i="4"/>
  <c r="VE28" i="4" s="1"/>
  <c r="VE30" i="4" s="1"/>
  <c r="VD45" i="4"/>
  <c r="VD48" i="4" s="1"/>
  <c r="VD12" i="4"/>
  <c r="VD28" i="4" s="1"/>
  <c r="VD30" i="4" s="1"/>
  <c r="VC45" i="4"/>
  <c r="VC48" i="4" s="1"/>
  <c r="VC12" i="4"/>
  <c r="VC28" i="4" s="1"/>
  <c r="VC30" i="4" s="1"/>
  <c r="VB45" i="4"/>
  <c r="VB48" i="4" s="1"/>
  <c r="VB12" i="4"/>
  <c r="VB28" i="4" s="1"/>
  <c r="VB30" i="4" s="1"/>
  <c r="VA45" i="4"/>
  <c r="VA48" i="4" s="1"/>
  <c r="VA12" i="4"/>
  <c r="VA28" i="4" s="1"/>
  <c r="VA30" i="4" s="1"/>
  <c r="UZ45" i="4"/>
  <c r="UZ48" i="4" s="1"/>
  <c r="UZ12" i="4"/>
  <c r="UZ28" i="4" s="1"/>
  <c r="UZ30" i="4" s="1"/>
  <c r="IS45" i="4"/>
  <c r="IS48" i="4" s="1"/>
  <c r="IS12" i="4"/>
  <c r="IS28" i="4" s="1"/>
  <c r="IS30" i="4" s="1"/>
  <c r="IR45" i="4"/>
  <c r="IR48" i="4" s="1"/>
  <c r="IR12" i="4"/>
  <c r="IR28" i="4" s="1"/>
  <c r="IR30" i="4" s="1"/>
  <c r="IQ45" i="4"/>
  <c r="IQ48" i="4" s="1"/>
  <c r="IQ12" i="4"/>
  <c r="IQ28" i="4" s="1"/>
  <c r="IQ30" i="4" s="1"/>
  <c r="IP45" i="4"/>
  <c r="IP48" i="4" s="1"/>
  <c r="IP12" i="4"/>
  <c r="IP28" i="4" s="1"/>
  <c r="IP30" i="4" s="1"/>
  <c r="IO45" i="4"/>
  <c r="IO48" i="4" s="1"/>
  <c r="IO12" i="4"/>
  <c r="IO28" i="4" s="1"/>
  <c r="IO30" i="4" s="1"/>
  <c r="IN45" i="4"/>
  <c r="IN48" i="4" s="1"/>
  <c r="IN12" i="4"/>
  <c r="IN28" i="4" s="1"/>
  <c r="IN30" i="4" s="1"/>
  <c r="IM45" i="4"/>
  <c r="IM48" i="4" s="1"/>
  <c r="IM12" i="4"/>
  <c r="IM28" i="4" s="1"/>
  <c r="IM30" i="4" s="1"/>
  <c r="IL45" i="4"/>
  <c r="IL48" i="4" s="1"/>
  <c r="IL12" i="4"/>
  <c r="IL28" i="4" s="1"/>
  <c r="IL30" i="4" s="1"/>
  <c r="IK45" i="4"/>
  <c r="IK48" i="4" s="1"/>
  <c r="IK12" i="4"/>
  <c r="IK28" i="4" s="1"/>
  <c r="IK30" i="4" s="1"/>
  <c r="IJ45" i="4"/>
  <c r="IJ48" i="4" s="1"/>
  <c r="IJ12" i="4"/>
  <c r="IJ28" i="4" s="1"/>
  <c r="IJ30" i="4" s="1"/>
  <c r="II45" i="4"/>
  <c r="II48" i="4" s="1"/>
  <c r="II12" i="4"/>
  <c r="II28" i="4" s="1"/>
  <c r="II30" i="4" s="1"/>
  <c r="IH45" i="4"/>
  <c r="IH48" i="4" s="1"/>
  <c r="IH12" i="4"/>
  <c r="IH28" i="4" s="1"/>
  <c r="IH30" i="4" s="1"/>
  <c r="IG45" i="4"/>
  <c r="IG48" i="4" s="1"/>
  <c r="IG12" i="4"/>
  <c r="IG28" i="4" s="1"/>
  <c r="IG30" i="4" s="1"/>
  <c r="IF45" i="4"/>
  <c r="IF48" i="4" s="1"/>
  <c r="IF12" i="4"/>
  <c r="IF28" i="4" s="1"/>
  <c r="IF30" i="4" s="1"/>
  <c r="IE45" i="4"/>
  <c r="IE48" i="4" s="1"/>
  <c r="IE12" i="4"/>
  <c r="IE28" i="4" s="1"/>
  <c r="IE30" i="4" s="1"/>
  <c r="ID45" i="4"/>
  <c r="ID48" i="4" s="1"/>
  <c r="ID12" i="4"/>
  <c r="ID28" i="4" s="1"/>
  <c r="ID30" i="4" s="1"/>
  <c r="IC45" i="4"/>
  <c r="IC48" i="4" s="1"/>
  <c r="IC12" i="4"/>
  <c r="IC28" i="4" s="1"/>
  <c r="IC30" i="4" s="1"/>
  <c r="IB45" i="4"/>
  <c r="IB48" i="4" s="1"/>
  <c r="IB12" i="4"/>
  <c r="IB28" i="4" s="1"/>
  <c r="IB30" i="4" s="1"/>
  <c r="IA45" i="4"/>
  <c r="IA48" i="4" s="1"/>
  <c r="IA12" i="4"/>
  <c r="IA28" i="4" s="1"/>
  <c r="IA30" i="4" s="1"/>
  <c r="HZ45" i="4"/>
  <c r="HZ48" i="4" s="1"/>
  <c r="HZ12" i="4"/>
  <c r="HZ28" i="4" s="1"/>
  <c r="HZ30" i="4" s="1"/>
  <c r="HY45" i="4"/>
  <c r="HY48" i="4" s="1"/>
  <c r="HY12" i="4"/>
  <c r="HY28" i="4" s="1"/>
  <c r="HY30" i="4" s="1"/>
  <c r="HX45" i="4"/>
  <c r="HX48" i="4" s="1"/>
  <c r="HX12" i="4"/>
  <c r="HX28" i="4" s="1"/>
  <c r="HX30" i="4" s="1"/>
  <c r="HW45" i="4"/>
  <c r="HW48" i="4" s="1"/>
  <c r="HW12" i="4"/>
  <c r="HW28" i="4" s="1"/>
  <c r="HW30" i="4" s="1"/>
  <c r="HV45" i="4"/>
  <c r="HV48" i="4" s="1"/>
  <c r="HV12" i="4"/>
  <c r="HV28" i="4" s="1"/>
  <c r="HV30" i="4" s="1"/>
  <c r="HU45" i="4"/>
  <c r="HU48" i="4" s="1"/>
  <c r="HU12" i="4"/>
  <c r="HU28" i="4" s="1"/>
  <c r="HU30" i="4" s="1"/>
  <c r="HT45" i="4"/>
  <c r="HT48" i="4" s="1"/>
  <c r="HT12" i="4"/>
  <c r="HT28" i="4" s="1"/>
  <c r="HT30" i="4" s="1"/>
  <c r="HS45" i="4"/>
  <c r="HS48" i="4" s="1"/>
  <c r="HS12" i="4"/>
  <c r="HS28" i="4" s="1"/>
  <c r="HS30" i="4" s="1"/>
  <c r="HR45" i="4"/>
  <c r="HR48" i="4" s="1"/>
  <c r="HR12" i="4"/>
  <c r="HR28" i="4" s="1"/>
  <c r="HR30" i="4" s="1"/>
  <c r="HQ45" i="4"/>
  <c r="HQ48" i="4" s="1"/>
  <c r="HQ12" i="4"/>
  <c r="HQ28" i="4" s="1"/>
  <c r="HQ30" i="4" s="1"/>
  <c r="HP45" i="4"/>
  <c r="HP48" i="4" s="1"/>
  <c r="HP12" i="4"/>
  <c r="HP28" i="4" s="1"/>
  <c r="HP30" i="4" s="1"/>
  <c r="HM45" i="4"/>
  <c r="HM48" i="4" s="1"/>
  <c r="HM12" i="4"/>
  <c r="HM28" i="4" s="1"/>
  <c r="HM30" i="4" s="1"/>
  <c r="HL45" i="4"/>
  <c r="HL48" i="4" s="1"/>
  <c r="HL12" i="4"/>
  <c r="HL28" i="4" s="1"/>
  <c r="HL30" i="4" s="1"/>
  <c r="HK45" i="4"/>
  <c r="HK48" i="4" s="1"/>
  <c r="HK12" i="4"/>
  <c r="HK28" i="4" s="1"/>
  <c r="HK30" i="4" s="1"/>
  <c r="HJ45" i="4"/>
  <c r="HJ48" i="4" s="1"/>
  <c r="HJ12" i="4"/>
  <c r="HJ28" i="4" s="1"/>
  <c r="HJ30" i="4" s="1"/>
  <c r="HI45" i="4"/>
  <c r="HI48" i="4" s="1"/>
  <c r="HI12" i="4"/>
  <c r="HI28" i="4" s="1"/>
  <c r="HI30" i="4" s="1"/>
  <c r="HH45" i="4"/>
  <c r="HH48" i="4" s="1"/>
  <c r="HH12" i="4"/>
  <c r="HH28" i="4" s="1"/>
  <c r="HH30" i="4" s="1"/>
  <c r="HG45" i="4"/>
  <c r="HG48" i="4" s="1"/>
  <c r="HG12" i="4"/>
  <c r="HG28" i="4" s="1"/>
  <c r="HG30" i="4" s="1"/>
  <c r="HF45" i="4"/>
  <c r="HF48" i="4" s="1"/>
  <c r="HF12" i="4"/>
  <c r="HF28" i="4" s="1"/>
  <c r="HF30" i="4" s="1"/>
  <c r="HE45" i="4"/>
  <c r="HE48" i="4" s="1"/>
  <c r="HE12" i="4"/>
  <c r="HE28" i="4" s="1"/>
  <c r="HE30" i="4" s="1"/>
  <c r="HD45" i="4"/>
  <c r="HD48" i="4" s="1"/>
  <c r="HD12" i="4"/>
  <c r="HD28" i="4" s="1"/>
  <c r="HD30" i="4" s="1"/>
  <c r="HC45" i="4"/>
  <c r="HC48" i="4" s="1"/>
  <c r="HC12" i="4"/>
  <c r="HC28" i="4" s="1"/>
  <c r="HC30" i="4" s="1"/>
  <c r="HB45" i="4"/>
  <c r="HB48" i="4" s="1"/>
  <c r="HB12" i="4"/>
  <c r="HB28" i="4" s="1"/>
  <c r="HB30" i="4" s="1"/>
  <c r="HA45" i="4"/>
  <c r="HA48" i="4" s="1"/>
  <c r="HA12" i="4"/>
  <c r="HA28" i="4" s="1"/>
  <c r="HA30" i="4" s="1"/>
  <c r="GZ45" i="4"/>
  <c r="GZ48" i="4" s="1"/>
  <c r="GZ12" i="4"/>
  <c r="GZ28" i="4" s="1"/>
  <c r="GZ30" i="4" s="1"/>
  <c r="GY45" i="4"/>
  <c r="GY48" i="4" s="1"/>
  <c r="GY12" i="4"/>
  <c r="GY28" i="4" s="1"/>
  <c r="GY30" i="4" s="1"/>
  <c r="GX45" i="4"/>
  <c r="GX48" i="4" s="1"/>
  <c r="GX12" i="4"/>
  <c r="GX28" i="4" s="1"/>
  <c r="GX30" i="4" s="1"/>
  <c r="GW45" i="4"/>
  <c r="GW48" i="4" s="1"/>
  <c r="GW12" i="4"/>
  <c r="GW28" i="4" s="1"/>
  <c r="GW30" i="4" s="1"/>
  <c r="GV45" i="4"/>
  <c r="GV48" i="4" s="1"/>
  <c r="GV12" i="4"/>
  <c r="GV28" i="4" s="1"/>
  <c r="GV30" i="4" s="1"/>
  <c r="GU45" i="4"/>
  <c r="GU48" i="4" s="1"/>
  <c r="GU12" i="4"/>
  <c r="GU28" i="4" s="1"/>
  <c r="GU30" i="4" s="1"/>
  <c r="GT45" i="4"/>
  <c r="GT48" i="4" s="1"/>
  <c r="GT12" i="4"/>
  <c r="GT28" i="4" s="1"/>
  <c r="GT30" i="4" s="1"/>
  <c r="GS45" i="4"/>
  <c r="GS48" i="4" s="1"/>
  <c r="GS12" i="4"/>
  <c r="GS28" i="4" s="1"/>
  <c r="GS30" i="4" s="1"/>
  <c r="GR45" i="4"/>
  <c r="GR48" i="4" s="1"/>
  <c r="GR12" i="4"/>
  <c r="GR28" i="4" s="1"/>
  <c r="GR30" i="4" s="1"/>
  <c r="GQ45" i="4"/>
  <c r="GQ48" i="4" s="1"/>
  <c r="GQ12" i="4"/>
  <c r="GQ28" i="4" s="1"/>
  <c r="GQ30" i="4" s="1"/>
  <c r="GP45" i="4"/>
  <c r="GP48" i="4" s="1"/>
  <c r="GP12" i="4"/>
  <c r="GP28" i="4" s="1"/>
  <c r="GP30" i="4" s="1"/>
  <c r="GO45" i="4"/>
  <c r="GO48" i="4" s="1"/>
  <c r="GO12" i="4"/>
  <c r="GO28" i="4" s="1"/>
  <c r="GO30" i="4" s="1"/>
  <c r="GN45" i="4"/>
  <c r="GN48" i="4" s="1"/>
  <c r="GN12" i="4"/>
  <c r="GN28" i="4" s="1"/>
  <c r="GN30" i="4" s="1"/>
  <c r="GM45" i="4"/>
  <c r="GM48" i="4" s="1"/>
  <c r="GM12" i="4"/>
  <c r="GM28" i="4" s="1"/>
  <c r="GM30" i="4" s="1"/>
  <c r="GL45" i="4"/>
  <c r="GL48" i="4" s="1"/>
  <c r="GL12" i="4"/>
  <c r="GL28" i="4" s="1"/>
  <c r="GL30" i="4" s="1"/>
  <c r="GI45" i="4"/>
  <c r="GI48" i="4" s="1"/>
  <c r="GI12" i="4"/>
  <c r="GI28" i="4" s="1"/>
  <c r="GI30" i="4" s="1"/>
  <c r="GH45" i="4"/>
  <c r="GH48" i="4" s="1"/>
  <c r="GH12" i="4"/>
  <c r="GH28" i="4" s="1"/>
  <c r="GH30" i="4" s="1"/>
  <c r="GG45" i="4"/>
  <c r="GG48" i="4" s="1"/>
  <c r="GG12" i="4"/>
  <c r="GG28" i="4" s="1"/>
  <c r="GG30" i="4" s="1"/>
  <c r="GF45" i="4"/>
  <c r="GF48" i="4" s="1"/>
  <c r="GF12" i="4"/>
  <c r="GF28" i="4" s="1"/>
  <c r="GF30" i="4" s="1"/>
  <c r="GE45" i="4"/>
  <c r="GE48" i="4" s="1"/>
  <c r="GE12" i="4"/>
  <c r="GE28" i="4" s="1"/>
  <c r="GE30" i="4" s="1"/>
  <c r="GD45" i="4"/>
  <c r="GD48" i="4" s="1"/>
  <c r="GD12" i="4"/>
  <c r="GD28" i="4" s="1"/>
  <c r="GD30" i="4" s="1"/>
  <c r="GC45" i="4"/>
  <c r="GC48" i="4" s="1"/>
  <c r="GC12" i="4"/>
  <c r="GC28" i="4" s="1"/>
  <c r="GC30" i="4" s="1"/>
  <c r="GB45" i="4"/>
  <c r="GB48" i="4" s="1"/>
  <c r="GB12" i="4"/>
  <c r="GB28" i="4" s="1"/>
  <c r="GB30" i="4" s="1"/>
  <c r="GA45" i="4"/>
  <c r="GA48" i="4" s="1"/>
  <c r="GA12" i="4"/>
  <c r="GA28" i="4" s="1"/>
  <c r="GA30" i="4" s="1"/>
  <c r="FZ45" i="4"/>
  <c r="FZ48" i="4" s="1"/>
  <c r="FZ12" i="4"/>
  <c r="FZ28" i="4" s="1"/>
  <c r="FZ30" i="4" s="1"/>
  <c r="FY45" i="4"/>
  <c r="FY48" i="4" s="1"/>
  <c r="FY12" i="4"/>
  <c r="FY28" i="4" s="1"/>
  <c r="FY30" i="4" s="1"/>
  <c r="FX45" i="4"/>
  <c r="FX48" i="4" s="1"/>
  <c r="FX12" i="4"/>
  <c r="FX28" i="4" s="1"/>
  <c r="FX30" i="4" s="1"/>
  <c r="FW45" i="4"/>
  <c r="FW48" i="4" s="1"/>
  <c r="FW12" i="4"/>
  <c r="FW28" i="4" s="1"/>
  <c r="FW30" i="4" s="1"/>
  <c r="FV45" i="4"/>
  <c r="FV48" i="4" s="1"/>
  <c r="FV12" i="4"/>
  <c r="FV28" i="4" s="1"/>
  <c r="FV30" i="4" s="1"/>
  <c r="FU45" i="4"/>
  <c r="FU48" i="4" s="1"/>
  <c r="FU12" i="4"/>
  <c r="FU28" i="4" s="1"/>
  <c r="FU30" i="4" s="1"/>
  <c r="FT45" i="4"/>
  <c r="FT48" i="4" s="1"/>
  <c r="FT12" i="4"/>
  <c r="FT28" i="4" s="1"/>
  <c r="FT30" i="4" s="1"/>
  <c r="FS45" i="4"/>
  <c r="FS48" i="4" s="1"/>
  <c r="FS12" i="4"/>
  <c r="FS28" i="4" s="1"/>
  <c r="FS30" i="4" s="1"/>
  <c r="FR45" i="4"/>
  <c r="FR48" i="4" s="1"/>
  <c r="FR12" i="4"/>
  <c r="FR28" i="4" s="1"/>
  <c r="FR30" i="4" s="1"/>
  <c r="FQ45" i="4"/>
  <c r="FQ48" i="4" s="1"/>
  <c r="FQ12" i="4"/>
  <c r="FQ28" i="4" s="1"/>
  <c r="FQ30" i="4" s="1"/>
  <c r="FP45" i="4"/>
  <c r="FP48" i="4" s="1"/>
  <c r="FP12" i="4"/>
  <c r="FP28" i="4" s="1"/>
  <c r="FP30" i="4" s="1"/>
  <c r="FO45" i="4"/>
  <c r="FO48" i="4" s="1"/>
  <c r="FO12" i="4"/>
  <c r="FO28" i="4" s="1"/>
  <c r="FO30" i="4" s="1"/>
  <c r="FN45" i="4"/>
  <c r="FN48" i="4" s="1"/>
  <c r="FN12" i="4"/>
  <c r="FN28" i="4" s="1"/>
  <c r="FN30" i="4" s="1"/>
  <c r="FM45" i="4"/>
  <c r="FM48" i="4" s="1"/>
  <c r="FM12" i="4"/>
  <c r="FM28" i="4" s="1"/>
  <c r="FM30" i="4" s="1"/>
  <c r="FL45" i="4"/>
  <c r="FL48" i="4" s="1"/>
  <c r="FL12" i="4"/>
  <c r="FL28" i="4" s="1"/>
  <c r="FL30" i="4" s="1"/>
  <c r="FK45" i="4"/>
  <c r="FK48" i="4" s="1"/>
  <c r="FK12" i="4"/>
  <c r="FK28" i="4" s="1"/>
  <c r="FK30" i="4" s="1"/>
  <c r="FJ45" i="4"/>
  <c r="FJ48" i="4" s="1"/>
  <c r="FJ12" i="4"/>
  <c r="FJ28" i="4" s="1"/>
  <c r="FJ30" i="4" s="1"/>
  <c r="FI45" i="4"/>
  <c r="FI48" i="4" s="1"/>
  <c r="FI12" i="4"/>
  <c r="FI28" i="4" s="1"/>
  <c r="FI30" i="4" s="1"/>
  <c r="FH45" i="4"/>
  <c r="FH48" i="4" s="1"/>
  <c r="FH12" i="4"/>
  <c r="FH28" i="4" s="1"/>
  <c r="FH30" i="4" s="1"/>
  <c r="FG45" i="4"/>
  <c r="FG48" i="4" s="1"/>
  <c r="FG12" i="4"/>
  <c r="FG28" i="4" s="1"/>
  <c r="FG30" i="4" s="1"/>
  <c r="FF45" i="4"/>
  <c r="FF48" i="4" s="1"/>
  <c r="FF12" i="4"/>
  <c r="FF28" i="4" s="1"/>
  <c r="FF30" i="4" s="1"/>
  <c r="FC45" i="4"/>
  <c r="FC48" i="4" s="1"/>
  <c r="FC12" i="4"/>
  <c r="FC28" i="4" s="1"/>
  <c r="FC30" i="4" s="1"/>
  <c r="FB45" i="4"/>
  <c r="FB48" i="4" s="1"/>
  <c r="FB12" i="4"/>
  <c r="FB28" i="4" s="1"/>
  <c r="FB30" i="4" s="1"/>
  <c r="FA45" i="4"/>
  <c r="FA48" i="4" s="1"/>
  <c r="FA12" i="4"/>
  <c r="FA28" i="4" s="1"/>
  <c r="FA30" i="4" s="1"/>
  <c r="EZ45" i="4"/>
  <c r="EZ48" i="4" s="1"/>
  <c r="EZ12" i="4"/>
  <c r="EZ28" i="4" s="1"/>
  <c r="EZ30" i="4" s="1"/>
  <c r="EY45" i="4"/>
  <c r="EY48" i="4" s="1"/>
  <c r="EY12" i="4"/>
  <c r="EY28" i="4" s="1"/>
  <c r="EY30" i="4" s="1"/>
  <c r="EX45" i="4"/>
  <c r="EX48" i="4" s="1"/>
  <c r="EX12" i="4"/>
  <c r="EX28" i="4" s="1"/>
  <c r="EX30" i="4" s="1"/>
  <c r="EW45" i="4"/>
  <c r="EW48" i="4" s="1"/>
  <c r="EW12" i="4"/>
  <c r="EW28" i="4" s="1"/>
  <c r="EW30" i="4" s="1"/>
  <c r="EV45" i="4"/>
  <c r="EV48" i="4" s="1"/>
  <c r="EV12" i="4"/>
  <c r="EV28" i="4" s="1"/>
  <c r="EV30" i="4" s="1"/>
  <c r="EU45" i="4"/>
  <c r="EU48" i="4" s="1"/>
  <c r="EU12" i="4"/>
  <c r="EU28" i="4" s="1"/>
  <c r="EU30" i="4" s="1"/>
  <c r="ET45" i="4"/>
  <c r="ET48" i="4" s="1"/>
  <c r="ET12" i="4"/>
  <c r="ET28" i="4" s="1"/>
  <c r="ET30" i="4" s="1"/>
  <c r="ES45" i="4"/>
  <c r="ES48" i="4" s="1"/>
  <c r="ES12" i="4"/>
  <c r="ES28" i="4" s="1"/>
  <c r="ES30" i="4" s="1"/>
  <c r="ER45" i="4"/>
  <c r="ER48" i="4" s="1"/>
  <c r="ER12" i="4"/>
  <c r="ER28" i="4" s="1"/>
  <c r="ER30" i="4" s="1"/>
  <c r="EQ45" i="4"/>
  <c r="EQ48" i="4" s="1"/>
  <c r="EQ12" i="4"/>
  <c r="EQ28" i="4" s="1"/>
  <c r="EQ30" i="4" s="1"/>
  <c r="EP45" i="4"/>
  <c r="EP48" i="4" s="1"/>
  <c r="EP12" i="4"/>
  <c r="EP28" i="4" s="1"/>
  <c r="EP30" i="4" s="1"/>
  <c r="EO45" i="4"/>
  <c r="EO48" i="4" s="1"/>
  <c r="EO12" i="4"/>
  <c r="EO28" i="4" s="1"/>
  <c r="EO30" i="4" s="1"/>
  <c r="EN45" i="4"/>
  <c r="EN48" i="4" s="1"/>
  <c r="EN12" i="4"/>
  <c r="EN28" i="4" s="1"/>
  <c r="EN30" i="4" s="1"/>
  <c r="EM45" i="4"/>
  <c r="EM48" i="4" s="1"/>
  <c r="EM12" i="4"/>
  <c r="EM28" i="4" s="1"/>
  <c r="EM30" i="4" s="1"/>
  <c r="EL45" i="4"/>
  <c r="EL48" i="4" s="1"/>
  <c r="EL12" i="4"/>
  <c r="EL28" i="4" s="1"/>
  <c r="EL30" i="4" s="1"/>
  <c r="EK45" i="4"/>
  <c r="EK48" i="4" s="1"/>
  <c r="EK12" i="4"/>
  <c r="EK28" i="4" s="1"/>
  <c r="EK30" i="4" s="1"/>
  <c r="EJ45" i="4"/>
  <c r="EJ48" i="4" s="1"/>
  <c r="EJ12" i="4"/>
  <c r="EJ28" i="4" s="1"/>
  <c r="EJ30" i="4" s="1"/>
  <c r="EI45" i="4"/>
  <c r="EI48" i="4" s="1"/>
  <c r="EI12" i="4"/>
  <c r="EI28" i="4" s="1"/>
  <c r="EI30" i="4" s="1"/>
  <c r="EH45" i="4"/>
  <c r="EH48" i="4" s="1"/>
  <c r="EH12" i="4"/>
  <c r="EH28" i="4" s="1"/>
  <c r="EH30" i="4" s="1"/>
  <c r="EG45" i="4"/>
  <c r="EG48" i="4" s="1"/>
  <c r="EG12" i="4"/>
  <c r="EG28" i="4" s="1"/>
  <c r="EG30" i="4" s="1"/>
  <c r="EF45" i="4"/>
  <c r="EF48" i="4" s="1"/>
  <c r="EF12" i="4"/>
  <c r="EF28" i="4" s="1"/>
  <c r="EF30" i="4" s="1"/>
  <c r="EE45" i="4"/>
  <c r="EE48" i="4" s="1"/>
  <c r="EE12" i="4"/>
  <c r="EE28" i="4" s="1"/>
  <c r="EE30" i="4" s="1"/>
  <c r="ED45" i="4"/>
  <c r="ED48" i="4" s="1"/>
  <c r="ED12" i="4"/>
  <c r="ED28" i="4" s="1"/>
  <c r="ED30" i="4" s="1"/>
  <c r="EC45" i="4"/>
  <c r="EC48" i="4" s="1"/>
  <c r="CI12" i="4"/>
  <c r="CI28" i="4" s="1"/>
  <c r="CI30" i="4" s="1"/>
  <c r="CH45" i="4"/>
  <c r="CH48" i="4" s="1"/>
  <c r="CG45" i="4"/>
  <c r="CG48" i="4" s="1"/>
  <c r="CF45" i="4"/>
  <c r="CF48" i="4" s="1"/>
  <c r="CF12" i="4"/>
  <c r="CF28" i="4" s="1"/>
  <c r="CF30" i="4" s="1"/>
  <c r="CE45" i="4"/>
  <c r="CE48" i="4" s="1"/>
  <c r="CE12" i="4"/>
  <c r="CE28" i="4" s="1"/>
  <c r="CE30" i="4" s="1"/>
  <c r="CD45" i="4"/>
  <c r="CD48" i="4" s="1"/>
  <c r="CC45" i="4"/>
  <c r="CC48" i="4" s="1"/>
  <c r="CC12" i="4"/>
  <c r="CC28" i="4" s="1"/>
  <c r="CC30" i="4" s="1"/>
  <c r="CB45" i="4"/>
  <c r="CB48" i="4" s="1"/>
  <c r="CB12" i="4"/>
  <c r="CB28" i="4" s="1"/>
  <c r="CB30" i="4" s="1"/>
  <c r="CA45" i="4"/>
  <c r="CA48" i="4" s="1"/>
  <c r="CA12" i="4"/>
  <c r="CA28" i="4" s="1"/>
  <c r="CA30" i="4" s="1"/>
  <c r="BZ45" i="4"/>
  <c r="BZ48" i="4" s="1"/>
  <c r="BZ12" i="4"/>
  <c r="BZ28" i="4" s="1"/>
  <c r="BZ30" i="4" s="1"/>
  <c r="BY12" i="4"/>
  <c r="BY28" i="4" s="1"/>
  <c r="BY30" i="4" s="1"/>
  <c r="BX45" i="4"/>
  <c r="BX48" i="4" s="1"/>
  <c r="BX12" i="4"/>
  <c r="BX28" i="4" s="1"/>
  <c r="BX30" i="4" s="1"/>
  <c r="BW45" i="4"/>
  <c r="BW48" i="4" s="1"/>
  <c r="BW12" i="4"/>
  <c r="BW28" i="4" s="1"/>
  <c r="BW30" i="4" s="1"/>
  <c r="BV45" i="4"/>
  <c r="BV48" i="4" s="1"/>
  <c r="BV12" i="4"/>
  <c r="BV28" i="4" s="1"/>
  <c r="BV30" i="4" s="1"/>
  <c r="BU45" i="4"/>
  <c r="BU48" i="4" s="1"/>
  <c r="BU12" i="4"/>
  <c r="BU28" i="4" s="1"/>
  <c r="BU30" i="4" s="1"/>
  <c r="BT45" i="4"/>
  <c r="BT48" i="4" s="1"/>
  <c r="BT12" i="4"/>
  <c r="BT28" i="4" s="1"/>
  <c r="BT30" i="4" s="1"/>
  <c r="BS45" i="4"/>
  <c r="BS48" i="4" s="1"/>
  <c r="BR12" i="4"/>
  <c r="BR28" i="4" s="1"/>
  <c r="BR30" i="4" s="1"/>
  <c r="BQ45" i="4"/>
  <c r="BQ48" i="4" s="1"/>
  <c r="BP12" i="4"/>
  <c r="BP28" i="4" s="1"/>
  <c r="BP30" i="4" s="1"/>
  <c r="BO45" i="4"/>
  <c r="BO48" i="4" s="1"/>
  <c r="BL45" i="4"/>
  <c r="BL48" i="4" s="1"/>
  <c r="BL12" i="4"/>
  <c r="BL28" i="4" s="1"/>
  <c r="BL30" i="4" s="1"/>
  <c r="BK45" i="4"/>
  <c r="BK48" i="4" s="1"/>
  <c r="BJ45" i="4"/>
  <c r="BJ48" i="4" s="1"/>
  <c r="BI12" i="4"/>
  <c r="BI28" i="4" s="1"/>
  <c r="BI30" i="4" s="1"/>
  <c r="BH45" i="4"/>
  <c r="BH48" i="4" s="1"/>
  <c r="BH12" i="4"/>
  <c r="BH28" i="4" s="1"/>
  <c r="BH30" i="4" s="1"/>
  <c r="BG45" i="4"/>
  <c r="BG48" i="4" s="1"/>
  <c r="BG12" i="4"/>
  <c r="BG28" i="4" s="1"/>
  <c r="BG30" i="4" s="1"/>
  <c r="BF45" i="4"/>
  <c r="BF48" i="4" s="1"/>
  <c r="BF12" i="4"/>
  <c r="BF28" i="4" s="1"/>
  <c r="BF30" i="4" s="1"/>
  <c r="BE45" i="4"/>
  <c r="BE48" i="4" s="1"/>
  <c r="BD12" i="4"/>
  <c r="BD28" i="4" s="1"/>
  <c r="BD30" i="4" s="1"/>
  <c r="BC45" i="4"/>
  <c r="BC48" i="4" s="1"/>
  <c r="BB45" i="4"/>
  <c r="BB48" i="4" s="1"/>
  <c r="BA12" i="4"/>
  <c r="BA28" i="4" s="1"/>
  <c r="BA30" i="4" s="1"/>
  <c r="AZ45" i="4"/>
  <c r="AZ48" i="4" s="1"/>
  <c r="AY45" i="4"/>
  <c r="AY48" i="4" s="1"/>
  <c r="AX45" i="4"/>
  <c r="AX48" i="4" s="1"/>
  <c r="AW12" i="4"/>
  <c r="AW28" i="4" s="1"/>
  <c r="AW30" i="4" s="1"/>
  <c r="AV45" i="4"/>
  <c r="AV48" i="4" s="1"/>
  <c r="AU45" i="4"/>
  <c r="AU48" i="4" s="1"/>
  <c r="AU12" i="4"/>
  <c r="AU28" i="4" s="1"/>
  <c r="AU30" i="4" s="1"/>
  <c r="AT45" i="4"/>
  <c r="AT48" i="4" s="1"/>
  <c r="AS12" i="4"/>
  <c r="AS28" i="4" s="1"/>
  <c r="AS30" i="4" s="1"/>
  <c r="AR45" i="4"/>
  <c r="AR48" i="4" s="1"/>
  <c r="AQ45" i="4"/>
  <c r="AQ48" i="4" s="1"/>
  <c r="AQ12" i="4"/>
  <c r="AQ28" i="4" s="1"/>
  <c r="AQ30" i="4" s="1"/>
  <c r="AP45" i="4"/>
  <c r="AP48" i="4" s="1"/>
  <c r="AP12" i="4"/>
  <c r="AP28" i="4" s="1"/>
  <c r="AP30" i="4" s="1"/>
  <c r="AO45" i="4"/>
  <c r="AO48" i="4" s="1"/>
  <c r="AO12" i="4"/>
  <c r="AO28" i="4" s="1"/>
  <c r="AO30" i="4" s="1"/>
  <c r="AN45" i="4"/>
  <c r="AN48" i="4" s="1"/>
  <c r="AN12" i="4"/>
  <c r="AN28" i="4" s="1"/>
  <c r="AN30" i="4" s="1"/>
  <c r="AM45" i="4"/>
  <c r="AM48" i="4" s="1"/>
  <c r="AM12" i="4"/>
  <c r="AM28" i="4" s="1"/>
  <c r="AM30" i="4" s="1"/>
  <c r="AL45" i="4"/>
  <c r="AL48" i="4" s="1"/>
  <c r="AK45" i="4"/>
  <c r="AK48" i="4" s="1"/>
  <c r="AJ45" i="4"/>
  <c r="AJ48" i="4" s="1"/>
  <c r="AJ12" i="4"/>
  <c r="AJ28" i="4" s="1"/>
  <c r="AJ30" i="4" s="1"/>
  <c r="AG45" i="4"/>
  <c r="AG48" i="4" s="1"/>
  <c r="AG12" i="4"/>
  <c r="AG28" i="4" s="1"/>
  <c r="AG30" i="4" s="1"/>
  <c r="AF12" i="4"/>
  <c r="AF28" i="4" s="1"/>
  <c r="AF30" i="4" s="1"/>
  <c r="AE45" i="4"/>
  <c r="AE48" i="4" s="1"/>
  <c r="AD45" i="4"/>
  <c r="AD48" i="4" s="1"/>
  <c r="AC45" i="4"/>
  <c r="AC48" i="4" s="1"/>
  <c r="AC12" i="4"/>
  <c r="AC28" i="4" s="1"/>
  <c r="AC30" i="4" s="1"/>
  <c r="AB12" i="4"/>
  <c r="AB28" i="4" s="1"/>
  <c r="AB30" i="4" s="1"/>
  <c r="AA45" i="4"/>
  <c r="AA48" i="4" s="1"/>
  <c r="Z45" i="4"/>
  <c r="Z48" i="4" s="1"/>
  <c r="Z12" i="4"/>
  <c r="Z28" i="4" s="1"/>
  <c r="Z30" i="4" s="1"/>
  <c r="Y45" i="4"/>
  <c r="Y48" i="4" s="1"/>
  <c r="Y12" i="4"/>
  <c r="Y28" i="4" s="1"/>
  <c r="Y30" i="4" s="1"/>
  <c r="X12" i="4"/>
  <c r="X28" i="4" s="1"/>
  <c r="X30" i="4" s="1"/>
  <c r="W45" i="4"/>
  <c r="W48" i="4" s="1"/>
  <c r="W12" i="4"/>
  <c r="W28" i="4" s="1"/>
  <c r="W30" i="4" s="1"/>
  <c r="V45" i="4"/>
  <c r="V48" i="4" s="1"/>
  <c r="U12" i="4"/>
  <c r="U28" i="4" s="1"/>
  <c r="U30" i="4" s="1"/>
  <c r="T45" i="4"/>
  <c r="T48" i="4" s="1"/>
  <c r="S45" i="4"/>
  <c r="S48" i="4" s="1"/>
  <c r="S12" i="4"/>
  <c r="S28" i="4" s="1"/>
  <c r="S30" i="4" s="1"/>
  <c r="R45" i="4"/>
  <c r="R48" i="4" s="1"/>
  <c r="Q45" i="4"/>
  <c r="Q48" i="4" s="1"/>
  <c r="P12" i="4"/>
  <c r="P28" i="4" s="1"/>
  <c r="P30" i="4" s="1"/>
  <c r="O45" i="4"/>
  <c r="O48" i="4" s="1"/>
  <c r="O12" i="4"/>
  <c r="O28" i="4" s="1"/>
  <c r="O30" i="4" s="1"/>
  <c r="N45" i="4"/>
  <c r="N48" i="4" s="1"/>
  <c r="M12" i="4"/>
  <c r="M28" i="4" s="1"/>
  <c r="M30" i="4" s="1"/>
  <c r="L45" i="4"/>
  <c r="L48" i="4" s="1"/>
  <c r="K45" i="4"/>
  <c r="K48" i="4" s="1"/>
  <c r="K12" i="4"/>
  <c r="K28" i="4" s="1"/>
  <c r="K30" i="4" s="1"/>
  <c r="ANZ48" i="4"/>
  <c r="ANY48" i="4"/>
  <c r="ANX48" i="4"/>
  <c r="ANT48" i="4"/>
  <c r="ANS48" i="4"/>
  <c r="ANQ48" i="4"/>
  <c r="ANO48" i="4"/>
  <c r="ANF48" i="4"/>
  <c r="AMZ48" i="4"/>
  <c r="AMV48" i="4"/>
  <c r="AMI48" i="4"/>
  <c r="AMD48" i="4"/>
  <c r="AGS48" i="4"/>
  <c r="EC12" i="4"/>
  <c r="EC28" i="4" s="1"/>
  <c r="EC30" i="4" s="1"/>
  <c r="EB45" i="4"/>
  <c r="EB48" i="4" s="1"/>
  <c r="EB12" i="4"/>
  <c r="EB28" i="4" s="1"/>
  <c r="EB30" i="4" s="1"/>
  <c r="EA45" i="4"/>
  <c r="EA48" i="4" s="1"/>
  <c r="EA12" i="4"/>
  <c r="EA28" i="4" s="1"/>
  <c r="EA30" i="4" s="1"/>
  <c r="DZ45" i="4"/>
  <c r="DZ48" i="4" s="1"/>
  <c r="DZ12" i="4"/>
  <c r="DZ28" i="4" s="1"/>
  <c r="DZ30" i="4" s="1"/>
  <c r="DW45" i="4"/>
  <c r="DW48" i="4" s="1"/>
  <c r="DW12" i="4"/>
  <c r="DW28" i="4" s="1"/>
  <c r="DW30" i="4" s="1"/>
  <c r="DV45" i="4"/>
  <c r="DV48" i="4" s="1"/>
  <c r="DV12" i="4"/>
  <c r="DV28" i="4" s="1"/>
  <c r="DV30" i="4" s="1"/>
  <c r="DU45" i="4"/>
  <c r="DU48" i="4" s="1"/>
  <c r="DU12" i="4"/>
  <c r="DU28" i="4" s="1"/>
  <c r="DU30" i="4" s="1"/>
  <c r="DT45" i="4"/>
  <c r="DT48" i="4" s="1"/>
  <c r="DT12" i="4"/>
  <c r="DT28" i="4" s="1"/>
  <c r="DT30" i="4" s="1"/>
  <c r="DS45" i="4"/>
  <c r="DS48" i="4" s="1"/>
  <c r="DS12" i="4"/>
  <c r="DS28" i="4" s="1"/>
  <c r="DS30" i="4" s="1"/>
  <c r="DR45" i="4"/>
  <c r="DR48" i="4" s="1"/>
  <c r="DR12" i="4"/>
  <c r="DR28" i="4" s="1"/>
  <c r="DR30" i="4" s="1"/>
  <c r="DQ45" i="4"/>
  <c r="DQ48" i="4" s="1"/>
  <c r="DQ12" i="4"/>
  <c r="DQ28" i="4" s="1"/>
  <c r="DQ30" i="4" s="1"/>
  <c r="DP45" i="4"/>
  <c r="DP48" i="4" s="1"/>
  <c r="DP12" i="4"/>
  <c r="DP28" i="4" s="1"/>
  <c r="DP30" i="4" s="1"/>
  <c r="DO45" i="4"/>
  <c r="DO48" i="4" s="1"/>
  <c r="DO12" i="4"/>
  <c r="DO28" i="4" s="1"/>
  <c r="DO30" i="4" s="1"/>
  <c r="DN45" i="4"/>
  <c r="DN48" i="4" s="1"/>
  <c r="DN12" i="4"/>
  <c r="DN28" i="4" s="1"/>
  <c r="DN30" i="4" s="1"/>
  <c r="DM45" i="4"/>
  <c r="DM48" i="4" s="1"/>
  <c r="DM12" i="4"/>
  <c r="DM28" i="4" s="1"/>
  <c r="DM30" i="4" s="1"/>
  <c r="DL45" i="4"/>
  <c r="DL48" i="4" s="1"/>
  <c r="DL12" i="4"/>
  <c r="DL28" i="4" s="1"/>
  <c r="DL30" i="4" s="1"/>
  <c r="DK45" i="4"/>
  <c r="DK48" i="4" s="1"/>
  <c r="DK12" i="4"/>
  <c r="DK28" i="4" s="1"/>
  <c r="DK30" i="4" s="1"/>
  <c r="DJ45" i="4"/>
  <c r="DJ48" i="4" s="1"/>
  <c r="DJ12" i="4"/>
  <c r="DJ28" i="4" s="1"/>
  <c r="DJ30" i="4" s="1"/>
  <c r="DI45" i="4"/>
  <c r="DI48" i="4" s="1"/>
  <c r="DI12" i="4"/>
  <c r="DI28" i="4" s="1"/>
  <c r="DI30" i="4" s="1"/>
  <c r="DH45" i="4"/>
  <c r="DH48" i="4" s="1"/>
  <c r="DH12" i="4"/>
  <c r="DH28" i="4" s="1"/>
  <c r="DH30" i="4" s="1"/>
  <c r="DG45" i="4"/>
  <c r="DG48" i="4" s="1"/>
  <c r="DG12" i="4"/>
  <c r="DG28" i="4" s="1"/>
  <c r="DG30" i="4" s="1"/>
  <c r="DF45" i="4"/>
  <c r="DF48" i="4" s="1"/>
  <c r="DF12" i="4"/>
  <c r="DF28" i="4" s="1"/>
  <c r="DF30" i="4" s="1"/>
  <c r="DE45" i="4"/>
  <c r="DE48" i="4" s="1"/>
  <c r="DE12" i="4"/>
  <c r="DE28" i="4" s="1"/>
  <c r="DE30" i="4" s="1"/>
  <c r="DD45" i="4"/>
  <c r="DD48" i="4" s="1"/>
  <c r="DD12" i="4"/>
  <c r="DD28" i="4" s="1"/>
  <c r="DD30" i="4" s="1"/>
  <c r="DC45" i="4"/>
  <c r="DC48" i="4" s="1"/>
  <c r="DC12" i="4"/>
  <c r="DC28" i="4" s="1"/>
  <c r="DC30" i="4" s="1"/>
  <c r="DB45" i="4"/>
  <c r="DB48" i="4" s="1"/>
  <c r="DB12" i="4"/>
  <c r="DB28" i="4" s="1"/>
  <c r="DB30" i="4" s="1"/>
  <c r="DA45" i="4"/>
  <c r="DA48" i="4" s="1"/>
  <c r="DA12" i="4"/>
  <c r="DA28" i="4" s="1"/>
  <c r="DA30" i="4" s="1"/>
  <c r="CZ45" i="4"/>
  <c r="CZ48" i="4" s="1"/>
  <c r="CZ12" i="4"/>
  <c r="CZ28" i="4" s="1"/>
  <c r="CZ30" i="4" s="1"/>
  <c r="CY45" i="4"/>
  <c r="CY48" i="4" s="1"/>
  <c r="CY12" i="4"/>
  <c r="CY28" i="4" s="1"/>
  <c r="CY30" i="4" s="1"/>
  <c r="CX45" i="4"/>
  <c r="CX48" i="4" s="1"/>
  <c r="CX12" i="4"/>
  <c r="CX28" i="4" s="1"/>
  <c r="CX30" i="4" s="1"/>
  <c r="CW45" i="4"/>
  <c r="CW48" i="4" s="1"/>
  <c r="CW12" i="4"/>
  <c r="CW28" i="4" s="1"/>
  <c r="CW30" i="4" s="1"/>
  <c r="CV45" i="4"/>
  <c r="CV48" i="4" s="1"/>
  <c r="CV12" i="4"/>
  <c r="CV28" i="4" s="1"/>
  <c r="CV30" i="4" s="1"/>
  <c r="CU45" i="4"/>
  <c r="CU48" i="4" s="1"/>
  <c r="CU12" i="4"/>
  <c r="CU28" i="4" s="1"/>
  <c r="CU30" i="4" s="1"/>
  <c r="CR45" i="4"/>
  <c r="CR48" i="4" s="1"/>
  <c r="CR12" i="4"/>
  <c r="CR28" i="4" s="1"/>
  <c r="CR30" i="4" s="1"/>
  <c r="CQ45" i="4"/>
  <c r="CQ48" i="4" s="1"/>
  <c r="CQ12" i="4"/>
  <c r="CQ28" i="4" s="1"/>
  <c r="CQ30" i="4" s="1"/>
  <c r="CP45" i="4"/>
  <c r="CP48" i="4" s="1"/>
  <c r="CP12" i="4"/>
  <c r="CP28" i="4" s="1"/>
  <c r="CP30" i="4" s="1"/>
  <c r="CO45" i="4"/>
  <c r="CO48" i="4" s="1"/>
  <c r="CO12" i="4"/>
  <c r="CO28" i="4" s="1"/>
  <c r="CO30" i="4" s="1"/>
  <c r="CN45" i="4"/>
  <c r="CN48" i="4" s="1"/>
  <c r="CN12" i="4"/>
  <c r="CN28" i="4" s="1"/>
  <c r="CN30" i="4" s="1"/>
  <c r="CM45" i="4"/>
  <c r="CM48" i="4" s="1"/>
  <c r="CM12" i="4"/>
  <c r="CM28" i="4" s="1"/>
  <c r="CM30" i="4" s="1"/>
  <c r="CL45" i="4"/>
  <c r="CL48" i="4" s="1"/>
  <c r="CL12" i="4"/>
  <c r="CL28" i="4" s="1"/>
  <c r="CL30" i="4" s="1"/>
  <c r="CK45" i="4"/>
  <c r="CK48" i="4" s="1"/>
  <c r="CK12" i="4"/>
  <c r="CK28" i="4" s="1"/>
  <c r="CK30" i="4" s="1"/>
  <c r="CJ45" i="4"/>
  <c r="CJ48" i="4" s="1"/>
  <c r="CJ12" i="4"/>
  <c r="CJ28" i="4" s="1"/>
  <c r="CJ30" i="4" s="1"/>
  <c r="CI45" i="4"/>
  <c r="CI48" i="4" s="1"/>
  <c r="CH12" i="4"/>
  <c r="CH28" i="4" s="1"/>
  <c r="CH30" i="4" s="1"/>
  <c r="CG12" i="4"/>
  <c r="CG28" i="4" s="1"/>
  <c r="CG30" i="4" s="1"/>
  <c r="CD12" i="4"/>
  <c r="CD28" i="4" s="1"/>
  <c r="CD30" i="4" s="1"/>
  <c r="BY45" i="4"/>
  <c r="BY48" i="4" s="1"/>
  <c r="BS12" i="4"/>
  <c r="BS28" i="4" s="1"/>
  <c r="BS30" i="4" s="1"/>
  <c r="BR45" i="4"/>
  <c r="BR48" i="4" s="1"/>
  <c r="BQ12" i="4"/>
  <c r="BQ28" i="4" s="1"/>
  <c r="BQ30" i="4" s="1"/>
  <c r="BP45" i="4"/>
  <c r="BP48" i="4" s="1"/>
  <c r="BO12" i="4"/>
  <c r="BO28" i="4" s="1"/>
  <c r="BO30" i="4" s="1"/>
  <c r="BK12" i="4"/>
  <c r="BK28" i="4" s="1"/>
  <c r="BK30" i="4" s="1"/>
  <c r="BJ12" i="4"/>
  <c r="BJ28" i="4" s="1"/>
  <c r="BJ30" i="4" s="1"/>
  <c r="BI45" i="4"/>
  <c r="BI48" i="4" s="1"/>
  <c r="BE12" i="4"/>
  <c r="BE28" i="4" s="1"/>
  <c r="BE30" i="4" s="1"/>
  <c r="BD45" i="4"/>
  <c r="BD48" i="4" s="1"/>
  <c r="BC12" i="4"/>
  <c r="BC28" i="4" s="1"/>
  <c r="BC30" i="4" s="1"/>
  <c r="BB12" i="4"/>
  <c r="BB28" i="4" s="1"/>
  <c r="BB30" i="4" s="1"/>
  <c r="BA45" i="4"/>
  <c r="BA48" i="4" s="1"/>
  <c r="AZ12" i="4"/>
  <c r="AZ28" i="4" s="1"/>
  <c r="AZ30" i="4" s="1"/>
  <c r="AY12" i="4"/>
  <c r="AY28" i="4" s="1"/>
  <c r="AY30" i="4" s="1"/>
  <c r="AX12" i="4"/>
  <c r="AX28" i="4" s="1"/>
  <c r="AX30" i="4" s="1"/>
  <c r="AW45" i="4"/>
  <c r="AW48" i="4" s="1"/>
  <c r="AV12" i="4"/>
  <c r="AV28" i="4" s="1"/>
  <c r="AV30" i="4" s="1"/>
  <c r="AT12" i="4"/>
  <c r="AT28" i="4" s="1"/>
  <c r="AT30" i="4" s="1"/>
  <c r="AS45" i="4"/>
  <c r="AS48" i="4" s="1"/>
  <c r="AR12" i="4"/>
  <c r="AR28" i="4" s="1"/>
  <c r="AR30" i="4" s="1"/>
  <c r="AL12" i="4"/>
  <c r="AL28" i="4" s="1"/>
  <c r="AL30" i="4" s="1"/>
  <c r="AK12" i="4"/>
  <c r="AK28" i="4" s="1"/>
  <c r="AK30" i="4" s="1"/>
  <c r="AF45" i="4"/>
  <c r="AF48" i="4" s="1"/>
  <c r="AE12" i="4"/>
  <c r="AE28" i="4" s="1"/>
  <c r="AE30" i="4" s="1"/>
  <c r="AD12" i="4"/>
  <c r="AD28" i="4" s="1"/>
  <c r="AD30" i="4" s="1"/>
  <c r="AB45" i="4"/>
  <c r="AB48" i="4" s="1"/>
  <c r="AA12" i="4"/>
  <c r="AA28" i="4" s="1"/>
  <c r="AA30" i="4" s="1"/>
  <c r="X45" i="4"/>
  <c r="X48" i="4" s="1"/>
  <c r="V12" i="4"/>
  <c r="V28" i="4" s="1"/>
  <c r="V30" i="4" s="1"/>
  <c r="U45" i="4"/>
  <c r="U48" i="4" s="1"/>
  <c r="T12" i="4"/>
  <c r="T28" i="4" s="1"/>
  <c r="T30" i="4" s="1"/>
  <c r="R12" i="4"/>
  <c r="R28" i="4" s="1"/>
  <c r="R30" i="4" s="1"/>
  <c r="Q12" i="4"/>
  <c r="Q28" i="4" s="1"/>
  <c r="Q30" i="4" s="1"/>
  <c r="P45" i="4"/>
  <c r="P48" i="4" s="1"/>
  <c r="N12" i="4"/>
  <c r="N28" i="4" s="1"/>
  <c r="N30" i="4" s="1"/>
  <c r="M45" i="4"/>
  <c r="M48" i="4" s="1"/>
  <c r="L12" i="4"/>
  <c r="L28" i="4" s="1"/>
  <c r="L30" i="4" s="1"/>
  <c r="J45" i="4"/>
  <c r="J48" i="4" s="1"/>
  <c r="ANP48" i="4"/>
  <c r="ANE48" i="4"/>
  <c r="AML48" i="4"/>
  <c r="AGR48" i="4"/>
  <c r="AGP48" i="4"/>
  <c r="AGO48" i="4"/>
  <c r="AOA48" i="4"/>
  <c r="ANW48" i="4"/>
  <c r="AGQ48" i="4"/>
  <c r="AMS48" i="4"/>
  <c r="AMH48" i="4"/>
  <c r="PC28" i="4"/>
  <c r="PC30" i="4" s="1"/>
  <c r="ANN48" i="4"/>
  <c r="ANG48" i="4"/>
  <c r="AMT48" i="4"/>
  <c r="AMQ48" i="4"/>
  <c r="AMG48" i="4"/>
  <c r="AGT48" i="4"/>
  <c r="AOB48" i="4"/>
  <c r="ANU48" i="4"/>
  <c r="ANC48" i="4"/>
  <c r="D29" i="5"/>
  <c r="E29" i="5" s="1"/>
  <c r="F29" i="5" s="1"/>
  <c r="G29" i="5" s="1"/>
  <c r="H29" i="5" s="1"/>
  <c r="I29" i="5" s="1"/>
  <c r="J29" i="5" s="1"/>
  <c r="K29" i="5" s="1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AG29" i="5" s="1"/>
  <c r="C37" i="5"/>
  <c r="C51" i="5" s="1"/>
  <c r="C53" i="5" s="1"/>
  <c r="TR6" i="4"/>
  <c r="TR11" i="4"/>
  <c r="BN17" i="5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GL52" i="5" l="1"/>
  <c r="GN52" i="5" s="1"/>
  <c r="GP52" i="5" s="1"/>
  <c r="GR52" i="5" s="1"/>
  <c r="GT52" i="5" s="1"/>
  <c r="GV52" i="5" s="1"/>
  <c r="GX52" i="5" s="1"/>
  <c r="GZ52" i="5" s="1"/>
  <c r="HB52" i="5" s="1"/>
  <c r="HD52" i="5" s="1"/>
  <c r="HF52" i="5" s="1"/>
  <c r="HH52" i="5" s="1"/>
  <c r="HJ52" i="5" s="1"/>
  <c r="HL52" i="5" s="1"/>
  <c r="GM52" i="5"/>
  <c r="GO52" i="5" s="1"/>
  <c r="GQ52" i="5" s="1"/>
  <c r="GS52" i="5" s="1"/>
  <c r="GU52" i="5" s="1"/>
  <c r="GW52" i="5" s="1"/>
  <c r="GY52" i="5" s="1"/>
  <c r="HA52" i="5" s="1"/>
  <c r="HC52" i="5" s="1"/>
  <c r="HE52" i="5" s="1"/>
  <c r="HG52" i="5" s="1"/>
  <c r="HI52" i="5" s="1"/>
  <c r="HK52" i="5" s="1"/>
  <c r="HM52" i="5" s="1"/>
  <c r="HO52" i="5" s="1"/>
  <c r="HP52" i="5" s="1"/>
  <c r="HQ52" i="5" s="1"/>
  <c r="HR52" i="5" s="1"/>
  <c r="HS52" i="5" s="1"/>
  <c r="HT52" i="5" s="1"/>
  <c r="HU52" i="5" s="1"/>
  <c r="HV52" i="5" s="1"/>
  <c r="HW52" i="5" s="1"/>
  <c r="HX52" i="5" s="1"/>
  <c r="HY52" i="5" s="1"/>
  <c r="HZ52" i="5" s="1"/>
  <c r="IA52" i="5" s="1"/>
  <c r="IB52" i="5" s="1"/>
  <c r="IC52" i="5" s="1"/>
  <c r="ID52" i="5" s="1"/>
  <c r="IE52" i="5" s="1"/>
  <c r="IF52" i="5" s="1"/>
  <c r="IG52" i="5" s="1"/>
  <c r="IH52" i="5" s="1"/>
  <c r="II52" i="5" s="1"/>
  <c r="IJ52" i="5" s="1"/>
  <c r="IK52" i="5" s="1"/>
  <c r="IL52" i="5" s="1"/>
  <c r="IM52" i="5" s="1"/>
  <c r="IN52" i="5" s="1"/>
  <c r="IO52" i="5" s="1"/>
  <c r="IP52" i="5" s="1"/>
  <c r="IQ52" i="5" s="1"/>
  <c r="IR52" i="5" s="1"/>
  <c r="IS52" i="5" s="1"/>
  <c r="IU52" i="5" s="1"/>
  <c r="IV52" i="5" s="1"/>
  <c r="IW52" i="5" s="1"/>
  <c r="IX52" i="5" s="1"/>
  <c r="IY52" i="5" s="1"/>
  <c r="IZ52" i="5" s="1"/>
  <c r="JA52" i="5" s="1"/>
  <c r="JB52" i="5" s="1"/>
  <c r="JC52" i="5" s="1"/>
  <c r="JD52" i="5" s="1"/>
  <c r="JE52" i="5" s="1"/>
  <c r="JF52" i="5" s="1"/>
  <c r="JG52" i="5" s="1"/>
  <c r="JH52" i="5" s="1"/>
  <c r="JI52" i="5" s="1"/>
  <c r="JJ52" i="5" s="1"/>
  <c r="JK52" i="5" s="1"/>
  <c r="JL52" i="5" s="1"/>
  <c r="JM52" i="5" s="1"/>
  <c r="JN52" i="5" s="1"/>
  <c r="JO52" i="5" s="1"/>
  <c r="JP52" i="5" s="1"/>
  <c r="JQ52" i="5" s="1"/>
  <c r="JR52" i="5" s="1"/>
  <c r="JS52" i="5" s="1"/>
  <c r="JT52" i="5" s="1"/>
  <c r="JU52" i="5" s="1"/>
  <c r="JV52" i="5" s="1"/>
  <c r="JW52" i="5" s="1"/>
  <c r="JX52" i="5" s="1"/>
  <c r="JZ52" i="5" s="1"/>
  <c r="H48" i="5"/>
  <c r="KJ42" i="5"/>
  <c r="KL42" i="5" s="1"/>
  <c r="KN42" i="5" s="1"/>
  <c r="KK42" i="5"/>
  <c r="KM42" i="5" s="1"/>
  <c r="KO42" i="5" s="1"/>
  <c r="GC42" i="5"/>
  <c r="GE42" i="5" s="1"/>
  <c r="GG42" i="5" s="1"/>
  <c r="GI42" i="5" s="1"/>
  <c r="GK42" i="5" s="1"/>
  <c r="GL42" i="5" s="1"/>
  <c r="GM42" i="5" s="1"/>
  <c r="GN42" i="5" s="1"/>
  <c r="GO42" i="5" s="1"/>
  <c r="GP42" i="5" s="1"/>
  <c r="GQ42" i="5" s="1"/>
  <c r="GR42" i="5" s="1"/>
  <c r="GS42" i="5" s="1"/>
  <c r="GT42" i="5" s="1"/>
  <c r="GU42" i="5" s="1"/>
  <c r="GV42" i="5" s="1"/>
  <c r="GW42" i="5" s="1"/>
  <c r="GD42" i="5"/>
  <c r="GF42" i="5" s="1"/>
  <c r="GH42" i="5" s="1"/>
  <c r="AR42" i="5"/>
  <c r="AS42" i="5"/>
  <c r="AT42" i="5" s="1"/>
  <c r="AU42" i="5" s="1"/>
  <c r="AV42" i="5" s="1"/>
  <c r="AU41" i="5"/>
  <c r="AV41" i="5"/>
  <c r="G44" i="5"/>
  <c r="H40" i="5"/>
  <c r="HW39" i="5"/>
  <c r="HY39" i="5" s="1"/>
  <c r="IA39" i="5" s="1"/>
  <c r="HX39" i="5"/>
  <c r="HZ39" i="5" s="1"/>
  <c r="IB39" i="5" s="1"/>
  <c r="EO39" i="5"/>
  <c r="EQ39" i="5" s="1"/>
  <c r="ES39" i="5" s="1"/>
  <c r="EU39" i="5" s="1"/>
  <c r="EW39" i="5" s="1"/>
  <c r="EY39" i="5" s="1"/>
  <c r="FA39" i="5" s="1"/>
  <c r="FC39" i="5" s="1"/>
  <c r="FE39" i="5" s="1"/>
  <c r="EP39" i="5"/>
  <c r="ER39" i="5" s="1"/>
  <c r="ET39" i="5" s="1"/>
  <c r="EV39" i="5" s="1"/>
  <c r="EX39" i="5" s="1"/>
  <c r="EZ39" i="5" s="1"/>
  <c r="FB39" i="5" s="1"/>
  <c r="K38" i="5"/>
  <c r="AZ36" i="5"/>
  <c r="BB36" i="5" s="1"/>
  <c r="BD36" i="5" s="1"/>
  <c r="BF36" i="5" s="1"/>
  <c r="BH36" i="5" s="1"/>
  <c r="BJ36" i="5" s="1"/>
  <c r="BL36" i="5" s="1"/>
  <c r="BA36" i="5"/>
  <c r="BC36" i="5" s="1"/>
  <c r="BE36" i="5" s="1"/>
  <c r="BG36" i="5" s="1"/>
  <c r="BI36" i="5" s="1"/>
  <c r="BK36" i="5" s="1"/>
  <c r="HY35" i="5"/>
  <c r="HX35" i="5"/>
  <c r="OO32" i="5"/>
  <c r="OQ32" i="5" s="1"/>
  <c r="ON32" i="5"/>
  <c r="OP32" i="5" s="1"/>
  <c r="HF31" i="5"/>
  <c r="HH31" i="5" s="1"/>
  <c r="HJ31" i="5" s="1"/>
  <c r="HL31" i="5" s="1"/>
  <c r="HE31" i="5"/>
  <c r="HG31" i="5" s="1"/>
  <c r="HI31" i="5" s="1"/>
  <c r="HK31" i="5" s="1"/>
  <c r="HM31" i="5" s="1"/>
  <c r="HO31" i="5" s="1"/>
  <c r="HP31" i="5" s="1"/>
  <c r="HQ31" i="5" s="1"/>
  <c r="HR31" i="5" s="1"/>
  <c r="HS31" i="5" s="1"/>
  <c r="HT31" i="5" s="1"/>
  <c r="HU31" i="5" s="1"/>
  <c r="HV31" i="5" s="1"/>
  <c r="HW31" i="5" s="1"/>
  <c r="HX31" i="5" s="1"/>
  <c r="HY31" i="5" s="1"/>
  <c r="HZ31" i="5" s="1"/>
  <c r="IA31" i="5" s="1"/>
  <c r="IB31" i="5" s="1"/>
  <c r="IC31" i="5" s="1"/>
  <c r="ID31" i="5" s="1"/>
  <c r="IE31" i="5" s="1"/>
  <c r="IF31" i="5" s="1"/>
  <c r="IG31" i="5" s="1"/>
  <c r="IH31" i="5" s="1"/>
  <c r="II31" i="5" s="1"/>
  <c r="IJ31" i="5" s="1"/>
  <c r="IK31" i="5" s="1"/>
  <c r="IL31" i="5" s="1"/>
  <c r="IM31" i="5" s="1"/>
  <c r="IN31" i="5" s="1"/>
  <c r="IO31" i="5" s="1"/>
  <c r="IP31" i="5" s="1"/>
  <c r="IQ31" i="5" s="1"/>
  <c r="IR31" i="5" s="1"/>
  <c r="IS31" i="5" s="1"/>
  <c r="IU31" i="5" s="1"/>
  <c r="IV31" i="5" s="1"/>
  <c r="IW31" i="5" s="1"/>
  <c r="IX31" i="5" s="1"/>
  <c r="IY31" i="5" s="1"/>
  <c r="IZ31" i="5" s="1"/>
  <c r="JA31" i="5" s="1"/>
  <c r="JB31" i="5" s="1"/>
  <c r="JC31" i="5" s="1"/>
  <c r="JD31" i="5" s="1"/>
  <c r="JE31" i="5" s="1"/>
  <c r="JF31" i="5" s="1"/>
  <c r="JG31" i="5" s="1"/>
  <c r="JH31" i="5" s="1"/>
  <c r="JI31" i="5" s="1"/>
  <c r="JJ31" i="5" s="1"/>
  <c r="JK31" i="5" s="1"/>
  <c r="JL31" i="5" s="1"/>
  <c r="JM31" i="5" s="1"/>
  <c r="JN31" i="5" s="1"/>
  <c r="JO31" i="5" s="1"/>
  <c r="JP31" i="5" s="1"/>
  <c r="JQ31" i="5" s="1"/>
  <c r="JR31" i="5" s="1"/>
  <c r="JS31" i="5" s="1"/>
  <c r="JT31" i="5" s="1"/>
  <c r="JU31" i="5" s="1"/>
  <c r="JV31" i="5" s="1"/>
  <c r="JW31" i="5" s="1"/>
  <c r="JX31" i="5" s="1"/>
  <c r="JZ31" i="5" s="1"/>
  <c r="WF30" i="5"/>
  <c r="WG18" i="5"/>
  <c r="VD18" i="5"/>
  <c r="VC30" i="5"/>
  <c r="TW30" i="5"/>
  <c r="TX18" i="5"/>
  <c r="SR18" i="5"/>
  <c r="SQ30" i="5"/>
  <c r="RM18" i="5"/>
  <c r="RL30" i="5"/>
  <c r="QG18" i="5"/>
  <c r="QF30" i="5"/>
  <c r="PA30" i="5"/>
  <c r="PB18" i="5"/>
  <c r="NV18" i="5"/>
  <c r="NU30" i="5"/>
  <c r="NK30" i="5"/>
  <c r="NL18" i="5"/>
  <c r="FJ18" i="5"/>
  <c r="FI30" i="5"/>
  <c r="EM18" i="5"/>
  <c r="EL30" i="5"/>
  <c r="DZ25" i="5"/>
  <c r="EB25" i="5" s="1"/>
  <c r="ED25" i="5" s="1"/>
  <c r="EF25" i="5" s="1"/>
  <c r="EH25" i="5" s="1"/>
  <c r="EJ25" i="5" s="1"/>
  <c r="EL25" i="5" s="1"/>
  <c r="EN25" i="5" s="1"/>
  <c r="EP25" i="5" s="1"/>
  <c r="ER25" i="5" s="1"/>
  <c r="ET25" i="5" s="1"/>
  <c r="EV25" i="5" s="1"/>
  <c r="EX25" i="5" s="1"/>
  <c r="EZ25" i="5" s="1"/>
  <c r="FB25" i="5" s="1"/>
  <c r="EA25" i="5"/>
  <c r="EC25" i="5" s="1"/>
  <c r="EE25" i="5" s="1"/>
  <c r="EG25" i="5" s="1"/>
  <c r="EI25" i="5" s="1"/>
  <c r="EK25" i="5" s="1"/>
  <c r="EM25" i="5" s="1"/>
  <c r="EO25" i="5" s="1"/>
  <c r="EQ25" i="5" s="1"/>
  <c r="ES25" i="5" s="1"/>
  <c r="EU25" i="5" s="1"/>
  <c r="EW25" i="5" s="1"/>
  <c r="EY25" i="5" s="1"/>
  <c r="FA25" i="5" s="1"/>
  <c r="FC25" i="5" s="1"/>
  <c r="FE25" i="5" s="1"/>
  <c r="DZ24" i="5"/>
  <c r="EB24" i="5" s="1"/>
  <c r="ED24" i="5" s="1"/>
  <c r="EF24" i="5" s="1"/>
  <c r="EH24" i="5" s="1"/>
  <c r="EJ24" i="5" s="1"/>
  <c r="EL24" i="5" s="1"/>
  <c r="EN24" i="5" s="1"/>
  <c r="EP24" i="5" s="1"/>
  <c r="ER24" i="5" s="1"/>
  <c r="ET24" i="5" s="1"/>
  <c r="EV24" i="5" s="1"/>
  <c r="EX24" i="5" s="1"/>
  <c r="EZ24" i="5" s="1"/>
  <c r="FB24" i="5" s="1"/>
  <c r="EA24" i="5"/>
  <c r="EC24" i="5" s="1"/>
  <c r="EE24" i="5" s="1"/>
  <c r="EG24" i="5" s="1"/>
  <c r="EI24" i="5" s="1"/>
  <c r="EK24" i="5" s="1"/>
  <c r="EM24" i="5" s="1"/>
  <c r="EO24" i="5" s="1"/>
  <c r="EQ24" i="5" s="1"/>
  <c r="ES24" i="5" s="1"/>
  <c r="EU24" i="5" s="1"/>
  <c r="EW24" i="5" s="1"/>
  <c r="EY24" i="5" s="1"/>
  <c r="FA24" i="5" s="1"/>
  <c r="FC24" i="5" s="1"/>
  <c r="FE24" i="5" s="1"/>
  <c r="DZ23" i="5"/>
  <c r="EB23" i="5" s="1"/>
  <c r="ED23" i="5" s="1"/>
  <c r="EF23" i="5" s="1"/>
  <c r="EH23" i="5" s="1"/>
  <c r="EJ23" i="5" s="1"/>
  <c r="EL23" i="5" s="1"/>
  <c r="EN23" i="5" s="1"/>
  <c r="EP23" i="5" s="1"/>
  <c r="ER23" i="5" s="1"/>
  <c r="ET23" i="5" s="1"/>
  <c r="EV23" i="5" s="1"/>
  <c r="EX23" i="5" s="1"/>
  <c r="EZ23" i="5" s="1"/>
  <c r="FB23" i="5" s="1"/>
  <c r="EA23" i="5"/>
  <c r="EC23" i="5" s="1"/>
  <c r="EE23" i="5" s="1"/>
  <c r="EG23" i="5" s="1"/>
  <c r="EI23" i="5" s="1"/>
  <c r="EK23" i="5" s="1"/>
  <c r="EM23" i="5" s="1"/>
  <c r="EO23" i="5" s="1"/>
  <c r="EQ23" i="5" s="1"/>
  <c r="ES23" i="5" s="1"/>
  <c r="EU23" i="5" s="1"/>
  <c r="EW23" i="5" s="1"/>
  <c r="EY23" i="5" s="1"/>
  <c r="FA23" i="5" s="1"/>
  <c r="FC23" i="5" s="1"/>
  <c r="FE23" i="5" s="1"/>
  <c r="WE22" i="5"/>
  <c r="WG22" i="5" s="1"/>
  <c r="WF22" i="5"/>
  <c r="GL21" i="5"/>
  <c r="GN21" i="5" s="1"/>
  <c r="GP21" i="5" s="1"/>
  <c r="GR21" i="5" s="1"/>
  <c r="GT21" i="5" s="1"/>
  <c r="GV21" i="5" s="1"/>
  <c r="GX21" i="5" s="1"/>
  <c r="GZ21" i="5" s="1"/>
  <c r="HB21" i="5" s="1"/>
  <c r="HD21" i="5" s="1"/>
  <c r="HF21" i="5" s="1"/>
  <c r="HH21" i="5" s="1"/>
  <c r="HJ21" i="5" s="1"/>
  <c r="HL21" i="5" s="1"/>
  <c r="GM21" i="5"/>
  <c r="GO21" i="5" s="1"/>
  <c r="GQ21" i="5" s="1"/>
  <c r="GS21" i="5" s="1"/>
  <c r="GU21" i="5" s="1"/>
  <c r="GW21" i="5" s="1"/>
  <c r="GY21" i="5" s="1"/>
  <c r="HA21" i="5" s="1"/>
  <c r="HC21" i="5" s="1"/>
  <c r="HE21" i="5" s="1"/>
  <c r="HG21" i="5" s="1"/>
  <c r="HI21" i="5" s="1"/>
  <c r="HK21" i="5" s="1"/>
  <c r="HM21" i="5" s="1"/>
  <c r="HO21" i="5" s="1"/>
  <c r="I20" i="5"/>
  <c r="AV19" i="5"/>
  <c r="ANP17" i="5"/>
  <c r="AEA17" i="5"/>
  <c r="WP16" i="5"/>
  <c r="IA16" i="5"/>
  <c r="FN16" i="5"/>
  <c r="DD16" i="5"/>
  <c r="DE16" i="5"/>
  <c r="ANR15" i="5"/>
  <c r="AKY15" i="5"/>
  <c r="VI15" i="5"/>
  <c r="RV15" i="5"/>
  <c r="ALZ14" i="5"/>
  <c r="ALA14" i="5"/>
  <c r="AKT14" i="5"/>
  <c r="AJQ14" i="5"/>
  <c r="AIK14" i="5"/>
  <c r="AHQ14" i="5"/>
  <c r="AGJ14" i="5"/>
  <c r="AFA14" i="5"/>
  <c r="AEC14" i="5"/>
  <c r="ACO14" i="5"/>
  <c r="ABT14" i="5"/>
  <c r="AAA14" i="5"/>
  <c r="ZC14" i="5"/>
  <c r="XV14" i="5"/>
  <c r="UE14" i="5"/>
  <c r="SX14" i="5"/>
  <c r="RX14" i="5"/>
  <c r="QN14" i="5"/>
  <c r="PN14" i="5"/>
  <c r="OB14" i="5"/>
  <c r="NN14" i="5"/>
  <c r="LX14" i="5"/>
  <c r="KM14" i="5"/>
  <c r="KN14" i="5"/>
  <c r="JC14" i="5"/>
  <c r="HA14" i="5"/>
  <c r="EO14" i="5"/>
  <c r="DI14" i="5"/>
  <c r="DH14" i="5"/>
  <c r="CG14" i="5"/>
  <c r="AY14" i="5"/>
  <c r="K14" i="5"/>
  <c r="AN3" i="5"/>
  <c r="BR3" i="5"/>
  <c r="CW3" i="5" s="1"/>
  <c r="ANC15" i="5"/>
  <c r="ALX16" i="5"/>
  <c r="AKR16" i="5"/>
  <c r="AJO16" i="5"/>
  <c r="AHC14" i="5"/>
  <c r="AFX14" i="5"/>
  <c r="ADM14" i="5"/>
  <c r="XK14" i="5"/>
  <c r="WE14" i="5"/>
  <c r="KC14" i="5"/>
  <c r="GN14" i="5"/>
  <c r="BP14" i="5"/>
  <c r="E37" i="5"/>
  <c r="F26" i="5"/>
  <c r="AN3" i="4"/>
  <c r="BR3" i="4"/>
  <c r="CW3" i="4" s="1"/>
  <c r="AN2" i="2"/>
  <c r="BR2" i="2"/>
  <c r="CW2" i="2" s="1"/>
  <c r="AM3" i="1"/>
  <c r="BQ3" i="1"/>
  <c r="CV3" i="1" s="1"/>
  <c r="AH9" i="4"/>
  <c r="C12" i="4"/>
  <c r="AH11" i="4"/>
  <c r="C47" i="4"/>
  <c r="AMY7" i="4"/>
  <c r="ALU9" i="4"/>
  <c r="ALU11" i="4"/>
  <c r="ALU39" i="4"/>
  <c r="ALT7" i="4"/>
  <c r="AKO9" i="4"/>
  <c r="AKO11" i="4"/>
  <c r="AKO39" i="4"/>
  <c r="AKN7" i="4"/>
  <c r="AJL9" i="4"/>
  <c r="AJL11" i="4"/>
  <c r="AJL39" i="4"/>
  <c r="AJK9" i="4"/>
  <c r="AIF12" i="4"/>
  <c r="AIF40" i="4"/>
  <c r="AJK39" i="4"/>
  <c r="AJK11" i="4"/>
  <c r="AIF47" i="4"/>
  <c r="AIE9" i="4"/>
  <c r="AGZ12" i="4"/>
  <c r="AIE11" i="4"/>
  <c r="AGZ47" i="4"/>
  <c r="AGZ40" i="4"/>
  <c r="AIE39" i="4"/>
  <c r="AGY7" i="4"/>
  <c r="AFU9" i="4"/>
  <c r="AFU39" i="4"/>
  <c r="AFU11" i="4"/>
  <c r="AFT7" i="4"/>
  <c r="AEO9" i="4"/>
  <c r="AEO11" i="4"/>
  <c r="AEO39" i="4"/>
  <c r="AEN7" i="4"/>
  <c r="ADJ9" i="4"/>
  <c r="ADJ39" i="4"/>
  <c r="ADJ11" i="4"/>
  <c r="ADI7" i="4"/>
  <c r="ACD9" i="4"/>
  <c r="ACD39" i="4"/>
  <c r="ACD11" i="4"/>
  <c r="ACC7" i="4"/>
  <c r="AAX9" i="4"/>
  <c r="AAX39" i="4"/>
  <c r="AAX11" i="4"/>
  <c r="AAW9" i="4"/>
  <c r="ZS12" i="4"/>
  <c r="ZS47" i="4"/>
  <c r="AAW11" i="4"/>
  <c r="ZS40" i="4"/>
  <c r="AAW39" i="4"/>
  <c r="ZR12" i="4"/>
  <c r="YM28" i="4"/>
  <c r="YM47" i="4"/>
  <c r="ZR11" i="4"/>
  <c r="YM40" i="4"/>
  <c r="ZR39" i="4"/>
  <c r="XG9" i="4"/>
  <c r="WB12" i="4"/>
  <c r="WB40" i="4"/>
  <c r="XG39" i="4"/>
  <c r="UX42" i="4"/>
  <c r="TT43" i="4"/>
  <c r="TR40" i="4"/>
  <c r="SN42" i="4"/>
  <c r="SL40" i="4"/>
  <c r="RH42" i="4"/>
  <c r="RG12" i="4"/>
  <c r="QC28" i="4"/>
  <c r="RG40" i="4"/>
  <c r="QC42" i="4"/>
  <c r="OW28" i="4"/>
  <c r="QA12" i="4"/>
  <c r="QA47" i="4"/>
  <c r="QA40" i="4"/>
  <c r="OW42" i="4"/>
  <c r="OV12" i="4"/>
  <c r="NR28" i="4"/>
  <c r="OV47" i="4"/>
  <c r="OV40" i="4"/>
  <c r="NR42" i="4"/>
  <c r="ML28" i="4"/>
  <c r="NP12" i="4"/>
  <c r="NP47" i="4"/>
  <c r="NP40" i="4"/>
  <c r="ML42" i="4"/>
  <c r="LF28" i="4"/>
  <c r="MJ12" i="4"/>
  <c r="MJ47" i="4"/>
  <c r="MJ40" i="4"/>
  <c r="LF42" i="4"/>
  <c r="LE12" i="4"/>
  <c r="KA28" i="4"/>
  <c r="LE47" i="4"/>
  <c r="LE40" i="4"/>
  <c r="KA42" i="4"/>
  <c r="JY12" i="4"/>
  <c r="IU28" i="4"/>
  <c r="JY47" i="4"/>
  <c r="JY40" i="4"/>
  <c r="IU42" i="4"/>
  <c r="FD7" i="4"/>
  <c r="DY9" i="4"/>
  <c r="DY11" i="4"/>
  <c r="DY39" i="4"/>
  <c r="DY40" i="4" s="1"/>
  <c r="DY42" i="4" s="1"/>
  <c r="DX7" i="4"/>
  <c r="CT9" i="4"/>
  <c r="CT11" i="4"/>
  <c r="CT39" i="4"/>
  <c r="CT40" i="4" s="1"/>
  <c r="CT42" i="4" s="1"/>
  <c r="CS7" i="4"/>
  <c r="BN9" i="4"/>
  <c r="BN11" i="4"/>
  <c r="BN39" i="4"/>
  <c r="BM7" i="4"/>
  <c r="AI9" i="4"/>
  <c r="AI11" i="4"/>
  <c r="AI39" i="4"/>
  <c r="ALU33" i="4"/>
  <c r="AMY32" i="4"/>
  <c r="AKO33" i="4"/>
  <c r="ALT32" i="4"/>
  <c r="AJL33" i="4"/>
  <c r="AKN32" i="4"/>
  <c r="AIF33" i="4"/>
  <c r="AJK32" i="4"/>
  <c r="AGZ33" i="4"/>
  <c r="AIE32" i="4"/>
  <c r="AFU33" i="4"/>
  <c r="AGY32" i="4"/>
  <c r="AEO33" i="4"/>
  <c r="AFT32" i="4"/>
  <c r="ADJ33" i="4"/>
  <c r="AEN32" i="4"/>
  <c r="ACD33" i="4"/>
  <c r="ADI32" i="4"/>
  <c r="AAX33" i="4"/>
  <c r="ACC32" i="4"/>
  <c r="ZS33" i="4"/>
  <c r="AAW32" i="4"/>
  <c r="YM33" i="4"/>
  <c r="ZR32" i="4"/>
  <c r="WB33" i="4"/>
  <c r="XG32" i="4"/>
  <c r="SN35" i="4"/>
  <c r="TR33" i="4"/>
  <c r="RH35" i="4"/>
  <c r="RH36" i="4" s="1"/>
  <c r="SL36" i="4" s="1"/>
  <c r="SL33" i="4"/>
  <c r="QC35" i="4"/>
  <c r="RG33" i="4"/>
  <c r="OW35" i="4"/>
  <c r="QA33" i="4"/>
  <c r="IU35" i="4"/>
  <c r="JY33" i="4"/>
  <c r="FD4" i="4"/>
  <c r="DY6" i="4"/>
  <c r="FD6" i="4" s="1"/>
  <c r="DY32" i="4"/>
  <c r="DY33" i="4" s="1"/>
  <c r="DY35" i="4" s="1"/>
  <c r="CT36" i="4"/>
  <c r="DX36" i="4" s="1"/>
  <c r="DX35" i="4"/>
  <c r="CS4" i="4"/>
  <c r="BN6" i="4"/>
  <c r="CS6" i="4" s="1"/>
  <c r="BN32" i="4"/>
  <c r="BM4" i="4"/>
  <c r="AI6" i="4"/>
  <c r="BM6" i="4" s="1"/>
  <c r="AI32" i="4"/>
  <c r="BS3" i="3"/>
  <c r="CX3" i="3" s="1"/>
  <c r="AO3" i="3"/>
  <c r="XH42" i="4"/>
  <c r="YL40" i="4"/>
  <c r="XH28" i="4"/>
  <c r="YL12" i="4"/>
  <c r="AH40" i="4"/>
  <c r="G42" i="4"/>
  <c r="E49" i="5"/>
  <c r="F46" i="5"/>
  <c r="XH35" i="4"/>
  <c r="YL33" i="4"/>
  <c r="UW35" i="4"/>
  <c r="UW36" i="4" s="1"/>
  <c r="UW45" i="4" s="1"/>
  <c r="TT35" i="4"/>
  <c r="UX33" i="4"/>
  <c r="WA33" i="4" s="1"/>
  <c r="UX28" i="4"/>
  <c r="TT30" i="4"/>
  <c r="UX30" i="4" s="1"/>
  <c r="NR35" i="4"/>
  <c r="OV33" i="4"/>
  <c r="ML35" i="4"/>
  <c r="NP33" i="4"/>
  <c r="LF35" i="4"/>
  <c r="MJ33" i="4"/>
  <c r="KA35" i="4"/>
  <c r="LE33" i="4"/>
  <c r="AIH16" i="5"/>
  <c r="IT7" i="4"/>
  <c r="HO9" i="4"/>
  <c r="HO11" i="4"/>
  <c r="HO39" i="4"/>
  <c r="HN7" i="4"/>
  <c r="GK9" i="4"/>
  <c r="GK11" i="4"/>
  <c r="GK39" i="4"/>
  <c r="GJ7" i="4"/>
  <c r="FE9" i="4"/>
  <c r="FE11" i="4"/>
  <c r="FE39" i="4"/>
  <c r="IT4" i="4"/>
  <c r="HO6" i="4"/>
  <c r="IT6" i="4" s="1"/>
  <c r="HO32" i="4"/>
  <c r="HN4" i="4"/>
  <c r="GK6" i="4"/>
  <c r="HN6" i="4" s="1"/>
  <c r="GK32" i="4"/>
  <c r="GJ4" i="4"/>
  <c r="FE6" i="4"/>
  <c r="GJ6" i="4" s="1"/>
  <c r="FE32" i="4"/>
  <c r="AH33" i="4"/>
  <c r="G35" i="4"/>
  <c r="UY28" i="4"/>
  <c r="WA12" i="4"/>
  <c r="TR12" i="4"/>
  <c r="SN28" i="4"/>
  <c r="SL12" i="4"/>
  <c r="RH28" i="4"/>
  <c r="AI17" i="5"/>
  <c r="AJ17" i="5" s="1"/>
  <c r="AK17" i="5" s="1"/>
  <c r="AL17" i="5" s="1"/>
  <c r="AM17" i="5" s="1"/>
  <c r="AN17" i="5" s="1"/>
  <c r="AO17" i="5" s="1"/>
  <c r="AP17" i="5" s="1"/>
  <c r="AQ17" i="5" s="1"/>
  <c r="AR17" i="5" s="1"/>
  <c r="AH29" i="5"/>
  <c r="BN38" i="3"/>
  <c r="ZR30" i="4"/>
  <c r="YL48" i="4"/>
  <c r="XG48" i="4"/>
  <c r="KA52" i="5" l="1"/>
  <c r="KC52" i="5" s="1"/>
  <c r="KE52" i="5" s="1"/>
  <c r="KG52" i="5" s="1"/>
  <c r="KI52" i="5" s="1"/>
  <c r="KK52" i="5" s="1"/>
  <c r="KM52" i="5" s="1"/>
  <c r="KO52" i="5" s="1"/>
  <c r="KQ52" i="5" s="1"/>
  <c r="KS52" i="5" s="1"/>
  <c r="KU52" i="5" s="1"/>
  <c r="KW52" i="5" s="1"/>
  <c r="KY52" i="5" s="1"/>
  <c r="LA52" i="5" s="1"/>
  <c r="LC52" i="5" s="1"/>
  <c r="KB52" i="5"/>
  <c r="KD52" i="5" s="1"/>
  <c r="KF52" i="5" s="1"/>
  <c r="KH52" i="5" s="1"/>
  <c r="KJ52" i="5" s="1"/>
  <c r="KL52" i="5" s="1"/>
  <c r="KN52" i="5" s="1"/>
  <c r="KP52" i="5" s="1"/>
  <c r="KR52" i="5" s="1"/>
  <c r="KT52" i="5" s="1"/>
  <c r="KV52" i="5" s="1"/>
  <c r="KX52" i="5" s="1"/>
  <c r="KZ52" i="5" s="1"/>
  <c r="LB52" i="5" s="1"/>
  <c r="LD52" i="5" s="1"/>
  <c r="LF52" i="5" s="1"/>
  <c r="LG52" i="5" s="1"/>
  <c r="LH52" i="5" s="1"/>
  <c r="LI52" i="5" s="1"/>
  <c r="LJ52" i="5" s="1"/>
  <c r="LK52" i="5" s="1"/>
  <c r="LL52" i="5" s="1"/>
  <c r="LM52" i="5" s="1"/>
  <c r="LN52" i="5" s="1"/>
  <c r="LO52" i="5" s="1"/>
  <c r="LP52" i="5" s="1"/>
  <c r="LQ52" i="5" s="1"/>
  <c r="LR52" i="5" s="1"/>
  <c r="LS52" i="5" s="1"/>
  <c r="LT52" i="5" s="1"/>
  <c r="LU52" i="5" s="1"/>
  <c r="LV52" i="5" s="1"/>
  <c r="LW52" i="5" s="1"/>
  <c r="LX52" i="5" s="1"/>
  <c r="LY52" i="5" s="1"/>
  <c r="LZ52" i="5" s="1"/>
  <c r="MA52" i="5" s="1"/>
  <c r="MB52" i="5" s="1"/>
  <c r="MC52" i="5" s="1"/>
  <c r="MD52" i="5" s="1"/>
  <c r="ME52" i="5" s="1"/>
  <c r="MF52" i="5" s="1"/>
  <c r="MG52" i="5" s="1"/>
  <c r="MH52" i="5" s="1"/>
  <c r="MI52" i="5" s="1"/>
  <c r="I48" i="5"/>
  <c r="KP42" i="5"/>
  <c r="KR42" i="5" s="1"/>
  <c r="KQ42" i="5"/>
  <c r="GX42" i="5"/>
  <c r="GY42" i="5"/>
  <c r="GZ42" i="5" s="1"/>
  <c r="HA42" i="5" s="1"/>
  <c r="HB42" i="5" s="1"/>
  <c r="HC42" i="5" s="1"/>
  <c r="AW42" i="5"/>
  <c r="AY42" i="5" s="1"/>
  <c r="BA42" i="5" s="1"/>
  <c r="AX42" i="5"/>
  <c r="AZ42" i="5" s="1"/>
  <c r="BB42" i="5" s="1"/>
  <c r="AW41" i="5"/>
  <c r="AY41" i="5" s="1"/>
  <c r="BA41" i="5" s="1"/>
  <c r="BC41" i="5" s="1"/>
  <c r="BE41" i="5" s="1"/>
  <c r="BG41" i="5" s="1"/>
  <c r="BI41" i="5" s="1"/>
  <c r="AX41" i="5"/>
  <c r="AZ41" i="5" s="1"/>
  <c r="BB41" i="5" s="1"/>
  <c r="BD41" i="5" s="1"/>
  <c r="BF41" i="5" s="1"/>
  <c r="BH41" i="5" s="1"/>
  <c r="BJ41" i="5" s="1"/>
  <c r="H44" i="5"/>
  <c r="I40" i="5"/>
  <c r="IC39" i="5"/>
  <c r="IE39" i="5" s="1"/>
  <c r="IG39" i="5" s="1"/>
  <c r="ID39" i="5"/>
  <c r="IF39" i="5" s="1"/>
  <c r="IH39" i="5" s="1"/>
  <c r="FF39" i="5"/>
  <c r="FG39" i="5"/>
  <c r="L38" i="5"/>
  <c r="BN36" i="5"/>
  <c r="BP36" i="5" s="1"/>
  <c r="BR36" i="5" s="1"/>
  <c r="BT36" i="5" s="1"/>
  <c r="BV36" i="5" s="1"/>
  <c r="BX36" i="5" s="1"/>
  <c r="BZ36" i="5" s="1"/>
  <c r="BM36" i="5"/>
  <c r="BO36" i="5" s="1"/>
  <c r="BQ36" i="5" s="1"/>
  <c r="BS36" i="5" s="1"/>
  <c r="BU36" i="5" s="1"/>
  <c r="BW36" i="5" s="1"/>
  <c r="BY36" i="5" s="1"/>
  <c r="CA36" i="5" s="1"/>
  <c r="HZ35" i="5"/>
  <c r="IB35" i="5" s="1"/>
  <c r="ID35" i="5" s="1"/>
  <c r="IF35" i="5" s="1"/>
  <c r="IA35" i="5"/>
  <c r="IC35" i="5" s="1"/>
  <c r="IE35" i="5" s="1"/>
  <c r="IG35" i="5" s="1"/>
  <c r="OS32" i="5"/>
  <c r="OR32" i="5"/>
  <c r="OT32" i="5" s="1"/>
  <c r="OU32" i="5" s="1"/>
  <c r="OW32" i="5" s="1"/>
  <c r="KA31" i="5"/>
  <c r="KC31" i="5" s="1"/>
  <c r="KE31" i="5" s="1"/>
  <c r="KB31" i="5"/>
  <c r="KD31" i="5" s="1"/>
  <c r="KF31" i="5" s="1"/>
  <c r="WH18" i="5"/>
  <c r="WG30" i="5"/>
  <c r="VD30" i="5"/>
  <c r="VE18" i="5"/>
  <c r="TY18" i="5"/>
  <c r="TX30" i="5"/>
  <c r="SR30" i="5"/>
  <c r="SS18" i="5"/>
  <c r="RM30" i="5"/>
  <c r="RN18" i="5"/>
  <c r="QG30" i="5"/>
  <c r="QH18" i="5"/>
  <c r="PC18" i="5"/>
  <c r="PB30" i="5"/>
  <c r="NV30" i="5"/>
  <c r="NW18" i="5"/>
  <c r="NL30" i="5"/>
  <c r="NM18" i="5"/>
  <c r="FJ30" i="5"/>
  <c r="FK18" i="5"/>
  <c r="EM30" i="5"/>
  <c r="EN18" i="5"/>
  <c r="FF25" i="5"/>
  <c r="FH25" i="5" s="1"/>
  <c r="FJ25" i="5" s="1"/>
  <c r="FL25" i="5" s="1"/>
  <c r="FN25" i="5" s="1"/>
  <c r="FP25" i="5" s="1"/>
  <c r="FR25" i="5" s="1"/>
  <c r="FT25" i="5" s="1"/>
  <c r="FV25" i="5" s="1"/>
  <c r="FX25" i="5" s="1"/>
  <c r="FZ25" i="5" s="1"/>
  <c r="GB25" i="5" s="1"/>
  <c r="GD25" i="5" s="1"/>
  <c r="GF25" i="5" s="1"/>
  <c r="GH25" i="5" s="1"/>
  <c r="FG25" i="5"/>
  <c r="FI25" i="5" s="1"/>
  <c r="FK25" i="5" s="1"/>
  <c r="FM25" i="5" s="1"/>
  <c r="FO25" i="5" s="1"/>
  <c r="FQ25" i="5" s="1"/>
  <c r="FS25" i="5" s="1"/>
  <c r="FU25" i="5" s="1"/>
  <c r="FW25" i="5" s="1"/>
  <c r="FY25" i="5" s="1"/>
  <c r="GA25" i="5" s="1"/>
  <c r="GC25" i="5" s="1"/>
  <c r="GE25" i="5" s="1"/>
  <c r="GG25" i="5" s="1"/>
  <c r="GI25" i="5" s="1"/>
  <c r="GK25" i="5" s="1"/>
  <c r="FF24" i="5"/>
  <c r="FH24" i="5" s="1"/>
  <c r="FJ24" i="5" s="1"/>
  <c r="FL24" i="5" s="1"/>
  <c r="FN24" i="5" s="1"/>
  <c r="FP24" i="5" s="1"/>
  <c r="FR24" i="5" s="1"/>
  <c r="FT24" i="5" s="1"/>
  <c r="FV24" i="5" s="1"/>
  <c r="FX24" i="5" s="1"/>
  <c r="FZ24" i="5" s="1"/>
  <c r="GB24" i="5" s="1"/>
  <c r="GD24" i="5" s="1"/>
  <c r="GF24" i="5" s="1"/>
  <c r="GH24" i="5" s="1"/>
  <c r="FG24" i="5"/>
  <c r="FI24" i="5" s="1"/>
  <c r="FK24" i="5" s="1"/>
  <c r="FM24" i="5" s="1"/>
  <c r="FO24" i="5" s="1"/>
  <c r="FQ24" i="5" s="1"/>
  <c r="FS24" i="5" s="1"/>
  <c r="FU24" i="5" s="1"/>
  <c r="FW24" i="5" s="1"/>
  <c r="FY24" i="5" s="1"/>
  <c r="GA24" i="5" s="1"/>
  <c r="GC24" i="5" s="1"/>
  <c r="GE24" i="5" s="1"/>
  <c r="GG24" i="5" s="1"/>
  <c r="GI24" i="5" s="1"/>
  <c r="GK24" i="5" s="1"/>
  <c r="FF23" i="5"/>
  <c r="FH23" i="5" s="1"/>
  <c r="FJ23" i="5" s="1"/>
  <c r="FL23" i="5" s="1"/>
  <c r="FN23" i="5" s="1"/>
  <c r="FP23" i="5" s="1"/>
  <c r="FR23" i="5" s="1"/>
  <c r="FT23" i="5" s="1"/>
  <c r="FV23" i="5" s="1"/>
  <c r="FX23" i="5" s="1"/>
  <c r="FZ23" i="5" s="1"/>
  <c r="GB23" i="5" s="1"/>
  <c r="GD23" i="5" s="1"/>
  <c r="GF23" i="5" s="1"/>
  <c r="GH23" i="5" s="1"/>
  <c r="FG23" i="5"/>
  <c r="FI23" i="5" s="1"/>
  <c r="FK23" i="5" s="1"/>
  <c r="FM23" i="5" s="1"/>
  <c r="FO23" i="5" s="1"/>
  <c r="FQ23" i="5" s="1"/>
  <c r="FS23" i="5" s="1"/>
  <c r="FU23" i="5" s="1"/>
  <c r="FW23" i="5" s="1"/>
  <c r="FY23" i="5" s="1"/>
  <c r="GA23" i="5" s="1"/>
  <c r="GC23" i="5" s="1"/>
  <c r="GE23" i="5" s="1"/>
  <c r="GG23" i="5" s="1"/>
  <c r="GI23" i="5" s="1"/>
  <c r="GK23" i="5" s="1"/>
  <c r="WH22" i="5"/>
  <c r="WJ22" i="5" s="1"/>
  <c r="WL22" i="5" s="1"/>
  <c r="WN22" i="5" s="1"/>
  <c r="WP22" i="5" s="1"/>
  <c r="WR22" i="5" s="1"/>
  <c r="WT22" i="5" s="1"/>
  <c r="WV22" i="5" s="1"/>
  <c r="WX22" i="5" s="1"/>
  <c r="WZ22" i="5" s="1"/>
  <c r="XB22" i="5" s="1"/>
  <c r="XD22" i="5" s="1"/>
  <c r="XF22" i="5" s="1"/>
  <c r="XH22" i="5" s="1"/>
  <c r="XI22" i="5" s="1"/>
  <c r="XJ22" i="5" s="1"/>
  <c r="WI22" i="5"/>
  <c r="WK22" i="5" s="1"/>
  <c r="WM22" i="5" s="1"/>
  <c r="WO22" i="5" s="1"/>
  <c r="WQ22" i="5" s="1"/>
  <c r="WS22" i="5" s="1"/>
  <c r="WU22" i="5" s="1"/>
  <c r="WW22" i="5" s="1"/>
  <c r="WY22" i="5" s="1"/>
  <c r="XA22" i="5" s="1"/>
  <c r="XC22" i="5" s="1"/>
  <c r="XE22" i="5" s="1"/>
  <c r="HP21" i="5"/>
  <c r="HR21" i="5" s="1"/>
  <c r="HT21" i="5" s="1"/>
  <c r="HV21" i="5" s="1"/>
  <c r="HX21" i="5" s="1"/>
  <c r="HZ21" i="5" s="1"/>
  <c r="IB21" i="5" s="1"/>
  <c r="ID21" i="5" s="1"/>
  <c r="IF21" i="5" s="1"/>
  <c r="IH21" i="5" s="1"/>
  <c r="IJ21" i="5" s="1"/>
  <c r="IL21" i="5" s="1"/>
  <c r="IN21" i="5" s="1"/>
  <c r="IP21" i="5" s="1"/>
  <c r="IR21" i="5" s="1"/>
  <c r="HQ21" i="5"/>
  <c r="HS21" i="5" s="1"/>
  <c r="HU21" i="5" s="1"/>
  <c r="HW21" i="5" s="1"/>
  <c r="HY21" i="5" s="1"/>
  <c r="IA21" i="5" s="1"/>
  <c r="IC21" i="5" s="1"/>
  <c r="IE21" i="5" s="1"/>
  <c r="IG21" i="5" s="1"/>
  <c r="II21" i="5" s="1"/>
  <c r="IK21" i="5" s="1"/>
  <c r="IM21" i="5" s="1"/>
  <c r="IO21" i="5" s="1"/>
  <c r="IQ21" i="5" s="1"/>
  <c r="IS21" i="5" s="1"/>
  <c r="IU21" i="5" s="1"/>
  <c r="IV21" i="5" s="1"/>
  <c r="IW21" i="5" s="1"/>
  <c r="IX21" i="5" s="1"/>
  <c r="IY21" i="5" s="1"/>
  <c r="IZ21" i="5" s="1"/>
  <c r="JA21" i="5" s="1"/>
  <c r="JB21" i="5" s="1"/>
  <c r="JC21" i="5" s="1"/>
  <c r="JD21" i="5" s="1"/>
  <c r="JE21" i="5" s="1"/>
  <c r="JF21" i="5" s="1"/>
  <c r="JG21" i="5" s="1"/>
  <c r="JH21" i="5" s="1"/>
  <c r="JI21" i="5" s="1"/>
  <c r="JJ21" i="5" s="1"/>
  <c r="JK21" i="5" s="1"/>
  <c r="JL21" i="5" s="1"/>
  <c r="JM21" i="5" s="1"/>
  <c r="JN21" i="5" s="1"/>
  <c r="JO21" i="5" s="1"/>
  <c r="JP21" i="5" s="1"/>
  <c r="JQ21" i="5" s="1"/>
  <c r="JR21" i="5" s="1"/>
  <c r="JS21" i="5" s="1"/>
  <c r="JT21" i="5" s="1"/>
  <c r="JU21" i="5" s="1"/>
  <c r="JV21" i="5" s="1"/>
  <c r="JW21" i="5" s="1"/>
  <c r="JX21" i="5" s="1"/>
  <c r="JZ21" i="5" s="1"/>
  <c r="J20" i="5"/>
  <c r="AW19" i="5"/>
  <c r="ANQ17" i="5"/>
  <c r="AEB17" i="5"/>
  <c r="WQ16" i="5"/>
  <c r="IB16" i="5"/>
  <c r="FO16" i="5"/>
  <c r="DF16" i="5"/>
  <c r="DG16" i="5"/>
  <c r="ANS15" i="5"/>
  <c r="AKZ15" i="5"/>
  <c r="VJ15" i="5"/>
  <c r="RW15" i="5"/>
  <c r="AMA14" i="5"/>
  <c r="ALB14" i="5"/>
  <c r="AJR14" i="5"/>
  <c r="AIL14" i="5"/>
  <c r="AHR14" i="5"/>
  <c r="AGK14" i="5"/>
  <c r="AFB14" i="5"/>
  <c r="AED14" i="5"/>
  <c r="ACP14" i="5"/>
  <c r="ABU14" i="5"/>
  <c r="AAB14" i="5"/>
  <c r="ZD14" i="5"/>
  <c r="XW14" i="5"/>
  <c r="UF14" i="5"/>
  <c r="SY14" i="5"/>
  <c r="RY14" i="5"/>
  <c r="QO14" i="5"/>
  <c r="PO14" i="5"/>
  <c r="OC14" i="5"/>
  <c r="NO14" i="5"/>
  <c r="LY14" i="5"/>
  <c r="KO14" i="5"/>
  <c r="JD14" i="5"/>
  <c r="HB14" i="5"/>
  <c r="EP14" i="5"/>
  <c r="DK14" i="5"/>
  <c r="DJ14" i="5"/>
  <c r="CH14" i="5"/>
  <c r="AZ14" i="5"/>
  <c r="L14" i="5"/>
  <c r="AO3" i="5"/>
  <c r="BS3" i="5"/>
  <c r="CX3" i="5" s="1"/>
  <c r="AND15" i="5"/>
  <c r="ALY16" i="5"/>
  <c r="AKS16" i="5"/>
  <c r="AJP16" i="5"/>
  <c r="AHD14" i="5"/>
  <c r="AFY14" i="5"/>
  <c r="ADN14" i="5"/>
  <c r="XL14" i="5"/>
  <c r="WF14" i="5"/>
  <c r="KD14" i="5"/>
  <c r="GO14" i="5"/>
  <c r="BQ14" i="5"/>
  <c r="F37" i="5"/>
  <c r="F51" i="5" s="1"/>
  <c r="F53" i="5" s="1"/>
  <c r="G26" i="5"/>
  <c r="AO3" i="4"/>
  <c r="BS3" i="4"/>
  <c r="CX3" i="4" s="1"/>
  <c r="AO2" i="2"/>
  <c r="BS2" i="2"/>
  <c r="CX2" i="2" s="1"/>
  <c r="AN3" i="1"/>
  <c r="BR3" i="1"/>
  <c r="CW3" i="1" s="1"/>
  <c r="AH12" i="4"/>
  <c r="C28" i="4"/>
  <c r="AH28" i="4" s="1"/>
  <c r="AH30" i="4" s="1"/>
  <c r="AH47" i="4"/>
  <c r="C48" i="4"/>
  <c r="AMY9" i="4"/>
  <c r="ALU12" i="4"/>
  <c r="AMY11" i="4"/>
  <c r="ALU47" i="4"/>
  <c r="ALU40" i="4"/>
  <c r="AMY39" i="4"/>
  <c r="ALT9" i="4"/>
  <c r="AKO12" i="4"/>
  <c r="AKO47" i="4"/>
  <c r="ALT11" i="4"/>
  <c r="AKO40" i="4"/>
  <c r="ALT39" i="4"/>
  <c r="AKN9" i="4"/>
  <c r="AJL12" i="4"/>
  <c r="AKN11" i="4"/>
  <c r="AJL47" i="4"/>
  <c r="AJL40" i="4"/>
  <c r="AKN39" i="4"/>
  <c r="AJK12" i="4"/>
  <c r="AIF28" i="4"/>
  <c r="AIF42" i="4"/>
  <c r="AJK40" i="4"/>
  <c r="AJK47" i="4"/>
  <c r="AIE12" i="4"/>
  <c r="AGZ28" i="4"/>
  <c r="AIE47" i="4"/>
  <c r="AGZ42" i="4"/>
  <c r="AIE40" i="4"/>
  <c r="AGY9" i="4"/>
  <c r="AFU12" i="4"/>
  <c r="AFU40" i="4"/>
  <c r="AGY39" i="4"/>
  <c r="AGY11" i="4"/>
  <c r="AFU47" i="4"/>
  <c r="AFT9" i="4"/>
  <c r="AEO12" i="4"/>
  <c r="AFT11" i="4"/>
  <c r="AEO47" i="4"/>
  <c r="AEO40" i="4"/>
  <c r="AFT39" i="4"/>
  <c r="AEN9" i="4"/>
  <c r="ADJ12" i="4"/>
  <c r="ADJ40" i="4"/>
  <c r="AEN39" i="4"/>
  <c r="ADJ47" i="4"/>
  <c r="AEN11" i="4"/>
  <c r="ADI9" i="4"/>
  <c r="ACD12" i="4"/>
  <c r="ACD40" i="4"/>
  <c r="ADI39" i="4"/>
  <c r="ADI11" i="4"/>
  <c r="ACD47" i="4"/>
  <c r="ACC9" i="4"/>
  <c r="AAX12" i="4"/>
  <c r="AAX40" i="4"/>
  <c r="ACC39" i="4"/>
  <c r="AAX47" i="4"/>
  <c r="ACC11" i="4"/>
  <c r="AAW12" i="4"/>
  <c r="ZS28" i="4"/>
  <c r="AAW47" i="4"/>
  <c r="ZS42" i="4"/>
  <c r="AAW40" i="4"/>
  <c r="ZR28" i="4"/>
  <c r="YM30" i="4"/>
  <c r="ZR47" i="4"/>
  <c r="YM42" i="4"/>
  <c r="ZR40" i="4"/>
  <c r="XG12" i="4"/>
  <c r="WB28" i="4"/>
  <c r="WB42" i="4"/>
  <c r="XG40" i="4"/>
  <c r="UW48" i="4"/>
  <c r="UX43" i="4"/>
  <c r="WA43" i="4" s="1"/>
  <c r="TT45" i="4"/>
  <c r="TR42" i="4"/>
  <c r="SN43" i="4"/>
  <c r="SL42" i="4"/>
  <c r="RH43" i="4"/>
  <c r="RG28" i="4"/>
  <c r="QC30" i="4"/>
  <c r="RG30" i="4" s="1"/>
  <c r="RG42" i="4"/>
  <c r="QC43" i="4"/>
  <c r="QA28" i="4"/>
  <c r="OW30" i="4"/>
  <c r="QA30" i="4" s="1"/>
  <c r="QA42" i="4"/>
  <c r="OW43" i="4"/>
  <c r="OV28" i="4"/>
  <c r="NR30" i="4"/>
  <c r="OV30" i="4" s="1"/>
  <c r="OV42" i="4"/>
  <c r="NR43" i="4"/>
  <c r="NP28" i="4"/>
  <c r="ML30" i="4"/>
  <c r="NP30" i="4" s="1"/>
  <c r="NP42" i="4"/>
  <c r="ML43" i="4"/>
  <c r="MJ28" i="4"/>
  <c r="LF30" i="4"/>
  <c r="MJ30" i="4" s="1"/>
  <c r="MJ42" i="4"/>
  <c r="LF43" i="4"/>
  <c r="LE28" i="4"/>
  <c r="KA30" i="4"/>
  <c r="LE30" i="4" s="1"/>
  <c r="LE42" i="4"/>
  <c r="KA43" i="4"/>
  <c r="JY28" i="4"/>
  <c r="IU30" i="4"/>
  <c r="JY30" i="4" s="1"/>
  <c r="JY42" i="4"/>
  <c r="IU43" i="4"/>
  <c r="FD9" i="4"/>
  <c r="DY12" i="4"/>
  <c r="FD11" i="4"/>
  <c r="DY47" i="4"/>
  <c r="FD42" i="4"/>
  <c r="DY43" i="4"/>
  <c r="DX9" i="4"/>
  <c r="CT12" i="4"/>
  <c r="DX11" i="4"/>
  <c r="CT47" i="4"/>
  <c r="DX42" i="4"/>
  <c r="CT43" i="4"/>
  <c r="CS9" i="4"/>
  <c r="BN12" i="4"/>
  <c r="CS11" i="4"/>
  <c r="BN47" i="4"/>
  <c r="CS39" i="4"/>
  <c r="BN40" i="4"/>
  <c r="BM9" i="4"/>
  <c r="AI12" i="4"/>
  <c r="BM11" i="4"/>
  <c r="AI47" i="4"/>
  <c r="BM39" i="4"/>
  <c r="AI40" i="4"/>
  <c r="ALU35" i="4"/>
  <c r="AMY33" i="4"/>
  <c r="AKO35" i="4"/>
  <c r="ALT33" i="4"/>
  <c r="AJL35" i="4"/>
  <c r="AKN33" i="4"/>
  <c r="AIF35" i="4"/>
  <c r="AJK33" i="4"/>
  <c r="AGZ35" i="4"/>
  <c r="AIE33" i="4"/>
  <c r="AFU35" i="4"/>
  <c r="AGY33" i="4"/>
  <c r="AEO35" i="4"/>
  <c r="AFT33" i="4"/>
  <c r="ADJ35" i="4"/>
  <c r="AEN33" i="4"/>
  <c r="ACD35" i="4"/>
  <c r="ADI33" i="4"/>
  <c r="AAX35" i="4"/>
  <c r="ACC33" i="4"/>
  <c r="ZS35" i="4"/>
  <c r="AAW33" i="4"/>
  <c r="YM35" i="4"/>
  <c r="ZR33" i="4"/>
  <c r="WB35" i="4"/>
  <c r="XG33" i="4"/>
  <c r="TR35" i="4"/>
  <c r="SN36" i="4"/>
  <c r="TR36" i="4" s="1"/>
  <c r="RG35" i="4"/>
  <c r="SL35" i="4" s="1"/>
  <c r="QC36" i="4"/>
  <c r="RG36" i="4" s="1"/>
  <c r="QA35" i="4"/>
  <c r="OW36" i="4"/>
  <c r="QA36" i="4" s="1"/>
  <c r="JY35" i="4"/>
  <c r="IU36" i="4"/>
  <c r="JY36" i="4" s="1"/>
  <c r="DY36" i="4"/>
  <c r="FD36" i="4" s="1"/>
  <c r="FD35" i="4"/>
  <c r="BN33" i="4"/>
  <c r="CS32" i="4"/>
  <c r="AI33" i="4"/>
  <c r="BM32" i="4"/>
  <c r="AP3" i="3"/>
  <c r="BT3" i="3"/>
  <c r="CY3" i="3" s="1"/>
  <c r="YL42" i="4"/>
  <c r="XH43" i="4"/>
  <c r="YL28" i="4"/>
  <c r="XH30" i="4"/>
  <c r="YL30" i="4" s="1"/>
  <c r="AH42" i="4"/>
  <c r="G43" i="4"/>
  <c r="F49" i="5"/>
  <c r="G46" i="5"/>
  <c r="YL35" i="4"/>
  <c r="XH36" i="4"/>
  <c r="YL36" i="4" s="1"/>
  <c r="UX35" i="4"/>
  <c r="TT36" i="4"/>
  <c r="UX36" i="4" s="1"/>
  <c r="WA36" i="4" s="1"/>
  <c r="OV35" i="4"/>
  <c r="NR36" i="4"/>
  <c r="OV36" i="4" s="1"/>
  <c r="NP35" i="4"/>
  <c r="ML36" i="4"/>
  <c r="NP36" i="4" s="1"/>
  <c r="MJ35" i="4"/>
  <c r="LF36" i="4"/>
  <c r="MJ36" i="4" s="1"/>
  <c r="LE35" i="4"/>
  <c r="KA36" i="4"/>
  <c r="LE36" i="4" s="1"/>
  <c r="AII16" i="5"/>
  <c r="IT9" i="4"/>
  <c r="HO12" i="4"/>
  <c r="IT11" i="4"/>
  <c r="HO47" i="4"/>
  <c r="IT39" i="4"/>
  <c r="HO40" i="4"/>
  <c r="HN9" i="4"/>
  <c r="GK12" i="4"/>
  <c r="HN11" i="4"/>
  <c r="GK47" i="4"/>
  <c r="HN39" i="4"/>
  <c r="GK40" i="4"/>
  <c r="GJ9" i="4"/>
  <c r="FE12" i="4"/>
  <c r="GJ11" i="4"/>
  <c r="FE47" i="4"/>
  <c r="GJ39" i="4"/>
  <c r="FE40" i="4"/>
  <c r="HO33" i="4"/>
  <c r="IT32" i="4"/>
  <c r="GK33" i="4"/>
  <c r="HN32" i="4"/>
  <c r="FE33" i="4"/>
  <c r="GJ32" i="4"/>
  <c r="AH35" i="4"/>
  <c r="G36" i="4"/>
  <c r="AH36" i="4" s="1"/>
  <c r="WA28" i="4"/>
  <c r="UY30" i="4"/>
  <c r="WA30" i="4" s="1"/>
  <c r="TR28" i="4"/>
  <c r="SN30" i="4"/>
  <c r="TR30" i="4" s="1"/>
  <c r="SL28" i="4"/>
  <c r="RH30" i="4"/>
  <c r="SL30" i="4" s="1"/>
  <c r="E51" i="5"/>
  <c r="E53" i="5" s="1"/>
  <c r="J48" i="5" l="1"/>
  <c r="KS42" i="5"/>
  <c r="KT42" i="5"/>
  <c r="KU42" i="5" s="1"/>
  <c r="HD42" i="5"/>
  <c r="HE42" i="5"/>
  <c r="HF42" i="5" s="1"/>
  <c r="HG42" i="5" s="1"/>
  <c r="HH42" i="5" s="1"/>
  <c r="HI42" i="5" s="1"/>
  <c r="HJ42" i="5" s="1"/>
  <c r="HK42" i="5" s="1"/>
  <c r="HL42" i="5" s="1"/>
  <c r="HM42" i="5" s="1"/>
  <c r="HO42" i="5" s="1"/>
  <c r="BC42" i="5"/>
  <c r="BE42" i="5" s="1"/>
  <c r="BG42" i="5" s="1"/>
  <c r="BD42" i="5"/>
  <c r="BF42" i="5" s="1"/>
  <c r="BH42" i="5" s="1"/>
  <c r="BK41" i="5"/>
  <c r="BL41" i="5"/>
  <c r="I44" i="5"/>
  <c r="J40" i="5"/>
  <c r="II39" i="5"/>
  <c r="IK39" i="5" s="1"/>
  <c r="IM39" i="5" s="1"/>
  <c r="IN39" i="5" s="1"/>
  <c r="IJ39" i="5"/>
  <c r="IL39" i="5" s="1"/>
  <c r="M38" i="5"/>
  <c r="CB36" i="5"/>
  <c r="CD36" i="5" s="1"/>
  <c r="CF36" i="5" s="1"/>
  <c r="CH36" i="5" s="1"/>
  <c r="CJ36" i="5" s="1"/>
  <c r="CL36" i="5" s="1"/>
  <c r="CN36" i="5" s="1"/>
  <c r="CP36" i="5" s="1"/>
  <c r="CR36" i="5" s="1"/>
  <c r="CT36" i="5" s="1"/>
  <c r="CC36" i="5"/>
  <c r="CE36" i="5" s="1"/>
  <c r="CG36" i="5" s="1"/>
  <c r="CI36" i="5" s="1"/>
  <c r="CK36" i="5" s="1"/>
  <c r="CM36" i="5" s="1"/>
  <c r="CO36" i="5" s="1"/>
  <c r="CQ36" i="5" s="1"/>
  <c r="II35" i="5"/>
  <c r="IK35" i="5" s="1"/>
  <c r="IH35" i="5"/>
  <c r="IJ35" i="5" s="1"/>
  <c r="OX32" i="5"/>
  <c r="OZ32" i="5" s="1"/>
  <c r="PB32" i="5" s="1"/>
  <c r="PC32" i="5" s="1"/>
  <c r="OY32" i="5"/>
  <c r="PA32" i="5" s="1"/>
  <c r="KH31" i="5"/>
  <c r="KG31" i="5"/>
  <c r="KI31" i="5" s="1"/>
  <c r="WH30" i="5"/>
  <c r="WI18" i="5"/>
  <c r="VF18" i="5"/>
  <c r="VE30" i="5"/>
  <c r="TY30" i="5"/>
  <c r="TZ18" i="5"/>
  <c r="SS30" i="5"/>
  <c r="ST18" i="5"/>
  <c r="RN30" i="5"/>
  <c r="RO18" i="5"/>
  <c r="QH30" i="5"/>
  <c r="QI18" i="5"/>
  <c r="PC30" i="5"/>
  <c r="PD18" i="5"/>
  <c r="NW30" i="5"/>
  <c r="NX18" i="5"/>
  <c r="NM30" i="5"/>
  <c r="NN18" i="5"/>
  <c r="FL18" i="5"/>
  <c r="FK30" i="5"/>
  <c r="EO18" i="5"/>
  <c r="EN30" i="5"/>
  <c r="GL25" i="5"/>
  <c r="GN25" i="5" s="1"/>
  <c r="GP25" i="5" s="1"/>
  <c r="GR25" i="5" s="1"/>
  <c r="GT25" i="5" s="1"/>
  <c r="GV25" i="5" s="1"/>
  <c r="GX25" i="5" s="1"/>
  <c r="GZ25" i="5" s="1"/>
  <c r="HB25" i="5" s="1"/>
  <c r="HD25" i="5" s="1"/>
  <c r="HF25" i="5" s="1"/>
  <c r="HH25" i="5" s="1"/>
  <c r="HJ25" i="5" s="1"/>
  <c r="HL25" i="5" s="1"/>
  <c r="GM25" i="5"/>
  <c r="GO25" i="5" s="1"/>
  <c r="GQ25" i="5" s="1"/>
  <c r="GS25" i="5" s="1"/>
  <c r="GU25" i="5" s="1"/>
  <c r="GW25" i="5" s="1"/>
  <c r="GY25" i="5" s="1"/>
  <c r="HA25" i="5" s="1"/>
  <c r="HC25" i="5" s="1"/>
  <c r="HE25" i="5" s="1"/>
  <c r="HG25" i="5" s="1"/>
  <c r="HI25" i="5" s="1"/>
  <c r="HK25" i="5" s="1"/>
  <c r="HM25" i="5" s="1"/>
  <c r="HO25" i="5" s="1"/>
  <c r="GL24" i="5"/>
  <c r="GN24" i="5" s="1"/>
  <c r="GP24" i="5" s="1"/>
  <c r="GR24" i="5" s="1"/>
  <c r="GT24" i="5" s="1"/>
  <c r="GV24" i="5" s="1"/>
  <c r="GX24" i="5" s="1"/>
  <c r="GZ24" i="5" s="1"/>
  <c r="HB24" i="5" s="1"/>
  <c r="HD24" i="5" s="1"/>
  <c r="HF24" i="5" s="1"/>
  <c r="HH24" i="5" s="1"/>
  <c r="HJ24" i="5" s="1"/>
  <c r="HL24" i="5" s="1"/>
  <c r="GM24" i="5"/>
  <c r="GO24" i="5" s="1"/>
  <c r="GQ24" i="5" s="1"/>
  <c r="GS24" i="5" s="1"/>
  <c r="GU24" i="5" s="1"/>
  <c r="GW24" i="5" s="1"/>
  <c r="GY24" i="5" s="1"/>
  <c r="HA24" i="5" s="1"/>
  <c r="HC24" i="5" s="1"/>
  <c r="HE24" i="5" s="1"/>
  <c r="HG24" i="5" s="1"/>
  <c r="HI24" i="5" s="1"/>
  <c r="HK24" i="5" s="1"/>
  <c r="HM24" i="5" s="1"/>
  <c r="HO24" i="5" s="1"/>
  <c r="GL23" i="5"/>
  <c r="GN23" i="5" s="1"/>
  <c r="GP23" i="5" s="1"/>
  <c r="GR23" i="5" s="1"/>
  <c r="GT23" i="5" s="1"/>
  <c r="GV23" i="5" s="1"/>
  <c r="GX23" i="5" s="1"/>
  <c r="GZ23" i="5" s="1"/>
  <c r="HB23" i="5" s="1"/>
  <c r="HD23" i="5" s="1"/>
  <c r="HF23" i="5" s="1"/>
  <c r="HH23" i="5" s="1"/>
  <c r="HJ23" i="5" s="1"/>
  <c r="HL23" i="5" s="1"/>
  <c r="GM23" i="5"/>
  <c r="GO23" i="5" s="1"/>
  <c r="GQ23" i="5" s="1"/>
  <c r="GS23" i="5" s="1"/>
  <c r="GU23" i="5" s="1"/>
  <c r="GW23" i="5" s="1"/>
  <c r="GY23" i="5" s="1"/>
  <c r="HA23" i="5" s="1"/>
  <c r="HC23" i="5" s="1"/>
  <c r="HE23" i="5" s="1"/>
  <c r="HG23" i="5" s="1"/>
  <c r="HI23" i="5" s="1"/>
  <c r="HK23" i="5" s="1"/>
  <c r="HM23" i="5" s="1"/>
  <c r="HO23" i="5" s="1"/>
  <c r="KA21" i="5"/>
  <c r="KC21" i="5" s="1"/>
  <c r="KE21" i="5" s="1"/>
  <c r="KG21" i="5" s="1"/>
  <c r="KI21" i="5" s="1"/>
  <c r="KK21" i="5" s="1"/>
  <c r="KM21" i="5" s="1"/>
  <c r="KO21" i="5" s="1"/>
  <c r="KQ21" i="5" s="1"/>
  <c r="KS21" i="5" s="1"/>
  <c r="KU21" i="5" s="1"/>
  <c r="KW21" i="5" s="1"/>
  <c r="KY21" i="5" s="1"/>
  <c r="LA21" i="5" s="1"/>
  <c r="LC21" i="5" s="1"/>
  <c r="KB21" i="5"/>
  <c r="KD21" i="5" s="1"/>
  <c r="KF21" i="5" s="1"/>
  <c r="KH21" i="5" s="1"/>
  <c r="KJ21" i="5" s="1"/>
  <c r="KL21" i="5" s="1"/>
  <c r="KN21" i="5" s="1"/>
  <c r="KP21" i="5" s="1"/>
  <c r="KR21" i="5" s="1"/>
  <c r="KT21" i="5" s="1"/>
  <c r="KV21" i="5" s="1"/>
  <c r="KX21" i="5" s="1"/>
  <c r="KZ21" i="5" s="1"/>
  <c r="LB21" i="5" s="1"/>
  <c r="LD21" i="5" s="1"/>
  <c r="LF21" i="5" s="1"/>
  <c r="LG21" i="5" s="1"/>
  <c r="LH21" i="5" s="1"/>
  <c r="LI21" i="5" s="1"/>
  <c r="LJ21" i="5" s="1"/>
  <c r="LK21" i="5" s="1"/>
  <c r="LL21" i="5" s="1"/>
  <c r="LM21" i="5" s="1"/>
  <c r="LN21" i="5" s="1"/>
  <c r="LO21" i="5" s="1"/>
  <c r="LP21" i="5" s="1"/>
  <c r="LQ21" i="5" s="1"/>
  <c r="K20" i="5"/>
  <c r="AX19" i="5"/>
  <c r="ANR17" i="5"/>
  <c r="AEC17" i="5"/>
  <c r="WR16" i="5"/>
  <c r="IC16" i="5"/>
  <c r="FP16" i="5"/>
  <c r="DH16" i="5"/>
  <c r="DI16" i="5"/>
  <c r="ANT15" i="5"/>
  <c r="ALA15" i="5"/>
  <c r="VK15" i="5"/>
  <c r="RX15" i="5"/>
  <c r="AMB14" i="5"/>
  <c r="ALC14" i="5"/>
  <c r="AJS14" i="5"/>
  <c r="AIM14" i="5"/>
  <c r="AHS14" i="5"/>
  <c r="AGL14" i="5"/>
  <c r="AFC14" i="5"/>
  <c r="AEE14" i="5"/>
  <c r="ACQ14" i="5"/>
  <c r="ABV14" i="5"/>
  <c r="AAC14" i="5"/>
  <c r="ZE14" i="5"/>
  <c r="XX14" i="5"/>
  <c r="UG14" i="5"/>
  <c r="SZ14" i="5"/>
  <c r="RZ14" i="5"/>
  <c r="QP14" i="5"/>
  <c r="PP14" i="5"/>
  <c r="OD14" i="5"/>
  <c r="NQ14" i="5"/>
  <c r="LZ14" i="5"/>
  <c r="KP14" i="5"/>
  <c r="JE14" i="5"/>
  <c r="HC14" i="5"/>
  <c r="EQ14" i="5"/>
  <c r="DM14" i="5"/>
  <c r="DL14" i="5"/>
  <c r="CI14" i="5"/>
  <c r="BA14" i="5"/>
  <c r="M14" i="5"/>
  <c r="AP3" i="5"/>
  <c r="BT3" i="5"/>
  <c r="CY3" i="5" s="1"/>
  <c r="ANE15" i="5"/>
  <c r="ALZ16" i="5"/>
  <c r="AKT16" i="5"/>
  <c r="AJQ16" i="5"/>
  <c r="AHE14" i="5"/>
  <c r="AFZ14" i="5"/>
  <c r="ADO14" i="5"/>
  <c r="XM14" i="5"/>
  <c r="WG14" i="5"/>
  <c r="KE14" i="5"/>
  <c r="GP14" i="5"/>
  <c r="BR14" i="5"/>
  <c r="G37" i="5"/>
  <c r="G51" i="5" s="1"/>
  <c r="G53" i="5" s="1"/>
  <c r="H26" i="5"/>
  <c r="AP3" i="4"/>
  <c r="BT3" i="4"/>
  <c r="CY3" i="4" s="1"/>
  <c r="AP2" i="2"/>
  <c r="BT2" i="2"/>
  <c r="CY2" i="2" s="1"/>
  <c r="AO3" i="1"/>
  <c r="BS3" i="1"/>
  <c r="CX3" i="1" s="1"/>
  <c r="ALU28" i="4"/>
  <c r="AMY12" i="4"/>
  <c r="AMY47" i="4"/>
  <c r="ALU42" i="4"/>
  <c r="AMY40" i="4"/>
  <c r="AKO28" i="4"/>
  <c r="ALT12" i="4"/>
  <c r="ALT47" i="4"/>
  <c r="AKO42" i="4"/>
  <c r="ALT40" i="4"/>
  <c r="AJL28" i="4"/>
  <c r="AKN12" i="4"/>
  <c r="AKN47" i="4"/>
  <c r="AJL42" i="4"/>
  <c r="AKN40" i="4"/>
  <c r="AJK28" i="4"/>
  <c r="AIF30" i="4"/>
  <c r="AJK30" i="4" s="1"/>
  <c r="AJK42" i="4"/>
  <c r="AIF43" i="4"/>
  <c r="AIE28" i="4"/>
  <c r="AGZ30" i="4"/>
  <c r="AIE30" i="4" s="1"/>
  <c r="AIE42" i="4"/>
  <c r="AGZ43" i="4"/>
  <c r="AFU28" i="4"/>
  <c r="AGY12" i="4"/>
  <c r="AFU42" i="4"/>
  <c r="AGY40" i="4"/>
  <c r="AGY47" i="4"/>
  <c r="AEO28" i="4"/>
  <c r="AFT12" i="4"/>
  <c r="AFT47" i="4"/>
  <c r="AEO42" i="4"/>
  <c r="AFT40" i="4"/>
  <c r="AEN12" i="4"/>
  <c r="ADJ28" i="4"/>
  <c r="ADJ42" i="4"/>
  <c r="AEN40" i="4"/>
  <c r="AEN47" i="4"/>
  <c r="ACD28" i="4"/>
  <c r="ADI12" i="4"/>
  <c r="ACD42" i="4"/>
  <c r="ADI40" i="4"/>
  <c r="ADI47" i="4"/>
  <c r="AAX28" i="4"/>
  <c r="ACC12" i="4"/>
  <c r="AAX42" i="4"/>
  <c r="ACC40" i="4"/>
  <c r="ACC47" i="4"/>
  <c r="AAW28" i="4"/>
  <c r="ZS30" i="4"/>
  <c r="AAW30" i="4" s="1"/>
  <c r="AAW42" i="4"/>
  <c r="ZS43" i="4"/>
  <c r="ZR42" i="4"/>
  <c r="YM43" i="4"/>
  <c r="XG28" i="4"/>
  <c r="WB30" i="4"/>
  <c r="XG30" i="4" s="1"/>
  <c r="XG42" i="4"/>
  <c r="WB43" i="4"/>
  <c r="TT48" i="4"/>
  <c r="UX48" i="4" s="1"/>
  <c r="WA48" i="4" s="1"/>
  <c r="UX45" i="4"/>
  <c r="WA45" i="4" s="1"/>
  <c r="TR43" i="4"/>
  <c r="SN45" i="4"/>
  <c r="SL43" i="4"/>
  <c r="RH45" i="4"/>
  <c r="RG43" i="4"/>
  <c r="QC45" i="4"/>
  <c r="QA43" i="4"/>
  <c r="OW45" i="4"/>
  <c r="OV43" i="4"/>
  <c r="NR45" i="4"/>
  <c r="NP43" i="4"/>
  <c r="ML45" i="4"/>
  <c r="MJ43" i="4"/>
  <c r="LF45" i="4"/>
  <c r="LE43" i="4"/>
  <c r="KA45" i="4"/>
  <c r="JY43" i="4"/>
  <c r="IU45" i="4"/>
  <c r="FD12" i="4"/>
  <c r="DY28" i="4"/>
  <c r="FD47" i="4"/>
  <c r="FD43" i="4"/>
  <c r="DY45" i="4"/>
  <c r="CT28" i="4"/>
  <c r="DX12" i="4"/>
  <c r="DX43" i="4"/>
  <c r="CT45" i="4"/>
  <c r="CT48" i="4" s="1"/>
  <c r="CS12" i="4"/>
  <c r="BN28" i="4"/>
  <c r="CS47" i="4"/>
  <c r="CS40" i="4"/>
  <c r="BN42" i="4"/>
  <c r="AI28" i="4"/>
  <c r="BM12" i="4"/>
  <c r="BM47" i="4"/>
  <c r="BM40" i="4"/>
  <c r="AI42" i="4"/>
  <c r="AMY35" i="4"/>
  <c r="ALU36" i="4"/>
  <c r="AMY36" i="4" s="1"/>
  <c r="ALT35" i="4"/>
  <c r="AKO36" i="4"/>
  <c r="ALT36" i="4" s="1"/>
  <c r="AKN35" i="4"/>
  <c r="AJL36" i="4"/>
  <c r="AKN36" i="4" s="1"/>
  <c r="AJK35" i="4"/>
  <c r="AIF36" i="4"/>
  <c r="AIE35" i="4"/>
  <c r="AGZ36" i="4"/>
  <c r="AGY35" i="4"/>
  <c r="AFU36" i="4"/>
  <c r="AGY36" i="4" s="1"/>
  <c r="AFT35" i="4"/>
  <c r="AEO36" i="4"/>
  <c r="AFT36" i="4" s="1"/>
  <c r="AEN35" i="4"/>
  <c r="ADJ36" i="4"/>
  <c r="AEN36" i="4" s="1"/>
  <c r="ADI35" i="4"/>
  <c r="ACD36" i="4"/>
  <c r="ADI36" i="4" s="1"/>
  <c r="ACC35" i="4"/>
  <c r="AAX36" i="4"/>
  <c r="ACC36" i="4" s="1"/>
  <c r="AAW35" i="4"/>
  <c r="ZS36" i="4"/>
  <c r="AAW36" i="4" s="1"/>
  <c r="ZR35" i="4"/>
  <c r="YM36" i="4"/>
  <c r="ZR36" i="4" s="1"/>
  <c r="XG35" i="4"/>
  <c r="WB36" i="4"/>
  <c r="XG36" i="4" s="1"/>
  <c r="BN35" i="4"/>
  <c r="CS33" i="4"/>
  <c r="AI35" i="4"/>
  <c r="BM33" i="4"/>
  <c r="AQ3" i="3"/>
  <c r="BU3" i="3"/>
  <c r="CZ3" i="3" s="1"/>
  <c r="YL43" i="4"/>
  <c r="XH45" i="4"/>
  <c r="AH43" i="4"/>
  <c r="G45" i="4"/>
  <c r="G49" i="5"/>
  <c r="H46" i="5"/>
  <c r="AIJ16" i="5"/>
  <c r="HO28" i="4"/>
  <c r="IT12" i="4"/>
  <c r="IT47" i="4"/>
  <c r="IT40" i="4"/>
  <c r="HO42" i="4"/>
  <c r="HN12" i="4"/>
  <c r="GK28" i="4"/>
  <c r="HN47" i="4"/>
  <c r="HN40" i="4"/>
  <c r="GK42" i="4"/>
  <c r="GJ12" i="4"/>
  <c r="FE28" i="4"/>
  <c r="GJ47" i="4"/>
  <c r="GJ40" i="4"/>
  <c r="FE42" i="4"/>
  <c r="HO35" i="4"/>
  <c r="IT33" i="4"/>
  <c r="GK35" i="4"/>
  <c r="HN33" i="4"/>
  <c r="FE35" i="4"/>
  <c r="GJ33" i="4"/>
  <c r="K48" i="5" l="1"/>
  <c r="KV42" i="5"/>
  <c r="KX42" i="5" s="1"/>
  <c r="KW42" i="5"/>
  <c r="HP42" i="5"/>
  <c r="HR42" i="5" s="1"/>
  <c r="HQ42" i="5"/>
  <c r="HS42" i="5" s="1"/>
  <c r="BI42" i="5"/>
  <c r="BJ42" i="5"/>
  <c r="BL42" i="5" s="1"/>
  <c r="BM42" i="5" s="1"/>
  <c r="BN42" i="5" s="1"/>
  <c r="BO42" i="5" s="1"/>
  <c r="BP42" i="5" s="1"/>
  <c r="BQ42" i="5" s="1"/>
  <c r="BR42" i="5" s="1"/>
  <c r="BS42" i="5" s="1"/>
  <c r="BT42" i="5" s="1"/>
  <c r="BU42" i="5" s="1"/>
  <c r="BV42" i="5" s="1"/>
  <c r="BW42" i="5" s="1"/>
  <c r="BX42" i="5" s="1"/>
  <c r="BY42" i="5" s="1"/>
  <c r="BZ42" i="5" s="1"/>
  <c r="CA42" i="5" s="1"/>
  <c r="CB42" i="5" s="1"/>
  <c r="CC42" i="5" s="1"/>
  <c r="CD42" i="5" s="1"/>
  <c r="CE42" i="5" s="1"/>
  <c r="CF42" i="5" s="1"/>
  <c r="CG42" i="5" s="1"/>
  <c r="CH42" i="5" s="1"/>
  <c r="CI42" i="5" s="1"/>
  <c r="CJ42" i="5" s="1"/>
  <c r="CK42" i="5" s="1"/>
  <c r="CL42" i="5" s="1"/>
  <c r="CM42" i="5" s="1"/>
  <c r="CN42" i="5" s="1"/>
  <c r="CO42" i="5" s="1"/>
  <c r="CP42" i="5" s="1"/>
  <c r="CQ42" i="5" s="1"/>
  <c r="CR42" i="5" s="1"/>
  <c r="CT42" i="5" s="1"/>
  <c r="CU42" i="5" s="1"/>
  <c r="BM41" i="5"/>
  <c r="BN41" i="5"/>
  <c r="J44" i="5"/>
  <c r="K40" i="5"/>
  <c r="IO39" i="5"/>
  <c r="IQ39" i="5" s="1"/>
  <c r="IS39" i="5" s="1"/>
  <c r="IU39" i="5" s="1"/>
  <c r="IV39" i="5" s="1"/>
  <c r="IW39" i="5" s="1"/>
  <c r="IX39" i="5" s="1"/>
  <c r="IY39" i="5" s="1"/>
  <c r="IZ39" i="5" s="1"/>
  <c r="JA39" i="5" s="1"/>
  <c r="JB39" i="5" s="1"/>
  <c r="JC39" i="5" s="1"/>
  <c r="JD39" i="5" s="1"/>
  <c r="JE39" i="5" s="1"/>
  <c r="JF39" i="5" s="1"/>
  <c r="JG39" i="5" s="1"/>
  <c r="JH39" i="5" s="1"/>
  <c r="JI39" i="5" s="1"/>
  <c r="JJ39" i="5" s="1"/>
  <c r="JK39" i="5" s="1"/>
  <c r="JL39" i="5" s="1"/>
  <c r="JM39" i="5" s="1"/>
  <c r="JN39" i="5" s="1"/>
  <c r="JO39" i="5" s="1"/>
  <c r="JP39" i="5" s="1"/>
  <c r="JQ39" i="5" s="1"/>
  <c r="JR39" i="5" s="1"/>
  <c r="JS39" i="5" s="1"/>
  <c r="JT39" i="5" s="1"/>
  <c r="JU39" i="5" s="1"/>
  <c r="JV39" i="5" s="1"/>
  <c r="JW39" i="5" s="1"/>
  <c r="JX39" i="5" s="1"/>
  <c r="JZ39" i="5" s="1"/>
  <c r="IP39" i="5"/>
  <c r="IR39" i="5" s="1"/>
  <c r="N38" i="5"/>
  <c r="CU36" i="5"/>
  <c r="CW36" i="5" s="1"/>
  <c r="CY36" i="5" s="1"/>
  <c r="DA36" i="5" s="1"/>
  <c r="DC36" i="5" s="1"/>
  <c r="DE36" i="5" s="1"/>
  <c r="DG36" i="5" s="1"/>
  <c r="DI36" i="5" s="1"/>
  <c r="DK36" i="5" s="1"/>
  <c r="DM36" i="5" s="1"/>
  <c r="DO36" i="5" s="1"/>
  <c r="DQ36" i="5" s="1"/>
  <c r="DS36" i="5" s="1"/>
  <c r="DU36" i="5" s="1"/>
  <c r="DW36" i="5" s="1"/>
  <c r="DY36" i="5" s="1"/>
  <c r="CV36" i="5"/>
  <c r="CX36" i="5" s="1"/>
  <c r="CZ36" i="5" s="1"/>
  <c r="DB36" i="5" s="1"/>
  <c r="DD36" i="5" s="1"/>
  <c r="DF36" i="5" s="1"/>
  <c r="DH36" i="5" s="1"/>
  <c r="DJ36" i="5" s="1"/>
  <c r="DL36" i="5" s="1"/>
  <c r="DN36" i="5" s="1"/>
  <c r="DP36" i="5" s="1"/>
  <c r="DR36" i="5" s="1"/>
  <c r="DT36" i="5" s="1"/>
  <c r="DV36" i="5" s="1"/>
  <c r="IL35" i="5"/>
  <c r="IN35" i="5" s="1"/>
  <c r="IP35" i="5" s="1"/>
  <c r="IR35" i="5" s="1"/>
  <c r="IM35" i="5"/>
  <c r="IO35" i="5" s="1"/>
  <c r="IQ35" i="5" s="1"/>
  <c r="IS35" i="5" s="1"/>
  <c r="IU35" i="5" s="1"/>
  <c r="IV35" i="5" s="1"/>
  <c r="IW35" i="5" s="1"/>
  <c r="IX35" i="5" s="1"/>
  <c r="IY35" i="5" s="1"/>
  <c r="IZ35" i="5" s="1"/>
  <c r="JA35" i="5" s="1"/>
  <c r="JB35" i="5" s="1"/>
  <c r="JC35" i="5" s="1"/>
  <c r="JD35" i="5" s="1"/>
  <c r="JE35" i="5" s="1"/>
  <c r="JF35" i="5" s="1"/>
  <c r="JG35" i="5" s="1"/>
  <c r="JH35" i="5" s="1"/>
  <c r="JI35" i="5" s="1"/>
  <c r="JJ35" i="5" s="1"/>
  <c r="JK35" i="5" s="1"/>
  <c r="JL35" i="5" s="1"/>
  <c r="JM35" i="5" s="1"/>
  <c r="JN35" i="5" s="1"/>
  <c r="JO35" i="5" s="1"/>
  <c r="JP35" i="5" s="1"/>
  <c r="JQ35" i="5" s="1"/>
  <c r="JR35" i="5" s="1"/>
  <c r="JS35" i="5" s="1"/>
  <c r="JT35" i="5" s="1"/>
  <c r="JU35" i="5" s="1"/>
  <c r="JV35" i="5" s="1"/>
  <c r="JW35" i="5" s="1"/>
  <c r="JX35" i="5" s="1"/>
  <c r="JZ35" i="5" s="1"/>
  <c r="PD32" i="5"/>
  <c r="PE32" i="5"/>
  <c r="PF32" i="5" s="1"/>
  <c r="KK31" i="5"/>
  <c r="KJ31" i="5"/>
  <c r="KL31" i="5" s="1"/>
  <c r="KM31" i="5" s="1"/>
  <c r="KN31" i="5" s="1"/>
  <c r="WJ18" i="5"/>
  <c r="WI30" i="5"/>
  <c r="VF30" i="5"/>
  <c r="VG18" i="5"/>
  <c r="UA18" i="5"/>
  <c r="TZ30" i="5"/>
  <c r="SU18" i="5"/>
  <c r="ST30" i="5"/>
  <c r="RO30" i="5"/>
  <c r="RP18" i="5"/>
  <c r="QJ18" i="5"/>
  <c r="QI30" i="5"/>
  <c r="PE18" i="5"/>
  <c r="PD30" i="5"/>
  <c r="NY18" i="5"/>
  <c r="NX30" i="5"/>
  <c r="NN30" i="5"/>
  <c r="NO30" i="5" s="1"/>
  <c r="NQ18" i="5" s="1"/>
  <c r="NO18" i="5"/>
  <c r="FL30" i="5"/>
  <c r="FM18" i="5"/>
  <c r="EO30" i="5"/>
  <c r="EP18" i="5"/>
  <c r="HP25" i="5"/>
  <c r="HR25" i="5" s="1"/>
  <c r="HT25" i="5" s="1"/>
  <c r="HV25" i="5" s="1"/>
  <c r="HX25" i="5" s="1"/>
  <c r="HZ25" i="5" s="1"/>
  <c r="IB25" i="5" s="1"/>
  <c r="ID25" i="5" s="1"/>
  <c r="IF25" i="5" s="1"/>
  <c r="IH25" i="5" s="1"/>
  <c r="IJ25" i="5" s="1"/>
  <c r="IL25" i="5" s="1"/>
  <c r="IN25" i="5" s="1"/>
  <c r="IP25" i="5" s="1"/>
  <c r="IR25" i="5" s="1"/>
  <c r="HQ25" i="5"/>
  <c r="HS25" i="5" s="1"/>
  <c r="HU25" i="5" s="1"/>
  <c r="HW25" i="5" s="1"/>
  <c r="HY25" i="5" s="1"/>
  <c r="IA25" i="5" s="1"/>
  <c r="IC25" i="5" s="1"/>
  <c r="IE25" i="5" s="1"/>
  <c r="IG25" i="5" s="1"/>
  <c r="II25" i="5" s="1"/>
  <c r="IK25" i="5" s="1"/>
  <c r="IM25" i="5" s="1"/>
  <c r="IO25" i="5" s="1"/>
  <c r="IQ25" i="5" s="1"/>
  <c r="IS25" i="5" s="1"/>
  <c r="IU25" i="5" s="1"/>
  <c r="IV25" i="5" s="1"/>
  <c r="IW25" i="5" s="1"/>
  <c r="IX25" i="5" s="1"/>
  <c r="IY25" i="5" s="1"/>
  <c r="IZ25" i="5" s="1"/>
  <c r="JA25" i="5" s="1"/>
  <c r="JB25" i="5" s="1"/>
  <c r="JC25" i="5" s="1"/>
  <c r="JD25" i="5" s="1"/>
  <c r="JE25" i="5" s="1"/>
  <c r="JF25" i="5" s="1"/>
  <c r="JG25" i="5" s="1"/>
  <c r="JH25" i="5" s="1"/>
  <c r="JI25" i="5" s="1"/>
  <c r="JJ25" i="5" s="1"/>
  <c r="JK25" i="5" s="1"/>
  <c r="JL25" i="5" s="1"/>
  <c r="JM25" i="5" s="1"/>
  <c r="JN25" i="5" s="1"/>
  <c r="JO25" i="5" s="1"/>
  <c r="JP25" i="5" s="1"/>
  <c r="JQ25" i="5" s="1"/>
  <c r="JR25" i="5" s="1"/>
  <c r="JS25" i="5" s="1"/>
  <c r="JT25" i="5" s="1"/>
  <c r="JU25" i="5" s="1"/>
  <c r="JV25" i="5" s="1"/>
  <c r="JW25" i="5" s="1"/>
  <c r="JX25" i="5" s="1"/>
  <c r="JZ25" i="5" s="1"/>
  <c r="HP24" i="5"/>
  <c r="HR24" i="5" s="1"/>
  <c r="HT24" i="5" s="1"/>
  <c r="HV24" i="5" s="1"/>
  <c r="HX24" i="5" s="1"/>
  <c r="HZ24" i="5" s="1"/>
  <c r="IB24" i="5" s="1"/>
  <c r="ID24" i="5" s="1"/>
  <c r="IF24" i="5" s="1"/>
  <c r="IH24" i="5" s="1"/>
  <c r="IJ24" i="5" s="1"/>
  <c r="IL24" i="5" s="1"/>
  <c r="IN24" i="5" s="1"/>
  <c r="IP24" i="5" s="1"/>
  <c r="IR24" i="5" s="1"/>
  <c r="HQ24" i="5"/>
  <c r="HS24" i="5" s="1"/>
  <c r="HU24" i="5" s="1"/>
  <c r="HW24" i="5" s="1"/>
  <c r="HY24" i="5" s="1"/>
  <c r="IA24" i="5" s="1"/>
  <c r="IC24" i="5" s="1"/>
  <c r="IE24" i="5" s="1"/>
  <c r="IG24" i="5" s="1"/>
  <c r="II24" i="5" s="1"/>
  <c r="IK24" i="5" s="1"/>
  <c r="IM24" i="5" s="1"/>
  <c r="IO24" i="5" s="1"/>
  <c r="IQ24" i="5" s="1"/>
  <c r="IS24" i="5" s="1"/>
  <c r="IU24" i="5" s="1"/>
  <c r="IV24" i="5" s="1"/>
  <c r="IW24" i="5" s="1"/>
  <c r="IX24" i="5" s="1"/>
  <c r="IY24" i="5" s="1"/>
  <c r="IZ24" i="5" s="1"/>
  <c r="JA24" i="5" s="1"/>
  <c r="JB24" i="5" s="1"/>
  <c r="JC24" i="5" s="1"/>
  <c r="JD24" i="5" s="1"/>
  <c r="JE24" i="5" s="1"/>
  <c r="JF24" i="5" s="1"/>
  <c r="JG24" i="5" s="1"/>
  <c r="JH24" i="5" s="1"/>
  <c r="JI24" i="5" s="1"/>
  <c r="JJ24" i="5" s="1"/>
  <c r="JK24" i="5" s="1"/>
  <c r="JL24" i="5" s="1"/>
  <c r="JM24" i="5" s="1"/>
  <c r="JN24" i="5" s="1"/>
  <c r="JO24" i="5" s="1"/>
  <c r="JP24" i="5" s="1"/>
  <c r="JQ24" i="5" s="1"/>
  <c r="JR24" i="5" s="1"/>
  <c r="JS24" i="5" s="1"/>
  <c r="JT24" i="5" s="1"/>
  <c r="JU24" i="5" s="1"/>
  <c r="JV24" i="5" s="1"/>
  <c r="JW24" i="5" s="1"/>
  <c r="JX24" i="5" s="1"/>
  <c r="JZ24" i="5" s="1"/>
  <c r="HP23" i="5"/>
  <c r="HR23" i="5" s="1"/>
  <c r="HT23" i="5" s="1"/>
  <c r="HV23" i="5" s="1"/>
  <c r="HX23" i="5" s="1"/>
  <c r="HZ23" i="5" s="1"/>
  <c r="IB23" i="5" s="1"/>
  <c r="ID23" i="5" s="1"/>
  <c r="IF23" i="5" s="1"/>
  <c r="IH23" i="5" s="1"/>
  <c r="IJ23" i="5" s="1"/>
  <c r="IL23" i="5" s="1"/>
  <c r="IN23" i="5" s="1"/>
  <c r="IP23" i="5" s="1"/>
  <c r="IR23" i="5" s="1"/>
  <c r="HQ23" i="5"/>
  <c r="HS23" i="5" s="1"/>
  <c r="HU23" i="5" s="1"/>
  <c r="HW23" i="5" s="1"/>
  <c r="HY23" i="5" s="1"/>
  <c r="IA23" i="5" s="1"/>
  <c r="IC23" i="5" s="1"/>
  <c r="IE23" i="5" s="1"/>
  <c r="IG23" i="5" s="1"/>
  <c r="II23" i="5" s="1"/>
  <c r="IK23" i="5" s="1"/>
  <c r="IM23" i="5" s="1"/>
  <c r="IO23" i="5" s="1"/>
  <c r="IQ23" i="5" s="1"/>
  <c r="IS23" i="5" s="1"/>
  <c r="IU23" i="5" s="1"/>
  <c r="IV23" i="5" s="1"/>
  <c r="IW23" i="5" s="1"/>
  <c r="IX23" i="5" s="1"/>
  <c r="IY23" i="5" s="1"/>
  <c r="IZ23" i="5" s="1"/>
  <c r="JA23" i="5" s="1"/>
  <c r="JB23" i="5" s="1"/>
  <c r="JC23" i="5" s="1"/>
  <c r="JD23" i="5" s="1"/>
  <c r="JE23" i="5" s="1"/>
  <c r="JF23" i="5" s="1"/>
  <c r="JG23" i="5" s="1"/>
  <c r="JH23" i="5" s="1"/>
  <c r="JI23" i="5" s="1"/>
  <c r="JJ23" i="5" s="1"/>
  <c r="JK23" i="5" s="1"/>
  <c r="JL23" i="5" s="1"/>
  <c r="JM23" i="5" s="1"/>
  <c r="JN23" i="5" s="1"/>
  <c r="JO23" i="5" s="1"/>
  <c r="JP23" i="5" s="1"/>
  <c r="JQ23" i="5" s="1"/>
  <c r="JR23" i="5" s="1"/>
  <c r="JS23" i="5" s="1"/>
  <c r="JT23" i="5" s="1"/>
  <c r="JU23" i="5" s="1"/>
  <c r="JV23" i="5" s="1"/>
  <c r="JW23" i="5" s="1"/>
  <c r="JX23" i="5" s="1"/>
  <c r="JZ23" i="5" s="1"/>
  <c r="L20" i="5"/>
  <c r="AY19" i="5"/>
  <c r="ANS17" i="5"/>
  <c r="AED17" i="5"/>
  <c r="WS16" i="5"/>
  <c r="ID16" i="5"/>
  <c r="FQ16" i="5"/>
  <c r="DJ16" i="5"/>
  <c r="DK16" i="5"/>
  <c r="ANU15" i="5"/>
  <c r="ALB15" i="5"/>
  <c r="VL15" i="5"/>
  <c r="RY15" i="5"/>
  <c r="AMC14" i="5"/>
  <c r="ALD14" i="5"/>
  <c r="AJT14" i="5"/>
  <c r="AIN14" i="5"/>
  <c r="AHT14" i="5"/>
  <c r="AGM14" i="5"/>
  <c r="AFD14" i="5"/>
  <c r="AEF14" i="5"/>
  <c r="ACR14" i="5"/>
  <c r="ABW14" i="5"/>
  <c r="AAD14" i="5"/>
  <c r="ZF14" i="5"/>
  <c r="XY14" i="5"/>
  <c r="UH14" i="5"/>
  <c r="TA14" i="5"/>
  <c r="SA14" i="5"/>
  <c r="QQ14" i="5"/>
  <c r="PQ14" i="5"/>
  <c r="OE14" i="5"/>
  <c r="NR14" i="5"/>
  <c r="MA14" i="5"/>
  <c r="KQ14" i="5"/>
  <c r="JF14" i="5"/>
  <c r="HD14" i="5"/>
  <c r="ER14" i="5"/>
  <c r="DO14" i="5"/>
  <c r="DN14" i="5"/>
  <c r="CJ14" i="5"/>
  <c r="BB14" i="5"/>
  <c r="N14" i="5"/>
  <c r="AQ3" i="5"/>
  <c r="BU3" i="5"/>
  <c r="CZ3" i="5" s="1"/>
  <c r="ANF15" i="5"/>
  <c r="AMA16" i="5"/>
  <c r="AKU16" i="5"/>
  <c r="AJR16" i="5"/>
  <c r="AHF14" i="5"/>
  <c r="AGA14" i="5"/>
  <c r="ADP14" i="5"/>
  <c r="XN14" i="5"/>
  <c r="WH14" i="5"/>
  <c r="KF14" i="5"/>
  <c r="GQ14" i="5"/>
  <c r="BS14" i="5"/>
  <c r="H37" i="5"/>
  <c r="I26" i="5"/>
  <c r="AQ3" i="4"/>
  <c r="BU3" i="4"/>
  <c r="CZ3" i="4" s="1"/>
  <c r="AQ2" i="2"/>
  <c r="BU2" i="2"/>
  <c r="CZ2" i="2" s="1"/>
  <c r="AP3" i="1"/>
  <c r="BT3" i="1"/>
  <c r="CY3" i="1" s="1"/>
  <c r="AMY28" i="4"/>
  <c r="ALU30" i="4"/>
  <c r="AMY30" i="4" s="1"/>
  <c r="AMY42" i="4"/>
  <c r="ALU43" i="4"/>
  <c r="ALT28" i="4"/>
  <c r="AKO30" i="4"/>
  <c r="ALT30" i="4" s="1"/>
  <c r="ALT42" i="4"/>
  <c r="AKO43" i="4"/>
  <c r="AKN28" i="4"/>
  <c r="AJL30" i="4"/>
  <c r="AKN30" i="4" s="1"/>
  <c r="AKN42" i="4"/>
  <c r="AJL43" i="4"/>
  <c r="AJK43" i="4"/>
  <c r="AIF45" i="4"/>
  <c r="AIE43" i="4"/>
  <c r="AGZ45" i="4"/>
  <c r="AGY28" i="4"/>
  <c r="AFU30" i="4"/>
  <c r="AGY30" i="4" s="1"/>
  <c r="AGY42" i="4"/>
  <c r="AFU43" i="4"/>
  <c r="AFT28" i="4"/>
  <c r="AEO30" i="4"/>
  <c r="AFT30" i="4" s="1"/>
  <c r="AFT42" i="4"/>
  <c r="AEO43" i="4"/>
  <c r="AEN28" i="4"/>
  <c r="ADJ30" i="4"/>
  <c r="AEN42" i="4"/>
  <c r="ADJ43" i="4"/>
  <c r="ADI28" i="4"/>
  <c r="ACD30" i="4"/>
  <c r="ADI30" i="4" s="1"/>
  <c r="AEN30" i="4" s="1"/>
  <c r="ADI42" i="4"/>
  <c r="ACD43" i="4"/>
  <c r="ACC28" i="4"/>
  <c r="AAX30" i="4"/>
  <c r="ACC30" i="4" s="1"/>
  <c r="ACC42" i="4"/>
  <c r="AAX43" i="4"/>
  <c r="AAW43" i="4"/>
  <c r="ZS45" i="4"/>
  <c r="ZR43" i="4"/>
  <c r="YM45" i="4"/>
  <c r="XG43" i="4"/>
  <c r="WB45" i="4"/>
  <c r="SN48" i="4"/>
  <c r="TR48" i="4" s="1"/>
  <c r="TR45" i="4"/>
  <c r="RH48" i="4"/>
  <c r="SL48" i="4" s="1"/>
  <c r="SL45" i="4"/>
  <c r="QC48" i="4"/>
  <c r="RG48" i="4" s="1"/>
  <c r="RG45" i="4"/>
  <c r="OW48" i="4"/>
  <c r="QA48" i="4" s="1"/>
  <c r="QA45" i="4"/>
  <c r="NR48" i="4"/>
  <c r="OV48" i="4" s="1"/>
  <c r="OV45" i="4"/>
  <c r="ML48" i="4"/>
  <c r="NP48" i="4" s="1"/>
  <c r="NP45" i="4"/>
  <c r="LF48" i="4"/>
  <c r="MJ48" i="4" s="1"/>
  <c r="MJ45" i="4"/>
  <c r="KA48" i="4"/>
  <c r="LE48" i="4" s="1"/>
  <c r="LE45" i="4"/>
  <c r="IU48" i="4"/>
  <c r="JY48" i="4" s="1"/>
  <c r="JY45" i="4"/>
  <c r="FD28" i="4"/>
  <c r="DY30" i="4"/>
  <c r="FD30" i="4" s="1"/>
  <c r="DX28" i="4"/>
  <c r="CT30" i="4"/>
  <c r="CS28" i="4"/>
  <c r="BN30" i="4"/>
  <c r="CS30" i="4" s="1"/>
  <c r="CS42" i="4"/>
  <c r="BN43" i="4"/>
  <c r="BM28" i="4"/>
  <c r="AI30" i="4"/>
  <c r="BM30" i="4" s="1"/>
  <c r="BM42" i="4"/>
  <c r="AI43" i="4"/>
  <c r="CS35" i="4"/>
  <c r="BN36" i="4"/>
  <c r="CS36" i="4" s="1"/>
  <c r="BM35" i="4"/>
  <c r="AI36" i="4"/>
  <c r="BM36" i="4" s="1"/>
  <c r="AR3" i="3"/>
  <c r="BV3" i="3"/>
  <c r="DA3" i="3" s="1"/>
  <c r="XH48" i="4"/>
  <c r="YL45" i="4"/>
  <c r="AH45" i="4"/>
  <c r="G48" i="4"/>
  <c r="AH48" i="4" s="1"/>
  <c r="H49" i="5"/>
  <c r="I46" i="5"/>
  <c r="AIK16" i="5"/>
  <c r="IT28" i="4"/>
  <c r="HO30" i="4"/>
  <c r="IT30" i="4" s="1"/>
  <c r="IT42" i="4"/>
  <c r="HO43" i="4"/>
  <c r="HN28" i="4"/>
  <c r="GK30" i="4"/>
  <c r="HN30" i="4" s="1"/>
  <c r="HN42" i="4"/>
  <c r="GK43" i="4"/>
  <c r="GJ28" i="4"/>
  <c r="FE30" i="4"/>
  <c r="GJ30" i="4" s="1"/>
  <c r="GJ42" i="4"/>
  <c r="FE43" i="4"/>
  <c r="IT35" i="4"/>
  <c r="HO36" i="4"/>
  <c r="IT36" i="4" s="1"/>
  <c r="HN35" i="4"/>
  <c r="GK36" i="4"/>
  <c r="HN36" i="4" s="1"/>
  <c r="GJ35" i="4"/>
  <c r="FE36" i="4"/>
  <c r="GJ36" i="4" s="1"/>
  <c r="FD45" i="4"/>
  <c r="DY48" i="4"/>
  <c r="FD48" i="4" s="1"/>
  <c r="L48" i="5" l="1"/>
  <c r="KY42" i="5"/>
  <c r="LA42" i="5" s="1"/>
  <c r="LC42" i="5" s="1"/>
  <c r="LD42" i="5" s="1"/>
  <c r="LF42" i="5" s="1"/>
  <c r="LG42" i="5" s="1"/>
  <c r="LH42" i="5" s="1"/>
  <c r="LI42" i="5" s="1"/>
  <c r="LJ42" i="5" s="1"/>
  <c r="LK42" i="5" s="1"/>
  <c r="LL42" i="5" s="1"/>
  <c r="LM42" i="5" s="1"/>
  <c r="LN42" i="5" s="1"/>
  <c r="LO42" i="5" s="1"/>
  <c r="LP42" i="5" s="1"/>
  <c r="LQ42" i="5" s="1"/>
  <c r="LR42" i="5" s="1"/>
  <c r="LS42" i="5" s="1"/>
  <c r="LT42" i="5" s="1"/>
  <c r="LU42" i="5" s="1"/>
  <c r="LV42" i="5" s="1"/>
  <c r="LW42" i="5" s="1"/>
  <c r="LX42" i="5" s="1"/>
  <c r="LY42" i="5" s="1"/>
  <c r="LZ42" i="5" s="1"/>
  <c r="MA42" i="5" s="1"/>
  <c r="MB42" i="5" s="1"/>
  <c r="MC42" i="5" s="1"/>
  <c r="MD42" i="5" s="1"/>
  <c r="ME42" i="5" s="1"/>
  <c r="MF42" i="5" s="1"/>
  <c r="MG42" i="5" s="1"/>
  <c r="MH42" i="5" s="1"/>
  <c r="MI42" i="5" s="1"/>
  <c r="MK42" i="5" s="1"/>
  <c r="KZ42" i="5"/>
  <c r="LB42" i="5" s="1"/>
  <c r="HT42" i="5"/>
  <c r="HU42" i="5"/>
  <c r="CV42" i="5"/>
  <c r="CW42" i="5"/>
  <c r="BO41" i="5"/>
  <c r="BQ41" i="5" s="1"/>
  <c r="BS41" i="5" s="1"/>
  <c r="BU41" i="5" s="1"/>
  <c r="BW41" i="5" s="1"/>
  <c r="BY41" i="5" s="1"/>
  <c r="CA41" i="5" s="1"/>
  <c r="CC41" i="5" s="1"/>
  <c r="CE41" i="5" s="1"/>
  <c r="CG41" i="5" s="1"/>
  <c r="CI41" i="5" s="1"/>
  <c r="CK41" i="5" s="1"/>
  <c r="CM41" i="5" s="1"/>
  <c r="CO41" i="5" s="1"/>
  <c r="CQ41" i="5" s="1"/>
  <c r="BP41" i="5"/>
  <c r="BR41" i="5" s="1"/>
  <c r="BT41" i="5" s="1"/>
  <c r="BV41" i="5" s="1"/>
  <c r="BX41" i="5" s="1"/>
  <c r="BZ41" i="5" s="1"/>
  <c r="CB41" i="5" s="1"/>
  <c r="CD41" i="5" s="1"/>
  <c r="CF41" i="5" s="1"/>
  <c r="CH41" i="5" s="1"/>
  <c r="CJ41" i="5" s="1"/>
  <c r="CL41" i="5" s="1"/>
  <c r="CN41" i="5" s="1"/>
  <c r="CP41" i="5" s="1"/>
  <c r="CR41" i="5" s="1"/>
  <c r="CT41" i="5" s="1"/>
  <c r="K44" i="5"/>
  <c r="L40" i="5"/>
  <c r="KA39" i="5"/>
  <c r="KC39" i="5" s="1"/>
  <c r="KB39" i="5"/>
  <c r="O38" i="5"/>
  <c r="EA36" i="5"/>
  <c r="EC36" i="5" s="1"/>
  <c r="EE36" i="5" s="1"/>
  <c r="EG36" i="5" s="1"/>
  <c r="EI36" i="5" s="1"/>
  <c r="EK36" i="5" s="1"/>
  <c r="EM36" i="5" s="1"/>
  <c r="EO36" i="5" s="1"/>
  <c r="EQ36" i="5" s="1"/>
  <c r="ES36" i="5" s="1"/>
  <c r="EU36" i="5" s="1"/>
  <c r="EW36" i="5" s="1"/>
  <c r="EY36" i="5" s="1"/>
  <c r="FA36" i="5" s="1"/>
  <c r="FC36" i="5" s="1"/>
  <c r="FE36" i="5" s="1"/>
  <c r="DZ36" i="5"/>
  <c r="EB36" i="5" s="1"/>
  <c r="ED36" i="5" s="1"/>
  <c r="EF36" i="5" s="1"/>
  <c r="EH36" i="5" s="1"/>
  <c r="EJ36" i="5" s="1"/>
  <c r="EL36" i="5" s="1"/>
  <c r="EN36" i="5" s="1"/>
  <c r="EP36" i="5" s="1"/>
  <c r="ER36" i="5" s="1"/>
  <c r="ET36" i="5" s="1"/>
  <c r="EV36" i="5" s="1"/>
  <c r="EX36" i="5" s="1"/>
  <c r="EZ36" i="5" s="1"/>
  <c r="FB36" i="5" s="1"/>
  <c r="KA35" i="5"/>
  <c r="KC35" i="5" s="1"/>
  <c r="KE35" i="5" s="1"/>
  <c r="KG35" i="5" s="1"/>
  <c r="KI35" i="5" s="1"/>
  <c r="KK35" i="5" s="1"/>
  <c r="KM35" i="5" s="1"/>
  <c r="KO35" i="5" s="1"/>
  <c r="KB35" i="5"/>
  <c r="KD35" i="5" s="1"/>
  <c r="KF35" i="5" s="1"/>
  <c r="KH35" i="5" s="1"/>
  <c r="KJ35" i="5" s="1"/>
  <c r="KL35" i="5" s="1"/>
  <c r="KN35" i="5" s="1"/>
  <c r="PH32" i="5"/>
  <c r="PJ32" i="5" s="1"/>
  <c r="PL32" i="5" s="1"/>
  <c r="PN32" i="5" s="1"/>
  <c r="PG32" i="5"/>
  <c r="PI32" i="5" s="1"/>
  <c r="PK32" i="5" s="1"/>
  <c r="PM32" i="5" s="1"/>
  <c r="PO32" i="5" s="1"/>
  <c r="KP31" i="5"/>
  <c r="KR31" i="5" s="1"/>
  <c r="KT31" i="5" s="1"/>
  <c r="KU31" i="5" s="1"/>
  <c r="KO31" i="5"/>
  <c r="KQ31" i="5" s="1"/>
  <c r="KS31" i="5" s="1"/>
  <c r="WJ30" i="5"/>
  <c r="WK18" i="5"/>
  <c r="VH18" i="5"/>
  <c r="VG30" i="5"/>
  <c r="UA30" i="5"/>
  <c r="UB18" i="5"/>
  <c r="SU30" i="5"/>
  <c r="SV18" i="5"/>
  <c r="RQ18" i="5"/>
  <c r="RP30" i="5"/>
  <c r="QJ30" i="5"/>
  <c r="QK18" i="5"/>
  <c r="PE30" i="5"/>
  <c r="PF18" i="5"/>
  <c r="NY30" i="5"/>
  <c r="NZ18" i="5"/>
  <c r="FN18" i="5"/>
  <c r="FM30" i="5"/>
  <c r="EQ18" i="5"/>
  <c r="EP30" i="5"/>
  <c r="KA25" i="5"/>
  <c r="KC25" i="5" s="1"/>
  <c r="KE25" i="5" s="1"/>
  <c r="KG25" i="5" s="1"/>
  <c r="KI25" i="5" s="1"/>
  <c r="KK25" i="5" s="1"/>
  <c r="KM25" i="5" s="1"/>
  <c r="KO25" i="5" s="1"/>
  <c r="KQ25" i="5" s="1"/>
  <c r="KS25" i="5" s="1"/>
  <c r="KU25" i="5" s="1"/>
  <c r="KW25" i="5" s="1"/>
  <c r="KY25" i="5" s="1"/>
  <c r="LA25" i="5" s="1"/>
  <c r="LC25" i="5" s="1"/>
  <c r="KB25" i="5"/>
  <c r="KD25" i="5" s="1"/>
  <c r="KF25" i="5" s="1"/>
  <c r="KH25" i="5" s="1"/>
  <c r="KJ25" i="5" s="1"/>
  <c r="KL25" i="5" s="1"/>
  <c r="KN25" i="5" s="1"/>
  <c r="KP25" i="5" s="1"/>
  <c r="KR25" i="5" s="1"/>
  <c r="KT25" i="5" s="1"/>
  <c r="KV25" i="5" s="1"/>
  <c r="KX25" i="5" s="1"/>
  <c r="KZ25" i="5" s="1"/>
  <c r="LB25" i="5" s="1"/>
  <c r="LD25" i="5" s="1"/>
  <c r="LF25" i="5" s="1"/>
  <c r="LG25" i="5" s="1"/>
  <c r="LH25" i="5" s="1"/>
  <c r="LI25" i="5" s="1"/>
  <c r="LJ25" i="5" s="1"/>
  <c r="LK25" i="5" s="1"/>
  <c r="LL25" i="5" s="1"/>
  <c r="LM25" i="5" s="1"/>
  <c r="LN25" i="5" s="1"/>
  <c r="LO25" i="5" s="1"/>
  <c r="LP25" i="5" s="1"/>
  <c r="LQ25" i="5" s="1"/>
  <c r="LR25" i="5" s="1"/>
  <c r="LS25" i="5" s="1"/>
  <c r="LT25" i="5" s="1"/>
  <c r="LU25" i="5" s="1"/>
  <c r="LV25" i="5" s="1"/>
  <c r="LW25" i="5" s="1"/>
  <c r="LX25" i="5" s="1"/>
  <c r="LY25" i="5" s="1"/>
  <c r="LZ25" i="5" s="1"/>
  <c r="MA25" i="5" s="1"/>
  <c r="MB25" i="5" s="1"/>
  <c r="MC25" i="5" s="1"/>
  <c r="MD25" i="5" s="1"/>
  <c r="ME25" i="5" s="1"/>
  <c r="MF25" i="5" s="1"/>
  <c r="MG25" i="5" s="1"/>
  <c r="MH25" i="5" s="1"/>
  <c r="MI25" i="5" s="1"/>
  <c r="MK25" i="5" s="1"/>
  <c r="KA24" i="5"/>
  <c r="KC24" i="5" s="1"/>
  <c r="KE24" i="5" s="1"/>
  <c r="KG24" i="5" s="1"/>
  <c r="KI24" i="5" s="1"/>
  <c r="KK24" i="5" s="1"/>
  <c r="KM24" i="5" s="1"/>
  <c r="KO24" i="5" s="1"/>
  <c r="KQ24" i="5" s="1"/>
  <c r="KS24" i="5" s="1"/>
  <c r="KU24" i="5" s="1"/>
  <c r="KW24" i="5" s="1"/>
  <c r="KY24" i="5" s="1"/>
  <c r="LA24" i="5" s="1"/>
  <c r="LC24" i="5" s="1"/>
  <c r="KB24" i="5"/>
  <c r="KD24" i="5" s="1"/>
  <c r="KF24" i="5" s="1"/>
  <c r="KH24" i="5" s="1"/>
  <c r="KJ24" i="5" s="1"/>
  <c r="KL24" i="5" s="1"/>
  <c r="KN24" i="5" s="1"/>
  <c r="KP24" i="5" s="1"/>
  <c r="KR24" i="5" s="1"/>
  <c r="KT24" i="5" s="1"/>
  <c r="KV24" i="5" s="1"/>
  <c r="KX24" i="5" s="1"/>
  <c r="KZ24" i="5" s="1"/>
  <c r="LB24" i="5" s="1"/>
  <c r="LD24" i="5" s="1"/>
  <c r="LF24" i="5" s="1"/>
  <c r="LG24" i="5" s="1"/>
  <c r="LH24" i="5" s="1"/>
  <c r="LI24" i="5" s="1"/>
  <c r="LJ24" i="5" s="1"/>
  <c r="LK24" i="5" s="1"/>
  <c r="LL24" i="5" s="1"/>
  <c r="LM24" i="5" s="1"/>
  <c r="LN24" i="5" s="1"/>
  <c r="LO24" i="5" s="1"/>
  <c r="LP24" i="5" s="1"/>
  <c r="LQ24" i="5" s="1"/>
  <c r="LR24" i="5" s="1"/>
  <c r="LS24" i="5" s="1"/>
  <c r="LT24" i="5" s="1"/>
  <c r="LU24" i="5" s="1"/>
  <c r="LV24" i="5" s="1"/>
  <c r="LW24" i="5" s="1"/>
  <c r="LX24" i="5" s="1"/>
  <c r="LY24" i="5" s="1"/>
  <c r="LZ24" i="5" s="1"/>
  <c r="MA24" i="5" s="1"/>
  <c r="MB24" i="5" s="1"/>
  <c r="MC24" i="5" s="1"/>
  <c r="MD24" i="5" s="1"/>
  <c r="ME24" i="5" s="1"/>
  <c r="MF24" i="5" s="1"/>
  <c r="MG24" i="5" s="1"/>
  <c r="MH24" i="5" s="1"/>
  <c r="MI24" i="5" s="1"/>
  <c r="MK24" i="5" s="1"/>
  <c r="KA23" i="5"/>
  <c r="KC23" i="5" s="1"/>
  <c r="KE23" i="5" s="1"/>
  <c r="KG23" i="5" s="1"/>
  <c r="KI23" i="5" s="1"/>
  <c r="KK23" i="5" s="1"/>
  <c r="KM23" i="5" s="1"/>
  <c r="KO23" i="5" s="1"/>
  <c r="KQ23" i="5" s="1"/>
  <c r="KS23" i="5" s="1"/>
  <c r="KU23" i="5" s="1"/>
  <c r="KW23" i="5" s="1"/>
  <c r="KY23" i="5" s="1"/>
  <c r="LA23" i="5" s="1"/>
  <c r="LC23" i="5" s="1"/>
  <c r="KB23" i="5"/>
  <c r="KD23" i="5" s="1"/>
  <c r="KF23" i="5" s="1"/>
  <c r="KH23" i="5" s="1"/>
  <c r="KJ23" i="5" s="1"/>
  <c r="KL23" i="5" s="1"/>
  <c r="KN23" i="5" s="1"/>
  <c r="KP23" i="5" s="1"/>
  <c r="KR23" i="5" s="1"/>
  <c r="KT23" i="5" s="1"/>
  <c r="KV23" i="5" s="1"/>
  <c r="KX23" i="5" s="1"/>
  <c r="KZ23" i="5" s="1"/>
  <c r="LB23" i="5" s="1"/>
  <c r="LD23" i="5" s="1"/>
  <c r="LF23" i="5" s="1"/>
  <c r="LG23" i="5" s="1"/>
  <c r="LH23" i="5" s="1"/>
  <c r="LI23" i="5" s="1"/>
  <c r="LJ23" i="5" s="1"/>
  <c r="LK23" i="5" s="1"/>
  <c r="LL23" i="5" s="1"/>
  <c r="LM23" i="5" s="1"/>
  <c r="LN23" i="5" s="1"/>
  <c r="LO23" i="5" s="1"/>
  <c r="LP23" i="5" s="1"/>
  <c r="LQ23" i="5" s="1"/>
  <c r="LR23" i="5" s="1"/>
  <c r="LS23" i="5" s="1"/>
  <c r="LT23" i="5" s="1"/>
  <c r="LU23" i="5" s="1"/>
  <c r="LV23" i="5" s="1"/>
  <c r="LW23" i="5" s="1"/>
  <c r="LX23" i="5" s="1"/>
  <c r="LY23" i="5" s="1"/>
  <c r="LZ23" i="5" s="1"/>
  <c r="MA23" i="5" s="1"/>
  <c r="MB23" i="5" s="1"/>
  <c r="MC23" i="5" s="1"/>
  <c r="MD23" i="5" s="1"/>
  <c r="ME23" i="5" s="1"/>
  <c r="MF23" i="5" s="1"/>
  <c r="MG23" i="5" s="1"/>
  <c r="MH23" i="5" s="1"/>
  <c r="MI23" i="5" s="1"/>
  <c r="MK23" i="5" s="1"/>
  <c r="M20" i="5"/>
  <c r="AZ19" i="5"/>
  <c r="ANT17" i="5"/>
  <c r="AEE17" i="5"/>
  <c r="WT16" i="5"/>
  <c r="IE16" i="5"/>
  <c r="FR16" i="5"/>
  <c r="DL16" i="5"/>
  <c r="DM16" i="5"/>
  <c r="ANV15" i="5"/>
  <c r="ALC15" i="5"/>
  <c r="VM15" i="5"/>
  <c r="RZ15" i="5"/>
  <c r="AMD14" i="5"/>
  <c r="ALE14" i="5"/>
  <c r="AJU14" i="5"/>
  <c r="AIO14" i="5"/>
  <c r="AHU14" i="5"/>
  <c r="AGN14" i="5"/>
  <c r="AFE14" i="5"/>
  <c r="AEG14" i="5"/>
  <c r="ACS14" i="5"/>
  <c r="ABX14" i="5"/>
  <c r="AAE14" i="5"/>
  <c r="ZG14" i="5"/>
  <c r="XZ14" i="5"/>
  <c r="UI14" i="5"/>
  <c r="TB14" i="5"/>
  <c r="SB14" i="5"/>
  <c r="QR14" i="5"/>
  <c r="PR14" i="5"/>
  <c r="OF14" i="5"/>
  <c r="NS14" i="5"/>
  <c r="MB14" i="5"/>
  <c r="KR14" i="5"/>
  <c r="JG14" i="5"/>
  <c r="HE14" i="5"/>
  <c r="ES14" i="5"/>
  <c r="DQ14" i="5"/>
  <c r="DP14" i="5"/>
  <c r="CK14" i="5"/>
  <c r="BC14" i="5"/>
  <c r="O14" i="5"/>
  <c r="AR3" i="5"/>
  <c r="BV3" i="5"/>
  <c r="DA3" i="5" s="1"/>
  <c r="ANG15" i="5"/>
  <c r="AMB16" i="5"/>
  <c r="AKV16" i="5"/>
  <c r="AJS16" i="5"/>
  <c r="AHG14" i="5"/>
  <c r="AGB14" i="5"/>
  <c r="ADQ14" i="5"/>
  <c r="XO14" i="5"/>
  <c r="WI14" i="5"/>
  <c r="GR14" i="5"/>
  <c r="BT14" i="5"/>
  <c r="I37" i="5"/>
  <c r="J26" i="5"/>
  <c r="AR3" i="4"/>
  <c r="BV3" i="4"/>
  <c r="DA3" i="4" s="1"/>
  <c r="AR2" i="2"/>
  <c r="BV2" i="2"/>
  <c r="DA2" i="2" s="1"/>
  <c r="AQ3" i="1"/>
  <c r="BU3" i="1"/>
  <c r="CZ3" i="1" s="1"/>
  <c r="AMY43" i="4"/>
  <c r="ALU45" i="4"/>
  <c r="ALT43" i="4"/>
  <c r="AKO45" i="4"/>
  <c r="AKN43" i="4"/>
  <c r="AJL45" i="4"/>
  <c r="AIF48" i="4"/>
  <c r="AJK48" i="4" s="1"/>
  <c r="AJK45" i="4"/>
  <c r="AGZ48" i="4"/>
  <c r="AIE48" i="4" s="1"/>
  <c r="AIE45" i="4"/>
  <c r="AGY43" i="4"/>
  <c r="AFU45" i="4"/>
  <c r="AFT43" i="4"/>
  <c r="AEO45" i="4"/>
  <c r="AEN43" i="4"/>
  <c r="ADJ45" i="4"/>
  <c r="ADI43" i="4"/>
  <c r="ACD45" i="4"/>
  <c r="ACC43" i="4"/>
  <c r="AAX45" i="4"/>
  <c r="ZS48" i="4"/>
  <c r="AAW48" i="4" s="1"/>
  <c r="AAW45" i="4"/>
  <c r="YM48" i="4"/>
  <c r="ZR48" i="4" s="1"/>
  <c r="ZR45" i="4"/>
  <c r="WB48" i="4"/>
  <c r="XG45" i="4"/>
  <c r="CS43" i="4"/>
  <c r="BN45" i="4"/>
  <c r="BM43" i="4"/>
  <c r="AI45" i="4"/>
  <c r="BW3" i="3"/>
  <c r="DB3" i="3" s="1"/>
  <c r="AS3" i="3"/>
  <c r="I49" i="5"/>
  <c r="J46" i="5"/>
  <c r="AIL16" i="5"/>
  <c r="IT43" i="4"/>
  <c r="HO45" i="4"/>
  <c r="HN43" i="4"/>
  <c r="GK45" i="4"/>
  <c r="FE45" i="4"/>
  <c r="H51" i="5"/>
  <c r="H53" i="5" s="1"/>
  <c r="M48" i="5" l="1"/>
  <c r="ML42" i="5"/>
  <c r="MM42" i="5"/>
  <c r="HV42" i="5"/>
  <c r="HX42" i="5" s="1"/>
  <c r="HW42" i="5"/>
  <c r="HY42" i="5" s="1"/>
  <c r="CX42" i="5"/>
  <c r="CZ42" i="5" s="1"/>
  <c r="CY42" i="5"/>
  <c r="DA42" i="5" s="1"/>
  <c r="CU41" i="5"/>
  <c r="CW41" i="5" s="1"/>
  <c r="CY41" i="5" s="1"/>
  <c r="DA41" i="5" s="1"/>
  <c r="DC41" i="5" s="1"/>
  <c r="DE41" i="5" s="1"/>
  <c r="DG41" i="5" s="1"/>
  <c r="CV41" i="5"/>
  <c r="CX41" i="5" s="1"/>
  <c r="CZ41" i="5" s="1"/>
  <c r="DB41" i="5" s="1"/>
  <c r="DD41" i="5" s="1"/>
  <c r="DF41" i="5" s="1"/>
  <c r="DH41" i="5" s="1"/>
  <c r="L44" i="5"/>
  <c r="M40" i="5"/>
  <c r="KD39" i="5"/>
  <c r="KF39" i="5" s="1"/>
  <c r="KH39" i="5" s="1"/>
  <c r="KJ39" i="5" s="1"/>
  <c r="KL39" i="5" s="1"/>
  <c r="KN39" i="5" s="1"/>
  <c r="KP39" i="5" s="1"/>
  <c r="KR39" i="5" s="1"/>
  <c r="KT39" i="5" s="1"/>
  <c r="KV39" i="5" s="1"/>
  <c r="KX39" i="5" s="1"/>
  <c r="KZ39" i="5" s="1"/>
  <c r="KE39" i="5"/>
  <c r="KG39" i="5" s="1"/>
  <c r="KI39" i="5" s="1"/>
  <c r="KK39" i="5" s="1"/>
  <c r="KM39" i="5" s="1"/>
  <c r="KO39" i="5" s="1"/>
  <c r="KQ39" i="5" s="1"/>
  <c r="KS39" i="5" s="1"/>
  <c r="KU39" i="5" s="1"/>
  <c r="KW39" i="5" s="1"/>
  <c r="KY39" i="5" s="1"/>
  <c r="LA39" i="5" s="1"/>
  <c r="P38" i="5"/>
  <c r="FF36" i="5"/>
  <c r="FH36" i="5" s="1"/>
  <c r="FJ36" i="5" s="1"/>
  <c r="FL36" i="5" s="1"/>
  <c r="FN36" i="5" s="1"/>
  <c r="FP36" i="5" s="1"/>
  <c r="FR36" i="5" s="1"/>
  <c r="FT36" i="5" s="1"/>
  <c r="FV36" i="5" s="1"/>
  <c r="FX36" i="5" s="1"/>
  <c r="FZ36" i="5" s="1"/>
  <c r="GB36" i="5" s="1"/>
  <c r="GD36" i="5" s="1"/>
  <c r="GF36" i="5" s="1"/>
  <c r="GH36" i="5" s="1"/>
  <c r="FG36" i="5"/>
  <c r="FI36" i="5" s="1"/>
  <c r="FK36" i="5" s="1"/>
  <c r="FM36" i="5" s="1"/>
  <c r="FO36" i="5" s="1"/>
  <c r="FQ36" i="5" s="1"/>
  <c r="FS36" i="5" s="1"/>
  <c r="FU36" i="5" s="1"/>
  <c r="FW36" i="5" s="1"/>
  <c r="FY36" i="5" s="1"/>
  <c r="GA36" i="5" s="1"/>
  <c r="GC36" i="5" s="1"/>
  <c r="GE36" i="5" s="1"/>
  <c r="GG36" i="5" s="1"/>
  <c r="GI36" i="5" s="1"/>
  <c r="GK36" i="5" s="1"/>
  <c r="KP35" i="5"/>
  <c r="KQ35" i="5"/>
  <c r="PQ32" i="5"/>
  <c r="PS32" i="5" s="1"/>
  <c r="PU32" i="5" s="1"/>
  <c r="PW32" i="5" s="1"/>
  <c r="PY32" i="5" s="1"/>
  <c r="PP32" i="5"/>
  <c r="PR32" i="5" s="1"/>
  <c r="PT32" i="5" s="1"/>
  <c r="PV32" i="5" s="1"/>
  <c r="PX32" i="5" s="1"/>
  <c r="PZ32" i="5" s="1"/>
  <c r="QB32" i="5" s="1"/>
  <c r="QC32" i="5" s="1"/>
  <c r="QD32" i="5" s="1"/>
  <c r="QE32" i="5" s="1"/>
  <c r="QF32" i="5" s="1"/>
  <c r="QG32" i="5" s="1"/>
  <c r="QH32" i="5" s="1"/>
  <c r="QI32" i="5" s="1"/>
  <c r="QJ32" i="5" s="1"/>
  <c r="QK32" i="5" s="1"/>
  <c r="QL32" i="5" s="1"/>
  <c r="QM32" i="5" s="1"/>
  <c r="QN32" i="5" s="1"/>
  <c r="QO32" i="5" s="1"/>
  <c r="QP32" i="5" s="1"/>
  <c r="QQ32" i="5" s="1"/>
  <c r="QR32" i="5" s="1"/>
  <c r="QS32" i="5" s="1"/>
  <c r="QT32" i="5" s="1"/>
  <c r="QU32" i="5" s="1"/>
  <c r="QV32" i="5" s="1"/>
  <c r="QW32" i="5" s="1"/>
  <c r="QX32" i="5" s="1"/>
  <c r="QY32" i="5" s="1"/>
  <c r="QZ32" i="5" s="1"/>
  <c r="RA32" i="5" s="1"/>
  <c r="RB32" i="5" s="1"/>
  <c r="RC32" i="5" s="1"/>
  <c r="RD32" i="5" s="1"/>
  <c r="RE32" i="5" s="1"/>
  <c r="RF32" i="5" s="1"/>
  <c r="RH32" i="5" s="1"/>
  <c r="RI32" i="5" s="1"/>
  <c r="RJ32" i="5" s="1"/>
  <c r="RK32" i="5" s="1"/>
  <c r="RL32" i="5" s="1"/>
  <c r="RM32" i="5" s="1"/>
  <c r="RN32" i="5" s="1"/>
  <c r="RO32" i="5" s="1"/>
  <c r="RP32" i="5" s="1"/>
  <c r="RQ32" i="5" s="1"/>
  <c r="RR32" i="5" s="1"/>
  <c r="RS32" i="5" s="1"/>
  <c r="RT32" i="5" s="1"/>
  <c r="RU32" i="5" s="1"/>
  <c r="RV32" i="5" s="1"/>
  <c r="RW32" i="5" s="1"/>
  <c r="RX32" i="5" s="1"/>
  <c r="RY32" i="5" s="1"/>
  <c r="RZ32" i="5" s="1"/>
  <c r="SA32" i="5" s="1"/>
  <c r="SB32" i="5" s="1"/>
  <c r="SC32" i="5" s="1"/>
  <c r="SD32" i="5" s="1"/>
  <c r="SE32" i="5" s="1"/>
  <c r="SF32" i="5" s="1"/>
  <c r="SG32" i="5" s="1"/>
  <c r="SH32" i="5" s="1"/>
  <c r="SI32" i="5" s="1"/>
  <c r="SJ32" i="5" s="1"/>
  <c r="SK32" i="5" s="1"/>
  <c r="SM32" i="5" s="1"/>
  <c r="SN32" i="5" s="1"/>
  <c r="SO32" i="5" s="1"/>
  <c r="SP32" i="5" s="1"/>
  <c r="SQ32" i="5" s="1"/>
  <c r="SR32" i="5" s="1"/>
  <c r="SS32" i="5" s="1"/>
  <c r="ST32" i="5" s="1"/>
  <c r="SU32" i="5" s="1"/>
  <c r="SV32" i="5" s="1"/>
  <c r="SW32" i="5" s="1"/>
  <c r="SX32" i="5" s="1"/>
  <c r="SY32" i="5" s="1"/>
  <c r="SZ32" i="5" s="1"/>
  <c r="TA32" i="5" s="1"/>
  <c r="TB32" i="5" s="1"/>
  <c r="TC32" i="5" s="1"/>
  <c r="TD32" i="5" s="1"/>
  <c r="TE32" i="5" s="1"/>
  <c r="TF32" i="5" s="1"/>
  <c r="TG32" i="5" s="1"/>
  <c r="TH32" i="5" s="1"/>
  <c r="TI32" i="5" s="1"/>
  <c r="TJ32" i="5" s="1"/>
  <c r="TK32" i="5" s="1"/>
  <c r="TL32" i="5" s="1"/>
  <c r="TM32" i="5" s="1"/>
  <c r="TN32" i="5" s="1"/>
  <c r="TO32" i="5" s="1"/>
  <c r="TP32" i="5" s="1"/>
  <c r="TQ32" i="5" s="1"/>
  <c r="TS32" i="5" s="1"/>
  <c r="TT32" i="5" s="1"/>
  <c r="TU32" i="5" s="1"/>
  <c r="TV32" i="5" s="1"/>
  <c r="TW32" i="5" s="1"/>
  <c r="TX32" i="5" s="1"/>
  <c r="TY32" i="5" s="1"/>
  <c r="TZ32" i="5" s="1"/>
  <c r="UA32" i="5" s="1"/>
  <c r="UB32" i="5" s="1"/>
  <c r="UC32" i="5" s="1"/>
  <c r="UD32" i="5" s="1"/>
  <c r="UE32" i="5" s="1"/>
  <c r="UF32" i="5" s="1"/>
  <c r="UG32" i="5" s="1"/>
  <c r="UH32" i="5" s="1"/>
  <c r="UI32" i="5" s="1"/>
  <c r="UJ32" i="5" s="1"/>
  <c r="UK32" i="5" s="1"/>
  <c r="UL32" i="5" s="1"/>
  <c r="UM32" i="5" s="1"/>
  <c r="UN32" i="5" s="1"/>
  <c r="UO32" i="5" s="1"/>
  <c r="UP32" i="5" s="1"/>
  <c r="UQ32" i="5" s="1"/>
  <c r="UR32" i="5" s="1"/>
  <c r="US32" i="5" s="1"/>
  <c r="UT32" i="5" s="1"/>
  <c r="UU32" i="5" s="1"/>
  <c r="UV32" i="5" s="1"/>
  <c r="UW32" i="5" s="1"/>
  <c r="UY32" i="5" s="1"/>
  <c r="KV31" i="5"/>
  <c r="KX31" i="5" s="1"/>
  <c r="KW31" i="5"/>
  <c r="WL18" i="5"/>
  <c r="WK30" i="5"/>
  <c r="VH30" i="5"/>
  <c r="VI18" i="5"/>
  <c r="UC18" i="5"/>
  <c r="UB30" i="5"/>
  <c r="SW18" i="5"/>
  <c r="SV30" i="5"/>
  <c r="RQ30" i="5"/>
  <c r="RR18" i="5"/>
  <c r="QK30" i="5"/>
  <c r="QL18" i="5"/>
  <c r="PG18" i="5"/>
  <c r="PF30" i="5"/>
  <c r="NZ30" i="5"/>
  <c r="OA18" i="5"/>
  <c r="FN30" i="5"/>
  <c r="FO18" i="5"/>
  <c r="EQ30" i="5"/>
  <c r="ER18" i="5"/>
  <c r="ML25" i="5"/>
  <c r="MN25" i="5" s="1"/>
  <c r="MP25" i="5" s="1"/>
  <c r="MR25" i="5" s="1"/>
  <c r="MT25" i="5" s="1"/>
  <c r="MV25" i="5" s="1"/>
  <c r="MX25" i="5" s="1"/>
  <c r="MZ25" i="5" s="1"/>
  <c r="NB25" i="5" s="1"/>
  <c r="ND25" i="5" s="1"/>
  <c r="NF25" i="5" s="1"/>
  <c r="NH25" i="5" s="1"/>
  <c r="NJ25" i="5" s="1"/>
  <c r="NL25" i="5" s="1"/>
  <c r="NN25" i="5" s="1"/>
  <c r="MM25" i="5"/>
  <c r="MO25" i="5" s="1"/>
  <c r="MQ25" i="5" s="1"/>
  <c r="MS25" i="5" s="1"/>
  <c r="MU25" i="5" s="1"/>
  <c r="MW25" i="5" s="1"/>
  <c r="MY25" i="5" s="1"/>
  <c r="NA25" i="5" s="1"/>
  <c r="NC25" i="5" s="1"/>
  <c r="NE25" i="5" s="1"/>
  <c r="NG25" i="5" s="1"/>
  <c r="NI25" i="5" s="1"/>
  <c r="NK25" i="5" s="1"/>
  <c r="NM25" i="5" s="1"/>
  <c r="NO25" i="5" s="1"/>
  <c r="NQ25" i="5" s="1"/>
  <c r="ML24" i="5"/>
  <c r="MN24" i="5" s="1"/>
  <c r="MP24" i="5" s="1"/>
  <c r="MR24" i="5" s="1"/>
  <c r="MT24" i="5" s="1"/>
  <c r="MV24" i="5" s="1"/>
  <c r="MX24" i="5" s="1"/>
  <c r="MZ24" i="5" s="1"/>
  <c r="NB24" i="5" s="1"/>
  <c r="ND24" i="5" s="1"/>
  <c r="NF24" i="5" s="1"/>
  <c r="NH24" i="5" s="1"/>
  <c r="NJ24" i="5" s="1"/>
  <c r="NL24" i="5" s="1"/>
  <c r="NN24" i="5" s="1"/>
  <c r="MM24" i="5"/>
  <c r="MO24" i="5" s="1"/>
  <c r="MQ24" i="5" s="1"/>
  <c r="MS24" i="5" s="1"/>
  <c r="MU24" i="5" s="1"/>
  <c r="MW24" i="5" s="1"/>
  <c r="MY24" i="5" s="1"/>
  <c r="NA24" i="5" s="1"/>
  <c r="NC24" i="5" s="1"/>
  <c r="NE24" i="5" s="1"/>
  <c r="NG24" i="5" s="1"/>
  <c r="NI24" i="5" s="1"/>
  <c r="NK24" i="5" s="1"/>
  <c r="NM24" i="5" s="1"/>
  <c r="NO24" i="5" s="1"/>
  <c r="NQ24" i="5" s="1"/>
  <c r="ML23" i="5"/>
  <c r="MN23" i="5" s="1"/>
  <c r="MP23" i="5" s="1"/>
  <c r="MR23" i="5" s="1"/>
  <c r="MT23" i="5" s="1"/>
  <c r="MV23" i="5" s="1"/>
  <c r="MX23" i="5" s="1"/>
  <c r="MZ23" i="5" s="1"/>
  <c r="NB23" i="5" s="1"/>
  <c r="ND23" i="5" s="1"/>
  <c r="NF23" i="5" s="1"/>
  <c r="NH23" i="5" s="1"/>
  <c r="NJ23" i="5" s="1"/>
  <c r="NL23" i="5" s="1"/>
  <c r="NN23" i="5" s="1"/>
  <c r="MM23" i="5"/>
  <c r="MO23" i="5" s="1"/>
  <c r="MQ23" i="5" s="1"/>
  <c r="MS23" i="5" s="1"/>
  <c r="MU23" i="5" s="1"/>
  <c r="MW23" i="5" s="1"/>
  <c r="MY23" i="5" s="1"/>
  <c r="NA23" i="5" s="1"/>
  <c r="NC23" i="5" s="1"/>
  <c r="NE23" i="5" s="1"/>
  <c r="NG23" i="5" s="1"/>
  <c r="NI23" i="5" s="1"/>
  <c r="NK23" i="5" s="1"/>
  <c r="NM23" i="5" s="1"/>
  <c r="NO23" i="5" s="1"/>
  <c r="NQ23" i="5" s="1"/>
  <c r="N20" i="5"/>
  <c r="BA19" i="5"/>
  <c r="ANU17" i="5"/>
  <c r="AEF17" i="5"/>
  <c r="WU16" i="5"/>
  <c r="IF16" i="5"/>
  <c r="FS16" i="5"/>
  <c r="DN16" i="5"/>
  <c r="DO16" i="5"/>
  <c r="ANW15" i="5"/>
  <c r="VN15" i="5"/>
  <c r="SA15" i="5"/>
  <c r="AME14" i="5"/>
  <c r="ALF14" i="5"/>
  <c r="AJV14" i="5"/>
  <c r="AIP14" i="5"/>
  <c r="AHV14" i="5"/>
  <c r="AGO14" i="5"/>
  <c r="AFF14" i="5"/>
  <c r="AEH14" i="5"/>
  <c r="ACT14" i="5"/>
  <c r="ABY14" i="5"/>
  <c r="AAF14" i="5"/>
  <c r="ZH14" i="5"/>
  <c r="YA14" i="5"/>
  <c r="UJ14" i="5"/>
  <c r="TC14" i="5"/>
  <c r="SC14" i="5"/>
  <c r="QS14" i="5"/>
  <c r="PS14" i="5"/>
  <c r="OG14" i="5"/>
  <c r="NT14" i="5"/>
  <c r="MC14" i="5"/>
  <c r="KS14" i="5"/>
  <c r="JH14" i="5"/>
  <c r="HF14" i="5"/>
  <c r="ET14" i="5"/>
  <c r="DS14" i="5"/>
  <c r="DR14" i="5"/>
  <c r="CL14" i="5"/>
  <c r="BD14" i="5"/>
  <c r="P14" i="5"/>
  <c r="AS3" i="5"/>
  <c r="BW3" i="5"/>
  <c r="DB3" i="5" s="1"/>
  <c r="ANH15" i="5"/>
  <c r="AMC16" i="5"/>
  <c r="AKW16" i="5"/>
  <c r="AJT16" i="5"/>
  <c r="AHH14" i="5"/>
  <c r="AGC14" i="5"/>
  <c r="ADR14" i="5"/>
  <c r="GS14" i="5"/>
  <c r="BU14" i="5"/>
  <c r="J37" i="5"/>
  <c r="K26" i="5"/>
  <c r="AS3" i="4"/>
  <c r="BW3" i="4"/>
  <c r="DB3" i="4" s="1"/>
  <c r="AS2" i="2"/>
  <c r="BW2" i="2"/>
  <c r="DB2" i="2" s="1"/>
  <c r="AR3" i="1"/>
  <c r="BV3" i="1"/>
  <c r="DA3" i="1" s="1"/>
  <c r="ALU48" i="4"/>
  <c r="AMY48" i="4" s="1"/>
  <c r="AMY45" i="4"/>
  <c r="AKO48" i="4"/>
  <c r="ALT48" i="4" s="1"/>
  <c r="ALT45" i="4"/>
  <c r="AJL48" i="4"/>
  <c r="AKN48" i="4" s="1"/>
  <c r="AKN45" i="4"/>
  <c r="AFU48" i="4"/>
  <c r="AGY48" i="4" s="1"/>
  <c r="AGY45" i="4"/>
  <c r="AEO48" i="4"/>
  <c r="AFT48" i="4" s="1"/>
  <c r="AFT45" i="4"/>
  <c r="ADJ48" i="4"/>
  <c r="AEN48" i="4" s="1"/>
  <c r="AEN45" i="4"/>
  <c r="ACD48" i="4"/>
  <c r="ADI48" i="4" s="1"/>
  <c r="ADI45" i="4"/>
  <c r="AAX48" i="4"/>
  <c r="ACC48" i="4" s="1"/>
  <c r="ACC45" i="4"/>
  <c r="BN48" i="4"/>
  <c r="CS48" i="4" s="1"/>
  <c r="CS45" i="4"/>
  <c r="AI48" i="4"/>
  <c r="BM48" i="4" s="1"/>
  <c r="BM45" i="4"/>
  <c r="BX3" i="3"/>
  <c r="DC3" i="3" s="1"/>
  <c r="AT3" i="3"/>
  <c r="J49" i="5"/>
  <c r="K46" i="5"/>
  <c r="AIM16" i="5"/>
  <c r="HO48" i="4"/>
  <c r="IT48" i="4" s="1"/>
  <c r="IT45" i="4"/>
  <c r="GK48" i="4"/>
  <c r="HN48" i="4" s="1"/>
  <c r="HN45" i="4"/>
  <c r="GJ45" i="4"/>
  <c r="FE48" i="4"/>
  <c r="GJ48" i="4" s="1"/>
  <c r="I51" i="5"/>
  <c r="I53" i="5" s="1"/>
  <c r="N48" i="5" l="1"/>
  <c r="MN42" i="5"/>
  <c r="MP42" i="5" s="1"/>
  <c r="MQ42" i="5" s="1"/>
  <c r="MO42" i="5"/>
  <c r="HZ42" i="5"/>
  <c r="IB42" i="5" s="1"/>
  <c r="ID42" i="5" s="1"/>
  <c r="IA42" i="5"/>
  <c r="IC42" i="5" s="1"/>
  <c r="DB42" i="5"/>
  <c r="DD42" i="5" s="1"/>
  <c r="DC42" i="5"/>
  <c r="DI41" i="5"/>
  <c r="DK41" i="5" s="1"/>
  <c r="DM41" i="5" s="1"/>
  <c r="DO41" i="5" s="1"/>
  <c r="DQ41" i="5" s="1"/>
  <c r="DS41" i="5" s="1"/>
  <c r="DU41" i="5" s="1"/>
  <c r="DW41" i="5" s="1"/>
  <c r="DY41" i="5" s="1"/>
  <c r="DZ41" i="5" s="1"/>
  <c r="EA41" i="5" s="1"/>
  <c r="EB41" i="5" s="1"/>
  <c r="EC41" i="5" s="1"/>
  <c r="ED41" i="5" s="1"/>
  <c r="EE41" i="5" s="1"/>
  <c r="EF41" i="5" s="1"/>
  <c r="EG41" i="5" s="1"/>
  <c r="EH41" i="5" s="1"/>
  <c r="EI41" i="5" s="1"/>
  <c r="EJ41" i="5" s="1"/>
  <c r="EK41" i="5" s="1"/>
  <c r="EL41" i="5" s="1"/>
  <c r="EM41" i="5" s="1"/>
  <c r="EN41" i="5" s="1"/>
  <c r="EO41" i="5" s="1"/>
  <c r="EP41" i="5" s="1"/>
  <c r="EQ41" i="5" s="1"/>
  <c r="ER41" i="5" s="1"/>
  <c r="ES41" i="5" s="1"/>
  <c r="ET41" i="5" s="1"/>
  <c r="EU41" i="5" s="1"/>
  <c r="EV41" i="5" s="1"/>
  <c r="EW41" i="5" s="1"/>
  <c r="EX41" i="5" s="1"/>
  <c r="EY41" i="5" s="1"/>
  <c r="EZ41" i="5" s="1"/>
  <c r="FA41" i="5" s="1"/>
  <c r="FB41" i="5" s="1"/>
  <c r="FC41" i="5" s="1"/>
  <c r="FE41" i="5" s="1"/>
  <c r="DJ41" i="5"/>
  <c r="DL41" i="5" s="1"/>
  <c r="DN41" i="5" s="1"/>
  <c r="DP41" i="5" s="1"/>
  <c r="DR41" i="5" s="1"/>
  <c r="DT41" i="5" s="1"/>
  <c r="DV41" i="5" s="1"/>
  <c r="M44" i="5"/>
  <c r="N40" i="5"/>
  <c r="LB39" i="5"/>
  <c r="LD39" i="5" s="1"/>
  <c r="LF39" i="5" s="1"/>
  <c r="LG39" i="5" s="1"/>
  <c r="LH39" i="5" s="1"/>
  <c r="LI39" i="5" s="1"/>
  <c r="LJ39" i="5" s="1"/>
  <c r="LK39" i="5" s="1"/>
  <c r="LL39" i="5" s="1"/>
  <c r="LM39" i="5" s="1"/>
  <c r="LN39" i="5" s="1"/>
  <c r="LO39" i="5" s="1"/>
  <c r="LP39" i="5" s="1"/>
  <c r="LQ39" i="5" s="1"/>
  <c r="LC39" i="5"/>
  <c r="Q38" i="5"/>
  <c r="GL36" i="5"/>
  <c r="GN36" i="5" s="1"/>
  <c r="GP36" i="5" s="1"/>
  <c r="GR36" i="5" s="1"/>
  <c r="GT36" i="5" s="1"/>
  <c r="GV36" i="5" s="1"/>
  <c r="GX36" i="5" s="1"/>
  <c r="GZ36" i="5" s="1"/>
  <c r="HB36" i="5" s="1"/>
  <c r="HD36" i="5" s="1"/>
  <c r="HF36" i="5" s="1"/>
  <c r="HH36" i="5" s="1"/>
  <c r="HJ36" i="5" s="1"/>
  <c r="HL36" i="5" s="1"/>
  <c r="GM36" i="5"/>
  <c r="GO36" i="5" s="1"/>
  <c r="GQ36" i="5" s="1"/>
  <c r="GS36" i="5" s="1"/>
  <c r="GU36" i="5" s="1"/>
  <c r="GW36" i="5" s="1"/>
  <c r="GY36" i="5" s="1"/>
  <c r="HA36" i="5" s="1"/>
  <c r="HC36" i="5" s="1"/>
  <c r="HE36" i="5" s="1"/>
  <c r="HG36" i="5" s="1"/>
  <c r="HI36" i="5" s="1"/>
  <c r="HK36" i="5" s="1"/>
  <c r="HM36" i="5" s="1"/>
  <c r="HO36" i="5" s="1"/>
  <c r="KS35" i="5"/>
  <c r="KR35" i="5"/>
  <c r="KT35" i="5" s="1"/>
  <c r="UZ32" i="5"/>
  <c r="VB32" i="5" s="1"/>
  <c r="VD32" i="5" s="1"/>
  <c r="VF32" i="5" s="1"/>
  <c r="VH32" i="5" s="1"/>
  <c r="VJ32" i="5" s="1"/>
  <c r="VL32" i="5" s="1"/>
  <c r="VN32" i="5" s="1"/>
  <c r="VP32" i="5" s="1"/>
  <c r="VR32" i="5" s="1"/>
  <c r="VT32" i="5" s="1"/>
  <c r="VV32" i="5" s="1"/>
  <c r="VX32" i="5" s="1"/>
  <c r="VZ32" i="5" s="1"/>
  <c r="WB32" i="5" s="1"/>
  <c r="VA32" i="5"/>
  <c r="VC32" i="5" s="1"/>
  <c r="VE32" i="5" s="1"/>
  <c r="VG32" i="5" s="1"/>
  <c r="VI32" i="5" s="1"/>
  <c r="VK32" i="5" s="1"/>
  <c r="VM32" i="5" s="1"/>
  <c r="VO32" i="5" s="1"/>
  <c r="VQ32" i="5" s="1"/>
  <c r="VS32" i="5" s="1"/>
  <c r="VU32" i="5" s="1"/>
  <c r="VW32" i="5" s="1"/>
  <c r="VY32" i="5" s="1"/>
  <c r="KZ31" i="5"/>
  <c r="LB31" i="5" s="1"/>
  <c r="LD31" i="5" s="1"/>
  <c r="LF31" i="5" s="1"/>
  <c r="LG31" i="5" s="1"/>
  <c r="LH31" i="5" s="1"/>
  <c r="LI31" i="5" s="1"/>
  <c r="LJ31" i="5" s="1"/>
  <c r="LK31" i="5" s="1"/>
  <c r="LL31" i="5" s="1"/>
  <c r="LM31" i="5" s="1"/>
  <c r="LN31" i="5" s="1"/>
  <c r="LO31" i="5" s="1"/>
  <c r="LP31" i="5" s="1"/>
  <c r="LQ31" i="5" s="1"/>
  <c r="LR31" i="5" s="1"/>
  <c r="LS31" i="5" s="1"/>
  <c r="LT31" i="5" s="1"/>
  <c r="LU31" i="5" s="1"/>
  <c r="LV31" i="5" s="1"/>
  <c r="LW31" i="5" s="1"/>
  <c r="LX31" i="5" s="1"/>
  <c r="LY31" i="5" s="1"/>
  <c r="LZ31" i="5" s="1"/>
  <c r="MA31" i="5" s="1"/>
  <c r="MB31" i="5" s="1"/>
  <c r="MC31" i="5" s="1"/>
  <c r="MD31" i="5" s="1"/>
  <c r="ME31" i="5" s="1"/>
  <c r="MF31" i="5" s="1"/>
  <c r="MG31" i="5" s="1"/>
  <c r="MH31" i="5" s="1"/>
  <c r="MI31" i="5" s="1"/>
  <c r="MK31" i="5" s="1"/>
  <c r="KY31" i="5"/>
  <c r="LA31" i="5" s="1"/>
  <c r="LC31" i="5" s="1"/>
  <c r="WL30" i="5"/>
  <c r="WM18" i="5"/>
  <c r="VI30" i="5"/>
  <c r="VJ18" i="5"/>
  <c r="UC30" i="5"/>
  <c r="UD18" i="5"/>
  <c r="SW30" i="5"/>
  <c r="SX18" i="5"/>
  <c r="RS18" i="5"/>
  <c r="RR30" i="5"/>
  <c r="QL30" i="5"/>
  <c r="QM18" i="5"/>
  <c r="PG30" i="5"/>
  <c r="PH18" i="5"/>
  <c r="OA30" i="5"/>
  <c r="OB18" i="5"/>
  <c r="FP18" i="5"/>
  <c r="FO30" i="5"/>
  <c r="ES18" i="5"/>
  <c r="ER30" i="5"/>
  <c r="NR25" i="5"/>
  <c r="NT25" i="5" s="1"/>
  <c r="NV25" i="5" s="1"/>
  <c r="NX25" i="5" s="1"/>
  <c r="NZ25" i="5" s="1"/>
  <c r="OB25" i="5" s="1"/>
  <c r="OD25" i="5" s="1"/>
  <c r="OF25" i="5" s="1"/>
  <c r="OH25" i="5" s="1"/>
  <c r="OJ25" i="5" s="1"/>
  <c r="OL25" i="5" s="1"/>
  <c r="ON25" i="5" s="1"/>
  <c r="OP25" i="5" s="1"/>
  <c r="OR25" i="5" s="1"/>
  <c r="OT25" i="5" s="1"/>
  <c r="NS25" i="5"/>
  <c r="NU25" i="5" s="1"/>
  <c r="NW25" i="5" s="1"/>
  <c r="NY25" i="5" s="1"/>
  <c r="OA25" i="5" s="1"/>
  <c r="OC25" i="5" s="1"/>
  <c r="OE25" i="5" s="1"/>
  <c r="OG25" i="5" s="1"/>
  <c r="OI25" i="5" s="1"/>
  <c r="OK25" i="5" s="1"/>
  <c r="OM25" i="5" s="1"/>
  <c r="OO25" i="5" s="1"/>
  <c r="OQ25" i="5" s="1"/>
  <c r="OS25" i="5" s="1"/>
  <c r="OU25" i="5" s="1"/>
  <c r="NR24" i="5"/>
  <c r="NT24" i="5" s="1"/>
  <c r="NV24" i="5" s="1"/>
  <c r="NX24" i="5" s="1"/>
  <c r="NZ24" i="5" s="1"/>
  <c r="OB24" i="5" s="1"/>
  <c r="OD24" i="5" s="1"/>
  <c r="OF24" i="5" s="1"/>
  <c r="OH24" i="5" s="1"/>
  <c r="OJ24" i="5" s="1"/>
  <c r="OL24" i="5" s="1"/>
  <c r="ON24" i="5" s="1"/>
  <c r="OP24" i="5" s="1"/>
  <c r="OR24" i="5" s="1"/>
  <c r="OT24" i="5" s="1"/>
  <c r="NS24" i="5"/>
  <c r="NU24" i="5" s="1"/>
  <c r="NW24" i="5" s="1"/>
  <c r="NY24" i="5" s="1"/>
  <c r="OA24" i="5" s="1"/>
  <c r="OC24" i="5" s="1"/>
  <c r="OE24" i="5" s="1"/>
  <c r="OG24" i="5" s="1"/>
  <c r="OI24" i="5" s="1"/>
  <c r="OK24" i="5" s="1"/>
  <c r="OM24" i="5" s="1"/>
  <c r="OO24" i="5" s="1"/>
  <c r="OQ24" i="5" s="1"/>
  <c r="OS24" i="5" s="1"/>
  <c r="OU24" i="5" s="1"/>
  <c r="NR23" i="5"/>
  <c r="NT23" i="5" s="1"/>
  <c r="NV23" i="5" s="1"/>
  <c r="NX23" i="5" s="1"/>
  <c r="NZ23" i="5" s="1"/>
  <c r="OB23" i="5" s="1"/>
  <c r="OD23" i="5" s="1"/>
  <c r="OF23" i="5" s="1"/>
  <c r="OH23" i="5" s="1"/>
  <c r="OJ23" i="5" s="1"/>
  <c r="OL23" i="5" s="1"/>
  <c r="ON23" i="5" s="1"/>
  <c r="OP23" i="5" s="1"/>
  <c r="OR23" i="5" s="1"/>
  <c r="OT23" i="5" s="1"/>
  <c r="NS23" i="5"/>
  <c r="NU23" i="5" s="1"/>
  <c r="NW23" i="5" s="1"/>
  <c r="NY23" i="5" s="1"/>
  <c r="OA23" i="5" s="1"/>
  <c r="OC23" i="5" s="1"/>
  <c r="OE23" i="5" s="1"/>
  <c r="OG23" i="5" s="1"/>
  <c r="OI23" i="5" s="1"/>
  <c r="OK23" i="5" s="1"/>
  <c r="OM23" i="5" s="1"/>
  <c r="OO23" i="5" s="1"/>
  <c r="OQ23" i="5" s="1"/>
  <c r="OS23" i="5" s="1"/>
  <c r="OU23" i="5" s="1"/>
  <c r="O20" i="5"/>
  <c r="BB19" i="5"/>
  <c r="ANV17" i="5"/>
  <c r="AEG17" i="5"/>
  <c r="WV16" i="5"/>
  <c r="IG16" i="5"/>
  <c r="FT16" i="5"/>
  <c r="DP16" i="5"/>
  <c r="DQ16" i="5"/>
  <c r="ANX15" i="5"/>
  <c r="VO15" i="5"/>
  <c r="SB15" i="5"/>
  <c r="AMF14" i="5"/>
  <c r="ALG14" i="5"/>
  <c r="AJW14" i="5"/>
  <c r="AIQ14" i="5"/>
  <c r="AHW14" i="5"/>
  <c r="AGP14" i="5"/>
  <c r="AFG14" i="5"/>
  <c r="AEI14" i="5"/>
  <c r="ACU14" i="5"/>
  <c r="ABZ14" i="5"/>
  <c r="AAG14" i="5"/>
  <c r="ZI14" i="5"/>
  <c r="YB14" i="5"/>
  <c r="UK14" i="5"/>
  <c r="TD14" i="5"/>
  <c r="SD14" i="5"/>
  <c r="QT14" i="5"/>
  <c r="PT14" i="5"/>
  <c r="OH14" i="5"/>
  <c r="NU14" i="5"/>
  <c r="MD14" i="5"/>
  <c r="KT14" i="5"/>
  <c r="JI14" i="5"/>
  <c r="HG14" i="5"/>
  <c r="EU14" i="5"/>
  <c r="DU14" i="5"/>
  <c r="DT14" i="5"/>
  <c r="CM14" i="5"/>
  <c r="BE14" i="5"/>
  <c r="Q14" i="5"/>
  <c r="AT3" i="5"/>
  <c r="BX3" i="5"/>
  <c r="DC3" i="5" s="1"/>
  <c r="ANI15" i="5"/>
  <c r="AMD16" i="5"/>
  <c r="AKX16" i="5"/>
  <c r="AJU16" i="5"/>
  <c r="AHI14" i="5"/>
  <c r="ADS14" i="5"/>
  <c r="GT14" i="5"/>
  <c r="BV14" i="5"/>
  <c r="K37" i="5"/>
  <c r="L26" i="5"/>
  <c r="AT3" i="4"/>
  <c r="BX3" i="4"/>
  <c r="DC3" i="4" s="1"/>
  <c r="AT2" i="2"/>
  <c r="BX2" i="2"/>
  <c r="DC2" i="2" s="1"/>
  <c r="AS3" i="1"/>
  <c r="BW3" i="1"/>
  <c r="DB3" i="1" s="1"/>
  <c r="AU3" i="3"/>
  <c r="BY3" i="3"/>
  <c r="DD3" i="3" s="1"/>
  <c r="K49" i="5"/>
  <c r="L46" i="5"/>
  <c r="AIN16" i="5"/>
  <c r="J51" i="5"/>
  <c r="J53" i="5" s="1"/>
  <c r="O48" i="5" l="1"/>
  <c r="MR42" i="5"/>
  <c r="MT42" i="5" s="1"/>
  <c r="MV42" i="5" s="1"/>
  <c r="MS42" i="5"/>
  <c r="MU42" i="5" s="1"/>
  <c r="IE42" i="5"/>
  <c r="IG42" i="5" s="1"/>
  <c r="II42" i="5" s="1"/>
  <c r="IK42" i="5" s="1"/>
  <c r="IF42" i="5"/>
  <c r="IH42" i="5" s="1"/>
  <c r="IJ42" i="5" s="1"/>
  <c r="DE42" i="5"/>
  <c r="DG42" i="5" s="1"/>
  <c r="DF42" i="5"/>
  <c r="DH42" i="5" s="1"/>
  <c r="DI42" i="5" s="1"/>
  <c r="FF41" i="5"/>
  <c r="FH41" i="5" s="1"/>
  <c r="FJ41" i="5" s="1"/>
  <c r="FL41" i="5" s="1"/>
  <c r="FN41" i="5" s="1"/>
  <c r="FP41" i="5" s="1"/>
  <c r="FR41" i="5" s="1"/>
  <c r="FT41" i="5" s="1"/>
  <c r="FV41" i="5" s="1"/>
  <c r="FX41" i="5" s="1"/>
  <c r="FZ41" i="5" s="1"/>
  <c r="GB41" i="5" s="1"/>
  <c r="GD41" i="5" s="1"/>
  <c r="GF41" i="5" s="1"/>
  <c r="GH41" i="5" s="1"/>
  <c r="FG41" i="5"/>
  <c r="FI41" i="5" s="1"/>
  <c r="FK41" i="5" s="1"/>
  <c r="FM41" i="5" s="1"/>
  <c r="FO41" i="5" s="1"/>
  <c r="FQ41" i="5" s="1"/>
  <c r="FS41" i="5" s="1"/>
  <c r="FU41" i="5" s="1"/>
  <c r="FW41" i="5" s="1"/>
  <c r="FY41" i="5" s="1"/>
  <c r="GA41" i="5" s="1"/>
  <c r="GC41" i="5" s="1"/>
  <c r="GE41" i="5" s="1"/>
  <c r="GG41" i="5" s="1"/>
  <c r="GI41" i="5" s="1"/>
  <c r="GK41" i="5" s="1"/>
  <c r="GL41" i="5" s="1"/>
  <c r="GM41" i="5" s="1"/>
  <c r="GN41" i="5" s="1"/>
  <c r="GO41" i="5" s="1"/>
  <c r="GP41" i="5" s="1"/>
  <c r="GQ41" i="5" s="1"/>
  <c r="GR41" i="5" s="1"/>
  <c r="GS41" i="5" s="1"/>
  <c r="GT41" i="5" s="1"/>
  <c r="GU41" i="5" s="1"/>
  <c r="GV41" i="5" s="1"/>
  <c r="GW41" i="5" s="1"/>
  <c r="GX41" i="5" s="1"/>
  <c r="GY41" i="5" s="1"/>
  <c r="GZ41" i="5" s="1"/>
  <c r="HA41" i="5" s="1"/>
  <c r="HB41" i="5" s="1"/>
  <c r="HC41" i="5" s="1"/>
  <c r="HD41" i="5" s="1"/>
  <c r="HE41" i="5" s="1"/>
  <c r="HF41" i="5" s="1"/>
  <c r="HG41" i="5" s="1"/>
  <c r="HH41" i="5" s="1"/>
  <c r="HI41" i="5" s="1"/>
  <c r="HJ41" i="5" s="1"/>
  <c r="HK41" i="5" s="1"/>
  <c r="HL41" i="5" s="1"/>
  <c r="HM41" i="5" s="1"/>
  <c r="HO41" i="5" s="1"/>
  <c r="HP41" i="5" s="1"/>
  <c r="HQ41" i="5" s="1"/>
  <c r="HR41" i="5" s="1"/>
  <c r="HS41" i="5" s="1"/>
  <c r="HT41" i="5" s="1"/>
  <c r="HU41" i="5" s="1"/>
  <c r="HV41" i="5" s="1"/>
  <c r="HW41" i="5" s="1"/>
  <c r="HX41" i="5" s="1"/>
  <c r="HY41" i="5" s="1"/>
  <c r="HZ41" i="5" s="1"/>
  <c r="IA41" i="5" s="1"/>
  <c r="IB41" i="5" s="1"/>
  <c r="IC41" i="5" s="1"/>
  <c r="ID41" i="5" s="1"/>
  <c r="IE41" i="5" s="1"/>
  <c r="IF41" i="5" s="1"/>
  <c r="IG41" i="5" s="1"/>
  <c r="IH41" i="5" s="1"/>
  <c r="II41" i="5" s="1"/>
  <c r="IJ41" i="5" s="1"/>
  <c r="IK41" i="5" s="1"/>
  <c r="IL41" i="5" s="1"/>
  <c r="IM41" i="5" s="1"/>
  <c r="IN41" i="5" s="1"/>
  <c r="IO41" i="5" s="1"/>
  <c r="IP41" i="5" s="1"/>
  <c r="IQ41" i="5" s="1"/>
  <c r="IR41" i="5" s="1"/>
  <c r="IS41" i="5" s="1"/>
  <c r="IU41" i="5" s="1"/>
  <c r="IV41" i="5" s="1"/>
  <c r="IW41" i="5" s="1"/>
  <c r="IX41" i="5" s="1"/>
  <c r="IY41" i="5" s="1"/>
  <c r="IZ41" i="5" s="1"/>
  <c r="JA41" i="5" s="1"/>
  <c r="JB41" i="5" s="1"/>
  <c r="JC41" i="5" s="1"/>
  <c r="JD41" i="5" s="1"/>
  <c r="JE41" i="5" s="1"/>
  <c r="JF41" i="5" s="1"/>
  <c r="JG41" i="5" s="1"/>
  <c r="JH41" i="5" s="1"/>
  <c r="JI41" i="5" s="1"/>
  <c r="JJ41" i="5" s="1"/>
  <c r="JK41" i="5" s="1"/>
  <c r="JL41" i="5" s="1"/>
  <c r="JM41" i="5" s="1"/>
  <c r="JN41" i="5" s="1"/>
  <c r="JO41" i="5" s="1"/>
  <c r="JP41" i="5" s="1"/>
  <c r="JQ41" i="5" s="1"/>
  <c r="JR41" i="5" s="1"/>
  <c r="JS41" i="5" s="1"/>
  <c r="JT41" i="5" s="1"/>
  <c r="JU41" i="5" s="1"/>
  <c r="JV41" i="5" s="1"/>
  <c r="JW41" i="5" s="1"/>
  <c r="JX41" i="5" s="1"/>
  <c r="JZ41" i="5" s="1"/>
  <c r="KA41" i="5" s="1"/>
  <c r="KB41" i="5" s="1"/>
  <c r="KC41" i="5" s="1"/>
  <c r="KD41" i="5" s="1"/>
  <c r="KE41" i="5" s="1"/>
  <c r="KF41" i="5" s="1"/>
  <c r="KG41" i="5" s="1"/>
  <c r="KH41" i="5" s="1"/>
  <c r="KI41" i="5" s="1"/>
  <c r="KJ41" i="5" s="1"/>
  <c r="KK41" i="5" s="1"/>
  <c r="KL41" i="5" s="1"/>
  <c r="KM41" i="5" s="1"/>
  <c r="KN41" i="5" s="1"/>
  <c r="KO41" i="5" s="1"/>
  <c r="KP41" i="5" s="1"/>
  <c r="KQ41" i="5" s="1"/>
  <c r="KR41" i="5" s="1"/>
  <c r="KS41" i="5" s="1"/>
  <c r="KT41" i="5" s="1"/>
  <c r="KU41" i="5" s="1"/>
  <c r="KV41" i="5" s="1"/>
  <c r="KW41" i="5" s="1"/>
  <c r="KX41" i="5" s="1"/>
  <c r="KY41" i="5" s="1"/>
  <c r="KZ41" i="5" s="1"/>
  <c r="LA41" i="5" s="1"/>
  <c r="LB41" i="5" s="1"/>
  <c r="LC41" i="5" s="1"/>
  <c r="LD41" i="5" s="1"/>
  <c r="LF41" i="5" s="1"/>
  <c r="LG41" i="5" s="1"/>
  <c r="LH41" i="5" s="1"/>
  <c r="LI41" i="5" s="1"/>
  <c r="LJ41" i="5" s="1"/>
  <c r="LK41" i="5" s="1"/>
  <c r="LL41" i="5" s="1"/>
  <c r="LM41" i="5" s="1"/>
  <c r="LN41" i="5" s="1"/>
  <c r="LO41" i="5" s="1"/>
  <c r="LP41" i="5" s="1"/>
  <c r="LQ41" i="5" s="1"/>
  <c r="LR41" i="5" s="1"/>
  <c r="LS41" i="5" s="1"/>
  <c r="LT41" i="5" s="1"/>
  <c r="LU41" i="5" s="1"/>
  <c r="LV41" i="5" s="1"/>
  <c r="LW41" i="5" s="1"/>
  <c r="LX41" i="5" s="1"/>
  <c r="LY41" i="5" s="1"/>
  <c r="LZ41" i="5" s="1"/>
  <c r="MA41" i="5" s="1"/>
  <c r="MB41" i="5" s="1"/>
  <c r="MC41" i="5" s="1"/>
  <c r="MD41" i="5" s="1"/>
  <c r="ME41" i="5" s="1"/>
  <c r="MF41" i="5" s="1"/>
  <c r="MG41" i="5" s="1"/>
  <c r="MH41" i="5" s="1"/>
  <c r="MI41" i="5" s="1"/>
  <c r="MK41" i="5" s="1"/>
  <c r="ML41" i="5" s="1"/>
  <c r="MM41" i="5" s="1"/>
  <c r="MN41" i="5" s="1"/>
  <c r="MO41" i="5" s="1"/>
  <c r="MP41" i="5" s="1"/>
  <c r="MQ41" i="5" s="1"/>
  <c r="MR41" i="5" s="1"/>
  <c r="MS41" i="5" s="1"/>
  <c r="MT41" i="5" s="1"/>
  <c r="MU41" i="5" s="1"/>
  <c r="MV41" i="5" s="1"/>
  <c r="MW41" i="5" s="1"/>
  <c r="MX41" i="5" s="1"/>
  <c r="MY41" i="5" s="1"/>
  <c r="MZ41" i="5" s="1"/>
  <c r="NA41" i="5" s="1"/>
  <c r="NB41" i="5" s="1"/>
  <c r="NC41" i="5" s="1"/>
  <c r="ND41" i="5" s="1"/>
  <c r="NE41" i="5" s="1"/>
  <c r="NF41" i="5" s="1"/>
  <c r="NG41" i="5" s="1"/>
  <c r="NH41" i="5" s="1"/>
  <c r="NI41" i="5" s="1"/>
  <c r="NJ41" i="5" s="1"/>
  <c r="NK41" i="5" s="1"/>
  <c r="NL41" i="5" s="1"/>
  <c r="NM41" i="5" s="1"/>
  <c r="NN41" i="5" s="1"/>
  <c r="NO41" i="5" s="1"/>
  <c r="NQ41" i="5" s="1"/>
  <c r="NR41" i="5" s="1"/>
  <c r="NS41" i="5" s="1"/>
  <c r="NT41" i="5" s="1"/>
  <c r="NU41" i="5" s="1"/>
  <c r="NV41" i="5" s="1"/>
  <c r="NW41" i="5" s="1"/>
  <c r="NX41" i="5" s="1"/>
  <c r="NY41" i="5" s="1"/>
  <c r="NZ41" i="5" s="1"/>
  <c r="OA41" i="5" s="1"/>
  <c r="OB41" i="5" s="1"/>
  <c r="OC41" i="5" s="1"/>
  <c r="OD41" i="5" s="1"/>
  <c r="OE41" i="5" s="1"/>
  <c r="OF41" i="5" s="1"/>
  <c r="OG41" i="5" s="1"/>
  <c r="OH41" i="5" s="1"/>
  <c r="OI41" i="5" s="1"/>
  <c r="OJ41" i="5" s="1"/>
  <c r="OK41" i="5" s="1"/>
  <c r="OL41" i="5" s="1"/>
  <c r="OM41" i="5" s="1"/>
  <c r="ON41" i="5" s="1"/>
  <c r="OO41" i="5" s="1"/>
  <c r="OP41" i="5" s="1"/>
  <c r="OQ41" i="5" s="1"/>
  <c r="OR41" i="5" s="1"/>
  <c r="OS41" i="5" s="1"/>
  <c r="OT41" i="5" s="1"/>
  <c r="OU41" i="5" s="1"/>
  <c r="OW41" i="5" s="1"/>
  <c r="OX41" i="5" s="1"/>
  <c r="OY41" i="5" s="1"/>
  <c r="OZ41" i="5" s="1"/>
  <c r="PA41" i="5" s="1"/>
  <c r="PB41" i="5" s="1"/>
  <c r="PC41" i="5" s="1"/>
  <c r="PD41" i="5" s="1"/>
  <c r="PE41" i="5" s="1"/>
  <c r="PF41" i="5" s="1"/>
  <c r="PG41" i="5" s="1"/>
  <c r="PH41" i="5" s="1"/>
  <c r="PI41" i="5" s="1"/>
  <c r="PJ41" i="5" s="1"/>
  <c r="PK41" i="5" s="1"/>
  <c r="PL41" i="5" s="1"/>
  <c r="PM41" i="5" s="1"/>
  <c r="PN41" i="5" s="1"/>
  <c r="PO41" i="5" s="1"/>
  <c r="PP41" i="5" s="1"/>
  <c r="PQ41" i="5" s="1"/>
  <c r="PR41" i="5" s="1"/>
  <c r="PS41" i="5" s="1"/>
  <c r="PT41" i="5" s="1"/>
  <c r="PU41" i="5" s="1"/>
  <c r="PV41" i="5" s="1"/>
  <c r="PW41" i="5" s="1"/>
  <c r="PX41" i="5" s="1"/>
  <c r="PY41" i="5" s="1"/>
  <c r="PZ41" i="5" s="1"/>
  <c r="QB41" i="5" s="1"/>
  <c r="QC41" i="5" s="1"/>
  <c r="QD41" i="5" s="1"/>
  <c r="QE41" i="5" s="1"/>
  <c r="QF41" i="5" s="1"/>
  <c r="QG41" i="5" s="1"/>
  <c r="QH41" i="5" s="1"/>
  <c r="QI41" i="5" s="1"/>
  <c r="QJ41" i="5" s="1"/>
  <c r="QK41" i="5" s="1"/>
  <c r="QL41" i="5" s="1"/>
  <c r="QM41" i="5" s="1"/>
  <c r="QN41" i="5" s="1"/>
  <c r="QO41" i="5" s="1"/>
  <c r="QP41" i="5" s="1"/>
  <c r="QQ41" i="5" s="1"/>
  <c r="QR41" i="5" s="1"/>
  <c r="QS41" i="5" s="1"/>
  <c r="QT41" i="5" s="1"/>
  <c r="QU41" i="5" s="1"/>
  <c r="QV41" i="5" s="1"/>
  <c r="QW41" i="5" s="1"/>
  <c r="QX41" i="5" s="1"/>
  <c r="QY41" i="5" s="1"/>
  <c r="QZ41" i="5" s="1"/>
  <c r="RA41" i="5" s="1"/>
  <c r="RB41" i="5" s="1"/>
  <c r="RC41" i="5" s="1"/>
  <c r="RD41" i="5" s="1"/>
  <c r="RE41" i="5" s="1"/>
  <c r="RF41" i="5" s="1"/>
  <c r="RH41" i="5" s="1"/>
  <c r="RI41" i="5" s="1"/>
  <c r="RJ41" i="5" s="1"/>
  <c r="RK41" i="5" s="1"/>
  <c r="RL41" i="5" s="1"/>
  <c r="RM41" i="5" s="1"/>
  <c r="RN41" i="5" s="1"/>
  <c r="RO41" i="5" s="1"/>
  <c r="RP41" i="5" s="1"/>
  <c r="RQ41" i="5" s="1"/>
  <c r="RR41" i="5" s="1"/>
  <c r="RS41" i="5" s="1"/>
  <c r="RT41" i="5" s="1"/>
  <c r="RU41" i="5" s="1"/>
  <c r="RV41" i="5" s="1"/>
  <c r="RW41" i="5" s="1"/>
  <c r="RX41" i="5" s="1"/>
  <c r="RY41" i="5" s="1"/>
  <c r="RZ41" i="5" s="1"/>
  <c r="SA41" i="5" s="1"/>
  <c r="SB41" i="5" s="1"/>
  <c r="SC41" i="5" s="1"/>
  <c r="SD41" i="5" s="1"/>
  <c r="SE41" i="5" s="1"/>
  <c r="SF41" i="5" s="1"/>
  <c r="SG41" i="5" s="1"/>
  <c r="SH41" i="5" s="1"/>
  <c r="SI41" i="5" s="1"/>
  <c r="SJ41" i="5" s="1"/>
  <c r="SK41" i="5" s="1"/>
  <c r="SM41" i="5" s="1"/>
  <c r="SN41" i="5" s="1"/>
  <c r="SO41" i="5" s="1"/>
  <c r="SP41" i="5" s="1"/>
  <c r="SQ41" i="5" s="1"/>
  <c r="SR41" i="5" s="1"/>
  <c r="SS41" i="5" s="1"/>
  <c r="ST41" i="5" s="1"/>
  <c r="SU41" i="5" s="1"/>
  <c r="SV41" i="5" s="1"/>
  <c r="SW41" i="5" s="1"/>
  <c r="SX41" i="5" s="1"/>
  <c r="SY41" i="5" s="1"/>
  <c r="SZ41" i="5" s="1"/>
  <c r="TA41" i="5" s="1"/>
  <c r="TB41" i="5" s="1"/>
  <c r="TC41" i="5" s="1"/>
  <c r="TD41" i="5" s="1"/>
  <c r="TE41" i="5" s="1"/>
  <c r="TF41" i="5" s="1"/>
  <c r="TG41" i="5" s="1"/>
  <c r="TH41" i="5" s="1"/>
  <c r="TI41" i="5" s="1"/>
  <c r="TJ41" i="5" s="1"/>
  <c r="TK41" i="5" s="1"/>
  <c r="TL41" i="5" s="1"/>
  <c r="TM41" i="5" s="1"/>
  <c r="TN41" i="5" s="1"/>
  <c r="TO41" i="5" s="1"/>
  <c r="TP41" i="5" s="1"/>
  <c r="TQ41" i="5" s="1"/>
  <c r="TS41" i="5" s="1"/>
  <c r="TT41" i="5" s="1"/>
  <c r="TU41" i="5" s="1"/>
  <c r="TV41" i="5" s="1"/>
  <c r="TW41" i="5" s="1"/>
  <c r="TX41" i="5" s="1"/>
  <c r="TY41" i="5" s="1"/>
  <c r="TZ41" i="5" s="1"/>
  <c r="UA41" i="5" s="1"/>
  <c r="UB41" i="5" s="1"/>
  <c r="UC41" i="5" s="1"/>
  <c r="UD41" i="5" s="1"/>
  <c r="UE41" i="5" s="1"/>
  <c r="UF41" i="5" s="1"/>
  <c r="UG41" i="5" s="1"/>
  <c r="UH41" i="5" s="1"/>
  <c r="UI41" i="5" s="1"/>
  <c r="UJ41" i="5" s="1"/>
  <c r="UK41" i="5" s="1"/>
  <c r="UL41" i="5" s="1"/>
  <c r="UM41" i="5" s="1"/>
  <c r="UN41" i="5" s="1"/>
  <c r="UO41" i="5" s="1"/>
  <c r="UP41" i="5" s="1"/>
  <c r="UQ41" i="5" s="1"/>
  <c r="UR41" i="5" s="1"/>
  <c r="US41" i="5" s="1"/>
  <c r="UT41" i="5" s="1"/>
  <c r="UU41" i="5" s="1"/>
  <c r="UV41" i="5" s="1"/>
  <c r="UW41" i="5" s="1"/>
  <c r="UY41" i="5" s="1"/>
  <c r="UZ41" i="5" s="1"/>
  <c r="VA41" i="5" s="1"/>
  <c r="VB41" i="5" s="1"/>
  <c r="VC41" i="5" s="1"/>
  <c r="VD41" i="5" s="1"/>
  <c r="VE41" i="5" s="1"/>
  <c r="VF41" i="5" s="1"/>
  <c r="VG41" i="5" s="1"/>
  <c r="VH41" i="5" s="1"/>
  <c r="VI41" i="5" s="1"/>
  <c r="VJ41" i="5" s="1"/>
  <c r="VK41" i="5" s="1"/>
  <c r="VL41" i="5" s="1"/>
  <c r="VM41" i="5" s="1"/>
  <c r="VN41" i="5" s="1"/>
  <c r="VO41" i="5" s="1"/>
  <c r="VP41" i="5" s="1"/>
  <c r="VQ41" i="5" s="1"/>
  <c r="VR41" i="5" s="1"/>
  <c r="VS41" i="5" s="1"/>
  <c r="VT41" i="5" s="1"/>
  <c r="VU41" i="5" s="1"/>
  <c r="VV41" i="5" s="1"/>
  <c r="VW41" i="5" s="1"/>
  <c r="VX41" i="5" s="1"/>
  <c r="VY41" i="5" s="1"/>
  <c r="VZ41" i="5" s="1"/>
  <c r="WB41" i="5" s="1"/>
  <c r="WC41" i="5" s="1"/>
  <c r="WD41" i="5" s="1"/>
  <c r="WE41" i="5" s="1"/>
  <c r="WF41" i="5" s="1"/>
  <c r="WG41" i="5" s="1"/>
  <c r="WH41" i="5" s="1"/>
  <c r="WI41" i="5" s="1"/>
  <c r="WJ41" i="5" s="1"/>
  <c r="WK41" i="5" s="1"/>
  <c r="WL41" i="5" s="1"/>
  <c r="WM41" i="5" s="1"/>
  <c r="WN41" i="5" s="1"/>
  <c r="WO41" i="5" s="1"/>
  <c r="WP41" i="5" s="1"/>
  <c r="WQ41" i="5" s="1"/>
  <c r="WR41" i="5" s="1"/>
  <c r="WS41" i="5" s="1"/>
  <c r="WT41" i="5" s="1"/>
  <c r="WU41" i="5" s="1"/>
  <c r="WV41" i="5" s="1"/>
  <c r="WW41" i="5" s="1"/>
  <c r="WX41" i="5" s="1"/>
  <c r="WY41" i="5" s="1"/>
  <c r="WZ41" i="5" s="1"/>
  <c r="XA41" i="5" s="1"/>
  <c r="XB41" i="5" s="1"/>
  <c r="XC41" i="5" s="1"/>
  <c r="XD41" i="5" s="1"/>
  <c r="XE41" i="5" s="1"/>
  <c r="XF41" i="5" s="1"/>
  <c r="XH41" i="5" s="1"/>
  <c r="XI41" i="5" s="1"/>
  <c r="XJ41" i="5" s="1"/>
  <c r="XK41" i="5" s="1"/>
  <c r="XL41" i="5" s="1"/>
  <c r="XM41" i="5" s="1"/>
  <c r="XN41" i="5" s="1"/>
  <c r="XO41" i="5" s="1"/>
  <c r="XP41" i="5" s="1"/>
  <c r="XQ41" i="5" s="1"/>
  <c r="XR41" i="5" s="1"/>
  <c r="XS41" i="5" s="1"/>
  <c r="XT41" i="5" s="1"/>
  <c r="XU41" i="5" s="1"/>
  <c r="XV41" i="5" s="1"/>
  <c r="XW41" i="5" s="1"/>
  <c r="XX41" i="5" s="1"/>
  <c r="XY41" i="5" s="1"/>
  <c r="XZ41" i="5" s="1"/>
  <c r="YA41" i="5" s="1"/>
  <c r="YB41" i="5" s="1"/>
  <c r="YC41" i="5" s="1"/>
  <c r="YD41" i="5" s="1"/>
  <c r="YE41" i="5" s="1"/>
  <c r="YF41" i="5" s="1"/>
  <c r="YG41" i="5" s="1"/>
  <c r="YH41" i="5" s="1"/>
  <c r="YI41" i="5" s="1"/>
  <c r="YJ41" i="5" s="1"/>
  <c r="YK41" i="5" s="1"/>
  <c r="YM41" i="5" s="1"/>
  <c r="YN41" i="5" s="1"/>
  <c r="YO41" i="5" s="1"/>
  <c r="YP41" i="5" s="1"/>
  <c r="YQ41" i="5" s="1"/>
  <c r="YR41" i="5" s="1"/>
  <c r="YS41" i="5" s="1"/>
  <c r="YT41" i="5" s="1"/>
  <c r="YU41" i="5" s="1"/>
  <c r="YV41" i="5" s="1"/>
  <c r="YW41" i="5" s="1"/>
  <c r="YX41" i="5" s="1"/>
  <c r="YY41" i="5" s="1"/>
  <c r="YZ41" i="5" s="1"/>
  <c r="ZA41" i="5" s="1"/>
  <c r="ZB41" i="5" s="1"/>
  <c r="ZC41" i="5" s="1"/>
  <c r="ZD41" i="5" s="1"/>
  <c r="ZE41" i="5" s="1"/>
  <c r="ZF41" i="5" s="1"/>
  <c r="ZG41" i="5" s="1"/>
  <c r="ZH41" i="5" s="1"/>
  <c r="ZI41" i="5" s="1"/>
  <c r="ZJ41" i="5" s="1"/>
  <c r="ZK41" i="5" s="1"/>
  <c r="ZL41" i="5" s="1"/>
  <c r="ZM41" i="5" s="1"/>
  <c r="ZN41" i="5" s="1"/>
  <c r="ZO41" i="5" s="1"/>
  <c r="ZP41" i="5" s="1"/>
  <c r="ZQ41" i="5" s="1"/>
  <c r="ZS41" i="5" s="1"/>
  <c r="ZT41" i="5" s="1"/>
  <c r="ZU41" i="5" s="1"/>
  <c r="ZV41" i="5" s="1"/>
  <c r="ZW41" i="5" s="1"/>
  <c r="ZX41" i="5" s="1"/>
  <c r="ZY41" i="5" s="1"/>
  <c r="ZZ41" i="5" s="1"/>
  <c r="AAA41" i="5" s="1"/>
  <c r="AAB41" i="5" s="1"/>
  <c r="AAC41" i="5" s="1"/>
  <c r="AAD41" i="5" s="1"/>
  <c r="AAE41" i="5" s="1"/>
  <c r="AAF41" i="5" s="1"/>
  <c r="AAG41" i="5" s="1"/>
  <c r="AAH41" i="5" s="1"/>
  <c r="AAI41" i="5" s="1"/>
  <c r="AAJ41" i="5" s="1"/>
  <c r="AAK41" i="5" s="1"/>
  <c r="AAL41" i="5" s="1"/>
  <c r="AAM41" i="5" s="1"/>
  <c r="AAN41" i="5" s="1"/>
  <c r="AAO41" i="5" s="1"/>
  <c r="AAP41" i="5" s="1"/>
  <c r="AAQ41" i="5" s="1"/>
  <c r="AAR41" i="5" s="1"/>
  <c r="AAS41" i="5" s="1"/>
  <c r="AAT41" i="5" s="1"/>
  <c r="AAU41" i="5" s="1"/>
  <c r="AAV41" i="5" s="1"/>
  <c r="AAX41" i="5" s="1"/>
  <c r="AAY41" i="5" s="1"/>
  <c r="AAZ41" i="5" s="1"/>
  <c r="ABA41" i="5" s="1"/>
  <c r="ABB41" i="5" s="1"/>
  <c r="ABC41" i="5" s="1"/>
  <c r="ABD41" i="5" s="1"/>
  <c r="ABE41" i="5" s="1"/>
  <c r="ABF41" i="5" s="1"/>
  <c r="ABG41" i="5" s="1"/>
  <c r="ABH41" i="5" s="1"/>
  <c r="ABI41" i="5" s="1"/>
  <c r="ABJ41" i="5" s="1"/>
  <c r="ABK41" i="5" s="1"/>
  <c r="ABL41" i="5" s="1"/>
  <c r="ABM41" i="5" s="1"/>
  <c r="ABN41" i="5" s="1"/>
  <c r="ABO41" i="5" s="1"/>
  <c r="ABP41" i="5" s="1"/>
  <c r="ABQ41" i="5" s="1"/>
  <c r="ABR41" i="5" s="1"/>
  <c r="ABS41" i="5" s="1"/>
  <c r="ABT41" i="5" s="1"/>
  <c r="ABU41" i="5" s="1"/>
  <c r="ABV41" i="5" s="1"/>
  <c r="ABW41" i="5" s="1"/>
  <c r="ABX41" i="5" s="1"/>
  <c r="ABY41" i="5" s="1"/>
  <c r="ABZ41" i="5" s="1"/>
  <c r="ACA41" i="5" s="1"/>
  <c r="ACB41" i="5" s="1"/>
  <c r="ACD41" i="5" s="1"/>
  <c r="ACE41" i="5" s="1"/>
  <c r="ACF41" i="5" s="1"/>
  <c r="ACG41" i="5" s="1"/>
  <c r="ACH41" i="5" s="1"/>
  <c r="ACI41" i="5" s="1"/>
  <c r="ACJ41" i="5" s="1"/>
  <c r="ACK41" i="5" s="1"/>
  <c r="ACL41" i="5" s="1"/>
  <c r="ACM41" i="5" s="1"/>
  <c r="ACN41" i="5" s="1"/>
  <c r="ACO41" i="5" s="1"/>
  <c r="ACP41" i="5" s="1"/>
  <c r="ACQ41" i="5" s="1"/>
  <c r="ACR41" i="5" s="1"/>
  <c r="ACS41" i="5" s="1"/>
  <c r="ACT41" i="5" s="1"/>
  <c r="ACU41" i="5" s="1"/>
  <c r="ACV41" i="5" s="1"/>
  <c r="ACW41" i="5" s="1"/>
  <c r="ACX41" i="5" s="1"/>
  <c r="ACY41" i="5" s="1"/>
  <c r="ACZ41" i="5" s="1"/>
  <c r="ADA41" i="5" s="1"/>
  <c r="ADB41" i="5" s="1"/>
  <c r="ADC41" i="5" s="1"/>
  <c r="ADD41" i="5" s="1"/>
  <c r="ADE41" i="5" s="1"/>
  <c r="ADF41" i="5" s="1"/>
  <c r="ADG41" i="5" s="1"/>
  <c r="ADH41" i="5" s="1"/>
  <c r="ADJ41" i="5" s="1"/>
  <c r="ADK41" i="5" s="1"/>
  <c r="ADL41" i="5" s="1"/>
  <c r="ADM41" i="5" s="1"/>
  <c r="ADN41" i="5" s="1"/>
  <c r="ADO41" i="5" s="1"/>
  <c r="ADP41" i="5" s="1"/>
  <c r="ADQ41" i="5" s="1"/>
  <c r="ADR41" i="5" s="1"/>
  <c r="ADS41" i="5" s="1"/>
  <c r="ADT41" i="5" s="1"/>
  <c r="ADU41" i="5" s="1"/>
  <c r="ADV41" i="5" s="1"/>
  <c r="ADW41" i="5" s="1"/>
  <c r="ADX41" i="5" s="1"/>
  <c r="ADY41" i="5" s="1"/>
  <c r="ADZ41" i="5" s="1"/>
  <c r="AEA41" i="5" s="1"/>
  <c r="AEB41" i="5" s="1"/>
  <c r="AEC41" i="5" s="1"/>
  <c r="AED41" i="5" s="1"/>
  <c r="AEE41" i="5" s="1"/>
  <c r="AEF41" i="5" s="1"/>
  <c r="AEG41" i="5" s="1"/>
  <c r="AEH41" i="5" s="1"/>
  <c r="AEI41" i="5" s="1"/>
  <c r="AEJ41" i="5" s="1"/>
  <c r="AEK41" i="5" s="1"/>
  <c r="AEL41" i="5" s="1"/>
  <c r="AEM41" i="5" s="1"/>
  <c r="AEO41" i="5" s="1"/>
  <c r="AEP41" i="5" s="1"/>
  <c r="AEQ41" i="5" s="1"/>
  <c r="AER41" i="5" s="1"/>
  <c r="AES41" i="5" s="1"/>
  <c r="AET41" i="5" s="1"/>
  <c r="AEU41" i="5" s="1"/>
  <c r="AEV41" i="5" s="1"/>
  <c r="AEW41" i="5" s="1"/>
  <c r="AEX41" i="5" s="1"/>
  <c r="AEY41" i="5" s="1"/>
  <c r="AEZ41" i="5" s="1"/>
  <c r="AFA41" i="5" s="1"/>
  <c r="AFB41" i="5" s="1"/>
  <c r="AFC41" i="5" s="1"/>
  <c r="AFD41" i="5" s="1"/>
  <c r="AFE41" i="5" s="1"/>
  <c r="AFF41" i="5" s="1"/>
  <c r="AFG41" i="5" s="1"/>
  <c r="AFH41" i="5" s="1"/>
  <c r="AFI41" i="5" s="1"/>
  <c r="AFJ41" i="5" s="1"/>
  <c r="AFK41" i="5" s="1"/>
  <c r="AFL41" i="5" s="1"/>
  <c r="AFM41" i="5" s="1"/>
  <c r="AFN41" i="5" s="1"/>
  <c r="AFO41" i="5" s="1"/>
  <c r="AFP41" i="5" s="1"/>
  <c r="AFQ41" i="5" s="1"/>
  <c r="AFR41" i="5" s="1"/>
  <c r="AFS41" i="5" s="1"/>
  <c r="AFU41" i="5" s="1"/>
  <c r="AFV41" i="5" s="1"/>
  <c r="AFW41" i="5" s="1"/>
  <c r="AFX41" i="5" s="1"/>
  <c r="AFY41" i="5" s="1"/>
  <c r="AFZ41" i="5" s="1"/>
  <c r="AGA41" i="5" s="1"/>
  <c r="AGB41" i="5" s="1"/>
  <c r="AGC41" i="5" s="1"/>
  <c r="AGD41" i="5" s="1"/>
  <c r="AGE41" i="5" s="1"/>
  <c r="AGF41" i="5" s="1"/>
  <c r="AGG41" i="5" s="1"/>
  <c r="AGH41" i="5" s="1"/>
  <c r="AGI41" i="5" s="1"/>
  <c r="AGJ41" i="5" s="1"/>
  <c r="AGK41" i="5" s="1"/>
  <c r="AGL41" i="5" s="1"/>
  <c r="AGM41" i="5" s="1"/>
  <c r="AGN41" i="5" s="1"/>
  <c r="AGO41" i="5" s="1"/>
  <c r="AGP41" i="5" s="1"/>
  <c r="AGQ41" i="5" s="1"/>
  <c r="AGR41" i="5" s="1"/>
  <c r="AGS41" i="5" s="1"/>
  <c r="AGT41" i="5" s="1"/>
  <c r="AGU41" i="5" s="1"/>
  <c r="AGV41" i="5" s="1"/>
  <c r="AGW41" i="5" s="1"/>
  <c r="AGX41" i="5" s="1"/>
  <c r="AGZ41" i="5" s="1"/>
  <c r="AHA41" i="5" s="1"/>
  <c r="AHB41" i="5" s="1"/>
  <c r="AHC41" i="5" s="1"/>
  <c r="AHD41" i="5" s="1"/>
  <c r="AHE41" i="5" s="1"/>
  <c r="AHF41" i="5" s="1"/>
  <c r="AHG41" i="5" s="1"/>
  <c r="AHH41" i="5" s="1"/>
  <c r="AHI41" i="5" s="1"/>
  <c r="AHJ41" i="5" s="1"/>
  <c r="AHK41" i="5" s="1"/>
  <c r="AHL41" i="5" s="1"/>
  <c r="AHM41" i="5" s="1"/>
  <c r="AHN41" i="5" s="1"/>
  <c r="AHO41" i="5" s="1"/>
  <c r="AHP41" i="5" s="1"/>
  <c r="AHQ41" i="5" s="1"/>
  <c r="AHR41" i="5" s="1"/>
  <c r="AHS41" i="5" s="1"/>
  <c r="AHT41" i="5" s="1"/>
  <c r="AHU41" i="5" s="1"/>
  <c r="AHV41" i="5" s="1"/>
  <c r="AHW41" i="5" s="1"/>
  <c r="AHX41" i="5" s="1"/>
  <c r="AHY41" i="5" s="1"/>
  <c r="AHZ41" i="5" s="1"/>
  <c r="AIA41" i="5" s="1"/>
  <c r="AIB41" i="5" s="1"/>
  <c r="AIC41" i="5" s="1"/>
  <c r="AID41" i="5" s="1"/>
  <c r="AIF41" i="5" s="1"/>
  <c r="AIG41" i="5" s="1"/>
  <c r="AIH41" i="5" s="1"/>
  <c r="AII41" i="5" s="1"/>
  <c r="AIJ41" i="5" s="1"/>
  <c r="AIK41" i="5" s="1"/>
  <c r="AIL41" i="5" s="1"/>
  <c r="AIM41" i="5" s="1"/>
  <c r="AIN41" i="5" s="1"/>
  <c r="AIO41" i="5" s="1"/>
  <c r="AIP41" i="5" s="1"/>
  <c r="AIQ41" i="5" s="1"/>
  <c r="AIR41" i="5" s="1"/>
  <c r="AIS41" i="5" s="1"/>
  <c r="AIT41" i="5" s="1"/>
  <c r="AIU41" i="5" s="1"/>
  <c r="AIV41" i="5" s="1"/>
  <c r="AIW41" i="5" s="1"/>
  <c r="AIX41" i="5" s="1"/>
  <c r="AIY41" i="5" s="1"/>
  <c r="AIZ41" i="5" s="1"/>
  <c r="AJA41" i="5" s="1"/>
  <c r="AJB41" i="5" s="1"/>
  <c r="AJC41" i="5" s="1"/>
  <c r="AJD41" i="5" s="1"/>
  <c r="AJE41" i="5" s="1"/>
  <c r="AJF41" i="5" s="1"/>
  <c r="AJG41" i="5" s="1"/>
  <c r="AJH41" i="5" s="1"/>
  <c r="AJI41" i="5" s="1"/>
  <c r="AJJ41" i="5" s="1"/>
  <c r="AJL41" i="5" s="1"/>
  <c r="AJM41" i="5" s="1"/>
  <c r="AJN41" i="5" s="1"/>
  <c r="AJO41" i="5" s="1"/>
  <c r="AJP41" i="5" s="1"/>
  <c r="AJQ41" i="5" s="1"/>
  <c r="AJR41" i="5" s="1"/>
  <c r="AJS41" i="5" s="1"/>
  <c r="AJT41" i="5" s="1"/>
  <c r="AJU41" i="5" s="1"/>
  <c r="AJV41" i="5" s="1"/>
  <c r="AJW41" i="5" s="1"/>
  <c r="AJX41" i="5" s="1"/>
  <c r="AJY41" i="5" s="1"/>
  <c r="AJZ41" i="5" s="1"/>
  <c r="AKA41" i="5" s="1"/>
  <c r="AKB41" i="5" s="1"/>
  <c r="AKC41" i="5" s="1"/>
  <c r="AKD41" i="5" s="1"/>
  <c r="AKE41" i="5" s="1"/>
  <c r="AKF41" i="5" s="1"/>
  <c r="AKG41" i="5" s="1"/>
  <c r="AKH41" i="5" s="1"/>
  <c r="AKI41" i="5" s="1"/>
  <c r="AKJ41" i="5" s="1"/>
  <c r="AKK41" i="5" s="1"/>
  <c r="AKL41" i="5" s="1"/>
  <c r="AKM41" i="5" s="1"/>
  <c r="AKO41" i="5" s="1"/>
  <c r="AKP41" i="5" s="1"/>
  <c r="AKQ41" i="5" s="1"/>
  <c r="AKR41" i="5" s="1"/>
  <c r="AKS41" i="5" s="1"/>
  <c r="AKT41" i="5" s="1"/>
  <c r="AKU41" i="5" s="1"/>
  <c r="AKV41" i="5" s="1"/>
  <c r="AKW41" i="5" s="1"/>
  <c r="AKX41" i="5" s="1"/>
  <c r="AKY41" i="5" s="1"/>
  <c r="AKZ41" i="5" s="1"/>
  <c r="ALA41" i="5" s="1"/>
  <c r="ALB41" i="5" s="1"/>
  <c r="ALC41" i="5" s="1"/>
  <c r="ALD41" i="5" s="1"/>
  <c r="ALE41" i="5" s="1"/>
  <c r="ALF41" i="5" s="1"/>
  <c r="ALG41" i="5" s="1"/>
  <c r="ALH41" i="5" s="1"/>
  <c r="ALI41" i="5" s="1"/>
  <c r="ALJ41" i="5" s="1"/>
  <c r="ALK41" i="5" s="1"/>
  <c r="ALL41" i="5" s="1"/>
  <c r="ALM41" i="5" s="1"/>
  <c r="ALN41" i="5" s="1"/>
  <c r="ALO41" i="5" s="1"/>
  <c r="ALP41" i="5" s="1"/>
  <c r="ALQ41" i="5" s="1"/>
  <c r="ALR41" i="5" s="1"/>
  <c r="ALS41" i="5" s="1"/>
  <c r="ALU41" i="5" s="1"/>
  <c r="ALV41" i="5" s="1"/>
  <c r="ALW41" i="5" s="1"/>
  <c r="ALX41" i="5" s="1"/>
  <c r="ALY41" i="5" s="1"/>
  <c r="ALZ41" i="5" s="1"/>
  <c r="AMA41" i="5" s="1"/>
  <c r="AMB41" i="5" s="1"/>
  <c r="AMC41" i="5" s="1"/>
  <c r="AMD41" i="5" s="1"/>
  <c r="AME41" i="5" s="1"/>
  <c r="AMF41" i="5" s="1"/>
  <c r="AMG41" i="5" s="1"/>
  <c r="AMH41" i="5" s="1"/>
  <c r="AMI41" i="5" s="1"/>
  <c r="AMJ41" i="5" s="1"/>
  <c r="AMK41" i="5" s="1"/>
  <c r="AML41" i="5" s="1"/>
  <c r="AMM41" i="5" s="1"/>
  <c r="AMN41" i="5" s="1"/>
  <c r="AMO41" i="5" s="1"/>
  <c r="AMP41" i="5" s="1"/>
  <c r="AMQ41" i="5" s="1"/>
  <c r="AMR41" i="5" s="1"/>
  <c r="AMS41" i="5" s="1"/>
  <c r="AMT41" i="5" s="1"/>
  <c r="AMU41" i="5" s="1"/>
  <c r="AMV41" i="5" s="1"/>
  <c r="AMW41" i="5" s="1"/>
  <c r="AMX41" i="5" s="1"/>
  <c r="AMZ41" i="5" s="1"/>
  <c r="ANA41" i="5" s="1"/>
  <c r="ANB41" i="5" s="1"/>
  <c r="ANC41" i="5" s="1"/>
  <c r="AND41" i="5" s="1"/>
  <c r="ANE41" i="5" s="1"/>
  <c r="ANF41" i="5" s="1"/>
  <c r="ANG41" i="5" s="1"/>
  <c r="ANH41" i="5" s="1"/>
  <c r="ANI41" i="5" s="1"/>
  <c r="ANJ41" i="5" s="1"/>
  <c r="ANK41" i="5" s="1"/>
  <c r="ANL41" i="5" s="1"/>
  <c r="ANM41" i="5" s="1"/>
  <c r="ANN41" i="5" s="1"/>
  <c r="ANO41" i="5" s="1"/>
  <c r="ANP41" i="5" s="1"/>
  <c r="ANQ41" i="5" s="1"/>
  <c r="ANR41" i="5" s="1"/>
  <c r="ANS41" i="5" s="1"/>
  <c r="ANT41" i="5" s="1"/>
  <c r="ANU41" i="5" s="1"/>
  <c r="ANV41" i="5" s="1"/>
  <c r="ANW41" i="5" s="1"/>
  <c r="ANX41" i="5" s="1"/>
  <c r="ANY41" i="5" s="1"/>
  <c r="ANZ41" i="5" s="1"/>
  <c r="AOA41" i="5" s="1"/>
  <c r="AOB41" i="5" s="1"/>
  <c r="AOC41" i="5" s="1"/>
  <c r="N44" i="5"/>
  <c r="O40" i="5"/>
  <c r="R38" i="5"/>
  <c r="HQ36" i="5"/>
  <c r="HS36" i="5" s="1"/>
  <c r="HU36" i="5" s="1"/>
  <c r="HW36" i="5" s="1"/>
  <c r="HY36" i="5" s="1"/>
  <c r="IA36" i="5" s="1"/>
  <c r="IC36" i="5" s="1"/>
  <c r="IE36" i="5" s="1"/>
  <c r="IG36" i="5" s="1"/>
  <c r="II36" i="5" s="1"/>
  <c r="IK36" i="5" s="1"/>
  <c r="IM36" i="5" s="1"/>
  <c r="IO36" i="5" s="1"/>
  <c r="IQ36" i="5" s="1"/>
  <c r="IS36" i="5" s="1"/>
  <c r="IU36" i="5" s="1"/>
  <c r="IV36" i="5" s="1"/>
  <c r="IW36" i="5" s="1"/>
  <c r="IX36" i="5" s="1"/>
  <c r="IY36" i="5" s="1"/>
  <c r="IZ36" i="5" s="1"/>
  <c r="JA36" i="5" s="1"/>
  <c r="JB36" i="5" s="1"/>
  <c r="JC36" i="5" s="1"/>
  <c r="JD36" i="5" s="1"/>
  <c r="JE36" i="5" s="1"/>
  <c r="JF36" i="5" s="1"/>
  <c r="JG36" i="5" s="1"/>
  <c r="JH36" i="5" s="1"/>
  <c r="JI36" i="5" s="1"/>
  <c r="JJ36" i="5" s="1"/>
  <c r="JK36" i="5" s="1"/>
  <c r="JL36" i="5" s="1"/>
  <c r="JM36" i="5" s="1"/>
  <c r="JN36" i="5" s="1"/>
  <c r="JO36" i="5" s="1"/>
  <c r="JP36" i="5" s="1"/>
  <c r="JQ36" i="5" s="1"/>
  <c r="JR36" i="5" s="1"/>
  <c r="JS36" i="5" s="1"/>
  <c r="JT36" i="5" s="1"/>
  <c r="JU36" i="5" s="1"/>
  <c r="JV36" i="5" s="1"/>
  <c r="JW36" i="5" s="1"/>
  <c r="JX36" i="5" s="1"/>
  <c r="JZ36" i="5" s="1"/>
  <c r="HP36" i="5"/>
  <c r="HR36" i="5" s="1"/>
  <c r="HT36" i="5" s="1"/>
  <c r="HV36" i="5" s="1"/>
  <c r="HX36" i="5" s="1"/>
  <c r="HZ36" i="5" s="1"/>
  <c r="IB36" i="5" s="1"/>
  <c r="ID36" i="5" s="1"/>
  <c r="IF36" i="5" s="1"/>
  <c r="IH36" i="5" s="1"/>
  <c r="IJ36" i="5" s="1"/>
  <c r="IL36" i="5" s="1"/>
  <c r="IN36" i="5" s="1"/>
  <c r="IP36" i="5" s="1"/>
  <c r="IR36" i="5" s="1"/>
  <c r="KU35" i="5"/>
  <c r="KW35" i="5" s="1"/>
  <c r="KY35" i="5" s="1"/>
  <c r="KV35" i="5"/>
  <c r="KX35" i="5" s="1"/>
  <c r="KZ35" i="5" s="1"/>
  <c r="WD32" i="5"/>
  <c r="WF32" i="5" s="1"/>
  <c r="WH32" i="5" s="1"/>
  <c r="WJ32" i="5" s="1"/>
  <c r="WL32" i="5" s="1"/>
  <c r="WN32" i="5" s="1"/>
  <c r="WP32" i="5" s="1"/>
  <c r="WR32" i="5" s="1"/>
  <c r="WT32" i="5" s="1"/>
  <c r="WV32" i="5" s="1"/>
  <c r="WX32" i="5" s="1"/>
  <c r="WZ32" i="5" s="1"/>
  <c r="XB32" i="5" s="1"/>
  <c r="XD32" i="5" s="1"/>
  <c r="XF32" i="5" s="1"/>
  <c r="XH32" i="5" s="1"/>
  <c r="XI32" i="5" s="1"/>
  <c r="XJ32" i="5" s="1"/>
  <c r="XK32" i="5" s="1"/>
  <c r="XL32" i="5" s="1"/>
  <c r="XM32" i="5" s="1"/>
  <c r="XN32" i="5" s="1"/>
  <c r="XO32" i="5" s="1"/>
  <c r="XP32" i="5" s="1"/>
  <c r="XQ32" i="5" s="1"/>
  <c r="XR32" i="5" s="1"/>
  <c r="XS32" i="5" s="1"/>
  <c r="XT32" i="5" s="1"/>
  <c r="XU32" i="5" s="1"/>
  <c r="XV32" i="5" s="1"/>
  <c r="XW32" i="5" s="1"/>
  <c r="XX32" i="5" s="1"/>
  <c r="XY32" i="5" s="1"/>
  <c r="XZ32" i="5" s="1"/>
  <c r="YA32" i="5" s="1"/>
  <c r="YB32" i="5" s="1"/>
  <c r="YC32" i="5" s="1"/>
  <c r="YD32" i="5" s="1"/>
  <c r="YE32" i="5" s="1"/>
  <c r="YF32" i="5" s="1"/>
  <c r="YG32" i="5" s="1"/>
  <c r="YH32" i="5" s="1"/>
  <c r="YI32" i="5" s="1"/>
  <c r="YJ32" i="5" s="1"/>
  <c r="YK32" i="5" s="1"/>
  <c r="YM32" i="5" s="1"/>
  <c r="YN32" i="5" s="1"/>
  <c r="YO32" i="5" s="1"/>
  <c r="YP32" i="5" s="1"/>
  <c r="YQ32" i="5" s="1"/>
  <c r="YR32" i="5" s="1"/>
  <c r="YS32" i="5" s="1"/>
  <c r="YT32" i="5" s="1"/>
  <c r="YU32" i="5" s="1"/>
  <c r="YV32" i="5" s="1"/>
  <c r="YW32" i="5" s="1"/>
  <c r="YX32" i="5" s="1"/>
  <c r="YY32" i="5" s="1"/>
  <c r="YZ32" i="5" s="1"/>
  <c r="ZA32" i="5" s="1"/>
  <c r="ZB32" i="5" s="1"/>
  <c r="ZC32" i="5" s="1"/>
  <c r="ZD32" i="5" s="1"/>
  <c r="ZE32" i="5" s="1"/>
  <c r="ZF32" i="5" s="1"/>
  <c r="ZG32" i="5" s="1"/>
  <c r="ZH32" i="5" s="1"/>
  <c r="ZI32" i="5" s="1"/>
  <c r="ZJ32" i="5" s="1"/>
  <c r="ZK32" i="5" s="1"/>
  <c r="ZL32" i="5" s="1"/>
  <c r="ZM32" i="5" s="1"/>
  <c r="ZN32" i="5" s="1"/>
  <c r="ZO32" i="5" s="1"/>
  <c r="ZP32" i="5" s="1"/>
  <c r="ZQ32" i="5" s="1"/>
  <c r="ZS32" i="5" s="1"/>
  <c r="ZT32" i="5" s="1"/>
  <c r="ZU32" i="5" s="1"/>
  <c r="ZV32" i="5" s="1"/>
  <c r="ZW32" i="5" s="1"/>
  <c r="ZX32" i="5" s="1"/>
  <c r="ZY32" i="5" s="1"/>
  <c r="ZZ32" i="5" s="1"/>
  <c r="AAA32" i="5" s="1"/>
  <c r="AAB32" i="5" s="1"/>
  <c r="AAC32" i="5" s="1"/>
  <c r="AAD32" i="5" s="1"/>
  <c r="AAE32" i="5" s="1"/>
  <c r="AAF32" i="5" s="1"/>
  <c r="AAG32" i="5" s="1"/>
  <c r="AAH32" i="5" s="1"/>
  <c r="AAI32" i="5" s="1"/>
  <c r="AAJ32" i="5" s="1"/>
  <c r="AAK32" i="5" s="1"/>
  <c r="AAL32" i="5" s="1"/>
  <c r="AAM32" i="5" s="1"/>
  <c r="AAN32" i="5" s="1"/>
  <c r="AAO32" i="5" s="1"/>
  <c r="AAP32" i="5" s="1"/>
  <c r="AAQ32" i="5" s="1"/>
  <c r="AAR32" i="5" s="1"/>
  <c r="AAS32" i="5" s="1"/>
  <c r="AAT32" i="5" s="1"/>
  <c r="AAU32" i="5" s="1"/>
  <c r="AAV32" i="5" s="1"/>
  <c r="AAX32" i="5" s="1"/>
  <c r="AAY32" i="5" s="1"/>
  <c r="AAZ32" i="5" s="1"/>
  <c r="ABA32" i="5" s="1"/>
  <c r="ABB32" i="5" s="1"/>
  <c r="ABC32" i="5" s="1"/>
  <c r="ABD32" i="5" s="1"/>
  <c r="ABE32" i="5" s="1"/>
  <c r="ABF32" i="5" s="1"/>
  <c r="ABG32" i="5" s="1"/>
  <c r="ABH32" i="5" s="1"/>
  <c r="ABI32" i="5" s="1"/>
  <c r="ABJ32" i="5" s="1"/>
  <c r="ABK32" i="5" s="1"/>
  <c r="ABL32" i="5" s="1"/>
  <c r="ABM32" i="5" s="1"/>
  <c r="ABN32" i="5" s="1"/>
  <c r="ABO32" i="5" s="1"/>
  <c r="ABP32" i="5" s="1"/>
  <c r="ABQ32" i="5" s="1"/>
  <c r="ABR32" i="5" s="1"/>
  <c r="ABS32" i="5" s="1"/>
  <c r="ABT32" i="5" s="1"/>
  <c r="ABU32" i="5" s="1"/>
  <c r="ABV32" i="5" s="1"/>
  <c r="ABW32" i="5" s="1"/>
  <c r="ABX32" i="5" s="1"/>
  <c r="ABY32" i="5" s="1"/>
  <c r="ABZ32" i="5" s="1"/>
  <c r="ACA32" i="5" s="1"/>
  <c r="ACB32" i="5" s="1"/>
  <c r="ACD32" i="5" s="1"/>
  <c r="ACE32" i="5" s="1"/>
  <c r="ACF32" i="5" s="1"/>
  <c r="ACG32" i="5" s="1"/>
  <c r="ACH32" i="5" s="1"/>
  <c r="ACI32" i="5" s="1"/>
  <c r="ACJ32" i="5" s="1"/>
  <c r="ACK32" i="5" s="1"/>
  <c r="ACL32" i="5" s="1"/>
  <c r="ACM32" i="5" s="1"/>
  <c r="ACN32" i="5" s="1"/>
  <c r="ACO32" i="5" s="1"/>
  <c r="ACP32" i="5" s="1"/>
  <c r="ACQ32" i="5" s="1"/>
  <c r="ACR32" i="5" s="1"/>
  <c r="ACS32" i="5" s="1"/>
  <c r="ACT32" i="5" s="1"/>
  <c r="ACU32" i="5" s="1"/>
  <c r="ACV32" i="5" s="1"/>
  <c r="ACW32" i="5" s="1"/>
  <c r="ACX32" i="5" s="1"/>
  <c r="ACY32" i="5" s="1"/>
  <c r="ACZ32" i="5" s="1"/>
  <c r="ADA32" i="5" s="1"/>
  <c r="ADB32" i="5" s="1"/>
  <c r="ADC32" i="5" s="1"/>
  <c r="ADD32" i="5" s="1"/>
  <c r="ADE32" i="5" s="1"/>
  <c r="ADF32" i="5" s="1"/>
  <c r="ADG32" i="5" s="1"/>
  <c r="ADH32" i="5" s="1"/>
  <c r="ADJ32" i="5" s="1"/>
  <c r="ADK32" i="5" s="1"/>
  <c r="ADL32" i="5" s="1"/>
  <c r="ADM32" i="5" s="1"/>
  <c r="ADN32" i="5" s="1"/>
  <c r="ADO32" i="5" s="1"/>
  <c r="ADP32" i="5" s="1"/>
  <c r="ADQ32" i="5" s="1"/>
  <c r="ADR32" i="5" s="1"/>
  <c r="ADS32" i="5" s="1"/>
  <c r="ADT32" i="5" s="1"/>
  <c r="ADU32" i="5" s="1"/>
  <c r="ADV32" i="5" s="1"/>
  <c r="ADW32" i="5" s="1"/>
  <c r="ADX32" i="5" s="1"/>
  <c r="ADY32" i="5" s="1"/>
  <c r="ADZ32" i="5" s="1"/>
  <c r="AEA32" i="5" s="1"/>
  <c r="AEB32" i="5" s="1"/>
  <c r="AEC32" i="5" s="1"/>
  <c r="AED32" i="5" s="1"/>
  <c r="AEE32" i="5" s="1"/>
  <c r="AEF32" i="5" s="1"/>
  <c r="AEG32" i="5" s="1"/>
  <c r="AEH32" i="5" s="1"/>
  <c r="AEI32" i="5" s="1"/>
  <c r="AEJ32" i="5" s="1"/>
  <c r="AEK32" i="5" s="1"/>
  <c r="AEL32" i="5" s="1"/>
  <c r="AEM32" i="5" s="1"/>
  <c r="AEO32" i="5" s="1"/>
  <c r="AEP32" i="5" s="1"/>
  <c r="AEQ32" i="5" s="1"/>
  <c r="AER32" i="5" s="1"/>
  <c r="AES32" i="5" s="1"/>
  <c r="AET32" i="5" s="1"/>
  <c r="AEU32" i="5" s="1"/>
  <c r="AEV32" i="5" s="1"/>
  <c r="AEW32" i="5" s="1"/>
  <c r="AEX32" i="5" s="1"/>
  <c r="AEY32" i="5" s="1"/>
  <c r="AEZ32" i="5" s="1"/>
  <c r="AFA32" i="5" s="1"/>
  <c r="AFB32" i="5" s="1"/>
  <c r="AFC32" i="5" s="1"/>
  <c r="AFD32" i="5" s="1"/>
  <c r="AFE32" i="5" s="1"/>
  <c r="AFF32" i="5" s="1"/>
  <c r="AFG32" i="5" s="1"/>
  <c r="AFH32" i="5" s="1"/>
  <c r="AFI32" i="5" s="1"/>
  <c r="AFJ32" i="5" s="1"/>
  <c r="AFK32" i="5" s="1"/>
  <c r="AFL32" i="5" s="1"/>
  <c r="AFM32" i="5" s="1"/>
  <c r="AFN32" i="5" s="1"/>
  <c r="AFO32" i="5" s="1"/>
  <c r="AFP32" i="5" s="1"/>
  <c r="AFQ32" i="5" s="1"/>
  <c r="AFR32" i="5" s="1"/>
  <c r="AFS32" i="5" s="1"/>
  <c r="AFU32" i="5" s="1"/>
  <c r="AFV32" i="5" s="1"/>
  <c r="AFW32" i="5" s="1"/>
  <c r="AFX32" i="5" s="1"/>
  <c r="AFY32" i="5" s="1"/>
  <c r="AFZ32" i="5" s="1"/>
  <c r="AGA32" i="5" s="1"/>
  <c r="AGB32" i="5" s="1"/>
  <c r="AGC32" i="5" s="1"/>
  <c r="AGD32" i="5" s="1"/>
  <c r="AGE32" i="5" s="1"/>
  <c r="AGF32" i="5" s="1"/>
  <c r="AGG32" i="5" s="1"/>
  <c r="AGH32" i="5" s="1"/>
  <c r="AGI32" i="5" s="1"/>
  <c r="AGJ32" i="5" s="1"/>
  <c r="AGK32" i="5" s="1"/>
  <c r="AGL32" i="5" s="1"/>
  <c r="AGM32" i="5" s="1"/>
  <c r="AGN32" i="5" s="1"/>
  <c r="AGO32" i="5" s="1"/>
  <c r="AGP32" i="5" s="1"/>
  <c r="AGQ32" i="5" s="1"/>
  <c r="AGR32" i="5" s="1"/>
  <c r="AGS32" i="5" s="1"/>
  <c r="AGT32" i="5" s="1"/>
  <c r="AGU32" i="5" s="1"/>
  <c r="AGV32" i="5" s="1"/>
  <c r="AGW32" i="5" s="1"/>
  <c r="AGX32" i="5" s="1"/>
  <c r="AGZ32" i="5" s="1"/>
  <c r="AHA32" i="5" s="1"/>
  <c r="AHB32" i="5" s="1"/>
  <c r="AHC32" i="5" s="1"/>
  <c r="AHD32" i="5" s="1"/>
  <c r="AHE32" i="5" s="1"/>
  <c r="AHF32" i="5" s="1"/>
  <c r="AHG32" i="5" s="1"/>
  <c r="AHH32" i="5" s="1"/>
  <c r="AHI32" i="5" s="1"/>
  <c r="AHJ32" i="5" s="1"/>
  <c r="AHK32" i="5" s="1"/>
  <c r="AHL32" i="5" s="1"/>
  <c r="AHM32" i="5" s="1"/>
  <c r="AHN32" i="5" s="1"/>
  <c r="AHO32" i="5" s="1"/>
  <c r="AHP32" i="5" s="1"/>
  <c r="AHQ32" i="5" s="1"/>
  <c r="AHR32" i="5" s="1"/>
  <c r="AHS32" i="5" s="1"/>
  <c r="AHT32" i="5" s="1"/>
  <c r="AHU32" i="5" s="1"/>
  <c r="AHV32" i="5" s="1"/>
  <c r="AHW32" i="5" s="1"/>
  <c r="AHX32" i="5" s="1"/>
  <c r="AHY32" i="5" s="1"/>
  <c r="AHZ32" i="5" s="1"/>
  <c r="AIA32" i="5" s="1"/>
  <c r="AIB32" i="5" s="1"/>
  <c r="AIC32" i="5" s="1"/>
  <c r="AID32" i="5" s="1"/>
  <c r="AIF32" i="5" s="1"/>
  <c r="AIG32" i="5" s="1"/>
  <c r="AIH32" i="5" s="1"/>
  <c r="AII32" i="5" s="1"/>
  <c r="AIJ32" i="5" s="1"/>
  <c r="AIK32" i="5" s="1"/>
  <c r="AIL32" i="5" s="1"/>
  <c r="AIM32" i="5" s="1"/>
  <c r="AIN32" i="5" s="1"/>
  <c r="AIO32" i="5" s="1"/>
  <c r="AIP32" i="5" s="1"/>
  <c r="AIQ32" i="5" s="1"/>
  <c r="AIR32" i="5" s="1"/>
  <c r="AIS32" i="5" s="1"/>
  <c r="AIT32" i="5" s="1"/>
  <c r="AIU32" i="5" s="1"/>
  <c r="AIV32" i="5" s="1"/>
  <c r="AIW32" i="5" s="1"/>
  <c r="AIX32" i="5" s="1"/>
  <c r="AIY32" i="5" s="1"/>
  <c r="AIZ32" i="5" s="1"/>
  <c r="AJA32" i="5" s="1"/>
  <c r="AJB32" i="5" s="1"/>
  <c r="AJC32" i="5" s="1"/>
  <c r="AJD32" i="5" s="1"/>
  <c r="AJE32" i="5" s="1"/>
  <c r="AJF32" i="5" s="1"/>
  <c r="AJG32" i="5" s="1"/>
  <c r="AJH32" i="5" s="1"/>
  <c r="AJI32" i="5" s="1"/>
  <c r="AJJ32" i="5" s="1"/>
  <c r="AJL32" i="5" s="1"/>
  <c r="AJM32" i="5" s="1"/>
  <c r="AJN32" i="5" s="1"/>
  <c r="AJO32" i="5" s="1"/>
  <c r="AJP32" i="5" s="1"/>
  <c r="AJQ32" i="5" s="1"/>
  <c r="AJR32" i="5" s="1"/>
  <c r="AJS32" i="5" s="1"/>
  <c r="AJT32" i="5" s="1"/>
  <c r="AJU32" i="5" s="1"/>
  <c r="AJV32" i="5" s="1"/>
  <c r="AJW32" i="5" s="1"/>
  <c r="AJX32" i="5" s="1"/>
  <c r="AJY32" i="5" s="1"/>
  <c r="AJZ32" i="5" s="1"/>
  <c r="AKA32" i="5" s="1"/>
  <c r="AKB32" i="5" s="1"/>
  <c r="AKC32" i="5" s="1"/>
  <c r="AKD32" i="5" s="1"/>
  <c r="AKE32" i="5" s="1"/>
  <c r="AKF32" i="5" s="1"/>
  <c r="AKG32" i="5" s="1"/>
  <c r="AKH32" i="5" s="1"/>
  <c r="AKI32" i="5" s="1"/>
  <c r="AKJ32" i="5" s="1"/>
  <c r="AKK32" i="5" s="1"/>
  <c r="AKL32" i="5" s="1"/>
  <c r="AKM32" i="5" s="1"/>
  <c r="AKO32" i="5" s="1"/>
  <c r="AKP32" i="5" s="1"/>
  <c r="AKQ32" i="5" s="1"/>
  <c r="AKR32" i="5" s="1"/>
  <c r="AKS32" i="5" s="1"/>
  <c r="AKT32" i="5" s="1"/>
  <c r="AKU32" i="5" s="1"/>
  <c r="AKV32" i="5" s="1"/>
  <c r="AKW32" i="5" s="1"/>
  <c r="AKX32" i="5" s="1"/>
  <c r="AKY32" i="5" s="1"/>
  <c r="AKZ32" i="5" s="1"/>
  <c r="ALA32" i="5" s="1"/>
  <c r="ALB32" i="5" s="1"/>
  <c r="ALC32" i="5" s="1"/>
  <c r="ALD32" i="5" s="1"/>
  <c r="ALE32" i="5" s="1"/>
  <c r="ALF32" i="5" s="1"/>
  <c r="ALG32" i="5" s="1"/>
  <c r="ALH32" i="5" s="1"/>
  <c r="ALI32" i="5" s="1"/>
  <c r="ALJ32" i="5" s="1"/>
  <c r="ALK32" i="5" s="1"/>
  <c r="ALL32" i="5" s="1"/>
  <c r="ALM32" i="5" s="1"/>
  <c r="ALN32" i="5" s="1"/>
  <c r="ALO32" i="5" s="1"/>
  <c r="ALP32" i="5" s="1"/>
  <c r="ALQ32" i="5" s="1"/>
  <c r="ALR32" i="5" s="1"/>
  <c r="ALS32" i="5" s="1"/>
  <c r="ALU32" i="5" s="1"/>
  <c r="ALV32" i="5" s="1"/>
  <c r="ALW32" i="5" s="1"/>
  <c r="ALX32" i="5" s="1"/>
  <c r="ALY32" i="5" s="1"/>
  <c r="ALZ32" i="5" s="1"/>
  <c r="AMA32" i="5" s="1"/>
  <c r="AMB32" i="5" s="1"/>
  <c r="AMC32" i="5" s="1"/>
  <c r="AMD32" i="5" s="1"/>
  <c r="AME32" i="5" s="1"/>
  <c r="AMF32" i="5" s="1"/>
  <c r="AMG32" i="5" s="1"/>
  <c r="AMH32" i="5" s="1"/>
  <c r="AMI32" i="5" s="1"/>
  <c r="AMJ32" i="5" s="1"/>
  <c r="AMK32" i="5" s="1"/>
  <c r="AML32" i="5" s="1"/>
  <c r="AMM32" i="5" s="1"/>
  <c r="AMN32" i="5" s="1"/>
  <c r="AMO32" i="5" s="1"/>
  <c r="AMP32" i="5" s="1"/>
  <c r="AMQ32" i="5" s="1"/>
  <c r="AMR32" i="5" s="1"/>
  <c r="AMS32" i="5" s="1"/>
  <c r="AMT32" i="5" s="1"/>
  <c r="AMU32" i="5" s="1"/>
  <c r="AMV32" i="5" s="1"/>
  <c r="AMW32" i="5" s="1"/>
  <c r="AMX32" i="5" s="1"/>
  <c r="AMZ32" i="5" s="1"/>
  <c r="ANA32" i="5" s="1"/>
  <c r="ANB32" i="5" s="1"/>
  <c r="ANC32" i="5" s="1"/>
  <c r="AND32" i="5" s="1"/>
  <c r="ANE32" i="5" s="1"/>
  <c r="ANF32" i="5" s="1"/>
  <c r="ANG32" i="5" s="1"/>
  <c r="ANH32" i="5" s="1"/>
  <c r="ANI32" i="5" s="1"/>
  <c r="ANJ32" i="5" s="1"/>
  <c r="ANK32" i="5" s="1"/>
  <c r="ANL32" i="5" s="1"/>
  <c r="ANM32" i="5" s="1"/>
  <c r="ANN32" i="5" s="1"/>
  <c r="ANO32" i="5" s="1"/>
  <c r="ANP32" i="5" s="1"/>
  <c r="ANQ32" i="5" s="1"/>
  <c r="ANR32" i="5" s="1"/>
  <c r="ANS32" i="5" s="1"/>
  <c r="ANT32" i="5" s="1"/>
  <c r="ANU32" i="5" s="1"/>
  <c r="ANV32" i="5" s="1"/>
  <c r="ANW32" i="5" s="1"/>
  <c r="ANX32" i="5" s="1"/>
  <c r="ANY32" i="5" s="1"/>
  <c r="ANZ32" i="5" s="1"/>
  <c r="AOA32" i="5" s="1"/>
  <c r="AOB32" i="5" s="1"/>
  <c r="AOC32" i="5" s="1"/>
  <c r="WC32" i="5"/>
  <c r="WE32" i="5" s="1"/>
  <c r="WG32" i="5" s="1"/>
  <c r="WI32" i="5" s="1"/>
  <c r="WK32" i="5" s="1"/>
  <c r="WM32" i="5" s="1"/>
  <c r="WO32" i="5" s="1"/>
  <c r="WQ32" i="5" s="1"/>
  <c r="WS32" i="5" s="1"/>
  <c r="WU32" i="5" s="1"/>
  <c r="WW32" i="5" s="1"/>
  <c r="WY32" i="5" s="1"/>
  <c r="XA32" i="5" s="1"/>
  <c r="XC32" i="5" s="1"/>
  <c r="XE32" i="5" s="1"/>
  <c r="ML31" i="5"/>
  <c r="MN31" i="5" s="1"/>
  <c r="MP31" i="5" s="1"/>
  <c r="MR31" i="5" s="1"/>
  <c r="MT31" i="5" s="1"/>
  <c r="MM31" i="5"/>
  <c r="MO31" i="5" s="1"/>
  <c r="MQ31" i="5" s="1"/>
  <c r="MS31" i="5" s="1"/>
  <c r="MU31" i="5" s="1"/>
  <c r="WN18" i="5"/>
  <c r="WM30" i="5"/>
  <c r="VK18" i="5"/>
  <c r="VJ30" i="5"/>
  <c r="UE18" i="5"/>
  <c r="UD30" i="5"/>
  <c r="SX30" i="5"/>
  <c r="SY18" i="5"/>
  <c r="RS30" i="5"/>
  <c r="RT18" i="5"/>
  <c r="QM30" i="5"/>
  <c r="QN18" i="5"/>
  <c r="PH30" i="5"/>
  <c r="PI18" i="5"/>
  <c r="OB30" i="5"/>
  <c r="OC18" i="5"/>
  <c r="FP30" i="5"/>
  <c r="FQ18" i="5"/>
  <c r="ES30" i="5"/>
  <c r="ET18" i="5"/>
  <c r="P20" i="5"/>
  <c r="BC19" i="5"/>
  <c r="ANW17" i="5"/>
  <c r="AEH17" i="5"/>
  <c r="WW16" i="5"/>
  <c r="IH16" i="5"/>
  <c r="FU16" i="5"/>
  <c r="DR16" i="5"/>
  <c r="DS16" i="5"/>
  <c r="ANY15" i="5"/>
  <c r="VP15" i="5"/>
  <c r="SC15" i="5"/>
  <c r="AMG14" i="5"/>
  <c r="ALH14" i="5"/>
  <c r="AJX14" i="5"/>
  <c r="AIR14" i="5"/>
  <c r="AHX14" i="5"/>
  <c r="AGQ14" i="5"/>
  <c r="AFH14" i="5"/>
  <c r="AEJ14" i="5"/>
  <c r="ACV14" i="5"/>
  <c r="ACA14" i="5"/>
  <c r="AAH14" i="5"/>
  <c r="ZJ14" i="5"/>
  <c r="YC14" i="5"/>
  <c r="UL14" i="5"/>
  <c r="TE14" i="5"/>
  <c r="SE14" i="5"/>
  <c r="QU14" i="5"/>
  <c r="PU14" i="5"/>
  <c r="OI14" i="5"/>
  <c r="ME14" i="5"/>
  <c r="KU14" i="5"/>
  <c r="JJ14" i="5"/>
  <c r="HH14" i="5"/>
  <c r="EV14" i="5"/>
  <c r="DW14" i="5"/>
  <c r="DV14" i="5"/>
  <c r="CN14" i="5"/>
  <c r="BF14" i="5"/>
  <c r="R14" i="5"/>
  <c r="AU3" i="5"/>
  <c r="BY3" i="5"/>
  <c r="DD3" i="5" s="1"/>
  <c r="ANJ15" i="5"/>
  <c r="AME16" i="5"/>
  <c r="AJV16" i="5"/>
  <c r="AHJ14" i="5"/>
  <c r="ADT14" i="5"/>
  <c r="BW14" i="5"/>
  <c r="L37" i="5"/>
  <c r="M26" i="5"/>
  <c r="AU3" i="4"/>
  <c r="BY3" i="4"/>
  <c r="DD3" i="4" s="1"/>
  <c r="AU2" i="2"/>
  <c r="BY2" i="2"/>
  <c r="DD2" i="2" s="1"/>
  <c r="AT3" i="1"/>
  <c r="BX3" i="1"/>
  <c r="DC3" i="1" s="1"/>
  <c r="AV3" i="3"/>
  <c r="BZ3" i="3"/>
  <c r="DE3" i="3" s="1"/>
  <c r="L49" i="5"/>
  <c r="M46" i="5"/>
  <c r="AIO16" i="5"/>
  <c r="K51" i="5"/>
  <c r="K53" i="5" s="1"/>
  <c r="P48" i="5" l="1"/>
  <c r="MW42" i="5"/>
  <c r="MY42" i="5" s="1"/>
  <c r="NA42" i="5" s="1"/>
  <c r="NC42" i="5" s="1"/>
  <c r="MX42" i="5"/>
  <c r="MZ42" i="5" s="1"/>
  <c r="NB42" i="5" s="1"/>
  <c r="IL42" i="5"/>
  <c r="IN42" i="5" s="1"/>
  <c r="IM42" i="5"/>
  <c r="IO42" i="5" s="1"/>
  <c r="DJ42" i="5"/>
  <c r="DL42" i="5" s="1"/>
  <c r="DN42" i="5" s="1"/>
  <c r="DP42" i="5" s="1"/>
  <c r="DK42" i="5"/>
  <c r="DM42" i="5" s="1"/>
  <c r="DO42" i="5" s="1"/>
  <c r="DQ42" i="5" s="1"/>
  <c r="DR42" i="5" s="1"/>
  <c r="O44" i="5"/>
  <c r="P40" i="5"/>
  <c r="S38" i="5"/>
  <c r="KA36" i="5"/>
  <c r="KC36" i="5" s="1"/>
  <c r="KE36" i="5" s="1"/>
  <c r="KG36" i="5" s="1"/>
  <c r="KB36" i="5"/>
  <c r="KD36" i="5" s="1"/>
  <c r="KF36" i="5" s="1"/>
  <c r="MV31" i="5"/>
  <c r="MW31" i="5"/>
  <c r="WN30" i="5"/>
  <c r="WO18" i="5"/>
  <c r="VK30" i="5"/>
  <c r="VL18" i="5"/>
  <c r="UE30" i="5"/>
  <c r="UF18" i="5"/>
  <c r="SZ18" i="5"/>
  <c r="SY30" i="5"/>
  <c r="RT30" i="5"/>
  <c r="RU18" i="5"/>
  <c r="QN30" i="5"/>
  <c r="QO18" i="5"/>
  <c r="PI30" i="5"/>
  <c r="PJ18" i="5"/>
  <c r="OC30" i="5"/>
  <c r="OD18" i="5"/>
  <c r="FR18" i="5"/>
  <c r="FQ30" i="5"/>
  <c r="ET30" i="5"/>
  <c r="EU18" i="5"/>
  <c r="Q20" i="5"/>
  <c r="BD19" i="5"/>
  <c r="ANX17" i="5"/>
  <c r="AEI17" i="5"/>
  <c r="WX16" i="5"/>
  <c r="II16" i="5"/>
  <c r="FV16" i="5"/>
  <c r="DT16" i="5"/>
  <c r="DU16" i="5"/>
  <c r="ANZ15" i="5"/>
  <c r="VQ15" i="5"/>
  <c r="SD15" i="5"/>
  <c r="AMH14" i="5"/>
  <c r="ALI14" i="5"/>
  <c r="AJY14" i="5"/>
  <c r="AIS14" i="5"/>
  <c r="AHY14" i="5"/>
  <c r="AGR14" i="5"/>
  <c r="AFI14" i="5"/>
  <c r="AEK14" i="5"/>
  <c r="ACW14" i="5"/>
  <c r="ACB14" i="5"/>
  <c r="AAI14" i="5"/>
  <c r="ZK14" i="5"/>
  <c r="YD14" i="5"/>
  <c r="UM14" i="5"/>
  <c r="TF14" i="5"/>
  <c r="SF14" i="5"/>
  <c r="QV14" i="5"/>
  <c r="PV14" i="5"/>
  <c r="OJ14" i="5"/>
  <c r="MF14" i="5"/>
  <c r="KV14" i="5"/>
  <c r="JK14" i="5"/>
  <c r="HI14" i="5"/>
  <c r="EW14" i="5"/>
  <c r="DY14" i="5"/>
  <c r="CO14" i="5"/>
  <c r="BG14" i="5"/>
  <c r="S14" i="5"/>
  <c r="AV3" i="5"/>
  <c r="BZ3" i="5"/>
  <c r="DE3" i="5" s="1"/>
  <c r="ANK15" i="5"/>
  <c r="AMF16" i="5"/>
  <c r="AJW16" i="5"/>
  <c r="ADU14" i="5"/>
  <c r="BX14" i="5"/>
  <c r="M37" i="5"/>
  <c r="N26" i="5"/>
  <c r="AV3" i="4"/>
  <c r="BZ3" i="4"/>
  <c r="DE3" i="4" s="1"/>
  <c r="AV2" i="2"/>
  <c r="BZ2" i="2"/>
  <c r="DE2" i="2" s="1"/>
  <c r="AU3" i="1"/>
  <c r="BY3" i="1"/>
  <c r="DD3" i="1" s="1"/>
  <c r="AW3" i="3"/>
  <c r="CA3" i="3"/>
  <c r="DF3" i="3" s="1"/>
  <c r="M49" i="5"/>
  <c r="N46" i="5"/>
  <c r="AIP16" i="5"/>
  <c r="L51" i="5"/>
  <c r="L53" i="5" s="1"/>
  <c r="Q48" i="5" l="1"/>
  <c r="ND42" i="5"/>
  <c r="NE42" i="5"/>
  <c r="IP42" i="5"/>
  <c r="IQ42" i="5"/>
  <c r="DS42" i="5"/>
  <c r="DU42" i="5" s="1"/>
  <c r="DW42" i="5" s="1"/>
  <c r="DY42" i="5" s="1"/>
  <c r="DT42" i="5"/>
  <c r="DV42" i="5" s="1"/>
  <c r="P44" i="5"/>
  <c r="Q40" i="5"/>
  <c r="T38" i="5"/>
  <c r="KH36" i="5"/>
  <c r="KJ36" i="5" s="1"/>
  <c r="KL36" i="5" s="1"/>
  <c r="KN36" i="5" s="1"/>
  <c r="KP36" i="5" s="1"/>
  <c r="KR36" i="5" s="1"/>
  <c r="KT36" i="5" s="1"/>
  <c r="KV36" i="5" s="1"/>
  <c r="KX36" i="5" s="1"/>
  <c r="KZ36" i="5" s="1"/>
  <c r="LB36" i="5" s="1"/>
  <c r="LD36" i="5" s="1"/>
  <c r="LF36" i="5" s="1"/>
  <c r="LG36" i="5" s="1"/>
  <c r="LH36" i="5" s="1"/>
  <c r="LI36" i="5" s="1"/>
  <c r="LJ36" i="5" s="1"/>
  <c r="LK36" i="5" s="1"/>
  <c r="LL36" i="5" s="1"/>
  <c r="LM36" i="5" s="1"/>
  <c r="LN36" i="5" s="1"/>
  <c r="LO36" i="5" s="1"/>
  <c r="LP36" i="5" s="1"/>
  <c r="LQ36" i="5" s="1"/>
  <c r="LR36" i="5" s="1"/>
  <c r="LS36" i="5" s="1"/>
  <c r="LT36" i="5" s="1"/>
  <c r="LU36" i="5" s="1"/>
  <c r="LV36" i="5" s="1"/>
  <c r="LW36" i="5" s="1"/>
  <c r="LX36" i="5" s="1"/>
  <c r="LY36" i="5" s="1"/>
  <c r="LZ36" i="5" s="1"/>
  <c r="MA36" i="5" s="1"/>
  <c r="MB36" i="5" s="1"/>
  <c r="MC36" i="5" s="1"/>
  <c r="MD36" i="5" s="1"/>
  <c r="ME36" i="5" s="1"/>
  <c r="MF36" i="5" s="1"/>
  <c r="MG36" i="5" s="1"/>
  <c r="MH36" i="5" s="1"/>
  <c r="MI36" i="5" s="1"/>
  <c r="MK36" i="5" s="1"/>
  <c r="KI36" i="5"/>
  <c r="KK36" i="5" s="1"/>
  <c r="KM36" i="5" s="1"/>
  <c r="KO36" i="5" s="1"/>
  <c r="KQ36" i="5" s="1"/>
  <c r="KS36" i="5" s="1"/>
  <c r="KU36" i="5" s="1"/>
  <c r="KW36" i="5" s="1"/>
  <c r="KY36" i="5" s="1"/>
  <c r="LA36" i="5" s="1"/>
  <c r="LC36" i="5" s="1"/>
  <c r="MY31" i="5"/>
  <c r="MX31" i="5"/>
  <c r="MZ31" i="5" s="1"/>
  <c r="WP18" i="5"/>
  <c r="WO30" i="5"/>
  <c r="VL30" i="5"/>
  <c r="VM18" i="5"/>
  <c r="UG18" i="5"/>
  <c r="UF30" i="5"/>
  <c r="SZ30" i="5"/>
  <c r="TA18" i="5"/>
  <c r="RV18" i="5"/>
  <c r="RU30" i="5"/>
  <c r="QO30" i="5"/>
  <c r="QP18" i="5"/>
  <c r="PK18" i="5"/>
  <c r="PJ30" i="5"/>
  <c r="OD30" i="5"/>
  <c r="OE18" i="5"/>
  <c r="FR30" i="5"/>
  <c r="FS18" i="5"/>
  <c r="EU30" i="5"/>
  <c r="EV18" i="5"/>
  <c r="R20" i="5"/>
  <c r="BE19" i="5"/>
  <c r="ANY17" i="5"/>
  <c r="AEJ17" i="5"/>
  <c r="WY16" i="5"/>
  <c r="IJ16" i="5"/>
  <c r="FW16" i="5"/>
  <c r="DV16" i="5"/>
  <c r="DW16" i="5"/>
  <c r="AOA15" i="5"/>
  <c r="VR15" i="5"/>
  <c r="SE15" i="5"/>
  <c r="AMI14" i="5"/>
  <c r="ALJ14" i="5"/>
  <c r="AJZ14" i="5"/>
  <c r="AIT14" i="5"/>
  <c r="AHZ14" i="5"/>
  <c r="AGS14" i="5"/>
  <c r="AFJ14" i="5"/>
  <c r="AEL14" i="5"/>
  <c r="ACX14" i="5"/>
  <c r="ACD14" i="5"/>
  <c r="AAJ14" i="5"/>
  <c r="ZL14" i="5"/>
  <c r="YE14" i="5"/>
  <c r="UN14" i="5"/>
  <c r="TG14" i="5"/>
  <c r="SG14" i="5"/>
  <c r="QW14" i="5"/>
  <c r="PW14" i="5"/>
  <c r="OK14" i="5"/>
  <c r="MG14" i="5"/>
  <c r="KW14" i="5"/>
  <c r="JL14" i="5"/>
  <c r="HJ14" i="5"/>
  <c r="EX14" i="5"/>
  <c r="DZ14" i="5"/>
  <c r="CP14" i="5"/>
  <c r="BH14" i="5"/>
  <c r="T14" i="5"/>
  <c r="AW3" i="5"/>
  <c r="CA3" i="5"/>
  <c r="DF3" i="5" s="1"/>
  <c r="AMG16" i="5"/>
  <c r="AJX16" i="5"/>
  <c r="ADV14" i="5"/>
  <c r="BY14" i="5"/>
  <c r="N37" i="5"/>
  <c r="O26" i="5"/>
  <c r="AW3" i="4"/>
  <c r="CA3" i="4"/>
  <c r="DF3" i="4" s="1"/>
  <c r="AW2" i="2"/>
  <c r="CA2" i="2"/>
  <c r="DF2" i="2" s="1"/>
  <c r="AV3" i="1"/>
  <c r="BZ3" i="1"/>
  <c r="DE3" i="1" s="1"/>
  <c r="AX3" i="3"/>
  <c r="CB3" i="3"/>
  <c r="DG3" i="3" s="1"/>
  <c r="N49" i="5"/>
  <c r="O46" i="5"/>
  <c r="AIQ16" i="5"/>
  <c r="M51" i="5"/>
  <c r="M53" i="5" s="1"/>
  <c r="R48" i="5" l="1"/>
  <c r="NF42" i="5"/>
  <c r="NH42" i="5" s="1"/>
  <c r="NI42" i="5" s="1"/>
  <c r="NG42" i="5"/>
  <c r="IR42" i="5"/>
  <c r="IS42" i="5"/>
  <c r="IU42" i="5" s="1"/>
  <c r="IV42" i="5" s="1"/>
  <c r="DZ42" i="5"/>
  <c r="EA42" i="5"/>
  <c r="Q44" i="5"/>
  <c r="R40" i="5"/>
  <c r="U38" i="5"/>
  <c r="MM36" i="5"/>
  <c r="MO36" i="5" s="1"/>
  <c r="MQ36" i="5" s="1"/>
  <c r="MS36" i="5" s="1"/>
  <c r="MU36" i="5" s="1"/>
  <c r="MW36" i="5" s="1"/>
  <c r="MY36" i="5" s="1"/>
  <c r="NA36" i="5" s="1"/>
  <c r="NC36" i="5" s="1"/>
  <c r="NE36" i="5" s="1"/>
  <c r="NG36" i="5" s="1"/>
  <c r="NI36" i="5" s="1"/>
  <c r="NK36" i="5" s="1"/>
  <c r="NM36" i="5" s="1"/>
  <c r="NO36" i="5" s="1"/>
  <c r="NQ36" i="5" s="1"/>
  <c r="ML36" i="5"/>
  <c r="MN36" i="5" s="1"/>
  <c r="MP36" i="5" s="1"/>
  <c r="MR36" i="5" s="1"/>
  <c r="MT36" i="5" s="1"/>
  <c r="MV36" i="5" s="1"/>
  <c r="MX36" i="5" s="1"/>
  <c r="MZ36" i="5" s="1"/>
  <c r="NB36" i="5" s="1"/>
  <c r="ND36" i="5" s="1"/>
  <c r="NF36" i="5" s="1"/>
  <c r="NH36" i="5" s="1"/>
  <c r="NJ36" i="5" s="1"/>
  <c r="NL36" i="5" s="1"/>
  <c r="NN36" i="5" s="1"/>
  <c r="NB31" i="5"/>
  <c r="NA31" i="5"/>
  <c r="WP30" i="5"/>
  <c r="WQ18" i="5"/>
  <c r="VN18" i="5"/>
  <c r="VM30" i="5"/>
  <c r="UG30" i="5"/>
  <c r="UH18" i="5"/>
  <c r="TB18" i="5"/>
  <c r="TA30" i="5"/>
  <c r="RV30" i="5"/>
  <c r="RW18" i="5"/>
  <c r="QQ18" i="5"/>
  <c r="QP30" i="5"/>
  <c r="PK30" i="5"/>
  <c r="PL18" i="5"/>
  <c r="OE30" i="5"/>
  <c r="OF18" i="5"/>
  <c r="FS30" i="5"/>
  <c r="FT18" i="5"/>
  <c r="EV30" i="5"/>
  <c r="EW18" i="5"/>
  <c r="S20" i="5"/>
  <c r="BF19" i="5"/>
  <c r="ANZ17" i="5"/>
  <c r="AEK17" i="5"/>
  <c r="WZ16" i="5"/>
  <c r="IK16" i="5"/>
  <c r="FX16" i="5"/>
  <c r="DY16" i="5"/>
  <c r="AOB15" i="5"/>
  <c r="VS15" i="5"/>
  <c r="SF15" i="5"/>
  <c r="AMJ14" i="5"/>
  <c r="ALK14" i="5"/>
  <c r="AKA14" i="5"/>
  <c r="AIU14" i="5"/>
  <c r="AIA14" i="5"/>
  <c r="AGT14" i="5"/>
  <c r="AFK14" i="5"/>
  <c r="AEM14" i="5"/>
  <c r="ACY14" i="5"/>
  <c r="ACE14" i="5"/>
  <c r="AAK14" i="5"/>
  <c r="ZM14" i="5"/>
  <c r="YF14" i="5"/>
  <c r="UO14" i="5"/>
  <c r="TH14" i="5"/>
  <c r="SH14" i="5"/>
  <c r="QX14" i="5"/>
  <c r="PX14" i="5"/>
  <c r="OL14" i="5"/>
  <c r="MH14" i="5"/>
  <c r="KX14" i="5"/>
  <c r="JM14" i="5"/>
  <c r="HK14" i="5"/>
  <c r="EY14" i="5"/>
  <c r="EA14" i="5"/>
  <c r="CQ14" i="5"/>
  <c r="BI14" i="5"/>
  <c r="U14" i="5"/>
  <c r="AX3" i="5"/>
  <c r="CB3" i="5"/>
  <c r="DG3" i="5" s="1"/>
  <c r="AJY16" i="5"/>
  <c r="BZ14" i="5"/>
  <c r="O37" i="5"/>
  <c r="P26" i="5"/>
  <c r="AX3" i="4"/>
  <c r="CB3" i="4"/>
  <c r="DG3" i="4" s="1"/>
  <c r="AX2" i="2"/>
  <c r="CB2" i="2"/>
  <c r="DG2" i="2" s="1"/>
  <c r="AW3" i="1"/>
  <c r="CA3" i="1"/>
  <c r="DF3" i="1" s="1"/>
  <c r="AY3" i="3"/>
  <c r="CC3" i="3"/>
  <c r="DH3" i="3" s="1"/>
  <c r="O49" i="5"/>
  <c r="P46" i="5"/>
  <c r="AIR16" i="5"/>
  <c r="N51" i="5"/>
  <c r="N53" i="5" s="1"/>
  <c r="S48" i="5" l="1"/>
  <c r="NJ42" i="5"/>
  <c r="NL42" i="5" s="1"/>
  <c r="NN42" i="5" s="1"/>
  <c r="NK42" i="5"/>
  <c r="NM42" i="5" s="1"/>
  <c r="NO42" i="5" s="1"/>
  <c r="NQ42" i="5" s="1"/>
  <c r="EB42" i="5"/>
  <c r="ED42" i="5" s="1"/>
  <c r="EC42" i="5"/>
  <c r="EE42" i="5" s="1"/>
  <c r="R44" i="5"/>
  <c r="S40" i="5"/>
  <c r="V38" i="5"/>
  <c r="NR36" i="5"/>
  <c r="NT36" i="5" s="1"/>
  <c r="NV36" i="5" s="1"/>
  <c r="NX36" i="5" s="1"/>
  <c r="NZ36" i="5" s="1"/>
  <c r="OB36" i="5" s="1"/>
  <c r="OD36" i="5" s="1"/>
  <c r="OF36" i="5" s="1"/>
  <c r="OH36" i="5" s="1"/>
  <c r="OJ36" i="5" s="1"/>
  <c r="OL36" i="5" s="1"/>
  <c r="ON36" i="5" s="1"/>
  <c r="OP36" i="5" s="1"/>
  <c r="OR36" i="5" s="1"/>
  <c r="OT36" i="5" s="1"/>
  <c r="NS36" i="5"/>
  <c r="NU36" i="5" s="1"/>
  <c r="NW36" i="5" s="1"/>
  <c r="NY36" i="5" s="1"/>
  <c r="OA36" i="5" s="1"/>
  <c r="OC36" i="5" s="1"/>
  <c r="OE36" i="5" s="1"/>
  <c r="OG36" i="5" s="1"/>
  <c r="OI36" i="5" s="1"/>
  <c r="OK36" i="5" s="1"/>
  <c r="OM36" i="5" s="1"/>
  <c r="OO36" i="5" s="1"/>
  <c r="OQ36" i="5" s="1"/>
  <c r="OS36" i="5" s="1"/>
  <c r="OU36" i="5" s="1"/>
  <c r="OW36" i="5" s="1"/>
  <c r="NC31" i="5"/>
  <c r="NE31" i="5" s="1"/>
  <c r="NG31" i="5" s="1"/>
  <c r="ND31" i="5"/>
  <c r="NF31" i="5" s="1"/>
  <c r="WQ30" i="5"/>
  <c r="WR18" i="5"/>
  <c r="VN30" i="5"/>
  <c r="VO18" i="5"/>
  <c r="UH30" i="5"/>
  <c r="UI18" i="5"/>
  <c r="TB30" i="5"/>
  <c r="TC18" i="5"/>
  <c r="RW30" i="5"/>
  <c r="RX18" i="5"/>
  <c r="QQ30" i="5"/>
  <c r="QR18" i="5"/>
  <c r="PL30" i="5"/>
  <c r="PM18" i="5"/>
  <c r="OF30" i="5"/>
  <c r="OG18" i="5"/>
  <c r="FU18" i="5"/>
  <c r="FT30" i="5"/>
  <c r="EW30" i="5"/>
  <c r="EX18" i="5"/>
  <c r="T20" i="5"/>
  <c r="BG19" i="5"/>
  <c r="AOA17" i="5"/>
  <c r="AEL17" i="5"/>
  <c r="XA16" i="5"/>
  <c r="IL16" i="5"/>
  <c r="FY16" i="5"/>
  <c r="DZ16" i="5"/>
  <c r="AOC15" i="5"/>
  <c r="VT15" i="5"/>
  <c r="SG15" i="5"/>
  <c r="AMK14" i="5"/>
  <c r="ALL14" i="5"/>
  <c r="AKB14" i="5"/>
  <c r="AIV14" i="5"/>
  <c r="AIB14" i="5"/>
  <c r="AGU14" i="5"/>
  <c r="AFL14" i="5"/>
  <c r="AEO14" i="5"/>
  <c r="ACZ14" i="5"/>
  <c r="ACF14" i="5"/>
  <c r="AAL14" i="5"/>
  <c r="ZN14" i="5"/>
  <c r="YG14" i="5"/>
  <c r="UP14" i="5"/>
  <c r="TI14" i="5"/>
  <c r="SI14" i="5"/>
  <c r="QY14" i="5"/>
  <c r="PY14" i="5"/>
  <c r="OM14" i="5"/>
  <c r="MI14" i="5"/>
  <c r="KY14" i="5"/>
  <c r="JN14" i="5"/>
  <c r="HL14" i="5"/>
  <c r="EZ14" i="5"/>
  <c r="EB14" i="5"/>
  <c r="CR14" i="5"/>
  <c r="BJ14" i="5"/>
  <c r="V14" i="5"/>
  <c r="AY3" i="5"/>
  <c r="CC3" i="5"/>
  <c r="DH3" i="5" s="1"/>
  <c r="AJZ16" i="5"/>
  <c r="P37" i="5"/>
  <c r="Q26" i="5"/>
  <c r="AY3" i="4"/>
  <c r="CC3" i="4"/>
  <c r="DH3" i="4" s="1"/>
  <c r="AY2" i="2"/>
  <c r="CC2" i="2"/>
  <c r="DH2" i="2" s="1"/>
  <c r="AX3" i="1"/>
  <c r="CB3" i="1"/>
  <c r="DG3" i="1" s="1"/>
  <c r="AZ3" i="3"/>
  <c r="CD3" i="3"/>
  <c r="DI3" i="3" s="1"/>
  <c r="P49" i="5"/>
  <c r="Q46" i="5"/>
  <c r="AIS16" i="5"/>
  <c r="O51" i="5"/>
  <c r="O53" i="5" s="1"/>
  <c r="T48" i="5" l="1"/>
  <c r="NR42" i="5"/>
  <c r="NS42" i="5"/>
  <c r="EF42" i="5"/>
  <c r="EH42" i="5" s="1"/>
  <c r="EG42" i="5"/>
  <c r="EI42" i="5" s="1"/>
  <c r="S44" i="5"/>
  <c r="T40" i="5"/>
  <c r="W38" i="5"/>
  <c r="OX36" i="5"/>
  <c r="OZ36" i="5" s="1"/>
  <c r="PB36" i="5" s="1"/>
  <c r="PD36" i="5" s="1"/>
  <c r="PF36" i="5" s="1"/>
  <c r="PH36" i="5" s="1"/>
  <c r="PJ36" i="5" s="1"/>
  <c r="PL36" i="5" s="1"/>
  <c r="PN36" i="5" s="1"/>
  <c r="PP36" i="5" s="1"/>
  <c r="PR36" i="5" s="1"/>
  <c r="PT36" i="5" s="1"/>
  <c r="PV36" i="5" s="1"/>
  <c r="PX36" i="5" s="1"/>
  <c r="PZ36" i="5" s="1"/>
  <c r="QB36" i="5" s="1"/>
  <c r="QC36" i="5" s="1"/>
  <c r="QD36" i="5" s="1"/>
  <c r="QE36" i="5" s="1"/>
  <c r="QF36" i="5" s="1"/>
  <c r="QG36" i="5" s="1"/>
  <c r="QH36" i="5" s="1"/>
  <c r="QI36" i="5" s="1"/>
  <c r="QJ36" i="5" s="1"/>
  <c r="QK36" i="5" s="1"/>
  <c r="QL36" i="5" s="1"/>
  <c r="QM36" i="5" s="1"/>
  <c r="QN36" i="5" s="1"/>
  <c r="QO36" i="5" s="1"/>
  <c r="QP36" i="5" s="1"/>
  <c r="QQ36" i="5" s="1"/>
  <c r="QR36" i="5" s="1"/>
  <c r="QS36" i="5" s="1"/>
  <c r="QT36" i="5" s="1"/>
  <c r="QU36" i="5" s="1"/>
  <c r="QV36" i="5" s="1"/>
  <c r="QW36" i="5" s="1"/>
  <c r="QX36" i="5" s="1"/>
  <c r="QY36" i="5" s="1"/>
  <c r="QZ36" i="5" s="1"/>
  <c r="RA36" i="5" s="1"/>
  <c r="RB36" i="5" s="1"/>
  <c r="RC36" i="5" s="1"/>
  <c r="RD36" i="5" s="1"/>
  <c r="RE36" i="5" s="1"/>
  <c r="RF36" i="5" s="1"/>
  <c r="RH36" i="5" s="1"/>
  <c r="RI36" i="5" s="1"/>
  <c r="RJ36" i="5" s="1"/>
  <c r="RK36" i="5" s="1"/>
  <c r="RL36" i="5" s="1"/>
  <c r="RM36" i="5" s="1"/>
  <c r="RN36" i="5" s="1"/>
  <c r="RO36" i="5" s="1"/>
  <c r="RP36" i="5" s="1"/>
  <c r="RQ36" i="5" s="1"/>
  <c r="RR36" i="5" s="1"/>
  <c r="RS36" i="5" s="1"/>
  <c r="RT36" i="5" s="1"/>
  <c r="RU36" i="5" s="1"/>
  <c r="RV36" i="5" s="1"/>
  <c r="RW36" i="5" s="1"/>
  <c r="RX36" i="5" s="1"/>
  <c r="RY36" i="5" s="1"/>
  <c r="RZ36" i="5" s="1"/>
  <c r="SA36" i="5" s="1"/>
  <c r="SB36" i="5" s="1"/>
  <c r="SC36" i="5" s="1"/>
  <c r="SD36" i="5" s="1"/>
  <c r="SE36" i="5" s="1"/>
  <c r="SF36" i="5" s="1"/>
  <c r="SG36" i="5" s="1"/>
  <c r="SH36" i="5" s="1"/>
  <c r="SI36" i="5" s="1"/>
  <c r="SJ36" i="5" s="1"/>
  <c r="SK36" i="5" s="1"/>
  <c r="SM36" i="5" s="1"/>
  <c r="SN36" i="5" s="1"/>
  <c r="SO36" i="5" s="1"/>
  <c r="SP36" i="5" s="1"/>
  <c r="SQ36" i="5" s="1"/>
  <c r="SR36" i="5" s="1"/>
  <c r="SS36" i="5" s="1"/>
  <c r="ST36" i="5" s="1"/>
  <c r="SU36" i="5" s="1"/>
  <c r="SV36" i="5" s="1"/>
  <c r="SW36" i="5" s="1"/>
  <c r="SX36" i="5" s="1"/>
  <c r="SY36" i="5" s="1"/>
  <c r="SZ36" i="5" s="1"/>
  <c r="TA36" i="5" s="1"/>
  <c r="TB36" i="5" s="1"/>
  <c r="TC36" i="5" s="1"/>
  <c r="TD36" i="5" s="1"/>
  <c r="TE36" i="5" s="1"/>
  <c r="TF36" i="5" s="1"/>
  <c r="TG36" i="5" s="1"/>
  <c r="TH36" i="5" s="1"/>
  <c r="TI36" i="5" s="1"/>
  <c r="TJ36" i="5" s="1"/>
  <c r="TK36" i="5" s="1"/>
  <c r="TL36" i="5" s="1"/>
  <c r="TM36" i="5" s="1"/>
  <c r="TN36" i="5" s="1"/>
  <c r="TO36" i="5" s="1"/>
  <c r="TP36" i="5" s="1"/>
  <c r="TQ36" i="5" s="1"/>
  <c r="TS36" i="5" s="1"/>
  <c r="TT36" i="5" s="1"/>
  <c r="TU36" i="5" s="1"/>
  <c r="TV36" i="5" s="1"/>
  <c r="TW36" i="5" s="1"/>
  <c r="TX36" i="5" s="1"/>
  <c r="TY36" i="5" s="1"/>
  <c r="TZ36" i="5" s="1"/>
  <c r="UA36" i="5" s="1"/>
  <c r="UB36" i="5" s="1"/>
  <c r="UC36" i="5" s="1"/>
  <c r="UD36" i="5" s="1"/>
  <c r="UE36" i="5" s="1"/>
  <c r="UF36" i="5" s="1"/>
  <c r="UG36" i="5" s="1"/>
  <c r="UH36" i="5" s="1"/>
  <c r="UI36" i="5" s="1"/>
  <c r="UJ36" i="5" s="1"/>
  <c r="UK36" i="5" s="1"/>
  <c r="UL36" i="5" s="1"/>
  <c r="UM36" i="5" s="1"/>
  <c r="UN36" i="5" s="1"/>
  <c r="UO36" i="5" s="1"/>
  <c r="UP36" i="5" s="1"/>
  <c r="UQ36" i="5" s="1"/>
  <c r="UR36" i="5" s="1"/>
  <c r="US36" i="5" s="1"/>
  <c r="UT36" i="5" s="1"/>
  <c r="UU36" i="5" s="1"/>
  <c r="UV36" i="5" s="1"/>
  <c r="UW36" i="5" s="1"/>
  <c r="UY36" i="5" s="1"/>
  <c r="OY36" i="5"/>
  <c r="PA36" i="5" s="1"/>
  <c r="PC36" i="5" s="1"/>
  <c r="PE36" i="5" s="1"/>
  <c r="PG36" i="5" s="1"/>
  <c r="PI36" i="5" s="1"/>
  <c r="PK36" i="5" s="1"/>
  <c r="PM36" i="5" s="1"/>
  <c r="PO36" i="5" s="1"/>
  <c r="PQ36" i="5" s="1"/>
  <c r="PS36" i="5" s="1"/>
  <c r="PU36" i="5" s="1"/>
  <c r="PW36" i="5" s="1"/>
  <c r="PY36" i="5" s="1"/>
  <c r="NH31" i="5"/>
  <c r="NJ31" i="5" s="1"/>
  <c r="NL31" i="5" s="1"/>
  <c r="NI31" i="5"/>
  <c r="NK31" i="5" s="1"/>
  <c r="WS18" i="5"/>
  <c r="WR30" i="5"/>
  <c r="VP18" i="5"/>
  <c r="VO30" i="5"/>
  <c r="UJ18" i="5"/>
  <c r="UI30" i="5"/>
  <c r="TD18" i="5"/>
  <c r="TC30" i="5"/>
  <c r="RY18" i="5"/>
  <c r="RX30" i="5"/>
  <c r="QR30" i="5"/>
  <c r="QS18" i="5"/>
  <c r="PM30" i="5"/>
  <c r="PN18" i="5"/>
  <c r="OH18" i="5"/>
  <c r="OG30" i="5"/>
  <c r="FU30" i="5"/>
  <c r="FV18" i="5"/>
  <c r="EX30" i="5"/>
  <c r="EY18" i="5"/>
  <c r="U20" i="5"/>
  <c r="BH19" i="5"/>
  <c r="AOB17" i="5"/>
  <c r="AEM17" i="5"/>
  <c r="XB16" i="5"/>
  <c r="IM16" i="5"/>
  <c r="FZ16" i="5"/>
  <c r="EA16" i="5"/>
  <c r="VU15" i="5"/>
  <c r="SH15" i="5"/>
  <c r="AML14" i="5"/>
  <c r="ALM14" i="5"/>
  <c r="AKC14" i="5"/>
  <c r="AIW14" i="5"/>
  <c r="AIC14" i="5"/>
  <c r="AGV14" i="5"/>
  <c r="AFM14" i="5"/>
  <c r="AEP14" i="5"/>
  <c r="ADA14" i="5"/>
  <c r="ACG14" i="5"/>
  <c r="AAM14" i="5"/>
  <c r="ZO14" i="5"/>
  <c r="YH14" i="5"/>
  <c r="UQ14" i="5"/>
  <c r="TJ14" i="5"/>
  <c r="SJ14" i="5"/>
  <c r="QZ14" i="5"/>
  <c r="PZ14" i="5"/>
  <c r="ON14" i="5"/>
  <c r="MK14" i="5"/>
  <c r="KZ14" i="5"/>
  <c r="JO14" i="5"/>
  <c r="HM14" i="5"/>
  <c r="FA14" i="5"/>
  <c r="EC14" i="5"/>
  <c r="BK14" i="5"/>
  <c r="W14" i="5"/>
  <c r="AZ3" i="5"/>
  <c r="CD3" i="5"/>
  <c r="DI3" i="5" s="1"/>
  <c r="AKA16" i="5"/>
  <c r="Q37" i="5"/>
  <c r="R26" i="5"/>
  <c r="AZ3" i="4"/>
  <c r="CD3" i="4"/>
  <c r="DI3" i="4" s="1"/>
  <c r="AZ2" i="2"/>
  <c r="CD2" i="2"/>
  <c r="DI2" i="2" s="1"/>
  <c r="AY3" i="1"/>
  <c r="CC3" i="1"/>
  <c r="DH3" i="1" s="1"/>
  <c r="CE3" i="3"/>
  <c r="DJ3" i="3" s="1"/>
  <c r="BA3" i="3"/>
  <c r="Q49" i="5"/>
  <c r="R46" i="5"/>
  <c r="AIT16" i="5"/>
  <c r="P51" i="5"/>
  <c r="P53" i="5" s="1"/>
  <c r="U48" i="5" l="1"/>
  <c r="NT42" i="5"/>
  <c r="NV42" i="5" s="1"/>
  <c r="NW42" i="5" s="1"/>
  <c r="NU42" i="5"/>
  <c r="EJ42" i="5"/>
  <c r="EL42" i="5" s="1"/>
  <c r="EM42" i="5" s="1"/>
  <c r="EK42" i="5"/>
  <c r="T44" i="5"/>
  <c r="U40" i="5"/>
  <c r="X38" i="5"/>
  <c r="UZ36" i="5"/>
  <c r="VB36" i="5" s="1"/>
  <c r="VD36" i="5" s="1"/>
  <c r="VA36" i="5"/>
  <c r="VC36" i="5" s="1"/>
  <c r="NN31" i="5"/>
  <c r="NM31" i="5"/>
  <c r="NO31" i="5" s="1"/>
  <c r="NQ31" i="5" s="1"/>
  <c r="WS30" i="5"/>
  <c r="WT18" i="5"/>
  <c r="VP30" i="5"/>
  <c r="VQ18" i="5"/>
  <c r="UJ30" i="5"/>
  <c r="UK18" i="5"/>
  <c r="TD30" i="5"/>
  <c r="TE18" i="5"/>
  <c r="RY30" i="5"/>
  <c r="RZ18" i="5"/>
  <c r="QT18" i="5"/>
  <c r="QS30" i="5"/>
  <c r="PN30" i="5"/>
  <c r="PO18" i="5"/>
  <c r="OH30" i="5"/>
  <c r="OI18" i="5"/>
  <c r="FV30" i="5"/>
  <c r="FW18" i="5"/>
  <c r="EY30" i="5"/>
  <c r="EZ18" i="5"/>
  <c r="V20" i="5"/>
  <c r="BI19" i="5"/>
  <c r="AOC17" i="5"/>
  <c r="AEO17" i="5"/>
  <c r="XC16" i="5"/>
  <c r="IN16" i="5"/>
  <c r="GA16" i="5"/>
  <c r="EB16" i="5"/>
  <c r="VV15" i="5"/>
  <c r="SI15" i="5"/>
  <c r="AMM14" i="5"/>
  <c r="ALN14" i="5"/>
  <c r="AKD14" i="5"/>
  <c r="AIX14" i="5"/>
  <c r="AID14" i="5"/>
  <c r="AGW14" i="5"/>
  <c r="AFN14" i="5"/>
  <c r="AEQ14" i="5"/>
  <c r="ADB14" i="5"/>
  <c r="ACH14" i="5"/>
  <c r="AAN14" i="5"/>
  <c r="ZP14" i="5"/>
  <c r="YI14" i="5"/>
  <c r="UR14" i="5"/>
  <c r="TK14" i="5"/>
  <c r="SK14" i="5"/>
  <c r="RA14" i="5"/>
  <c r="QB14" i="5"/>
  <c r="OO14" i="5"/>
  <c r="ML14" i="5"/>
  <c r="LA14" i="5"/>
  <c r="JP14" i="5"/>
  <c r="HO14" i="5"/>
  <c r="FB14" i="5"/>
  <c r="ED14" i="5"/>
  <c r="BL14" i="5"/>
  <c r="X14" i="5"/>
  <c r="BA3" i="5"/>
  <c r="CE3" i="5"/>
  <c r="DJ3" i="5" s="1"/>
  <c r="AKB16" i="5"/>
  <c r="R37" i="5"/>
  <c r="S26" i="5"/>
  <c r="BA3" i="4"/>
  <c r="CE3" i="4"/>
  <c r="DJ3" i="4" s="1"/>
  <c r="BA2" i="2"/>
  <c r="CE2" i="2"/>
  <c r="DJ2" i="2" s="1"/>
  <c r="AZ3" i="1"/>
  <c r="CD3" i="1"/>
  <c r="DI3" i="1" s="1"/>
  <c r="BB3" i="3"/>
  <c r="CF3" i="3"/>
  <c r="DK3" i="3" s="1"/>
  <c r="R49" i="5"/>
  <c r="S46" i="5"/>
  <c r="AIU16" i="5"/>
  <c r="Q51" i="5"/>
  <c r="Q53" i="5" s="1"/>
  <c r="V48" i="5" l="1"/>
  <c r="NX42" i="5"/>
  <c r="NZ42" i="5" s="1"/>
  <c r="OA42" i="5" s="1"/>
  <c r="NY42" i="5"/>
  <c r="EN42" i="5"/>
  <c r="EP42" i="5" s="1"/>
  <c r="EO42" i="5"/>
  <c r="EQ42" i="5" s="1"/>
  <c r="ER42" i="5" s="1"/>
  <c r="U44" i="5"/>
  <c r="V40" i="5"/>
  <c r="Y38" i="5"/>
  <c r="NS31" i="5"/>
  <c r="NU31" i="5" s="1"/>
  <c r="NR31" i="5"/>
  <c r="NT31" i="5" s="1"/>
  <c r="WT30" i="5"/>
  <c r="WU18" i="5"/>
  <c r="VQ30" i="5"/>
  <c r="VR18" i="5"/>
  <c r="UK30" i="5"/>
  <c r="UL18" i="5"/>
  <c r="TF18" i="5"/>
  <c r="TE30" i="5"/>
  <c r="SA18" i="5"/>
  <c r="RZ30" i="5"/>
  <c r="QT30" i="5"/>
  <c r="QU18" i="5"/>
  <c r="PO30" i="5"/>
  <c r="PP18" i="5"/>
  <c r="OI30" i="5"/>
  <c r="OJ18" i="5"/>
  <c r="FX18" i="5"/>
  <c r="FW30" i="5"/>
  <c r="EZ30" i="5"/>
  <c r="FA18" i="5"/>
  <c r="W20" i="5"/>
  <c r="BJ19" i="5"/>
  <c r="AEP17" i="5"/>
  <c r="XD16" i="5"/>
  <c r="IO16" i="5"/>
  <c r="GB16" i="5"/>
  <c r="EC16" i="5"/>
  <c r="VW15" i="5"/>
  <c r="SJ15" i="5"/>
  <c r="AMN14" i="5"/>
  <c r="ALO14" i="5"/>
  <c r="AKE14" i="5"/>
  <c r="AIY14" i="5"/>
  <c r="AGX14" i="5"/>
  <c r="AFO14" i="5"/>
  <c r="AER14" i="5"/>
  <c r="ADC14" i="5"/>
  <c r="AAO14" i="5"/>
  <c r="ZQ14" i="5"/>
  <c r="YJ14" i="5"/>
  <c r="US14" i="5"/>
  <c r="TL14" i="5"/>
  <c r="SM14" i="5"/>
  <c r="RB14" i="5"/>
  <c r="QC14" i="5"/>
  <c r="OP14" i="5"/>
  <c r="MM14" i="5"/>
  <c r="LB14" i="5"/>
  <c r="JQ14" i="5"/>
  <c r="HP14" i="5"/>
  <c r="FC14" i="5"/>
  <c r="EE14" i="5"/>
  <c r="Y14" i="5"/>
  <c r="BB3" i="5"/>
  <c r="CF3" i="5"/>
  <c r="DK3" i="5" s="1"/>
  <c r="AKC16" i="5"/>
  <c r="S37" i="5"/>
  <c r="T26" i="5"/>
  <c r="BB3" i="4"/>
  <c r="CF3" i="4"/>
  <c r="DK3" i="4" s="1"/>
  <c r="BB2" i="2"/>
  <c r="CF2" i="2"/>
  <c r="DK2" i="2" s="1"/>
  <c r="BA3" i="1"/>
  <c r="CE3" i="1"/>
  <c r="DJ3" i="1" s="1"/>
  <c r="BC3" i="3"/>
  <c r="CG3" i="3"/>
  <c r="DL3" i="3" s="1"/>
  <c r="S49" i="5"/>
  <c r="T46" i="5"/>
  <c r="AIV16" i="5"/>
  <c r="R51" i="5"/>
  <c r="R53" i="5" s="1"/>
  <c r="W48" i="5" l="1"/>
  <c r="OB42" i="5"/>
  <c r="OD42" i="5" s="1"/>
  <c r="OC42" i="5"/>
  <c r="OE42" i="5" s="1"/>
  <c r="OF42" i="5" s="1"/>
  <c r="ES42" i="5"/>
  <c r="EU42" i="5" s="1"/>
  <c r="ET42" i="5"/>
  <c r="V44" i="5"/>
  <c r="W40" i="5"/>
  <c r="Z38" i="5"/>
  <c r="NW31" i="5"/>
  <c r="NV31" i="5"/>
  <c r="NX31" i="5" s="1"/>
  <c r="WU30" i="5"/>
  <c r="WV18" i="5"/>
  <c r="VR30" i="5"/>
  <c r="VS18" i="5"/>
  <c r="UM18" i="5"/>
  <c r="UL30" i="5"/>
  <c r="TF30" i="5"/>
  <c r="TG18" i="5"/>
  <c r="SA30" i="5"/>
  <c r="SB18" i="5"/>
  <c r="QU30" i="5"/>
  <c r="QV18" i="5"/>
  <c r="PP30" i="5"/>
  <c r="PQ18" i="5"/>
  <c r="OJ30" i="5"/>
  <c r="OK18" i="5"/>
  <c r="FX30" i="5"/>
  <c r="FY18" i="5"/>
  <c r="FA30" i="5"/>
  <c r="FB18" i="5"/>
  <c r="X20" i="5"/>
  <c r="BK19" i="5"/>
  <c r="AEQ17" i="5"/>
  <c r="XE16" i="5"/>
  <c r="IP16" i="5"/>
  <c r="GC16" i="5"/>
  <c r="ED16" i="5"/>
  <c r="VX15" i="5"/>
  <c r="SK15" i="5"/>
  <c r="AMO14" i="5"/>
  <c r="ALP14" i="5"/>
  <c r="AKF14" i="5"/>
  <c r="AIZ14" i="5"/>
  <c r="AFP14" i="5"/>
  <c r="AES14" i="5"/>
  <c r="ADD14" i="5"/>
  <c r="AAP14" i="5"/>
  <c r="ZS14" i="5"/>
  <c r="YK14" i="5"/>
  <c r="UT14" i="5"/>
  <c r="TM14" i="5"/>
  <c r="SN14" i="5"/>
  <c r="RC14" i="5"/>
  <c r="QD14" i="5"/>
  <c r="OQ14" i="5"/>
  <c r="MN14" i="5"/>
  <c r="LC14" i="5"/>
  <c r="JR14" i="5"/>
  <c r="HQ14" i="5"/>
  <c r="EF14" i="5"/>
  <c r="Z14" i="5"/>
  <c r="BC3" i="5"/>
  <c r="CG3" i="5"/>
  <c r="DL3" i="5" s="1"/>
  <c r="AKD16" i="5"/>
  <c r="T37" i="5"/>
  <c r="T51" i="5" s="1"/>
  <c r="T53" i="5" s="1"/>
  <c r="U26" i="5"/>
  <c r="BC3" i="4"/>
  <c r="CG3" i="4"/>
  <c r="DL3" i="4" s="1"/>
  <c r="BC2" i="2"/>
  <c r="CG2" i="2"/>
  <c r="DL2" i="2" s="1"/>
  <c r="BB3" i="1"/>
  <c r="CF3" i="1"/>
  <c r="DK3" i="1" s="1"/>
  <c r="BD3" i="3"/>
  <c r="CH3" i="3"/>
  <c r="DM3" i="3" s="1"/>
  <c r="T49" i="5"/>
  <c r="U46" i="5"/>
  <c r="AIW16" i="5"/>
  <c r="S51" i="5"/>
  <c r="S53" i="5" s="1"/>
  <c r="X48" i="5" l="1"/>
  <c r="OG42" i="5"/>
  <c r="OI42" i="5" s="1"/>
  <c r="OK42" i="5" s="1"/>
  <c r="OH42" i="5"/>
  <c r="OJ42" i="5" s="1"/>
  <c r="EV42" i="5"/>
  <c r="EX42" i="5" s="1"/>
  <c r="EZ42" i="5" s="1"/>
  <c r="FA42" i="5" s="1"/>
  <c r="EW42" i="5"/>
  <c r="EY42" i="5" s="1"/>
  <c r="W44" i="5"/>
  <c r="X40" i="5"/>
  <c r="AA38" i="5"/>
  <c r="NZ31" i="5"/>
  <c r="NY31" i="5"/>
  <c r="OA31" i="5" s="1"/>
  <c r="WW18" i="5"/>
  <c r="WV30" i="5"/>
  <c r="VS30" i="5"/>
  <c r="VT18" i="5"/>
  <c r="UM30" i="5"/>
  <c r="UN18" i="5"/>
  <c r="TG30" i="5"/>
  <c r="TH18" i="5"/>
  <c r="SC18" i="5"/>
  <c r="SB30" i="5"/>
  <c r="QV30" i="5"/>
  <c r="QW18" i="5"/>
  <c r="PQ30" i="5"/>
  <c r="PR18" i="5"/>
  <c r="OK30" i="5"/>
  <c r="OL18" i="5"/>
  <c r="FY30" i="5"/>
  <c r="FZ18" i="5"/>
  <c r="FB30" i="5"/>
  <c r="FC30" i="5" s="1"/>
  <c r="FE18" i="5" s="1"/>
  <c r="FC18" i="5"/>
  <c r="Y20" i="5"/>
  <c r="BL19" i="5"/>
  <c r="AER17" i="5"/>
  <c r="XF16" i="5"/>
  <c r="IQ16" i="5"/>
  <c r="GD16" i="5"/>
  <c r="EE16" i="5"/>
  <c r="VY15" i="5"/>
  <c r="SM15" i="5"/>
  <c r="AMP14" i="5"/>
  <c r="ALQ14" i="5"/>
  <c r="AKG14" i="5"/>
  <c r="AJA14" i="5"/>
  <c r="AFQ14" i="5"/>
  <c r="AET14" i="5"/>
  <c r="ADE14" i="5"/>
  <c r="AAQ14" i="5"/>
  <c r="ZT14" i="5"/>
  <c r="YM14" i="5"/>
  <c r="UU14" i="5"/>
  <c r="TN14" i="5"/>
  <c r="SO14" i="5"/>
  <c r="RD14" i="5"/>
  <c r="QE14" i="5"/>
  <c r="OR14" i="5"/>
  <c r="MO14" i="5"/>
  <c r="LD14" i="5"/>
  <c r="JS14" i="5"/>
  <c r="HR14" i="5"/>
  <c r="EG14" i="5"/>
  <c r="AA14" i="5"/>
  <c r="BD3" i="5"/>
  <c r="CH3" i="5"/>
  <c r="DM3" i="5" s="1"/>
  <c r="AKE16" i="5"/>
  <c r="U37" i="5"/>
  <c r="V26" i="5"/>
  <c r="BD3" i="4"/>
  <c r="CH3" i="4"/>
  <c r="DM3" i="4" s="1"/>
  <c r="BD2" i="2"/>
  <c r="CH2" i="2"/>
  <c r="DM2" i="2" s="1"/>
  <c r="BC3" i="1"/>
  <c r="CG3" i="1"/>
  <c r="DL3" i="1" s="1"/>
  <c r="BE3" i="3"/>
  <c r="CI3" i="3"/>
  <c r="DN3" i="3" s="1"/>
  <c r="U49" i="5"/>
  <c r="V46" i="5"/>
  <c r="Y48" i="5" l="1"/>
  <c r="OL42" i="5"/>
  <c r="ON42" i="5" s="1"/>
  <c r="OP42" i="5" s="1"/>
  <c r="OR42" i="5" s="1"/>
  <c r="OT42" i="5" s="1"/>
  <c r="OU42" i="5" s="1"/>
  <c r="OW42" i="5" s="1"/>
  <c r="OM42" i="5"/>
  <c r="OO42" i="5" s="1"/>
  <c r="OQ42" i="5" s="1"/>
  <c r="OS42" i="5" s="1"/>
  <c r="FB42" i="5"/>
  <c r="FC42" i="5"/>
  <c r="FE42" i="5" s="1"/>
  <c r="X44" i="5"/>
  <c r="Y40" i="5"/>
  <c r="AB38" i="5"/>
  <c r="OB31" i="5"/>
  <c r="OD31" i="5" s="1"/>
  <c r="OF31" i="5" s="1"/>
  <c r="OH31" i="5" s="1"/>
  <c r="OI31" i="5" s="1"/>
  <c r="OC31" i="5"/>
  <c r="OE31" i="5" s="1"/>
  <c r="OG31" i="5" s="1"/>
  <c r="WW30" i="5"/>
  <c r="WX30" i="5" s="1"/>
  <c r="WY30" i="5" s="1"/>
  <c r="WZ30" i="5" s="1"/>
  <c r="XA30" i="5" s="1"/>
  <c r="XB30" i="5" s="1"/>
  <c r="XC30" i="5" s="1"/>
  <c r="XD30" i="5" s="1"/>
  <c r="XE30" i="5" s="1"/>
  <c r="XF30" i="5" s="1"/>
  <c r="XH18" i="5" s="1"/>
  <c r="XI18" i="5" s="1"/>
  <c r="XJ18" i="5" s="1"/>
  <c r="XK18" i="5" s="1"/>
  <c r="XL18" i="5" s="1"/>
  <c r="XM18" i="5" s="1"/>
  <c r="XN18" i="5" s="1"/>
  <c r="XO18" i="5" s="1"/>
  <c r="WX18" i="5"/>
  <c r="VT30" i="5"/>
  <c r="VU18" i="5"/>
  <c r="UN30" i="5"/>
  <c r="UO18" i="5"/>
  <c r="TI18" i="5"/>
  <c r="TH30" i="5"/>
  <c r="SC30" i="5"/>
  <c r="SD18" i="5"/>
  <c r="QW30" i="5"/>
  <c r="QX18" i="5"/>
  <c r="PR30" i="5"/>
  <c r="PS18" i="5"/>
  <c r="OL30" i="5"/>
  <c r="OM18" i="5"/>
  <c r="GA18" i="5"/>
  <c r="FZ30" i="5"/>
  <c r="Z20" i="5"/>
  <c r="BM19" i="5"/>
  <c r="AES17" i="5"/>
  <c r="XH16" i="5"/>
  <c r="IR16" i="5"/>
  <c r="GE16" i="5"/>
  <c r="EF16" i="5"/>
  <c r="VZ15" i="5"/>
  <c r="SN15" i="5"/>
  <c r="AMQ14" i="5"/>
  <c r="ALR14" i="5"/>
  <c r="AKH14" i="5"/>
  <c r="AJB14" i="5"/>
  <c r="AFR14" i="5"/>
  <c r="ADF14" i="5"/>
  <c r="AAR14" i="5"/>
  <c r="YN14" i="5"/>
  <c r="UV14" i="5"/>
  <c r="TO14" i="5"/>
  <c r="SP14" i="5"/>
  <c r="RE14" i="5"/>
  <c r="QF14" i="5"/>
  <c r="OS14" i="5"/>
  <c r="MP14" i="5"/>
  <c r="LF14" i="5"/>
  <c r="JT14" i="5"/>
  <c r="HS14" i="5"/>
  <c r="EH14" i="5"/>
  <c r="AB14" i="5"/>
  <c r="BE3" i="5"/>
  <c r="CI3" i="5"/>
  <c r="DN3" i="5" s="1"/>
  <c r="AKF16" i="5"/>
  <c r="V37" i="5"/>
  <c r="W26" i="5"/>
  <c r="BE3" i="4"/>
  <c r="CI3" i="4"/>
  <c r="DN3" i="4" s="1"/>
  <c r="BE2" i="2"/>
  <c r="CI2" i="2"/>
  <c r="DN2" i="2" s="1"/>
  <c r="BD3" i="1"/>
  <c r="CH3" i="1"/>
  <c r="DM3" i="1" s="1"/>
  <c r="CJ3" i="3"/>
  <c r="DO3" i="3" s="1"/>
  <c r="BF3" i="3"/>
  <c r="V49" i="5"/>
  <c r="W46" i="5"/>
  <c r="U51" i="5"/>
  <c r="U53" i="5" s="1"/>
  <c r="Z48" i="5" l="1"/>
  <c r="OX42" i="5"/>
  <c r="OZ42" i="5" s="1"/>
  <c r="OY42" i="5"/>
  <c r="FF42" i="5"/>
  <c r="FG42" i="5"/>
  <c r="Y44" i="5"/>
  <c r="Z40" i="5"/>
  <c r="AC38" i="5"/>
  <c r="OJ31" i="5"/>
  <c r="OL31" i="5" s="1"/>
  <c r="ON31" i="5" s="1"/>
  <c r="OP31" i="5" s="1"/>
  <c r="OR31" i="5" s="1"/>
  <c r="OT31" i="5" s="1"/>
  <c r="OK31" i="5"/>
  <c r="OM31" i="5" s="1"/>
  <c r="OO31" i="5" s="1"/>
  <c r="OQ31" i="5" s="1"/>
  <c r="OS31" i="5" s="1"/>
  <c r="OU31" i="5" s="1"/>
  <c r="OW31" i="5" s="1"/>
  <c r="OX31" i="5" s="1"/>
  <c r="OY31" i="5" s="1"/>
  <c r="VU30" i="5"/>
  <c r="VV18" i="5"/>
  <c r="UP18" i="5"/>
  <c r="UO30" i="5"/>
  <c r="TI30" i="5"/>
  <c r="TJ18" i="5"/>
  <c r="SD30" i="5"/>
  <c r="SE18" i="5"/>
  <c r="QY18" i="5"/>
  <c r="QX30" i="5"/>
  <c r="PS30" i="5"/>
  <c r="PT18" i="5"/>
  <c r="OM30" i="5"/>
  <c r="ON18" i="5"/>
  <c r="GA30" i="5"/>
  <c r="GB18" i="5"/>
  <c r="AA20" i="5"/>
  <c r="BN19" i="5"/>
  <c r="AET17" i="5"/>
  <c r="XI16" i="5"/>
  <c r="IS16" i="5"/>
  <c r="GF16" i="5"/>
  <c r="EG16" i="5"/>
  <c r="SO15" i="5"/>
  <c r="AMR14" i="5"/>
  <c r="ALS14" i="5"/>
  <c r="AKI14" i="5"/>
  <c r="AJC14" i="5"/>
  <c r="AFS14" i="5"/>
  <c r="ADG14" i="5"/>
  <c r="AAS14" i="5"/>
  <c r="YO14" i="5"/>
  <c r="UW14" i="5"/>
  <c r="TP14" i="5"/>
  <c r="SQ14" i="5"/>
  <c r="RF14" i="5"/>
  <c r="QG14" i="5"/>
  <c r="OT14" i="5"/>
  <c r="MQ14" i="5"/>
  <c r="LG14" i="5"/>
  <c r="JU14" i="5"/>
  <c r="HT14" i="5"/>
  <c r="AC14" i="5"/>
  <c r="BF3" i="5"/>
  <c r="CJ3" i="5"/>
  <c r="DO3" i="5" s="1"/>
  <c r="AKG16" i="5"/>
  <c r="W37" i="5"/>
  <c r="X26" i="5"/>
  <c r="BF3" i="4"/>
  <c r="CJ3" i="4"/>
  <c r="DO3" i="4" s="1"/>
  <c r="BF2" i="2"/>
  <c r="CJ2" i="2"/>
  <c r="DO2" i="2" s="1"/>
  <c r="BE3" i="1"/>
  <c r="CI3" i="1"/>
  <c r="DN3" i="1" s="1"/>
  <c r="BG3" i="3"/>
  <c r="CK3" i="3"/>
  <c r="DP3" i="3" s="1"/>
  <c r="W49" i="5"/>
  <c r="X46" i="5"/>
  <c r="V51" i="5"/>
  <c r="V53" i="5" s="1"/>
  <c r="AA48" i="5" l="1"/>
  <c r="PA42" i="5"/>
  <c r="PB42" i="5"/>
  <c r="Z44" i="5"/>
  <c r="AA40" i="5"/>
  <c r="AD38" i="5"/>
  <c r="OZ31" i="5"/>
  <c r="PB31" i="5" s="1"/>
  <c r="PA31" i="5"/>
  <c r="PC31" i="5" s="1"/>
  <c r="PD31" i="5" s="1"/>
  <c r="VW18" i="5"/>
  <c r="VV30" i="5"/>
  <c r="UP30" i="5"/>
  <c r="UQ18" i="5"/>
  <c r="TJ30" i="5"/>
  <c r="TK18" i="5"/>
  <c r="SF18" i="5"/>
  <c r="SE30" i="5"/>
  <c r="QY30" i="5"/>
  <c r="QZ18" i="5"/>
  <c r="PT30" i="5"/>
  <c r="PU18" i="5"/>
  <c r="ON30" i="5"/>
  <c r="OO18" i="5"/>
  <c r="GC18" i="5"/>
  <c r="GB30" i="5"/>
  <c r="AB20" i="5"/>
  <c r="BO19" i="5"/>
  <c r="XJ16" i="5"/>
  <c r="IU16" i="5"/>
  <c r="GG16" i="5"/>
  <c r="EH16" i="5"/>
  <c r="SP15" i="5"/>
  <c r="AMS14" i="5"/>
  <c r="AKJ14" i="5"/>
  <c r="AJD14" i="5"/>
  <c r="ADH14" i="5"/>
  <c r="AAT14" i="5"/>
  <c r="YP14" i="5"/>
  <c r="UY14" i="5"/>
  <c r="TQ14" i="5"/>
  <c r="RH14" i="5"/>
  <c r="OU14" i="5"/>
  <c r="MR14" i="5"/>
  <c r="LH14" i="5"/>
  <c r="JV14" i="5"/>
  <c r="AD14" i="5"/>
  <c r="BG3" i="5"/>
  <c r="CK3" i="5"/>
  <c r="DP3" i="5" s="1"/>
  <c r="AKH16" i="5"/>
  <c r="X37" i="5"/>
  <c r="Y26" i="5"/>
  <c r="BG3" i="4"/>
  <c r="CK3" i="4"/>
  <c r="DP3" i="4" s="1"/>
  <c r="BG2" i="2"/>
  <c r="CK2" i="2"/>
  <c r="DP2" i="2" s="1"/>
  <c r="BF3" i="1"/>
  <c r="CJ3" i="1"/>
  <c r="DO3" i="1" s="1"/>
  <c r="BH3" i="3"/>
  <c r="CL3" i="3"/>
  <c r="DQ3" i="3" s="1"/>
  <c r="X49" i="5"/>
  <c r="Y46" i="5"/>
  <c r="W51" i="5"/>
  <c r="W53" i="5" s="1"/>
  <c r="AB48" i="5" l="1"/>
  <c r="PC42" i="5"/>
  <c r="PE42" i="5" s="1"/>
  <c r="PG42" i="5" s="1"/>
  <c r="PH42" i="5" s="1"/>
  <c r="PD42" i="5"/>
  <c r="PF42" i="5" s="1"/>
  <c r="AA44" i="5"/>
  <c r="AB40" i="5"/>
  <c r="AE38" i="5"/>
  <c r="PE31" i="5"/>
  <c r="PG31" i="5" s="1"/>
  <c r="PI31" i="5" s="1"/>
  <c r="PK31" i="5" s="1"/>
  <c r="PM31" i="5" s="1"/>
  <c r="PO31" i="5" s="1"/>
  <c r="PQ31" i="5" s="1"/>
  <c r="PF31" i="5"/>
  <c r="PH31" i="5" s="1"/>
  <c r="PJ31" i="5" s="1"/>
  <c r="PL31" i="5" s="1"/>
  <c r="PN31" i="5" s="1"/>
  <c r="PP31" i="5" s="1"/>
  <c r="VW30" i="5"/>
  <c r="VX18" i="5"/>
  <c r="UQ30" i="5"/>
  <c r="UR18" i="5"/>
  <c r="TK30" i="5"/>
  <c r="TL18" i="5"/>
  <c r="SF30" i="5"/>
  <c r="SG18" i="5"/>
  <c r="QZ30" i="5"/>
  <c r="RA18" i="5"/>
  <c r="PU30" i="5"/>
  <c r="PV18" i="5"/>
  <c r="OP18" i="5"/>
  <c r="OO30" i="5"/>
  <c r="GC30" i="5"/>
  <c r="GD18" i="5"/>
  <c r="AC20" i="5"/>
  <c r="BP19" i="5"/>
  <c r="XK16" i="5"/>
  <c r="IV16" i="5"/>
  <c r="GH16" i="5"/>
  <c r="SQ15" i="5"/>
  <c r="AMT14" i="5"/>
  <c r="AKK14" i="5"/>
  <c r="AJE14" i="5"/>
  <c r="AAU14" i="5"/>
  <c r="YQ14" i="5"/>
  <c r="UZ14" i="5"/>
  <c r="TS14" i="5"/>
  <c r="RI14" i="5"/>
  <c r="OW14" i="5"/>
  <c r="MS14" i="5"/>
  <c r="LI14" i="5"/>
  <c r="JW14" i="5"/>
  <c r="AE14" i="5"/>
  <c r="BH3" i="5"/>
  <c r="CL3" i="5"/>
  <c r="DQ3" i="5" s="1"/>
  <c r="AKI16" i="5"/>
  <c r="Y37" i="5"/>
  <c r="Z26" i="5"/>
  <c r="BH3" i="4"/>
  <c r="CL3" i="4"/>
  <c r="DQ3" i="4" s="1"/>
  <c r="BH2" i="2"/>
  <c r="CL2" i="2"/>
  <c r="DQ2" i="2" s="1"/>
  <c r="BG3" i="1"/>
  <c r="CK3" i="1"/>
  <c r="DP3" i="1" s="1"/>
  <c r="BI3" i="3"/>
  <c r="CM3" i="3"/>
  <c r="DR3" i="3" s="1"/>
  <c r="Y49" i="5"/>
  <c r="Z46" i="5"/>
  <c r="X51" i="5"/>
  <c r="X53" i="5" s="1"/>
  <c r="AC48" i="5" l="1"/>
  <c r="PI42" i="5"/>
  <c r="PJ42" i="5"/>
  <c r="AB44" i="5"/>
  <c r="AC40" i="5"/>
  <c r="AF38" i="5"/>
  <c r="PS31" i="5"/>
  <c r="PT31" i="5" s="1"/>
  <c r="PR31" i="5"/>
  <c r="VX30" i="5"/>
  <c r="VY18" i="5"/>
  <c r="UR30" i="5"/>
  <c r="US18" i="5"/>
  <c r="TL30" i="5"/>
  <c r="TM18" i="5"/>
  <c r="SG30" i="5"/>
  <c r="SH18" i="5"/>
  <c r="RA30" i="5"/>
  <c r="RB18" i="5"/>
  <c r="PV30" i="5"/>
  <c r="PW18" i="5"/>
  <c r="OP30" i="5"/>
  <c r="OQ18" i="5"/>
  <c r="GD30" i="5"/>
  <c r="GE18" i="5"/>
  <c r="AD20" i="5"/>
  <c r="BQ19" i="5"/>
  <c r="XL16" i="5"/>
  <c r="GI16" i="5"/>
  <c r="AMU14" i="5"/>
  <c r="AKL14" i="5"/>
  <c r="AJF14" i="5"/>
  <c r="AAV14" i="5"/>
  <c r="YR14" i="5"/>
  <c r="VA14" i="5"/>
  <c r="TT14" i="5"/>
  <c r="RJ14" i="5"/>
  <c r="OX14" i="5"/>
  <c r="MT14" i="5"/>
  <c r="LJ14" i="5"/>
  <c r="JX14" i="5"/>
  <c r="AF14" i="5"/>
  <c r="BI3" i="5"/>
  <c r="CM3" i="5"/>
  <c r="DR3" i="5" s="1"/>
  <c r="AKJ16" i="5"/>
  <c r="Z37" i="5"/>
  <c r="AA26" i="5"/>
  <c r="BI3" i="4"/>
  <c r="CM3" i="4"/>
  <c r="DR3" i="4" s="1"/>
  <c r="BI2" i="2"/>
  <c r="CM2" i="2"/>
  <c r="DR2" i="2" s="1"/>
  <c r="BH3" i="1"/>
  <c r="CL3" i="1"/>
  <c r="DQ3" i="1" s="1"/>
  <c r="CN3" i="3"/>
  <c r="DS3" i="3" s="1"/>
  <c r="BJ3" i="3"/>
  <c r="Z49" i="5"/>
  <c r="AA46" i="5"/>
  <c r="Y51" i="5"/>
  <c r="Y53" i="5" s="1"/>
  <c r="AD48" i="5" l="1"/>
  <c r="PK42" i="5"/>
  <c r="PM42" i="5" s="1"/>
  <c r="PL42" i="5"/>
  <c r="PN42" i="5" s="1"/>
  <c r="AC44" i="5"/>
  <c r="AD40" i="5"/>
  <c r="AG38" i="5"/>
  <c r="PU31" i="5"/>
  <c r="PV31" i="5"/>
  <c r="VY30" i="5"/>
  <c r="VZ30" i="5" s="1"/>
  <c r="WB18" i="5" s="1"/>
  <c r="VZ18" i="5"/>
  <c r="US30" i="5"/>
  <c r="UT18" i="5"/>
  <c r="TM30" i="5"/>
  <c r="TN18" i="5"/>
  <c r="SH30" i="5"/>
  <c r="SI18" i="5"/>
  <c r="RB30" i="5"/>
  <c r="RC18" i="5"/>
  <c r="PW30" i="5"/>
  <c r="PX18" i="5"/>
  <c r="OR18" i="5"/>
  <c r="OQ30" i="5"/>
  <c r="GE30" i="5"/>
  <c r="GF18" i="5"/>
  <c r="AE20" i="5"/>
  <c r="BR19" i="5"/>
  <c r="XM16" i="5"/>
  <c r="GK16" i="5"/>
  <c r="AMV14" i="5"/>
  <c r="AKM14" i="5"/>
  <c r="AJG14" i="5"/>
  <c r="AAX14" i="5"/>
  <c r="YS14" i="5"/>
  <c r="VB14" i="5"/>
  <c r="TU14" i="5"/>
  <c r="RK14" i="5"/>
  <c r="OY14" i="5"/>
  <c r="MU14" i="5"/>
  <c r="LK14" i="5"/>
  <c r="AG14" i="5"/>
  <c r="BJ3" i="5"/>
  <c r="CN3" i="5"/>
  <c r="DS3" i="5" s="1"/>
  <c r="AKK16" i="5"/>
  <c r="AA37" i="5"/>
  <c r="AB26" i="5"/>
  <c r="BJ3" i="4"/>
  <c r="CN3" i="4"/>
  <c r="DS3" i="4" s="1"/>
  <c r="BJ2" i="2"/>
  <c r="CN2" i="2"/>
  <c r="DS2" i="2" s="1"/>
  <c r="BI3" i="1"/>
  <c r="CM3" i="1"/>
  <c r="DR3" i="1" s="1"/>
  <c r="CO3" i="3"/>
  <c r="DT3" i="3" s="1"/>
  <c r="BK3" i="3"/>
  <c r="AA49" i="5"/>
  <c r="AB46" i="5"/>
  <c r="Z51" i="5"/>
  <c r="Z53" i="5" s="1"/>
  <c r="AE48" i="5" l="1"/>
  <c r="PO42" i="5"/>
  <c r="PQ42" i="5" s="1"/>
  <c r="PP42" i="5"/>
  <c r="AD44" i="5"/>
  <c r="AE40" i="5"/>
  <c r="AH38" i="5"/>
  <c r="AI38" i="5"/>
  <c r="PX31" i="5"/>
  <c r="PW31" i="5"/>
  <c r="UU18" i="5"/>
  <c r="UT30" i="5"/>
  <c r="TN30" i="5"/>
  <c r="TO18" i="5"/>
  <c r="SJ18" i="5"/>
  <c r="SI30" i="5"/>
  <c r="RC30" i="5"/>
  <c r="RD18" i="5"/>
  <c r="PX30" i="5"/>
  <c r="PY18" i="5"/>
  <c r="OR30" i="5"/>
  <c r="OS18" i="5"/>
  <c r="GF30" i="5"/>
  <c r="GG18" i="5"/>
  <c r="AF20" i="5"/>
  <c r="BS19" i="5"/>
  <c r="XN16" i="5"/>
  <c r="GL16" i="5"/>
  <c r="AMW14" i="5"/>
  <c r="AJH14" i="5"/>
  <c r="AAY14" i="5"/>
  <c r="YT14" i="5"/>
  <c r="VC14" i="5"/>
  <c r="TV14" i="5"/>
  <c r="RL14" i="5"/>
  <c r="OZ14" i="5"/>
  <c r="MV14" i="5"/>
  <c r="LL14" i="5"/>
  <c r="AH14" i="5"/>
  <c r="BK3" i="5"/>
  <c r="CO3" i="5"/>
  <c r="DT3" i="5" s="1"/>
  <c r="AB37" i="5"/>
  <c r="AC26" i="5"/>
  <c r="BK3" i="4"/>
  <c r="CO3" i="4"/>
  <c r="DT3" i="4" s="1"/>
  <c r="BK2" i="2"/>
  <c r="CO2" i="2"/>
  <c r="DT2" i="2" s="1"/>
  <c r="BJ3" i="1"/>
  <c r="CN3" i="1"/>
  <c r="DS3" i="1" s="1"/>
  <c r="CP3" i="3"/>
  <c r="DU3" i="3" s="1"/>
  <c r="BL3" i="3"/>
  <c r="AB49" i="5"/>
  <c r="AC46" i="5"/>
  <c r="AA51" i="5"/>
  <c r="AA53" i="5" s="1"/>
  <c r="AF48" i="5" l="1"/>
  <c r="PR42" i="5"/>
  <c r="PT42" i="5" s="1"/>
  <c r="PS42" i="5"/>
  <c r="PU42" i="5" s="1"/>
  <c r="AE44" i="5"/>
  <c r="AF40" i="5"/>
  <c r="AJ38" i="5"/>
  <c r="PY31" i="5"/>
  <c r="PZ31" i="5"/>
  <c r="QB31" i="5" s="1"/>
  <c r="QC31" i="5" s="1"/>
  <c r="QD31" i="5" s="1"/>
  <c r="QE31" i="5" s="1"/>
  <c r="QF31" i="5" s="1"/>
  <c r="QG31" i="5" s="1"/>
  <c r="QH31" i="5" s="1"/>
  <c r="QI31" i="5" s="1"/>
  <c r="QJ31" i="5" s="1"/>
  <c r="QK31" i="5" s="1"/>
  <c r="QL31" i="5" s="1"/>
  <c r="QM31" i="5" s="1"/>
  <c r="QN31" i="5" s="1"/>
  <c r="QO31" i="5" s="1"/>
  <c r="QP31" i="5" s="1"/>
  <c r="QQ31" i="5" s="1"/>
  <c r="QR31" i="5" s="1"/>
  <c r="QS31" i="5" s="1"/>
  <c r="QT31" i="5" s="1"/>
  <c r="QU31" i="5" s="1"/>
  <c r="QV31" i="5" s="1"/>
  <c r="QW31" i="5" s="1"/>
  <c r="QX31" i="5" s="1"/>
  <c r="QY31" i="5" s="1"/>
  <c r="QZ31" i="5" s="1"/>
  <c r="RA31" i="5" s="1"/>
  <c r="RB31" i="5" s="1"/>
  <c r="RC31" i="5" s="1"/>
  <c r="RD31" i="5" s="1"/>
  <c r="RE31" i="5" s="1"/>
  <c r="RF31" i="5" s="1"/>
  <c r="RH31" i="5" s="1"/>
  <c r="RI31" i="5" s="1"/>
  <c r="RJ31" i="5" s="1"/>
  <c r="RK31" i="5" s="1"/>
  <c r="RL31" i="5" s="1"/>
  <c r="RM31" i="5" s="1"/>
  <c r="RN31" i="5" s="1"/>
  <c r="RO31" i="5" s="1"/>
  <c r="RP31" i="5" s="1"/>
  <c r="RQ31" i="5" s="1"/>
  <c r="RR31" i="5" s="1"/>
  <c r="RS31" i="5" s="1"/>
  <c r="RT31" i="5" s="1"/>
  <c r="RU31" i="5" s="1"/>
  <c r="RV31" i="5" s="1"/>
  <c r="RW31" i="5" s="1"/>
  <c r="RX31" i="5" s="1"/>
  <c r="RY31" i="5" s="1"/>
  <c r="RZ31" i="5" s="1"/>
  <c r="SA31" i="5" s="1"/>
  <c r="SB31" i="5" s="1"/>
  <c r="SC31" i="5" s="1"/>
  <c r="SD31" i="5" s="1"/>
  <c r="SE31" i="5" s="1"/>
  <c r="SF31" i="5" s="1"/>
  <c r="SG31" i="5" s="1"/>
  <c r="SH31" i="5" s="1"/>
  <c r="SI31" i="5" s="1"/>
  <c r="SJ31" i="5" s="1"/>
  <c r="SK31" i="5" s="1"/>
  <c r="SM31" i="5" s="1"/>
  <c r="SN31" i="5" s="1"/>
  <c r="SO31" i="5" s="1"/>
  <c r="SP31" i="5" s="1"/>
  <c r="SQ31" i="5" s="1"/>
  <c r="SR31" i="5" s="1"/>
  <c r="SS31" i="5" s="1"/>
  <c r="ST31" i="5" s="1"/>
  <c r="SU31" i="5" s="1"/>
  <c r="SV31" i="5" s="1"/>
  <c r="SW31" i="5" s="1"/>
  <c r="SX31" i="5" s="1"/>
  <c r="SY31" i="5" s="1"/>
  <c r="SZ31" i="5" s="1"/>
  <c r="TA31" i="5" s="1"/>
  <c r="TB31" i="5" s="1"/>
  <c r="TC31" i="5" s="1"/>
  <c r="TD31" i="5" s="1"/>
  <c r="TE31" i="5" s="1"/>
  <c r="TF31" i="5" s="1"/>
  <c r="TG31" i="5" s="1"/>
  <c r="TH31" i="5" s="1"/>
  <c r="TI31" i="5" s="1"/>
  <c r="TJ31" i="5" s="1"/>
  <c r="TK31" i="5" s="1"/>
  <c r="TL31" i="5" s="1"/>
  <c r="TM31" i="5" s="1"/>
  <c r="TN31" i="5" s="1"/>
  <c r="TO31" i="5" s="1"/>
  <c r="TP31" i="5" s="1"/>
  <c r="TQ31" i="5" s="1"/>
  <c r="TS31" i="5" s="1"/>
  <c r="TT31" i="5" s="1"/>
  <c r="TU31" i="5" s="1"/>
  <c r="TV31" i="5" s="1"/>
  <c r="TW31" i="5" s="1"/>
  <c r="TX31" i="5" s="1"/>
  <c r="TY31" i="5" s="1"/>
  <c r="TZ31" i="5" s="1"/>
  <c r="UA31" i="5" s="1"/>
  <c r="UB31" i="5" s="1"/>
  <c r="UC31" i="5" s="1"/>
  <c r="UD31" i="5" s="1"/>
  <c r="UE31" i="5" s="1"/>
  <c r="UF31" i="5" s="1"/>
  <c r="UG31" i="5" s="1"/>
  <c r="UH31" i="5" s="1"/>
  <c r="UI31" i="5" s="1"/>
  <c r="UJ31" i="5" s="1"/>
  <c r="UK31" i="5" s="1"/>
  <c r="UL31" i="5" s="1"/>
  <c r="UM31" i="5" s="1"/>
  <c r="UN31" i="5" s="1"/>
  <c r="UO31" i="5" s="1"/>
  <c r="UP31" i="5" s="1"/>
  <c r="UQ31" i="5" s="1"/>
  <c r="UR31" i="5" s="1"/>
  <c r="US31" i="5" s="1"/>
  <c r="UT31" i="5" s="1"/>
  <c r="UU31" i="5" s="1"/>
  <c r="UV31" i="5" s="1"/>
  <c r="UW31" i="5" s="1"/>
  <c r="UY31" i="5" s="1"/>
  <c r="UU30" i="5"/>
  <c r="UV18" i="5"/>
  <c r="TO30" i="5"/>
  <c r="TP18" i="5"/>
  <c r="SJ30" i="5"/>
  <c r="SK30" i="5" s="1"/>
  <c r="SM18" i="5" s="1"/>
  <c r="SK18" i="5"/>
  <c r="RE18" i="5"/>
  <c r="RD30" i="5"/>
  <c r="PY30" i="5"/>
  <c r="PZ30" i="5" s="1"/>
  <c r="QB18" i="5" s="1"/>
  <c r="PZ18" i="5"/>
  <c r="OT18" i="5"/>
  <c r="OS30" i="5"/>
  <c r="GG30" i="5"/>
  <c r="GH18" i="5"/>
  <c r="AG20" i="5"/>
  <c r="BT19" i="5"/>
  <c r="XO16" i="5"/>
  <c r="GM16" i="5"/>
  <c r="AMX14" i="5"/>
  <c r="AJI14" i="5"/>
  <c r="AAZ14" i="5"/>
  <c r="YU14" i="5"/>
  <c r="VD14" i="5"/>
  <c r="TW14" i="5"/>
  <c r="RM14" i="5"/>
  <c r="PA14" i="5"/>
  <c r="MW14" i="5"/>
  <c r="LM14" i="5"/>
  <c r="BL3" i="5"/>
  <c r="CQ3" i="5" s="1"/>
  <c r="DV3" i="5" s="1"/>
  <c r="CP3" i="5"/>
  <c r="DU3" i="5" s="1"/>
  <c r="AC37" i="5"/>
  <c r="AD26" i="5"/>
  <c r="BL3" i="4"/>
  <c r="CQ3" i="4" s="1"/>
  <c r="DV3" i="4" s="1"/>
  <c r="CP3" i="4"/>
  <c r="DU3" i="4" s="1"/>
  <c r="BL2" i="2"/>
  <c r="CQ2" i="2" s="1"/>
  <c r="DV2" i="2" s="1"/>
  <c r="CP2" i="2"/>
  <c r="DU2" i="2" s="1"/>
  <c r="BK3" i="1"/>
  <c r="CP3" i="1" s="1"/>
  <c r="DU3" i="1" s="1"/>
  <c r="CO3" i="1"/>
  <c r="DT3" i="1" s="1"/>
  <c r="CQ3" i="3"/>
  <c r="DV3" i="3" s="1"/>
  <c r="BM3" i="3"/>
  <c r="CR3" i="3" s="1"/>
  <c r="DW3" i="3" s="1"/>
  <c r="AC49" i="5"/>
  <c r="AD46" i="5"/>
  <c r="AB51" i="5"/>
  <c r="AB53" i="5" s="1"/>
  <c r="AG48" i="5" l="1"/>
  <c r="PV42" i="5"/>
  <c r="PX42" i="5" s="1"/>
  <c r="PW42" i="5"/>
  <c r="AF44" i="5"/>
  <c r="AG40" i="5"/>
  <c r="AK38" i="5"/>
  <c r="AL38" i="5"/>
  <c r="VA31" i="5"/>
  <c r="VC31" i="5" s="1"/>
  <c r="VE31" i="5" s="1"/>
  <c r="VG31" i="5" s="1"/>
  <c r="VI31" i="5" s="1"/>
  <c r="VK31" i="5" s="1"/>
  <c r="VM31" i="5" s="1"/>
  <c r="VO31" i="5" s="1"/>
  <c r="VQ31" i="5" s="1"/>
  <c r="VS31" i="5" s="1"/>
  <c r="VU31" i="5" s="1"/>
  <c r="VW31" i="5" s="1"/>
  <c r="VY31" i="5" s="1"/>
  <c r="UZ31" i="5"/>
  <c r="VB31" i="5" s="1"/>
  <c r="VD31" i="5" s="1"/>
  <c r="VF31" i="5" s="1"/>
  <c r="VH31" i="5" s="1"/>
  <c r="VJ31" i="5" s="1"/>
  <c r="VL31" i="5" s="1"/>
  <c r="VN31" i="5" s="1"/>
  <c r="VP31" i="5" s="1"/>
  <c r="VR31" i="5" s="1"/>
  <c r="VT31" i="5" s="1"/>
  <c r="VV31" i="5" s="1"/>
  <c r="VX31" i="5" s="1"/>
  <c r="VZ31" i="5" s="1"/>
  <c r="WB31" i="5" s="1"/>
  <c r="UW18" i="5"/>
  <c r="UV30" i="5"/>
  <c r="UW30" i="5" s="1"/>
  <c r="UY18" i="5" s="1"/>
  <c r="TP30" i="5"/>
  <c r="TQ30" i="5" s="1"/>
  <c r="TS18" i="5" s="1"/>
  <c r="TQ18" i="5"/>
  <c r="RE30" i="5"/>
  <c r="RF30" i="5" s="1"/>
  <c r="RH18" i="5" s="1"/>
  <c r="RF18" i="5"/>
  <c r="OT30" i="5"/>
  <c r="OU30" i="5" s="1"/>
  <c r="OW18" i="5" s="1"/>
  <c r="OU18" i="5"/>
  <c r="GH30" i="5"/>
  <c r="GI30" i="5" s="1"/>
  <c r="GI18" i="5"/>
  <c r="AH20" i="5"/>
  <c r="AI20" i="5"/>
  <c r="AJ20" i="5" s="1"/>
  <c r="AK20" i="5" s="1"/>
  <c r="AL20" i="5" s="1"/>
  <c r="AM20" i="5" s="1"/>
  <c r="AN20" i="5" s="1"/>
  <c r="AO20" i="5" s="1"/>
  <c r="AP20" i="5" s="1"/>
  <c r="AQ20" i="5" s="1"/>
  <c r="AR20" i="5" s="1"/>
  <c r="AS20" i="5" s="1"/>
  <c r="BU19" i="5"/>
  <c r="GN16" i="5"/>
  <c r="AJJ14" i="5"/>
  <c r="ABA14" i="5"/>
  <c r="YV14" i="5"/>
  <c r="TX14" i="5"/>
  <c r="RN14" i="5"/>
  <c r="PB14" i="5"/>
  <c r="MX14" i="5"/>
  <c r="LN14" i="5"/>
  <c r="AD37" i="5"/>
  <c r="AE26" i="5"/>
  <c r="AD49" i="5"/>
  <c r="AE46" i="5"/>
  <c r="AC51" i="5"/>
  <c r="AC53" i="5" s="1"/>
  <c r="AH48" i="5" l="1"/>
  <c r="AI48" i="5"/>
  <c r="PY42" i="5"/>
  <c r="PZ42" i="5"/>
  <c r="QB42" i="5" s="1"/>
  <c r="QC42" i="5" s="1"/>
  <c r="QD42" i="5" s="1"/>
  <c r="QE42" i="5" s="1"/>
  <c r="QF42" i="5" s="1"/>
  <c r="QG42" i="5" s="1"/>
  <c r="QH42" i="5" s="1"/>
  <c r="QI42" i="5" s="1"/>
  <c r="QJ42" i="5" s="1"/>
  <c r="QK42" i="5" s="1"/>
  <c r="QL42" i="5" s="1"/>
  <c r="QM42" i="5" s="1"/>
  <c r="QN42" i="5" s="1"/>
  <c r="QO42" i="5" s="1"/>
  <c r="QP42" i="5" s="1"/>
  <c r="QQ42" i="5" s="1"/>
  <c r="QR42" i="5" s="1"/>
  <c r="QS42" i="5" s="1"/>
  <c r="QT42" i="5" s="1"/>
  <c r="QU42" i="5" s="1"/>
  <c r="QV42" i="5" s="1"/>
  <c r="QW42" i="5" s="1"/>
  <c r="QX42" i="5" s="1"/>
  <c r="QY42" i="5" s="1"/>
  <c r="QZ42" i="5" s="1"/>
  <c r="RA42" i="5" s="1"/>
  <c r="RB42" i="5" s="1"/>
  <c r="RC42" i="5" s="1"/>
  <c r="RD42" i="5" s="1"/>
  <c r="RE42" i="5" s="1"/>
  <c r="RF42" i="5" s="1"/>
  <c r="RH42" i="5" s="1"/>
  <c r="RI42" i="5" s="1"/>
  <c r="RJ42" i="5" s="1"/>
  <c r="RK42" i="5" s="1"/>
  <c r="RL42" i="5" s="1"/>
  <c r="RM42" i="5" s="1"/>
  <c r="RN42" i="5" s="1"/>
  <c r="RO42" i="5" s="1"/>
  <c r="RP42" i="5" s="1"/>
  <c r="RQ42" i="5" s="1"/>
  <c r="RR42" i="5" s="1"/>
  <c r="RS42" i="5" s="1"/>
  <c r="RT42" i="5" s="1"/>
  <c r="RU42" i="5" s="1"/>
  <c r="RV42" i="5" s="1"/>
  <c r="RW42" i="5" s="1"/>
  <c r="RX42" i="5" s="1"/>
  <c r="RY42" i="5" s="1"/>
  <c r="RZ42" i="5" s="1"/>
  <c r="SA42" i="5" s="1"/>
  <c r="SB42" i="5" s="1"/>
  <c r="SC42" i="5" s="1"/>
  <c r="SD42" i="5" s="1"/>
  <c r="SE42" i="5" s="1"/>
  <c r="SF42" i="5" s="1"/>
  <c r="SG42" i="5" s="1"/>
  <c r="SH42" i="5" s="1"/>
  <c r="SI42" i="5" s="1"/>
  <c r="SJ42" i="5" s="1"/>
  <c r="SK42" i="5" s="1"/>
  <c r="SM42" i="5" s="1"/>
  <c r="SN42" i="5" s="1"/>
  <c r="SO42" i="5" s="1"/>
  <c r="SP42" i="5" s="1"/>
  <c r="SQ42" i="5" s="1"/>
  <c r="SR42" i="5" s="1"/>
  <c r="SS42" i="5" s="1"/>
  <c r="ST42" i="5" s="1"/>
  <c r="SU42" i="5" s="1"/>
  <c r="SV42" i="5" s="1"/>
  <c r="SW42" i="5" s="1"/>
  <c r="SX42" i="5" s="1"/>
  <c r="SY42" i="5" s="1"/>
  <c r="SZ42" i="5" s="1"/>
  <c r="TA42" i="5" s="1"/>
  <c r="TB42" i="5" s="1"/>
  <c r="TC42" i="5" s="1"/>
  <c r="TD42" i="5" s="1"/>
  <c r="TE42" i="5" s="1"/>
  <c r="TF42" i="5" s="1"/>
  <c r="TG42" i="5" s="1"/>
  <c r="TH42" i="5" s="1"/>
  <c r="TI42" i="5" s="1"/>
  <c r="TJ42" i="5" s="1"/>
  <c r="TK42" i="5" s="1"/>
  <c r="TL42" i="5" s="1"/>
  <c r="TM42" i="5" s="1"/>
  <c r="TN42" i="5" s="1"/>
  <c r="TO42" i="5" s="1"/>
  <c r="TP42" i="5" s="1"/>
  <c r="TQ42" i="5" s="1"/>
  <c r="TS42" i="5" s="1"/>
  <c r="TT42" i="5" s="1"/>
  <c r="TU42" i="5" s="1"/>
  <c r="TV42" i="5" s="1"/>
  <c r="TW42" i="5" s="1"/>
  <c r="TX42" i="5" s="1"/>
  <c r="TY42" i="5" s="1"/>
  <c r="TZ42" i="5" s="1"/>
  <c r="UA42" i="5" s="1"/>
  <c r="UB42" i="5" s="1"/>
  <c r="UC42" i="5" s="1"/>
  <c r="UD42" i="5" s="1"/>
  <c r="UE42" i="5" s="1"/>
  <c r="UF42" i="5" s="1"/>
  <c r="UG42" i="5" s="1"/>
  <c r="UH42" i="5" s="1"/>
  <c r="UI42" i="5" s="1"/>
  <c r="UJ42" i="5" s="1"/>
  <c r="UK42" i="5" s="1"/>
  <c r="UL42" i="5" s="1"/>
  <c r="UM42" i="5" s="1"/>
  <c r="UN42" i="5" s="1"/>
  <c r="UO42" i="5" s="1"/>
  <c r="UP42" i="5" s="1"/>
  <c r="UQ42" i="5" s="1"/>
  <c r="UR42" i="5" s="1"/>
  <c r="US42" i="5" s="1"/>
  <c r="UT42" i="5" s="1"/>
  <c r="UU42" i="5" s="1"/>
  <c r="UV42" i="5" s="1"/>
  <c r="UW42" i="5" s="1"/>
  <c r="UY42" i="5" s="1"/>
  <c r="AG44" i="5"/>
  <c r="AH40" i="5"/>
  <c r="AH44" i="5" s="1"/>
  <c r="AI40" i="5"/>
  <c r="AM38" i="5"/>
  <c r="WD31" i="5"/>
  <c r="WF31" i="5" s="1"/>
  <c r="WH31" i="5" s="1"/>
  <c r="WJ31" i="5" s="1"/>
  <c r="WL31" i="5" s="1"/>
  <c r="WN31" i="5" s="1"/>
  <c r="WP31" i="5" s="1"/>
  <c r="WR31" i="5" s="1"/>
  <c r="WT31" i="5" s="1"/>
  <c r="WV31" i="5" s="1"/>
  <c r="WX31" i="5" s="1"/>
  <c r="WZ31" i="5" s="1"/>
  <c r="XB31" i="5" s="1"/>
  <c r="WC31" i="5"/>
  <c r="WE31" i="5" s="1"/>
  <c r="WG31" i="5" s="1"/>
  <c r="WI31" i="5" s="1"/>
  <c r="WK31" i="5" s="1"/>
  <c r="WM31" i="5" s="1"/>
  <c r="WO31" i="5" s="1"/>
  <c r="WQ31" i="5" s="1"/>
  <c r="WS31" i="5" s="1"/>
  <c r="WU31" i="5" s="1"/>
  <c r="WW31" i="5" s="1"/>
  <c r="WY31" i="5" s="1"/>
  <c r="XA31" i="5" s="1"/>
  <c r="AS37" i="5"/>
  <c r="AT20" i="5"/>
  <c r="BV19" i="5"/>
  <c r="GO16" i="5"/>
  <c r="ABB14" i="5"/>
  <c r="RO14" i="5"/>
  <c r="PC14" i="5"/>
  <c r="MY14" i="5"/>
  <c r="LO14" i="5"/>
  <c r="AE37" i="5"/>
  <c r="AF26" i="5"/>
  <c r="AE49" i="5"/>
  <c r="AF46" i="5"/>
  <c r="AD51" i="5"/>
  <c r="AD53" i="5" s="1"/>
  <c r="AJ48" i="5" l="1"/>
  <c r="AK48" i="5"/>
  <c r="UZ42" i="5"/>
  <c r="VB42" i="5" s="1"/>
  <c r="VA42" i="5"/>
  <c r="AI44" i="5"/>
  <c r="AJ40" i="5"/>
  <c r="AK40" i="5"/>
  <c r="AN38" i="5"/>
  <c r="XC31" i="5"/>
  <c r="XE31" i="5" s="1"/>
  <c r="XD31" i="5"/>
  <c r="XF31" i="5" s="1"/>
  <c r="XH31" i="5" s="1"/>
  <c r="XI31" i="5" s="1"/>
  <c r="XJ31" i="5" s="1"/>
  <c r="XK31" i="5" s="1"/>
  <c r="XL31" i="5" s="1"/>
  <c r="XM31" i="5" s="1"/>
  <c r="XN31" i="5" s="1"/>
  <c r="XO31" i="5" s="1"/>
  <c r="XP31" i="5" s="1"/>
  <c r="XQ31" i="5" s="1"/>
  <c r="XR31" i="5" s="1"/>
  <c r="XS31" i="5" s="1"/>
  <c r="XT31" i="5" s="1"/>
  <c r="XU31" i="5" s="1"/>
  <c r="XV31" i="5" s="1"/>
  <c r="XW31" i="5" s="1"/>
  <c r="XX31" i="5" s="1"/>
  <c r="XY31" i="5" s="1"/>
  <c r="XZ31" i="5" s="1"/>
  <c r="YA31" i="5" s="1"/>
  <c r="YB31" i="5" s="1"/>
  <c r="YC31" i="5" s="1"/>
  <c r="YD31" i="5" s="1"/>
  <c r="YE31" i="5" s="1"/>
  <c r="YF31" i="5" s="1"/>
  <c r="YG31" i="5" s="1"/>
  <c r="YH31" i="5" s="1"/>
  <c r="YI31" i="5" s="1"/>
  <c r="YJ31" i="5" s="1"/>
  <c r="YK31" i="5" s="1"/>
  <c r="YM31" i="5" s="1"/>
  <c r="YN31" i="5" s="1"/>
  <c r="YO31" i="5" s="1"/>
  <c r="YP31" i="5" s="1"/>
  <c r="YQ31" i="5" s="1"/>
  <c r="YR31" i="5" s="1"/>
  <c r="YS31" i="5" s="1"/>
  <c r="YT31" i="5" s="1"/>
  <c r="YU31" i="5" s="1"/>
  <c r="YV31" i="5" s="1"/>
  <c r="YW31" i="5" s="1"/>
  <c r="YX31" i="5" s="1"/>
  <c r="YY31" i="5" s="1"/>
  <c r="YZ31" i="5" s="1"/>
  <c r="ZA31" i="5" s="1"/>
  <c r="ZB31" i="5" s="1"/>
  <c r="ZC31" i="5" s="1"/>
  <c r="ZD31" i="5" s="1"/>
  <c r="ZE31" i="5" s="1"/>
  <c r="ZF31" i="5" s="1"/>
  <c r="ZG31" i="5" s="1"/>
  <c r="ZH31" i="5" s="1"/>
  <c r="ZI31" i="5" s="1"/>
  <c r="ZJ31" i="5" s="1"/>
  <c r="ZK31" i="5" s="1"/>
  <c r="ZL31" i="5" s="1"/>
  <c r="ZM31" i="5" s="1"/>
  <c r="ZN31" i="5" s="1"/>
  <c r="ZO31" i="5" s="1"/>
  <c r="ZP31" i="5" s="1"/>
  <c r="ZQ31" i="5" s="1"/>
  <c r="ZS31" i="5" s="1"/>
  <c r="ZT31" i="5" s="1"/>
  <c r="ZU31" i="5" s="1"/>
  <c r="ZV31" i="5" s="1"/>
  <c r="ZW31" i="5" s="1"/>
  <c r="ZX31" i="5" s="1"/>
  <c r="ZY31" i="5" s="1"/>
  <c r="ZZ31" i="5" s="1"/>
  <c r="AAA31" i="5" s="1"/>
  <c r="AAB31" i="5" s="1"/>
  <c r="AAC31" i="5" s="1"/>
  <c r="AAD31" i="5" s="1"/>
  <c r="AAE31" i="5" s="1"/>
  <c r="AAF31" i="5" s="1"/>
  <c r="AAG31" i="5" s="1"/>
  <c r="AAH31" i="5" s="1"/>
  <c r="AAI31" i="5" s="1"/>
  <c r="AAJ31" i="5" s="1"/>
  <c r="AAK31" i="5" s="1"/>
  <c r="AAL31" i="5" s="1"/>
  <c r="AAM31" i="5" s="1"/>
  <c r="AAN31" i="5" s="1"/>
  <c r="AAO31" i="5" s="1"/>
  <c r="AT37" i="5"/>
  <c r="AU20" i="5"/>
  <c r="BW19" i="5"/>
  <c r="GP16" i="5"/>
  <c r="ABC14" i="5"/>
  <c r="RP14" i="5"/>
  <c r="PD14" i="5"/>
  <c r="MZ14" i="5"/>
  <c r="LP14" i="5"/>
  <c r="AF37" i="5"/>
  <c r="AG26" i="5"/>
  <c r="AF49" i="5"/>
  <c r="AG46" i="5"/>
  <c r="AE51" i="5"/>
  <c r="AE53" i="5" s="1"/>
  <c r="AL48" i="5" l="1"/>
  <c r="AM48" i="5"/>
  <c r="VC42" i="5"/>
  <c r="VD42" i="5"/>
  <c r="VE42" i="5" s="1"/>
  <c r="AJ44" i="5"/>
  <c r="AL40" i="5"/>
  <c r="AK44" i="5"/>
  <c r="AM40" i="5"/>
  <c r="AO38" i="5"/>
  <c r="AU37" i="5"/>
  <c r="AV20" i="5"/>
  <c r="BX19" i="5"/>
  <c r="GQ16" i="5"/>
  <c r="ABD14" i="5"/>
  <c r="RQ14" i="5"/>
  <c r="PE14" i="5"/>
  <c r="NA14" i="5"/>
  <c r="LQ14" i="5"/>
  <c r="AG37" i="5"/>
  <c r="AH26" i="5"/>
  <c r="AG49" i="5"/>
  <c r="AI46" i="5"/>
  <c r="AH46" i="5"/>
  <c r="AH49" i="5" s="1"/>
  <c r="AF51" i="5"/>
  <c r="AF53" i="5" s="1"/>
  <c r="AN48" i="5" l="1"/>
  <c r="AO48" i="5"/>
  <c r="VF42" i="5"/>
  <c r="VH42" i="5" s="1"/>
  <c r="VG42" i="5"/>
  <c r="VI42" i="5" s="1"/>
  <c r="AL44" i="5"/>
  <c r="AN40" i="5"/>
  <c r="AM44" i="5"/>
  <c r="AO40" i="5"/>
  <c r="AQ40" i="5" s="1"/>
  <c r="AS40" i="5" s="1"/>
  <c r="AU40" i="5" s="1"/>
  <c r="AW40" i="5" s="1"/>
  <c r="AY40" i="5" s="1"/>
  <c r="BA40" i="5" s="1"/>
  <c r="BC40" i="5" s="1"/>
  <c r="BE40" i="5" s="1"/>
  <c r="BG40" i="5" s="1"/>
  <c r="BI40" i="5" s="1"/>
  <c r="BK40" i="5" s="1"/>
  <c r="AP38" i="5"/>
  <c r="AO44" i="5"/>
  <c r="AV37" i="5"/>
  <c r="AW20" i="5"/>
  <c r="BY19" i="5"/>
  <c r="GR16" i="5"/>
  <c r="ABE14" i="5"/>
  <c r="PF14" i="5"/>
  <c r="NB14" i="5"/>
  <c r="AH37" i="5"/>
  <c r="AI14" i="5"/>
  <c r="AI49" i="5"/>
  <c r="AJ46" i="5"/>
  <c r="AG51" i="5"/>
  <c r="AP48" i="5" l="1"/>
  <c r="AQ48" i="5"/>
  <c r="VJ42" i="5"/>
  <c r="VL42" i="5" s="1"/>
  <c r="VK42" i="5"/>
  <c r="VM42" i="5" s="1"/>
  <c r="AN44" i="5"/>
  <c r="AP40" i="5"/>
  <c r="AR40" i="5" s="1"/>
  <c r="AT40" i="5" s="1"/>
  <c r="AV40" i="5" s="1"/>
  <c r="AX40" i="5" s="1"/>
  <c r="AZ40" i="5" s="1"/>
  <c r="BB40" i="5" s="1"/>
  <c r="BD40" i="5" s="1"/>
  <c r="BF40" i="5" s="1"/>
  <c r="BH40" i="5" s="1"/>
  <c r="BJ40" i="5" s="1"/>
  <c r="BL40" i="5" s="1"/>
  <c r="AQ38" i="5"/>
  <c r="AP44" i="5"/>
  <c r="AW37" i="5"/>
  <c r="AX20" i="5"/>
  <c r="BZ19" i="5"/>
  <c r="GS16" i="5"/>
  <c r="ABF14" i="5"/>
  <c r="PG14" i="5"/>
  <c r="NC14" i="5"/>
  <c r="AI37" i="5"/>
  <c r="AI51" i="5" s="1"/>
  <c r="AI53" i="5" s="1"/>
  <c r="AJ14" i="5"/>
  <c r="AJ49" i="5"/>
  <c r="AK46" i="5"/>
  <c r="AH51" i="5"/>
  <c r="AH53" i="5" s="1"/>
  <c r="AG53" i="5"/>
  <c r="AR48" i="5" l="1"/>
  <c r="AS48" i="5"/>
  <c r="VN42" i="5"/>
  <c r="VP42" i="5" s="1"/>
  <c r="VO42" i="5"/>
  <c r="VQ42" i="5" s="1"/>
  <c r="BM40" i="5"/>
  <c r="BO40" i="5" s="1"/>
  <c r="BQ40" i="5" s="1"/>
  <c r="BS40" i="5" s="1"/>
  <c r="BU40" i="5" s="1"/>
  <c r="BW40" i="5" s="1"/>
  <c r="BY40" i="5" s="1"/>
  <c r="CA40" i="5" s="1"/>
  <c r="CC40" i="5" s="1"/>
  <c r="CE40" i="5" s="1"/>
  <c r="CG40" i="5" s="1"/>
  <c r="CI40" i="5" s="1"/>
  <c r="CK40" i="5" s="1"/>
  <c r="CM40" i="5" s="1"/>
  <c r="CO40" i="5" s="1"/>
  <c r="CQ40" i="5" s="1"/>
  <c r="BN40" i="5"/>
  <c r="BP40" i="5" s="1"/>
  <c r="BR40" i="5" s="1"/>
  <c r="BT40" i="5" s="1"/>
  <c r="BV40" i="5" s="1"/>
  <c r="BX40" i="5" s="1"/>
  <c r="BZ40" i="5" s="1"/>
  <c r="CB40" i="5" s="1"/>
  <c r="CD40" i="5" s="1"/>
  <c r="CF40" i="5" s="1"/>
  <c r="CH40" i="5" s="1"/>
  <c r="CJ40" i="5" s="1"/>
  <c r="CL40" i="5" s="1"/>
  <c r="CN40" i="5" s="1"/>
  <c r="CP40" i="5" s="1"/>
  <c r="CR40" i="5" s="1"/>
  <c r="CT40" i="5" s="1"/>
  <c r="AR38" i="5"/>
  <c r="AR44" i="5" s="1"/>
  <c r="AS38" i="5"/>
  <c r="AQ44" i="5"/>
  <c r="AX37" i="5"/>
  <c r="AY20" i="5"/>
  <c r="CA19" i="5"/>
  <c r="GT16" i="5"/>
  <c r="ABG14" i="5"/>
  <c r="ND14" i="5"/>
  <c r="AK14" i="5"/>
  <c r="AJ37" i="5"/>
  <c r="AJ51" i="5" s="1"/>
  <c r="AJ53" i="5" s="1"/>
  <c r="AK49" i="5"/>
  <c r="AL46" i="5"/>
  <c r="AT48" i="5" l="1"/>
  <c r="AU48" i="5"/>
  <c r="VR42" i="5"/>
  <c r="VT42" i="5" s="1"/>
  <c r="VS42" i="5"/>
  <c r="CU40" i="5"/>
  <c r="CW40" i="5" s="1"/>
  <c r="CY40" i="5" s="1"/>
  <c r="DA40" i="5" s="1"/>
  <c r="DC40" i="5" s="1"/>
  <c r="DE40" i="5" s="1"/>
  <c r="DG40" i="5" s="1"/>
  <c r="DI40" i="5" s="1"/>
  <c r="DK40" i="5" s="1"/>
  <c r="DM40" i="5" s="1"/>
  <c r="DO40" i="5" s="1"/>
  <c r="DQ40" i="5" s="1"/>
  <c r="DS40" i="5" s="1"/>
  <c r="DU40" i="5" s="1"/>
  <c r="DW40" i="5" s="1"/>
  <c r="DY40" i="5" s="1"/>
  <c r="CV40" i="5"/>
  <c r="CX40" i="5" s="1"/>
  <c r="CZ40" i="5" s="1"/>
  <c r="DB40" i="5" s="1"/>
  <c r="DD40" i="5" s="1"/>
  <c r="DF40" i="5" s="1"/>
  <c r="DH40" i="5" s="1"/>
  <c r="DJ40" i="5" s="1"/>
  <c r="DL40" i="5" s="1"/>
  <c r="DN40" i="5" s="1"/>
  <c r="DP40" i="5" s="1"/>
  <c r="DR40" i="5" s="1"/>
  <c r="DT40" i="5" s="1"/>
  <c r="DV40" i="5" s="1"/>
  <c r="AT38" i="5"/>
  <c r="AS44" i="5"/>
  <c r="AY37" i="5"/>
  <c r="AZ20" i="5"/>
  <c r="CB19" i="5"/>
  <c r="ABH14" i="5"/>
  <c r="NE14" i="5"/>
  <c r="AL14" i="5"/>
  <c r="AK37" i="5"/>
  <c r="AK51" i="5" s="1"/>
  <c r="AK53" i="5" s="1"/>
  <c r="AL49" i="5"/>
  <c r="AM46" i="5"/>
  <c r="AV48" i="5" l="1"/>
  <c r="AW48" i="5"/>
  <c r="VU42" i="5"/>
  <c r="VW42" i="5" s="1"/>
  <c r="VY42" i="5" s="1"/>
  <c r="VZ42" i="5" s="1"/>
  <c r="WB42" i="5" s="1"/>
  <c r="VV42" i="5"/>
  <c r="VX42" i="5" s="1"/>
  <c r="DZ40" i="5"/>
  <c r="EB40" i="5" s="1"/>
  <c r="ED40" i="5" s="1"/>
  <c r="EF40" i="5" s="1"/>
  <c r="EH40" i="5" s="1"/>
  <c r="EJ40" i="5" s="1"/>
  <c r="EL40" i="5" s="1"/>
  <c r="EN40" i="5" s="1"/>
  <c r="EP40" i="5" s="1"/>
  <c r="ER40" i="5" s="1"/>
  <c r="ET40" i="5" s="1"/>
  <c r="EV40" i="5" s="1"/>
  <c r="EX40" i="5" s="1"/>
  <c r="EZ40" i="5" s="1"/>
  <c r="FB40" i="5" s="1"/>
  <c r="EA40" i="5"/>
  <c r="EC40" i="5" s="1"/>
  <c r="EE40" i="5" s="1"/>
  <c r="EG40" i="5" s="1"/>
  <c r="EI40" i="5" s="1"/>
  <c r="EK40" i="5" s="1"/>
  <c r="EM40" i="5" s="1"/>
  <c r="EO40" i="5" s="1"/>
  <c r="EQ40" i="5" s="1"/>
  <c r="ES40" i="5" s="1"/>
  <c r="EU40" i="5" s="1"/>
  <c r="EW40" i="5" s="1"/>
  <c r="EY40" i="5" s="1"/>
  <c r="FA40" i="5" s="1"/>
  <c r="FC40" i="5" s="1"/>
  <c r="FE40" i="5" s="1"/>
  <c r="AU38" i="5"/>
  <c r="AT44" i="5"/>
  <c r="AZ37" i="5"/>
  <c r="BA20" i="5"/>
  <c r="CC19" i="5"/>
  <c r="ABI14" i="5"/>
  <c r="NF14" i="5"/>
  <c r="AM14" i="5"/>
  <c r="AL37" i="5"/>
  <c r="AL51" i="5" s="1"/>
  <c r="AL53" i="5" s="1"/>
  <c r="AM49" i="5"/>
  <c r="AN46" i="5"/>
  <c r="AX48" i="5" l="1"/>
  <c r="AY48" i="5"/>
  <c r="WC42" i="5"/>
  <c r="WE42" i="5" s="1"/>
  <c r="WG42" i="5" s="1"/>
  <c r="WD42" i="5"/>
  <c r="WF42" i="5" s="1"/>
  <c r="WH42" i="5" s="1"/>
  <c r="FF40" i="5"/>
  <c r="FH40" i="5" s="1"/>
  <c r="FJ40" i="5" s="1"/>
  <c r="FL40" i="5" s="1"/>
  <c r="FN40" i="5" s="1"/>
  <c r="FP40" i="5" s="1"/>
  <c r="FR40" i="5" s="1"/>
  <c r="FT40" i="5" s="1"/>
  <c r="FV40" i="5" s="1"/>
  <c r="FX40" i="5" s="1"/>
  <c r="FZ40" i="5" s="1"/>
  <c r="GB40" i="5" s="1"/>
  <c r="GD40" i="5" s="1"/>
  <c r="GF40" i="5" s="1"/>
  <c r="GH40" i="5" s="1"/>
  <c r="FG40" i="5"/>
  <c r="FI40" i="5" s="1"/>
  <c r="FK40" i="5" s="1"/>
  <c r="FM40" i="5" s="1"/>
  <c r="FO40" i="5" s="1"/>
  <c r="FQ40" i="5" s="1"/>
  <c r="FS40" i="5" s="1"/>
  <c r="FU40" i="5" s="1"/>
  <c r="FW40" i="5" s="1"/>
  <c r="FY40" i="5" s="1"/>
  <c r="GA40" i="5" s="1"/>
  <c r="GC40" i="5" s="1"/>
  <c r="GE40" i="5" s="1"/>
  <c r="GG40" i="5" s="1"/>
  <c r="GI40" i="5" s="1"/>
  <c r="GK40" i="5" s="1"/>
  <c r="AV38" i="5"/>
  <c r="AU44" i="5"/>
  <c r="BA37" i="5"/>
  <c r="BB20" i="5"/>
  <c r="CD19" i="5"/>
  <c r="ABJ14" i="5"/>
  <c r="NG14" i="5"/>
  <c r="AN14" i="5"/>
  <c r="AM37" i="5"/>
  <c r="AM51" i="5" s="1"/>
  <c r="AM53" i="5" s="1"/>
  <c r="AN49" i="5"/>
  <c r="AO46" i="5"/>
  <c r="AZ48" i="5" l="1"/>
  <c r="BA48" i="5"/>
  <c r="WI42" i="5"/>
  <c r="WJ42" i="5"/>
  <c r="GL40" i="5"/>
  <c r="GN40" i="5" s="1"/>
  <c r="GP40" i="5" s="1"/>
  <c r="GR40" i="5" s="1"/>
  <c r="GT40" i="5" s="1"/>
  <c r="GV40" i="5" s="1"/>
  <c r="GX40" i="5" s="1"/>
  <c r="GZ40" i="5" s="1"/>
  <c r="HB40" i="5" s="1"/>
  <c r="HD40" i="5" s="1"/>
  <c r="HF40" i="5" s="1"/>
  <c r="HH40" i="5" s="1"/>
  <c r="HJ40" i="5" s="1"/>
  <c r="HL40" i="5" s="1"/>
  <c r="GM40" i="5"/>
  <c r="GO40" i="5" s="1"/>
  <c r="GQ40" i="5" s="1"/>
  <c r="GS40" i="5" s="1"/>
  <c r="GU40" i="5" s="1"/>
  <c r="GW40" i="5" s="1"/>
  <c r="GY40" i="5" s="1"/>
  <c r="HA40" i="5" s="1"/>
  <c r="HC40" i="5" s="1"/>
  <c r="HE40" i="5" s="1"/>
  <c r="HG40" i="5" s="1"/>
  <c r="HI40" i="5" s="1"/>
  <c r="HK40" i="5" s="1"/>
  <c r="HM40" i="5" s="1"/>
  <c r="HO40" i="5" s="1"/>
  <c r="AW38" i="5"/>
  <c r="AX38" i="5"/>
  <c r="AV44" i="5"/>
  <c r="BB37" i="5"/>
  <c r="BC20" i="5"/>
  <c r="CE19" i="5"/>
  <c r="ABK14" i="5"/>
  <c r="AO14" i="5"/>
  <c r="AN37" i="5"/>
  <c r="AN51" i="5" s="1"/>
  <c r="AN53" i="5" s="1"/>
  <c r="AO49" i="5"/>
  <c r="AP46" i="5"/>
  <c r="BB48" i="5" l="1"/>
  <c r="BC48" i="5"/>
  <c r="WK42" i="5"/>
  <c r="WL42" i="5"/>
  <c r="HP40" i="5"/>
  <c r="HR40" i="5" s="1"/>
  <c r="HT40" i="5" s="1"/>
  <c r="HV40" i="5" s="1"/>
  <c r="HX40" i="5" s="1"/>
  <c r="HZ40" i="5" s="1"/>
  <c r="IB40" i="5" s="1"/>
  <c r="ID40" i="5" s="1"/>
  <c r="IF40" i="5" s="1"/>
  <c r="IH40" i="5" s="1"/>
  <c r="IJ40" i="5" s="1"/>
  <c r="IL40" i="5" s="1"/>
  <c r="IN40" i="5" s="1"/>
  <c r="IP40" i="5" s="1"/>
  <c r="IR40" i="5" s="1"/>
  <c r="HQ40" i="5"/>
  <c r="HS40" i="5" s="1"/>
  <c r="HU40" i="5" s="1"/>
  <c r="HW40" i="5" s="1"/>
  <c r="HY40" i="5" s="1"/>
  <c r="IA40" i="5" s="1"/>
  <c r="IC40" i="5" s="1"/>
  <c r="IE40" i="5" s="1"/>
  <c r="IG40" i="5" s="1"/>
  <c r="II40" i="5" s="1"/>
  <c r="IK40" i="5" s="1"/>
  <c r="IM40" i="5" s="1"/>
  <c r="IO40" i="5" s="1"/>
  <c r="IQ40" i="5" s="1"/>
  <c r="IS40" i="5" s="1"/>
  <c r="IU40" i="5" s="1"/>
  <c r="IV40" i="5" s="1"/>
  <c r="IW40" i="5" s="1"/>
  <c r="IX40" i="5" s="1"/>
  <c r="IY40" i="5" s="1"/>
  <c r="IZ40" i="5" s="1"/>
  <c r="JA40" i="5" s="1"/>
  <c r="JB40" i="5" s="1"/>
  <c r="JC40" i="5" s="1"/>
  <c r="JD40" i="5" s="1"/>
  <c r="JE40" i="5" s="1"/>
  <c r="JF40" i="5" s="1"/>
  <c r="JG40" i="5" s="1"/>
  <c r="JH40" i="5" s="1"/>
  <c r="JI40" i="5" s="1"/>
  <c r="JJ40" i="5" s="1"/>
  <c r="JK40" i="5" s="1"/>
  <c r="JL40" i="5" s="1"/>
  <c r="JM40" i="5" s="1"/>
  <c r="JN40" i="5" s="1"/>
  <c r="JO40" i="5" s="1"/>
  <c r="JP40" i="5" s="1"/>
  <c r="JQ40" i="5" s="1"/>
  <c r="JR40" i="5" s="1"/>
  <c r="JS40" i="5" s="1"/>
  <c r="JT40" i="5" s="1"/>
  <c r="JU40" i="5" s="1"/>
  <c r="JV40" i="5" s="1"/>
  <c r="JW40" i="5" s="1"/>
  <c r="JX40" i="5" s="1"/>
  <c r="JZ40" i="5" s="1"/>
  <c r="AY38" i="5"/>
  <c r="AY44" i="5" s="1"/>
  <c r="AW44" i="5"/>
  <c r="AZ38" i="5"/>
  <c r="AX44" i="5"/>
  <c r="BC37" i="5"/>
  <c r="BD20" i="5"/>
  <c r="CF19" i="5"/>
  <c r="ABL14" i="5"/>
  <c r="AP14" i="5"/>
  <c r="AO37" i="5"/>
  <c r="AO51" i="5" s="1"/>
  <c r="AO53" i="5" s="1"/>
  <c r="AP49" i="5"/>
  <c r="AQ46" i="5"/>
  <c r="BD48" i="5" l="1"/>
  <c r="BE48" i="5"/>
  <c r="WM42" i="5"/>
  <c r="WO42" i="5" s="1"/>
  <c r="WQ42" i="5" s="1"/>
  <c r="WN42" i="5"/>
  <c r="WP42" i="5" s="1"/>
  <c r="KA40" i="5"/>
  <c r="KC40" i="5" s="1"/>
  <c r="KE40" i="5" s="1"/>
  <c r="KG40" i="5" s="1"/>
  <c r="KI40" i="5" s="1"/>
  <c r="KK40" i="5" s="1"/>
  <c r="KM40" i="5" s="1"/>
  <c r="KO40" i="5" s="1"/>
  <c r="KQ40" i="5" s="1"/>
  <c r="KS40" i="5" s="1"/>
  <c r="KU40" i="5" s="1"/>
  <c r="KW40" i="5" s="1"/>
  <c r="KY40" i="5" s="1"/>
  <c r="LA40" i="5" s="1"/>
  <c r="LC40" i="5" s="1"/>
  <c r="KB40" i="5"/>
  <c r="KD40" i="5" s="1"/>
  <c r="KF40" i="5" s="1"/>
  <c r="KH40" i="5" s="1"/>
  <c r="KJ40" i="5" s="1"/>
  <c r="KL40" i="5" s="1"/>
  <c r="KN40" i="5" s="1"/>
  <c r="KP40" i="5" s="1"/>
  <c r="KR40" i="5" s="1"/>
  <c r="KT40" i="5" s="1"/>
  <c r="KV40" i="5" s="1"/>
  <c r="KX40" i="5" s="1"/>
  <c r="KZ40" i="5" s="1"/>
  <c r="LB40" i="5" s="1"/>
  <c r="LD40" i="5" s="1"/>
  <c r="LF40" i="5" s="1"/>
  <c r="LG40" i="5" s="1"/>
  <c r="LH40" i="5" s="1"/>
  <c r="LI40" i="5" s="1"/>
  <c r="LJ40" i="5" s="1"/>
  <c r="LK40" i="5" s="1"/>
  <c r="LL40" i="5" s="1"/>
  <c r="LM40" i="5" s="1"/>
  <c r="LN40" i="5" s="1"/>
  <c r="LO40" i="5" s="1"/>
  <c r="LP40" i="5" s="1"/>
  <c r="LQ40" i="5" s="1"/>
  <c r="LR40" i="5" s="1"/>
  <c r="LS40" i="5" s="1"/>
  <c r="LT40" i="5" s="1"/>
  <c r="LU40" i="5" s="1"/>
  <c r="LV40" i="5" s="1"/>
  <c r="LW40" i="5" s="1"/>
  <c r="LX40" i="5" s="1"/>
  <c r="LY40" i="5" s="1"/>
  <c r="LZ40" i="5" s="1"/>
  <c r="MA40" i="5" s="1"/>
  <c r="MB40" i="5" s="1"/>
  <c r="MC40" i="5" s="1"/>
  <c r="MD40" i="5" s="1"/>
  <c r="ME40" i="5" s="1"/>
  <c r="MF40" i="5" s="1"/>
  <c r="MG40" i="5" s="1"/>
  <c r="MH40" i="5" s="1"/>
  <c r="MI40" i="5" s="1"/>
  <c r="MK40" i="5" s="1"/>
  <c r="BA38" i="5"/>
  <c r="BA44" i="5" s="1"/>
  <c r="BB38" i="5"/>
  <c r="AZ44" i="5"/>
  <c r="BD37" i="5"/>
  <c r="BE20" i="5"/>
  <c r="CG19" i="5"/>
  <c r="ABM14" i="5"/>
  <c r="AQ14" i="5"/>
  <c r="AP37" i="5"/>
  <c r="AP51" i="5" s="1"/>
  <c r="AP53" i="5" s="1"/>
  <c r="AQ49" i="5"/>
  <c r="AR46" i="5"/>
  <c r="BF48" i="5" l="1"/>
  <c r="BG48" i="5"/>
  <c r="WR42" i="5"/>
  <c r="WT42" i="5" s="1"/>
  <c r="WV42" i="5" s="1"/>
  <c r="WS42" i="5"/>
  <c r="WU42" i="5" s="1"/>
  <c r="ML40" i="5"/>
  <c r="MN40" i="5" s="1"/>
  <c r="MP40" i="5" s="1"/>
  <c r="MR40" i="5" s="1"/>
  <c r="MT40" i="5" s="1"/>
  <c r="MV40" i="5" s="1"/>
  <c r="MX40" i="5" s="1"/>
  <c r="MZ40" i="5" s="1"/>
  <c r="NB40" i="5" s="1"/>
  <c r="ND40" i="5" s="1"/>
  <c r="NF40" i="5" s="1"/>
  <c r="NH40" i="5" s="1"/>
  <c r="NJ40" i="5" s="1"/>
  <c r="NL40" i="5" s="1"/>
  <c r="NN40" i="5" s="1"/>
  <c r="MM40" i="5"/>
  <c r="MO40" i="5" s="1"/>
  <c r="MQ40" i="5" s="1"/>
  <c r="MS40" i="5" s="1"/>
  <c r="MU40" i="5" s="1"/>
  <c r="MW40" i="5" s="1"/>
  <c r="MY40" i="5" s="1"/>
  <c r="NA40" i="5" s="1"/>
  <c r="NC40" i="5" s="1"/>
  <c r="NE40" i="5" s="1"/>
  <c r="NG40" i="5" s="1"/>
  <c r="NI40" i="5" s="1"/>
  <c r="NK40" i="5" s="1"/>
  <c r="NM40" i="5" s="1"/>
  <c r="NO40" i="5" s="1"/>
  <c r="NQ40" i="5" s="1"/>
  <c r="BC38" i="5"/>
  <c r="BB44" i="5"/>
  <c r="BE37" i="5"/>
  <c r="BF20" i="5"/>
  <c r="CH19" i="5"/>
  <c r="AR14" i="5"/>
  <c r="AR37" i="5" s="1"/>
  <c r="AQ37" i="5"/>
  <c r="AQ51" i="5" s="1"/>
  <c r="AQ53" i="5" s="1"/>
  <c r="AR49" i="5"/>
  <c r="AS46" i="5"/>
  <c r="BH48" i="5" l="1"/>
  <c r="BI48" i="5"/>
  <c r="WW42" i="5"/>
  <c r="WY42" i="5" s="1"/>
  <c r="WX42" i="5"/>
  <c r="WZ42" i="5" s="1"/>
  <c r="XA42" i="5" s="1"/>
  <c r="NR40" i="5"/>
  <c r="NT40" i="5" s="1"/>
  <c r="NV40" i="5" s="1"/>
  <c r="NX40" i="5" s="1"/>
  <c r="NZ40" i="5" s="1"/>
  <c r="OB40" i="5" s="1"/>
  <c r="OD40" i="5" s="1"/>
  <c r="OF40" i="5" s="1"/>
  <c r="OH40" i="5" s="1"/>
  <c r="OJ40" i="5" s="1"/>
  <c r="OL40" i="5" s="1"/>
  <c r="ON40" i="5" s="1"/>
  <c r="OP40" i="5" s="1"/>
  <c r="OR40" i="5" s="1"/>
  <c r="OT40" i="5" s="1"/>
  <c r="NS40" i="5"/>
  <c r="NU40" i="5" s="1"/>
  <c r="NW40" i="5" s="1"/>
  <c r="NY40" i="5" s="1"/>
  <c r="OA40" i="5" s="1"/>
  <c r="OC40" i="5" s="1"/>
  <c r="OE40" i="5" s="1"/>
  <c r="OG40" i="5" s="1"/>
  <c r="OI40" i="5" s="1"/>
  <c r="OK40" i="5" s="1"/>
  <c r="OM40" i="5" s="1"/>
  <c r="OO40" i="5" s="1"/>
  <c r="OQ40" i="5" s="1"/>
  <c r="OS40" i="5" s="1"/>
  <c r="OU40" i="5" s="1"/>
  <c r="OW40" i="5" s="1"/>
  <c r="BD38" i="5"/>
  <c r="BE38" i="5"/>
  <c r="BC44" i="5"/>
  <c r="BF37" i="5"/>
  <c r="BG20" i="5"/>
  <c r="CI19" i="5"/>
  <c r="AS49" i="5"/>
  <c r="AS51" i="5" s="1"/>
  <c r="AS53" i="5" s="1"/>
  <c r="AT46" i="5"/>
  <c r="AR51" i="5"/>
  <c r="AR53" i="5" s="1"/>
  <c r="BJ48" i="5" l="1"/>
  <c r="BK48" i="5"/>
  <c r="XB42" i="5"/>
  <c r="XD42" i="5" s="1"/>
  <c r="XF42" i="5" s="1"/>
  <c r="XH42" i="5" s="1"/>
  <c r="XI42" i="5" s="1"/>
  <c r="XJ42" i="5" s="1"/>
  <c r="XK42" i="5" s="1"/>
  <c r="XL42" i="5" s="1"/>
  <c r="XM42" i="5" s="1"/>
  <c r="XN42" i="5" s="1"/>
  <c r="XO42" i="5" s="1"/>
  <c r="XP42" i="5" s="1"/>
  <c r="XQ42" i="5" s="1"/>
  <c r="XR42" i="5" s="1"/>
  <c r="XS42" i="5" s="1"/>
  <c r="XT42" i="5" s="1"/>
  <c r="XU42" i="5" s="1"/>
  <c r="XV42" i="5" s="1"/>
  <c r="XW42" i="5" s="1"/>
  <c r="XX42" i="5" s="1"/>
  <c r="XY42" i="5" s="1"/>
  <c r="XZ42" i="5" s="1"/>
  <c r="YA42" i="5" s="1"/>
  <c r="YB42" i="5" s="1"/>
  <c r="YC42" i="5" s="1"/>
  <c r="YD42" i="5" s="1"/>
  <c r="YE42" i="5" s="1"/>
  <c r="YF42" i="5" s="1"/>
  <c r="YG42" i="5" s="1"/>
  <c r="YH42" i="5" s="1"/>
  <c r="YI42" i="5" s="1"/>
  <c r="YJ42" i="5" s="1"/>
  <c r="YK42" i="5" s="1"/>
  <c r="YM42" i="5" s="1"/>
  <c r="YN42" i="5" s="1"/>
  <c r="YO42" i="5" s="1"/>
  <c r="YP42" i="5" s="1"/>
  <c r="YQ42" i="5" s="1"/>
  <c r="YR42" i="5" s="1"/>
  <c r="YS42" i="5" s="1"/>
  <c r="YT42" i="5" s="1"/>
  <c r="YU42" i="5" s="1"/>
  <c r="YV42" i="5" s="1"/>
  <c r="YW42" i="5" s="1"/>
  <c r="YX42" i="5" s="1"/>
  <c r="YY42" i="5" s="1"/>
  <c r="YZ42" i="5" s="1"/>
  <c r="ZA42" i="5" s="1"/>
  <c r="ZB42" i="5" s="1"/>
  <c r="ZC42" i="5" s="1"/>
  <c r="ZD42" i="5" s="1"/>
  <c r="ZE42" i="5" s="1"/>
  <c r="ZF42" i="5" s="1"/>
  <c r="ZG42" i="5" s="1"/>
  <c r="ZH42" i="5" s="1"/>
  <c r="ZI42" i="5" s="1"/>
  <c r="ZJ42" i="5" s="1"/>
  <c r="ZK42" i="5" s="1"/>
  <c r="ZL42" i="5" s="1"/>
  <c r="ZM42" i="5" s="1"/>
  <c r="ZN42" i="5" s="1"/>
  <c r="ZO42" i="5" s="1"/>
  <c r="ZP42" i="5" s="1"/>
  <c r="ZQ42" i="5" s="1"/>
  <c r="ZS42" i="5" s="1"/>
  <c r="ZT42" i="5" s="1"/>
  <c r="XC42" i="5"/>
  <c r="XE42" i="5" s="1"/>
  <c r="OX40" i="5"/>
  <c r="OZ40" i="5" s="1"/>
  <c r="PB40" i="5" s="1"/>
  <c r="PD40" i="5" s="1"/>
  <c r="PF40" i="5" s="1"/>
  <c r="PH40" i="5" s="1"/>
  <c r="PJ40" i="5" s="1"/>
  <c r="PL40" i="5" s="1"/>
  <c r="PN40" i="5" s="1"/>
  <c r="PP40" i="5" s="1"/>
  <c r="PR40" i="5" s="1"/>
  <c r="PT40" i="5" s="1"/>
  <c r="PV40" i="5" s="1"/>
  <c r="PX40" i="5" s="1"/>
  <c r="PZ40" i="5" s="1"/>
  <c r="QB40" i="5" s="1"/>
  <c r="QC40" i="5" s="1"/>
  <c r="QD40" i="5" s="1"/>
  <c r="QE40" i="5" s="1"/>
  <c r="QF40" i="5" s="1"/>
  <c r="QG40" i="5" s="1"/>
  <c r="QH40" i="5" s="1"/>
  <c r="QI40" i="5" s="1"/>
  <c r="QJ40" i="5" s="1"/>
  <c r="QK40" i="5" s="1"/>
  <c r="QL40" i="5" s="1"/>
  <c r="QM40" i="5" s="1"/>
  <c r="QN40" i="5" s="1"/>
  <c r="QO40" i="5" s="1"/>
  <c r="QP40" i="5" s="1"/>
  <c r="QQ40" i="5" s="1"/>
  <c r="QR40" i="5" s="1"/>
  <c r="QS40" i="5" s="1"/>
  <c r="QT40" i="5" s="1"/>
  <c r="QU40" i="5" s="1"/>
  <c r="QV40" i="5" s="1"/>
  <c r="QW40" i="5" s="1"/>
  <c r="QX40" i="5" s="1"/>
  <c r="QY40" i="5" s="1"/>
  <c r="QZ40" i="5" s="1"/>
  <c r="RA40" i="5" s="1"/>
  <c r="RB40" i="5" s="1"/>
  <c r="RC40" i="5" s="1"/>
  <c r="RD40" i="5" s="1"/>
  <c r="RE40" i="5" s="1"/>
  <c r="RF40" i="5" s="1"/>
  <c r="RH40" i="5" s="1"/>
  <c r="RI40" i="5" s="1"/>
  <c r="RJ40" i="5" s="1"/>
  <c r="RK40" i="5" s="1"/>
  <c r="RL40" i="5" s="1"/>
  <c r="RM40" i="5" s="1"/>
  <c r="RN40" i="5" s="1"/>
  <c r="RO40" i="5" s="1"/>
  <c r="RP40" i="5" s="1"/>
  <c r="RQ40" i="5" s="1"/>
  <c r="RR40" i="5" s="1"/>
  <c r="RS40" i="5" s="1"/>
  <c r="RT40" i="5" s="1"/>
  <c r="RU40" i="5" s="1"/>
  <c r="RV40" i="5" s="1"/>
  <c r="RW40" i="5" s="1"/>
  <c r="RX40" i="5" s="1"/>
  <c r="RY40" i="5" s="1"/>
  <c r="RZ40" i="5" s="1"/>
  <c r="SA40" i="5" s="1"/>
  <c r="SB40" i="5" s="1"/>
  <c r="SC40" i="5" s="1"/>
  <c r="SD40" i="5" s="1"/>
  <c r="SE40" i="5" s="1"/>
  <c r="SF40" i="5" s="1"/>
  <c r="SG40" i="5" s="1"/>
  <c r="SH40" i="5" s="1"/>
  <c r="SI40" i="5" s="1"/>
  <c r="SJ40" i="5" s="1"/>
  <c r="SK40" i="5" s="1"/>
  <c r="SM40" i="5" s="1"/>
  <c r="SN40" i="5" s="1"/>
  <c r="SO40" i="5" s="1"/>
  <c r="SP40" i="5" s="1"/>
  <c r="SQ40" i="5" s="1"/>
  <c r="SR40" i="5" s="1"/>
  <c r="SS40" i="5" s="1"/>
  <c r="ST40" i="5" s="1"/>
  <c r="SU40" i="5" s="1"/>
  <c r="SV40" i="5" s="1"/>
  <c r="SW40" i="5" s="1"/>
  <c r="SX40" i="5" s="1"/>
  <c r="SY40" i="5" s="1"/>
  <c r="SZ40" i="5" s="1"/>
  <c r="TA40" i="5" s="1"/>
  <c r="TB40" i="5" s="1"/>
  <c r="TC40" i="5" s="1"/>
  <c r="TD40" i="5" s="1"/>
  <c r="TE40" i="5" s="1"/>
  <c r="TF40" i="5" s="1"/>
  <c r="TG40" i="5" s="1"/>
  <c r="TH40" i="5" s="1"/>
  <c r="TI40" i="5" s="1"/>
  <c r="TJ40" i="5" s="1"/>
  <c r="TK40" i="5" s="1"/>
  <c r="TL40" i="5" s="1"/>
  <c r="TM40" i="5" s="1"/>
  <c r="TN40" i="5" s="1"/>
  <c r="TO40" i="5" s="1"/>
  <c r="TP40" i="5" s="1"/>
  <c r="TQ40" i="5" s="1"/>
  <c r="TS40" i="5" s="1"/>
  <c r="TT40" i="5" s="1"/>
  <c r="TU40" i="5" s="1"/>
  <c r="TV40" i="5" s="1"/>
  <c r="TW40" i="5" s="1"/>
  <c r="TX40" i="5" s="1"/>
  <c r="TY40" i="5" s="1"/>
  <c r="TZ40" i="5" s="1"/>
  <c r="UA40" i="5" s="1"/>
  <c r="UB40" i="5" s="1"/>
  <c r="UC40" i="5" s="1"/>
  <c r="UD40" i="5" s="1"/>
  <c r="UE40" i="5" s="1"/>
  <c r="UF40" i="5" s="1"/>
  <c r="UG40" i="5" s="1"/>
  <c r="UH40" i="5" s="1"/>
  <c r="UI40" i="5" s="1"/>
  <c r="UJ40" i="5" s="1"/>
  <c r="UK40" i="5" s="1"/>
  <c r="UL40" i="5" s="1"/>
  <c r="UM40" i="5" s="1"/>
  <c r="UN40" i="5" s="1"/>
  <c r="UO40" i="5" s="1"/>
  <c r="UP40" i="5" s="1"/>
  <c r="UQ40" i="5" s="1"/>
  <c r="UR40" i="5" s="1"/>
  <c r="US40" i="5" s="1"/>
  <c r="UT40" i="5" s="1"/>
  <c r="UU40" i="5" s="1"/>
  <c r="UV40" i="5" s="1"/>
  <c r="UW40" i="5" s="1"/>
  <c r="UY40" i="5" s="1"/>
  <c r="OY40" i="5"/>
  <c r="PA40" i="5" s="1"/>
  <c r="PC40" i="5" s="1"/>
  <c r="PE40" i="5" s="1"/>
  <c r="PG40" i="5" s="1"/>
  <c r="PI40" i="5" s="1"/>
  <c r="PK40" i="5" s="1"/>
  <c r="PM40" i="5" s="1"/>
  <c r="PO40" i="5" s="1"/>
  <c r="PQ40" i="5" s="1"/>
  <c r="PS40" i="5" s="1"/>
  <c r="PU40" i="5" s="1"/>
  <c r="PW40" i="5" s="1"/>
  <c r="PY40" i="5" s="1"/>
  <c r="BF38" i="5"/>
  <c r="BD44" i="5"/>
  <c r="BG38" i="5"/>
  <c r="BG44" i="5" s="1"/>
  <c r="BE44" i="5"/>
  <c r="BG37" i="5"/>
  <c r="BH20" i="5"/>
  <c r="CJ19" i="5"/>
  <c r="AT49" i="5"/>
  <c r="AT51" i="5" s="1"/>
  <c r="AT53" i="5" s="1"/>
  <c r="AU46" i="5"/>
  <c r="BL48" i="5" l="1"/>
  <c r="UZ40" i="5"/>
  <c r="VB40" i="5" s="1"/>
  <c r="VD40" i="5" s="1"/>
  <c r="VF40" i="5" s="1"/>
  <c r="VH40" i="5" s="1"/>
  <c r="VJ40" i="5" s="1"/>
  <c r="VL40" i="5" s="1"/>
  <c r="VN40" i="5" s="1"/>
  <c r="VP40" i="5" s="1"/>
  <c r="VR40" i="5" s="1"/>
  <c r="VT40" i="5" s="1"/>
  <c r="VV40" i="5" s="1"/>
  <c r="VX40" i="5" s="1"/>
  <c r="VZ40" i="5" s="1"/>
  <c r="WB40" i="5" s="1"/>
  <c r="VA40" i="5"/>
  <c r="VC40" i="5" s="1"/>
  <c r="VE40" i="5" s="1"/>
  <c r="VG40" i="5" s="1"/>
  <c r="VI40" i="5" s="1"/>
  <c r="VK40" i="5" s="1"/>
  <c r="VM40" i="5" s="1"/>
  <c r="VO40" i="5" s="1"/>
  <c r="VQ40" i="5" s="1"/>
  <c r="VS40" i="5" s="1"/>
  <c r="VU40" i="5" s="1"/>
  <c r="VW40" i="5" s="1"/>
  <c r="VY40" i="5" s="1"/>
  <c r="BH38" i="5"/>
  <c r="BF44" i="5"/>
  <c r="BH37" i="5"/>
  <c r="BI20" i="5"/>
  <c r="CK19" i="5"/>
  <c r="AU49" i="5"/>
  <c r="AU51" i="5" s="1"/>
  <c r="AU53" i="5" s="1"/>
  <c r="AV46" i="5"/>
  <c r="BM48" i="5" l="1"/>
  <c r="BN48" i="5"/>
  <c r="WC40" i="5"/>
  <c r="WE40" i="5" s="1"/>
  <c r="WG40" i="5" s="1"/>
  <c r="WI40" i="5" s="1"/>
  <c r="WK40" i="5" s="1"/>
  <c r="WM40" i="5" s="1"/>
  <c r="WO40" i="5" s="1"/>
  <c r="WQ40" i="5" s="1"/>
  <c r="WS40" i="5" s="1"/>
  <c r="WU40" i="5" s="1"/>
  <c r="WW40" i="5" s="1"/>
  <c r="WY40" i="5" s="1"/>
  <c r="XA40" i="5" s="1"/>
  <c r="XC40" i="5" s="1"/>
  <c r="XE40" i="5" s="1"/>
  <c r="WD40" i="5"/>
  <c r="WF40" i="5" s="1"/>
  <c r="WH40" i="5" s="1"/>
  <c r="WJ40" i="5" s="1"/>
  <c r="WL40" i="5" s="1"/>
  <c r="WN40" i="5" s="1"/>
  <c r="WP40" i="5" s="1"/>
  <c r="WR40" i="5" s="1"/>
  <c r="WT40" i="5" s="1"/>
  <c r="WV40" i="5" s="1"/>
  <c r="WX40" i="5" s="1"/>
  <c r="WZ40" i="5" s="1"/>
  <c r="XB40" i="5" s="1"/>
  <c r="XD40" i="5" s="1"/>
  <c r="XF40" i="5" s="1"/>
  <c r="XH40" i="5" s="1"/>
  <c r="XI40" i="5" s="1"/>
  <c r="XJ40" i="5" s="1"/>
  <c r="XK40" i="5" s="1"/>
  <c r="XL40" i="5" s="1"/>
  <c r="XM40" i="5" s="1"/>
  <c r="XN40" i="5" s="1"/>
  <c r="XO40" i="5" s="1"/>
  <c r="XP40" i="5" s="1"/>
  <c r="XQ40" i="5" s="1"/>
  <c r="XR40" i="5" s="1"/>
  <c r="XS40" i="5" s="1"/>
  <c r="XT40" i="5" s="1"/>
  <c r="XU40" i="5" s="1"/>
  <c r="XV40" i="5" s="1"/>
  <c r="XW40" i="5" s="1"/>
  <c r="XX40" i="5" s="1"/>
  <c r="XY40" i="5" s="1"/>
  <c r="XZ40" i="5" s="1"/>
  <c r="YA40" i="5" s="1"/>
  <c r="YB40" i="5" s="1"/>
  <c r="YC40" i="5" s="1"/>
  <c r="YD40" i="5" s="1"/>
  <c r="YE40" i="5" s="1"/>
  <c r="YF40" i="5" s="1"/>
  <c r="YG40" i="5" s="1"/>
  <c r="YH40" i="5" s="1"/>
  <c r="YI40" i="5" s="1"/>
  <c r="YJ40" i="5" s="1"/>
  <c r="YK40" i="5" s="1"/>
  <c r="YM40" i="5" s="1"/>
  <c r="YN40" i="5" s="1"/>
  <c r="YO40" i="5" s="1"/>
  <c r="YP40" i="5" s="1"/>
  <c r="YQ40" i="5" s="1"/>
  <c r="YR40" i="5" s="1"/>
  <c r="YS40" i="5" s="1"/>
  <c r="YT40" i="5" s="1"/>
  <c r="YU40" i="5" s="1"/>
  <c r="YV40" i="5" s="1"/>
  <c r="YW40" i="5" s="1"/>
  <c r="YX40" i="5" s="1"/>
  <c r="YY40" i="5" s="1"/>
  <c r="YZ40" i="5" s="1"/>
  <c r="ZA40" i="5" s="1"/>
  <c r="ZB40" i="5" s="1"/>
  <c r="ZC40" i="5" s="1"/>
  <c r="ZD40" i="5" s="1"/>
  <c r="ZE40" i="5" s="1"/>
  <c r="ZF40" i="5" s="1"/>
  <c r="ZG40" i="5" s="1"/>
  <c r="ZH40" i="5" s="1"/>
  <c r="ZI40" i="5" s="1"/>
  <c r="ZJ40" i="5" s="1"/>
  <c r="ZK40" i="5" s="1"/>
  <c r="ZL40" i="5" s="1"/>
  <c r="ZM40" i="5" s="1"/>
  <c r="ZN40" i="5" s="1"/>
  <c r="ZO40" i="5" s="1"/>
  <c r="ZP40" i="5" s="1"/>
  <c r="ZQ40" i="5" s="1"/>
  <c r="ZS40" i="5" s="1"/>
  <c r="ZT40" i="5" s="1"/>
  <c r="ZU40" i="5" s="1"/>
  <c r="ZV40" i="5" s="1"/>
  <c r="ZW40" i="5" s="1"/>
  <c r="ZX40" i="5" s="1"/>
  <c r="ZY40" i="5" s="1"/>
  <c r="ZZ40" i="5" s="1"/>
  <c r="AAA40" i="5" s="1"/>
  <c r="AAB40" i="5" s="1"/>
  <c r="AAC40" i="5" s="1"/>
  <c r="AAD40" i="5" s="1"/>
  <c r="AAE40" i="5" s="1"/>
  <c r="AAF40" i="5" s="1"/>
  <c r="AAG40" i="5" s="1"/>
  <c r="AAH40" i="5" s="1"/>
  <c r="AAI40" i="5" s="1"/>
  <c r="AAJ40" i="5" s="1"/>
  <c r="AAK40" i="5" s="1"/>
  <c r="AAL40" i="5" s="1"/>
  <c r="AAM40" i="5" s="1"/>
  <c r="AAN40" i="5" s="1"/>
  <c r="AAO40" i="5" s="1"/>
  <c r="AAP40" i="5" s="1"/>
  <c r="AAQ40" i="5" s="1"/>
  <c r="AAR40" i="5" s="1"/>
  <c r="AAS40" i="5" s="1"/>
  <c r="AAT40" i="5" s="1"/>
  <c r="AAU40" i="5" s="1"/>
  <c r="AAV40" i="5" s="1"/>
  <c r="AAX40" i="5" s="1"/>
  <c r="AAY40" i="5" s="1"/>
  <c r="AAZ40" i="5" s="1"/>
  <c r="ABA40" i="5" s="1"/>
  <c r="ABB40" i="5" s="1"/>
  <c r="ABC40" i="5" s="1"/>
  <c r="ABD40" i="5" s="1"/>
  <c r="ABE40" i="5" s="1"/>
  <c r="ABF40" i="5" s="1"/>
  <c r="ABG40" i="5" s="1"/>
  <c r="ABH40" i="5" s="1"/>
  <c r="ABI40" i="5" s="1"/>
  <c r="ABJ40" i="5" s="1"/>
  <c r="ABK40" i="5" s="1"/>
  <c r="ABL40" i="5" s="1"/>
  <c r="ABM40" i="5" s="1"/>
  <c r="ABN40" i="5" s="1"/>
  <c r="ABO40" i="5" s="1"/>
  <c r="ABP40" i="5" s="1"/>
  <c r="ABQ40" i="5" s="1"/>
  <c r="ABR40" i="5" s="1"/>
  <c r="ABS40" i="5" s="1"/>
  <c r="ABT40" i="5" s="1"/>
  <c r="ABU40" i="5" s="1"/>
  <c r="ABV40" i="5" s="1"/>
  <c r="ABW40" i="5" s="1"/>
  <c r="ABX40" i="5" s="1"/>
  <c r="ABY40" i="5" s="1"/>
  <c r="ABZ40" i="5" s="1"/>
  <c r="ACA40" i="5" s="1"/>
  <c r="ACB40" i="5" s="1"/>
  <c r="ACD40" i="5" s="1"/>
  <c r="ACE40" i="5" s="1"/>
  <c r="ACF40" i="5" s="1"/>
  <c r="ACG40" i="5" s="1"/>
  <c r="ACH40" i="5" s="1"/>
  <c r="ACI40" i="5" s="1"/>
  <c r="ACJ40" i="5" s="1"/>
  <c r="ACK40" i="5" s="1"/>
  <c r="ACL40" i="5" s="1"/>
  <c r="ACM40" i="5" s="1"/>
  <c r="ACN40" i="5" s="1"/>
  <c r="ACO40" i="5" s="1"/>
  <c r="ACP40" i="5" s="1"/>
  <c r="ACQ40" i="5" s="1"/>
  <c r="ACR40" i="5" s="1"/>
  <c r="ACS40" i="5" s="1"/>
  <c r="ACT40" i="5" s="1"/>
  <c r="ACU40" i="5" s="1"/>
  <c r="ACV40" i="5" s="1"/>
  <c r="ACW40" i="5" s="1"/>
  <c r="ACX40" i="5" s="1"/>
  <c r="ACY40" i="5" s="1"/>
  <c r="ACZ40" i="5" s="1"/>
  <c r="ADA40" i="5" s="1"/>
  <c r="ADB40" i="5" s="1"/>
  <c r="ADC40" i="5" s="1"/>
  <c r="ADD40" i="5" s="1"/>
  <c r="ADE40" i="5" s="1"/>
  <c r="ADF40" i="5" s="1"/>
  <c r="ADG40" i="5" s="1"/>
  <c r="ADH40" i="5" s="1"/>
  <c r="ADJ40" i="5" s="1"/>
  <c r="ADK40" i="5" s="1"/>
  <c r="ADL40" i="5" s="1"/>
  <c r="ADM40" i="5" s="1"/>
  <c r="ADN40" i="5" s="1"/>
  <c r="ADO40" i="5" s="1"/>
  <c r="ADP40" i="5" s="1"/>
  <c r="ADQ40" i="5" s="1"/>
  <c r="ADR40" i="5" s="1"/>
  <c r="ADS40" i="5" s="1"/>
  <c r="ADT40" i="5" s="1"/>
  <c r="ADU40" i="5" s="1"/>
  <c r="ADV40" i="5" s="1"/>
  <c r="ADW40" i="5" s="1"/>
  <c r="ADX40" i="5" s="1"/>
  <c r="ADY40" i="5" s="1"/>
  <c r="ADZ40" i="5" s="1"/>
  <c r="AEA40" i="5" s="1"/>
  <c r="AEB40" i="5" s="1"/>
  <c r="AEC40" i="5" s="1"/>
  <c r="AED40" i="5" s="1"/>
  <c r="AEE40" i="5" s="1"/>
  <c r="AEF40" i="5" s="1"/>
  <c r="AEG40" i="5" s="1"/>
  <c r="AEH40" i="5" s="1"/>
  <c r="AEI40" i="5" s="1"/>
  <c r="AEJ40" i="5" s="1"/>
  <c r="AEK40" i="5" s="1"/>
  <c r="AEL40" i="5" s="1"/>
  <c r="AEM40" i="5" s="1"/>
  <c r="AEO40" i="5" s="1"/>
  <c r="AEP40" i="5" s="1"/>
  <c r="AEQ40" i="5" s="1"/>
  <c r="AER40" i="5" s="1"/>
  <c r="AES40" i="5" s="1"/>
  <c r="AET40" i="5" s="1"/>
  <c r="AEU40" i="5" s="1"/>
  <c r="AEV40" i="5" s="1"/>
  <c r="AEW40" i="5" s="1"/>
  <c r="AEX40" i="5" s="1"/>
  <c r="AEY40" i="5" s="1"/>
  <c r="AEZ40" i="5" s="1"/>
  <c r="AFA40" i="5" s="1"/>
  <c r="AFB40" i="5" s="1"/>
  <c r="AFC40" i="5" s="1"/>
  <c r="AFD40" i="5" s="1"/>
  <c r="AFE40" i="5" s="1"/>
  <c r="AFF40" i="5" s="1"/>
  <c r="AFG40" i="5" s="1"/>
  <c r="AFH40" i="5" s="1"/>
  <c r="AFI40" i="5" s="1"/>
  <c r="AFJ40" i="5" s="1"/>
  <c r="AFK40" i="5" s="1"/>
  <c r="AFL40" i="5" s="1"/>
  <c r="AFM40" i="5" s="1"/>
  <c r="AFN40" i="5" s="1"/>
  <c r="AFO40" i="5" s="1"/>
  <c r="AFP40" i="5" s="1"/>
  <c r="AFQ40" i="5" s="1"/>
  <c r="AFR40" i="5" s="1"/>
  <c r="AFS40" i="5" s="1"/>
  <c r="AFU40" i="5" s="1"/>
  <c r="AFV40" i="5" s="1"/>
  <c r="AFW40" i="5" s="1"/>
  <c r="AFX40" i="5" s="1"/>
  <c r="AFY40" i="5" s="1"/>
  <c r="AFZ40" i="5" s="1"/>
  <c r="AGA40" i="5" s="1"/>
  <c r="AGB40" i="5" s="1"/>
  <c r="AGC40" i="5" s="1"/>
  <c r="AGD40" i="5" s="1"/>
  <c r="AGE40" i="5" s="1"/>
  <c r="AGF40" i="5" s="1"/>
  <c r="AGG40" i="5" s="1"/>
  <c r="AGH40" i="5" s="1"/>
  <c r="AGI40" i="5" s="1"/>
  <c r="AGJ40" i="5" s="1"/>
  <c r="AGK40" i="5" s="1"/>
  <c r="AGL40" i="5" s="1"/>
  <c r="AGM40" i="5" s="1"/>
  <c r="AGN40" i="5" s="1"/>
  <c r="AGO40" i="5" s="1"/>
  <c r="AGP40" i="5" s="1"/>
  <c r="AGQ40" i="5" s="1"/>
  <c r="AGR40" i="5" s="1"/>
  <c r="AGS40" i="5" s="1"/>
  <c r="AGT40" i="5" s="1"/>
  <c r="AGU40" i="5" s="1"/>
  <c r="AGV40" i="5" s="1"/>
  <c r="AGW40" i="5" s="1"/>
  <c r="AGX40" i="5" s="1"/>
  <c r="AGZ40" i="5" s="1"/>
  <c r="AHA40" i="5" s="1"/>
  <c r="AHB40" i="5" s="1"/>
  <c r="AHC40" i="5" s="1"/>
  <c r="AHD40" i="5" s="1"/>
  <c r="AHE40" i="5" s="1"/>
  <c r="AHF40" i="5" s="1"/>
  <c r="AHG40" i="5" s="1"/>
  <c r="AHH40" i="5" s="1"/>
  <c r="AHI40" i="5" s="1"/>
  <c r="AHJ40" i="5" s="1"/>
  <c r="AHK40" i="5" s="1"/>
  <c r="AHL40" i="5" s="1"/>
  <c r="AHM40" i="5" s="1"/>
  <c r="AHN40" i="5" s="1"/>
  <c r="AHO40" i="5" s="1"/>
  <c r="AHP40" i="5" s="1"/>
  <c r="AHQ40" i="5" s="1"/>
  <c r="AHR40" i="5" s="1"/>
  <c r="AHS40" i="5" s="1"/>
  <c r="AHT40" i="5" s="1"/>
  <c r="AHU40" i="5" s="1"/>
  <c r="AHV40" i="5" s="1"/>
  <c r="AHW40" i="5" s="1"/>
  <c r="AHX40" i="5" s="1"/>
  <c r="AHY40" i="5" s="1"/>
  <c r="AHZ40" i="5" s="1"/>
  <c r="AIA40" i="5" s="1"/>
  <c r="AIB40" i="5" s="1"/>
  <c r="AIC40" i="5" s="1"/>
  <c r="AID40" i="5" s="1"/>
  <c r="AIF40" i="5" s="1"/>
  <c r="AIG40" i="5" s="1"/>
  <c r="AIH40" i="5" s="1"/>
  <c r="AII40" i="5" s="1"/>
  <c r="AIJ40" i="5" s="1"/>
  <c r="AIK40" i="5" s="1"/>
  <c r="AIL40" i="5" s="1"/>
  <c r="AIM40" i="5" s="1"/>
  <c r="AIN40" i="5" s="1"/>
  <c r="AIO40" i="5" s="1"/>
  <c r="AIP40" i="5" s="1"/>
  <c r="AIQ40" i="5" s="1"/>
  <c r="AIR40" i="5" s="1"/>
  <c r="AIS40" i="5" s="1"/>
  <c r="AIT40" i="5" s="1"/>
  <c r="AIU40" i="5" s="1"/>
  <c r="AIV40" i="5" s="1"/>
  <c r="AIW40" i="5" s="1"/>
  <c r="AIX40" i="5" s="1"/>
  <c r="AIY40" i="5" s="1"/>
  <c r="AIZ40" i="5" s="1"/>
  <c r="AJA40" i="5" s="1"/>
  <c r="AJB40" i="5" s="1"/>
  <c r="AJC40" i="5" s="1"/>
  <c r="AJD40" i="5" s="1"/>
  <c r="AJE40" i="5" s="1"/>
  <c r="AJF40" i="5" s="1"/>
  <c r="AJG40" i="5" s="1"/>
  <c r="AJH40" i="5" s="1"/>
  <c r="AJI40" i="5" s="1"/>
  <c r="AJJ40" i="5" s="1"/>
  <c r="AJL40" i="5" s="1"/>
  <c r="AJM40" i="5" s="1"/>
  <c r="AJN40" i="5" s="1"/>
  <c r="AJO40" i="5" s="1"/>
  <c r="AJP40" i="5" s="1"/>
  <c r="AJQ40" i="5" s="1"/>
  <c r="AJR40" i="5" s="1"/>
  <c r="AJS40" i="5" s="1"/>
  <c r="AJT40" i="5" s="1"/>
  <c r="AJU40" i="5" s="1"/>
  <c r="AJV40" i="5" s="1"/>
  <c r="AJW40" i="5" s="1"/>
  <c r="AJX40" i="5" s="1"/>
  <c r="AJY40" i="5" s="1"/>
  <c r="AJZ40" i="5" s="1"/>
  <c r="AKA40" i="5" s="1"/>
  <c r="AKB40" i="5" s="1"/>
  <c r="AKC40" i="5" s="1"/>
  <c r="AKD40" i="5" s="1"/>
  <c r="AKE40" i="5" s="1"/>
  <c r="AKF40" i="5" s="1"/>
  <c r="AKG40" i="5" s="1"/>
  <c r="AKH40" i="5" s="1"/>
  <c r="AKI40" i="5" s="1"/>
  <c r="AKJ40" i="5" s="1"/>
  <c r="AKK40" i="5" s="1"/>
  <c r="AKL40" i="5" s="1"/>
  <c r="AKM40" i="5" s="1"/>
  <c r="AKO40" i="5" s="1"/>
  <c r="AKP40" i="5" s="1"/>
  <c r="AKQ40" i="5" s="1"/>
  <c r="AKR40" i="5" s="1"/>
  <c r="AKS40" i="5" s="1"/>
  <c r="AKT40" i="5" s="1"/>
  <c r="AKU40" i="5" s="1"/>
  <c r="AKV40" i="5" s="1"/>
  <c r="AKW40" i="5" s="1"/>
  <c r="AKX40" i="5" s="1"/>
  <c r="AKY40" i="5" s="1"/>
  <c r="AKZ40" i="5" s="1"/>
  <c r="ALA40" i="5" s="1"/>
  <c r="ALB40" i="5" s="1"/>
  <c r="ALC40" i="5" s="1"/>
  <c r="ALD40" i="5" s="1"/>
  <c r="ALE40" i="5" s="1"/>
  <c r="ALF40" i="5" s="1"/>
  <c r="ALG40" i="5" s="1"/>
  <c r="ALH40" i="5" s="1"/>
  <c r="ALI40" i="5" s="1"/>
  <c r="ALJ40" i="5" s="1"/>
  <c r="ALK40" i="5" s="1"/>
  <c r="ALL40" i="5" s="1"/>
  <c r="ALM40" i="5" s="1"/>
  <c r="ALN40" i="5" s="1"/>
  <c r="ALO40" i="5" s="1"/>
  <c r="ALP40" i="5" s="1"/>
  <c r="ALQ40" i="5" s="1"/>
  <c r="ALR40" i="5" s="1"/>
  <c r="ALS40" i="5" s="1"/>
  <c r="ALU40" i="5" s="1"/>
  <c r="ALV40" i="5" s="1"/>
  <c r="ALW40" i="5" s="1"/>
  <c r="ALX40" i="5" s="1"/>
  <c r="ALY40" i="5" s="1"/>
  <c r="ALZ40" i="5" s="1"/>
  <c r="AMA40" i="5" s="1"/>
  <c r="AMB40" i="5" s="1"/>
  <c r="AMC40" i="5" s="1"/>
  <c r="AMD40" i="5" s="1"/>
  <c r="AME40" i="5" s="1"/>
  <c r="AMF40" i="5" s="1"/>
  <c r="AMG40" i="5" s="1"/>
  <c r="AMH40" i="5" s="1"/>
  <c r="AMI40" i="5" s="1"/>
  <c r="AMJ40" i="5" s="1"/>
  <c r="AMK40" i="5" s="1"/>
  <c r="AML40" i="5" s="1"/>
  <c r="AMM40" i="5" s="1"/>
  <c r="AMN40" i="5" s="1"/>
  <c r="AMO40" i="5" s="1"/>
  <c r="AMP40" i="5" s="1"/>
  <c r="AMQ40" i="5" s="1"/>
  <c r="AMR40" i="5" s="1"/>
  <c r="AMS40" i="5" s="1"/>
  <c r="AMT40" i="5" s="1"/>
  <c r="AMU40" i="5" s="1"/>
  <c r="AMV40" i="5" s="1"/>
  <c r="AMW40" i="5" s="1"/>
  <c r="AMX40" i="5" s="1"/>
  <c r="AMZ40" i="5" s="1"/>
  <c r="ANA40" i="5" s="1"/>
  <c r="ANB40" i="5" s="1"/>
  <c r="ANC40" i="5" s="1"/>
  <c r="AND40" i="5" s="1"/>
  <c r="ANE40" i="5" s="1"/>
  <c r="ANF40" i="5" s="1"/>
  <c r="ANG40" i="5" s="1"/>
  <c r="ANH40" i="5" s="1"/>
  <c r="ANI40" i="5" s="1"/>
  <c r="ANJ40" i="5" s="1"/>
  <c r="ANK40" i="5" s="1"/>
  <c r="ANL40" i="5" s="1"/>
  <c r="ANM40" i="5" s="1"/>
  <c r="ANN40" i="5" s="1"/>
  <c r="ANO40" i="5" s="1"/>
  <c r="ANP40" i="5" s="1"/>
  <c r="ANQ40" i="5" s="1"/>
  <c r="ANR40" i="5" s="1"/>
  <c r="ANS40" i="5" s="1"/>
  <c r="ANT40" i="5" s="1"/>
  <c r="ANU40" i="5" s="1"/>
  <c r="ANV40" i="5" s="1"/>
  <c r="ANW40" i="5" s="1"/>
  <c r="ANX40" i="5" s="1"/>
  <c r="ANY40" i="5" s="1"/>
  <c r="ANZ40" i="5" s="1"/>
  <c r="AOA40" i="5" s="1"/>
  <c r="AOB40" i="5" s="1"/>
  <c r="AOC40" i="5" s="1"/>
  <c r="BI38" i="5"/>
  <c r="BI44" i="5" s="1"/>
  <c r="BJ38" i="5"/>
  <c r="BH44" i="5"/>
  <c r="BI37" i="5"/>
  <c r="BJ20" i="5"/>
  <c r="CL19" i="5"/>
  <c r="AV49" i="5"/>
  <c r="AV51" i="5" s="1"/>
  <c r="AV53" i="5" s="1"/>
  <c r="AW46" i="5"/>
  <c r="BO48" i="5" l="1"/>
  <c r="BP48" i="5"/>
  <c r="BK38" i="5"/>
  <c r="BK44" i="5" s="1"/>
  <c r="BL38" i="5"/>
  <c r="BJ44" i="5"/>
  <c r="BJ37" i="5"/>
  <c r="BK20" i="5"/>
  <c r="CM19" i="5"/>
  <c r="AW49" i="5"/>
  <c r="AW51" i="5" s="1"/>
  <c r="AW53" i="5" s="1"/>
  <c r="AX46" i="5"/>
  <c r="BQ48" i="5" l="1"/>
  <c r="BR48" i="5"/>
  <c r="BM38" i="5"/>
  <c r="BL44" i="5"/>
  <c r="BK37" i="5"/>
  <c r="BL20" i="5"/>
  <c r="CN19" i="5"/>
  <c r="AX49" i="5"/>
  <c r="AX51" i="5" s="1"/>
  <c r="AX53" i="5" s="1"/>
  <c r="AY46" i="5"/>
  <c r="BS48" i="5" l="1"/>
  <c r="BT48" i="5"/>
  <c r="BN38" i="5"/>
  <c r="BM44" i="5"/>
  <c r="BL37" i="5"/>
  <c r="BM20" i="5"/>
  <c r="CO19" i="5"/>
  <c r="AY49" i="5"/>
  <c r="AY51" i="5" s="1"/>
  <c r="AY53" i="5" s="1"/>
  <c r="AZ46" i="5"/>
  <c r="BU48" i="5" l="1"/>
  <c r="BV48" i="5"/>
  <c r="BO38" i="5"/>
  <c r="BN44" i="5"/>
  <c r="BM37" i="5"/>
  <c r="BN20" i="5"/>
  <c r="CP19" i="5"/>
  <c r="AZ49" i="5"/>
  <c r="AZ51" i="5" s="1"/>
  <c r="AZ53" i="5" s="1"/>
  <c r="BA46" i="5"/>
  <c r="BW48" i="5" l="1"/>
  <c r="BX48" i="5"/>
  <c r="BP38" i="5"/>
  <c r="BO44" i="5"/>
  <c r="BN37" i="5"/>
  <c r="BO20" i="5"/>
  <c r="CQ19" i="5"/>
  <c r="BA49" i="5"/>
  <c r="BA51" i="5" s="1"/>
  <c r="BA53" i="5" s="1"/>
  <c r="BB46" i="5"/>
  <c r="BY48" i="5" l="1"/>
  <c r="BZ48" i="5"/>
  <c r="BQ38" i="5"/>
  <c r="BP44" i="5"/>
  <c r="BO37" i="5"/>
  <c r="BP20" i="5"/>
  <c r="CR19" i="5"/>
  <c r="BB49" i="5"/>
  <c r="BB51" i="5" s="1"/>
  <c r="BB53" i="5" s="1"/>
  <c r="BC46" i="5"/>
  <c r="CA48" i="5" l="1"/>
  <c r="CB48" i="5"/>
  <c r="BR38" i="5"/>
  <c r="BQ44" i="5"/>
  <c r="BP37" i="5"/>
  <c r="BQ20" i="5"/>
  <c r="CT19" i="5"/>
  <c r="BC49" i="5"/>
  <c r="BC51" i="5" s="1"/>
  <c r="BC53" i="5" s="1"/>
  <c r="BD46" i="5"/>
  <c r="CC48" i="5" l="1"/>
  <c r="CD48" i="5"/>
  <c r="BS38" i="5"/>
  <c r="BR44" i="5"/>
  <c r="BQ37" i="5"/>
  <c r="BR20" i="5"/>
  <c r="CU19" i="5"/>
  <c r="CV19" i="5"/>
  <c r="BD49" i="5"/>
  <c r="BD51" i="5" s="1"/>
  <c r="BD53" i="5" s="1"/>
  <c r="BE46" i="5"/>
  <c r="CE48" i="5" l="1"/>
  <c r="CF48" i="5"/>
  <c r="BT38" i="5"/>
  <c r="BS44" i="5"/>
  <c r="BR37" i="5"/>
  <c r="BS20" i="5"/>
  <c r="CW19" i="5"/>
  <c r="CX19" i="5"/>
  <c r="BE49" i="5"/>
  <c r="BE51" i="5" s="1"/>
  <c r="BE53" i="5" s="1"/>
  <c r="BF46" i="5"/>
  <c r="CG48" i="5" l="1"/>
  <c r="CH48" i="5"/>
  <c r="BU38" i="5"/>
  <c r="BT44" i="5"/>
  <c r="BS37" i="5"/>
  <c r="BT20" i="5"/>
  <c r="CY19" i="5"/>
  <c r="CZ19" i="5"/>
  <c r="BF49" i="5"/>
  <c r="BF51" i="5" s="1"/>
  <c r="BF53" i="5" s="1"/>
  <c r="BG46" i="5"/>
  <c r="CI48" i="5" l="1"/>
  <c r="CJ48" i="5"/>
  <c r="BV38" i="5"/>
  <c r="BU44" i="5"/>
  <c r="BT37" i="5"/>
  <c r="BU20" i="5"/>
  <c r="DA19" i="5"/>
  <c r="DB19" i="5"/>
  <c r="BG49" i="5"/>
  <c r="BG51" i="5" s="1"/>
  <c r="BG53" i="5" s="1"/>
  <c r="BH46" i="5"/>
  <c r="CK48" i="5" l="1"/>
  <c r="CL48" i="5"/>
  <c r="BW38" i="5"/>
  <c r="BV44" i="5"/>
  <c r="BU37" i="5"/>
  <c r="BV20" i="5"/>
  <c r="DC19" i="5"/>
  <c r="DD19" i="5"/>
  <c r="BH49" i="5"/>
  <c r="BH51" i="5" s="1"/>
  <c r="BH53" i="5" s="1"/>
  <c r="BI46" i="5"/>
  <c r="CM48" i="5" l="1"/>
  <c r="CN48" i="5"/>
  <c r="BX38" i="5"/>
  <c r="BW44" i="5"/>
  <c r="BV37" i="5"/>
  <c r="BW20" i="5"/>
  <c r="DE19" i="5"/>
  <c r="DF19" i="5"/>
  <c r="BI49" i="5"/>
  <c r="BI51" i="5" s="1"/>
  <c r="BI53" i="5" s="1"/>
  <c r="BJ46" i="5"/>
  <c r="CO48" i="5" l="1"/>
  <c r="CP48" i="5"/>
  <c r="BY38" i="5"/>
  <c r="BX44" i="5"/>
  <c r="BW37" i="5"/>
  <c r="BX20" i="5"/>
  <c r="DG19" i="5"/>
  <c r="DH19" i="5"/>
  <c r="BJ49" i="5"/>
  <c r="BJ51" i="5" s="1"/>
  <c r="BJ53" i="5" s="1"/>
  <c r="BK46" i="5"/>
  <c r="CQ48" i="5" l="1"/>
  <c r="CR48" i="5"/>
  <c r="BZ38" i="5"/>
  <c r="BY44" i="5"/>
  <c r="BX37" i="5"/>
  <c r="BY20" i="5"/>
  <c r="DI19" i="5"/>
  <c r="DJ19" i="5"/>
  <c r="BK49" i="5"/>
  <c r="BK51" i="5" s="1"/>
  <c r="BK53" i="5" s="1"/>
  <c r="BL46" i="5"/>
  <c r="CT48" i="5" l="1"/>
  <c r="CA38" i="5"/>
  <c r="BZ44" i="5"/>
  <c r="BY37" i="5"/>
  <c r="BZ20" i="5"/>
  <c r="DK19" i="5"/>
  <c r="DL19" i="5"/>
  <c r="BL49" i="5"/>
  <c r="BL51" i="5" s="1"/>
  <c r="BM46" i="5"/>
  <c r="CU48" i="5" l="1"/>
  <c r="CV48" i="5"/>
  <c r="CB38" i="5"/>
  <c r="CA44" i="5"/>
  <c r="BZ37" i="5"/>
  <c r="CA20" i="5"/>
  <c r="DM19" i="5"/>
  <c r="DN19" i="5"/>
  <c r="BM51" i="5"/>
  <c r="BM53" i="5" s="1"/>
  <c r="BL53" i="5"/>
  <c r="BM49" i="5"/>
  <c r="BN46" i="5"/>
  <c r="CW48" i="5" l="1"/>
  <c r="CX48" i="5"/>
  <c r="CC38" i="5"/>
  <c r="CB44" i="5"/>
  <c r="CA37" i="5"/>
  <c r="CB20" i="5"/>
  <c r="DO19" i="5"/>
  <c r="DP19" i="5"/>
  <c r="BN49" i="5"/>
  <c r="BO46" i="5"/>
  <c r="CY48" i="5" l="1"/>
  <c r="CZ48" i="5"/>
  <c r="CD38" i="5"/>
  <c r="CC44" i="5"/>
  <c r="CB37" i="5"/>
  <c r="CC20" i="5"/>
  <c r="DQ19" i="5"/>
  <c r="DR19" i="5"/>
  <c r="BN51" i="5"/>
  <c r="BO49" i="5"/>
  <c r="BP46" i="5"/>
  <c r="DA48" i="5" l="1"/>
  <c r="DB48" i="5"/>
  <c r="CE38" i="5"/>
  <c r="CD44" i="5"/>
  <c r="CC37" i="5"/>
  <c r="CD20" i="5"/>
  <c r="DS19" i="5"/>
  <c r="DT19" i="5"/>
  <c r="BN53" i="5"/>
  <c r="BP49" i="5"/>
  <c r="BP51" i="5" s="1"/>
  <c r="BQ46" i="5"/>
  <c r="BO51" i="5"/>
  <c r="BO53" i="5" s="1"/>
  <c r="DC48" i="5" l="1"/>
  <c r="DD48" i="5"/>
  <c r="CF38" i="5"/>
  <c r="CE44" i="5"/>
  <c r="CD37" i="5"/>
  <c r="CE20" i="5"/>
  <c r="DU19" i="5"/>
  <c r="DV19" i="5"/>
  <c r="BQ49" i="5"/>
  <c r="BR46" i="5"/>
  <c r="BP53" i="5"/>
  <c r="DE48" i="5" l="1"/>
  <c r="DF48" i="5"/>
  <c r="CG38" i="5"/>
  <c r="CF44" i="5"/>
  <c r="CE37" i="5"/>
  <c r="CF20" i="5"/>
  <c r="DW19" i="5"/>
  <c r="BQ51" i="5"/>
  <c r="BR49" i="5"/>
  <c r="BS46" i="5"/>
  <c r="DG48" i="5" l="1"/>
  <c r="DH48" i="5"/>
  <c r="CH38" i="5"/>
  <c r="CG44" i="5"/>
  <c r="CF37" i="5"/>
  <c r="CG20" i="5"/>
  <c r="DY19" i="5"/>
  <c r="BQ53" i="5"/>
  <c r="BS49" i="5"/>
  <c r="BT46" i="5"/>
  <c r="BR51" i="5"/>
  <c r="BR53" i="5" s="1"/>
  <c r="DI48" i="5" l="1"/>
  <c r="DJ48" i="5"/>
  <c r="CI38" i="5"/>
  <c r="CH44" i="5"/>
  <c r="CG37" i="5"/>
  <c r="CH20" i="5"/>
  <c r="DZ19" i="5"/>
  <c r="EA19" i="5"/>
  <c r="BT49" i="5"/>
  <c r="BT51" i="5" s="1"/>
  <c r="BT53" i="5" s="1"/>
  <c r="BU46" i="5"/>
  <c r="BS51" i="5"/>
  <c r="DK48" i="5" l="1"/>
  <c r="DL48" i="5"/>
  <c r="CJ38" i="5"/>
  <c r="CI44" i="5"/>
  <c r="CH37" i="5"/>
  <c r="CI20" i="5"/>
  <c r="EB19" i="5"/>
  <c r="BU49" i="5"/>
  <c r="BV46" i="5"/>
  <c r="BS53" i="5"/>
  <c r="DM48" i="5" l="1"/>
  <c r="DN48" i="5"/>
  <c r="CK38" i="5"/>
  <c r="CJ44" i="5"/>
  <c r="CI37" i="5"/>
  <c r="CJ20" i="5"/>
  <c r="EC19" i="5"/>
  <c r="ED19" i="5"/>
  <c r="BU51" i="5"/>
  <c r="BV49" i="5"/>
  <c r="BW46" i="5"/>
  <c r="DO48" i="5" l="1"/>
  <c r="DP48" i="5"/>
  <c r="CL38" i="5"/>
  <c r="CK44" i="5"/>
  <c r="CJ37" i="5"/>
  <c r="CK20" i="5"/>
  <c r="EE19" i="5"/>
  <c r="EF19" i="5"/>
  <c r="BU53" i="5"/>
  <c r="BW49" i="5"/>
  <c r="BX46" i="5"/>
  <c r="BV51" i="5"/>
  <c r="BV53" i="5" s="1"/>
  <c r="DQ48" i="5" l="1"/>
  <c r="DR48" i="5"/>
  <c r="CM38" i="5"/>
  <c r="CL44" i="5"/>
  <c r="CK37" i="5"/>
  <c r="CL20" i="5"/>
  <c r="EG19" i="5"/>
  <c r="EH19" i="5"/>
  <c r="BX49" i="5"/>
  <c r="BY46" i="5"/>
  <c r="BW51" i="5"/>
  <c r="DS48" i="5" l="1"/>
  <c r="DT48" i="5"/>
  <c r="CN38" i="5"/>
  <c r="CM44" i="5"/>
  <c r="CL37" i="5"/>
  <c r="CM20" i="5"/>
  <c r="EI19" i="5"/>
  <c r="EJ19" i="5"/>
  <c r="BY49" i="5"/>
  <c r="BY51" i="5" s="1"/>
  <c r="BY53" i="5" s="1"/>
  <c r="BZ46" i="5"/>
  <c r="BW53" i="5"/>
  <c r="BX51" i="5"/>
  <c r="BX53" i="5" s="1"/>
  <c r="DU48" i="5" l="1"/>
  <c r="DV48" i="5"/>
  <c r="CO38" i="5"/>
  <c r="CN44" i="5"/>
  <c r="CM37" i="5"/>
  <c r="CN20" i="5"/>
  <c r="EK19" i="5"/>
  <c r="EL19" i="5"/>
  <c r="BZ49" i="5"/>
  <c r="CA46" i="5"/>
  <c r="DW48" i="5" l="1"/>
  <c r="CP38" i="5"/>
  <c r="CO44" i="5"/>
  <c r="CN37" i="5"/>
  <c r="CO20" i="5"/>
  <c r="EM19" i="5"/>
  <c r="EN19" i="5"/>
  <c r="BZ51" i="5"/>
  <c r="CA49" i="5"/>
  <c r="CB46" i="5"/>
  <c r="DY48" i="5" l="1"/>
  <c r="CQ38" i="5"/>
  <c r="CP44" i="5"/>
  <c r="CO37" i="5"/>
  <c r="CP20" i="5"/>
  <c r="EO19" i="5"/>
  <c r="EP19" i="5"/>
  <c r="BZ53" i="5"/>
  <c r="CB49" i="5"/>
  <c r="CB51" i="5" s="1"/>
  <c r="CC46" i="5"/>
  <c r="CA51" i="5"/>
  <c r="CA53" i="5" s="1"/>
  <c r="DZ48" i="5" l="1"/>
  <c r="EA48" i="5"/>
  <c r="CR38" i="5"/>
  <c r="CQ44" i="5"/>
  <c r="CP37" i="5"/>
  <c r="CQ20" i="5"/>
  <c r="EQ19" i="5"/>
  <c r="ER19" i="5"/>
  <c r="CC49" i="5"/>
  <c r="CD46" i="5"/>
  <c r="CB53" i="5"/>
  <c r="EB48" i="5" l="1"/>
  <c r="EC48" i="5"/>
  <c r="CT38" i="5"/>
  <c r="CR44" i="5"/>
  <c r="CS44" i="5" s="1"/>
  <c r="CQ37" i="5"/>
  <c r="CR20" i="5"/>
  <c r="ES19" i="5"/>
  <c r="ET19" i="5"/>
  <c r="CC51" i="5"/>
  <c r="CD49" i="5"/>
  <c r="CE46" i="5"/>
  <c r="ED48" i="5" l="1"/>
  <c r="EE48" i="5"/>
  <c r="CU38" i="5"/>
  <c r="CT44" i="5"/>
  <c r="CR37" i="5"/>
  <c r="CT20" i="5"/>
  <c r="EU19" i="5"/>
  <c r="EV19" i="5"/>
  <c r="CC53" i="5"/>
  <c r="CE49" i="5"/>
  <c r="CE51" i="5" s="1"/>
  <c r="CF46" i="5"/>
  <c r="CD51" i="5"/>
  <c r="CD53" i="5" s="1"/>
  <c r="EF48" i="5" l="1"/>
  <c r="EG48" i="5"/>
  <c r="CV38" i="5"/>
  <c r="CV44" i="5" s="1"/>
  <c r="CW38" i="5"/>
  <c r="CU44" i="5"/>
  <c r="CS37" i="5"/>
  <c r="CT37" i="5"/>
  <c r="CU20" i="5"/>
  <c r="CV20" i="5"/>
  <c r="EW19" i="5"/>
  <c r="EX19" i="5"/>
  <c r="CF49" i="5"/>
  <c r="CG46" i="5"/>
  <c r="CE53" i="5"/>
  <c r="EH48" i="5" l="1"/>
  <c r="EI48" i="5"/>
  <c r="CX38" i="5"/>
  <c r="CW44" i="5"/>
  <c r="CU37" i="5"/>
  <c r="CW20" i="5"/>
  <c r="CV37" i="5"/>
  <c r="CX20" i="5"/>
  <c r="EY19" i="5"/>
  <c r="EZ19" i="5"/>
  <c r="CF51" i="5"/>
  <c r="CG49" i="5"/>
  <c r="CH46" i="5"/>
  <c r="EJ48" i="5" l="1"/>
  <c r="EK48" i="5"/>
  <c r="CY38" i="5"/>
  <c r="CY44" i="5" s="1"/>
  <c r="CZ38" i="5"/>
  <c r="CX44" i="5"/>
  <c r="CW37" i="5"/>
  <c r="CY20" i="5"/>
  <c r="CX37" i="5"/>
  <c r="CZ20" i="5"/>
  <c r="FA19" i="5"/>
  <c r="FB19" i="5"/>
  <c r="CF53" i="5"/>
  <c r="CH49" i="5"/>
  <c r="CH51" i="5" s="1"/>
  <c r="CI46" i="5"/>
  <c r="CG51" i="5"/>
  <c r="CG53" i="5" s="1"/>
  <c r="EL48" i="5" l="1"/>
  <c r="EM48" i="5"/>
  <c r="DA38" i="5"/>
  <c r="DB38" i="5"/>
  <c r="DB44" i="5" s="1"/>
  <c r="CZ44" i="5"/>
  <c r="CY37" i="5"/>
  <c r="DA20" i="5"/>
  <c r="CZ37" i="5"/>
  <c r="DB20" i="5"/>
  <c r="FC19" i="5"/>
  <c r="CI49" i="5"/>
  <c r="CJ46" i="5"/>
  <c r="CH53" i="5"/>
  <c r="EN48" i="5" l="1"/>
  <c r="EO48" i="5"/>
  <c r="DC38" i="5"/>
  <c r="DA44" i="5"/>
  <c r="DA37" i="5"/>
  <c r="DC20" i="5"/>
  <c r="DB37" i="5"/>
  <c r="DD20" i="5"/>
  <c r="FE19" i="5"/>
  <c r="CI51" i="5"/>
  <c r="CJ49" i="5"/>
  <c r="CK46" i="5"/>
  <c r="EP48" i="5" l="1"/>
  <c r="EQ48" i="5"/>
  <c r="DD38" i="5"/>
  <c r="DC44" i="5"/>
  <c r="DC37" i="5"/>
  <c r="DE20" i="5"/>
  <c r="DD37" i="5"/>
  <c r="DF20" i="5"/>
  <c r="FF19" i="5"/>
  <c r="FG19" i="5"/>
  <c r="CI53" i="5"/>
  <c r="CK49" i="5"/>
  <c r="CL46" i="5"/>
  <c r="CJ51" i="5"/>
  <c r="CJ53" i="5" s="1"/>
  <c r="ER48" i="5" l="1"/>
  <c r="ES48" i="5"/>
  <c r="DE38" i="5"/>
  <c r="DE44" i="5" s="1"/>
  <c r="DF38" i="5"/>
  <c r="DD44" i="5"/>
  <c r="DE37" i="5"/>
  <c r="DG20" i="5"/>
  <c r="DF37" i="5"/>
  <c r="DH20" i="5"/>
  <c r="FH19" i="5"/>
  <c r="FI19" i="5"/>
  <c r="CL49" i="5"/>
  <c r="CL51" i="5" s="1"/>
  <c r="CL53" i="5" s="1"/>
  <c r="CM46" i="5"/>
  <c r="CK51" i="5"/>
  <c r="ET48" i="5" l="1"/>
  <c r="EU48" i="5"/>
  <c r="DG38" i="5"/>
  <c r="DF44" i="5"/>
  <c r="DG37" i="5"/>
  <c r="DI20" i="5"/>
  <c r="DH37" i="5"/>
  <c r="DJ20" i="5"/>
  <c r="FJ19" i="5"/>
  <c r="CM49" i="5"/>
  <c r="CN46" i="5"/>
  <c r="CK53" i="5"/>
  <c r="EV48" i="5" l="1"/>
  <c r="EW48" i="5"/>
  <c r="DH38" i="5"/>
  <c r="DG44" i="5"/>
  <c r="DI37" i="5"/>
  <c r="DK20" i="5"/>
  <c r="DJ37" i="5"/>
  <c r="DL20" i="5"/>
  <c r="FK19" i="5"/>
  <c r="FL19" i="5"/>
  <c r="CM51" i="5"/>
  <c r="CN49" i="5"/>
  <c r="CO46" i="5"/>
  <c r="EX48" i="5" l="1"/>
  <c r="EY48" i="5"/>
  <c r="DI38" i="5"/>
  <c r="DH44" i="5"/>
  <c r="DK37" i="5"/>
  <c r="DM20" i="5"/>
  <c r="DL37" i="5"/>
  <c r="DN20" i="5"/>
  <c r="FM19" i="5"/>
  <c r="FN19" i="5"/>
  <c r="CM53" i="5"/>
  <c r="CO49" i="5"/>
  <c r="CP46" i="5"/>
  <c r="CN51" i="5"/>
  <c r="CN53" i="5" s="1"/>
  <c r="EZ48" i="5" l="1"/>
  <c r="FA48" i="5"/>
  <c r="DJ38" i="5"/>
  <c r="DI44" i="5"/>
  <c r="DM37" i="5"/>
  <c r="DO20" i="5"/>
  <c r="DN37" i="5"/>
  <c r="DP20" i="5"/>
  <c r="FO19" i="5"/>
  <c r="FP19" i="5"/>
  <c r="CP49" i="5"/>
  <c r="CP51" i="5" s="1"/>
  <c r="CP53" i="5" s="1"/>
  <c r="CQ46" i="5"/>
  <c r="CO51" i="5"/>
  <c r="FB48" i="5" l="1"/>
  <c r="FC48" i="5"/>
  <c r="DK38" i="5"/>
  <c r="DL38" i="5"/>
  <c r="DJ44" i="5"/>
  <c r="DO37" i="5"/>
  <c r="DQ20" i="5"/>
  <c r="DP37" i="5"/>
  <c r="DR20" i="5"/>
  <c r="FQ19" i="5"/>
  <c r="FR19" i="5"/>
  <c r="CQ49" i="5"/>
  <c r="CR46" i="5"/>
  <c r="CO53" i="5"/>
  <c r="FE48" i="5" l="1"/>
  <c r="DM38" i="5"/>
  <c r="DK44" i="5"/>
  <c r="DN38" i="5"/>
  <c r="DL44" i="5"/>
  <c r="DQ37" i="5"/>
  <c r="DS20" i="5"/>
  <c r="DR37" i="5"/>
  <c r="DT20" i="5"/>
  <c r="FS19" i="5"/>
  <c r="FT19" i="5"/>
  <c r="CQ51" i="5"/>
  <c r="CR49" i="5"/>
  <c r="CT46" i="5"/>
  <c r="FF48" i="5" l="1"/>
  <c r="FG48" i="5"/>
  <c r="DO38" i="5"/>
  <c r="DO44" i="5" s="1"/>
  <c r="DM44" i="5"/>
  <c r="DP38" i="5"/>
  <c r="DN44" i="5"/>
  <c r="DS37" i="5"/>
  <c r="DU20" i="5"/>
  <c r="DT37" i="5"/>
  <c r="DV20" i="5"/>
  <c r="DV37" i="5" s="1"/>
  <c r="FU19" i="5"/>
  <c r="FV19" i="5"/>
  <c r="CS51" i="5"/>
  <c r="CQ53" i="5"/>
  <c r="CT49" i="5"/>
  <c r="CT51" i="5" s="1"/>
  <c r="CT53" i="5" s="1"/>
  <c r="CU46" i="5"/>
  <c r="CR51" i="5"/>
  <c r="CR53" i="5" s="1"/>
  <c r="CS49" i="5"/>
  <c r="FH48" i="5" l="1"/>
  <c r="FI48" i="5"/>
  <c r="DQ38" i="5"/>
  <c r="DP44" i="5"/>
  <c r="DU37" i="5"/>
  <c r="DW20" i="5"/>
  <c r="FW19" i="5"/>
  <c r="FX19" i="5"/>
  <c r="CU49" i="5"/>
  <c r="CU51" i="5" s="1"/>
  <c r="CU53" i="5" s="1"/>
  <c r="CV46" i="5"/>
  <c r="FJ48" i="5" l="1"/>
  <c r="FK48" i="5"/>
  <c r="DR38" i="5"/>
  <c r="DQ44" i="5"/>
  <c r="DW37" i="5"/>
  <c r="DY20" i="5"/>
  <c r="FY19" i="5"/>
  <c r="FZ19" i="5"/>
  <c r="CV49" i="5"/>
  <c r="CV51" i="5" s="1"/>
  <c r="CV53" i="5" s="1"/>
  <c r="CW46" i="5"/>
  <c r="FL48" i="5" l="1"/>
  <c r="FM48" i="5"/>
  <c r="DS38" i="5"/>
  <c r="DT38" i="5"/>
  <c r="DT44" i="5" s="1"/>
  <c r="DR44" i="5"/>
  <c r="DX37" i="5"/>
  <c r="DY37" i="5"/>
  <c r="DZ20" i="5"/>
  <c r="EA20" i="5"/>
  <c r="GA19" i="5"/>
  <c r="GB19" i="5"/>
  <c r="CW49" i="5"/>
  <c r="CW51" i="5" s="1"/>
  <c r="CW53" i="5" s="1"/>
  <c r="CX46" i="5"/>
  <c r="FN48" i="5" l="1"/>
  <c r="FO48" i="5"/>
  <c r="DU38" i="5"/>
  <c r="DS44" i="5"/>
  <c r="DZ37" i="5"/>
  <c r="EB20" i="5"/>
  <c r="EA37" i="5"/>
  <c r="EC20" i="5"/>
  <c r="GC19" i="5"/>
  <c r="GD19" i="5"/>
  <c r="CX49" i="5"/>
  <c r="CX51" i="5" s="1"/>
  <c r="CX53" i="5" s="1"/>
  <c r="CY46" i="5"/>
  <c r="FP48" i="5" l="1"/>
  <c r="FQ48" i="5"/>
  <c r="DV38" i="5"/>
  <c r="DV44" i="5" s="1"/>
  <c r="DW38" i="5"/>
  <c r="DU44" i="5"/>
  <c r="EB37" i="5"/>
  <c r="ED20" i="5"/>
  <c r="EC37" i="5"/>
  <c r="EE20" i="5"/>
  <c r="GE19" i="5"/>
  <c r="GF19" i="5"/>
  <c r="CY49" i="5"/>
  <c r="CY51" i="5" s="1"/>
  <c r="CY53" i="5" s="1"/>
  <c r="CZ46" i="5"/>
  <c r="FR48" i="5" l="1"/>
  <c r="FS48" i="5"/>
  <c r="DY38" i="5"/>
  <c r="DW44" i="5"/>
  <c r="DX44" i="5" s="1"/>
  <c r="ED37" i="5"/>
  <c r="EF20" i="5"/>
  <c r="EE37" i="5"/>
  <c r="EG20" i="5"/>
  <c r="GG19" i="5"/>
  <c r="GH19" i="5"/>
  <c r="CZ49" i="5"/>
  <c r="CZ51" i="5" s="1"/>
  <c r="CZ53" i="5" s="1"/>
  <c r="DA46" i="5"/>
  <c r="FT48" i="5" l="1"/>
  <c r="FU48" i="5"/>
  <c r="DZ38" i="5"/>
  <c r="DZ44" i="5" s="1"/>
  <c r="EA38" i="5"/>
  <c r="DY44" i="5"/>
  <c r="EF37" i="5"/>
  <c r="EH20" i="5"/>
  <c r="EG37" i="5"/>
  <c r="EI20" i="5"/>
  <c r="GI19" i="5"/>
  <c r="DA49" i="5"/>
  <c r="DA51" i="5" s="1"/>
  <c r="DA53" i="5" s="1"/>
  <c r="DB46" i="5"/>
  <c r="FV48" i="5" l="1"/>
  <c r="FW48" i="5"/>
  <c r="EB38" i="5"/>
  <c r="EC38" i="5"/>
  <c r="EA44" i="5"/>
  <c r="EH37" i="5"/>
  <c r="EJ20" i="5"/>
  <c r="EI37" i="5"/>
  <c r="EK20" i="5"/>
  <c r="GK19" i="5"/>
  <c r="DB49" i="5"/>
  <c r="DB51" i="5" s="1"/>
  <c r="DB53" i="5" s="1"/>
  <c r="DC46" i="5"/>
  <c r="FX48" i="5" l="1"/>
  <c r="FY48" i="5"/>
  <c r="ED38" i="5"/>
  <c r="ED44" i="5" s="1"/>
  <c r="EB44" i="5"/>
  <c r="EE38" i="5"/>
  <c r="EC44" i="5"/>
  <c r="EJ37" i="5"/>
  <c r="EL20" i="5"/>
  <c r="EK37" i="5"/>
  <c r="EM20" i="5"/>
  <c r="GL19" i="5"/>
  <c r="GM19" i="5"/>
  <c r="DC49" i="5"/>
  <c r="DC51" i="5" s="1"/>
  <c r="DC53" i="5" s="1"/>
  <c r="DD46" i="5"/>
  <c r="FZ48" i="5" l="1"/>
  <c r="GA48" i="5"/>
  <c r="EF38" i="5"/>
  <c r="EF44" i="5" s="1"/>
  <c r="EG38" i="5"/>
  <c r="EE44" i="5"/>
  <c r="EL37" i="5"/>
  <c r="EN20" i="5"/>
  <c r="EM37" i="5"/>
  <c r="EO20" i="5"/>
  <c r="GN19" i="5"/>
  <c r="GO19" i="5"/>
  <c r="DD49" i="5"/>
  <c r="DD51" i="5" s="1"/>
  <c r="DD53" i="5" s="1"/>
  <c r="DE46" i="5"/>
  <c r="GB48" i="5" l="1"/>
  <c r="GC48" i="5"/>
  <c r="EH38" i="5"/>
  <c r="EH44" i="5" s="1"/>
  <c r="EI38" i="5"/>
  <c r="EG44" i="5"/>
  <c r="EN37" i="5"/>
  <c r="EP20" i="5"/>
  <c r="EO37" i="5"/>
  <c r="EQ20" i="5"/>
  <c r="GP19" i="5"/>
  <c r="GQ19" i="5"/>
  <c r="DE49" i="5"/>
  <c r="DE51" i="5" s="1"/>
  <c r="DE53" i="5" s="1"/>
  <c r="DF46" i="5"/>
  <c r="GD48" i="5" l="1"/>
  <c r="GE48" i="5"/>
  <c r="EJ38" i="5"/>
  <c r="EJ44" i="5" s="1"/>
  <c r="EK38" i="5"/>
  <c r="EI44" i="5"/>
  <c r="EP37" i="5"/>
  <c r="ER20" i="5"/>
  <c r="EQ37" i="5"/>
  <c r="ES20" i="5"/>
  <c r="GR19" i="5"/>
  <c r="GS19" i="5"/>
  <c r="DF49" i="5"/>
  <c r="DF51" i="5" s="1"/>
  <c r="DF53" i="5" s="1"/>
  <c r="DG46" i="5"/>
  <c r="GF48" i="5" l="1"/>
  <c r="GG48" i="5"/>
  <c r="EL38" i="5"/>
  <c r="EK44" i="5"/>
  <c r="ER37" i="5"/>
  <c r="ET20" i="5"/>
  <c r="ES37" i="5"/>
  <c r="EU20" i="5"/>
  <c r="GT19" i="5"/>
  <c r="GU19" i="5"/>
  <c r="DG49" i="5"/>
  <c r="DG51" i="5" s="1"/>
  <c r="DG53" i="5" s="1"/>
  <c r="DH46" i="5"/>
  <c r="GH48" i="5" l="1"/>
  <c r="GI48" i="5"/>
  <c r="EM38" i="5"/>
  <c r="EL44" i="5"/>
  <c r="ET37" i="5"/>
  <c r="EV20" i="5"/>
  <c r="EU37" i="5"/>
  <c r="EW20" i="5"/>
  <c r="GV19" i="5"/>
  <c r="GW19" i="5"/>
  <c r="DH49" i="5"/>
  <c r="DH51" i="5" s="1"/>
  <c r="DH53" i="5" s="1"/>
  <c r="DI46" i="5"/>
  <c r="GK48" i="5" l="1"/>
  <c r="EN38" i="5"/>
  <c r="EO38" i="5"/>
  <c r="EO44" i="5" s="1"/>
  <c r="EM44" i="5"/>
  <c r="EV37" i="5"/>
  <c r="EX20" i="5"/>
  <c r="EW37" i="5"/>
  <c r="EY20" i="5"/>
  <c r="GX19" i="5"/>
  <c r="GY19" i="5"/>
  <c r="DI49" i="5"/>
  <c r="DI51" i="5" s="1"/>
  <c r="DI53" i="5" s="1"/>
  <c r="DJ46" i="5"/>
  <c r="GL48" i="5" l="1"/>
  <c r="GM48" i="5"/>
  <c r="EP38" i="5"/>
  <c r="EN44" i="5"/>
  <c r="EX37" i="5"/>
  <c r="EZ20" i="5"/>
  <c r="EY37" i="5"/>
  <c r="FA20" i="5"/>
  <c r="GZ19" i="5"/>
  <c r="HA19" i="5"/>
  <c r="DJ49" i="5"/>
  <c r="DJ51" i="5" s="1"/>
  <c r="DJ53" i="5" s="1"/>
  <c r="DK46" i="5"/>
  <c r="GN48" i="5" l="1"/>
  <c r="GO48" i="5"/>
  <c r="EQ38" i="5"/>
  <c r="EP44" i="5"/>
  <c r="EZ37" i="5"/>
  <c r="FB20" i="5"/>
  <c r="FB37" i="5" s="1"/>
  <c r="FA37" i="5"/>
  <c r="FC20" i="5"/>
  <c r="HB19" i="5"/>
  <c r="HC19" i="5"/>
  <c r="DK49" i="5"/>
  <c r="DK51" i="5" s="1"/>
  <c r="DK53" i="5" s="1"/>
  <c r="DL46" i="5"/>
  <c r="GP48" i="5" l="1"/>
  <c r="GQ48" i="5"/>
  <c r="ER38" i="5"/>
  <c r="EQ44" i="5"/>
  <c r="FC37" i="5"/>
  <c r="FE20" i="5"/>
  <c r="HD19" i="5"/>
  <c r="HE19" i="5"/>
  <c r="DL49" i="5"/>
  <c r="DL51" i="5" s="1"/>
  <c r="DL53" i="5" s="1"/>
  <c r="DM46" i="5"/>
  <c r="GR48" i="5" l="1"/>
  <c r="GS48" i="5"/>
  <c r="ES38" i="5"/>
  <c r="ER44" i="5"/>
  <c r="FE37" i="5"/>
  <c r="FF20" i="5"/>
  <c r="FG20" i="5"/>
  <c r="HF19" i="5"/>
  <c r="HG19" i="5"/>
  <c r="DM49" i="5"/>
  <c r="DM51" i="5" s="1"/>
  <c r="DM53" i="5" s="1"/>
  <c r="DN46" i="5"/>
  <c r="GT48" i="5" l="1"/>
  <c r="GU48" i="5"/>
  <c r="ET38" i="5"/>
  <c r="ET44" i="5" s="1"/>
  <c r="EU38" i="5"/>
  <c r="ES44" i="5"/>
  <c r="FF37" i="5"/>
  <c r="FH20" i="5"/>
  <c r="FG37" i="5"/>
  <c r="FI20" i="5"/>
  <c r="HH19" i="5"/>
  <c r="HI19" i="5"/>
  <c r="DN49" i="5"/>
  <c r="DN51" i="5" s="1"/>
  <c r="DN53" i="5" s="1"/>
  <c r="DO46" i="5"/>
  <c r="GV48" i="5" l="1"/>
  <c r="GW48" i="5"/>
  <c r="EV38" i="5"/>
  <c r="EW38" i="5"/>
  <c r="EU44" i="5"/>
  <c r="FH37" i="5"/>
  <c r="FJ20" i="5"/>
  <c r="FI37" i="5"/>
  <c r="FK20" i="5"/>
  <c r="HJ19" i="5"/>
  <c r="HK19" i="5"/>
  <c r="DO49" i="5"/>
  <c r="DO51" i="5" s="1"/>
  <c r="DO53" i="5" s="1"/>
  <c r="DP46" i="5"/>
  <c r="GX48" i="5" l="1"/>
  <c r="GY48" i="5"/>
  <c r="EX38" i="5"/>
  <c r="EV44" i="5"/>
  <c r="EY38" i="5"/>
  <c r="EY44" i="5" s="1"/>
  <c r="EW44" i="5"/>
  <c r="FJ37" i="5"/>
  <c r="FL20" i="5"/>
  <c r="FK37" i="5"/>
  <c r="FM20" i="5"/>
  <c r="HL19" i="5"/>
  <c r="HM19" i="5"/>
  <c r="DP49" i="5"/>
  <c r="DP51" i="5" s="1"/>
  <c r="DP53" i="5" s="1"/>
  <c r="DQ46" i="5"/>
  <c r="GZ48" i="5" l="1"/>
  <c r="HA48" i="5"/>
  <c r="EZ38" i="5"/>
  <c r="EX44" i="5"/>
  <c r="FL37" i="5"/>
  <c r="FN20" i="5"/>
  <c r="FM37" i="5"/>
  <c r="FO20" i="5"/>
  <c r="HO19" i="5"/>
  <c r="DQ49" i="5"/>
  <c r="DQ51" i="5" s="1"/>
  <c r="DQ53" i="5" s="1"/>
  <c r="DR46" i="5"/>
  <c r="HB48" i="5" l="1"/>
  <c r="HC48" i="5"/>
  <c r="FA38" i="5"/>
  <c r="EZ44" i="5"/>
  <c r="FN37" i="5"/>
  <c r="FP20" i="5"/>
  <c r="FO37" i="5"/>
  <c r="FQ20" i="5"/>
  <c r="HP19" i="5"/>
  <c r="HQ19" i="5"/>
  <c r="DR49" i="5"/>
  <c r="DR51" i="5" s="1"/>
  <c r="DR53" i="5" s="1"/>
  <c r="DS46" i="5"/>
  <c r="HD48" i="5" l="1"/>
  <c r="HE48" i="5"/>
  <c r="FB38" i="5"/>
  <c r="FA44" i="5"/>
  <c r="FP37" i="5"/>
  <c r="FR20" i="5"/>
  <c r="FQ37" i="5"/>
  <c r="FS20" i="5"/>
  <c r="HR19" i="5"/>
  <c r="HS19" i="5"/>
  <c r="DS49" i="5"/>
  <c r="DS51" i="5" s="1"/>
  <c r="DS53" i="5" s="1"/>
  <c r="DT46" i="5"/>
  <c r="HF48" i="5" l="1"/>
  <c r="HG48" i="5"/>
  <c r="FC38" i="5"/>
  <c r="FB44" i="5"/>
  <c r="FR37" i="5"/>
  <c r="FT20" i="5"/>
  <c r="FS37" i="5"/>
  <c r="FU20" i="5"/>
  <c r="HT19" i="5"/>
  <c r="HU19" i="5"/>
  <c r="DT49" i="5"/>
  <c r="DT51" i="5" s="1"/>
  <c r="DT53" i="5" s="1"/>
  <c r="DU46" i="5"/>
  <c r="HH48" i="5" l="1"/>
  <c r="HI48" i="5"/>
  <c r="FE38" i="5"/>
  <c r="FC44" i="5"/>
  <c r="FT37" i="5"/>
  <c r="FV20" i="5"/>
  <c r="FU37" i="5"/>
  <c r="FW20" i="5"/>
  <c r="HV19" i="5"/>
  <c r="HW19" i="5"/>
  <c r="DU49" i="5"/>
  <c r="DU51" i="5" s="1"/>
  <c r="DU53" i="5" s="1"/>
  <c r="DV46" i="5"/>
  <c r="HJ48" i="5" l="1"/>
  <c r="HK48" i="5"/>
  <c r="FF38" i="5"/>
  <c r="FE44" i="5"/>
  <c r="FV37" i="5"/>
  <c r="FX20" i="5"/>
  <c r="FW37" i="5"/>
  <c r="FY20" i="5"/>
  <c r="HX19" i="5"/>
  <c r="HY19" i="5"/>
  <c r="DV49" i="5"/>
  <c r="DV51" i="5" s="1"/>
  <c r="DV53" i="5" s="1"/>
  <c r="DW46" i="5"/>
  <c r="HL48" i="5" l="1"/>
  <c r="HM48" i="5"/>
  <c r="FG38" i="5"/>
  <c r="FG44" i="5" s="1"/>
  <c r="FH38" i="5"/>
  <c r="FF44" i="5"/>
  <c r="FX37" i="5"/>
  <c r="FZ20" i="5"/>
  <c r="FY37" i="5"/>
  <c r="GA20" i="5"/>
  <c r="HZ19" i="5"/>
  <c r="IA19" i="5"/>
  <c r="DW49" i="5"/>
  <c r="DY46" i="5"/>
  <c r="HO48" i="5" l="1"/>
  <c r="FI38" i="5"/>
  <c r="FI44" i="5" s="1"/>
  <c r="FJ38" i="5"/>
  <c r="FH44" i="5"/>
  <c r="FZ37" i="5"/>
  <c r="GB20" i="5"/>
  <c r="GA37" i="5"/>
  <c r="GC20" i="5"/>
  <c r="IB19" i="5"/>
  <c r="DW51" i="5"/>
  <c r="DW53" i="5" s="1"/>
  <c r="DX49" i="5"/>
  <c r="DX51" i="5" s="1"/>
  <c r="DX53" i="5" s="1"/>
  <c r="DY49" i="5"/>
  <c r="DY51" i="5" s="1"/>
  <c r="DY53" i="5" s="1"/>
  <c r="DZ46" i="5"/>
  <c r="HP48" i="5" l="1"/>
  <c r="HQ48" i="5"/>
  <c r="FK38" i="5"/>
  <c r="FK44" i="5" s="1"/>
  <c r="FL38" i="5"/>
  <c r="FJ44" i="5"/>
  <c r="GB37" i="5"/>
  <c r="GD20" i="5"/>
  <c r="GC37" i="5"/>
  <c r="GE20" i="5"/>
  <c r="IC19" i="5"/>
  <c r="ID19" i="5"/>
  <c r="DZ49" i="5"/>
  <c r="DZ51" i="5" s="1"/>
  <c r="DZ53" i="5" s="1"/>
  <c r="EA46" i="5"/>
  <c r="HR48" i="5" l="1"/>
  <c r="HS48" i="5"/>
  <c r="FM38" i="5"/>
  <c r="FM44" i="5" s="1"/>
  <c r="FN38" i="5"/>
  <c r="FL44" i="5"/>
  <c r="GD37" i="5"/>
  <c r="GF20" i="5"/>
  <c r="GE37" i="5"/>
  <c r="GG20" i="5"/>
  <c r="IE19" i="5"/>
  <c r="IF19" i="5"/>
  <c r="EA49" i="5"/>
  <c r="EA51" i="5" s="1"/>
  <c r="EA53" i="5" s="1"/>
  <c r="EB46" i="5"/>
  <c r="HT48" i="5" l="1"/>
  <c r="HU48" i="5"/>
  <c r="FO38" i="5"/>
  <c r="FN44" i="5"/>
  <c r="GF37" i="5"/>
  <c r="GH20" i="5"/>
  <c r="GH37" i="5" s="1"/>
  <c r="GG37" i="5"/>
  <c r="GI20" i="5"/>
  <c r="IG19" i="5"/>
  <c r="IH19" i="5"/>
  <c r="EB49" i="5"/>
  <c r="EB51" i="5" s="1"/>
  <c r="EB53" i="5" s="1"/>
  <c r="EC46" i="5"/>
  <c r="HV48" i="5" l="1"/>
  <c r="HW48" i="5"/>
  <c r="FP38" i="5"/>
  <c r="FP44" i="5" s="1"/>
  <c r="FQ38" i="5"/>
  <c r="FO44" i="5"/>
  <c r="GI37" i="5"/>
  <c r="GK20" i="5"/>
  <c r="II19" i="5"/>
  <c r="IJ19" i="5"/>
  <c r="EC49" i="5"/>
  <c r="EC51" i="5" s="1"/>
  <c r="EC53" i="5" s="1"/>
  <c r="ED46" i="5"/>
  <c r="HX48" i="5" l="1"/>
  <c r="HY48" i="5"/>
  <c r="FR38" i="5"/>
  <c r="FR44" i="5" s="1"/>
  <c r="FS38" i="5"/>
  <c r="FQ44" i="5"/>
  <c r="GK37" i="5"/>
  <c r="GL20" i="5"/>
  <c r="GM20" i="5"/>
  <c r="IK19" i="5"/>
  <c r="IL19" i="5"/>
  <c r="ED49" i="5"/>
  <c r="ED51" i="5" s="1"/>
  <c r="ED53" i="5" s="1"/>
  <c r="EE46" i="5"/>
  <c r="HZ48" i="5" l="1"/>
  <c r="IA48" i="5"/>
  <c r="FT38" i="5"/>
  <c r="FT44" i="5" s="1"/>
  <c r="FU38" i="5"/>
  <c r="FS44" i="5"/>
  <c r="GL37" i="5"/>
  <c r="GN20" i="5"/>
  <c r="GM37" i="5"/>
  <c r="GO20" i="5"/>
  <c r="IM19" i="5"/>
  <c r="IN19" i="5"/>
  <c r="EE49" i="5"/>
  <c r="EE51" i="5" s="1"/>
  <c r="EE53" i="5" s="1"/>
  <c r="EF46" i="5"/>
  <c r="IB48" i="5" l="1"/>
  <c r="IC48" i="5"/>
  <c r="FV38" i="5"/>
  <c r="FU44" i="5"/>
  <c r="GN37" i="5"/>
  <c r="GP20" i="5"/>
  <c r="GO37" i="5"/>
  <c r="GQ20" i="5"/>
  <c r="IO19" i="5"/>
  <c r="IP19" i="5"/>
  <c r="EF49" i="5"/>
  <c r="EF51" i="5" s="1"/>
  <c r="EF53" i="5" s="1"/>
  <c r="EG46" i="5"/>
  <c r="ID48" i="5" l="1"/>
  <c r="IE48" i="5"/>
  <c r="FW38" i="5"/>
  <c r="FX38" i="5"/>
  <c r="FV44" i="5"/>
  <c r="GP37" i="5"/>
  <c r="GR20" i="5"/>
  <c r="GQ37" i="5"/>
  <c r="GS20" i="5"/>
  <c r="IQ19" i="5"/>
  <c r="IR19" i="5"/>
  <c r="EG49" i="5"/>
  <c r="EG51" i="5" s="1"/>
  <c r="EG53" i="5" s="1"/>
  <c r="EH46" i="5"/>
  <c r="IF48" i="5" l="1"/>
  <c r="IG48" i="5"/>
  <c r="FY38" i="5"/>
  <c r="FW44" i="5"/>
  <c r="FZ38" i="5"/>
  <c r="FZ44" i="5" s="1"/>
  <c r="FX44" i="5"/>
  <c r="GR37" i="5"/>
  <c r="GT20" i="5"/>
  <c r="GS37" i="5"/>
  <c r="GU20" i="5"/>
  <c r="IS19" i="5"/>
  <c r="EH49" i="5"/>
  <c r="EH51" i="5" s="1"/>
  <c r="EH53" i="5" s="1"/>
  <c r="EI46" i="5"/>
  <c r="IH48" i="5" l="1"/>
  <c r="II48" i="5"/>
  <c r="GA38" i="5"/>
  <c r="FY44" i="5"/>
  <c r="GT37" i="5"/>
  <c r="GV20" i="5"/>
  <c r="GU37" i="5"/>
  <c r="GW20" i="5"/>
  <c r="IU19" i="5"/>
  <c r="EI49" i="5"/>
  <c r="EI51" i="5" s="1"/>
  <c r="EI53" i="5" s="1"/>
  <c r="EJ46" i="5"/>
  <c r="IJ48" i="5" l="1"/>
  <c r="IK48" i="5"/>
  <c r="GB38" i="5"/>
  <c r="GA44" i="5"/>
  <c r="GV37" i="5"/>
  <c r="GX20" i="5"/>
  <c r="GW37" i="5"/>
  <c r="GY20" i="5"/>
  <c r="IV19" i="5"/>
  <c r="EJ49" i="5"/>
  <c r="EJ51" i="5" s="1"/>
  <c r="EJ53" i="5" s="1"/>
  <c r="EK46" i="5"/>
  <c r="IL48" i="5" l="1"/>
  <c r="IM48" i="5"/>
  <c r="GC38" i="5"/>
  <c r="GD38" i="5"/>
  <c r="GB44" i="5"/>
  <c r="GX37" i="5"/>
  <c r="GZ20" i="5"/>
  <c r="GY37" i="5"/>
  <c r="HA20" i="5"/>
  <c r="IW19" i="5"/>
  <c r="EK49" i="5"/>
  <c r="EK51" i="5" s="1"/>
  <c r="EK53" i="5" s="1"/>
  <c r="EL46" i="5"/>
  <c r="IN48" i="5" l="1"/>
  <c r="IO48" i="5"/>
  <c r="GE38" i="5"/>
  <c r="GC44" i="5"/>
  <c r="GF38" i="5"/>
  <c r="GF44" i="5" s="1"/>
  <c r="GD44" i="5"/>
  <c r="GZ37" i="5"/>
  <c r="HB20" i="5"/>
  <c r="HA37" i="5"/>
  <c r="HC20" i="5"/>
  <c r="IX19" i="5"/>
  <c r="EL49" i="5"/>
  <c r="EL51" i="5" s="1"/>
  <c r="EL53" i="5" s="1"/>
  <c r="EM46" i="5"/>
  <c r="IP48" i="5" l="1"/>
  <c r="IQ48" i="5"/>
  <c r="GG38" i="5"/>
  <c r="GE44" i="5"/>
  <c r="HB37" i="5"/>
  <c r="HD20" i="5"/>
  <c r="HC37" i="5"/>
  <c r="HE20" i="5"/>
  <c r="IY19" i="5"/>
  <c r="EM49" i="5"/>
  <c r="EM51" i="5" s="1"/>
  <c r="EM53" i="5" s="1"/>
  <c r="EN46" i="5"/>
  <c r="IR48" i="5" l="1"/>
  <c r="IS48" i="5"/>
  <c r="GH38" i="5"/>
  <c r="GH44" i="5" s="1"/>
  <c r="GI38" i="5"/>
  <c r="GG44" i="5"/>
  <c r="HD37" i="5"/>
  <c r="HF20" i="5"/>
  <c r="HE37" i="5"/>
  <c r="HG20" i="5"/>
  <c r="IZ19" i="5"/>
  <c r="EN49" i="5"/>
  <c r="EN51" i="5" s="1"/>
  <c r="EN53" i="5" s="1"/>
  <c r="EO46" i="5"/>
  <c r="IU48" i="5" l="1"/>
  <c r="GK38" i="5"/>
  <c r="GI44" i="5"/>
  <c r="HF37" i="5"/>
  <c r="HH20" i="5"/>
  <c r="HG37" i="5"/>
  <c r="HI20" i="5"/>
  <c r="JA19" i="5"/>
  <c r="EO49" i="5"/>
  <c r="EO51" i="5" s="1"/>
  <c r="EO53" i="5" s="1"/>
  <c r="EP46" i="5"/>
  <c r="IV48" i="5" l="1"/>
  <c r="GL38" i="5"/>
  <c r="GK44" i="5"/>
  <c r="HH37" i="5"/>
  <c r="HJ20" i="5"/>
  <c r="HI37" i="5"/>
  <c r="HK20" i="5"/>
  <c r="JB19" i="5"/>
  <c r="EP49" i="5"/>
  <c r="EP51" i="5" s="1"/>
  <c r="EP53" i="5" s="1"/>
  <c r="EQ46" i="5"/>
  <c r="IW48" i="5" l="1"/>
  <c r="GM38" i="5"/>
  <c r="GL44" i="5"/>
  <c r="HJ37" i="5"/>
  <c r="HL20" i="5"/>
  <c r="HL37" i="5" s="1"/>
  <c r="HK37" i="5"/>
  <c r="HM20" i="5"/>
  <c r="JC19" i="5"/>
  <c r="EQ49" i="5"/>
  <c r="EQ51" i="5" s="1"/>
  <c r="EQ53" i="5" s="1"/>
  <c r="ER46" i="5"/>
  <c r="IX48" i="5" l="1"/>
  <c r="GN38" i="5"/>
  <c r="GM44" i="5"/>
  <c r="HM37" i="5"/>
  <c r="HO20" i="5"/>
  <c r="JD19" i="5"/>
  <c r="ER49" i="5"/>
  <c r="ER51" i="5" s="1"/>
  <c r="ER53" i="5" s="1"/>
  <c r="ES46" i="5"/>
  <c r="IY48" i="5" l="1"/>
  <c r="GO38" i="5"/>
  <c r="GN44" i="5"/>
  <c r="HO37" i="5"/>
  <c r="HP20" i="5"/>
  <c r="HQ20" i="5"/>
  <c r="JE19" i="5"/>
  <c r="ES49" i="5"/>
  <c r="ES51" i="5" s="1"/>
  <c r="ES53" i="5" s="1"/>
  <c r="ET46" i="5"/>
  <c r="IZ48" i="5" l="1"/>
  <c r="GP38" i="5"/>
  <c r="GO44" i="5"/>
  <c r="HP37" i="5"/>
  <c r="HR20" i="5"/>
  <c r="HQ37" i="5"/>
  <c r="HS20" i="5"/>
  <c r="JF19" i="5"/>
  <c r="ET49" i="5"/>
  <c r="ET51" i="5" s="1"/>
  <c r="ET53" i="5" s="1"/>
  <c r="EU46" i="5"/>
  <c r="JA48" i="5" l="1"/>
  <c r="GQ38" i="5"/>
  <c r="GP44" i="5"/>
  <c r="HR37" i="5"/>
  <c r="HT20" i="5"/>
  <c r="HS37" i="5"/>
  <c r="HU20" i="5"/>
  <c r="JG19" i="5"/>
  <c r="EU49" i="5"/>
  <c r="EU51" i="5" s="1"/>
  <c r="EU53" i="5" s="1"/>
  <c r="EV46" i="5"/>
  <c r="JB48" i="5" l="1"/>
  <c r="GR38" i="5"/>
  <c r="GQ44" i="5"/>
  <c r="HT37" i="5"/>
  <c r="HV20" i="5"/>
  <c r="HU37" i="5"/>
  <c r="HW20" i="5"/>
  <c r="JH19" i="5"/>
  <c r="EV49" i="5"/>
  <c r="EV51" i="5" s="1"/>
  <c r="EV53" i="5" s="1"/>
  <c r="EW46" i="5"/>
  <c r="JC48" i="5" l="1"/>
  <c r="GS38" i="5"/>
  <c r="GR44" i="5"/>
  <c r="HV37" i="5"/>
  <c r="HX20" i="5"/>
  <c r="HW37" i="5"/>
  <c r="HY20" i="5"/>
  <c r="JI19" i="5"/>
  <c r="EW49" i="5"/>
  <c r="EW51" i="5" s="1"/>
  <c r="EW53" i="5" s="1"/>
  <c r="EX46" i="5"/>
  <c r="JD48" i="5" l="1"/>
  <c r="GT38" i="5"/>
  <c r="GS44" i="5"/>
  <c r="HX37" i="5"/>
  <c r="HZ20" i="5"/>
  <c r="HY37" i="5"/>
  <c r="IA20" i="5"/>
  <c r="JJ19" i="5"/>
  <c r="EX49" i="5"/>
  <c r="EX51" i="5" s="1"/>
  <c r="EX53" i="5" s="1"/>
  <c r="EY46" i="5"/>
  <c r="JE48" i="5" l="1"/>
  <c r="GU38" i="5"/>
  <c r="GT44" i="5"/>
  <c r="HZ37" i="5"/>
  <c r="IB20" i="5"/>
  <c r="IA37" i="5"/>
  <c r="IC20" i="5"/>
  <c r="JK19" i="5"/>
  <c r="EY49" i="5"/>
  <c r="EY51" i="5" s="1"/>
  <c r="EY53" i="5" s="1"/>
  <c r="EZ46" i="5"/>
  <c r="JF48" i="5" l="1"/>
  <c r="GV38" i="5"/>
  <c r="GU44" i="5"/>
  <c r="IB37" i="5"/>
  <c r="ID20" i="5"/>
  <c r="IC37" i="5"/>
  <c r="IE20" i="5"/>
  <c r="JL19" i="5"/>
  <c r="EZ49" i="5"/>
  <c r="EZ51" i="5" s="1"/>
  <c r="EZ53" i="5" s="1"/>
  <c r="FA46" i="5"/>
  <c r="JG48" i="5" l="1"/>
  <c r="GW38" i="5"/>
  <c r="GV44" i="5"/>
  <c r="ID37" i="5"/>
  <c r="IF20" i="5"/>
  <c r="IE37" i="5"/>
  <c r="IG20" i="5"/>
  <c r="JM19" i="5"/>
  <c r="FA49" i="5"/>
  <c r="FA51" i="5" s="1"/>
  <c r="FA53" i="5" s="1"/>
  <c r="FB46" i="5"/>
  <c r="JH48" i="5" l="1"/>
  <c r="GX38" i="5"/>
  <c r="GX44" i="5" s="1"/>
  <c r="GY38" i="5"/>
  <c r="GW44" i="5"/>
  <c r="IF37" i="5"/>
  <c r="IH20" i="5"/>
  <c r="IG37" i="5"/>
  <c r="II20" i="5"/>
  <c r="JN19" i="5"/>
  <c r="FB49" i="5"/>
  <c r="FB51" i="5" s="1"/>
  <c r="FB53" i="5" s="1"/>
  <c r="FC46" i="5"/>
  <c r="JI48" i="5" l="1"/>
  <c r="GZ38" i="5"/>
  <c r="GY44" i="5"/>
  <c r="IH37" i="5"/>
  <c r="IJ20" i="5"/>
  <c r="II37" i="5"/>
  <c r="IK20" i="5"/>
  <c r="JO19" i="5"/>
  <c r="FC49" i="5"/>
  <c r="FC51" i="5" s="1"/>
  <c r="FC53" i="5" s="1"/>
  <c r="FE46" i="5"/>
  <c r="JJ48" i="5" l="1"/>
  <c r="HA38" i="5"/>
  <c r="GZ44" i="5"/>
  <c r="IJ37" i="5"/>
  <c r="IL20" i="5"/>
  <c r="IK37" i="5"/>
  <c r="IM20" i="5"/>
  <c r="JP19" i="5"/>
  <c r="FE49" i="5"/>
  <c r="FE51" i="5" s="1"/>
  <c r="FE53" i="5" s="1"/>
  <c r="FF46" i="5"/>
  <c r="JK48" i="5" l="1"/>
  <c r="HB38" i="5"/>
  <c r="HA44" i="5"/>
  <c r="IL37" i="5"/>
  <c r="IN20" i="5"/>
  <c r="IM37" i="5"/>
  <c r="IO20" i="5"/>
  <c r="JQ19" i="5"/>
  <c r="FF49" i="5"/>
  <c r="FF51" i="5" s="1"/>
  <c r="FF53" i="5" s="1"/>
  <c r="FG46" i="5"/>
  <c r="JL48" i="5" l="1"/>
  <c r="HC38" i="5"/>
  <c r="HB44" i="5"/>
  <c r="IN37" i="5"/>
  <c r="IP20" i="5"/>
  <c r="IO37" i="5"/>
  <c r="IQ20" i="5"/>
  <c r="JR19" i="5"/>
  <c r="FG49" i="5"/>
  <c r="FG51" i="5" s="1"/>
  <c r="FG53" i="5" s="1"/>
  <c r="FH46" i="5"/>
  <c r="JM48" i="5" l="1"/>
  <c r="HD38" i="5"/>
  <c r="HD44" i="5" s="1"/>
  <c r="HE38" i="5"/>
  <c r="HC44" i="5"/>
  <c r="IP37" i="5"/>
  <c r="IR20" i="5"/>
  <c r="IR37" i="5" s="1"/>
  <c r="IQ37" i="5"/>
  <c r="IS20" i="5"/>
  <c r="JS19" i="5"/>
  <c r="FH49" i="5"/>
  <c r="FH51" i="5" s="1"/>
  <c r="FH53" i="5" s="1"/>
  <c r="FI46" i="5"/>
  <c r="JN48" i="5" l="1"/>
  <c r="HF38" i="5"/>
  <c r="HE44" i="5"/>
  <c r="IS37" i="5"/>
  <c r="IU20" i="5"/>
  <c r="JT19" i="5"/>
  <c r="FI49" i="5"/>
  <c r="FI51" i="5" s="1"/>
  <c r="FI53" i="5" s="1"/>
  <c r="FJ46" i="5"/>
  <c r="JO48" i="5" l="1"/>
  <c r="HG38" i="5"/>
  <c r="HF44" i="5"/>
  <c r="IU37" i="5"/>
  <c r="IV20" i="5"/>
  <c r="JU19" i="5"/>
  <c r="FJ49" i="5"/>
  <c r="FJ51" i="5" s="1"/>
  <c r="FJ53" i="5" s="1"/>
  <c r="FK46" i="5"/>
  <c r="JP48" i="5" l="1"/>
  <c r="HH38" i="5"/>
  <c r="HG44" i="5"/>
  <c r="IV37" i="5"/>
  <c r="IW20" i="5"/>
  <c r="JV19" i="5"/>
  <c r="FK49" i="5"/>
  <c r="FK51" i="5" s="1"/>
  <c r="FK53" i="5" s="1"/>
  <c r="FL46" i="5"/>
  <c r="JQ48" i="5" l="1"/>
  <c r="HI38" i="5"/>
  <c r="HH44" i="5"/>
  <c r="IW37" i="5"/>
  <c r="IX20" i="5"/>
  <c r="JW19" i="5"/>
  <c r="FL49" i="5"/>
  <c r="FL51" i="5" s="1"/>
  <c r="FL53" i="5" s="1"/>
  <c r="FM46" i="5"/>
  <c r="JR48" i="5" l="1"/>
  <c r="HJ38" i="5"/>
  <c r="HI44" i="5"/>
  <c r="IX37" i="5"/>
  <c r="IY20" i="5"/>
  <c r="JX19" i="5"/>
  <c r="FM49" i="5"/>
  <c r="FM51" i="5" s="1"/>
  <c r="FM53" i="5" s="1"/>
  <c r="FN46" i="5"/>
  <c r="JS48" i="5" l="1"/>
  <c r="HK38" i="5"/>
  <c r="HJ44" i="5"/>
  <c r="IY37" i="5"/>
  <c r="IZ20" i="5"/>
  <c r="JZ19" i="5"/>
  <c r="FN49" i="5"/>
  <c r="FN51" i="5" s="1"/>
  <c r="FN53" i="5" s="1"/>
  <c r="FO46" i="5"/>
  <c r="JT48" i="5" l="1"/>
  <c r="HL38" i="5"/>
  <c r="HK44" i="5"/>
  <c r="IZ37" i="5"/>
  <c r="JA20" i="5"/>
  <c r="KA19" i="5"/>
  <c r="KB19" i="5"/>
  <c r="FO49" i="5"/>
  <c r="FO51" i="5" s="1"/>
  <c r="FO53" i="5" s="1"/>
  <c r="FP46" i="5"/>
  <c r="JU48" i="5" l="1"/>
  <c r="HM38" i="5"/>
  <c r="HL44" i="5"/>
  <c r="JA37" i="5"/>
  <c r="JB20" i="5"/>
  <c r="KC19" i="5"/>
  <c r="KD19" i="5"/>
  <c r="FP49" i="5"/>
  <c r="FP51" i="5" s="1"/>
  <c r="FP53" i="5" s="1"/>
  <c r="FQ46" i="5"/>
  <c r="JV48" i="5" l="1"/>
  <c r="HO38" i="5"/>
  <c r="HM44" i="5"/>
  <c r="JB37" i="5"/>
  <c r="JC20" i="5"/>
  <c r="KE19" i="5"/>
  <c r="KF19" i="5"/>
  <c r="FQ49" i="5"/>
  <c r="FQ51" i="5" s="1"/>
  <c r="FQ53" i="5" s="1"/>
  <c r="FR46" i="5"/>
  <c r="JW48" i="5" l="1"/>
  <c r="HP38" i="5"/>
  <c r="HP44" i="5" s="1"/>
  <c r="HQ38" i="5"/>
  <c r="HO44" i="5"/>
  <c r="JC37" i="5"/>
  <c r="JD20" i="5"/>
  <c r="KG19" i="5"/>
  <c r="KH19" i="5"/>
  <c r="FR49" i="5"/>
  <c r="FR51" i="5" s="1"/>
  <c r="FR53" i="5" s="1"/>
  <c r="FS46" i="5"/>
  <c r="JX48" i="5" l="1"/>
  <c r="HR38" i="5"/>
  <c r="HR44" i="5" s="1"/>
  <c r="HS38" i="5"/>
  <c r="HQ44" i="5"/>
  <c r="JD37" i="5"/>
  <c r="JE20" i="5"/>
  <c r="KI19" i="5"/>
  <c r="KJ19" i="5"/>
  <c r="FS49" i="5"/>
  <c r="FS51" i="5" s="1"/>
  <c r="FS53" i="5" s="1"/>
  <c r="FT46" i="5"/>
  <c r="JZ48" i="5" l="1"/>
  <c r="HT38" i="5"/>
  <c r="HT44" i="5" s="1"/>
  <c r="HU38" i="5"/>
  <c r="HS44" i="5"/>
  <c r="JE37" i="5"/>
  <c r="JF20" i="5"/>
  <c r="KK19" i="5"/>
  <c r="KL19" i="5"/>
  <c r="FT49" i="5"/>
  <c r="FT51" i="5" s="1"/>
  <c r="FT53" i="5" s="1"/>
  <c r="FU46" i="5"/>
  <c r="KA48" i="5" l="1"/>
  <c r="KB48" i="5"/>
  <c r="HV38" i="5"/>
  <c r="HV44" i="5" s="1"/>
  <c r="HW38" i="5"/>
  <c r="HU44" i="5"/>
  <c r="JF37" i="5"/>
  <c r="JG20" i="5"/>
  <c r="KM19" i="5"/>
  <c r="KN19" i="5"/>
  <c r="FU49" i="5"/>
  <c r="FU51" i="5" s="1"/>
  <c r="FU53" i="5" s="1"/>
  <c r="FV46" i="5"/>
  <c r="KC48" i="5" l="1"/>
  <c r="KD48" i="5"/>
  <c r="HX38" i="5"/>
  <c r="HX44" i="5" s="1"/>
  <c r="HY38" i="5"/>
  <c r="HW44" i="5"/>
  <c r="JG37" i="5"/>
  <c r="JH20" i="5"/>
  <c r="KO19" i="5"/>
  <c r="KP19" i="5"/>
  <c r="FV49" i="5"/>
  <c r="FV51" i="5" s="1"/>
  <c r="FV53" i="5" s="1"/>
  <c r="FW46" i="5"/>
  <c r="KE48" i="5" l="1"/>
  <c r="KF48" i="5"/>
  <c r="HZ38" i="5"/>
  <c r="HZ44" i="5" s="1"/>
  <c r="IA38" i="5"/>
  <c r="HY44" i="5"/>
  <c r="JH37" i="5"/>
  <c r="JI20" i="5"/>
  <c r="KQ19" i="5"/>
  <c r="KR19" i="5"/>
  <c r="FW49" i="5"/>
  <c r="FW51" i="5" s="1"/>
  <c r="FW53" i="5" s="1"/>
  <c r="FX46" i="5"/>
  <c r="KG48" i="5" l="1"/>
  <c r="KH48" i="5"/>
  <c r="IB38" i="5"/>
  <c r="IB44" i="5" s="1"/>
  <c r="IC38" i="5"/>
  <c r="IA44" i="5"/>
  <c r="JI37" i="5"/>
  <c r="JJ20" i="5"/>
  <c r="KS19" i="5"/>
  <c r="KT19" i="5"/>
  <c r="FX49" i="5"/>
  <c r="FX51" i="5" s="1"/>
  <c r="FX53" i="5" s="1"/>
  <c r="FY46" i="5"/>
  <c r="KI48" i="5" l="1"/>
  <c r="KJ48" i="5"/>
  <c r="ID38" i="5"/>
  <c r="IC44" i="5"/>
  <c r="JJ37" i="5"/>
  <c r="JK20" i="5"/>
  <c r="KU19" i="5"/>
  <c r="KV19" i="5"/>
  <c r="FY49" i="5"/>
  <c r="FY51" i="5" s="1"/>
  <c r="FY53" i="5" s="1"/>
  <c r="FZ46" i="5"/>
  <c r="KK48" i="5" l="1"/>
  <c r="KL48" i="5"/>
  <c r="IE38" i="5"/>
  <c r="IF38" i="5"/>
  <c r="ID44" i="5"/>
  <c r="JK37" i="5"/>
  <c r="JL20" i="5"/>
  <c r="KW19" i="5"/>
  <c r="KX19" i="5"/>
  <c r="FZ49" i="5"/>
  <c r="FZ51" i="5" s="1"/>
  <c r="FZ53" i="5" s="1"/>
  <c r="GA46" i="5"/>
  <c r="KM48" i="5" l="1"/>
  <c r="KN48" i="5"/>
  <c r="IG38" i="5"/>
  <c r="IE44" i="5"/>
  <c r="IH38" i="5"/>
  <c r="IH44" i="5" s="1"/>
  <c r="IF44" i="5"/>
  <c r="JL37" i="5"/>
  <c r="JM20" i="5"/>
  <c r="KY19" i="5"/>
  <c r="KZ19" i="5"/>
  <c r="GA49" i="5"/>
  <c r="GA51" i="5" s="1"/>
  <c r="GA53" i="5" s="1"/>
  <c r="GB46" i="5"/>
  <c r="KO48" i="5" l="1"/>
  <c r="KP48" i="5"/>
  <c r="II38" i="5"/>
  <c r="IG44" i="5"/>
  <c r="JM37" i="5"/>
  <c r="JN20" i="5"/>
  <c r="LA19" i="5"/>
  <c r="LB19" i="5"/>
  <c r="GB49" i="5"/>
  <c r="GB51" i="5" s="1"/>
  <c r="GB53" i="5" s="1"/>
  <c r="GC46" i="5"/>
  <c r="KQ48" i="5" l="1"/>
  <c r="KR48" i="5"/>
  <c r="IJ38" i="5"/>
  <c r="IJ44" i="5" s="1"/>
  <c r="IK38" i="5"/>
  <c r="II44" i="5"/>
  <c r="JN37" i="5"/>
  <c r="JO20" i="5"/>
  <c r="LC19" i="5"/>
  <c r="LD19" i="5"/>
  <c r="GC49" i="5"/>
  <c r="GC51" i="5" s="1"/>
  <c r="GC53" i="5" s="1"/>
  <c r="GD46" i="5"/>
  <c r="KS48" i="5" l="1"/>
  <c r="KT48" i="5"/>
  <c r="IL38" i="5"/>
  <c r="IL44" i="5" s="1"/>
  <c r="IM38" i="5"/>
  <c r="IK44" i="5"/>
  <c r="JO37" i="5"/>
  <c r="JP20" i="5"/>
  <c r="LF19" i="5"/>
  <c r="GD49" i="5"/>
  <c r="GD51" i="5" s="1"/>
  <c r="GD53" i="5" s="1"/>
  <c r="GE46" i="5"/>
  <c r="KU48" i="5" l="1"/>
  <c r="KV48" i="5"/>
  <c r="IN38" i="5"/>
  <c r="IN44" i="5" s="1"/>
  <c r="IO38" i="5"/>
  <c r="IM44" i="5"/>
  <c r="JP37" i="5"/>
  <c r="JQ20" i="5"/>
  <c r="LG19" i="5"/>
  <c r="GE49" i="5"/>
  <c r="GE51" i="5" s="1"/>
  <c r="GE53" i="5" s="1"/>
  <c r="GF46" i="5"/>
  <c r="KW48" i="5" l="1"/>
  <c r="KX48" i="5"/>
  <c r="IP38" i="5"/>
  <c r="IP44" i="5" s="1"/>
  <c r="IQ38" i="5"/>
  <c r="IO44" i="5"/>
  <c r="JQ37" i="5"/>
  <c r="JR20" i="5"/>
  <c r="LH19" i="5"/>
  <c r="GF49" i="5"/>
  <c r="GF51" i="5" s="1"/>
  <c r="GF53" i="5" s="1"/>
  <c r="GG46" i="5"/>
  <c r="KY48" i="5" l="1"/>
  <c r="KZ48" i="5"/>
  <c r="IR38" i="5"/>
  <c r="IR44" i="5" s="1"/>
  <c r="IS38" i="5"/>
  <c r="IQ44" i="5"/>
  <c r="JR37" i="5"/>
  <c r="JS20" i="5"/>
  <c r="LI19" i="5"/>
  <c r="GG49" i="5"/>
  <c r="GG51" i="5" s="1"/>
  <c r="GG53" i="5" s="1"/>
  <c r="GH46" i="5"/>
  <c r="LA48" i="5" l="1"/>
  <c r="LB48" i="5"/>
  <c r="IU38" i="5"/>
  <c r="IS44" i="5"/>
  <c r="JS37" i="5"/>
  <c r="JT20" i="5"/>
  <c r="LJ19" i="5"/>
  <c r="GH49" i="5"/>
  <c r="GH51" i="5" s="1"/>
  <c r="GH53" i="5" s="1"/>
  <c r="GI46" i="5"/>
  <c r="LC48" i="5" l="1"/>
  <c r="LD48" i="5"/>
  <c r="IV38" i="5"/>
  <c r="IU44" i="5"/>
  <c r="JT37" i="5"/>
  <c r="JU20" i="5"/>
  <c r="LK19" i="5"/>
  <c r="GI49" i="5"/>
  <c r="GI51" i="5" s="1"/>
  <c r="GI53" i="5" s="1"/>
  <c r="GK46" i="5"/>
  <c r="LF48" i="5" l="1"/>
  <c r="IW38" i="5"/>
  <c r="IV44" i="5"/>
  <c r="JU37" i="5"/>
  <c r="JV20" i="5"/>
  <c r="LL19" i="5"/>
  <c r="GK49" i="5"/>
  <c r="GK51" i="5" s="1"/>
  <c r="GK53" i="5" s="1"/>
  <c r="GL46" i="5"/>
  <c r="LG48" i="5" l="1"/>
  <c r="IX38" i="5"/>
  <c r="IW44" i="5"/>
  <c r="JV37" i="5"/>
  <c r="JW20" i="5"/>
  <c r="LM19" i="5"/>
  <c r="GL49" i="5"/>
  <c r="GL51" i="5" s="1"/>
  <c r="GL53" i="5" s="1"/>
  <c r="GM46" i="5"/>
  <c r="LH48" i="5" l="1"/>
  <c r="IY38" i="5"/>
  <c r="IX44" i="5"/>
  <c r="JW37" i="5"/>
  <c r="JX20" i="5"/>
  <c r="LN19" i="5"/>
  <c r="GM49" i="5"/>
  <c r="GM51" i="5" s="1"/>
  <c r="GM53" i="5" s="1"/>
  <c r="GN46" i="5"/>
  <c r="LI48" i="5" l="1"/>
  <c r="IZ38" i="5"/>
  <c r="IY44" i="5"/>
  <c r="JX37" i="5"/>
  <c r="JZ20" i="5"/>
  <c r="LO19" i="5"/>
  <c r="GN49" i="5"/>
  <c r="GN51" i="5" s="1"/>
  <c r="GN53" i="5" s="1"/>
  <c r="GO46" i="5"/>
  <c r="LJ48" i="5" l="1"/>
  <c r="JA38" i="5"/>
  <c r="IZ44" i="5"/>
  <c r="JZ37" i="5"/>
  <c r="KA20" i="5"/>
  <c r="KB20" i="5"/>
  <c r="LP19" i="5"/>
  <c r="GO49" i="5"/>
  <c r="GO51" i="5" s="1"/>
  <c r="GO53" i="5" s="1"/>
  <c r="GP46" i="5"/>
  <c r="LK48" i="5" l="1"/>
  <c r="JB38" i="5"/>
  <c r="JA44" i="5"/>
  <c r="KA37" i="5"/>
  <c r="KC20" i="5"/>
  <c r="KB37" i="5"/>
  <c r="KD20" i="5"/>
  <c r="LQ19" i="5"/>
  <c r="GP49" i="5"/>
  <c r="GP51" i="5" s="1"/>
  <c r="GP53" i="5" s="1"/>
  <c r="GQ46" i="5"/>
  <c r="LL48" i="5" l="1"/>
  <c r="JC38" i="5"/>
  <c r="JB44" i="5"/>
  <c r="KC37" i="5"/>
  <c r="KE20" i="5"/>
  <c r="KD37" i="5"/>
  <c r="KF20" i="5"/>
  <c r="LR19" i="5"/>
  <c r="GQ49" i="5"/>
  <c r="GQ51" i="5" s="1"/>
  <c r="GQ53" i="5" s="1"/>
  <c r="GR46" i="5"/>
  <c r="LM48" i="5" l="1"/>
  <c r="JD38" i="5"/>
  <c r="JC44" i="5"/>
  <c r="KE37" i="5"/>
  <c r="KG20" i="5"/>
  <c r="KF37" i="5"/>
  <c r="KH20" i="5"/>
  <c r="LS19" i="5"/>
  <c r="GR49" i="5"/>
  <c r="GR51" i="5" s="1"/>
  <c r="GR53" i="5" s="1"/>
  <c r="GS46" i="5"/>
  <c r="LN48" i="5" l="1"/>
  <c r="JE38" i="5"/>
  <c r="JD44" i="5"/>
  <c r="KG37" i="5"/>
  <c r="KI20" i="5"/>
  <c r="KH37" i="5"/>
  <c r="KJ20" i="5"/>
  <c r="LT19" i="5"/>
  <c r="GS49" i="5"/>
  <c r="GS51" i="5" s="1"/>
  <c r="GS53" i="5" s="1"/>
  <c r="GT46" i="5"/>
  <c r="LO48" i="5" l="1"/>
  <c r="JF38" i="5"/>
  <c r="JE44" i="5"/>
  <c r="KI37" i="5"/>
  <c r="KK20" i="5"/>
  <c r="KJ37" i="5"/>
  <c r="KL20" i="5"/>
  <c r="LU19" i="5"/>
  <c r="GT49" i="5"/>
  <c r="GT51" i="5" s="1"/>
  <c r="GT53" i="5" s="1"/>
  <c r="GU46" i="5"/>
  <c r="LP48" i="5" l="1"/>
  <c r="JG38" i="5"/>
  <c r="JF44" i="5"/>
  <c r="KK37" i="5"/>
  <c r="KM20" i="5"/>
  <c r="KL37" i="5"/>
  <c r="KN20" i="5"/>
  <c r="LV19" i="5"/>
  <c r="GU49" i="5"/>
  <c r="GU51" i="5" s="1"/>
  <c r="GU53" i="5" s="1"/>
  <c r="GV46" i="5"/>
  <c r="LQ48" i="5" l="1"/>
  <c r="JH38" i="5"/>
  <c r="JG44" i="5"/>
  <c r="KM37" i="5"/>
  <c r="KO20" i="5"/>
  <c r="KN37" i="5"/>
  <c r="KP20" i="5"/>
  <c r="LW19" i="5"/>
  <c r="GV49" i="5"/>
  <c r="GV51" i="5" s="1"/>
  <c r="GV53" i="5" s="1"/>
  <c r="GW46" i="5"/>
  <c r="LR48" i="5" l="1"/>
  <c r="JI38" i="5"/>
  <c r="JH44" i="5"/>
  <c r="KO37" i="5"/>
  <c r="KQ20" i="5"/>
  <c r="KP37" i="5"/>
  <c r="KR20" i="5"/>
  <c r="LX19" i="5"/>
  <c r="GW49" i="5"/>
  <c r="GW51" i="5" s="1"/>
  <c r="GW53" i="5" s="1"/>
  <c r="GX46" i="5"/>
  <c r="LS48" i="5" l="1"/>
  <c r="JJ38" i="5"/>
  <c r="JI44" i="5"/>
  <c r="KQ37" i="5"/>
  <c r="KS20" i="5"/>
  <c r="KR37" i="5"/>
  <c r="KT20" i="5"/>
  <c r="LY19" i="5"/>
  <c r="GX49" i="5"/>
  <c r="GX51" i="5" s="1"/>
  <c r="GX53" i="5" s="1"/>
  <c r="GY46" i="5"/>
  <c r="LT48" i="5" l="1"/>
  <c r="JK38" i="5"/>
  <c r="JJ44" i="5"/>
  <c r="KS37" i="5"/>
  <c r="KU20" i="5"/>
  <c r="KT37" i="5"/>
  <c r="KV20" i="5"/>
  <c r="LZ19" i="5"/>
  <c r="GY49" i="5"/>
  <c r="GY51" i="5" s="1"/>
  <c r="GY53" i="5" s="1"/>
  <c r="GZ46" i="5"/>
  <c r="LU48" i="5" l="1"/>
  <c r="JL38" i="5"/>
  <c r="JK44" i="5"/>
  <c r="KU37" i="5"/>
  <c r="KW20" i="5"/>
  <c r="KV37" i="5"/>
  <c r="KX20" i="5"/>
  <c r="MA19" i="5"/>
  <c r="GZ49" i="5"/>
  <c r="GZ51" i="5" s="1"/>
  <c r="GZ53" i="5" s="1"/>
  <c r="HA46" i="5"/>
  <c r="LV48" i="5" l="1"/>
  <c r="JM38" i="5"/>
  <c r="JL44" i="5"/>
  <c r="KW37" i="5"/>
  <c r="KY20" i="5"/>
  <c r="KX37" i="5"/>
  <c r="KZ20" i="5"/>
  <c r="MB19" i="5"/>
  <c r="HA49" i="5"/>
  <c r="HA51" i="5" s="1"/>
  <c r="HA53" i="5" s="1"/>
  <c r="HB46" i="5"/>
  <c r="LW48" i="5" l="1"/>
  <c r="JN38" i="5"/>
  <c r="JM44" i="5"/>
  <c r="KY37" i="5"/>
  <c r="LA20" i="5"/>
  <c r="KZ37" i="5"/>
  <c r="LB20" i="5"/>
  <c r="MC19" i="5"/>
  <c r="HB49" i="5"/>
  <c r="HB51" i="5" s="1"/>
  <c r="HB53" i="5" s="1"/>
  <c r="HC46" i="5"/>
  <c r="LX48" i="5" l="1"/>
  <c r="JO38" i="5"/>
  <c r="JN44" i="5"/>
  <c r="LA37" i="5"/>
  <c r="LC20" i="5"/>
  <c r="LC37" i="5" s="1"/>
  <c r="LB37" i="5"/>
  <c r="LD20" i="5"/>
  <c r="MD19" i="5"/>
  <c r="HC49" i="5"/>
  <c r="HC51" i="5" s="1"/>
  <c r="HC53" i="5" s="1"/>
  <c r="HD46" i="5"/>
  <c r="LY48" i="5" l="1"/>
  <c r="JP38" i="5"/>
  <c r="JO44" i="5"/>
  <c r="LD37" i="5"/>
  <c r="LF20" i="5"/>
  <c r="ME19" i="5"/>
  <c r="HD49" i="5"/>
  <c r="HD51" i="5" s="1"/>
  <c r="HD53" i="5" s="1"/>
  <c r="HE46" i="5"/>
  <c r="LZ48" i="5" l="1"/>
  <c r="JQ38" i="5"/>
  <c r="JP44" i="5"/>
  <c r="LF37" i="5"/>
  <c r="LG20" i="5"/>
  <c r="MF19" i="5"/>
  <c r="HE49" i="5"/>
  <c r="HE51" i="5" s="1"/>
  <c r="HE53" i="5" s="1"/>
  <c r="HF46" i="5"/>
  <c r="MA48" i="5" l="1"/>
  <c r="JR38" i="5"/>
  <c r="JQ44" i="5"/>
  <c r="LG37" i="5"/>
  <c r="LH20" i="5"/>
  <c r="MG19" i="5"/>
  <c r="HF49" i="5"/>
  <c r="HF51" i="5" s="1"/>
  <c r="HF53" i="5" s="1"/>
  <c r="HG46" i="5"/>
  <c r="MB48" i="5" l="1"/>
  <c r="JS38" i="5"/>
  <c r="JR44" i="5"/>
  <c r="LH37" i="5"/>
  <c r="LI20" i="5"/>
  <c r="MH19" i="5"/>
  <c r="HG49" i="5"/>
  <c r="HG51" i="5" s="1"/>
  <c r="HG53" i="5" s="1"/>
  <c r="HH46" i="5"/>
  <c r="MC48" i="5" l="1"/>
  <c r="JT38" i="5"/>
  <c r="JS44" i="5"/>
  <c r="LI37" i="5"/>
  <c r="LJ20" i="5"/>
  <c r="MI19" i="5"/>
  <c r="HH49" i="5"/>
  <c r="HH51" i="5" s="1"/>
  <c r="HH53" i="5" s="1"/>
  <c r="HI46" i="5"/>
  <c r="MD48" i="5" l="1"/>
  <c r="JU38" i="5"/>
  <c r="JT44" i="5"/>
  <c r="LJ37" i="5"/>
  <c r="LK20" i="5"/>
  <c r="MK19" i="5"/>
  <c r="HI49" i="5"/>
  <c r="HI51" i="5" s="1"/>
  <c r="HI53" i="5" s="1"/>
  <c r="HJ46" i="5"/>
  <c r="ME48" i="5" l="1"/>
  <c r="JV38" i="5"/>
  <c r="JU44" i="5"/>
  <c r="LK37" i="5"/>
  <c r="LL20" i="5"/>
  <c r="ML19" i="5"/>
  <c r="MM19" i="5"/>
  <c r="HJ49" i="5"/>
  <c r="HJ51" i="5" s="1"/>
  <c r="HJ53" i="5" s="1"/>
  <c r="HK46" i="5"/>
  <c r="MF48" i="5" l="1"/>
  <c r="JW38" i="5"/>
  <c r="JV44" i="5"/>
  <c r="LL37" i="5"/>
  <c r="LM20" i="5"/>
  <c r="MN19" i="5"/>
  <c r="MO19" i="5"/>
  <c r="HK49" i="5"/>
  <c r="HK51" i="5" s="1"/>
  <c r="HK53" i="5" s="1"/>
  <c r="HL46" i="5"/>
  <c r="MG48" i="5" l="1"/>
  <c r="JX38" i="5"/>
  <c r="JW44" i="5"/>
  <c r="LM37" i="5"/>
  <c r="LN20" i="5"/>
  <c r="MP19" i="5"/>
  <c r="MQ19" i="5"/>
  <c r="HL49" i="5"/>
  <c r="HL51" i="5" s="1"/>
  <c r="HL53" i="5" s="1"/>
  <c r="HM46" i="5"/>
  <c r="MH48" i="5" l="1"/>
  <c r="JZ38" i="5"/>
  <c r="JX44" i="5"/>
  <c r="LN37" i="5"/>
  <c r="LO20" i="5"/>
  <c r="MR19" i="5"/>
  <c r="MS19" i="5"/>
  <c r="HM49" i="5"/>
  <c r="HM51" i="5" s="1"/>
  <c r="HM53" i="5" s="1"/>
  <c r="HO46" i="5"/>
  <c r="MI48" i="5" l="1"/>
  <c r="KA38" i="5"/>
  <c r="JZ44" i="5"/>
  <c r="LO37" i="5"/>
  <c r="LP20" i="5"/>
  <c r="MT19" i="5"/>
  <c r="MU19" i="5"/>
  <c r="HO49" i="5"/>
  <c r="HO51" i="5" s="1"/>
  <c r="HO53" i="5" s="1"/>
  <c r="HP46" i="5"/>
  <c r="MK48" i="5" l="1"/>
  <c r="KB38" i="5"/>
  <c r="KA44" i="5"/>
  <c r="LP37" i="5"/>
  <c r="LQ20" i="5"/>
  <c r="MV19" i="5"/>
  <c r="MW19" i="5"/>
  <c r="HP49" i="5"/>
  <c r="HP51" i="5" s="1"/>
  <c r="HP53" i="5" s="1"/>
  <c r="HQ46" i="5"/>
  <c r="ML48" i="5" l="1"/>
  <c r="MM48" i="5"/>
  <c r="KC38" i="5"/>
  <c r="KB44" i="5"/>
  <c r="LQ37" i="5"/>
  <c r="LR20" i="5"/>
  <c r="MX19" i="5"/>
  <c r="MY19" i="5"/>
  <c r="HQ49" i="5"/>
  <c r="HQ51" i="5" s="1"/>
  <c r="HQ53" i="5" s="1"/>
  <c r="HR46" i="5"/>
  <c r="MN48" i="5" l="1"/>
  <c r="MO48" i="5"/>
  <c r="KD38" i="5"/>
  <c r="KE38" i="5"/>
  <c r="KE44" i="5" s="1"/>
  <c r="KC44" i="5"/>
  <c r="LR37" i="5"/>
  <c r="LS20" i="5"/>
  <c r="MZ19" i="5"/>
  <c r="NA19" i="5"/>
  <c r="HR49" i="5"/>
  <c r="HR51" i="5" s="1"/>
  <c r="HR53" i="5" s="1"/>
  <c r="HS46" i="5"/>
  <c r="MP48" i="5" l="1"/>
  <c r="MQ48" i="5"/>
  <c r="KF38" i="5"/>
  <c r="KD44" i="5"/>
  <c r="LS37" i="5"/>
  <c r="LT20" i="5"/>
  <c r="NB19" i="5"/>
  <c r="NC19" i="5"/>
  <c r="HS49" i="5"/>
  <c r="HS51" i="5" s="1"/>
  <c r="HS53" i="5" s="1"/>
  <c r="HT46" i="5"/>
  <c r="MR48" i="5" l="1"/>
  <c r="MS48" i="5"/>
  <c r="KG38" i="5"/>
  <c r="KF44" i="5"/>
  <c r="LT37" i="5"/>
  <c r="LU20" i="5"/>
  <c r="ND19" i="5"/>
  <c r="NE19" i="5"/>
  <c r="HT49" i="5"/>
  <c r="HT51" i="5" s="1"/>
  <c r="HT53" i="5" s="1"/>
  <c r="HU46" i="5"/>
  <c r="MT48" i="5" l="1"/>
  <c r="MU48" i="5"/>
  <c r="KH38" i="5"/>
  <c r="KG44" i="5"/>
  <c r="LU37" i="5"/>
  <c r="LV20" i="5"/>
  <c r="NF19" i="5"/>
  <c r="NG19" i="5"/>
  <c r="HU49" i="5"/>
  <c r="HU51" i="5" s="1"/>
  <c r="HU53" i="5" s="1"/>
  <c r="HV46" i="5"/>
  <c r="MV48" i="5" l="1"/>
  <c r="MW48" i="5"/>
  <c r="KI38" i="5"/>
  <c r="KH44" i="5"/>
  <c r="LV37" i="5"/>
  <c r="LW20" i="5"/>
  <c r="NH19" i="5"/>
  <c r="NI19" i="5"/>
  <c r="HV49" i="5"/>
  <c r="HV51" i="5" s="1"/>
  <c r="HV53" i="5" s="1"/>
  <c r="HW46" i="5"/>
  <c r="MX48" i="5" l="1"/>
  <c r="MY48" i="5"/>
  <c r="KJ38" i="5"/>
  <c r="KJ44" i="5" s="1"/>
  <c r="KK38" i="5"/>
  <c r="KI44" i="5"/>
  <c r="LW37" i="5"/>
  <c r="LX20" i="5"/>
  <c r="NJ19" i="5"/>
  <c r="NK19" i="5"/>
  <c r="HW49" i="5"/>
  <c r="HW51" i="5" s="1"/>
  <c r="HW53" i="5" s="1"/>
  <c r="HX46" i="5"/>
  <c r="MZ48" i="5" l="1"/>
  <c r="NA48" i="5"/>
  <c r="KL38" i="5"/>
  <c r="KK44" i="5"/>
  <c r="LX37" i="5"/>
  <c r="LY20" i="5"/>
  <c r="NL19" i="5"/>
  <c r="NM19" i="5"/>
  <c r="HX49" i="5"/>
  <c r="HX51" i="5" s="1"/>
  <c r="HX53" i="5" s="1"/>
  <c r="HY46" i="5"/>
  <c r="NB48" i="5" l="1"/>
  <c r="NC48" i="5"/>
  <c r="KM38" i="5"/>
  <c r="KL44" i="5"/>
  <c r="LY37" i="5"/>
  <c r="LZ20" i="5"/>
  <c r="NN19" i="5"/>
  <c r="NO19" i="5"/>
  <c r="HY49" i="5"/>
  <c r="HY51" i="5" s="1"/>
  <c r="HY53" i="5" s="1"/>
  <c r="HZ46" i="5"/>
  <c r="ND48" i="5" l="1"/>
  <c r="NE48" i="5"/>
  <c r="KN38" i="5"/>
  <c r="KN44" i="5" s="1"/>
  <c r="KO38" i="5"/>
  <c r="KM44" i="5"/>
  <c r="LZ37" i="5"/>
  <c r="MA20" i="5"/>
  <c r="NQ19" i="5"/>
  <c r="HZ49" i="5"/>
  <c r="HZ51" i="5" s="1"/>
  <c r="HZ53" i="5" s="1"/>
  <c r="IA46" i="5"/>
  <c r="NF48" i="5" l="1"/>
  <c r="NG48" i="5"/>
  <c r="KP38" i="5"/>
  <c r="KO44" i="5"/>
  <c r="MA37" i="5"/>
  <c r="MB20" i="5"/>
  <c r="NR19" i="5"/>
  <c r="NS19" i="5"/>
  <c r="IA49" i="5"/>
  <c r="IA51" i="5" s="1"/>
  <c r="IA53" i="5" s="1"/>
  <c r="IB46" i="5"/>
  <c r="NH48" i="5" l="1"/>
  <c r="NI48" i="5"/>
  <c r="KQ38" i="5"/>
  <c r="KP44" i="5"/>
  <c r="MB37" i="5"/>
  <c r="MC20" i="5"/>
  <c r="NT19" i="5"/>
  <c r="NU19" i="5"/>
  <c r="IB49" i="5"/>
  <c r="IB51" i="5" s="1"/>
  <c r="IB53" i="5" s="1"/>
  <c r="IC46" i="5"/>
  <c r="NJ48" i="5" l="1"/>
  <c r="NK48" i="5"/>
  <c r="KR38" i="5"/>
  <c r="KQ44" i="5"/>
  <c r="MC37" i="5"/>
  <c r="MD20" i="5"/>
  <c r="NV19" i="5"/>
  <c r="NW19" i="5"/>
  <c r="IC49" i="5"/>
  <c r="IC51" i="5" s="1"/>
  <c r="IC53" i="5" s="1"/>
  <c r="ID46" i="5"/>
  <c r="NL48" i="5" l="1"/>
  <c r="NM48" i="5"/>
  <c r="KS38" i="5"/>
  <c r="KS44" i="5" s="1"/>
  <c r="KT38" i="5"/>
  <c r="KR44" i="5"/>
  <c r="MD37" i="5"/>
  <c r="ME20" i="5"/>
  <c r="NX19" i="5"/>
  <c r="NY19" i="5"/>
  <c r="ID49" i="5"/>
  <c r="ID51" i="5" s="1"/>
  <c r="ID53" i="5" s="1"/>
  <c r="IE46" i="5"/>
  <c r="NN48" i="5" l="1"/>
  <c r="NO48" i="5"/>
  <c r="KU38" i="5"/>
  <c r="KT44" i="5"/>
  <c r="ME37" i="5"/>
  <c r="MF20" i="5"/>
  <c r="NZ19" i="5"/>
  <c r="OA19" i="5"/>
  <c r="IE49" i="5"/>
  <c r="IE51" i="5" s="1"/>
  <c r="IE53" i="5" s="1"/>
  <c r="IF46" i="5"/>
  <c r="NQ48" i="5" l="1"/>
  <c r="KV38" i="5"/>
  <c r="KV44" i="5" s="1"/>
  <c r="KW38" i="5"/>
  <c r="KU44" i="5"/>
  <c r="MF37" i="5"/>
  <c r="MG20" i="5"/>
  <c r="OB19" i="5"/>
  <c r="OC19" i="5"/>
  <c r="IF49" i="5"/>
  <c r="IF51" i="5" s="1"/>
  <c r="IF53" i="5" s="1"/>
  <c r="IG46" i="5"/>
  <c r="NR48" i="5" l="1"/>
  <c r="NS48" i="5"/>
  <c r="KX38" i="5"/>
  <c r="KW44" i="5"/>
  <c r="MG37" i="5"/>
  <c r="MH20" i="5"/>
  <c r="OD19" i="5"/>
  <c r="OE19" i="5"/>
  <c r="IG49" i="5"/>
  <c r="IG51" i="5" s="1"/>
  <c r="IG53" i="5" s="1"/>
  <c r="IH46" i="5"/>
  <c r="NT48" i="5" l="1"/>
  <c r="NU48" i="5"/>
  <c r="KY38" i="5"/>
  <c r="KY44" i="5" s="1"/>
  <c r="KZ38" i="5"/>
  <c r="KX44" i="5"/>
  <c r="MH37" i="5"/>
  <c r="MI20" i="5"/>
  <c r="OF19" i="5"/>
  <c r="OG19" i="5"/>
  <c r="IH49" i="5"/>
  <c r="IH51" i="5" s="1"/>
  <c r="IH53" i="5" s="1"/>
  <c r="II46" i="5"/>
  <c r="NV48" i="5" l="1"/>
  <c r="NW48" i="5"/>
  <c r="LA38" i="5"/>
  <c r="KZ44" i="5"/>
  <c r="MI37" i="5"/>
  <c r="MK20" i="5"/>
  <c r="OH19" i="5"/>
  <c r="OI19" i="5"/>
  <c r="II49" i="5"/>
  <c r="II51" i="5" s="1"/>
  <c r="II53" i="5" s="1"/>
  <c r="IJ46" i="5"/>
  <c r="NX48" i="5" l="1"/>
  <c r="NY48" i="5"/>
  <c r="LB38" i="5"/>
  <c r="LB44" i="5" s="1"/>
  <c r="LC38" i="5"/>
  <c r="LA44" i="5"/>
  <c r="MK37" i="5"/>
  <c r="ML20" i="5"/>
  <c r="MM20" i="5"/>
  <c r="OJ19" i="5"/>
  <c r="OK19" i="5"/>
  <c r="IJ49" i="5"/>
  <c r="IJ51" i="5" s="1"/>
  <c r="IJ53" i="5" s="1"/>
  <c r="IK46" i="5"/>
  <c r="NZ48" i="5" l="1"/>
  <c r="OA48" i="5"/>
  <c r="LD38" i="5"/>
  <c r="LC44" i="5"/>
  <c r="ML37" i="5"/>
  <c r="MN20" i="5"/>
  <c r="MM37" i="5"/>
  <c r="MO20" i="5"/>
  <c r="OL19" i="5"/>
  <c r="OM19" i="5"/>
  <c r="IK49" i="5"/>
  <c r="IK51" i="5" s="1"/>
  <c r="IK53" i="5" s="1"/>
  <c r="IL46" i="5"/>
  <c r="OB48" i="5" l="1"/>
  <c r="OC48" i="5"/>
  <c r="LF38" i="5"/>
  <c r="LD44" i="5"/>
  <c r="MN37" i="5"/>
  <c r="MP20" i="5"/>
  <c r="MO37" i="5"/>
  <c r="MQ20" i="5"/>
  <c r="ON19" i="5"/>
  <c r="OO19" i="5"/>
  <c r="IL49" i="5"/>
  <c r="IL51" i="5" s="1"/>
  <c r="IL53" i="5" s="1"/>
  <c r="IM46" i="5"/>
  <c r="OD48" i="5" l="1"/>
  <c r="OE48" i="5"/>
  <c r="LG38" i="5"/>
  <c r="LF44" i="5"/>
  <c r="MP37" i="5"/>
  <c r="MR20" i="5"/>
  <c r="MQ37" i="5"/>
  <c r="MS20" i="5"/>
  <c r="OP19" i="5"/>
  <c r="OQ19" i="5"/>
  <c r="IM49" i="5"/>
  <c r="IM51" i="5" s="1"/>
  <c r="IM53" i="5" s="1"/>
  <c r="IN46" i="5"/>
  <c r="OF48" i="5" l="1"/>
  <c r="OG48" i="5"/>
  <c r="LH38" i="5"/>
  <c r="LG44" i="5"/>
  <c r="MR37" i="5"/>
  <c r="MT20" i="5"/>
  <c r="MS37" i="5"/>
  <c r="MU20" i="5"/>
  <c r="OR19" i="5"/>
  <c r="OS19" i="5"/>
  <c r="IN49" i="5"/>
  <c r="IN51" i="5" s="1"/>
  <c r="IN53" i="5" s="1"/>
  <c r="IO46" i="5"/>
  <c r="OH48" i="5" l="1"/>
  <c r="OI48" i="5"/>
  <c r="LI38" i="5"/>
  <c r="LH44" i="5"/>
  <c r="MT37" i="5"/>
  <c r="MV20" i="5"/>
  <c r="MU37" i="5"/>
  <c r="MW20" i="5"/>
  <c r="OT19" i="5"/>
  <c r="OU19" i="5"/>
  <c r="IO49" i="5"/>
  <c r="IO51" i="5" s="1"/>
  <c r="IO53" i="5" s="1"/>
  <c r="IP46" i="5"/>
  <c r="OJ48" i="5" l="1"/>
  <c r="OK48" i="5"/>
  <c r="LJ38" i="5"/>
  <c r="LI44" i="5"/>
  <c r="MV37" i="5"/>
  <c r="MX20" i="5"/>
  <c r="MW37" i="5"/>
  <c r="MY20" i="5"/>
  <c r="OW19" i="5"/>
  <c r="IP49" i="5"/>
  <c r="IP51" i="5" s="1"/>
  <c r="IP53" i="5" s="1"/>
  <c r="IQ46" i="5"/>
  <c r="OL48" i="5" l="1"/>
  <c r="OM48" i="5"/>
  <c r="LK38" i="5"/>
  <c r="LJ44" i="5"/>
  <c r="MX37" i="5"/>
  <c r="MZ20" i="5"/>
  <c r="MY37" i="5"/>
  <c r="NA20" i="5"/>
  <c r="OX19" i="5"/>
  <c r="OY19" i="5"/>
  <c r="IQ49" i="5"/>
  <c r="IQ51" i="5" s="1"/>
  <c r="IQ53" i="5" s="1"/>
  <c r="IR46" i="5"/>
  <c r="ON48" i="5" l="1"/>
  <c r="OO48" i="5"/>
  <c r="LL38" i="5"/>
  <c r="LK44" i="5"/>
  <c r="MZ37" i="5"/>
  <c r="NB20" i="5"/>
  <c r="NA37" i="5"/>
  <c r="NC20" i="5"/>
  <c r="OZ19" i="5"/>
  <c r="PA19" i="5"/>
  <c r="IR49" i="5"/>
  <c r="IR51" i="5" s="1"/>
  <c r="IR53" i="5" s="1"/>
  <c r="IS46" i="5"/>
  <c r="OP48" i="5" l="1"/>
  <c r="OQ48" i="5"/>
  <c r="LM38" i="5"/>
  <c r="LL44" i="5"/>
  <c r="NB37" i="5"/>
  <c r="ND20" i="5"/>
  <c r="NC37" i="5"/>
  <c r="NE20" i="5"/>
  <c r="PB19" i="5"/>
  <c r="PC19" i="5"/>
  <c r="IS49" i="5"/>
  <c r="IS51" i="5" s="1"/>
  <c r="IS53" i="5" s="1"/>
  <c r="IU46" i="5"/>
  <c r="OR48" i="5" l="1"/>
  <c r="OS48" i="5"/>
  <c r="LN38" i="5"/>
  <c r="LM44" i="5"/>
  <c r="ND37" i="5"/>
  <c r="NF20" i="5"/>
  <c r="NE37" i="5"/>
  <c r="NG20" i="5"/>
  <c r="PD19" i="5"/>
  <c r="PE19" i="5"/>
  <c r="IU49" i="5"/>
  <c r="IU51" i="5" s="1"/>
  <c r="IU53" i="5" s="1"/>
  <c r="IV46" i="5"/>
  <c r="OT48" i="5" l="1"/>
  <c r="OU48" i="5"/>
  <c r="LO38" i="5"/>
  <c r="LN44" i="5"/>
  <c r="NF37" i="5"/>
  <c r="NH20" i="5"/>
  <c r="NG37" i="5"/>
  <c r="NI20" i="5"/>
  <c r="PF19" i="5"/>
  <c r="PG19" i="5"/>
  <c r="IV49" i="5"/>
  <c r="IV51" i="5" s="1"/>
  <c r="IV53" i="5" s="1"/>
  <c r="IW46" i="5"/>
  <c r="OW48" i="5" l="1"/>
  <c r="LP38" i="5"/>
  <c r="LO44" i="5"/>
  <c r="NH37" i="5"/>
  <c r="NJ20" i="5"/>
  <c r="NI37" i="5"/>
  <c r="NK20" i="5"/>
  <c r="PH19" i="5"/>
  <c r="PI19" i="5"/>
  <c r="IW49" i="5"/>
  <c r="IW51" i="5" s="1"/>
  <c r="IW53" i="5" s="1"/>
  <c r="IX46" i="5"/>
  <c r="OX48" i="5" l="1"/>
  <c r="OY48" i="5"/>
  <c r="LQ38" i="5"/>
  <c r="LP44" i="5"/>
  <c r="NJ37" i="5"/>
  <c r="NL20" i="5"/>
  <c r="NK37" i="5"/>
  <c r="NM20" i="5"/>
  <c r="PJ19" i="5"/>
  <c r="PK19" i="5"/>
  <c r="IX49" i="5"/>
  <c r="IX51" i="5" s="1"/>
  <c r="IX53" i="5" s="1"/>
  <c r="IY46" i="5"/>
  <c r="OZ48" i="5" l="1"/>
  <c r="PA48" i="5"/>
  <c r="LR38" i="5"/>
  <c r="LQ44" i="5"/>
  <c r="NL37" i="5"/>
  <c r="NN20" i="5"/>
  <c r="NN37" i="5" s="1"/>
  <c r="NM37" i="5"/>
  <c r="NO20" i="5"/>
  <c r="PL19" i="5"/>
  <c r="PM19" i="5"/>
  <c r="IY49" i="5"/>
  <c r="IY51" i="5" s="1"/>
  <c r="IY53" i="5" s="1"/>
  <c r="IZ46" i="5"/>
  <c r="PB48" i="5" l="1"/>
  <c r="PC48" i="5"/>
  <c r="LS38" i="5"/>
  <c r="LR44" i="5"/>
  <c r="NO37" i="5"/>
  <c r="NQ20" i="5"/>
  <c r="PN19" i="5"/>
  <c r="PO19" i="5"/>
  <c r="IZ49" i="5"/>
  <c r="IZ51" i="5" s="1"/>
  <c r="IZ53" i="5" s="1"/>
  <c r="JA46" i="5"/>
  <c r="PD48" i="5" l="1"/>
  <c r="PE48" i="5"/>
  <c r="LT38" i="5"/>
  <c r="LS44" i="5"/>
  <c r="NQ37" i="5"/>
  <c r="NR20" i="5"/>
  <c r="NS20" i="5"/>
  <c r="PP19" i="5"/>
  <c r="PQ19" i="5"/>
  <c r="JA49" i="5"/>
  <c r="JA51" i="5" s="1"/>
  <c r="JA53" i="5" s="1"/>
  <c r="JB46" i="5"/>
  <c r="PF48" i="5" l="1"/>
  <c r="PG48" i="5"/>
  <c r="LU38" i="5"/>
  <c r="LT44" i="5"/>
  <c r="NR37" i="5"/>
  <c r="NT20" i="5"/>
  <c r="NS37" i="5"/>
  <c r="NU20" i="5"/>
  <c r="PR19" i="5"/>
  <c r="PS19" i="5"/>
  <c r="JB49" i="5"/>
  <c r="JB51" i="5" s="1"/>
  <c r="JB53" i="5" s="1"/>
  <c r="JC46" i="5"/>
  <c r="PH48" i="5" l="1"/>
  <c r="PI48" i="5"/>
  <c r="LV38" i="5"/>
  <c r="LU44" i="5"/>
  <c r="NT37" i="5"/>
  <c r="NV20" i="5"/>
  <c r="NU37" i="5"/>
  <c r="NW20" i="5"/>
  <c r="PT19" i="5"/>
  <c r="PU19" i="5"/>
  <c r="JC49" i="5"/>
  <c r="JC51" i="5" s="1"/>
  <c r="JC53" i="5" s="1"/>
  <c r="JD46" i="5"/>
  <c r="PJ48" i="5" l="1"/>
  <c r="PK48" i="5"/>
  <c r="LW38" i="5"/>
  <c r="LV44" i="5"/>
  <c r="NV37" i="5"/>
  <c r="NX20" i="5"/>
  <c r="NW37" i="5"/>
  <c r="NY20" i="5"/>
  <c r="PV19" i="5"/>
  <c r="PW19" i="5"/>
  <c r="JD49" i="5"/>
  <c r="JD51" i="5" s="1"/>
  <c r="JD53" i="5" s="1"/>
  <c r="JE46" i="5"/>
  <c r="PL48" i="5" l="1"/>
  <c r="PM48" i="5"/>
  <c r="LX38" i="5"/>
  <c r="LW44" i="5"/>
  <c r="NX37" i="5"/>
  <c r="NZ20" i="5"/>
  <c r="NY37" i="5"/>
  <c r="OA20" i="5"/>
  <c r="PX19" i="5"/>
  <c r="PY19" i="5"/>
  <c r="JE49" i="5"/>
  <c r="JE51" i="5" s="1"/>
  <c r="JE53" i="5" s="1"/>
  <c r="JF46" i="5"/>
  <c r="PN48" i="5" l="1"/>
  <c r="PO48" i="5"/>
  <c r="LY38" i="5"/>
  <c r="LX44" i="5"/>
  <c r="NZ37" i="5"/>
  <c r="OB20" i="5"/>
  <c r="OA37" i="5"/>
  <c r="OC20" i="5"/>
  <c r="PZ19" i="5"/>
  <c r="JF49" i="5"/>
  <c r="JF51" i="5" s="1"/>
  <c r="JF53" i="5" s="1"/>
  <c r="JG46" i="5"/>
  <c r="PP48" i="5" l="1"/>
  <c r="PQ48" i="5"/>
  <c r="LZ38" i="5"/>
  <c r="LY44" i="5"/>
  <c r="OB37" i="5"/>
  <c r="OD20" i="5"/>
  <c r="OC37" i="5"/>
  <c r="OE20" i="5"/>
  <c r="QB19" i="5"/>
  <c r="JG49" i="5"/>
  <c r="JG51" i="5" s="1"/>
  <c r="JG53" i="5" s="1"/>
  <c r="JH46" i="5"/>
  <c r="PR48" i="5" l="1"/>
  <c r="PS48" i="5"/>
  <c r="MA38" i="5"/>
  <c r="LZ44" i="5"/>
  <c r="OD37" i="5"/>
  <c r="OF20" i="5"/>
  <c r="OE37" i="5"/>
  <c r="OG20" i="5"/>
  <c r="QC19" i="5"/>
  <c r="JH49" i="5"/>
  <c r="JH51" i="5" s="1"/>
  <c r="JH53" i="5" s="1"/>
  <c r="JI46" i="5"/>
  <c r="PT48" i="5" l="1"/>
  <c r="PU48" i="5"/>
  <c r="MB38" i="5"/>
  <c r="MA44" i="5"/>
  <c r="OF37" i="5"/>
  <c r="OH20" i="5"/>
  <c r="OG37" i="5"/>
  <c r="OI20" i="5"/>
  <c r="QD19" i="5"/>
  <c r="JI49" i="5"/>
  <c r="JI51" i="5" s="1"/>
  <c r="JI53" i="5" s="1"/>
  <c r="JJ46" i="5"/>
  <c r="PV48" i="5" l="1"/>
  <c r="PW48" i="5"/>
  <c r="MC38" i="5"/>
  <c r="MB44" i="5"/>
  <c r="OH37" i="5"/>
  <c r="OJ20" i="5"/>
  <c r="OI37" i="5"/>
  <c r="OK20" i="5"/>
  <c r="QE19" i="5"/>
  <c r="JJ49" i="5"/>
  <c r="JJ51" i="5" s="1"/>
  <c r="JJ53" i="5" s="1"/>
  <c r="JK46" i="5"/>
  <c r="PX48" i="5" l="1"/>
  <c r="PY48" i="5"/>
  <c r="MD38" i="5"/>
  <c r="MC44" i="5"/>
  <c r="OJ37" i="5"/>
  <c r="OL20" i="5"/>
  <c r="OK37" i="5"/>
  <c r="OM20" i="5"/>
  <c r="QF19" i="5"/>
  <c r="JK49" i="5"/>
  <c r="JK51" i="5" s="1"/>
  <c r="JK53" i="5" s="1"/>
  <c r="JL46" i="5"/>
  <c r="PZ48" i="5" l="1"/>
  <c r="ME38" i="5"/>
  <c r="MD44" i="5"/>
  <c r="OL37" i="5"/>
  <c r="ON20" i="5"/>
  <c r="OM37" i="5"/>
  <c r="OO20" i="5"/>
  <c r="QG19" i="5"/>
  <c r="JL49" i="5"/>
  <c r="JL51" i="5" s="1"/>
  <c r="JL53" i="5" s="1"/>
  <c r="JM46" i="5"/>
  <c r="QB48" i="5" l="1"/>
  <c r="MF38" i="5"/>
  <c r="ME44" i="5"/>
  <c r="ON37" i="5"/>
  <c r="OP20" i="5"/>
  <c r="OO37" i="5"/>
  <c r="OQ20" i="5"/>
  <c r="QH19" i="5"/>
  <c r="JM49" i="5"/>
  <c r="JM51" i="5" s="1"/>
  <c r="JM53" i="5" s="1"/>
  <c r="JN46" i="5"/>
  <c r="QC48" i="5" l="1"/>
  <c r="MG38" i="5"/>
  <c r="MF44" i="5"/>
  <c r="OP37" i="5"/>
  <c r="OR20" i="5"/>
  <c r="OQ37" i="5"/>
  <c r="OS20" i="5"/>
  <c r="QI19" i="5"/>
  <c r="JN49" i="5"/>
  <c r="JN51" i="5" s="1"/>
  <c r="JN53" i="5" s="1"/>
  <c r="JO46" i="5"/>
  <c r="QD48" i="5" l="1"/>
  <c r="MH38" i="5"/>
  <c r="MG44" i="5"/>
  <c r="OR37" i="5"/>
  <c r="OT20" i="5"/>
  <c r="OT37" i="5" s="1"/>
  <c r="OS37" i="5"/>
  <c r="OU20" i="5"/>
  <c r="QJ19" i="5"/>
  <c r="JO49" i="5"/>
  <c r="JO51" i="5" s="1"/>
  <c r="JO53" i="5" s="1"/>
  <c r="JP46" i="5"/>
  <c r="QE48" i="5" l="1"/>
  <c r="MI38" i="5"/>
  <c r="MH44" i="5"/>
  <c r="OU37" i="5"/>
  <c r="OW20" i="5"/>
  <c r="QK19" i="5"/>
  <c r="JP49" i="5"/>
  <c r="JP51" i="5" s="1"/>
  <c r="JP53" i="5" s="1"/>
  <c r="JQ46" i="5"/>
  <c r="QF48" i="5" l="1"/>
  <c r="MK38" i="5"/>
  <c r="MI44" i="5"/>
  <c r="OW37" i="5"/>
  <c r="OX20" i="5"/>
  <c r="OY20" i="5"/>
  <c r="QL19" i="5"/>
  <c r="JQ49" i="5"/>
  <c r="JQ51" i="5" s="1"/>
  <c r="JQ53" i="5" s="1"/>
  <c r="JR46" i="5"/>
  <c r="QG48" i="5" l="1"/>
  <c r="ML38" i="5"/>
  <c r="MK44" i="5"/>
  <c r="OX37" i="5"/>
  <c r="OZ20" i="5"/>
  <c r="OY37" i="5"/>
  <c r="PA20" i="5"/>
  <c r="QM19" i="5"/>
  <c r="JR49" i="5"/>
  <c r="JR51" i="5" s="1"/>
  <c r="JR53" i="5" s="1"/>
  <c r="JS46" i="5"/>
  <c r="QH48" i="5" l="1"/>
  <c r="MM38" i="5"/>
  <c r="ML44" i="5"/>
  <c r="OZ37" i="5"/>
  <c r="PB20" i="5"/>
  <c r="PA37" i="5"/>
  <c r="PC20" i="5"/>
  <c r="QN19" i="5"/>
  <c r="JS49" i="5"/>
  <c r="JS51" i="5" s="1"/>
  <c r="JS53" i="5" s="1"/>
  <c r="JT46" i="5"/>
  <c r="QI48" i="5" l="1"/>
  <c r="MN38" i="5"/>
  <c r="MN44" i="5" s="1"/>
  <c r="MO38" i="5"/>
  <c r="MM44" i="5"/>
  <c r="PB37" i="5"/>
  <c r="PD20" i="5"/>
  <c r="PC37" i="5"/>
  <c r="PE20" i="5"/>
  <c r="QO19" i="5"/>
  <c r="JT49" i="5"/>
  <c r="JT51" i="5" s="1"/>
  <c r="JT53" i="5" s="1"/>
  <c r="JU46" i="5"/>
  <c r="QJ48" i="5" l="1"/>
  <c r="MP38" i="5"/>
  <c r="MO44" i="5"/>
  <c r="PD37" i="5"/>
  <c r="PF20" i="5"/>
  <c r="PE37" i="5"/>
  <c r="PG20" i="5"/>
  <c r="QP19" i="5"/>
  <c r="JU49" i="5"/>
  <c r="JU51" i="5" s="1"/>
  <c r="JU53" i="5" s="1"/>
  <c r="JV46" i="5"/>
  <c r="QK48" i="5" l="1"/>
  <c r="MQ38" i="5"/>
  <c r="MP44" i="5"/>
  <c r="PF37" i="5"/>
  <c r="PH20" i="5"/>
  <c r="PG37" i="5"/>
  <c r="PI20" i="5"/>
  <c r="QQ19" i="5"/>
  <c r="JV49" i="5"/>
  <c r="JV51" i="5" s="1"/>
  <c r="JV53" i="5" s="1"/>
  <c r="JW46" i="5"/>
  <c r="QL48" i="5" l="1"/>
  <c r="MR38" i="5"/>
  <c r="MS38" i="5"/>
  <c r="MQ44" i="5"/>
  <c r="PH37" i="5"/>
  <c r="PJ20" i="5"/>
  <c r="PI37" i="5"/>
  <c r="PK20" i="5"/>
  <c r="QR19" i="5"/>
  <c r="JW49" i="5"/>
  <c r="JW51" i="5" s="1"/>
  <c r="JW53" i="5" s="1"/>
  <c r="JX46" i="5"/>
  <c r="QM48" i="5" l="1"/>
  <c r="MT38" i="5"/>
  <c r="MT44" i="5" s="1"/>
  <c r="MR44" i="5"/>
  <c r="MU38" i="5"/>
  <c r="MS44" i="5"/>
  <c r="PJ37" i="5"/>
  <c r="PL20" i="5"/>
  <c r="PK37" i="5"/>
  <c r="PM20" i="5"/>
  <c r="QS19" i="5"/>
  <c r="JX49" i="5"/>
  <c r="JX51" i="5" s="1"/>
  <c r="JX53" i="5" s="1"/>
  <c r="JZ46" i="5"/>
  <c r="QN48" i="5" l="1"/>
  <c r="MV38" i="5"/>
  <c r="MU44" i="5"/>
  <c r="PL37" i="5"/>
  <c r="PN20" i="5"/>
  <c r="PM37" i="5"/>
  <c r="PO20" i="5"/>
  <c r="QT19" i="5"/>
  <c r="JZ49" i="5"/>
  <c r="JZ51" i="5" s="1"/>
  <c r="JZ53" i="5" s="1"/>
  <c r="KA46" i="5"/>
  <c r="QO48" i="5" l="1"/>
  <c r="MW38" i="5"/>
  <c r="MX38" i="5"/>
  <c r="MV44" i="5"/>
  <c r="PN37" i="5"/>
  <c r="PP20" i="5"/>
  <c r="PO37" i="5"/>
  <c r="PQ20" i="5"/>
  <c r="QU19" i="5"/>
  <c r="KA49" i="5"/>
  <c r="KA51" i="5" s="1"/>
  <c r="KA53" i="5" s="1"/>
  <c r="KB46" i="5"/>
  <c r="QP48" i="5" l="1"/>
  <c r="MY38" i="5"/>
  <c r="MW44" i="5"/>
  <c r="MZ38" i="5"/>
  <c r="MX44" i="5"/>
  <c r="PP37" i="5"/>
  <c r="PR20" i="5"/>
  <c r="PQ37" i="5"/>
  <c r="PS20" i="5"/>
  <c r="QV19" i="5"/>
  <c r="KB49" i="5"/>
  <c r="KB51" i="5" s="1"/>
  <c r="KB53" i="5" s="1"/>
  <c r="KC46" i="5"/>
  <c r="QQ48" i="5" l="1"/>
  <c r="NA38" i="5"/>
  <c r="NA44" i="5" s="1"/>
  <c r="MY44" i="5"/>
  <c r="NB38" i="5"/>
  <c r="MZ44" i="5"/>
  <c r="PR37" i="5"/>
  <c r="PT20" i="5"/>
  <c r="PS37" i="5"/>
  <c r="PU20" i="5"/>
  <c r="QW19" i="5"/>
  <c r="KC49" i="5"/>
  <c r="KC51" i="5" s="1"/>
  <c r="KC53" i="5" s="1"/>
  <c r="KD46" i="5"/>
  <c r="QR48" i="5" l="1"/>
  <c r="NC38" i="5"/>
  <c r="NB44" i="5"/>
  <c r="PT37" i="5"/>
  <c r="PV20" i="5"/>
  <c r="PU37" i="5"/>
  <c r="PW20" i="5"/>
  <c r="QX19" i="5"/>
  <c r="KD49" i="5"/>
  <c r="KD51" i="5" s="1"/>
  <c r="KD53" i="5" s="1"/>
  <c r="KE46" i="5"/>
  <c r="QS48" i="5" l="1"/>
  <c r="ND38" i="5"/>
  <c r="ND44" i="5" s="1"/>
  <c r="NE38" i="5"/>
  <c r="NC44" i="5"/>
  <c r="PV37" i="5"/>
  <c r="PX20" i="5"/>
  <c r="PW37" i="5"/>
  <c r="PY20" i="5"/>
  <c r="PY37" i="5" s="1"/>
  <c r="QY19" i="5"/>
  <c r="KE49" i="5"/>
  <c r="KE51" i="5" s="1"/>
  <c r="KE53" i="5" s="1"/>
  <c r="KF46" i="5"/>
  <c r="QT48" i="5" l="1"/>
  <c r="NF38" i="5"/>
  <c r="NE44" i="5"/>
  <c r="PX37" i="5"/>
  <c r="PZ20" i="5"/>
  <c r="QZ19" i="5"/>
  <c r="KF49" i="5"/>
  <c r="KF51" i="5" s="1"/>
  <c r="KF53" i="5" s="1"/>
  <c r="KG46" i="5"/>
  <c r="QU48" i="5" l="1"/>
  <c r="NG38" i="5"/>
  <c r="NF44" i="5"/>
  <c r="PZ37" i="5"/>
  <c r="QB20" i="5"/>
  <c r="RA19" i="5"/>
  <c r="KG49" i="5"/>
  <c r="KG51" i="5" s="1"/>
  <c r="KG53" i="5" s="1"/>
  <c r="KH46" i="5"/>
  <c r="QV48" i="5" l="1"/>
  <c r="NH38" i="5"/>
  <c r="NG44" i="5"/>
  <c r="QB37" i="5"/>
  <c r="QC20" i="5"/>
  <c r="RB19" i="5"/>
  <c r="KH49" i="5"/>
  <c r="KH51" i="5" s="1"/>
  <c r="KH53" i="5" s="1"/>
  <c r="KI46" i="5"/>
  <c r="QW48" i="5" l="1"/>
  <c r="NI38" i="5"/>
  <c r="NH44" i="5"/>
  <c r="QC37" i="5"/>
  <c r="QD20" i="5"/>
  <c r="RC19" i="5"/>
  <c r="KI49" i="5"/>
  <c r="KI51" i="5" s="1"/>
  <c r="KI53" i="5" s="1"/>
  <c r="KJ46" i="5"/>
  <c r="QX48" i="5" l="1"/>
  <c r="NJ38" i="5"/>
  <c r="NI44" i="5"/>
  <c r="QD37" i="5"/>
  <c r="QE20" i="5"/>
  <c r="RD19" i="5"/>
  <c r="KJ49" i="5"/>
  <c r="KJ51" i="5" s="1"/>
  <c r="KJ53" i="5" s="1"/>
  <c r="KK46" i="5"/>
  <c r="QY48" i="5" l="1"/>
  <c r="NK38" i="5"/>
  <c r="NL38" i="5"/>
  <c r="NL44" i="5" s="1"/>
  <c r="NJ44" i="5"/>
  <c r="QE37" i="5"/>
  <c r="QF20" i="5"/>
  <c r="RE19" i="5"/>
  <c r="KK49" i="5"/>
  <c r="KK51" i="5" s="1"/>
  <c r="KK53" i="5" s="1"/>
  <c r="KL46" i="5"/>
  <c r="QZ48" i="5" l="1"/>
  <c r="NM38" i="5"/>
  <c r="NK44" i="5"/>
  <c r="QF37" i="5"/>
  <c r="QG20" i="5"/>
  <c r="RF19" i="5"/>
  <c r="KL49" i="5"/>
  <c r="KL51" i="5" s="1"/>
  <c r="KL53" i="5" s="1"/>
  <c r="KM46" i="5"/>
  <c r="RA48" i="5" l="1"/>
  <c r="NN38" i="5"/>
  <c r="NM44" i="5"/>
  <c r="QG37" i="5"/>
  <c r="QH20" i="5"/>
  <c r="RH19" i="5"/>
  <c r="KM49" i="5"/>
  <c r="KM51" i="5" s="1"/>
  <c r="KM53" i="5" s="1"/>
  <c r="KN46" i="5"/>
  <c r="RB48" i="5" l="1"/>
  <c r="NO38" i="5"/>
  <c r="NN44" i="5"/>
  <c r="QH37" i="5"/>
  <c r="QI20" i="5"/>
  <c r="RI19" i="5"/>
  <c r="KN49" i="5"/>
  <c r="KN51" i="5" s="1"/>
  <c r="KN53" i="5" s="1"/>
  <c r="KO46" i="5"/>
  <c r="RC48" i="5" l="1"/>
  <c r="NQ38" i="5"/>
  <c r="NO44" i="5"/>
  <c r="QI37" i="5"/>
  <c r="QJ20" i="5"/>
  <c r="RJ19" i="5"/>
  <c r="KO49" i="5"/>
  <c r="KO51" i="5" s="1"/>
  <c r="KO53" i="5" s="1"/>
  <c r="KP46" i="5"/>
  <c r="RD48" i="5" l="1"/>
  <c r="NR38" i="5"/>
  <c r="NR44" i="5" s="1"/>
  <c r="NS38" i="5"/>
  <c r="NQ44" i="5"/>
  <c r="QJ37" i="5"/>
  <c r="QK20" i="5"/>
  <c r="RK19" i="5"/>
  <c r="KP49" i="5"/>
  <c r="KP51" i="5" s="1"/>
  <c r="KP53" i="5" s="1"/>
  <c r="KQ46" i="5"/>
  <c r="RE48" i="5" l="1"/>
  <c r="NT38" i="5"/>
  <c r="NS44" i="5"/>
  <c r="QK37" i="5"/>
  <c r="QL20" i="5"/>
  <c r="RL19" i="5"/>
  <c r="KQ49" i="5"/>
  <c r="KQ51" i="5" s="1"/>
  <c r="KQ53" i="5" s="1"/>
  <c r="KR46" i="5"/>
  <c r="RF48" i="5" l="1"/>
  <c r="NU38" i="5"/>
  <c r="NT44" i="5"/>
  <c r="QL37" i="5"/>
  <c r="QM20" i="5"/>
  <c r="RM19" i="5"/>
  <c r="KR49" i="5"/>
  <c r="KR51" i="5" s="1"/>
  <c r="KR53" i="5" s="1"/>
  <c r="KS46" i="5"/>
  <c r="RH48" i="5" l="1"/>
  <c r="NV38" i="5"/>
  <c r="NU44" i="5"/>
  <c r="QM37" i="5"/>
  <c r="QN20" i="5"/>
  <c r="RN19" i="5"/>
  <c r="KS49" i="5"/>
  <c r="KS51" i="5" s="1"/>
  <c r="KS53" i="5" s="1"/>
  <c r="KT46" i="5"/>
  <c r="RI48" i="5" l="1"/>
  <c r="NW38" i="5"/>
  <c r="NV44" i="5"/>
  <c r="QN37" i="5"/>
  <c r="QO20" i="5"/>
  <c r="RO19" i="5"/>
  <c r="KT49" i="5"/>
  <c r="KT51" i="5" s="1"/>
  <c r="KT53" i="5" s="1"/>
  <c r="KU46" i="5"/>
  <c r="RJ48" i="5" l="1"/>
  <c r="NX38" i="5"/>
  <c r="NY38" i="5"/>
  <c r="NY44" i="5" s="1"/>
  <c r="NW44" i="5"/>
  <c r="QO37" i="5"/>
  <c r="QP20" i="5"/>
  <c r="RP19" i="5"/>
  <c r="KU49" i="5"/>
  <c r="KU51" i="5" s="1"/>
  <c r="KU53" i="5" s="1"/>
  <c r="KV46" i="5"/>
  <c r="RK48" i="5" l="1"/>
  <c r="NZ38" i="5"/>
  <c r="NX44" i="5"/>
  <c r="QP37" i="5"/>
  <c r="QQ20" i="5"/>
  <c r="RQ19" i="5"/>
  <c r="KV49" i="5"/>
  <c r="KV51" i="5" s="1"/>
  <c r="KV53" i="5" s="1"/>
  <c r="KW46" i="5"/>
  <c r="RL48" i="5" l="1"/>
  <c r="OA38" i="5"/>
  <c r="NZ44" i="5"/>
  <c r="QQ37" i="5"/>
  <c r="QR20" i="5"/>
  <c r="RR19" i="5"/>
  <c r="KW49" i="5"/>
  <c r="KW51" i="5" s="1"/>
  <c r="KW53" i="5" s="1"/>
  <c r="KX46" i="5"/>
  <c r="RM48" i="5" l="1"/>
  <c r="OB38" i="5"/>
  <c r="OA44" i="5"/>
  <c r="QR37" i="5"/>
  <c r="QS20" i="5"/>
  <c r="RS19" i="5"/>
  <c r="KX49" i="5"/>
  <c r="KX51" i="5" s="1"/>
  <c r="KX53" i="5" s="1"/>
  <c r="KY46" i="5"/>
  <c r="RN48" i="5" l="1"/>
  <c r="OC38" i="5"/>
  <c r="OB44" i="5"/>
  <c r="QS37" i="5"/>
  <c r="QT20" i="5"/>
  <c r="RT19" i="5"/>
  <c r="KY49" i="5"/>
  <c r="KY51" i="5" s="1"/>
  <c r="KY53" i="5" s="1"/>
  <c r="KZ46" i="5"/>
  <c r="RO48" i="5" l="1"/>
  <c r="OD38" i="5"/>
  <c r="OD44" i="5" s="1"/>
  <c r="OE38" i="5"/>
  <c r="OC44" i="5"/>
  <c r="QT37" i="5"/>
  <c r="QU20" i="5"/>
  <c r="RU19" i="5"/>
  <c r="KZ49" i="5"/>
  <c r="KZ51" i="5" s="1"/>
  <c r="KZ53" i="5" s="1"/>
  <c r="LA46" i="5"/>
  <c r="RP48" i="5" l="1"/>
  <c r="OF38" i="5"/>
  <c r="OE44" i="5"/>
  <c r="QU37" i="5"/>
  <c r="QV20" i="5"/>
  <c r="RV19" i="5"/>
  <c r="LA49" i="5"/>
  <c r="LA51" i="5" s="1"/>
  <c r="LA53" i="5" s="1"/>
  <c r="LB46" i="5"/>
  <c r="RQ48" i="5" l="1"/>
  <c r="OG38" i="5"/>
  <c r="OF44" i="5"/>
  <c r="QV37" i="5"/>
  <c r="QW20" i="5"/>
  <c r="RW19" i="5"/>
  <c r="LB49" i="5"/>
  <c r="LB51" i="5" s="1"/>
  <c r="LB53" i="5" s="1"/>
  <c r="LC46" i="5"/>
  <c r="RR48" i="5" l="1"/>
  <c r="OH38" i="5"/>
  <c r="OG44" i="5"/>
  <c r="QW37" i="5"/>
  <c r="QX20" i="5"/>
  <c r="RX19" i="5"/>
  <c r="LC49" i="5"/>
  <c r="LC51" i="5" s="1"/>
  <c r="LC53" i="5" s="1"/>
  <c r="LD46" i="5"/>
  <c r="RS48" i="5" l="1"/>
  <c r="OI38" i="5"/>
  <c r="OH44" i="5"/>
  <c r="QX37" i="5"/>
  <c r="QY20" i="5"/>
  <c r="RY19" i="5"/>
  <c r="LD49" i="5"/>
  <c r="LD51" i="5" s="1"/>
  <c r="LD53" i="5" s="1"/>
  <c r="LF46" i="5"/>
  <c r="RT48" i="5" l="1"/>
  <c r="OJ38" i="5"/>
  <c r="OJ44" i="5" s="1"/>
  <c r="OK38" i="5"/>
  <c r="OI44" i="5"/>
  <c r="QY37" i="5"/>
  <c r="QZ20" i="5"/>
  <c r="RZ19" i="5"/>
  <c r="LF49" i="5"/>
  <c r="LF51" i="5" s="1"/>
  <c r="LF53" i="5" s="1"/>
  <c r="LG46" i="5"/>
  <c r="RU48" i="5" l="1"/>
  <c r="OL38" i="5"/>
  <c r="OK44" i="5"/>
  <c r="QZ37" i="5"/>
  <c r="RA20" i="5"/>
  <c r="SA19" i="5"/>
  <c r="LG49" i="5"/>
  <c r="LG51" i="5" s="1"/>
  <c r="LG53" i="5" s="1"/>
  <c r="LH46" i="5"/>
  <c r="RV48" i="5" l="1"/>
  <c r="OM38" i="5"/>
  <c r="OM44" i="5" s="1"/>
  <c r="ON38" i="5"/>
  <c r="OL44" i="5"/>
  <c r="RA37" i="5"/>
  <c r="RB20" i="5"/>
  <c r="SB19" i="5"/>
  <c r="LH49" i="5"/>
  <c r="LH51" i="5" s="1"/>
  <c r="LH53" i="5" s="1"/>
  <c r="LI46" i="5"/>
  <c r="RW48" i="5" l="1"/>
  <c r="OO38" i="5"/>
  <c r="OP38" i="5"/>
  <c r="ON44" i="5"/>
  <c r="RB37" i="5"/>
  <c r="RC20" i="5"/>
  <c r="SC19" i="5"/>
  <c r="LI49" i="5"/>
  <c r="LI51" i="5" s="1"/>
  <c r="LI53" i="5" s="1"/>
  <c r="LJ46" i="5"/>
  <c r="RX48" i="5" l="1"/>
  <c r="OQ38" i="5"/>
  <c r="OQ44" i="5" s="1"/>
  <c r="OO44" i="5"/>
  <c r="OR38" i="5"/>
  <c r="OP44" i="5"/>
  <c r="RC37" i="5"/>
  <c r="RD20" i="5"/>
  <c r="SD19" i="5"/>
  <c r="LJ49" i="5"/>
  <c r="LJ51" i="5" s="1"/>
  <c r="LJ53" i="5" s="1"/>
  <c r="LK46" i="5"/>
  <c r="RY48" i="5" l="1"/>
  <c r="OS38" i="5"/>
  <c r="OS44" i="5" s="1"/>
  <c r="OT38" i="5"/>
  <c r="OR44" i="5"/>
  <c r="RD37" i="5"/>
  <c r="RE20" i="5"/>
  <c r="SE19" i="5"/>
  <c r="LK49" i="5"/>
  <c r="LK51" i="5" s="1"/>
  <c r="LK53" i="5" s="1"/>
  <c r="LL46" i="5"/>
  <c r="RZ48" i="5" l="1"/>
  <c r="OU38" i="5"/>
  <c r="OT44" i="5"/>
  <c r="RE37" i="5"/>
  <c r="RF20" i="5"/>
  <c r="SF19" i="5"/>
  <c r="LL49" i="5"/>
  <c r="LL51" i="5" s="1"/>
  <c r="LL53" i="5" s="1"/>
  <c r="LM46" i="5"/>
  <c r="SA48" i="5" l="1"/>
  <c r="OW38" i="5"/>
  <c r="OU44" i="5"/>
  <c r="RF37" i="5"/>
  <c r="RH20" i="5"/>
  <c r="SG19" i="5"/>
  <c r="LM49" i="5"/>
  <c r="LM51" i="5" s="1"/>
  <c r="LM53" i="5" s="1"/>
  <c r="LN46" i="5"/>
  <c r="SB48" i="5" l="1"/>
  <c r="OX38" i="5"/>
  <c r="OW44" i="5"/>
  <c r="RH37" i="5"/>
  <c r="RI20" i="5"/>
  <c r="SH19" i="5"/>
  <c r="LN49" i="5"/>
  <c r="LN51" i="5" s="1"/>
  <c r="LN53" i="5" s="1"/>
  <c r="LO46" i="5"/>
  <c r="SC48" i="5" l="1"/>
  <c r="OY38" i="5"/>
  <c r="OX44" i="5"/>
  <c r="RI37" i="5"/>
  <c r="RJ20" i="5"/>
  <c r="SI19" i="5"/>
  <c r="LO49" i="5"/>
  <c r="LO51" i="5" s="1"/>
  <c r="LO53" i="5" s="1"/>
  <c r="LP46" i="5"/>
  <c r="SD48" i="5" l="1"/>
  <c r="OZ38" i="5"/>
  <c r="OY44" i="5"/>
  <c r="RJ37" i="5"/>
  <c r="RK20" i="5"/>
  <c r="SJ19" i="5"/>
  <c r="LP49" i="5"/>
  <c r="LP51" i="5" s="1"/>
  <c r="LP53" i="5" s="1"/>
  <c r="LQ46" i="5"/>
  <c r="SE48" i="5" l="1"/>
  <c r="PA38" i="5"/>
  <c r="OZ44" i="5"/>
  <c r="RK37" i="5"/>
  <c r="RL20" i="5"/>
  <c r="SK19" i="5"/>
  <c r="LQ49" i="5"/>
  <c r="LQ51" i="5" s="1"/>
  <c r="LQ53" i="5" s="1"/>
  <c r="LR46" i="5"/>
  <c r="SF48" i="5" l="1"/>
  <c r="PB38" i="5"/>
  <c r="PA44" i="5"/>
  <c r="RL37" i="5"/>
  <c r="RM20" i="5"/>
  <c r="SM19" i="5"/>
  <c r="LR49" i="5"/>
  <c r="LR51" i="5" s="1"/>
  <c r="LR53" i="5" s="1"/>
  <c r="LS46" i="5"/>
  <c r="SG48" i="5" l="1"/>
  <c r="PC38" i="5"/>
  <c r="PB44" i="5"/>
  <c r="RM37" i="5"/>
  <c r="RN20" i="5"/>
  <c r="SN19" i="5"/>
  <c r="LS49" i="5"/>
  <c r="LS51" i="5" s="1"/>
  <c r="LS53" i="5" s="1"/>
  <c r="LT46" i="5"/>
  <c r="SH48" i="5" l="1"/>
  <c r="PD38" i="5"/>
  <c r="PC44" i="5"/>
  <c r="RN37" i="5"/>
  <c r="RO20" i="5"/>
  <c r="SO19" i="5"/>
  <c r="LT49" i="5"/>
  <c r="LT51" i="5" s="1"/>
  <c r="LT53" i="5" s="1"/>
  <c r="LU46" i="5"/>
  <c r="SI48" i="5" l="1"/>
  <c r="PE38" i="5"/>
  <c r="PD44" i="5"/>
  <c r="RO37" i="5"/>
  <c r="RP20" i="5"/>
  <c r="SP19" i="5"/>
  <c r="LU49" i="5"/>
  <c r="LU51" i="5" s="1"/>
  <c r="LU53" i="5" s="1"/>
  <c r="LV46" i="5"/>
  <c r="SJ48" i="5" l="1"/>
  <c r="PF38" i="5"/>
  <c r="PE44" i="5"/>
  <c r="RP37" i="5"/>
  <c r="RQ20" i="5"/>
  <c r="SQ19" i="5"/>
  <c r="LV49" i="5"/>
  <c r="LV51" i="5" s="1"/>
  <c r="LV53" i="5" s="1"/>
  <c r="LW46" i="5"/>
  <c r="SK48" i="5" l="1"/>
  <c r="PG38" i="5"/>
  <c r="PF44" i="5"/>
  <c r="RQ37" i="5"/>
  <c r="RR20" i="5"/>
  <c r="SR19" i="5"/>
  <c r="LW49" i="5"/>
  <c r="LW51" i="5" s="1"/>
  <c r="LW53" i="5" s="1"/>
  <c r="LX46" i="5"/>
  <c r="SM48" i="5" l="1"/>
  <c r="PH38" i="5"/>
  <c r="PG44" i="5"/>
  <c r="RR37" i="5"/>
  <c r="RS20" i="5"/>
  <c r="SS19" i="5"/>
  <c r="LX49" i="5"/>
  <c r="LX51" i="5" s="1"/>
  <c r="LX53" i="5" s="1"/>
  <c r="LY46" i="5"/>
  <c r="SN48" i="5" l="1"/>
  <c r="PI38" i="5"/>
  <c r="PH44" i="5"/>
  <c r="RS37" i="5"/>
  <c r="RT20" i="5"/>
  <c r="ST19" i="5"/>
  <c r="LY49" i="5"/>
  <c r="LY51" i="5" s="1"/>
  <c r="LY53" i="5" s="1"/>
  <c r="LZ46" i="5"/>
  <c r="SO48" i="5" l="1"/>
  <c r="PJ38" i="5"/>
  <c r="PI44" i="5"/>
  <c r="RT37" i="5"/>
  <c r="RU20" i="5"/>
  <c r="SU19" i="5"/>
  <c r="LZ49" i="5"/>
  <c r="LZ51" i="5" s="1"/>
  <c r="LZ53" i="5" s="1"/>
  <c r="MA46" i="5"/>
  <c r="SP48" i="5" l="1"/>
  <c r="PK38" i="5"/>
  <c r="PJ44" i="5"/>
  <c r="RU37" i="5"/>
  <c r="RV20" i="5"/>
  <c r="SV19" i="5"/>
  <c r="MA49" i="5"/>
  <c r="MA51" i="5" s="1"/>
  <c r="MA53" i="5" s="1"/>
  <c r="MB46" i="5"/>
  <c r="SQ48" i="5" l="1"/>
  <c r="PL38" i="5"/>
  <c r="PK44" i="5"/>
  <c r="RV37" i="5"/>
  <c r="RW20" i="5"/>
  <c r="SW19" i="5"/>
  <c r="MB49" i="5"/>
  <c r="MB51" i="5" s="1"/>
  <c r="MB53" i="5" s="1"/>
  <c r="MC46" i="5"/>
  <c r="SR48" i="5" l="1"/>
  <c r="PM38" i="5"/>
  <c r="PL44" i="5"/>
  <c r="RW37" i="5"/>
  <c r="RX20" i="5"/>
  <c r="SX19" i="5"/>
  <c r="MC49" i="5"/>
  <c r="MC51" i="5" s="1"/>
  <c r="MC53" i="5" s="1"/>
  <c r="MD46" i="5"/>
  <c r="SS48" i="5" l="1"/>
  <c r="PN38" i="5"/>
  <c r="PM44" i="5"/>
  <c r="RX37" i="5"/>
  <c r="RY20" i="5"/>
  <c r="SY19" i="5"/>
  <c r="MD49" i="5"/>
  <c r="MD51" i="5" s="1"/>
  <c r="MD53" i="5" s="1"/>
  <c r="ME46" i="5"/>
  <c r="ST48" i="5" l="1"/>
  <c r="PO38" i="5"/>
  <c r="PN44" i="5"/>
  <c r="RY37" i="5"/>
  <c r="RZ20" i="5"/>
  <c r="SZ19" i="5"/>
  <c r="ME49" i="5"/>
  <c r="ME51" i="5" s="1"/>
  <c r="ME53" i="5" s="1"/>
  <c r="MF46" i="5"/>
  <c r="SU48" i="5" l="1"/>
  <c r="PP38" i="5"/>
  <c r="PO44" i="5"/>
  <c r="RZ37" i="5"/>
  <c r="SA20" i="5"/>
  <c r="TA19" i="5"/>
  <c r="MF49" i="5"/>
  <c r="MF51" i="5" s="1"/>
  <c r="MF53" i="5" s="1"/>
  <c r="MG46" i="5"/>
  <c r="SV48" i="5" l="1"/>
  <c r="PQ38" i="5"/>
  <c r="PP44" i="5"/>
  <c r="SA37" i="5"/>
  <c r="SB20" i="5"/>
  <c r="TB19" i="5"/>
  <c r="MG49" i="5"/>
  <c r="MG51" i="5" s="1"/>
  <c r="MG53" i="5" s="1"/>
  <c r="MH46" i="5"/>
  <c r="SW48" i="5" l="1"/>
  <c r="PR38" i="5"/>
  <c r="PQ44" i="5"/>
  <c r="SB37" i="5"/>
  <c r="SC20" i="5"/>
  <c r="TC19" i="5"/>
  <c r="MH49" i="5"/>
  <c r="MH51" i="5" s="1"/>
  <c r="MH53" i="5" s="1"/>
  <c r="MI46" i="5"/>
  <c r="SX48" i="5" l="1"/>
  <c r="PS38" i="5"/>
  <c r="PR44" i="5"/>
  <c r="SC37" i="5"/>
  <c r="SD20" i="5"/>
  <c r="TD19" i="5"/>
  <c r="MI49" i="5"/>
  <c r="MI51" i="5" s="1"/>
  <c r="MI53" i="5" s="1"/>
  <c r="MK46" i="5"/>
  <c r="SY48" i="5" l="1"/>
  <c r="PT38" i="5"/>
  <c r="PS44" i="5"/>
  <c r="SD37" i="5"/>
  <c r="SE20" i="5"/>
  <c r="TE19" i="5"/>
  <c r="MK49" i="5"/>
  <c r="MK51" i="5" s="1"/>
  <c r="MK53" i="5" s="1"/>
  <c r="ML46" i="5"/>
  <c r="SZ48" i="5" l="1"/>
  <c r="PU38" i="5"/>
  <c r="PT44" i="5"/>
  <c r="SE37" i="5"/>
  <c r="SF20" i="5"/>
  <c r="TF19" i="5"/>
  <c r="ML49" i="5"/>
  <c r="ML51" i="5" s="1"/>
  <c r="ML53" i="5" s="1"/>
  <c r="MM46" i="5"/>
  <c r="TA48" i="5" l="1"/>
  <c r="PV38" i="5"/>
  <c r="PU44" i="5"/>
  <c r="SF37" i="5"/>
  <c r="SG20" i="5"/>
  <c r="TG19" i="5"/>
  <c r="MM49" i="5"/>
  <c r="MM51" i="5" s="1"/>
  <c r="MM53" i="5" s="1"/>
  <c r="MN46" i="5"/>
  <c r="TB48" i="5" l="1"/>
  <c r="PW38" i="5"/>
  <c r="PV44" i="5"/>
  <c r="SG37" i="5"/>
  <c r="SH20" i="5"/>
  <c r="TH19" i="5"/>
  <c r="MN49" i="5"/>
  <c r="MN51" i="5" s="1"/>
  <c r="MN53" i="5" s="1"/>
  <c r="MO46" i="5"/>
  <c r="TC48" i="5" l="1"/>
  <c r="PX38" i="5"/>
  <c r="PW44" i="5"/>
  <c r="SH37" i="5"/>
  <c r="SI20" i="5"/>
  <c r="TI19" i="5"/>
  <c r="MO49" i="5"/>
  <c r="MO51" i="5" s="1"/>
  <c r="MO53" i="5" s="1"/>
  <c r="MP46" i="5"/>
  <c r="TD48" i="5" l="1"/>
  <c r="PY38" i="5"/>
  <c r="PX44" i="5"/>
  <c r="SI37" i="5"/>
  <c r="SJ20" i="5"/>
  <c r="TJ19" i="5"/>
  <c r="MP49" i="5"/>
  <c r="MP51" i="5" s="1"/>
  <c r="MP53" i="5" s="1"/>
  <c r="MQ46" i="5"/>
  <c r="TE48" i="5" l="1"/>
  <c r="PZ38" i="5"/>
  <c r="PY44" i="5"/>
  <c r="SJ37" i="5"/>
  <c r="SK20" i="5"/>
  <c r="TK19" i="5"/>
  <c r="MQ49" i="5"/>
  <c r="MQ51" i="5" s="1"/>
  <c r="MQ53" i="5" s="1"/>
  <c r="MR46" i="5"/>
  <c r="TF48" i="5" l="1"/>
  <c r="QB38" i="5"/>
  <c r="PZ44" i="5"/>
  <c r="SK37" i="5"/>
  <c r="SM20" i="5"/>
  <c r="TL19" i="5"/>
  <c r="MR49" i="5"/>
  <c r="MR51" i="5" s="1"/>
  <c r="MR53" i="5" s="1"/>
  <c r="MS46" i="5"/>
  <c r="TG48" i="5" l="1"/>
  <c r="QC38" i="5"/>
  <c r="QB44" i="5"/>
  <c r="SM37" i="5"/>
  <c r="SN20" i="5"/>
  <c r="TM19" i="5"/>
  <c r="MS49" i="5"/>
  <c r="MS51" i="5" s="1"/>
  <c r="MS53" i="5" s="1"/>
  <c r="MT46" i="5"/>
  <c r="TH48" i="5" l="1"/>
  <c r="QD38" i="5"/>
  <c r="QC44" i="5"/>
  <c r="SN37" i="5"/>
  <c r="SO20" i="5"/>
  <c r="TN19" i="5"/>
  <c r="MT49" i="5"/>
  <c r="MT51" i="5" s="1"/>
  <c r="MT53" i="5" s="1"/>
  <c r="MU46" i="5"/>
  <c r="TI48" i="5" l="1"/>
  <c r="QE38" i="5"/>
  <c r="QD44" i="5"/>
  <c r="SO37" i="5"/>
  <c r="SP20" i="5"/>
  <c r="TO19" i="5"/>
  <c r="MU49" i="5"/>
  <c r="MU51" i="5" s="1"/>
  <c r="MU53" i="5" s="1"/>
  <c r="MV46" i="5"/>
  <c r="TJ48" i="5" l="1"/>
  <c r="QF38" i="5"/>
  <c r="QE44" i="5"/>
  <c r="SP37" i="5"/>
  <c r="SQ20" i="5"/>
  <c r="TP19" i="5"/>
  <c r="MV49" i="5"/>
  <c r="MV51" i="5" s="1"/>
  <c r="MV53" i="5" s="1"/>
  <c r="MW46" i="5"/>
  <c r="TK48" i="5" l="1"/>
  <c r="QG38" i="5"/>
  <c r="QF44" i="5"/>
  <c r="SQ37" i="5"/>
  <c r="SR20" i="5"/>
  <c r="TQ19" i="5"/>
  <c r="MW49" i="5"/>
  <c r="MW51" i="5" s="1"/>
  <c r="MW53" i="5" s="1"/>
  <c r="MX46" i="5"/>
  <c r="TL48" i="5" l="1"/>
  <c r="QH38" i="5"/>
  <c r="QG44" i="5"/>
  <c r="SR37" i="5"/>
  <c r="SS20" i="5"/>
  <c r="TS19" i="5"/>
  <c r="MX49" i="5"/>
  <c r="MX51" i="5" s="1"/>
  <c r="MX53" i="5" s="1"/>
  <c r="MY46" i="5"/>
  <c r="TM48" i="5" l="1"/>
  <c r="QI38" i="5"/>
  <c r="QH44" i="5"/>
  <c r="SS37" i="5"/>
  <c r="ST20" i="5"/>
  <c r="TT19" i="5"/>
  <c r="MY49" i="5"/>
  <c r="MY51" i="5" s="1"/>
  <c r="MY53" i="5" s="1"/>
  <c r="MZ46" i="5"/>
  <c r="TN48" i="5" l="1"/>
  <c r="QJ38" i="5"/>
  <c r="QI44" i="5"/>
  <c r="ST37" i="5"/>
  <c r="SU20" i="5"/>
  <c r="TU19" i="5"/>
  <c r="MZ49" i="5"/>
  <c r="MZ51" i="5" s="1"/>
  <c r="MZ53" i="5" s="1"/>
  <c r="NA46" i="5"/>
  <c r="TO48" i="5" l="1"/>
  <c r="QK38" i="5"/>
  <c r="QJ44" i="5"/>
  <c r="SU37" i="5"/>
  <c r="SV20" i="5"/>
  <c r="TV19" i="5"/>
  <c r="NA49" i="5"/>
  <c r="NA51" i="5" s="1"/>
  <c r="NA53" i="5" s="1"/>
  <c r="NB46" i="5"/>
  <c r="TP48" i="5" l="1"/>
  <c r="QL38" i="5"/>
  <c r="QK44" i="5"/>
  <c r="SV37" i="5"/>
  <c r="SW20" i="5"/>
  <c r="TW19" i="5"/>
  <c r="NB49" i="5"/>
  <c r="NB51" i="5" s="1"/>
  <c r="NB53" i="5" s="1"/>
  <c r="NC46" i="5"/>
  <c r="TQ48" i="5" l="1"/>
  <c r="QM38" i="5"/>
  <c r="QL44" i="5"/>
  <c r="SW37" i="5"/>
  <c r="SX20" i="5"/>
  <c r="TX19" i="5"/>
  <c r="NC49" i="5"/>
  <c r="NC51" i="5" s="1"/>
  <c r="NC53" i="5" s="1"/>
  <c r="ND46" i="5"/>
  <c r="TS48" i="5" l="1"/>
  <c r="QN38" i="5"/>
  <c r="QM44" i="5"/>
  <c r="SX37" i="5"/>
  <c r="SY20" i="5"/>
  <c r="TY19" i="5"/>
  <c r="ND49" i="5"/>
  <c r="ND51" i="5" s="1"/>
  <c r="ND53" i="5" s="1"/>
  <c r="NE46" i="5"/>
  <c r="TT48" i="5" l="1"/>
  <c r="QO38" i="5"/>
  <c r="QN44" i="5"/>
  <c r="SY37" i="5"/>
  <c r="SZ20" i="5"/>
  <c r="TZ19" i="5"/>
  <c r="NE49" i="5"/>
  <c r="NE51" i="5" s="1"/>
  <c r="NE53" i="5" s="1"/>
  <c r="NF46" i="5"/>
  <c r="TU48" i="5" l="1"/>
  <c r="QP38" i="5"/>
  <c r="QO44" i="5"/>
  <c r="SZ37" i="5"/>
  <c r="TA20" i="5"/>
  <c r="UA19" i="5"/>
  <c r="NF49" i="5"/>
  <c r="NF51" i="5" s="1"/>
  <c r="NF53" i="5" s="1"/>
  <c r="NG46" i="5"/>
  <c r="TV48" i="5" l="1"/>
  <c r="QQ38" i="5"/>
  <c r="QP44" i="5"/>
  <c r="TA37" i="5"/>
  <c r="TB20" i="5"/>
  <c r="UB19" i="5"/>
  <c r="NG49" i="5"/>
  <c r="NG51" i="5" s="1"/>
  <c r="NG53" i="5" s="1"/>
  <c r="NH46" i="5"/>
  <c r="TW48" i="5" l="1"/>
  <c r="QR38" i="5"/>
  <c r="QQ44" i="5"/>
  <c r="TB37" i="5"/>
  <c r="TC20" i="5"/>
  <c r="UC19" i="5"/>
  <c r="NH49" i="5"/>
  <c r="NH51" i="5" s="1"/>
  <c r="NH53" i="5" s="1"/>
  <c r="NI46" i="5"/>
  <c r="TX48" i="5" l="1"/>
  <c r="QS38" i="5"/>
  <c r="QR44" i="5"/>
  <c r="TC37" i="5"/>
  <c r="TD20" i="5"/>
  <c r="UD19" i="5"/>
  <c r="NI49" i="5"/>
  <c r="NI51" i="5" s="1"/>
  <c r="NI53" i="5" s="1"/>
  <c r="NJ46" i="5"/>
  <c r="TY48" i="5" l="1"/>
  <c r="QT38" i="5"/>
  <c r="QS44" i="5"/>
  <c r="TD37" i="5"/>
  <c r="TE20" i="5"/>
  <c r="UE19" i="5"/>
  <c r="NJ49" i="5"/>
  <c r="NJ51" i="5" s="1"/>
  <c r="NJ53" i="5" s="1"/>
  <c r="NK46" i="5"/>
  <c r="TZ48" i="5" l="1"/>
  <c r="QU38" i="5"/>
  <c r="QT44" i="5"/>
  <c r="TE37" i="5"/>
  <c r="TF20" i="5"/>
  <c r="UF19" i="5"/>
  <c r="NK49" i="5"/>
  <c r="NK51" i="5" s="1"/>
  <c r="NK53" i="5" s="1"/>
  <c r="NL46" i="5"/>
  <c r="UA48" i="5" l="1"/>
  <c r="QV38" i="5"/>
  <c r="QU44" i="5"/>
  <c r="TF37" i="5"/>
  <c r="TG20" i="5"/>
  <c r="UG19" i="5"/>
  <c r="NL49" i="5"/>
  <c r="NL51" i="5" s="1"/>
  <c r="NL53" i="5" s="1"/>
  <c r="NM46" i="5"/>
  <c r="UB48" i="5" l="1"/>
  <c r="QW38" i="5"/>
  <c r="QV44" i="5"/>
  <c r="TG37" i="5"/>
  <c r="TH20" i="5"/>
  <c r="UH19" i="5"/>
  <c r="NM49" i="5"/>
  <c r="NM51" i="5" s="1"/>
  <c r="NM53" i="5" s="1"/>
  <c r="NN46" i="5"/>
  <c r="UC48" i="5" l="1"/>
  <c r="QX38" i="5"/>
  <c r="QW44" i="5"/>
  <c r="TH37" i="5"/>
  <c r="TI20" i="5"/>
  <c r="UI19" i="5"/>
  <c r="NN49" i="5"/>
  <c r="NN51" i="5" s="1"/>
  <c r="NN53" i="5" s="1"/>
  <c r="NO46" i="5"/>
  <c r="UD48" i="5" l="1"/>
  <c r="QY38" i="5"/>
  <c r="QX44" i="5"/>
  <c r="TI37" i="5"/>
  <c r="TJ20" i="5"/>
  <c r="UJ19" i="5"/>
  <c r="NO49" i="5"/>
  <c r="NO51" i="5" s="1"/>
  <c r="NO53" i="5" s="1"/>
  <c r="NQ46" i="5"/>
  <c r="UE48" i="5" l="1"/>
  <c r="QZ38" i="5"/>
  <c r="QY44" i="5"/>
  <c r="TJ37" i="5"/>
  <c r="TK20" i="5"/>
  <c r="UK19" i="5"/>
  <c r="NQ49" i="5"/>
  <c r="NQ51" i="5" s="1"/>
  <c r="NQ53" i="5" s="1"/>
  <c r="NR46" i="5"/>
  <c r="UF48" i="5" l="1"/>
  <c r="RA38" i="5"/>
  <c r="QZ44" i="5"/>
  <c r="TK37" i="5"/>
  <c r="TL20" i="5"/>
  <c r="UL19" i="5"/>
  <c r="NR49" i="5"/>
  <c r="NR51" i="5" s="1"/>
  <c r="NR53" i="5" s="1"/>
  <c r="NS46" i="5"/>
  <c r="UG48" i="5" l="1"/>
  <c r="RB38" i="5"/>
  <c r="RA44" i="5"/>
  <c r="TL37" i="5"/>
  <c r="TM20" i="5"/>
  <c r="UM19" i="5"/>
  <c r="NS49" i="5"/>
  <c r="NS51" i="5" s="1"/>
  <c r="NS53" i="5" s="1"/>
  <c r="NT46" i="5"/>
  <c r="UH48" i="5" l="1"/>
  <c r="RC38" i="5"/>
  <c r="RB44" i="5"/>
  <c r="TM37" i="5"/>
  <c r="TN20" i="5"/>
  <c r="UN19" i="5"/>
  <c r="NT49" i="5"/>
  <c r="NT51" i="5" s="1"/>
  <c r="NT53" i="5" s="1"/>
  <c r="NU46" i="5"/>
  <c r="UI48" i="5" l="1"/>
  <c r="RD38" i="5"/>
  <c r="RC44" i="5"/>
  <c r="TN37" i="5"/>
  <c r="TO20" i="5"/>
  <c r="UO19" i="5"/>
  <c r="NU49" i="5"/>
  <c r="NU51" i="5" s="1"/>
  <c r="NU53" i="5" s="1"/>
  <c r="NV46" i="5"/>
  <c r="UJ48" i="5" l="1"/>
  <c r="RE38" i="5"/>
  <c r="RD44" i="5"/>
  <c r="TO37" i="5"/>
  <c r="TP20" i="5"/>
  <c r="UP19" i="5"/>
  <c r="NV49" i="5"/>
  <c r="NV51" i="5" s="1"/>
  <c r="NV53" i="5" s="1"/>
  <c r="NW46" i="5"/>
  <c r="UK48" i="5" l="1"/>
  <c r="RF38" i="5"/>
  <c r="RE44" i="5"/>
  <c r="TP37" i="5"/>
  <c r="TQ20" i="5"/>
  <c r="UQ19" i="5"/>
  <c r="NW49" i="5"/>
  <c r="NW51" i="5" s="1"/>
  <c r="NW53" i="5" s="1"/>
  <c r="NX46" i="5"/>
  <c r="UL48" i="5" l="1"/>
  <c r="RH38" i="5"/>
  <c r="RF44" i="5"/>
  <c r="TQ37" i="5"/>
  <c r="TS20" i="5"/>
  <c r="UR19" i="5"/>
  <c r="NX49" i="5"/>
  <c r="NX51" i="5" s="1"/>
  <c r="NX53" i="5" s="1"/>
  <c r="NY46" i="5"/>
  <c r="UM48" i="5" l="1"/>
  <c r="RI38" i="5"/>
  <c r="RH44" i="5"/>
  <c r="TS37" i="5"/>
  <c r="TT20" i="5"/>
  <c r="US19" i="5"/>
  <c r="NY49" i="5"/>
  <c r="NY51" i="5" s="1"/>
  <c r="NY53" i="5" s="1"/>
  <c r="NZ46" i="5"/>
  <c r="UN48" i="5" l="1"/>
  <c r="RJ38" i="5"/>
  <c r="RI44" i="5"/>
  <c r="TT37" i="5"/>
  <c r="TU20" i="5"/>
  <c r="UT19" i="5"/>
  <c r="NZ49" i="5"/>
  <c r="NZ51" i="5" s="1"/>
  <c r="NZ53" i="5" s="1"/>
  <c r="OA46" i="5"/>
  <c r="UO48" i="5" l="1"/>
  <c r="RK38" i="5"/>
  <c r="RJ44" i="5"/>
  <c r="TU37" i="5"/>
  <c r="TV20" i="5"/>
  <c r="UU19" i="5"/>
  <c r="OA49" i="5"/>
  <c r="OA51" i="5" s="1"/>
  <c r="OA53" i="5" s="1"/>
  <c r="OB46" i="5"/>
  <c r="UP48" i="5" l="1"/>
  <c r="RL38" i="5"/>
  <c r="RK44" i="5"/>
  <c r="TV37" i="5"/>
  <c r="TW20" i="5"/>
  <c r="UV19" i="5"/>
  <c r="OB49" i="5"/>
  <c r="OB51" i="5" s="1"/>
  <c r="OB53" i="5" s="1"/>
  <c r="OC46" i="5"/>
  <c r="UQ48" i="5" l="1"/>
  <c r="RM38" i="5"/>
  <c r="RL44" i="5"/>
  <c r="TW37" i="5"/>
  <c r="TX20" i="5"/>
  <c r="UW19" i="5"/>
  <c r="OC49" i="5"/>
  <c r="OC51" i="5" s="1"/>
  <c r="OC53" i="5" s="1"/>
  <c r="OD46" i="5"/>
  <c r="UR48" i="5" l="1"/>
  <c r="RN38" i="5"/>
  <c r="RM44" i="5"/>
  <c r="TX37" i="5"/>
  <c r="TY20" i="5"/>
  <c r="UY19" i="5"/>
  <c r="OD49" i="5"/>
  <c r="OD51" i="5" s="1"/>
  <c r="OD53" i="5" s="1"/>
  <c r="OE46" i="5"/>
  <c r="US48" i="5" l="1"/>
  <c r="RO38" i="5"/>
  <c r="RN44" i="5"/>
  <c r="TY37" i="5"/>
  <c r="TZ20" i="5"/>
  <c r="UZ19" i="5"/>
  <c r="VA19" i="5"/>
  <c r="OE49" i="5"/>
  <c r="OE51" i="5" s="1"/>
  <c r="OE53" i="5" s="1"/>
  <c r="OF46" i="5"/>
  <c r="UT48" i="5" l="1"/>
  <c r="RP38" i="5"/>
  <c r="RO44" i="5"/>
  <c r="TZ37" i="5"/>
  <c r="UA20" i="5"/>
  <c r="VB19" i="5"/>
  <c r="VC19" i="5"/>
  <c r="OF49" i="5"/>
  <c r="OF51" i="5" s="1"/>
  <c r="OF53" i="5" s="1"/>
  <c r="OG46" i="5"/>
  <c r="UU48" i="5" l="1"/>
  <c r="RQ38" i="5"/>
  <c r="RP44" i="5"/>
  <c r="UA37" i="5"/>
  <c r="UB20" i="5"/>
  <c r="VD19" i="5"/>
  <c r="VE19" i="5"/>
  <c r="OG49" i="5"/>
  <c r="OG51" i="5" s="1"/>
  <c r="OG53" i="5" s="1"/>
  <c r="OH46" i="5"/>
  <c r="UV48" i="5" l="1"/>
  <c r="RR38" i="5"/>
  <c r="RQ44" i="5"/>
  <c r="UB37" i="5"/>
  <c r="UC20" i="5"/>
  <c r="VF19" i="5"/>
  <c r="VG19" i="5"/>
  <c r="OH49" i="5"/>
  <c r="OH51" i="5" s="1"/>
  <c r="OH53" i="5" s="1"/>
  <c r="OI46" i="5"/>
  <c r="UW48" i="5" l="1"/>
  <c r="RS38" i="5"/>
  <c r="RR44" i="5"/>
  <c r="UC37" i="5"/>
  <c r="UD20" i="5"/>
  <c r="VH19" i="5"/>
  <c r="VI19" i="5"/>
  <c r="OI49" i="5"/>
  <c r="OI51" i="5" s="1"/>
  <c r="OI53" i="5" s="1"/>
  <c r="OJ46" i="5"/>
  <c r="UY48" i="5" l="1"/>
  <c r="RT38" i="5"/>
  <c r="RS44" i="5"/>
  <c r="UD37" i="5"/>
  <c r="UE20" i="5"/>
  <c r="VJ19" i="5"/>
  <c r="VK19" i="5"/>
  <c r="OJ49" i="5"/>
  <c r="OJ51" i="5" s="1"/>
  <c r="OJ53" i="5" s="1"/>
  <c r="OK46" i="5"/>
  <c r="UZ48" i="5" l="1"/>
  <c r="VA48" i="5"/>
  <c r="RU38" i="5"/>
  <c r="RT44" i="5"/>
  <c r="UE37" i="5"/>
  <c r="UF20" i="5"/>
  <c r="VL19" i="5"/>
  <c r="VM19" i="5"/>
  <c r="OK49" i="5"/>
  <c r="OK51" i="5" s="1"/>
  <c r="OK53" i="5" s="1"/>
  <c r="OL46" i="5"/>
  <c r="VB48" i="5" l="1"/>
  <c r="VC48" i="5"/>
  <c r="RV38" i="5"/>
  <c r="RU44" i="5"/>
  <c r="UF37" i="5"/>
  <c r="UG20" i="5"/>
  <c r="VN19" i="5"/>
  <c r="VO19" i="5"/>
  <c r="OL49" i="5"/>
  <c r="OL51" i="5" s="1"/>
  <c r="OL53" i="5" s="1"/>
  <c r="OM46" i="5"/>
  <c r="VD48" i="5" l="1"/>
  <c r="VE48" i="5"/>
  <c r="RW38" i="5"/>
  <c r="RV44" i="5"/>
  <c r="UG37" i="5"/>
  <c r="UH20" i="5"/>
  <c r="VP19" i="5"/>
  <c r="VQ19" i="5"/>
  <c r="OM49" i="5"/>
  <c r="OM51" i="5" s="1"/>
  <c r="OM53" i="5" s="1"/>
  <c r="ON46" i="5"/>
  <c r="VF48" i="5" l="1"/>
  <c r="VG48" i="5"/>
  <c r="RX38" i="5"/>
  <c r="RW44" i="5"/>
  <c r="UH37" i="5"/>
  <c r="UI20" i="5"/>
  <c r="VR19" i="5"/>
  <c r="VS19" i="5"/>
  <c r="ON49" i="5"/>
  <c r="ON51" i="5" s="1"/>
  <c r="ON53" i="5" s="1"/>
  <c r="OO46" i="5"/>
  <c r="VH48" i="5" l="1"/>
  <c r="VI48" i="5"/>
  <c r="RY38" i="5"/>
  <c r="RX44" i="5"/>
  <c r="UI37" i="5"/>
  <c r="UJ20" i="5"/>
  <c r="VT19" i="5"/>
  <c r="VU19" i="5"/>
  <c r="OO49" i="5"/>
  <c r="OO51" i="5" s="1"/>
  <c r="OO53" i="5" s="1"/>
  <c r="OP46" i="5"/>
  <c r="VJ48" i="5" l="1"/>
  <c r="VK48" i="5"/>
  <c r="RZ38" i="5"/>
  <c r="RY44" i="5"/>
  <c r="UJ37" i="5"/>
  <c r="UK20" i="5"/>
  <c r="VV19" i="5"/>
  <c r="VW19" i="5"/>
  <c r="OP49" i="5"/>
  <c r="OP51" i="5" s="1"/>
  <c r="OP53" i="5" s="1"/>
  <c r="OQ46" i="5"/>
  <c r="VL48" i="5" l="1"/>
  <c r="VM48" i="5"/>
  <c r="SA38" i="5"/>
  <c r="RZ44" i="5"/>
  <c r="UK37" i="5"/>
  <c r="UL20" i="5"/>
  <c r="VX19" i="5"/>
  <c r="VY19" i="5"/>
  <c r="OQ49" i="5"/>
  <c r="OQ51" i="5" s="1"/>
  <c r="OQ53" i="5" s="1"/>
  <c r="OR46" i="5"/>
  <c r="VN48" i="5" l="1"/>
  <c r="VO48" i="5"/>
  <c r="SB38" i="5"/>
  <c r="SA44" i="5"/>
  <c r="UL37" i="5"/>
  <c r="UM20" i="5"/>
  <c r="VZ19" i="5"/>
  <c r="OR49" i="5"/>
  <c r="OR51" i="5" s="1"/>
  <c r="OR53" i="5" s="1"/>
  <c r="OS46" i="5"/>
  <c r="VP48" i="5" l="1"/>
  <c r="VQ48" i="5"/>
  <c r="SC38" i="5"/>
  <c r="SB44" i="5"/>
  <c r="UM37" i="5"/>
  <c r="UN20" i="5"/>
  <c r="WB19" i="5"/>
  <c r="OS49" i="5"/>
  <c r="OS51" i="5" s="1"/>
  <c r="OS53" i="5" s="1"/>
  <c r="OT46" i="5"/>
  <c r="VR48" i="5" l="1"/>
  <c r="VS48" i="5"/>
  <c r="SD38" i="5"/>
  <c r="SC44" i="5"/>
  <c r="UN37" i="5"/>
  <c r="UO20" i="5"/>
  <c r="WC19" i="5"/>
  <c r="WD19" i="5"/>
  <c r="OT49" i="5"/>
  <c r="OT51" i="5" s="1"/>
  <c r="OT53" i="5" s="1"/>
  <c r="OU46" i="5"/>
  <c r="VT48" i="5" l="1"/>
  <c r="VU48" i="5"/>
  <c r="SE38" i="5"/>
  <c r="SD44" i="5"/>
  <c r="UO37" i="5"/>
  <c r="UP20" i="5"/>
  <c r="WE19" i="5"/>
  <c r="WF19" i="5"/>
  <c r="OU49" i="5"/>
  <c r="OU51" i="5" s="1"/>
  <c r="OU53" i="5" s="1"/>
  <c r="OW46" i="5"/>
  <c r="VV48" i="5" l="1"/>
  <c r="VW48" i="5"/>
  <c r="SF38" i="5"/>
  <c r="SE44" i="5"/>
  <c r="UP37" i="5"/>
  <c r="UQ20" i="5"/>
  <c r="WG19" i="5"/>
  <c r="WH19" i="5"/>
  <c r="OW49" i="5"/>
  <c r="OW51" i="5" s="1"/>
  <c r="OW53" i="5" s="1"/>
  <c r="OX46" i="5"/>
  <c r="VX48" i="5" l="1"/>
  <c r="VY48" i="5"/>
  <c r="SG38" i="5"/>
  <c r="SF44" i="5"/>
  <c r="UQ37" i="5"/>
  <c r="UR20" i="5"/>
  <c r="WI19" i="5"/>
  <c r="WJ19" i="5"/>
  <c r="OX49" i="5"/>
  <c r="OX51" i="5" s="1"/>
  <c r="OX53" i="5" s="1"/>
  <c r="OY46" i="5"/>
  <c r="VZ48" i="5" l="1"/>
  <c r="SH38" i="5"/>
  <c r="SG44" i="5"/>
  <c r="UR37" i="5"/>
  <c r="US20" i="5"/>
  <c r="WK19" i="5"/>
  <c r="WL19" i="5"/>
  <c r="OY49" i="5"/>
  <c r="OY51" i="5" s="1"/>
  <c r="OY53" i="5" s="1"/>
  <c r="OZ46" i="5"/>
  <c r="WB48" i="5" l="1"/>
  <c r="SI38" i="5"/>
  <c r="SH44" i="5"/>
  <c r="US37" i="5"/>
  <c r="UT20" i="5"/>
  <c r="WM19" i="5"/>
  <c r="WN19" i="5"/>
  <c r="OZ49" i="5"/>
  <c r="OZ51" i="5" s="1"/>
  <c r="OZ53" i="5" s="1"/>
  <c r="PA46" i="5"/>
  <c r="WC48" i="5" l="1"/>
  <c r="WD48" i="5"/>
  <c r="SJ38" i="5"/>
  <c r="SI44" i="5"/>
  <c r="UT37" i="5"/>
  <c r="UU20" i="5"/>
  <c r="WO19" i="5"/>
  <c r="WP19" i="5"/>
  <c r="PA49" i="5"/>
  <c r="PA51" i="5" s="1"/>
  <c r="PA53" i="5" s="1"/>
  <c r="PB46" i="5"/>
  <c r="WE48" i="5" l="1"/>
  <c r="WF48" i="5"/>
  <c r="SK38" i="5"/>
  <c r="SJ44" i="5"/>
  <c r="UU37" i="5"/>
  <c r="UV20" i="5"/>
  <c r="WQ19" i="5"/>
  <c r="WR19" i="5"/>
  <c r="PB49" i="5"/>
  <c r="PB51" i="5" s="1"/>
  <c r="PB53" i="5" s="1"/>
  <c r="PC46" i="5"/>
  <c r="WG48" i="5" l="1"/>
  <c r="WH48" i="5"/>
  <c r="SM38" i="5"/>
  <c r="SK44" i="5"/>
  <c r="UV37" i="5"/>
  <c r="UW20" i="5"/>
  <c r="WS19" i="5"/>
  <c r="WT19" i="5"/>
  <c r="PC49" i="5"/>
  <c r="PC51" i="5" s="1"/>
  <c r="PC53" i="5" s="1"/>
  <c r="PD46" i="5"/>
  <c r="WI48" i="5" l="1"/>
  <c r="WJ48" i="5"/>
  <c r="SN38" i="5"/>
  <c r="SM44" i="5"/>
  <c r="UW37" i="5"/>
  <c r="UY20" i="5"/>
  <c r="WU19" i="5"/>
  <c r="WV19" i="5"/>
  <c r="PD49" i="5"/>
  <c r="PD51" i="5" s="1"/>
  <c r="PD53" i="5" s="1"/>
  <c r="PE46" i="5"/>
  <c r="WK48" i="5" l="1"/>
  <c r="WL48" i="5"/>
  <c r="SO38" i="5"/>
  <c r="SN44" i="5"/>
  <c r="UY37" i="5"/>
  <c r="UZ20" i="5"/>
  <c r="VA20" i="5"/>
  <c r="WW19" i="5"/>
  <c r="WX19" i="5"/>
  <c r="PE49" i="5"/>
  <c r="PE51" i="5" s="1"/>
  <c r="PE53" i="5" s="1"/>
  <c r="PF46" i="5"/>
  <c r="WM48" i="5" l="1"/>
  <c r="WN48" i="5"/>
  <c r="SP38" i="5"/>
  <c r="SO44" i="5"/>
  <c r="UZ37" i="5"/>
  <c r="VB20" i="5"/>
  <c r="VA37" i="5"/>
  <c r="VC20" i="5"/>
  <c r="WY19" i="5"/>
  <c r="WZ19" i="5"/>
  <c r="PF49" i="5"/>
  <c r="PF51" i="5" s="1"/>
  <c r="PF53" i="5" s="1"/>
  <c r="PG46" i="5"/>
  <c r="WO48" i="5" l="1"/>
  <c r="WP48" i="5"/>
  <c r="SQ38" i="5"/>
  <c r="SP44" i="5"/>
  <c r="VB37" i="5"/>
  <c r="VD20" i="5"/>
  <c r="VC37" i="5"/>
  <c r="VE20" i="5"/>
  <c r="XA19" i="5"/>
  <c r="XB19" i="5"/>
  <c r="PG49" i="5"/>
  <c r="PG51" i="5" s="1"/>
  <c r="PG53" i="5" s="1"/>
  <c r="PH46" i="5"/>
  <c r="WQ48" i="5" l="1"/>
  <c r="WR48" i="5"/>
  <c r="SR38" i="5"/>
  <c r="SQ44" i="5"/>
  <c r="VD37" i="5"/>
  <c r="VF20" i="5"/>
  <c r="VE37" i="5"/>
  <c r="VG20" i="5"/>
  <c r="XC19" i="5"/>
  <c r="XD19" i="5"/>
  <c r="PH49" i="5"/>
  <c r="PH51" i="5" s="1"/>
  <c r="PH53" i="5" s="1"/>
  <c r="PI46" i="5"/>
  <c r="WS48" i="5" l="1"/>
  <c r="WT48" i="5"/>
  <c r="SS38" i="5"/>
  <c r="SR44" i="5"/>
  <c r="VF37" i="5"/>
  <c r="VH20" i="5"/>
  <c r="VG37" i="5"/>
  <c r="VI20" i="5"/>
  <c r="XE19" i="5"/>
  <c r="XF19" i="5"/>
  <c r="PI49" i="5"/>
  <c r="PI51" i="5" s="1"/>
  <c r="PI53" i="5" s="1"/>
  <c r="PJ46" i="5"/>
  <c r="WU48" i="5" l="1"/>
  <c r="WV48" i="5"/>
  <c r="ST38" i="5"/>
  <c r="SS44" i="5"/>
  <c r="VH37" i="5"/>
  <c r="VJ20" i="5"/>
  <c r="VI37" i="5"/>
  <c r="VK20" i="5"/>
  <c r="XH19" i="5"/>
  <c r="PJ49" i="5"/>
  <c r="PJ51" i="5" s="1"/>
  <c r="PJ53" i="5" s="1"/>
  <c r="PK46" i="5"/>
  <c r="WW48" i="5" l="1"/>
  <c r="WX48" i="5"/>
  <c r="SU38" i="5"/>
  <c r="ST44" i="5"/>
  <c r="VJ37" i="5"/>
  <c r="VL20" i="5"/>
  <c r="VK37" i="5"/>
  <c r="VM20" i="5"/>
  <c r="XI19" i="5"/>
  <c r="PK49" i="5"/>
  <c r="PK51" i="5" s="1"/>
  <c r="PK53" i="5" s="1"/>
  <c r="PL46" i="5"/>
  <c r="WY48" i="5" l="1"/>
  <c r="WZ48" i="5"/>
  <c r="SV38" i="5"/>
  <c r="SU44" i="5"/>
  <c r="VL37" i="5"/>
  <c r="VN20" i="5"/>
  <c r="VM37" i="5"/>
  <c r="VO20" i="5"/>
  <c r="XJ19" i="5"/>
  <c r="PL49" i="5"/>
  <c r="PL51" i="5" s="1"/>
  <c r="PL53" i="5" s="1"/>
  <c r="PM46" i="5"/>
  <c r="XA48" i="5" l="1"/>
  <c r="XB48" i="5"/>
  <c r="SW38" i="5"/>
  <c r="SV44" i="5"/>
  <c r="VN37" i="5"/>
  <c r="VP20" i="5"/>
  <c r="VO37" i="5"/>
  <c r="VQ20" i="5"/>
  <c r="XK19" i="5"/>
  <c r="PM49" i="5"/>
  <c r="PM51" i="5" s="1"/>
  <c r="PM53" i="5" s="1"/>
  <c r="PN46" i="5"/>
  <c r="XC48" i="5" l="1"/>
  <c r="XD48" i="5"/>
  <c r="SX38" i="5"/>
  <c r="SW44" i="5"/>
  <c r="VP37" i="5"/>
  <c r="VR20" i="5"/>
  <c r="VQ37" i="5"/>
  <c r="VS20" i="5"/>
  <c r="XL19" i="5"/>
  <c r="PN49" i="5"/>
  <c r="PN51" i="5" s="1"/>
  <c r="PN53" i="5" s="1"/>
  <c r="PO46" i="5"/>
  <c r="XE48" i="5" l="1"/>
  <c r="XF48" i="5"/>
  <c r="SY38" i="5"/>
  <c r="SX44" i="5"/>
  <c r="VR37" i="5"/>
  <c r="VT20" i="5"/>
  <c r="VS37" i="5"/>
  <c r="VU20" i="5"/>
  <c r="XM19" i="5"/>
  <c r="PO49" i="5"/>
  <c r="PO51" i="5" s="1"/>
  <c r="PO53" i="5" s="1"/>
  <c r="PP46" i="5"/>
  <c r="XH48" i="5" l="1"/>
  <c r="SZ38" i="5"/>
  <c r="SY44" i="5"/>
  <c r="VT37" i="5"/>
  <c r="VV20" i="5"/>
  <c r="VU37" i="5"/>
  <c r="VW20" i="5"/>
  <c r="XN19" i="5"/>
  <c r="PP49" i="5"/>
  <c r="PP51" i="5" s="1"/>
  <c r="PP53" i="5" s="1"/>
  <c r="PQ46" i="5"/>
  <c r="XI48" i="5" l="1"/>
  <c r="TA38" i="5"/>
  <c r="SZ44" i="5"/>
  <c r="VV37" i="5"/>
  <c r="VX20" i="5"/>
  <c r="VW37" i="5"/>
  <c r="VY20" i="5"/>
  <c r="VY37" i="5" s="1"/>
  <c r="XO19" i="5"/>
  <c r="PQ49" i="5"/>
  <c r="PQ51" i="5" s="1"/>
  <c r="PQ53" i="5" s="1"/>
  <c r="PR46" i="5"/>
  <c r="XJ48" i="5" l="1"/>
  <c r="TB38" i="5"/>
  <c r="TA44" i="5"/>
  <c r="VX37" i="5"/>
  <c r="VZ20" i="5"/>
  <c r="XP19" i="5"/>
  <c r="PR49" i="5"/>
  <c r="PR51" i="5" s="1"/>
  <c r="PR53" i="5" s="1"/>
  <c r="PS46" i="5"/>
  <c r="XK48" i="5" l="1"/>
  <c r="TC38" i="5"/>
  <c r="TB44" i="5"/>
  <c r="VZ37" i="5"/>
  <c r="WB20" i="5"/>
  <c r="XQ19" i="5"/>
  <c r="PS49" i="5"/>
  <c r="PS51" i="5" s="1"/>
  <c r="PS53" i="5" s="1"/>
  <c r="PT46" i="5"/>
  <c r="XL48" i="5" l="1"/>
  <c r="TD38" i="5"/>
  <c r="TC44" i="5"/>
  <c r="WB37" i="5"/>
  <c r="WC20" i="5"/>
  <c r="WD20" i="5"/>
  <c r="XR19" i="5"/>
  <c r="PT49" i="5"/>
  <c r="PT51" i="5" s="1"/>
  <c r="PT53" i="5" s="1"/>
  <c r="PU46" i="5"/>
  <c r="XM48" i="5" l="1"/>
  <c r="TE38" i="5"/>
  <c r="TD44" i="5"/>
  <c r="WC37" i="5"/>
  <c r="WE20" i="5"/>
  <c r="WD37" i="5"/>
  <c r="WF20" i="5"/>
  <c r="XS19" i="5"/>
  <c r="PU49" i="5"/>
  <c r="PU51" i="5" s="1"/>
  <c r="PU53" i="5" s="1"/>
  <c r="PV46" i="5"/>
  <c r="XN48" i="5" l="1"/>
  <c r="TF38" i="5"/>
  <c r="TE44" i="5"/>
  <c r="WE37" i="5"/>
  <c r="WG20" i="5"/>
  <c r="WF37" i="5"/>
  <c r="WH20" i="5"/>
  <c r="XT19" i="5"/>
  <c r="PV49" i="5"/>
  <c r="PV51" i="5" s="1"/>
  <c r="PV53" i="5" s="1"/>
  <c r="PW46" i="5"/>
  <c r="XO48" i="5" l="1"/>
  <c r="TG38" i="5"/>
  <c r="TF44" i="5"/>
  <c r="WG37" i="5"/>
  <c r="WI20" i="5"/>
  <c r="WH37" i="5"/>
  <c r="WJ20" i="5"/>
  <c r="XU19" i="5"/>
  <c r="PW49" i="5"/>
  <c r="PW51" i="5" s="1"/>
  <c r="PW53" i="5" s="1"/>
  <c r="PX46" i="5"/>
  <c r="XP48" i="5" l="1"/>
  <c r="TH38" i="5"/>
  <c r="TG44" i="5"/>
  <c r="WI37" i="5"/>
  <c r="WK20" i="5"/>
  <c r="WJ37" i="5"/>
  <c r="WL20" i="5"/>
  <c r="XV19" i="5"/>
  <c r="PX49" i="5"/>
  <c r="PX51" i="5" s="1"/>
  <c r="PX53" i="5" s="1"/>
  <c r="PY46" i="5"/>
  <c r="XQ48" i="5" l="1"/>
  <c r="TI38" i="5"/>
  <c r="TH44" i="5"/>
  <c r="WK37" i="5"/>
  <c r="WM20" i="5"/>
  <c r="WL37" i="5"/>
  <c r="WN20" i="5"/>
  <c r="XW19" i="5"/>
  <c r="PY49" i="5"/>
  <c r="PY51" i="5" s="1"/>
  <c r="PY53" i="5" s="1"/>
  <c r="PZ46" i="5"/>
  <c r="XR48" i="5" l="1"/>
  <c r="TJ38" i="5"/>
  <c r="TI44" i="5"/>
  <c r="WM37" i="5"/>
  <c r="WO20" i="5"/>
  <c r="WN37" i="5"/>
  <c r="WP20" i="5"/>
  <c r="XX19" i="5"/>
  <c r="PZ49" i="5"/>
  <c r="PZ51" i="5" s="1"/>
  <c r="PZ53" i="5" s="1"/>
  <c r="QB46" i="5"/>
  <c r="XS48" i="5" l="1"/>
  <c r="TK38" i="5"/>
  <c r="TJ44" i="5"/>
  <c r="WO37" i="5"/>
  <c r="WQ20" i="5"/>
  <c r="WP37" i="5"/>
  <c r="WR20" i="5"/>
  <c r="XY19" i="5"/>
  <c r="QB49" i="5"/>
  <c r="QB51" i="5" s="1"/>
  <c r="QB53" i="5" s="1"/>
  <c r="QC46" i="5"/>
  <c r="XT48" i="5" l="1"/>
  <c r="TL38" i="5"/>
  <c r="TK44" i="5"/>
  <c r="WQ37" i="5"/>
  <c r="WS20" i="5"/>
  <c r="WR37" i="5"/>
  <c r="WT20" i="5"/>
  <c r="XZ19" i="5"/>
  <c r="QC49" i="5"/>
  <c r="QC51" i="5" s="1"/>
  <c r="QC53" i="5" s="1"/>
  <c r="QD46" i="5"/>
  <c r="XU48" i="5" l="1"/>
  <c r="TM38" i="5"/>
  <c r="TL44" i="5"/>
  <c r="WS37" i="5"/>
  <c r="WU20" i="5"/>
  <c r="WT37" i="5"/>
  <c r="WV20" i="5"/>
  <c r="YA19" i="5"/>
  <c r="QD49" i="5"/>
  <c r="QD51" i="5" s="1"/>
  <c r="QD53" i="5" s="1"/>
  <c r="QE46" i="5"/>
  <c r="XV48" i="5" l="1"/>
  <c r="TN38" i="5"/>
  <c r="TM44" i="5"/>
  <c r="WU37" i="5"/>
  <c r="WW20" i="5"/>
  <c r="WV37" i="5"/>
  <c r="WX20" i="5"/>
  <c r="YB19" i="5"/>
  <c r="QE49" i="5"/>
  <c r="QE51" i="5" s="1"/>
  <c r="QE53" i="5" s="1"/>
  <c r="QF46" i="5"/>
  <c r="XW48" i="5" l="1"/>
  <c r="TO38" i="5"/>
  <c r="TN44" i="5"/>
  <c r="WW37" i="5"/>
  <c r="WY20" i="5"/>
  <c r="WX37" i="5"/>
  <c r="WZ20" i="5"/>
  <c r="YC19" i="5"/>
  <c r="QF49" i="5"/>
  <c r="QF51" i="5" s="1"/>
  <c r="QF53" i="5" s="1"/>
  <c r="QG46" i="5"/>
  <c r="XX48" i="5" l="1"/>
  <c r="TP38" i="5"/>
  <c r="TO44" i="5"/>
  <c r="WY37" i="5"/>
  <c r="XA20" i="5"/>
  <c r="WZ37" i="5"/>
  <c r="XB20" i="5"/>
  <c r="YD19" i="5"/>
  <c r="QG49" i="5"/>
  <c r="QG51" i="5" s="1"/>
  <c r="QG53" i="5" s="1"/>
  <c r="QH46" i="5"/>
  <c r="XY48" i="5" l="1"/>
  <c r="TQ38" i="5"/>
  <c r="TP44" i="5"/>
  <c r="XA37" i="5"/>
  <c r="XC20" i="5"/>
  <c r="XB37" i="5"/>
  <c r="XD20" i="5"/>
  <c r="YE19" i="5"/>
  <c r="QH49" i="5"/>
  <c r="QH51" i="5" s="1"/>
  <c r="QH53" i="5" s="1"/>
  <c r="QI46" i="5"/>
  <c r="XZ48" i="5" l="1"/>
  <c r="TS38" i="5"/>
  <c r="TQ44" i="5"/>
  <c r="XC37" i="5"/>
  <c r="XE20" i="5"/>
  <c r="XE37" i="5" s="1"/>
  <c r="XD37" i="5"/>
  <c r="XF20" i="5"/>
  <c r="YF19" i="5"/>
  <c r="QI49" i="5"/>
  <c r="QI51" i="5" s="1"/>
  <c r="QI53" i="5" s="1"/>
  <c r="QJ46" i="5"/>
  <c r="YA48" i="5" l="1"/>
  <c r="TT38" i="5"/>
  <c r="TS44" i="5"/>
  <c r="XF37" i="5"/>
  <c r="XH20" i="5"/>
  <c r="YG19" i="5"/>
  <c r="QJ49" i="5"/>
  <c r="QJ51" i="5" s="1"/>
  <c r="QJ53" i="5" s="1"/>
  <c r="QK46" i="5"/>
  <c r="YB48" i="5" l="1"/>
  <c r="TU38" i="5"/>
  <c r="TT44" i="5"/>
  <c r="XH37" i="5"/>
  <c r="XI20" i="5"/>
  <c r="YH19" i="5"/>
  <c r="QK49" i="5"/>
  <c r="QK51" i="5" s="1"/>
  <c r="QK53" i="5" s="1"/>
  <c r="QL46" i="5"/>
  <c r="YC48" i="5" l="1"/>
  <c r="TV38" i="5"/>
  <c r="TU44" i="5"/>
  <c r="XI37" i="5"/>
  <c r="XJ20" i="5"/>
  <c r="YI19" i="5"/>
  <c r="QL49" i="5"/>
  <c r="QL51" i="5" s="1"/>
  <c r="QL53" i="5" s="1"/>
  <c r="QM46" i="5"/>
  <c r="YD48" i="5" l="1"/>
  <c r="TW38" i="5"/>
  <c r="TV44" i="5"/>
  <c r="XJ37" i="5"/>
  <c r="XK20" i="5"/>
  <c r="YJ19" i="5"/>
  <c r="QM49" i="5"/>
  <c r="QM51" i="5" s="1"/>
  <c r="QM53" i="5" s="1"/>
  <c r="QN46" i="5"/>
  <c r="YE48" i="5" l="1"/>
  <c r="TX38" i="5"/>
  <c r="TW44" i="5"/>
  <c r="XK37" i="5"/>
  <c r="XL20" i="5"/>
  <c r="YK19" i="5"/>
  <c r="QN49" i="5"/>
  <c r="QN51" i="5" s="1"/>
  <c r="QN53" i="5" s="1"/>
  <c r="QO46" i="5"/>
  <c r="YF48" i="5" l="1"/>
  <c r="TY38" i="5"/>
  <c r="TX44" i="5"/>
  <c r="XL37" i="5"/>
  <c r="XM20" i="5"/>
  <c r="YM19" i="5"/>
  <c r="QO49" i="5"/>
  <c r="QO51" i="5" s="1"/>
  <c r="QO53" i="5" s="1"/>
  <c r="QP46" i="5"/>
  <c r="YG48" i="5" l="1"/>
  <c r="TZ38" i="5"/>
  <c r="TY44" i="5"/>
  <c r="XM37" i="5"/>
  <c r="XN20" i="5"/>
  <c r="YN19" i="5"/>
  <c r="QP49" i="5"/>
  <c r="QP51" i="5" s="1"/>
  <c r="QP53" i="5" s="1"/>
  <c r="QQ46" i="5"/>
  <c r="YH48" i="5" l="1"/>
  <c r="UA38" i="5"/>
  <c r="TZ44" i="5"/>
  <c r="XN37" i="5"/>
  <c r="XO20" i="5"/>
  <c r="YO19" i="5"/>
  <c r="QQ49" i="5"/>
  <c r="QQ51" i="5" s="1"/>
  <c r="QQ53" i="5" s="1"/>
  <c r="QR46" i="5"/>
  <c r="YI48" i="5" l="1"/>
  <c r="UB38" i="5"/>
  <c r="UA44" i="5"/>
  <c r="XO37" i="5"/>
  <c r="XP20" i="5"/>
  <c r="YP19" i="5"/>
  <c r="QR49" i="5"/>
  <c r="QR51" i="5" s="1"/>
  <c r="QR53" i="5" s="1"/>
  <c r="QS46" i="5"/>
  <c r="YJ48" i="5" l="1"/>
  <c r="UC38" i="5"/>
  <c r="UB44" i="5"/>
  <c r="XP37" i="5"/>
  <c r="XQ20" i="5"/>
  <c r="YQ19" i="5"/>
  <c r="QS49" i="5"/>
  <c r="QS51" i="5" s="1"/>
  <c r="QS53" i="5" s="1"/>
  <c r="QT46" i="5"/>
  <c r="YK48" i="5" l="1"/>
  <c r="UD38" i="5"/>
  <c r="UC44" i="5"/>
  <c r="XQ37" i="5"/>
  <c r="XR20" i="5"/>
  <c r="YR19" i="5"/>
  <c r="QT49" i="5"/>
  <c r="QT51" i="5" s="1"/>
  <c r="QT53" i="5" s="1"/>
  <c r="QU46" i="5"/>
  <c r="YM48" i="5" l="1"/>
  <c r="UE38" i="5"/>
  <c r="UD44" i="5"/>
  <c r="XR37" i="5"/>
  <c r="XS20" i="5"/>
  <c r="YS19" i="5"/>
  <c r="QU49" i="5"/>
  <c r="QU51" i="5" s="1"/>
  <c r="QU53" i="5" s="1"/>
  <c r="QV46" i="5"/>
  <c r="YN48" i="5" l="1"/>
  <c r="UF38" i="5"/>
  <c r="UE44" i="5"/>
  <c r="XS37" i="5"/>
  <c r="XT20" i="5"/>
  <c r="YT19" i="5"/>
  <c r="QV49" i="5"/>
  <c r="QV51" i="5" s="1"/>
  <c r="QV53" i="5" s="1"/>
  <c r="QW46" i="5"/>
  <c r="YO48" i="5" l="1"/>
  <c r="UG38" i="5"/>
  <c r="UF44" i="5"/>
  <c r="XT37" i="5"/>
  <c r="XU20" i="5"/>
  <c r="YU19" i="5"/>
  <c r="QW49" i="5"/>
  <c r="QW51" i="5" s="1"/>
  <c r="QW53" i="5" s="1"/>
  <c r="QX46" i="5"/>
  <c r="YP48" i="5" l="1"/>
  <c r="UH38" i="5"/>
  <c r="UG44" i="5"/>
  <c r="XU37" i="5"/>
  <c r="XV20" i="5"/>
  <c r="YV19" i="5"/>
  <c r="QX49" i="5"/>
  <c r="QX51" i="5" s="1"/>
  <c r="QX53" i="5" s="1"/>
  <c r="QY46" i="5"/>
  <c r="YQ48" i="5" l="1"/>
  <c r="UI38" i="5"/>
  <c r="UH44" i="5"/>
  <c r="XV37" i="5"/>
  <c r="XW20" i="5"/>
  <c r="YW19" i="5"/>
  <c r="QY49" i="5"/>
  <c r="QY51" i="5" s="1"/>
  <c r="QY53" i="5" s="1"/>
  <c r="QZ46" i="5"/>
  <c r="YR48" i="5" l="1"/>
  <c r="UJ38" i="5"/>
  <c r="UI44" i="5"/>
  <c r="XW37" i="5"/>
  <c r="XX20" i="5"/>
  <c r="YX19" i="5"/>
  <c r="QZ49" i="5"/>
  <c r="QZ51" i="5" s="1"/>
  <c r="QZ53" i="5" s="1"/>
  <c r="QZ55" i="5" s="1"/>
  <c r="RA46" i="5"/>
  <c r="YS48" i="5" l="1"/>
  <c r="UK38" i="5"/>
  <c r="UJ44" i="5"/>
  <c r="XX37" i="5"/>
  <c r="XY20" i="5"/>
  <c r="YY19" i="5"/>
  <c r="RA49" i="5"/>
  <c r="RA51" i="5" s="1"/>
  <c r="RA53" i="5" s="1"/>
  <c r="RB46" i="5"/>
  <c r="YT48" i="5" l="1"/>
  <c r="UL38" i="5"/>
  <c r="UK44" i="5"/>
  <c r="XY37" i="5"/>
  <c r="XZ20" i="5"/>
  <c r="YZ19" i="5"/>
  <c r="RB49" i="5"/>
  <c r="RB51" i="5" s="1"/>
  <c r="RB53" i="5" s="1"/>
  <c r="RC46" i="5"/>
  <c r="YU48" i="5" l="1"/>
  <c r="UM38" i="5"/>
  <c r="UL44" i="5"/>
  <c r="XZ37" i="5"/>
  <c r="YA20" i="5"/>
  <c r="ZA19" i="5"/>
  <c r="RC49" i="5"/>
  <c r="RC51" i="5" s="1"/>
  <c r="RC53" i="5" s="1"/>
  <c r="RD46" i="5"/>
  <c r="YV48" i="5" l="1"/>
  <c r="UN38" i="5"/>
  <c r="UM44" i="5"/>
  <c r="YA37" i="5"/>
  <c r="YB20" i="5"/>
  <c r="ZB19" i="5"/>
  <c r="RD49" i="5"/>
  <c r="RD51" i="5" s="1"/>
  <c r="RD53" i="5" s="1"/>
  <c r="RE46" i="5"/>
  <c r="YW48" i="5" l="1"/>
  <c r="UO38" i="5"/>
  <c r="UN44" i="5"/>
  <c r="YB37" i="5"/>
  <c r="YC20" i="5"/>
  <c r="ZC19" i="5"/>
  <c r="RE49" i="5"/>
  <c r="RE51" i="5" s="1"/>
  <c r="RE53" i="5" s="1"/>
  <c r="RF46" i="5"/>
  <c r="YX48" i="5" l="1"/>
  <c r="UP38" i="5"/>
  <c r="UO44" i="5"/>
  <c r="YC37" i="5"/>
  <c r="YD20" i="5"/>
  <c r="ZD19" i="5"/>
  <c r="RF49" i="5"/>
  <c r="RF51" i="5" s="1"/>
  <c r="RF53" i="5" s="1"/>
  <c r="RH46" i="5"/>
  <c r="YY48" i="5" l="1"/>
  <c r="UQ38" i="5"/>
  <c r="UP44" i="5"/>
  <c r="YD37" i="5"/>
  <c r="YE20" i="5"/>
  <c r="ZE19" i="5"/>
  <c r="RH49" i="5"/>
  <c r="RH51" i="5" s="1"/>
  <c r="RH53" i="5" s="1"/>
  <c r="RI46" i="5"/>
  <c r="YZ48" i="5" l="1"/>
  <c r="UR38" i="5"/>
  <c r="UQ44" i="5"/>
  <c r="YE37" i="5"/>
  <c r="YF20" i="5"/>
  <c r="ZF19" i="5"/>
  <c r="RI49" i="5"/>
  <c r="RI51" i="5" s="1"/>
  <c r="RI53" i="5" s="1"/>
  <c r="RJ46" i="5"/>
  <c r="ZA48" i="5" l="1"/>
  <c r="US38" i="5"/>
  <c r="UR44" i="5"/>
  <c r="YF37" i="5"/>
  <c r="YG20" i="5"/>
  <c r="ZG19" i="5"/>
  <c r="RJ49" i="5"/>
  <c r="RJ51" i="5" s="1"/>
  <c r="RJ53" i="5" s="1"/>
  <c r="RK46" i="5"/>
  <c r="ZB48" i="5" l="1"/>
  <c r="UT38" i="5"/>
  <c r="US44" i="5"/>
  <c r="YG37" i="5"/>
  <c r="YH20" i="5"/>
  <c r="ZH19" i="5"/>
  <c r="RK49" i="5"/>
  <c r="RK51" i="5" s="1"/>
  <c r="RK53" i="5" s="1"/>
  <c r="RL46" i="5"/>
  <c r="ZC48" i="5" l="1"/>
  <c r="UU38" i="5"/>
  <c r="UT44" i="5"/>
  <c r="YH37" i="5"/>
  <c r="YI20" i="5"/>
  <c r="ZI19" i="5"/>
  <c r="RL49" i="5"/>
  <c r="RL51" i="5" s="1"/>
  <c r="RL53" i="5" s="1"/>
  <c r="RM46" i="5"/>
  <c r="ZD48" i="5" l="1"/>
  <c r="UV38" i="5"/>
  <c r="UU44" i="5"/>
  <c r="YI37" i="5"/>
  <c r="YJ20" i="5"/>
  <c r="ZJ19" i="5"/>
  <c r="RM49" i="5"/>
  <c r="RM51" i="5" s="1"/>
  <c r="RM53" i="5" s="1"/>
  <c r="RN46" i="5"/>
  <c r="ZE48" i="5" l="1"/>
  <c r="UW38" i="5"/>
  <c r="UV44" i="5"/>
  <c r="YJ37" i="5"/>
  <c r="YK20" i="5"/>
  <c r="ZK19" i="5"/>
  <c r="RN49" i="5"/>
  <c r="RN51" i="5" s="1"/>
  <c r="RN53" i="5" s="1"/>
  <c r="RO46" i="5"/>
  <c r="ZF48" i="5" l="1"/>
  <c r="UY38" i="5"/>
  <c r="UW44" i="5"/>
  <c r="YK37" i="5"/>
  <c r="YM20" i="5"/>
  <c r="ZL19" i="5"/>
  <c r="RO49" i="5"/>
  <c r="RO51" i="5" s="1"/>
  <c r="RO53" i="5" s="1"/>
  <c r="RP46" i="5"/>
  <c r="ZG48" i="5" l="1"/>
  <c r="UZ38" i="5"/>
  <c r="UY44" i="5"/>
  <c r="YM37" i="5"/>
  <c r="YN20" i="5"/>
  <c r="ZM19" i="5"/>
  <c r="RP49" i="5"/>
  <c r="RP51" i="5" s="1"/>
  <c r="RP53" i="5" s="1"/>
  <c r="RQ46" i="5"/>
  <c r="ZH48" i="5" l="1"/>
  <c r="VA38" i="5"/>
  <c r="UZ44" i="5"/>
  <c r="YN37" i="5"/>
  <c r="YO20" i="5"/>
  <c r="ZN19" i="5"/>
  <c r="RQ49" i="5"/>
  <c r="RQ51" i="5" s="1"/>
  <c r="RQ53" i="5" s="1"/>
  <c r="RR46" i="5"/>
  <c r="ZI48" i="5" l="1"/>
  <c r="VB38" i="5"/>
  <c r="VA44" i="5"/>
  <c r="YO37" i="5"/>
  <c r="YP20" i="5"/>
  <c r="ZO19" i="5"/>
  <c r="RR49" i="5"/>
  <c r="RR51" i="5" s="1"/>
  <c r="RR53" i="5" s="1"/>
  <c r="RS46" i="5"/>
  <c r="ZJ48" i="5" l="1"/>
  <c r="VC38" i="5"/>
  <c r="VB44" i="5"/>
  <c r="YP37" i="5"/>
  <c r="YQ20" i="5"/>
  <c r="ZP19" i="5"/>
  <c r="RS49" i="5"/>
  <c r="RS51" i="5" s="1"/>
  <c r="RS53" i="5" s="1"/>
  <c r="RT46" i="5"/>
  <c r="ZK48" i="5" l="1"/>
  <c r="VD38" i="5"/>
  <c r="VC44" i="5"/>
  <c r="YQ37" i="5"/>
  <c r="YR20" i="5"/>
  <c r="ZQ19" i="5"/>
  <c r="RT49" i="5"/>
  <c r="RT51" i="5" s="1"/>
  <c r="RT53" i="5" s="1"/>
  <c r="RU46" i="5"/>
  <c r="ZL48" i="5" l="1"/>
  <c r="VE38" i="5"/>
  <c r="VD44" i="5"/>
  <c r="YR37" i="5"/>
  <c r="YS20" i="5"/>
  <c r="ZS19" i="5"/>
  <c r="RU49" i="5"/>
  <c r="RU51" i="5" s="1"/>
  <c r="RU53" i="5" s="1"/>
  <c r="RV46" i="5"/>
  <c r="ZM48" i="5" l="1"/>
  <c r="VF38" i="5"/>
  <c r="VE44" i="5"/>
  <c r="YS37" i="5"/>
  <c r="YT20" i="5"/>
  <c r="ZT19" i="5"/>
  <c r="RV49" i="5"/>
  <c r="RV51" i="5" s="1"/>
  <c r="RV53" i="5" s="1"/>
  <c r="RW46" i="5"/>
  <c r="ZN48" i="5" l="1"/>
  <c r="VG38" i="5"/>
  <c r="VF44" i="5"/>
  <c r="YT37" i="5"/>
  <c r="YU20" i="5"/>
  <c r="ZU19" i="5"/>
  <c r="RW49" i="5"/>
  <c r="RW51" i="5" s="1"/>
  <c r="RW53" i="5" s="1"/>
  <c r="RX46" i="5"/>
  <c r="ZO48" i="5" l="1"/>
  <c r="VH38" i="5"/>
  <c r="VG44" i="5"/>
  <c r="YU37" i="5"/>
  <c r="YV20" i="5"/>
  <c r="ZV19" i="5"/>
  <c r="RX49" i="5"/>
  <c r="RX51" i="5" s="1"/>
  <c r="RX53" i="5" s="1"/>
  <c r="RY46" i="5"/>
  <c r="ZP48" i="5" l="1"/>
  <c r="VI38" i="5"/>
  <c r="VH44" i="5"/>
  <c r="YV37" i="5"/>
  <c r="YW20" i="5"/>
  <c r="ZW19" i="5"/>
  <c r="RY49" i="5"/>
  <c r="RY51" i="5" s="1"/>
  <c r="RY53" i="5" s="1"/>
  <c r="RZ46" i="5"/>
  <c r="ZQ48" i="5" l="1"/>
  <c r="VJ38" i="5"/>
  <c r="VI44" i="5"/>
  <c r="YW37" i="5"/>
  <c r="YX20" i="5"/>
  <c r="ZX19" i="5"/>
  <c r="RZ49" i="5"/>
  <c r="RZ51" i="5" s="1"/>
  <c r="RZ53" i="5" s="1"/>
  <c r="SA46" i="5"/>
  <c r="ZS48" i="5" l="1"/>
  <c r="VK38" i="5"/>
  <c r="VJ44" i="5"/>
  <c r="YX37" i="5"/>
  <c r="YY20" i="5"/>
  <c r="ZY19" i="5"/>
  <c r="SA49" i="5"/>
  <c r="SA51" i="5" s="1"/>
  <c r="SA53" i="5" s="1"/>
  <c r="SB46" i="5"/>
  <c r="ZT48" i="5" l="1"/>
  <c r="VL38" i="5"/>
  <c r="VK44" i="5"/>
  <c r="YY37" i="5"/>
  <c r="YZ20" i="5"/>
  <c r="ZZ19" i="5"/>
  <c r="SB49" i="5"/>
  <c r="SB51" i="5" s="1"/>
  <c r="SB53" i="5" s="1"/>
  <c r="SC46" i="5"/>
  <c r="ZU48" i="5" l="1"/>
  <c r="VM38" i="5"/>
  <c r="VL44" i="5"/>
  <c r="YZ37" i="5"/>
  <c r="ZA20" i="5"/>
  <c r="AAA19" i="5"/>
  <c r="SC49" i="5"/>
  <c r="SC51" i="5" s="1"/>
  <c r="SC53" i="5" s="1"/>
  <c r="SD46" i="5"/>
  <c r="ZV48" i="5" l="1"/>
  <c r="VN38" i="5"/>
  <c r="VM44" i="5"/>
  <c r="ZA37" i="5"/>
  <c r="ZB20" i="5"/>
  <c r="AAB19" i="5"/>
  <c r="SD49" i="5"/>
  <c r="SD51" i="5" s="1"/>
  <c r="SD53" i="5" s="1"/>
  <c r="SE46" i="5"/>
  <c r="ZW48" i="5" l="1"/>
  <c r="VO38" i="5"/>
  <c r="VN44" i="5"/>
  <c r="ZB37" i="5"/>
  <c r="ZC20" i="5"/>
  <c r="AAC19" i="5"/>
  <c r="SE49" i="5"/>
  <c r="SE51" i="5" s="1"/>
  <c r="SE53" i="5" s="1"/>
  <c r="SF46" i="5"/>
  <c r="ZX48" i="5" l="1"/>
  <c r="VP38" i="5"/>
  <c r="VO44" i="5"/>
  <c r="ZC37" i="5"/>
  <c r="ZD20" i="5"/>
  <c r="AAD19" i="5"/>
  <c r="SF49" i="5"/>
  <c r="SF51" i="5" s="1"/>
  <c r="SF53" i="5" s="1"/>
  <c r="SG46" i="5"/>
  <c r="ZY48" i="5" l="1"/>
  <c r="VQ38" i="5"/>
  <c r="VP44" i="5"/>
  <c r="ZD37" i="5"/>
  <c r="ZE20" i="5"/>
  <c r="AAE19" i="5"/>
  <c r="SG49" i="5"/>
  <c r="SG51" i="5" s="1"/>
  <c r="SG53" i="5" s="1"/>
  <c r="SH46" i="5"/>
  <c r="ZZ48" i="5" l="1"/>
  <c r="VR38" i="5"/>
  <c r="VQ44" i="5"/>
  <c r="ZE37" i="5"/>
  <c r="ZF20" i="5"/>
  <c r="AAF19" i="5"/>
  <c r="SH49" i="5"/>
  <c r="SH51" i="5" s="1"/>
  <c r="SH53" i="5" s="1"/>
  <c r="SI46" i="5"/>
  <c r="AAA48" i="5" l="1"/>
  <c r="VS38" i="5"/>
  <c r="VR44" i="5"/>
  <c r="ZF37" i="5"/>
  <c r="ZG20" i="5"/>
  <c r="AAG19" i="5"/>
  <c r="SI49" i="5"/>
  <c r="SI51" i="5" s="1"/>
  <c r="SI53" i="5" s="1"/>
  <c r="SJ46" i="5"/>
  <c r="AAB48" i="5" l="1"/>
  <c r="VT38" i="5"/>
  <c r="VS44" i="5"/>
  <c r="ZG37" i="5"/>
  <c r="ZH20" i="5"/>
  <c r="AAH19" i="5"/>
  <c r="SJ49" i="5"/>
  <c r="SJ51" i="5" s="1"/>
  <c r="SJ53" i="5" s="1"/>
  <c r="SK46" i="5"/>
  <c r="AAC48" i="5" l="1"/>
  <c r="VU38" i="5"/>
  <c r="VT44" i="5"/>
  <c r="ZH37" i="5"/>
  <c r="ZI20" i="5"/>
  <c r="AAI19" i="5"/>
  <c r="SK49" i="5"/>
  <c r="SK51" i="5" s="1"/>
  <c r="SK53" i="5" s="1"/>
  <c r="SM46" i="5"/>
  <c r="AAD48" i="5" l="1"/>
  <c r="VV38" i="5"/>
  <c r="VU44" i="5"/>
  <c r="ZI37" i="5"/>
  <c r="ZJ20" i="5"/>
  <c r="AAJ19" i="5"/>
  <c r="SM49" i="5"/>
  <c r="SM51" i="5" s="1"/>
  <c r="SM53" i="5" s="1"/>
  <c r="SN46" i="5"/>
  <c r="AAE48" i="5" l="1"/>
  <c r="VW38" i="5"/>
  <c r="VV44" i="5"/>
  <c r="ZJ37" i="5"/>
  <c r="ZK20" i="5"/>
  <c r="AAK19" i="5"/>
  <c r="SN49" i="5"/>
  <c r="SN51" i="5" s="1"/>
  <c r="SN53" i="5" s="1"/>
  <c r="SO46" i="5"/>
  <c r="AAF48" i="5" l="1"/>
  <c r="VX38" i="5"/>
  <c r="VW44" i="5"/>
  <c r="ZK37" i="5"/>
  <c r="ZL20" i="5"/>
  <c r="AAL19" i="5"/>
  <c r="SO49" i="5"/>
  <c r="SO51" i="5" s="1"/>
  <c r="SO53" i="5" s="1"/>
  <c r="SP46" i="5"/>
  <c r="AAG48" i="5" l="1"/>
  <c r="VY38" i="5"/>
  <c r="VX44" i="5"/>
  <c r="ZL37" i="5"/>
  <c r="ZM20" i="5"/>
  <c r="AAM19" i="5"/>
  <c r="SP49" i="5"/>
  <c r="SP51" i="5" s="1"/>
  <c r="SP53" i="5" s="1"/>
  <c r="SQ46" i="5"/>
  <c r="AAH48" i="5" l="1"/>
  <c r="VZ38" i="5"/>
  <c r="VY44" i="5"/>
  <c r="ZM37" i="5"/>
  <c r="ZN20" i="5"/>
  <c r="AAN19" i="5"/>
  <c r="SQ49" i="5"/>
  <c r="SQ51" i="5" s="1"/>
  <c r="SQ53" i="5" s="1"/>
  <c r="SR46" i="5"/>
  <c r="AAI48" i="5" l="1"/>
  <c r="WB38" i="5"/>
  <c r="VZ44" i="5"/>
  <c r="ZN37" i="5"/>
  <c r="ZO20" i="5"/>
  <c r="AAO19" i="5"/>
  <c r="SR49" i="5"/>
  <c r="SR51" i="5" s="1"/>
  <c r="SR53" i="5" s="1"/>
  <c r="SS46" i="5"/>
  <c r="AAJ48" i="5" l="1"/>
  <c r="WC38" i="5"/>
  <c r="WB44" i="5"/>
  <c r="ZO37" i="5"/>
  <c r="ZP20" i="5"/>
  <c r="AAP19" i="5"/>
  <c r="SS49" i="5"/>
  <c r="SS51" i="5" s="1"/>
  <c r="SS53" i="5" s="1"/>
  <c r="ST46" i="5"/>
  <c r="AAK48" i="5" l="1"/>
  <c r="WD38" i="5"/>
  <c r="WC44" i="5"/>
  <c r="ZP37" i="5"/>
  <c r="ZQ20" i="5"/>
  <c r="AAQ19" i="5"/>
  <c r="ST49" i="5"/>
  <c r="ST51" i="5" s="1"/>
  <c r="ST53" i="5" s="1"/>
  <c r="SU46" i="5"/>
  <c r="AAL48" i="5" l="1"/>
  <c r="WE38" i="5"/>
  <c r="WD44" i="5"/>
  <c r="ZQ37" i="5"/>
  <c r="ZS20" i="5"/>
  <c r="AAR19" i="5"/>
  <c r="SU49" i="5"/>
  <c r="SU51" i="5" s="1"/>
  <c r="SU53" i="5" s="1"/>
  <c r="SV46" i="5"/>
  <c r="AAM48" i="5" l="1"/>
  <c r="WF38" i="5"/>
  <c r="WE44" i="5"/>
  <c r="ZS37" i="5"/>
  <c r="ZT20" i="5"/>
  <c r="AAS19" i="5"/>
  <c r="SV49" i="5"/>
  <c r="SV51" i="5" s="1"/>
  <c r="SV53" i="5" s="1"/>
  <c r="SW46" i="5"/>
  <c r="AAN48" i="5" l="1"/>
  <c r="WG38" i="5"/>
  <c r="WF44" i="5"/>
  <c r="ZT37" i="5"/>
  <c r="ZU20" i="5"/>
  <c r="AAT19" i="5"/>
  <c r="SW49" i="5"/>
  <c r="SW51" i="5" s="1"/>
  <c r="SW53" i="5" s="1"/>
  <c r="SX46" i="5"/>
  <c r="AAO48" i="5" l="1"/>
  <c r="WH38" i="5"/>
  <c r="WG44" i="5"/>
  <c r="ZU37" i="5"/>
  <c r="ZV20" i="5"/>
  <c r="AAU19" i="5"/>
  <c r="SX49" i="5"/>
  <c r="SX51" i="5" s="1"/>
  <c r="SX53" i="5" s="1"/>
  <c r="SY46" i="5"/>
  <c r="AAP48" i="5" l="1"/>
  <c r="WI38" i="5"/>
  <c r="WH44" i="5"/>
  <c r="ZV37" i="5"/>
  <c r="ZW20" i="5"/>
  <c r="AAV19" i="5"/>
  <c r="SY49" i="5"/>
  <c r="SY51" i="5" s="1"/>
  <c r="SY53" i="5" s="1"/>
  <c r="SZ46" i="5"/>
  <c r="AAQ48" i="5" l="1"/>
  <c r="WJ38" i="5"/>
  <c r="WI44" i="5"/>
  <c r="ZW37" i="5"/>
  <c r="ZX20" i="5"/>
  <c r="AAX19" i="5"/>
  <c r="SZ49" i="5"/>
  <c r="SZ51" i="5" s="1"/>
  <c r="SZ53" i="5" s="1"/>
  <c r="TA46" i="5"/>
  <c r="AAR48" i="5" l="1"/>
  <c r="WK38" i="5"/>
  <c r="WJ44" i="5"/>
  <c r="ZX37" i="5"/>
  <c r="ZY20" i="5"/>
  <c r="AAY19" i="5"/>
  <c r="TA49" i="5"/>
  <c r="TA51" i="5" s="1"/>
  <c r="TA53" i="5" s="1"/>
  <c r="TB46" i="5"/>
  <c r="AAS48" i="5" l="1"/>
  <c r="WL38" i="5"/>
  <c r="WK44" i="5"/>
  <c r="ZY37" i="5"/>
  <c r="ZZ20" i="5"/>
  <c r="AAZ19" i="5"/>
  <c r="TB49" i="5"/>
  <c r="TB51" i="5" s="1"/>
  <c r="TB53" i="5" s="1"/>
  <c r="TC46" i="5"/>
  <c r="AAT48" i="5" l="1"/>
  <c r="WM38" i="5"/>
  <c r="WL44" i="5"/>
  <c r="ZZ37" i="5"/>
  <c r="AAA20" i="5"/>
  <c r="ABA19" i="5"/>
  <c r="TC49" i="5"/>
  <c r="TC51" i="5" s="1"/>
  <c r="TC53" i="5" s="1"/>
  <c r="TD46" i="5"/>
  <c r="AAU48" i="5" l="1"/>
  <c r="WN38" i="5"/>
  <c r="WM44" i="5"/>
  <c r="AAA37" i="5"/>
  <c r="AAB20" i="5"/>
  <c r="ABB19" i="5"/>
  <c r="TD49" i="5"/>
  <c r="TD51" i="5" s="1"/>
  <c r="TD53" i="5" s="1"/>
  <c r="TE46" i="5"/>
  <c r="AAV48" i="5" l="1"/>
  <c r="WO38" i="5"/>
  <c r="WN44" i="5"/>
  <c r="AAB37" i="5"/>
  <c r="AAC20" i="5"/>
  <c r="ABC19" i="5"/>
  <c r="TE49" i="5"/>
  <c r="TE51" i="5" s="1"/>
  <c r="TE53" i="5" s="1"/>
  <c r="TF46" i="5"/>
  <c r="AAX48" i="5" l="1"/>
  <c r="WP38" i="5"/>
  <c r="WO44" i="5"/>
  <c r="AAC37" i="5"/>
  <c r="AAD20" i="5"/>
  <c r="ABD19" i="5"/>
  <c r="TF49" i="5"/>
  <c r="TF51" i="5" s="1"/>
  <c r="TF53" i="5" s="1"/>
  <c r="TG46" i="5"/>
  <c r="AAY48" i="5" l="1"/>
  <c r="WQ38" i="5"/>
  <c r="WP44" i="5"/>
  <c r="AAD37" i="5"/>
  <c r="AAE20" i="5"/>
  <c r="ABE19" i="5"/>
  <c r="TG49" i="5"/>
  <c r="TG51" i="5" s="1"/>
  <c r="TG53" i="5" s="1"/>
  <c r="TH46" i="5"/>
  <c r="AAZ48" i="5" l="1"/>
  <c r="WR38" i="5"/>
  <c r="WQ44" i="5"/>
  <c r="AAE37" i="5"/>
  <c r="AAF20" i="5"/>
  <c r="ABF19" i="5"/>
  <c r="TH49" i="5"/>
  <c r="TH51" i="5" s="1"/>
  <c r="TH53" i="5" s="1"/>
  <c r="TI46" i="5"/>
  <c r="ABA48" i="5" l="1"/>
  <c r="WS38" i="5"/>
  <c r="WR44" i="5"/>
  <c r="AAF37" i="5"/>
  <c r="AAG20" i="5"/>
  <c r="ABG19" i="5"/>
  <c r="TI49" i="5"/>
  <c r="TI51" i="5" s="1"/>
  <c r="TI53" i="5" s="1"/>
  <c r="TJ46" i="5"/>
  <c r="ABB48" i="5" l="1"/>
  <c r="WT38" i="5"/>
  <c r="WS44" i="5"/>
  <c r="AAG37" i="5"/>
  <c r="AAH20" i="5"/>
  <c r="ABH19" i="5"/>
  <c r="TJ49" i="5"/>
  <c r="TJ51" i="5" s="1"/>
  <c r="TJ53" i="5" s="1"/>
  <c r="TK46" i="5"/>
  <c r="ABC48" i="5" l="1"/>
  <c r="WU38" i="5"/>
  <c r="WT44" i="5"/>
  <c r="AAH37" i="5"/>
  <c r="AAI20" i="5"/>
  <c r="ABI19" i="5"/>
  <c r="TK49" i="5"/>
  <c r="TK51" i="5" s="1"/>
  <c r="TK53" i="5" s="1"/>
  <c r="TL46" i="5"/>
  <c r="ABD48" i="5" l="1"/>
  <c r="WV38" i="5"/>
  <c r="WU44" i="5"/>
  <c r="AAI37" i="5"/>
  <c r="AAJ20" i="5"/>
  <c r="ABJ19" i="5"/>
  <c r="TL49" i="5"/>
  <c r="TL51" i="5" s="1"/>
  <c r="TL53" i="5" s="1"/>
  <c r="TM46" i="5"/>
  <c r="ABE48" i="5" l="1"/>
  <c r="WW38" i="5"/>
  <c r="WV44" i="5"/>
  <c r="AAJ37" i="5"/>
  <c r="AAK20" i="5"/>
  <c r="ABK19" i="5"/>
  <c r="TM49" i="5"/>
  <c r="TM51" i="5" s="1"/>
  <c r="TM53" i="5" s="1"/>
  <c r="TN46" i="5"/>
  <c r="ABF48" i="5" l="1"/>
  <c r="WX38" i="5"/>
  <c r="WW44" i="5"/>
  <c r="AAK37" i="5"/>
  <c r="AAL20" i="5"/>
  <c r="ABL19" i="5"/>
  <c r="TN49" i="5"/>
  <c r="TN51" i="5" s="1"/>
  <c r="TN53" i="5" s="1"/>
  <c r="TO46" i="5"/>
  <c r="ABG48" i="5" l="1"/>
  <c r="WY38" i="5"/>
  <c r="WX44" i="5"/>
  <c r="AAL37" i="5"/>
  <c r="AAM20" i="5"/>
  <c r="ABM19" i="5"/>
  <c r="TO49" i="5"/>
  <c r="TO51" i="5" s="1"/>
  <c r="TO53" i="5" s="1"/>
  <c r="TP46" i="5"/>
  <c r="ABH48" i="5" l="1"/>
  <c r="WZ38" i="5"/>
  <c r="WY44" i="5"/>
  <c r="AAM37" i="5"/>
  <c r="AAN20" i="5"/>
  <c r="ABN19" i="5"/>
  <c r="TP49" i="5"/>
  <c r="TP51" i="5" s="1"/>
  <c r="TP53" i="5" s="1"/>
  <c r="TQ46" i="5"/>
  <c r="ABI48" i="5" l="1"/>
  <c r="XA38" i="5"/>
  <c r="WZ44" i="5"/>
  <c r="AAN37" i="5"/>
  <c r="AAO20" i="5"/>
  <c r="ABO19" i="5"/>
  <c r="TQ49" i="5"/>
  <c r="TQ51" i="5" s="1"/>
  <c r="TQ53" i="5" s="1"/>
  <c r="TS46" i="5"/>
  <c r="ABJ48" i="5" l="1"/>
  <c r="XB38" i="5"/>
  <c r="XA44" i="5"/>
  <c r="AAO37" i="5"/>
  <c r="AAP20" i="5"/>
  <c r="ABP19" i="5"/>
  <c r="TS49" i="5"/>
  <c r="TS51" i="5" s="1"/>
  <c r="TS53" i="5" s="1"/>
  <c r="TT46" i="5"/>
  <c r="ABK48" i="5" l="1"/>
  <c r="XC38" i="5"/>
  <c r="XB44" i="5"/>
  <c r="AAP37" i="5"/>
  <c r="AAQ20" i="5"/>
  <c r="ABQ19" i="5"/>
  <c r="TT49" i="5"/>
  <c r="TT51" i="5" s="1"/>
  <c r="TT53" i="5" s="1"/>
  <c r="TU46" i="5"/>
  <c r="ABL48" i="5" l="1"/>
  <c r="XD38" i="5"/>
  <c r="XC44" i="5"/>
  <c r="AAQ37" i="5"/>
  <c r="AAR20" i="5"/>
  <c r="ABR19" i="5"/>
  <c r="TU49" i="5"/>
  <c r="TU51" i="5" s="1"/>
  <c r="TU53" i="5" s="1"/>
  <c r="TV46" i="5"/>
  <c r="ABM48" i="5" l="1"/>
  <c r="XE38" i="5"/>
  <c r="XD44" i="5"/>
  <c r="AAR37" i="5"/>
  <c r="AAS20" i="5"/>
  <c r="ABS19" i="5"/>
  <c r="TV49" i="5"/>
  <c r="TV51" i="5" s="1"/>
  <c r="TV53" i="5" s="1"/>
  <c r="TW46" i="5"/>
  <c r="ABN48" i="5" l="1"/>
  <c r="XF38" i="5"/>
  <c r="XE44" i="5"/>
  <c r="AAS37" i="5"/>
  <c r="AAT20" i="5"/>
  <c r="ABT19" i="5"/>
  <c r="TW49" i="5"/>
  <c r="TW51" i="5" s="1"/>
  <c r="TW53" i="5" s="1"/>
  <c r="TX46" i="5"/>
  <c r="ABO48" i="5" l="1"/>
  <c r="XH38" i="5"/>
  <c r="XF44" i="5"/>
  <c r="AAT37" i="5"/>
  <c r="AAU20" i="5"/>
  <c r="ABU19" i="5"/>
  <c r="TX49" i="5"/>
  <c r="TX51" i="5" s="1"/>
  <c r="TX53" i="5" s="1"/>
  <c r="TY46" i="5"/>
  <c r="ABP48" i="5" l="1"/>
  <c r="XI38" i="5"/>
  <c r="XH44" i="5"/>
  <c r="AAU37" i="5"/>
  <c r="AAV20" i="5"/>
  <c r="ABV19" i="5"/>
  <c r="TY49" i="5"/>
  <c r="TY51" i="5" s="1"/>
  <c r="TY53" i="5" s="1"/>
  <c r="TZ46" i="5"/>
  <c r="ABQ48" i="5" l="1"/>
  <c r="XJ38" i="5"/>
  <c r="XI44" i="5"/>
  <c r="AAV37" i="5"/>
  <c r="AAX20" i="5"/>
  <c r="ABW19" i="5"/>
  <c r="TZ49" i="5"/>
  <c r="TZ51" i="5" s="1"/>
  <c r="TZ53" i="5" s="1"/>
  <c r="UA46" i="5"/>
  <c r="ABR48" i="5" l="1"/>
  <c r="XK38" i="5"/>
  <c r="XJ44" i="5"/>
  <c r="AAX37" i="5"/>
  <c r="AAY20" i="5"/>
  <c r="ABX19" i="5"/>
  <c r="UA49" i="5"/>
  <c r="UA51" i="5" s="1"/>
  <c r="UA53" i="5" s="1"/>
  <c r="UB46" i="5"/>
  <c r="ABS48" i="5" l="1"/>
  <c r="XL38" i="5"/>
  <c r="XK44" i="5"/>
  <c r="AAY37" i="5"/>
  <c r="AAZ20" i="5"/>
  <c r="ABY19" i="5"/>
  <c r="UB49" i="5"/>
  <c r="UB51" i="5" s="1"/>
  <c r="UB53" i="5" s="1"/>
  <c r="UC46" i="5"/>
  <c r="ABT48" i="5" l="1"/>
  <c r="XM38" i="5"/>
  <c r="XL44" i="5"/>
  <c r="AAZ37" i="5"/>
  <c r="ABA20" i="5"/>
  <c r="ABZ19" i="5"/>
  <c r="UC49" i="5"/>
  <c r="UC51" i="5" s="1"/>
  <c r="UC53" i="5" s="1"/>
  <c r="UD46" i="5"/>
  <c r="ABU48" i="5" l="1"/>
  <c r="XN38" i="5"/>
  <c r="XM44" i="5"/>
  <c r="ABA37" i="5"/>
  <c r="ABB20" i="5"/>
  <c r="ACA19" i="5"/>
  <c r="UD49" i="5"/>
  <c r="UD51" i="5" s="1"/>
  <c r="UD53" i="5" s="1"/>
  <c r="UE46" i="5"/>
  <c r="ABV48" i="5" l="1"/>
  <c r="XO38" i="5"/>
  <c r="XN44" i="5"/>
  <c r="ABB37" i="5"/>
  <c r="ABC20" i="5"/>
  <c r="ACB19" i="5"/>
  <c r="UE49" i="5"/>
  <c r="UE51" i="5" s="1"/>
  <c r="UE53" i="5" s="1"/>
  <c r="UF46" i="5"/>
  <c r="ABW48" i="5" l="1"/>
  <c r="XP38" i="5"/>
  <c r="XO44" i="5"/>
  <c r="ABC37" i="5"/>
  <c r="ABD20" i="5"/>
  <c r="ACD19" i="5"/>
  <c r="UF49" i="5"/>
  <c r="UF51" i="5" s="1"/>
  <c r="UF53" i="5" s="1"/>
  <c r="UG46" i="5"/>
  <c r="ABX48" i="5" l="1"/>
  <c r="XQ38" i="5"/>
  <c r="XP44" i="5"/>
  <c r="ABD37" i="5"/>
  <c r="ABE20" i="5"/>
  <c r="ACE19" i="5"/>
  <c r="UG49" i="5"/>
  <c r="UG51" i="5" s="1"/>
  <c r="UG53" i="5" s="1"/>
  <c r="UH46" i="5"/>
  <c r="ABY48" i="5" l="1"/>
  <c r="XR38" i="5"/>
  <c r="XQ44" i="5"/>
  <c r="ABE37" i="5"/>
  <c r="ABF20" i="5"/>
  <c r="ACF19" i="5"/>
  <c r="UH49" i="5"/>
  <c r="UH51" i="5" s="1"/>
  <c r="UH53" i="5" s="1"/>
  <c r="UI46" i="5"/>
  <c r="ABZ48" i="5" l="1"/>
  <c r="XS38" i="5"/>
  <c r="XR44" i="5"/>
  <c r="ABF37" i="5"/>
  <c r="ABG20" i="5"/>
  <c r="ACG19" i="5"/>
  <c r="UI49" i="5"/>
  <c r="UI51" i="5" s="1"/>
  <c r="UI53" i="5" s="1"/>
  <c r="UJ46" i="5"/>
  <c r="ACA48" i="5" l="1"/>
  <c r="XT38" i="5"/>
  <c r="XS44" i="5"/>
  <c r="ABG37" i="5"/>
  <c r="ABH20" i="5"/>
  <c r="ACH19" i="5"/>
  <c r="UJ49" i="5"/>
  <c r="UJ51" i="5" s="1"/>
  <c r="UJ53" i="5" s="1"/>
  <c r="UK46" i="5"/>
  <c r="ACB48" i="5" l="1"/>
  <c r="XU38" i="5"/>
  <c r="XT44" i="5"/>
  <c r="ABH37" i="5"/>
  <c r="ABI20" i="5"/>
  <c r="ACI19" i="5"/>
  <c r="UK49" i="5"/>
  <c r="UK51" i="5" s="1"/>
  <c r="UK53" i="5" s="1"/>
  <c r="UL46" i="5"/>
  <c r="ACD48" i="5" l="1"/>
  <c r="XV38" i="5"/>
  <c r="XU44" i="5"/>
  <c r="ABI37" i="5"/>
  <c r="ABJ20" i="5"/>
  <c r="ACJ19" i="5"/>
  <c r="UL49" i="5"/>
  <c r="UL51" i="5" s="1"/>
  <c r="UL53" i="5" s="1"/>
  <c r="UM46" i="5"/>
  <c r="ACE48" i="5" l="1"/>
  <c r="XW38" i="5"/>
  <c r="XV44" i="5"/>
  <c r="ABJ37" i="5"/>
  <c r="ABK20" i="5"/>
  <c r="ACK19" i="5"/>
  <c r="UM49" i="5"/>
  <c r="UM51" i="5" s="1"/>
  <c r="UM53" i="5" s="1"/>
  <c r="UN46" i="5"/>
  <c r="ACF48" i="5" l="1"/>
  <c r="XX38" i="5"/>
  <c r="XW44" i="5"/>
  <c r="ABK37" i="5"/>
  <c r="ABL20" i="5"/>
  <c r="ACL19" i="5"/>
  <c r="UN49" i="5"/>
  <c r="UN51" i="5" s="1"/>
  <c r="UN53" i="5" s="1"/>
  <c r="UO46" i="5"/>
  <c r="ACG48" i="5" l="1"/>
  <c r="XY38" i="5"/>
  <c r="XX44" i="5"/>
  <c r="ABL37" i="5"/>
  <c r="ABM20" i="5"/>
  <c r="ACM19" i="5"/>
  <c r="UO49" i="5"/>
  <c r="UO51" i="5" s="1"/>
  <c r="UO53" i="5" s="1"/>
  <c r="UP46" i="5"/>
  <c r="ACH48" i="5" l="1"/>
  <c r="XZ38" i="5"/>
  <c r="XY44" i="5"/>
  <c r="ABM37" i="5"/>
  <c r="ABN20" i="5"/>
  <c r="ACN19" i="5"/>
  <c r="UP49" i="5"/>
  <c r="UP51" i="5" s="1"/>
  <c r="UP53" i="5" s="1"/>
  <c r="UQ46" i="5"/>
  <c r="ACI48" i="5" l="1"/>
  <c r="YA38" i="5"/>
  <c r="XZ44" i="5"/>
  <c r="ABN37" i="5"/>
  <c r="ABO20" i="5"/>
  <c r="ACO19" i="5"/>
  <c r="UQ49" i="5"/>
  <c r="UQ51" i="5" s="1"/>
  <c r="UQ53" i="5" s="1"/>
  <c r="UR46" i="5"/>
  <c r="ACJ48" i="5" l="1"/>
  <c r="YB38" i="5"/>
  <c r="YA44" i="5"/>
  <c r="ABO37" i="5"/>
  <c r="ABP20" i="5"/>
  <c r="ACP19" i="5"/>
  <c r="UR49" i="5"/>
  <c r="UR51" i="5" s="1"/>
  <c r="UR53" i="5" s="1"/>
  <c r="US46" i="5"/>
  <c r="ACK48" i="5" l="1"/>
  <c r="YC38" i="5"/>
  <c r="YB44" i="5"/>
  <c r="ABP37" i="5"/>
  <c r="ABQ20" i="5"/>
  <c r="ACQ19" i="5"/>
  <c r="US49" i="5"/>
  <c r="US51" i="5" s="1"/>
  <c r="US53" i="5" s="1"/>
  <c r="UT46" i="5"/>
  <c r="ACL48" i="5" l="1"/>
  <c r="YD38" i="5"/>
  <c r="YC44" i="5"/>
  <c r="ABQ37" i="5"/>
  <c r="ABR20" i="5"/>
  <c r="ACR19" i="5"/>
  <c r="UT49" i="5"/>
  <c r="UT51" i="5" s="1"/>
  <c r="UT53" i="5" s="1"/>
  <c r="UU46" i="5"/>
  <c r="ACM48" i="5" l="1"/>
  <c r="YE38" i="5"/>
  <c r="YD44" i="5"/>
  <c r="ABR37" i="5"/>
  <c r="ABS20" i="5"/>
  <c r="ACS19" i="5"/>
  <c r="UU49" i="5"/>
  <c r="UU51" i="5" s="1"/>
  <c r="UU53" i="5" s="1"/>
  <c r="UV46" i="5"/>
  <c r="ACN48" i="5" l="1"/>
  <c r="YF38" i="5"/>
  <c r="YE44" i="5"/>
  <c r="ABS37" i="5"/>
  <c r="ABT20" i="5"/>
  <c r="ACT19" i="5"/>
  <c r="UV49" i="5"/>
  <c r="UV51" i="5" s="1"/>
  <c r="UV53" i="5" s="1"/>
  <c r="UW46" i="5"/>
  <c r="ACO48" i="5" l="1"/>
  <c r="YG38" i="5"/>
  <c r="YF44" i="5"/>
  <c r="ABT37" i="5"/>
  <c r="ABU20" i="5"/>
  <c r="ACU19" i="5"/>
  <c r="UW49" i="5"/>
  <c r="UW51" i="5" s="1"/>
  <c r="UW53" i="5" s="1"/>
  <c r="UY46" i="5"/>
  <c r="ACP48" i="5" l="1"/>
  <c r="YH38" i="5"/>
  <c r="YG44" i="5"/>
  <c r="ABU37" i="5"/>
  <c r="ABV20" i="5"/>
  <c r="ACV19" i="5"/>
  <c r="UY49" i="5"/>
  <c r="UY51" i="5" s="1"/>
  <c r="UY53" i="5" s="1"/>
  <c r="UZ46" i="5"/>
  <c r="ACQ48" i="5" l="1"/>
  <c r="YI38" i="5"/>
  <c r="YH44" i="5"/>
  <c r="ABV37" i="5"/>
  <c r="ABW20" i="5"/>
  <c r="ACW19" i="5"/>
  <c r="UZ49" i="5"/>
  <c r="UZ51" i="5" s="1"/>
  <c r="UZ53" i="5" s="1"/>
  <c r="VA46" i="5"/>
  <c r="ACR48" i="5" l="1"/>
  <c r="YJ38" i="5"/>
  <c r="YI44" i="5"/>
  <c r="ABW37" i="5"/>
  <c r="ABX20" i="5"/>
  <c r="ACX19" i="5"/>
  <c r="VA49" i="5"/>
  <c r="VA51" i="5" s="1"/>
  <c r="VA53" i="5" s="1"/>
  <c r="VB46" i="5"/>
  <c r="ACS48" i="5" l="1"/>
  <c r="YK38" i="5"/>
  <c r="YJ44" i="5"/>
  <c r="ABX37" i="5"/>
  <c r="ABY20" i="5"/>
  <c r="ACY19" i="5"/>
  <c r="VB49" i="5"/>
  <c r="VB51" i="5" s="1"/>
  <c r="VB53" i="5" s="1"/>
  <c r="VC46" i="5"/>
  <c r="ACT48" i="5" l="1"/>
  <c r="YM38" i="5"/>
  <c r="YK44" i="5"/>
  <c r="ABY37" i="5"/>
  <c r="ABZ20" i="5"/>
  <c r="ACZ19" i="5"/>
  <c r="VC49" i="5"/>
  <c r="VC51" i="5" s="1"/>
  <c r="VC53" i="5" s="1"/>
  <c r="VD46" i="5"/>
  <c r="ACU48" i="5" l="1"/>
  <c r="YN38" i="5"/>
  <c r="YM44" i="5"/>
  <c r="ABZ37" i="5"/>
  <c r="ACA20" i="5"/>
  <c r="ADA19" i="5"/>
  <c r="VD49" i="5"/>
  <c r="VD51" i="5" s="1"/>
  <c r="VD53" i="5" s="1"/>
  <c r="VE46" i="5"/>
  <c r="ACV48" i="5" l="1"/>
  <c r="YO38" i="5"/>
  <c r="YN44" i="5"/>
  <c r="ACA37" i="5"/>
  <c r="ACB20" i="5"/>
  <c r="ADB19" i="5"/>
  <c r="VE49" i="5"/>
  <c r="VE51" i="5" s="1"/>
  <c r="VE53" i="5" s="1"/>
  <c r="VF46" i="5"/>
  <c r="ACW48" i="5" l="1"/>
  <c r="YP38" i="5"/>
  <c r="YO44" i="5"/>
  <c r="ACB37" i="5"/>
  <c r="ACD20" i="5"/>
  <c r="ADC19" i="5"/>
  <c r="VF49" i="5"/>
  <c r="VF51" i="5" s="1"/>
  <c r="VF53" i="5" s="1"/>
  <c r="VG46" i="5"/>
  <c r="ACX48" i="5" l="1"/>
  <c r="YQ38" i="5"/>
  <c r="YP44" i="5"/>
  <c r="ACD37" i="5"/>
  <c r="ACE20" i="5"/>
  <c r="ADD19" i="5"/>
  <c r="VG49" i="5"/>
  <c r="VG51" i="5" s="1"/>
  <c r="VG53" i="5" s="1"/>
  <c r="VH46" i="5"/>
  <c r="ACY48" i="5" l="1"/>
  <c r="YR38" i="5"/>
  <c r="YQ44" i="5"/>
  <c r="ACE37" i="5"/>
  <c r="ACF20" i="5"/>
  <c r="ADE19" i="5"/>
  <c r="VH49" i="5"/>
  <c r="VH51" i="5" s="1"/>
  <c r="VH53" i="5" s="1"/>
  <c r="VI46" i="5"/>
  <c r="ACZ48" i="5" l="1"/>
  <c r="YS38" i="5"/>
  <c r="YR44" i="5"/>
  <c r="ACF37" i="5"/>
  <c r="ACG20" i="5"/>
  <c r="ADF19" i="5"/>
  <c r="VI49" i="5"/>
  <c r="VI51" i="5" s="1"/>
  <c r="VI53" i="5" s="1"/>
  <c r="VJ46" i="5"/>
  <c r="ADA48" i="5" l="1"/>
  <c r="YT38" i="5"/>
  <c r="YS44" i="5"/>
  <c r="ACG37" i="5"/>
  <c r="ACH20" i="5"/>
  <c r="ADG19" i="5"/>
  <c r="VJ49" i="5"/>
  <c r="VJ51" i="5" s="1"/>
  <c r="VJ53" i="5" s="1"/>
  <c r="VK46" i="5"/>
  <c r="ADB48" i="5" l="1"/>
  <c r="YU38" i="5"/>
  <c r="YT44" i="5"/>
  <c r="ACH37" i="5"/>
  <c r="ACI20" i="5"/>
  <c r="ADH19" i="5"/>
  <c r="VK49" i="5"/>
  <c r="VK51" i="5" s="1"/>
  <c r="VK53" i="5" s="1"/>
  <c r="VL46" i="5"/>
  <c r="ADC48" i="5" l="1"/>
  <c r="YV38" i="5"/>
  <c r="YU44" i="5"/>
  <c r="ACI37" i="5"/>
  <c r="ACJ20" i="5"/>
  <c r="ADJ19" i="5"/>
  <c r="VL49" i="5"/>
  <c r="VL51" i="5" s="1"/>
  <c r="VL53" i="5" s="1"/>
  <c r="VM46" i="5"/>
  <c r="ADD48" i="5" l="1"/>
  <c r="YW38" i="5"/>
  <c r="YV44" i="5"/>
  <c r="ACJ37" i="5"/>
  <c r="ACK20" i="5"/>
  <c r="ADK19" i="5"/>
  <c r="VM49" i="5"/>
  <c r="VM51" i="5" s="1"/>
  <c r="VM53" i="5" s="1"/>
  <c r="VN46" i="5"/>
  <c r="ADE48" i="5" l="1"/>
  <c r="YX38" i="5"/>
  <c r="YW44" i="5"/>
  <c r="ACK37" i="5"/>
  <c r="ACL20" i="5"/>
  <c r="ADL19" i="5"/>
  <c r="VN49" i="5"/>
  <c r="VN51" i="5" s="1"/>
  <c r="VN53" i="5" s="1"/>
  <c r="VO46" i="5"/>
  <c r="ADF48" i="5" l="1"/>
  <c r="YY38" i="5"/>
  <c r="YX44" i="5"/>
  <c r="ACL37" i="5"/>
  <c r="ACM20" i="5"/>
  <c r="ADM19" i="5"/>
  <c r="VO49" i="5"/>
  <c r="VO51" i="5" s="1"/>
  <c r="VO53" i="5" s="1"/>
  <c r="VP46" i="5"/>
  <c r="ADG48" i="5" l="1"/>
  <c r="YZ38" i="5"/>
  <c r="YY44" i="5"/>
  <c r="ACM37" i="5"/>
  <c r="ACN20" i="5"/>
  <c r="ADN19" i="5"/>
  <c r="VP49" i="5"/>
  <c r="VP51" i="5" s="1"/>
  <c r="VP53" i="5" s="1"/>
  <c r="VQ46" i="5"/>
  <c r="ADH48" i="5" l="1"/>
  <c r="ZA38" i="5"/>
  <c r="YZ44" i="5"/>
  <c r="ACN37" i="5"/>
  <c r="ACO20" i="5"/>
  <c r="ADO19" i="5"/>
  <c r="VQ49" i="5"/>
  <c r="VQ51" i="5" s="1"/>
  <c r="VQ53" i="5" s="1"/>
  <c r="VR46" i="5"/>
  <c r="ADJ48" i="5" l="1"/>
  <c r="ZB38" i="5"/>
  <c r="ZA44" i="5"/>
  <c r="ACO37" i="5"/>
  <c r="ACP20" i="5"/>
  <c r="ADP19" i="5"/>
  <c r="VR49" i="5"/>
  <c r="VR51" i="5" s="1"/>
  <c r="VR53" i="5" s="1"/>
  <c r="VS46" i="5"/>
  <c r="ADK48" i="5" l="1"/>
  <c r="ZC38" i="5"/>
  <c r="ZB44" i="5"/>
  <c r="ACP37" i="5"/>
  <c r="ACQ20" i="5"/>
  <c r="ADQ19" i="5"/>
  <c r="VS49" i="5"/>
  <c r="VS51" i="5" s="1"/>
  <c r="VS53" i="5" s="1"/>
  <c r="VT46" i="5"/>
  <c r="ADL48" i="5" l="1"/>
  <c r="ZD38" i="5"/>
  <c r="ZC44" i="5"/>
  <c r="ACQ37" i="5"/>
  <c r="ACR20" i="5"/>
  <c r="ADR19" i="5"/>
  <c r="VT49" i="5"/>
  <c r="VT51" i="5" s="1"/>
  <c r="VT53" i="5" s="1"/>
  <c r="VU46" i="5"/>
  <c r="ADM48" i="5" l="1"/>
  <c r="ZE38" i="5"/>
  <c r="ZD44" i="5"/>
  <c r="ACR37" i="5"/>
  <c r="ACS20" i="5"/>
  <c r="ADS19" i="5"/>
  <c r="VU49" i="5"/>
  <c r="VU51" i="5" s="1"/>
  <c r="VU53" i="5" s="1"/>
  <c r="VV46" i="5"/>
  <c r="ADN48" i="5" l="1"/>
  <c r="ZF38" i="5"/>
  <c r="ZE44" i="5"/>
  <c r="ACS37" i="5"/>
  <c r="ACT20" i="5"/>
  <c r="ADT19" i="5"/>
  <c r="VV49" i="5"/>
  <c r="VV51" i="5" s="1"/>
  <c r="VV53" i="5" s="1"/>
  <c r="VW46" i="5"/>
  <c r="ADO48" i="5" l="1"/>
  <c r="ZG38" i="5"/>
  <c r="ZF44" i="5"/>
  <c r="ACT37" i="5"/>
  <c r="ACU20" i="5"/>
  <c r="ADU19" i="5"/>
  <c r="VW49" i="5"/>
  <c r="VW51" i="5" s="1"/>
  <c r="VW53" i="5" s="1"/>
  <c r="VX46" i="5"/>
  <c r="ADP48" i="5" l="1"/>
  <c r="ZH38" i="5"/>
  <c r="ZG44" i="5"/>
  <c r="ACU37" i="5"/>
  <c r="ACV20" i="5"/>
  <c r="ADV19" i="5"/>
  <c r="VX49" i="5"/>
  <c r="VX51" i="5" s="1"/>
  <c r="VX53" i="5" s="1"/>
  <c r="VY46" i="5"/>
  <c r="ADQ48" i="5" l="1"/>
  <c r="ZI38" i="5"/>
  <c r="ZH44" i="5"/>
  <c r="ACV37" i="5"/>
  <c r="ACW20" i="5"/>
  <c r="ADW19" i="5"/>
  <c r="VY49" i="5"/>
  <c r="VY51" i="5" s="1"/>
  <c r="VY53" i="5" s="1"/>
  <c r="VZ46" i="5"/>
  <c r="ADR48" i="5" l="1"/>
  <c r="ZJ38" i="5"/>
  <c r="ZI44" i="5"/>
  <c r="ACW37" i="5"/>
  <c r="ACX20" i="5"/>
  <c r="ADX19" i="5"/>
  <c r="VZ49" i="5"/>
  <c r="VZ51" i="5" s="1"/>
  <c r="VZ53" i="5" s="1"/>
  <c r="WB46" i="5"/>
  <c r="ADS48" i="5" l="1"/>
  <c r="ZK38" i="5"/>
  <c r="ZJ44" i="5"/>
  <c r="ACX37" i="5"/>
  <c r="ACY20" i="5"/>
  <c r="ADY19" i="5"/>
  <c r="WB49" i="5"/>
  <c r="WB51" i="5" s="1"/>
  <c r="WB53" i="5" s="1"/>
  <c r="WC46" i="5"/>
  <c r="ADT48" i="5" l="1"/>
  <c r="ZL38" i="5"/>
  <c r="ZK44" i="5"/>
  <c r="ACY37" i="5"/>
  <c r="ACZ20" i="5"/>
  <c r="ADZ19" i="5"/>
  <c r="WC49" i="5"/>
  <c r="WC51" i="5" s="1"/>
  <c r="WC53" i="5" s="1"/>
  <c r="WD46" i="5"/>
  <c r="ADU48" i="5" l="1"/>
  <c r="ZM38" i="5"/>
  <c r="ZL44" i="5"/>
  <c r="ACZ37" i="5"/>
  <c r="ADA20" i="5"/>
  <c r="AEA19" i="5"/>
  <c r="WD49" i="5"/>
  <c r="WD51" i="5" s="1"/>
  <c r="WD53" i="5" s="1"/>
  <c r="WE46" i="5"/>
  <c r="ADV48" i="5" l="1"/>
  <c r="ZN38" i="5"/>
  <c r="ZM44" i="5"/>
  <c r="ADA37" i="5"/>
  <c r="ADB20" i="5"/>
  <c r="AEB19" i="5"/>
  <c r="WE49" i="5"/>
  <c r="WE51" i="5" s="1"/>
  <c r="WE53" i="5" s="1"/>
  <c r="WF46" i="5"/>
  <c r="ADW48" i="5" l="1"/>
  <c r="ZO38" i="5"/>
  <c r="ZN44" i="5"/>
  <c r="ADB37" i="5"/>
  <c r="ADC20" i="5"/>
  <c r="AEC19" i="5"/>
  <c r="WF49" i="5"/>
  <c r="WF51" i="5" s="1"/>
  <c r="WF53" i="5" s="1"/>
  <c r="WG46" i="5"/>
  <c r="ADX48" i="5" l="1"/>
  <c r="ZP38" i="5"/>
  <c r="ZO44" i="5"/>
  <c r="ADC37" i="5"/>
  <c r="ADD20" i="5"/>
  <c r="AED19" i="5"/>
  <c r="WG49" i="5"/>
  <c r="WG51" i="5" s="1"/>
  <c r="WG53" i="5" s="1"/>
  <c r="WH46" i="5"/>
  <c r="ADY48" i="5" l="1"/>
  <c r="ZQ38" i="5"/>
  <c r="ZP44" i="5"/>
  <c r="ADD37" i="5"/>
  <c r="ADE20" i="5"/>
  <c r="AEE19" i="5"/>
  <c r="WH49" i="5"/>
  <c r="WH51" i="5" s="1"/>
  <c r="WH53" i="5" s="1"/>
  <c r="WI46" i="5"/>
  <c r="ADZ48" i="5" l="1"/>
  <c r="ZS38" i="5"/>
  <c r="ZQ44" i="5"/>
  <c r="ADE37" i="5"/>
  <c r="ADF20" i="5"/>
  <c r="AEF19" i="5"/>
  <c r="WI49" i="5"/>
  <c r="WI51" i="5" s="1"/>
  <c r="WI53" i="5" s="1"/>
  <c r="WJ46" i="5"/>
  <c r="AEA48" i="5" l="1"/>
  <c r="ZT38" i="5"/>
  <c r="ZS44" i="5"/>
  <c r="ADF37" i="5"/>
  <c r="ADG20" i="5"/>
  <c r="AEG19" i="5"/>
  <c r="WJ49" i="5"/>
  <c r="WJ51" i="5" s="1"/>
  <c r="WJ53" i="5" s="1"/>
  <c r="WK46" i="5"/>
  <c r="AEB48" i="5" l="1"/>
  <c r="ZU38" i="5"/>
  <c r="ZT44" i="5"/>
  <c r="ADG37" i="5"/>
  <c r="ADH20" i="5"/>
  <c r="AEH19" i="5"/>
  <c r="WK49" i="5"/>
  <c r="WK51" i="5" s="1"/>
  <c r="WK53" i="5" s="1"/>
  <c r="WL46" i="5"/>
  <c r="AEC48" i="5" l="1"/>
  <c r="ZV38" i="5"/>
  <c r="ZU44" i="5"/>
  <c r="ADH37" i="5"/>
  <c r="ADJ20" i="5"/>
  <c r="AEI19" i="5"/>
  <c r="WL49" i="5"/>
  <c r="WL51" i="5" s="1"/>
  <c r="WL53" i="5" s="1"/>
  <c r="WM46" i="5"/>
  <c r="AED48" i="5" l="1"/>
  <c r="ZW38" i="5"/>
  <c r="ZV44" i="5"/>
  <c r="ADJ37" i="5"/>
  <c r="ADK20" i="5"/>
  <c r="AEJ19" i="5"/>
  <c r="WM49" i="5"/>
  <c r="WM51" i="5" s="1"/>
  <c r="WM53" i="5" s="1"/>
  <c r="WN46" i="5"/>
  <c r="AEE48" i="5" l="1"/>
  <c r="ZX38" i="5"/>
  <c r="ZW44" i="5"/>
  <c r="ADK37" i="5"/>
  <c r="ADL20" i="5"/>
  <c r="AEK19" i="5"/>
  <c r="WN49" i="5"/>
  <c r="WN51" i="5" s="1"/>
  <c r="WN53" i="5" s="1"/>
  <c r="WO46" i="5"/>
  <c r="AEF48" i="5" l="1"/>
  <c r="ZY38" i="5"/>
  <c r="ZX44" i="5"/>
  <c r="ADL37" i="5"/>
  <c r="ADM20" i="5"/>
  <c r="AEL19" i="5"/>
  <c r="WO49" i="5"/>
  <c r="WO51" i="5" s="1"/>
  <c r="WO53" i="5" s="1"/>
  <c r="WP46" i="5"/>
  <c r="AEG48" i="5" l="1"/>
  <c r="ZZ38" i="5"/>
  <c r="ZY44" i="5"/>
  <c r="ADM37" i="5"/>
  <c r="ADN20" i="5"/>
  <c r="AEM19" i="5"/>
  <c r="WP49" i="5"/>
  <c r="WP51" i="5" s="1"/>
  <c r="WP53" i="5" s="1"/>
  <c r="WQ46" i="5"/>
  <c r="AEH48" i="5" l="1"/>
  <c r="AAA38" i="5"/>
  <c r="ZZ44" i="5"/>
  <c r="ADN37" i="5"/>
  <c r="ADO20" i="5"/>
  <c r="AEO19" i="5"/>
  <c r="WQ49" i="5"/>
  <c r="WQ51" i="5" s="1"/>
  <c r="WQ53" i="5" s="1"/>
  <c r="WR46" i="5"/>
  <c r="AEI48" i="5" l="1"/>
  <c r="AAB38" i="5"/>
  <c r="AAA44" i="5"/>
  <c r="ADO37" i="5"/>
  <c r="ADP20" i="5"/>
  <c r="AEP19" i="5"/>
  <c r="WR49" i="5"/>
  <c r="WR51" i="5" s="1"/>
  <c r="WR53" i="5" s="1"/>
  <c r="WS46" i="5"/>
  <c r="AEJ48" i="5" l="1"/>
  <c r="AAC38" i="5"/>
  <c r="AAB44" i="5"/>
  <c r="ADP37" i="5"/>
  <c r="ADQ20" i="5"/>
  <c r="AEQ19" i="5"/>
  <c r="WS49" i="5"/>
  <c r="WS51" i="5" s="1"/>
  <c r="WS53" i="5" s="1"/>
  <c r="WT46" i="5"/>
  <c r="AEK48" i="5" l="1"/>
  <c r="AAD38" i="5"/>
  <c r="AAC44" i="5"/>
  <c r="ADQ37" i="5"/>
  <c r="ADR20" i="5"/>
  <c r="AER19" i="5"/>
  <c r="WT49" i="5"/>
  <c r="WT51" i="5" s="1"/>
  <c r="WT53" i="5" s="1"/>
  <c r="WU46" i="5"/>
  <c r="AEL48" i="5" l="1"/>
  <c r="AAE38" i="5"/>
  <c r="AAD44" i="5"/>
  <c r="ADR37" i="5"/>
  <c r="ADS20" i="5"/>
  <c r="AES19" i="5"/>
  <c r="WU49" i="5"/>
  <c r="WU51" i="5" s="1"/>
  <c r="WU53" i="5" s="1"/>
  <c r="WV46" i="5"/>
  <c r="AEM48" i="5" l="1"/>
  <c r="AAF38" i="5"/>
  <c r="AAE44" i="5"/>
  <c r="ADS37" i="5"/>
  <c r="ADT20" i="5"/>
  <c r="AET19" i="5"/>
  <c r="WV49" i="5"/>
  <c r="WV51" i="5" s="1"/>
  <c r="WV53" i="5" s="1"/>
  <c r="WW46" i="5"/>
  <c r="AEO48" i="5" l="1"/>
  <c r="AAG38" i="5"/>
  <c r="AAF44" i="5"/>
  <c r="ADT37" i="5"/>
  <c r="ADU20" i="5"/>
  <c r="AEU19" i="5"/>
  <c r="WW49" i="5"/>
  <c r="WW51" i="5" s="1"/>
  <c r="WW53" i="5" s="1"/>
  <c r="WX46" i="5"/>
  <c r="AEP48" i="5" l="1"/>
  <c r="AAH38" i="5"/>
  <c r="AAG44" i="5"/>
  <c r="ADU37" i="5"/>
  <c r="ADV20" i="5"/>
  <c r="AEV19" i="5"/>
  <c r="WX49" i="5"/>
  <c r="WX51" i="5" s="1"/>
  <c r="WX53" i="5" s="1"/>
  <c r="WY46" i="5"/>
  <c r="AEQ48" i="5" l="1"/>
  <c r="AAI38" i="5"/>
  <c r="AAH44" i="5"/>
  <c r="ADV37" i="5"/>
  <c r="ADW20" i="5"/>
  <c r="AEW19" i="5"/>
  <c r="WY49" i="5"/>
  <c r="WY51" i="5" s="1"/>
  <c r="WY53" i="5" s="1"/>
  <c r="WZ46" i="5"/>
  <c r="AER48" i="5" l="1"/>
  <c r="AAJ38" i="5"/>
  <c r="AAI44" i="5"/>
  <c r="ADW37" i="5"/>
  <c r="ADX20" i="5"/>
  <c r="AEX19" i="5"/>
  <c r="WZ49" i="5"/>
  <c r="WZ51" i="5" s="1"/>
  <c r="WZ53" i="5" s="1"/>
  <c r="XA46" i="5"/>
  <c r="AES48" i="5" l="1"/>
  <c r="AAK38" i="5"/>
  <c r="AAJ44" i="5"/>
  <c r="ADX37" i="5"/>
  <c r="ADY20" i="5"/>
  <c r="AEY19" i="5"/>
  <c r="XA49" i="5"/>
  <c r="XA51" i="5" s="1"/>
  <c r="XA53" i="5" s="1"/>
  <c r="XB46" i="5"/>
  <c r="AET48" i="5" l="1"/>
  <c r="AAL38" i="5"/>
  <c r="AAK44" i="5"/>
  <c r="ADY37" i="5"/>
  <c r="ADZ20" i="5"/>
  <c r="AEZ19" i="5"/>
  <c r="XB49" i="5"/>
  <c r="XB51" i="5" s="1"/>
  <c r="XB53" i="5" s="1"/>
  <c r="XC46" i="5"/>
  <c r="AEU48" i="5" l="1"/>
  <c r="AAM38" i="5"/>
  <c r="AAL44" i="5"/>
  <c r="ADZ37" i="5"/>
  <c r="AEA20" i="5"/>
  <c r="AFA19" i="5"/>
  <c r="XC49" i="5"/>
  <c r="XC51" i="5" s="1"/>
  <c r="XC53" i="5" s="1"/>
  <c r="XD46" i="5"/>
  <c r="AEV48" i="5" l="1"/>
  <c r="AAN38" i="5"/>
  <c r="AAM44" i="5"/>
  <c r="AEA37" i="5"/>
  <c r="AEB20" i="5"/>
  <c r="AFB19" i="5"/>
  <c r="XD49" i="5"/>
  <c r="XD51" i="5" s="1"/>
  <c r="XD53" i="5" s="1"/>
  <c r="XE46" i="5"/>
  <c r="AEW48" i="5" l="1"/>
  <c r="AAO38" i="5"/>
  <c r="AAN44" i="5"/>
  <c r="AEB37" i="5"/>
  <c r="AEC20" i="5"/>
  <c r="AFC19" i="5"/>
  <c r="XE49" i="5"/>
  <c r="XE51" i="5" s="1"/>
  <c r="XE53" i="5" s="1"/>
  <c r="XF46" i="5"/>
  <c r="AEX48" i="5" l="1"/>
  <c r="AAP38" i="5"/>
  <c r="AAO44" i="5"/>
  <c r="AEC37" i="5"/>
  <c r="AED20" i="5"/>
  <c r="AFD19" i="5"/>
  <c r="XF49" i="5"/>
  <c r="XF51" i="5" s="1"/>
  <c r="XF53" i="5" s="1"/>
  <c r="XH46" i="5"/>
  <c r="AEY48" i="5" l="1"/>
  <c r="AAQ38" i="5"/>
  <c r="AAP44" i="5"/>
  <c r="AED37" i="5"/>
  <c r="AEE20" i="5"/>
  <c r="AFE19" i="5"/>
  <c r="XH49" i="5"/>
  <c r="XH51" i="5" s="1"/>
  <c r="XH53" i="5" s="1"/>
  <c r="XI46" i="5"/>
  <c r="AEZ48" i="5" l="1"/>
  <c r="AAR38" i="5"/>
  <c r="AAQ44" i="5"/>
  <c r="AEE37" i="5"/>
  <c r="AEF20" i="5"/>
  <c r="AFF19" i="5"/>
  <c r="XI49" i="5"/>
  <c r="XI51" i="5" s="1"/>
  <c r="XI53" i="5" s="1"/>
  <c r="XJ46" i="5"/>
  <c r="AFA48" i="5" l="1"/>
  <c r="AAS38" i="5"/>
  <c r="AAR44" i="5"/>
  <c r="AEF37" i="5"/>
  <c r="AEG20" i="5"/>
  <c r="AFG19" i="5"/>
  <c r="XJ49" i="5"/>
  <c r="XJ51" i="5" s="1"/>
  <c r="XJ53" i="5" s="1"/>
  <c r="XK46" i="5"/>
  <c r="AFB48" i="5" l="1"/>
  <c r="AAT38" i="5"/>
  <c r="AAS44" i="5"/>
  <c r="AEG37" i="5"/>
  <c r="AEH20" i="5"/>
  <c r="AFH19" i="5"/>
  <c r="XK49" i="5"/>
  <c r="XK51" i="5" s="1"/>
  <c r="XK53" i="5" s="1"/>
  <c r="XL46" i="5"/>
  <c r="AFC48" i="5" l="1"/>
  <c r="AAU38" i="5"/>
  <c r="AAT44" i="5"/>
  <c r="AEH37" i="5"/>
  <c r="AEI20" i="5"/>
  <c r="AFI19" i="5"/>
  <c r="XL49" i="5"/>
  <c r="XL51" i="5" s="1"/>
  <c r="XL53" i="5" s="1"/>
  <c r="XM46" i="5"/>
  <c r="AFD48" i="5" l="1"/>
  <c r="AAV38" i="5"/>
  <c r="AAU44" i="5"/>
  <c r="AEI37" i="5"/>
  <c r="AEJ20" i="5"/>
  <c r="AFJ19" i="5"/>
  <c r="XM49" i="5"/>
  <c r="XM51" i="5" s="1"/>
  <c r="XM53" i="5" s="1"/>
  <c r="XN46" i="5"/>
  <c r="AFE48" i="5" l="1"/>
  <c r="AAX38" i="5"/>
  <c r="AAV44" i="5"/>
  <c r="AEJ37" i="5"/>
  <c r="AEK20" i="5"/>
  <c r="AFK19" i="5"/>
  <c r="XN49" i="5"/>
  <c r="XN51" i="5" s="1"/>
  <c r="XN53" i="5" s="1"/>
  <c r="XO46" i="5"/>
  <c r="AFF48" i="5" l="1"/>
  <c r="AAY38" i="5"/>
  <c r="AAX44" i="5"/>
  <c r="AEK37" i="5"/>
  <c r="AEL20" i="5"/>
  <c r="AFL19" i="5"/>
  <c r="XO49" i="5"/>
  <c r="XO51" i="5" s="1"/>
  <c r="XO53" i="5" s="1"/>
  <c r="XP46" i="5"/>
  <c r="AFG48" i="5" l="1"/>
  <c r="AAZ38" i="5"/>
  <c r="AAY44" i="5"/>
  <c r="AEL37" i="5"/>
  <c r="AEM20" i="5"/>
  <c r="AFM19" i="5"/>
  <c r="XP49" i="5"/>
  <c r="XP51" i="5" s="1"/>
  <c r="XP53" i="5" s="1"/>
  <c r="XQ46" i="5"/>
  <c r="AFH48" i="5" l="1"/>
  <c r="ABA38" i="5"/>
  <c r="AAZ44" i="5"/>
  <c r="AEM37" i="5"/>
  <c r="AEO20" i="5"/>
  <c r="AFN19" i="5"/>
  <c r="XQ49" i="5"/>
  <c r="XQ51" i="5" s="1"/>
  <c r="XQ53" i="5" s="1"/>
  <c r="XR46" i="5"/>
  <c r="AFI48" i="5" l="1"/>
  <c r="ABB38" i="5"/>
  <c r="ABA44" i="5"/>
  <c r="AEO37" i="5"/>
  <c r="AEP20" i="5"/>
  <c r="AFO19" i="5"/>
  <c r="XR49" i="5"/>
  <c r="XR51" i="5" s="1"/>
  <c r="XR53" i="5" s="1"/>
  <c r="XS46" i="5"/>
  <c r="AFJ48" i="5" l="1"/>
  <c r="ABC38" i="5"/>
  <c r="ABB44" i="5"/>
  <c r="AEP37" i="5"/>
  <c r="AEQ20" i="5"/>
  <c r="AFP19" i="5"/>
  <c r="XS49" i="5"/>
  <c r="XS51" i="5" s="1"/>
  <c r="XS53" i="5" s="1"/>
  <c r="XT46" i="5"/>
  <c r="AFK48" i="5" l="1"/>
  <c r="ABD38" i="5"/>
  <c r="ABC44" i="5"/>
  <c r="AEQ37" i="5"/>
  <c r="AER20" i="5"/>
  <c r="AFQ19" i="5"/>
  <c r="XT49" i="5"/>
  <c r="XT51" i="5" s="1"/>
  <c r="XT53" i="5" s="1"/>
  <c r="XU46" i="5"/>
  <c r="AFL48" i="5" l="1"/>
  <c r="ABE38" i="5"/>
  <c r="ABD44" i="5"/>
  <c r="AER37" i="5"/>
  <c r="AES20" i="5"/>
  <c r="AFR19" i="5"/>
  <c r="XU49" i="5"/>
  <c r="XU51" i="5" s="1"/>
  <c r="XU53" i="5" s="1"/>
  <c r="XV46" i="5"/>
  <c r="AFM48" i="5" l="1"/>
  <c r="ABF38" i="5"/>
  <c r="ABE44" i="5"/>
  <c r="AES37" i="5"/>
  <c r="AET20" i="5"/>
  <c r="AFS19" i="5"/>
  <c r="XV49" i="5"/>
  <c r="XV51" i="5" s="1"/>
  <c r="XV53" i="5" s="1"/>
  <c r="XW46" i="5"/>
  <c r="AFN48" i="5" l="1"/>
  <c r="ABG38" i="5"/>
  <c r="ABF44" i="5"/>
  <c r="AET37" i="5"/>
  <c r="AEU20" i="5"/>
  <c r="AFU19" i="5"/>
  <c r="XW49" i="5"/>
  <c r="XW51" i="5" s="1"/>
  <c r="XW53" i="5" s="1"/>
  <c r="XX46" i="5"/>
  <c r="AFO48" i="5" l="1"/>
  <c r="ABH38" i="5"/>
  <c r="ABG44" i="5"/>
  <c r="AEU37" i="5"/>
  <c r="AEV20" i="5"/>
  <c r="AFV19" i="5"/>
  <c r="XX49" i="5"/>
  <c r="XX51" i="5" s="1"/>
  <c r="XX53" i="5" s="1"/>
  <c r="XY46" i="5"/>
  <c r="AFP48" i="5" l="1"/>
  <c r="ABI38" i="5"/>
  <c r="ABH44" i="5"/>
  <c r="AEV37" i="5"/>
  <c r="AEW20" i="5"/>
  <c r="AFW19" i="5"/>
  <c r="XY49" i="5"/>
  <c r="XY51" i="5" s="1"/>
  <c r="XY53" i="5" s="1"/>
  <c r="XZ46" i="5"/>
  <c r="AFQ48" i="5" l="1"/>
  <c r="ABJ38" i="5"/>
  <c r="ABI44" i="5"/>
  <c r="AEW37" i="5"/>
  <c r="AEX20" i="5"/>
  <c r="AFX19" i="5"/>
  <c r="XZ49" i="5"/>
  <c r="XZ51" i="5" s="1"/>
  <c r="XZ53" i="5" s="1"/>
  <c r="YA46" i="5"/>
  <c r="AFR48" i="5" l="1"/>
  <c r="ABK38" i="5"/>
  <c r="ABJ44" i="5"/>
  <c r="AEX37" i="5"/>
  <c r="AEY20" i="5"/>
  <c r="AFY19" i="5"/>
  <c r="YA49" i="5"/>
  <c r="YA51" i="5" s="1"/>
  <c r="YA53" i="5" s="1"/>
  <c r="YB46" i="5"/>
  <c r="AFS48" i="5" l="1"/>
  <c r="ABL38" i="5"/>
  <c r="ABK44" i="5"/>
  <c r="AEY37" i="5"/>
  <c r="AEZ20" i="5"/>
  <c r="AFZ19" i="5"/>
  <c r="YB49" i="5"/>
  <c r="YB51" i="5" s="1"/>
  <c r="YB53" i="5" s="1"/>
  <c r="YC46" i="5"/>
  <c r="AFU48" i="5" l="1"/>
  <c r="ABM38" i="5"/>
  <c r="ABL44" i="5"/>
  <c r="AEZ37" i="5"/>
  <c r="AFA20" i="5"/>
  <c r="AGA19" i="5"/>
  <c r="YC49" i="5"/>
  <c r="YC51" i="5" s="1"/>
  <c r="YC53" i="5" s="1"/>
  <c r="YD46" i="5"/>
  <c r="AFV48" i="5" l="1"/>
  <c r="ABN38" i="5"/>
  <c r="ABM44" i="5"/>
  <c r="AFA37" i="5"/>
  <c r="AFB20" i="5"/>
  <c r="AGB19" i="5"/>
  <c r="YD49" i="5"/>
  <c r="YD51" i="5" s="1"/>
  <c r="YD53" i="5" s="1"/>
  <c r="YE46" i="5"/>
  <c r="AFW48" i="5" l="1"/>
  <c r="ABO38" i="5"/>
  <c r="ABN44" i="5"/>
  <c r="AFB37" i="5"/>
  <c r="AFC20" i="5"/>
  <c r="AGC19" i="5"/>
  <c r="YE49" i="5"/>
  <c r="YE51" i="5" s="1"/>
  <c r="YE53" i="5" s="1"/>
  <c r="YF46" i="5"/>
  <c r="AFX48" i="5" l="1"/>
  <c r="ABP38" i="5"/>
  <c r="ABO44" i="5"/>
  <c r="AFC37" i="5"/>
  <c r="AFD20" i="5"/>
  <c r="YF49" i="5"/>
  <c r="YF51" i="5" s="1"/>
  <c r="YF53" i="5" s="1"/>
  <c r="YG46" i="5"/>
  <c r="AFY48" i="5" l="1"/>
  <c r="ABQ38" i="5"/>
  <c r="ABP44" i="5"/>
  <c r="AFD37" i="5"/>
  <c r="AFE20" i="5"/>
  <c r="YG49" i="5"/>
  <c r="YG51" i="5" s="1"/>
  <c r="YG53" i="5" s="1"/>
  <c r="YH46" i="5"/>
  <c r="AFZ48" i="5" l="1"/>
  <c r="ABR38" i="5"/>
  <c r="ABQ44" i="5"/>
  <c r="AFE37" i="5"/>
  <c r="AFF20" i="5"/>
  <c r="YH49" i="5"/>
  <c r="YH51" i="5" s="1"/>
  <c r="YH53" i="5" s="1"/>
  <c r="YI46" i="5"/>
  <c r="AGA48" i="5" l="1"/>
  <c r="ABS38" i="5"/>
  <c r="ABR44" i="5"/>
  <c r="AFF37" i="5"/>
  <c r="AFG20" i="5"/>
  <c r="YI49" i="5"/>
  <c r="YI51" i="5" s="1"/>
  <c r="YI53" i="5" s="1"/>
  <c r="YJ46" i="5"/>
  <c r="AGB48" i="5" l="1"/>
  <c r="ABT38" i="5"/>
  <c r="ABS44" i="5"/>
  <c r="AFG37" i="5"/>
  <c r="AFH20" i="5"/>
  <c r="YJ49" i="5"/>
  <c r="YJ51" i="5" s="1"/>
  <c r="YJ53" i="5" s="1"/>
  <c r="YK46" i="5"/>
  <c r="AGC48" i="5" l="1"/>
  <c r="ABU38" i="5"/>
  <c r="ABT44" i="5"/>
  <c r="AFH37" i="5"/>
  <c r="AFI20" i="5"/>
  <c r="YK49" i="5"/>
  <c r="YK51" i="5" s="1"/>
  <c r="YK53" i="5" s="1"/>
  <c r="YM46" i="5"/>
  <c r="AGD48" i="5" l="1"/>
  <c r="ABV38" i="5"/>
  <c r="ABU44" i="5"/>
  <c r="AFI37" i="5"/>
  <c r="AFJ20" i="5"/>
  <c r="YM49" i="5"/>
  <c r="YM51" i="5" s="1"/>
  <c r="YM53" i="5" s="1"/>
  <c r="YN46" i="5"/>
  <c r="AGE48" i="5" l="1"/>
  <c r="ABW38" i="5"/>
  <c r="ABV44" i="5"/>
  <c r="AFJ37" i="5"/>
  <c r="AFK20" i="5"/>
  <c r="YN49" i="5"/>
  <c r="YN51" i="5" s="1"/>
  <c r="YN53" i="5" s="1"/>
  <c r="YO46" i="5"/>
  <c r="AGF48" i="5" l="1"/>
  <c r="ABX38" i="5"/>
  <c r="ABW44" i="5"/>
  <c r="AFK37" i="5"/>
  <c r="AFL20" i="5"/>
  <c r="YO49" i="5"/>
  <c r="YO51" i="5" s="1"/>
  <c r="YO53" i="5" s="1"/>
  <c r="YP46" i="5"/>
  <c r="AGG48" i="5" l="1"/>
  <c r="ABY38" i="5"/>
  <c r="ABX44" i="5"/>
  <c r="AFL37" i="5"/>
  <c r="AFM20" i="5"/>
  <c r="YP49" i="5"/>
  <c r="YP51" i="5" s="1"/>
  <c r="YP53" i="5" s="1"/>
  <c r="YQ46" i="5"/>
  <c r="AGH48" i="5" l="1"/>
  <c r="ABZ38" i="5"/>
  <c r="ABY44" i="5"/>
  <c r="AFM37" i="5"/>
  <c r="AFN20" i="5"/>
  <c r="YQ49" i="5"/>
  <c r="YQ51" i="5" s="1"/>
  <c r="YQ53" i="5" s="1"/>
  <c r="YR46" i="5"/>
  <c r="AGI48" i="5" l="1"/>
  <c r="ACA38" i="5"/>
  <c r="ABZ44" i="5"/>
  <c r="AFN37" i="5"/>
  <c r="AFO20" i="5"/>
  <c r="YR49" i="5"/>
  <c r="YR51" i="5" s="1"/>
  <c r="YR53" i="5" s="1"/>
  <c r="YS46" i="5"/>
  <c r="AGJ48" i="5" l="1"/>
  <c r="ACB38" i="5"/>
  <c r="ACA44" i="5"/>
  <c r="AFO37" i="5"/>
  <c r="AFP20" i="5"/>
  <c r="YS49" i="5"/>
  <c r="YS51" i="5" s="1"/>
  <c r="YS53" i="5" s="1"/>
  <c r="YT46" i="5"/>
  <c r="AGK48" i="5" l="1"/>
  <c r="ACD38" i="5"/>
  <c r="ACB44" i="5"/>
  <c r="AFP37" i="5"/>
  <c r="AFQ20" i="5"/>
  <c r="YT49" i="5"/>
  <c r="YT51" i="5" s="1"/>
  <c r="YT53" i="5" s="1"/>
  <c r="YU46" i="5"/>
  <c r="AGL48" i="5" l="1"/>
  <c r="ACE38" i="5"/>
  <c r="ACD44" i="5"/>
  <c r="AFQ37" i="5"/>
  <c r="AFR20" i="5"/>
  <c r="YU49" i="5"/>
  <c r="YU51" i="5" s="1"/>
  <c r="YU53" i="5" s="1"/>
  <c r="YV46" i="5"/>
  <c r="AGM48" i="5" l="1"/>
  <c r="ACF38" i="5"/>
  <c r="ACE44" i="5"/>
  <c r="AFR37" i="5"/>
  <c r="AFS20" i="5"/>
  <c r="YV49" i="5"/>
  <c r="YV51" i="5" s="1"/>
  <c r="YV53" i="5" s="1"/>
  <c r="YW46" i="5"/>
  <c r="AGN48" i="5" l="1"/>
  <c r="ACG38" i="5"/>
  <c r="ACF44" i="5"/>
  <c r="AFS37" i="5"/>
  <c r="AFU20" i="5"/>
  <c r="YW49" i="5"/>
  <c r="YW51" i="5" s="1"/>
  <c r="YW53" i="5" s="1"/>
  <c r="YX46" i="5"/>
  <c r="AGO48" i="5" l="1"/>
  <c r="ACH38" i="5"/>
  <c r="ACG44" i="5"/>
  <c r="AFU37" i="5"/>
  <c r="AFV20" i="5"/>
  <c r="YX49" i="5"/>
  <c r="YX51" i="5" s="1"/>
  <c r="YX53" i="5" s="1"/>
  <c r="YY46" i="5"/>
  <c r="AGP48" i="5" l="1"/>
  <c r="ACI38" i="5"/>
  <c r="ACH44" i="5"/>
  <c r="AFV37" i="5"/>
  <c r="AFW20" i="5"/>
  <c r="YY49" i="5"/>
  <c r="YY51" i="5" s="1"/>
  <c r="YY53" i="5" s="1"/>
  <c r="YZ46" i="5"/>
  <c r="AGQ48" i="5" l="1"/>
  <c r="ACJ38" i="5"/>
  <c r="ACI44" i="5"/>
  <c r="AFW37" i="5"/>
  <c r="AFX20" i="5"/>
  <c r="YZ49" i="5"/>
  <c r="YZ51" i="5" s="1"/>
  <c r="YZ53" i="5" s="1"/>
  <c r="ZA46" i="5"/>
  <c r="AGR48" i="5" l="1"/>
  <c r="ACK38" i="5"/>
  <c r="ACJ44" i="5"/>
  <c r="AFX37" i="5"/>
  <c r="AFY20" i="5"/>
  <c r="ZA49" i="5"/>
  <c r="ZA51" i="5" s="1"/>
  <c r="ZA53" i="5" s="1"/>
  <c r="ZB46" i="5"/>
  <c r="AGS48" i="5" l="1"/>
  <c r="ACL38" i="5"/>
  <c r="ACK44" i="5"/>
  <c r="AFY37" i="5"/>
  <c r="AFZ20" i="5"/>
  <c r="ZB49" i="5"/>
  <c r="ZB51" i="5" s="1"/>
  <c r="ZB53" i="5" s="1"/>
  <c r="ZC46" i="5"/>
  <c r="AGT48" i="5" l="1"/>
  <c r="ACM38" i="5"/>
  <c r="ACL44" i="5"/>
  <c r="AFZ37" i="5"/>
  <c r="AGA20" i="5"/>
  <c r="ZC49" i="5"/>
  <c r="ZC51" i="5" s="1"/>
  <c r="ZC53" i="5" s="1"/>
  <c r="ZD46" i="5"/>
  <c r="AGU48" i="5" l="1"/>
  <c r="ACN38" i="5"/>
  <c r="ACM44" i="5"/>
  <c r="AGA37" i="5"/>
  <c r="AGB20" i="5"/>
  <c r="ZD49" i="5"/>
  <c r="ZD51" i="5" s="1"/>
  <c r="ZD53" i="5" s="1"/>
  <c r="ZE46" i="5"/>
  <c r="AGV48" i="5" l="1"/>
  <c r="ACO38" i="5"/>
  <c r="ACN44" i="5"/>
  <c r="AGB37" i="5"/>
  <c r="AGC20" i="5"/>
  <c r="ZE49" i="5"/>
  <c r="ZE51" i="5" s="1"/>
  <c r="ZE53" i="5" s="1"/>
  <c r="ZF46" i="5"/>
  <c r="AGW48" i="5" l="1"/>
  <c r="ACP38" i="5"/>
  <c r="ACO44" i="5"/>
  <c r="AGC37" i="5"/>
  <c r="AGD20" i="5"/>
  <c r="ZF49" i="5"/>
  <c r="ZF51" i="5" s="1"/>
  <c r="ZF53" i="5" s="1"/>
  <c r="ZG46" i="5"/>
  <c r="AGX48" i="5" l="1"/>
  <c r="ACQ38" i="5"/>
  <c r="ACP44" i="5"/>
  <c r="AGD37" i="5"/>
  <c r="AGE20" i="5"/>
  <c r="ZG49" i="5"/>
  <c r="ZG51" i="5" s="1"/>
  <c r="ZG53" i="5" s="1"/>
  <c r="ZH46" i="5"/>
  <c r="AGZ48" i="5" l="1"/>
  <c r="ACR38" i="5"/>
  <c r="ACQ44" i="5"/>
  <c r="AGE37" i="5"/>
  <c r="AGF20" i="5"/>
  <c r="ZH49" i="5"/>
  <c r="ZH51" i="5" s="1"/>
  <c r="ZH53" i="5" s="1"/>
  <c r="ZI46" i="5"/>
  <c r="AHA48" i="5" l="1"/>
  <c r="ACS38" i="5"/>
  <c r="ACR44" i="5"/>
  <c r="AGF37" i="5"/>
  <c r="AGG20" i="5"/>
  <c r="ZI49" i="5"/>
  <c r="ZI51" i="5" s="1"/>
  <c r="ZI53" i="5" s="1"/>
  <c r="ZJ46" i="5"/>
  <c r="AHB48" i="5" l="1"/>
  <c r="ACT38" i="5"/>
  <c r="ACS44" i="5"/>
  <c r="AGG37" i="5"/>
  <c r="AGH20" i="5"/>
  <c r="ZJ49" i="5"/>
  <c r="ZJ51" i="5" s="1"/>
  <c r="ZJ53" i="5" s="1"/>
  <c r="ZK46" i="5"/>
  <c r="AHC48" i="5" l="1"/>
  <c r="ACU38" i="5"/>
  <c r="ACT44" i="5"/>
  <c r="AGH37" i="5"/>
  <c r="AGI20" i="5"/>
  <c r="ZK49" i="5"/>
  <c r="ZK51" i="5" s="1"/>
  <c r="ZK53" i="5" s="1"/>
  <c r="ZL46" i="5"/>
  <c r="AHD48" i="5" l="1"/>
  <c r="ACV38" i="5"/>
  <c r="ACU44" i="5"/>
  <c r="AGI37" i="5"/>
  <c r="AGJ20" i="5"/>
  <c r="ZL49" i="5"/>
  <c r="ZL51" i="5" s="1"/>
  <c r="ZL53" i="5" s="1"/>
  <c r="ZM46" i="5"/>
  <c r="AHE48" i="5" l="1"/>
  <c r="ACW38" i="5"/>
  <c r="ACV44" i="5"/>
  <c r="AGJ37" i="5"/>
  <c r="AGK20" i="5"/>
  <c r="ZM49" i="5"/>
  <c r="ZM51" i="5" s="1"/>
  <c r="ZM53" i="5" s="1"/>
  <c r="ZN46" i="5"/>
  <c r="AHF48" i="5" l="1"/>
  <c r="ACX38" i="5"/>
  <c r="ACW44" i="5"/>
  <c r="AGK37" i="5"/>
  <c r="AGL20" i="5"/>
  <c r="ZN49" i="5"/>
  <c r="ZN51" i="5" s="1"/>
  <c r="ZN53" i="5" s="1"/>
  <c r="ZO46" i="5"/>
  <c r="AHG48" i="5" l="1"/>
  <c r="ACY38" i="5"/>
  <c r="ACX44" i="5"/>
  <c r="AGL37" i="5"/>
  <c r="AGM20" i="5"/>
  <c r="ZO49" i="5"/>
  <c r="ZO51" i="5" s="1"/>
  <c r="ZO53" i="5" s="1"/>
  <c r="ZP46" i="5"/>
  <c r="AHH48" i="5" l="1"/>
  <c r="ACZ38" i="5"/>
  <c r="ACY44" i="5"/>
  <c r="AGM37" i="5"/>
  <c r="AGN20" i="5"/>
  <c r="ZP49" i="5"/>
  <c r="ZP51" i="5" s="1"/>
  <c r="ZP53" i="5" s="1"/>
  <c r="ZQ46" i="5"/>
  <c r="AHI48" i="5" l="1"/>
  <c r="ADA38" i="5"/>
  <c r="ACZ44" i="5"/>
  <c r="AGN37" i="5"/>
  <c r="AGO20" i="5"/>
  <c r="ZQ49" i="5"/>
  <c r="ZQ51" i="5" s="1"/>
  <c r="ZQ53" i="5" s="1"/>
  <c r="ZS46" i="5"/>
  <c r="AHJ48" i="5" l="1"/>
  <c r="ADB38" i="5"/>
  <c r="ADA44" i="5"/>
  <c r="AGO37" i="5"/>
  <c r="AGP20" i="5"/>
  <c r="ZS49" i="5"/>
  <c r="ZS51" i="5" s="1"/>
  <c r="ZS53" i="5" s="1"/>
  <c r="ZT46" i="5"/>
  <c r="AHK48" i="5" l="1"/>
  <c r="ADC38" i="5"/>
  <c r="ADB44" i="5"/>
  <c r="AGP37" i="5"/>
  <c r="AGQ20" i="5"/>
  <c r="ZT49" i="5"/>
  <c r="ZT51" i="5" s="1"/>
  <c r="ZT53" i="5" s="1"/>
  <c r="ZU46" i="5"/>
  <c r="AHL48" i="5" l="1"/>
  <c r="ADD38" i="5"/>
  <c r="ADC44" i="5"/>
  <c r="AGQ37" i="5"/>
  <c r="AGR20" i="5"/>
  <c r="ZU49" i="5"/>
  <c r="ZU51" i="5" s="1"/>
  <c r="ZU53" i="5" s="1"/>
  <c r="ZV46" i="5"/>
  <c r="AHM48" i="5" l="1"/>
  <c r="ADE38" i="5"/>
  <c r="ADD44" i="5"/>
  <c r="AGR37" i="5"/>
  <c r="AGS20" i="5"/>
  <c r="ZV49" i="5"/>
  <c r="ZV51" i="5" s="1"/>
  <c r="ZV53" i="5" s="1"/>
  <c r="ZW46" i="5"/>
  <c r="AHN48" i="5" l="1"/>
  <c r="ADF38" i="5"/>
  <c r="ADE44" i="5"/>
  <c r="AGS37" i="5"/>
  <c r="AGT20" i="5"/>
  <c r="ZW49" i="5"/>
  <c r="ZW51" i="5" s="1"/>
  <c r="ZW53" i="5" s="1"/>
  <c r="ZX46" i="5"/>
  <c r="AHO48" i="5" l="1"/>
  <c r="ADG38" i="5"/>
  <c r="ADF44" i="5"/>
  <c r="AGT37" i="5"/>
  <c r="AGU20" i="5"/>
  <c r="ZX49" i="5"/>
  <c r="ZX51" i="5" s="1"/>
  <c r="ZX53" i="5" s="1"/>
  <c r="ZY46" i="5"/>
  <c r="AHP48" i="5" l="1"/>
  <c r="ADH38" i="5"/>
  <c r="ADG44" i="5"/>
  <c r="AGU37" i="5"/>
  <c r="AGV20" i="5"/>
  <c r="ZY49" i="5"/>
  <c r="ZY51" i="5" s="1"/>
  <c r="ZY53" i="5" s="1"/>
  <c r="ZZ46" i="5"/>
  <c r="AHQ48" i="5" l="1"/>
  <c r="ADJ38" i="5"/>
  <c r="ADH44" i="5"/>
  <c r="AGV37" i="5"/>
  <c r="AGW20" i="5"/>
  <c r="ZZ49" i="5"/>
  <c r="ZZ51" i="5" s="1"/>
  <c r="ZZ53" i="5" s="1"/>
  <c r="AAA46" i="5"/>
  <c r="AHR48" i="5" l="1"/>
  <c r="ADK38" i="5"/>
  <c r="ADJ44" i="5"/>
  <c r="AGW37" i="5"/>
  <c r="AGX20" i="5"/>
  <c r="AAA49" i="5"/>
  <c r="AAA51" i="5" s="1"/>
  <c r="AAA53" i="5" s="1"/>
  <c r="AAB46" i="5"/>
  <c r="AHS48" i="5" l="1"/>
  <c r="ADL38" i="5"/>
  <c r="ADK44" i="5"/>
  <c r="AGX37" i="5"/>
  <c r="AGZ20" i="5"/>
  <c r="AAB49" i="5"/>
  <c r="AAB51" i="5" s="1"/>
  <c r="AAB53" i="5" s="1"/>
  <c r="AAC46" i="5"/>
  <c r="AHT48" i="5" l="1"/>
  <c r="ADM38" i="5"/>
  <c r="ADL44" i="5"/>
  <c r="AGZ37" i="5"/>
  <c r="AHA20" i="5"/>
  <c r="AAC49" i="5"/>
  <c r="AAC51" i="5" s="1"/>
  <c r="AAC53" i="5" s="1"/>
  <c r="AAD46" i="5"/>
  <c r="AHU48" i="5" l="1"/>
  <c r="ADN38" i="5"/>
  <c r="ADM44" i="5"/>
  <c r="AHA37" i="5"/>
  <c r="AHB20" i="5"/>
  <c r="AAD49" i="5"/>
  <c r="AAD51" i="5" s="1"/>
  <c r="AAD53" i="5" s="1"/>
  <c r="AAE46" i="5"/>
  <c r="AHV48" i="5" l="1"/>
  <c r="ADO38" i="5"/>
  <c r="ADN44" i="5"/>
  <c r="AHB37" i="5"/>
  <c r="AHC20" i="5"/>
  <c r="AAE49" i="5"/>
  <c r="AAE51" i="5" s="1"/>
  <c r="AAE53" i="5" s="1"/>
  <c r="AAF46" i="5"/>
  <c r="AHW48" i="5" l="1"/>
  <c r="ADP38" i="5"/>
  <c r="ADO44" i="5"/>
  <c r="AHC37" i="5"/>
  <c r="AHD20" i="5"/>
  <c r="AAF49" i="5"/>
  <c r="AAF51" i="5" s="1"/>
  <c r="AAF53" i="5" s="1"/>
  <c r="AAG46" i="5"/>
  <c r="AHX48" i="5" l="1"/>
  <c r="ADQ38" i="5"/>
  <c r="ADP44" i="5"/>
  <c r="AHD37" i="5"/>
  <c r="AHE20" i="5"/>
  <c r="AAG49" i="5"/>
  <c r="AAG51" i="5" s="1"/>
  <c r="AAG53" i="5" s="1"/>
  <c r="AAH46" i="5"/>
  <c r="AHY48" i="5" l="1"/>
  <c r="ADR38" i="5"/>
  <c r="ADQ44" i="5"/>
  <c r="AHE37" i="5"/>
  <c r="AHF20" i="5"/>
  <c r="AAH49" i="5"/>
  <c r="AAH51" i="5" s="1"/>
  <c r="AAH53" i="5" s="1"/>
  <c r="AAI46" i="5"/>
  <c r="AHZ48" i="5" l="1"/>
  <c r="ADS38" i="5"/>
  <c r="ADR44" i="5"/>
  <c r="AHF37" i="5"/>
  <c r="AHG20" i="5"/>
  <c r="AAI49" i="5"/>
  <c r="AAI51" i="5" s="1"/>
  <c r="AAI53" i="5" s="1"/>
  <c r="AAJ46" i="5"/>
  <c r="AIA48" i="5" l="1"/>
  <c r="ADT38" i="5"/>
  <c r="ADS44" i="5"/>
  <c r="AHG37" i="5"/>
  <c r="AHH20" i="5"/>
  <c r="AAJ49" i="5"/>
  <c r="AAJ51" i="5" s="1"/>
  <c r="AAJ53" i="5" s="1"/>
  <c r="AAK46" i="5"/>
  <c r="AIB48" i="5" l="1"/>
  <c r="ADU38" i="5"/>
  <c r="ADT44" i="5"/>
  <c r="AHH37" i="5"/>
  <c r="AHI20" i="5"/>
  <c r="AAK49" i="5"/>
  <c r="AAK51" i="5" s="1"/>
  <c r="AAK53" i="5" s="1"/>
  <c r="AAL46" i="5"/>
  <c r="AIC48" i="5" l="1"/>
  <c r="ADV38" i="5"/>
  <c r="ADU44" i="5"/>
  <c r="AHI37" i="5"/>
  <c r="AHJ20" i="5"/>
  <c r="AAL49" i="5"/>
  <c r="AAL51" i="5" s="1"/>
  <c r="AAL53" i="5" s="1"/>
  <c r="AAM46" i="5"/>
  <c r="AID48" i="5" l="1"/>
  <c r="ADW38" i="5"/>
  <c r="ADV44" i="5"/>
  <c r="AHJ37" i="5"/>
  <c r="AHK20" i="5"/>
  <c r="AAM49" i="5"/>
  <c r="AAM51" i="5" s="1"/>
  <c r="AAM53" i="5" s="1"/>
  <c r="AAN46" i="5"/>
  <c r="AIF48" i="5" l="1"/>
  <c r="ADX38" i="5"/>
  <c r="ADW44" i="5"/>
  <c r="AHK37" i="5"/>
  <c r="AHL20" i="5"/>
  <c r="AAN49" i="5"/>
  <c r="AAN51" i="5" s="1"/>
  <c r="AAN53" i="5" s="1"/>
  <c r="AAO46" i="5"/>
  <c r="AIG48" i="5" l="1"/>
  <c r="ADY38" i="5"/>
  <c r="ADX44" i="5"/>
  <c r="AHL37" i="5"/>
  <c r="AHM20" i="5"/>
  <c r="AAO49" i="5"/>
  <c r="AAO51" i="5" s="1"/>
  <c r="AAO53" i="5" s="1"/>
  <c r="AAP46" i="5"/>
  <c r="AIH48" i="5" l="1"/>
  <c r="ADZ38" i="5"/>
  <c r="ADY44" i="5"/>
  <c r="AHM37" i="5"/>
  <c r="AHN20" i="5"/>
  <c r="AAP49" i="5"/>
  <c r="AAP51" i="5" s="1"/>
  <c r="AAP53" i="5" s="1"/>
  <c r="AAQ46" i="5"/>
  <c r="AII48" i="5" l="1"/>
  <c r="AEA38" i="5"/>
  <c r="ADZ44" i="5"/>
  <c r="AHN37" i="5"/>
  <c r="AHO20" i="5"/>
  <c r="AAQ49" i="5"/>
  <c r="AAQ51" i="5" s="1"/>
  <c r="AAQ53" i="5" s="1"/>
  <c r="AAR46" i="5"/>
  <c r="AIJ48" i="5" l="1"/>
  <c r="AEB38" i="5"/>
  <c r="AEA44" i="5"/>
  <c r="AHO37" i="5"/>
  <c r="AHP20" i="5"/>
  <c r="AAR49" i="5"/>
  <c r="AAR51" i="5" s="1"/>
  <c r="AAR53" i="5" s="1"/>
  <c r="AAS46" i="5"/>
  <c r="AIK48" i="5" l="1"/>
  <c r="AEC38" i="5"/>
  <c r="AEB44" i="5"/>
  <c r="AHP37" i="5"/>
  <c r="AHQ20" i="5"/>
  <c r="AAS49" i="5"/>
  <c r="AAS51" i="5" s="1"/>
  <c r="AAS53" i="5" s="1"/>
  <c r="AAT46" i="5"/>
  <c r="AIL48" i="5" l="1"/>
  <c r="AED38" i="5"/>
  <c r="AEC44" i="5"/>
  <c r="AHQ37" i="5"/>
  <c r="AHR20" i="5"/>
  <c r="AAT49" i="5"/>
  <c r="AAT51" i="5" s="1"/>
  <c r="AAT53" i="5" s="1"/>
  <c r="AAU46" i="5"/>
  <c r="AIM48" i="5" l="1"/>
  <c r="AEE38" i="5"/>
  <c r="AED44" i="5"/>
  <c r="AHR37" i="5"/>
  <c r="AHS20" i="5"/>
  <c r="AAU49" i="5"/>
  <c r="AAU51" i="5" s="1"/>
  <c r="AAU53" i="5" s="1"/>
  <c r="AAV46" i="5"/>
  <c r="AIN48" i="5" l="1"/>
  <c r="AEF38" i="5"/>
  <c r="AEE44" i="5"/>
  <c r="AHS37" i="5"/>
  <c r="AHT20" i="5"/>
  <c r="AAV49" i="5"/>
  <c r="AAV51" i="5" s="1"/>
  <c r="AAV53" i="5" s="1"/>
  <c r="AAX46" i="5"/>
  <c r="AIO48" i="5" l="1"/>
  <c r="AEG38" i="5"/>
  <c r="AEF44" i="5"/>
  <c r="AHT37" i="5"/>
  <c r="AHU20" i="5"/>
  <c r="AAX49" i="5"/>
  <c r="AAX51" i="5" s="1"/>
  <c r="AAX53" i="5" s="1"/>
  <c r="AAY46" i="5"/>
  <c r="AIP48" i="5" l="1"/>
  <c r="AEH38" i="5"/>
  <c r="AEG44" i="5"/>
  <c r="AHU37" i="5"/>
  <c r="AHV20" i="5"/>
  <c r="AAY49" i="5"/>
  <c r="AAY51" i="5" s="1"/>
  <c r="AAY53" i="5" s="1"/>
  <c r="AAZ46" i="5"/>
  <c r="AIQ48" i="5" l="1"/>
  <c r="AEI38" i="5"/>
  <c r="AEH44" i="5"/>
  <c r="AHV37" i="5"/>
  <c r="AHW20" i="5"/>
  <c r="AAZ49" i="5"/>
  <c r="AAZ51" i="5" s="1"/>
  <c r="AAZ53" i="5" s="1"/>
  <c r="ABA46" i="5"/>
  <c r="AIR48" i="5" l="1"/>
  <c r="AEJ38" i="5"/>
  <c r="AEI44" i="5"/>
  <c r="AHW37" i="5"/>
  <c r="AHX20" i="5"/>
  <c r="ABA49" i="5"/>
  <c r="ABA51" i="5" s="1"/>
  <c r="ABA53" i="5" s="1"/>
  <c r="ABB46" i="5"/>
  <c r="AIS48" i="5" l="1"/>
  <c r="AEK38" i="5"/>
  <c r="AEJ44" i="5"/>
  <c r="AHX37" i="5"/>
  <c r="AHY20" i="5"/>
  <c r="ABB49" i="5"/>
  <c r="ABB51" i="5" s="1"/>
  <c r="ABB53" i="5" s="1"/>
  <c r="ABC46" i="5"/>
  <c r="AIT48" i="5" l="1"/>
  <c r="AEL38" i="5"/>
  <c r="AEK44" i="5"/>
  <c r="AHY37" i="5"/>
  <c r="AHZ20" i="5"/>
  <c r="ABC49" i="5"/>
  <c r="ABC51" i="5" s="1"/>
  <c r="ABC53" i="5" s="1"/>
  <c r="ABD46" i="5"/>
  <c r="AIU48" i="5" l="1"/>
  <c r="AEM38" i="5"/>
  <c r="AEL44" i="5"/>
  <c r="AHZ37" i="5"/>
  <c r="AIA20" i="5"/>
  <c r="ABD49" i="5"/>
  <c r="ABD51" i="5" s="1"/>
  <c r="ABD53" i="5" s="1"/>
  <c r="ABE46" i="5"/>
  <c r="AIV48" i="5" l="1"/>
  <c r="AEO38" i="5"/>
  <c r="AEM44" i="5"/>
  <c r="AIA37" i="5"/>
  <c r="AIB20" i="5"/>
  <c r="ABE49" i="5"/>
  <c r="ABE51" i="5" s="1"/>
  <c r="ABE53" i="5" s="1"/>
  <c r="ABF46" i="5"/>
  <c r="AIW48" i="5" l="1"/>
  <c r="AEP38" i="5"/>
  <c r="AEO44" i="5"/>
  <c r="AIB37" i="5"/>
  <c r="AIC20" i="5"/>
  <c r="ABF49" i="5"/>
  <c r="ABF51" i="5" s="1"/>
  <c r="ABF53" i="5" s="1"/>
  <c r="ABG46" i="5"/>
  <c r="AIX48" i="5" l="1"/>
  <c r="AEQ38" i="5"/>
  <c r="AEP44" i="5"/>
  <c r="AIC37" i="5"/>
  <c r="AID20" i="5"/>
  <c r="ABG49" i="5"/>
  <c r="ABG51" i="5" s="1"/>
  <c r="ABG53" i="5" s="1"/>
  <c r="ABH46" i="5"/>
  <c r="AIY48" i="5" l="1"/>
  <c r="AER38" i="5"/>
  <c r="AEQ44" i="5"/>
  <c r="AID37" i="5"/>
  <c r="AIF20" i="5"/>
  <c r="ABH49" i="5"/>
  <c r="ABH51" i="5" s="1"/>
  <c r="ABH53" i="5" s="1"/>
  <c r="ABI46" i="5"/>
  <c r="AIZ48" i="5" l="1"/>
  <c r="AES38" i="5"/>
  <c r="AER44" i="5"/>
  <c r="AIF37" i="5"/>
  <c r="AIG20" i="5"/>
  <c r="ABI49" i="5"/>
  <c r="ABI51" i="5" s="1"/>
  <c r="ABI53" i="5" s="1"/>
  <c r="ABJ46" i="5"/>
  <c r="AJA48" i="5" l="1"/>
  <c r="AET38" i="5"/>
  <c r="AES44" i="5"/>
  <c r="AIG37" i="5"/>
  <c r="AIH20" i="5"/>
  <c r="ABJ49" i="5"/>
  <c r="ABJ51" i="5" s="1"/>
  <c r="ABJ53" i="5" s="1"/>
  <c r="ABK46" i="5"/>
  <c r="AJB48" i="5" l="1"/>
  <c r="AEU38" i="5"/>
  <c r="AET44" i="5"/>
  <c r="AIH37" i="5"/>
  <c r="AII20" i="5"/>
  <c r="ABK49" i="5"/>
  <c r="ABK51" i="5" s="1"/>
  <c r="ABK53" i="5" s="1"/>
  <c r="ABL46" i="5"/>
  <c r="AJC48" i="5" l="1"/>
  <c r="AEV38" i="5"/>
  <c r="AEU44" i="5"/>
  <c r="AII37" i="5"/>
  <c r="AIJ20" i="5"/>
  <c r="ABL49" i="5"/>
  <c r="ABL51" i="5" s="1"/>
  <c r="ABL53" i="5" s="1"/>
  <c r="ABM46" i="5"/>
  <c r="AJD48" i="5" l="1"/>
  <c r="AEW38" i="5"/>
  <c r="AEV44" i="5"/>
  <c r="AIJ37" i="5"/>
  <c r="AIK20" i="5"/>
  <c r="ABM49" i="5"/>
  <c r="ABM51" i="5" s="1"/>
  <c r="ABM53" i="5" s="1"/>
  <c r="ABN46" i="5"/>
  <c r="AJE48" i="5" l="1"/>
  <c r="AEX38" i="5"/>
  <c r="AEW44" i="5"/>
  <c r="AIK37" i="5"/>
  <c r="AIL20" i="5"/>
  <c r="ABN49" i="5"/>
  <c r="ABN51" i="5" s="1"/>
  <c r="ABN53" i="5" s="1"/>
  <c r="ABO46" i="5"/>
  <c r="AJF48" i="5" l="1"/>
  <c r="AEY38" i="5"/>
  <c r="AEX44" i="5"/>
  <c r="AIL37" i="5"/>
  <c r="AIM20" i="5"/>
  <c r="ABO49" i="5"/>
  <c r="ABO51" i="5" s="1"/>
  <c r="ABO53" i="5" s="1"/>
  <c r="ABP46" i="5"/>
  <c r="AJG48" i="5" l="1"/>
  <c r="AEZ38" i="5"/>
  <c r="AEY44" i="5"/>
  <c r="AIM37" i="5"/>
  <c r="AIN20" i="5"/>
  <c r="ABP49" i="5"/>
  <c r="ABP51" i="5" s="1"/>
  <c r="ABP53" i="5" s="1"/>
  <c r="ABQ46" i="5"/>
  <c r="AJH48" i="5" l="1"/>
  <c r="AFA38" i="5"/>
  <c r="AEZ44" i="5"/>
  <c r="AIN37" i="5"/>
  <c r="AIO20" i="5"/>
  <c r="ABQ49" i="5"/>
  <c r="ABQ51" i="5" s="1"/>
  <c r="ABQ53" i="5" s="1"/>
  <c r="ABR46" i="5"/>
  <c r="AJI48" i="5" l="1"/>
  <c r="AFB38" i="5"/>
  <c r="AFA44" i="5"/>
  <c r="AIO37" i="5"/>
  <c r="AIP20" i="5"/>
  <c r="ABR49" i="5"/>
  <c r="ABR51" i="5" s="1"/>
  <c r="ABR53" i="5" s="1"/>
  <c r="ABS46" i="5"/>
  <c r="AJJ48" i="5" l="1"/>
  <c r="AFC38" i="5"/>
  <c r="AFB44" i="5"/>
  <c r="AIP37" i="5"/>
  <c r="AIQ20" i="5"/>
  <c r="ABS49" i="5"/>
  <c r="ABS51" i="5" s="1"/>
  <c r="ABS53" i="5" s="1"/>
  <c r="ABT46" i="5"/>
  <c r="AJL48" i="5" l="1"/>
  <c r="AFD38" i="5"/>
  <c r="AFC44" i="5"/>
  <c r="AIQ37" i="5"/>
  <c r="AIR20" i="5"/>
  <c r="ABT49" i="5"/>
  <c r="ABT51" i="5" s="1"/>
  <c r="ABT53" i="5" s="1"/>
  <c r="ABU46" i="5"/>
  <c r="AJM48" i="5" l="1"/>
  <c r="AFE38" i="5"/>
  <c r="AFD44" i="5"/>
  <c r="AIR37" i="5"/>
  <c r="AIS20" i="5"/>
  <c r="ABU49" i="5"/>
  <c r="ABU51" i="5" s="1"/>
  <c r="ABU53" i="5" s="1"/>
  <c r="ABV46" i="5"/>
  <c r="AJN48" i="5" l="1"/>
  <c r="AFF38" i="5"/>
  <c r="AFE44" i="5"/>
  <c r="AIS37" i="5"/>
  <c r="AIT20" i="5"/>
  <c r="ABV49" i="5"/>
  <c r="ABV51" i="5" s="1"/>
  <c r="ABV53" i="5" s="1"/>
  <c r="ABW46" i="5"/>
  <c r="AJO48" i="5" l="1"/>
  <c r="AFG38" i="5"/>
  <c r="AFF44" i="5"/>
  <c r="AIT37" i="5"/>
  <c r="AIU20" i="5"/>
  <c r="ABW49" i="5"/>
  <c r="ABW51" i="5" s="1"/>
  <c r="ABW53" i="5" s="1"/>
  <c r="ABX46" i="5"/>
  <c r="AJP48" i="5" l="1"/>
  <c r="AFH38" i="5"/>
  <c r="AFG44" i="5"/>
  <c r="AIU37" i="5"/>
  <c r="AIV20" i="5"/>
  <c r="ABX49" i="5"/>
  <c r="ABX51" i="5" s="1"/>
  <c r="ABX53" i="5" s="1"/>
  <c r="ABY46" i="5"/>
  <c r="AJQ48" i="5" l="1"/>
  <c r="AFI38" i="5"/>
  <c r="AFH44" i="5"/>
  <c r="AIV37" i="5"/>
  <c r="AIW20" i="5"/>
  <c r="ABY49" i="5"/>
  <c r="ABY51" i="5" s="1"/>
  <c r="ABY53" i="5" s="1"/>
  <c r="ABZ46" i="5"/>
  <c r="AJR48" i="5" l="1"/>
  <c r="AFJ38" i="5"/>
  <c r="AFI44" i="5"/>
  <c r="AIW37" i="5"/>
  <c r="AIX20" i="5"/>
  <c r="ABZ49" i="5"/>
  <c r="ABZ51" i="5" s="1"/>
  <c r="ABZ53" i="5" s="1"/>
  <c r="ACA46" i="5"/>
  <c r="AJS48" i="5" l="1"/>
  <c r="AFK38" i="5"/>
  <c r="AFJ44" i="5"/>
  <c r="AIX37" i="5"/>
  <c r="AIY20" i="5"/>
  <c r="ACA49" i="5"/>
  <c r="ACA51" i="5" s="1"/>
  <c r="ACA53" i="5" s="1"/>
  <c r="ACB46" i="5"/>
  <c r="AJT48" i="5" l="1"/>
  <c r="AFL38" i="5"/>
  <c r="AFK44" i="5"/>
  <c r="AIY37" i="5"/>
  <c r="AIZ20" i="5"/>
  <c r="ACB49" i="5"/>
  <c r="ACB51" i="5" s="1"/>
  <c r="ACB53" i="5" s="1"/>
  <c r="ACD46" i="5"/>
  <c r="AJU48" i="5" l="1"/>
  <c r="AFM38" i="5"/>
  <c r="AFL44" i="5"/>
  <c r="AIZ37" i="5"/>
  <c r="AJA20" i="5"/>
  <c r="ACD49" i="5"/>
  <c r="ACD51" i="5" s="1"/>
  <c r="ACD53" i="5" s="1"/>
  <c r="ACE46" i="5"/>
  <c r="AJV48" i="5" l="1"/>
  <c r="AFN38" i="5"/>
  <c r="AFM44" i="5"/>
  <c r="AJA37" i="5"/>
  <c r="AJB20" i="5"/>
  <c r="ACE49" i="5"/>
  <c r="ACE51" i="5" s="1"/>
  <c r="ACE53" i="5" s="1"/>
  <c r="ACF46" i="5"/>
  <c r="AJW48" i="5" l="1"/>
  <c r="AFO38" i="5"/>
  <c r="AFN44" i="5"/>
  <c r="AJB37" i="5"/>
  <c r="AJC20" i="5"/>
  <c r="ACF49" i="5"/>
  <c r="ACF51" i="5" s="1"/>
  <c r="ACF53" i="5" s="1"/>
  <c r="ACG46" i="5"/>
  <c r="AJX48" i="5" l="1"/>
  <c r="AFP38" i="5"/>
  <c r="AFO44" i="5"/>
  <c r="AJC37" i="5"/>
  <c r="AJD20" i="5"/>
  <c r="ACG49" i="5"/>
  <c r="ACG51" i="5" s="1"/>
  <c r="ACG53" i="5" s="1"/>
  <c r="ACH46" i="5"/>
  <c r="AJY48" i="5" l="1"/>
  <c r="AFQ38" i="5"/>
  <c r="AFP44" i="5"/>
  <c r="AJD37" i="5"/>
  <c r="AJE20" i="5"/>
  <c r="ACH49" i="5"/>
  <c r="ACH51" i="5" s="1"/>
  <c r="ACH53" i="5" s="1"/>
  <c r="ACI46" i="5"/>
  <c r="AJZ48" i="5" l="1"/>
  <c r="AFR38" i="5"/>
  <c r="AFQ44" i="5"/>
  <c r="AJE37" i="5"/>
  <c r="AJF20" i="5"/>
  <c r="ACI49" i="5"/>
  <c r="ACI51" i="5" s="1"/>
  <c r="ACI53" i="5" s="1"/>
  <c r="ACJ46" i="5"/>
  <c r="AKA48" i="5" l="1"/>
  <c r="AFS38" i="5"/>
  <c r="AFR44" i="5"/>
  <c r="AJF37" i="5"/>
  <c r="AJG20" i="5"/>
  <c r="ACJ49" i="5"/>
  <c r="ACJ51" i="5" s="1"/>
  <c r="ACJ53" i="5" s="1"/>
  <c r="ACK46" i="5"/>
  <c r="AKB48" i="5" l="1"/>
  <c r="AFU38" i="5"/>
  <c r="AFS44" i="5"/>
  <c r="AJG37" i="5"/>
  <c r="AJH20" i="5"/>
  <c r="ACK49" i="5"/>
  <c r="ACK51" i="5" s="1"/>
  <c r="ACK53" i="5" s="1"/>
  <c r="ACL46" i="5"/>
  <c r="AKC48" i="5" l="1"/>
  <c r="AFV38" i="5"/>
  <c r="AFU44" i="5"/>
  <c r="AJH37" i="5"/>
  <c r="AJI20" i="5"/>
  <c r="ACL49" i="5"/>
  <c r="ACL51" i="5" s="1"/>
  <c r="ACL53" i="5" s="1"/>
  <c r="ACM46" i="5"/>
  <c r="AKD48" i="5" l="1"/>
  <c r="AFW38" i="5"/>
  <c r="AFV44" i="5"/>
  <c r="AJI37" i="5"/>
  <c r="AJJ20" i="5"/>
  <c r="ACM49" i="5"/>
  <c r="ACM51" i="5" s="1"/>
  <c r="ACM53" i="5" s="1"/>
  <c r="ACN46" i="5"/>
  <c r="AKE48" i="5" l="1"/>
  <c r="AFX38" i="5"/>
  <c r="AFW44" i="5"/>
  <c r="AJJ37" i="5"/>
  <c r="AJL20" i="5"/>
  <c r="ACN49" i="5"/>
  <c r="ACN51" i="5" s="1"/>
  <c r="ACN53" i="5" s="1"/>
  <c r="ACO46" i="5"/>
  <c r="AKF48" i="5" l="1"/>
  <c r="AFY38" i="5"/>
  <c r="AFX44" i="5"/>
  <c r="AJL37" i="5"/>
  <c r="AJM20" i="5"/>
  <c r="ACO49" i="5"/>
  <c r="ACO51" i="5" s="1"/>
  <c r="ACO53" i="5" s="1"/>
  <c r="ACP46" i="5"/>
  <c r="AKG48" i="5" l="1"/>
  <c r="AFZ38" i="5"/>
  <c r="AFY44" i="5"/>
  <c r="AJM37" i="5"/>
  <c r="AJN20" i="5"/>
  <c r="ACP49" i="5"/>
  <c r="ACP51" i="5" s="1"/>
  <c r="ACP53" i="5" s="1"/>
  <c r="ACQ46" i="5"/>
  <c r="AKH48" i="5" l="1"/>
  <c r="AGA38" i="5"/>
  <c r="AFZ44" i="5"/>
  <c r="AJN37" i="5"/>
  <c r="AJO20" i="5"/>
  <c r="ACQ49" i="5"/>
  <c r="ACQ51" i="5" s="1"/>
  <c r="ACQ53" i="5" s="1"/>
  <c r="ACR46" i="5"/>
  <c r="AKI48" i="5" l="1"/>
  <c r="AGB38" i="5"/>
  <c r="AGA44" i="5"/>
  <c r="AJO37" i="5"/>
  <c r="AJP20" i="5"/>
  <c r="ACR49" i="5"/>
  <c r="ACR51" i="5" s="1"/>
  <c r="ACR53" i="5" s="1"/>
  <c r="ACS46" i="5"/>
  <c r="AKJ48" i="5" l="1"/>
  <c r="AGC38" i="5"/>
  <c r="AGB44" i="5"/>
  <c r="AJP37" i="5"/>
  <c r="AJQ20" i="5"/>
  <c r="ACS49" i="5"/>
  <c r="ACS51" i="5" s="1"/>
  <c r="ACS53" i="5" s="1"/>
  <c r="ACT46" i="5"/>
  <c r="AKK48" i="5" l="1"/>
  <c r="AGD38" i="5"/>
  <c r="AGC44" i="5"/>
  <c r="AJQ37" i="5"/>
  <c r="AJR20" i="5"/>
  <c r="ACT49" i="5"/>
  <c r="ACT51" i="5" s="1"/>
  <c r="ACT53" i="5" s="1"/>
  <c r="ACU46" i="5"/>
  <c r="AKL48" i="5" l="1"/>
  <c r="AGE38" i="5"/>
  <c r="AGD44" i="5"/>
  <c r="AJR37" i="5"/>
  <c r="AJS20" i="5"/>
  <c r="ACU49" i="5"/>
  <c r="ACU51" i="5" s="1"/>
  <c r="ACU53" i="5" s="1"/>
  <c r="ACV46" i="5"/>
  <c r="AKM48" i="5" l="1"/>
  <c r="AGF38" i="5"/>
  <c r="AGE44" i="5"/>
  <c r="AJS37" i="5"/>
  <c r="AJT20" i="5"/>
  <c r="ACV49" i="5"/>
  <c r="ACV51" i="5" s="1"/>
  <c r="ACV53" i="5" s="1"/>
  <c r="ACW46" i="5"/>
  <c r="AKO48" i="5" l="1"/>
  <c r="AGG38" i="5"/>
  <c r="AGF44" i="5"/>
  <c r="AJT37" i="5"/>
  <c r="AJU20" i="5"/>
  <c r="ACW49" i="5"/>
  <c r="ACW51" i="5" s="1"/>
  <c r="ACW53" i="5" s="1"/>
  <c r="ACX46" i="5"/>
  <c r="AKP48" i="5" l="1"/>
  <c r="AGH38" i="5"/>
  <c r="AGG44" i="5"/>
  <c r="AJU37" i="5"/>
  <c r="AJV20" i="5"/>
  <c r="ACX49" i="5"/>
  <c r="ACX51" i="5" s="1"/>
  <c r="ACX53" i="5" s="1"/>
  <c r="ACY46" i="5"/>
  <c r="AKQ48" i="5" l="1"/>
  <c r="AGI38" i="5"/>
  <c r="AGH44" i="5"/>
  <c r="AJV37" i="5"/>
  <c r="AJW20" i="5"/>
  <c r="ACY49" i="5"/>
  <c r="ACY51" i="5" s="1"/>
  <c r="ACY53" i="5" s="1"/>
  <c r="ACZ46" i="5"/>
  <c r="AKR48" i="5" l="1"/>
  <c r="AGJ38" i="5"/>
  <c r="AGI44" i="5"/>
  <c r="AJW37" i="5"/>
  <c r="AJX20" i="5"/>
  <c r="ACZ49" i="5"/>
  <c r="ACZ51" i="5" s="1"/>
  <c r="ACZ53" i="5" s="1"/>
  <c r="ADA46" i="5"/>
  <c r="AKS48" i="5" l="1"/>
  <c r="AGK38" i="5"/>
  <c r="AGJ44" i="5"/>
  <c r="AJX37" i="5"/>
  <c r="AJY20" i="5"/>
  <c r="ADA49" i="5"/>
  <c r="ADA51" i="5" s="1"/>
  <c r="ADA53" i="5" s="1"/>
  <c r="ADB46" i="5"/>
  <c r="AKT48" i="5" l="1"/>
  <c r="AGL38" i="5"/>
  <c r="AGK44" i="5"/>
  <c r="AJY37" i="5"/>
  <c r="AJZ20" i="5"/>
  <c r="ADB49" i="5"/>
  <c r="ADB51" i="5" s="1"/>
  <c r="ADB53" i="5" s="1"/>
  <c r="ADC46" i="5"/>
  <c r="AKU48" i="5" l="1"/>
  <c r="AGM38" i="5"/>
  <c r="AGL44" i="5"/>
  <c r="AJZ37" i="5"/>
  <c r="AKA20" i="5"/>
  <c r="ADC49" i="5"/>
  <c r="ADC51" i="5" s="1"/>
  <c r="ADC53" i="5" s="1"/>
  <c r="ADD46" i="5"/>
  <c r="AKV48" i="5" l="1"/>
  <c r="AGN38" i="5"/>
  <c r="AGM44" i="5"/>
  <c r="AKA37" i="5"/>
  <c r="AKB20" i="5"/>
  <c r="ADD49" i="5"/>
  <c r="ADD51" i="5" s="1"/>
  <c r="ADD53" i="5" s="1"/>
  <c r="ADE46" i="5"/>
  <c r="AKW48" i="5" l="1"/>
  <c r="AGO38" i="5"/>
  <c r="AGN44" i="5"/>
  <c r="AKB37" i="5"/>
  <c r="AKC20" i="5"/>
  <c r="ADE49" i="5"/>
  <c r="ADE51" i="5" s="1"/>
  <c r="ADE53" i="5" s="1"/>
  <c r="ADF46" i="5"/>
  <c r="AKX48" i="5" l="1"/>
  <c r="AGP38" i="5"/>
  <c r="AGO44" i="5"/>
  <c r="AKC37" i="5"/>
  <c r="AKD20" i="5"/>
  <c r="ADF49" i="5"/>
  <c r="ADF51" i="5" s="1"/>
  <c r="ADF53" i="5" s="1"/>
  <c r="ADG46" i="5"/>
  <c r="AKY48" i="5" l="1"/>
  <c r="AGQ38" i="5"/>
  <c r="AGP44" i="5"/>
  <c r="AKD37" i="5"/>
  <c r="AKE20" i="5"/>
  <c r="ADG49" i="5"/>
  <c r="ADG51" i="5" s="1"/>
  <c r="ADG53" i="5" s="1"/>
  <c r="ADH46" i="5"/>
  <c r="AKZ48" i="5" l="1"/>
  <c r="AGR38" i="5"/>
  <c r="AGQ44" i="5"/>
  <c r="AKE37" i="5"/>
  <c r="AKF20" i="5"/>
  <c r="ADH49" i="5"/>
  <c r="ADH51" i="5" s="1"/>
  <c r="ADH53" i="5" s="1"/>
  <c r="ADJ46" i="5"/>
  <c r="ALA48" i="5" l="1"/>
  <c r="AGS38" i="5"/>
  <c r="AGR44" i="5"/>
  <c r="AKF37" i="5"/>
  <c r="AKG20" i="5"/>
  <c r="ADJ49" i="5"/>
  <c r="ADJ51" i="5" s="1"/>
  <c r="ADJ53" i="5" s="1"/>
  <c r="ADK46" i="5"/>
  <c r="ALB48" i="5" l="1"/>
  <c r="AGT38" i="5"/>
  <c r="AGS44" i="5"/>
  <c r="AKG37" i="5"/>
  <c r="AKH20" i="5"/>
  <c r="ADK49" i="5"/>
  <c r="ADK51" i="5" s="1"/>
  <c r="ADK53" i="5" s="1"/>
  <c r="ADL46" i="5"/>
  <c r="ALC48" i="5" l="1"/>
  <c r="AGU38" i="5"/>
  <c r="AGT44" i="5"/>
  <c r="AKH37" i="5"/>
  <c r="AKI20" i="5"/>
  <c r="ADL49" i="5"/>
  <c r="ADL51" i="5" s="1"/>
  <c r="ADL53" i="5" s="1"/>
  <c r="ADM46" i="5"/>
  <c r="ALD48" i="5" l="1"/>
  <c r="AGV38" i="5"/>
  <c r="AGU44" i="5"/>
  <c r="AKI37" i="5"/>
  <c r="AKJ20" i="5"/>
  <c r="ADM49" i="5"/>
  <c r="ADM51" i="5" s="1"/>
  <c r="ADM53" i="5" s="1"/>
  <c r="ADN46" i="5"/>
  <c r="ALE48" i="5" l="1"/>
  <c r="AGW38" i="5"/>
  <c r="AGV44" i="5"/>
  <c r="AKJ37" i="5"/>
  <c r="AKK20" i="5"/>
  <c r="ADN49" i="5"/>
  <c r="ADN51" i="5" s="1"/>
  <c r="ADN53" i="5" s="1"/>
  <c r="ADO46" i="5"/>
  <c r="ALF48" i="5" l="1"/>
  <c r="AGX38" i="5"/>
  <c r="AGW44" i="5"/>
  <c r="AKK37" i="5"/>
  <c r="AKL20" i="5"/>
  <c r="ADO49" i="5"/>
  <c r="ADO51" i="5" s="1"/>
  <c r="ADO53" i="5" s="1"/>
  <c r="ADP46" i="5"/>
  <c r="ALG48" i="5" l="1"/>
  <c r="AGZ38" i="5"/>
  <c r="AGX44" i="5"/>
  <c r="AKL37" i="5"/>
  <c r="AKM20" i="5"/>
  <c r="ADP49" i="5"/>
  <c r="ADP51" i="5" s="1"/>
  <c r="ADP53" i="5" s="1"/>
  <c r="ADQ46" i="5"/>
  <c r="ALH48" i="5" l="1"/>
  <c r="AHA38" i="5"/>
  <c r="AGZ44" i="5"/>
  <c r="AKM37" i="5"/>
  <c r="AKO20" i="5"/>
  <c r="ADQ49" i="5"/>
  <c r="ADQ51" i="5" s="1"/>
  <c r="ADQ53" i="5" s="1"/>
  <c r="ADR46" i="5"/>
  <c r="ALI48" i="5" l="1"/>
  <c r="AHB38" i="5"/>
  <c r="AHA44" i="5"/>
  <c r="AKO37" i="5"/>
  <c r="AKP20" i="5"/>
  <c r="ADR49" i="5"/>
  <c r="ADR51" i="5" s="1"/>
  <c r="ADR53" i="5" s="1"/>
  <c r="ADS46" i="5"/>
  <c r="ALJ48" i="5" l="1"/>
  <c r="AHC38" i="5"/>
  <c r="AHB44" i="5"/>
  <c r="AKP37" i="5"/>
  <c r="AKQ20" i="5"/>
  <c r="ADS49" i="5"/>
  <c r="ADS51" i="5" s="1"/>
  <c r="ADS53" i="5" s="1"/>
  <c r="ADT46" i="5"/>
  <c r="ALK48" i="5" l="1"/>
  <c r="AHD38" i="5"/>
  <c r="AHC44" i="5"/>
  <c r="AKQ37" i="5"/>
  <c r="AKR20" i="5"/>
  <c r="ADT49" i="5"/>
  <c r="ADT51" i="5" s="1"/>
  <c r="ADT53" i="5" s="1"/>
  <c r="ADU46" i="5"/>
  <c r="ALL48" i="5" l="1"/>
  <c r="AHE38" i="5"/>
  <c r="AHD44" i="5"/>
  <c r="AKR37" i="5"/>
  <c r="AKS20" i="5"/>
  <c r="ADU49" i="5"/>
  <c r="ADU51" i="5" s="1"/>
  <c r="ADU53" i="5" s="1"/>
  <c r="ADV46" i="5"/>
  <c r="ALM48" i="5" l="1"/>
  <c r="AHF38" i="5"/>
  <c r="AHE44" i="5"/>
  <c r="AKS37" i="5"/>
  <c r="AKT20" i="5"/>
  <c r="ADV49" i="5"/>
  <c r="ADV51" i="5" s="1"/>
  <c r="ADV53" i="5" s="1"/>
  <c r="ADW46" i="5"/>
  <c r="ALN48" i="5" l="1"/>
  <c r="AHG38" i="5"/>
  <c r="AHF44" i="5"/>
  <c r="AKT37" i="5"/>
  <c r="AKU20" i="5"/>
  <c r="ADW49" i="5"/>
  <c r="ADW51" i="5" s="1"/>
  <c r="ADW53" i="5" s="1"/>
  <c r="ADX46" i="5"/>
  <c r="ALO48" i="5" l="1"/>
  <c r="AHH38" i="5"/>
  <c r="AHG44" i="5"/>
  <c r="AKU37" i="5"/>
  <c r="AKV20" i="5"/>
  <c r="ADX49" i="5"/>
  <c r="ADX51" i="5" s="1"/>
  <c r="ADX53" i="5" s="1"/>
  <c r="ADY46" i="5"/>
  <c r="ALP48" i="5" l="1"/>
  <c r="AHI38" i="5"/>
  <c r="AHH44" i="5"/>
  <c r="AKV37" i="5"/>
  <c r="AKW20" i="5"/>
  <c r="ADY49" i="5"/>
  <c r="ADY51" i="5" s="1"/>
  <c r="ADY53" i="5" s="1"/>
  <c r="ADZ46" i="5"/>
  <c r="ALQ48" i="5" l="1"/>
  <c r="AHJ38" i="5"/>
  <c r="AHI44" i="5"/>
  <c r="AKW37" i="5"/>
  <c r="AKX20" i="5"/>
  <c r="ADZ49" i="5"/>
  <c r="ADZ51" i="5" s="1"/>
  <c r="ADZ53" i="5" s="1"/>
  <c r="AEA46" i="5"/>
  <c r="ALR48" i="5" l="1"/>
  <c r="AHK38" i="5"/>
  <c r="AHJ44" i="5"/>
  <c r="AKX37" i="5"/>
  <c r="AKY20" i="5"/>
  <c r="AEA49" i="5"/>
  <c r="AEA51" i="5" s="1"/>
  <c r="AEA53" i="5" s="1"/>
  <c r="AEB46" i="5"/>
  <c r="ALS48" i="5" l="1"/>
  <c r="AHL38" i="5"/>
  <c r="AHK44" i="5"/>
  <c r="AKY37" i="5"/>
  <c r="AKZ20" i="5"/>
  <c r="AEB49" i="5"/>
  <c r="AEB51" i="5" s="1"/>
  <c r="AEB53" i="5" s="1"/>
  <c r="AEC46" i="5"/>
  <c r="ALU48" i="5" l="1"/>
  <c r="AHM38" i="5"/>
  <c r="AHL44" i="5"/>
  <c r="AKZ37" i="5"/>
  <c r="ALA20" i="5"/>
  <c r="AEC49" i="5"/>
  <c r="AEC51" i="5" s="1"/>
  <c r="AEC53" i="5" s="1"/>
  <c r="AED46" i="5"/>
  <c r="ALV48" i="5" l="1"/>
  <c r="AHN38" i="5"/>
  <c r="AHM44" i="5"/>
  <c r="ALA37" i="5"/>
  <c r="ALB20" i="5"/>
  <c r="AED49" i="5"/>
  <c r="AED51" i="5" s="1"/>
  <c r="AED53" i="5" s="1"/>
  <c r="AEE46" i="5"/>
  <c r="ALW48" i="5" l="1"/>
  <c r="AHO38" i="5"/>
  <c r="AHN44" i="5"/>
  <c r="ALB37" i="5"/>
  <c r="ALC20" i="5"/>
  <c r="AEE49" i="5"/>
  <c r="AEE51" i="5" s="1"/>
  <c r="AEE53" i="5" s="1"/>
  <c r="AEF46" i="5"/>
  <c r="ALX48" i="5" l="1"/>
  <c r="AHP38" i="5"/>
  <c r="AHO44" i="5"/>
  <c r="ALC37" i="5"/>
  <c r="ALD20" i="5"/>
  <c r="AEF49" i="5"/>
  <c r="AEF51" i="5" s="1"/>
  <c r="AEF53" i="5" s="1"/>
  <c r="AEG46" i="5"/>
  <c r="ALY48" i="5" l="1"/>
  <c r="AHQ38" i="5"/>
  <c r="AHP44" i="5"/>
  <c r="ALD37" i="5"/>
  <c r="ALE20" i="5"/>
  <c r="AEG49" i="5"/>
  <c r="AEG51" i="5" s="1"/>
  <c r="AEG53" i="5" s="1"/>
  <c r="AEH46" i="5"/>
  <c r="ALZ48" i="5" l="1"/>
  <c r="AHR38" i="5"/>
  <c r="AHQ44" i="5"/>
  <c r="ALE37" i="5"/>
  <c r="ALF20" i="5"/>
  <c r="AEH49" i="5"/>
  <c r="AEH51" i="5" s="1"/>
  <c r="AEH53" i="5" s="1"/>
  <c r="AEI46" i="5"/>
  <c r="AMA48" i="5" l="1"/>
  <c r="AHS38" i="5"/>
  <c r="AHR44" i="5"/>
  <c r="ALF37" i="5"/>
  <c r="ALG20" i="5"/>
  <c r="AEI49" i="5"/>
  <c r="AEI51" i="5" s="1"/>
  <c r="AEI53" i="5" s="1"/>
  <c r="AEJ46" i="5"/>
  <c r="AMB48" i="5" l="1"/>
  <c r="AHT38" i="5"/>
  <c r="AHS44" i="5"/>
  <c r="ALG37" i="5"/>
  <c r="ALH20" i="5"/>
  <c r="AEJ49" i="5"/>
  <c r="AEJ51" i="5" s="1"/>
  <c r="AEJ53" i="5" s="1"/>
  <c r="AEK46" i="5"/>
  <c r="AMC48" i="5" l="1"/>
  <c r="AHU38" i="5"/>
  <c r="AHT44" i="5"/>
  <c r="ALH37" i="5"/>
  <c r="ALI20" i="5"/>
  <c r="AEK49" i="5"/>
  <c r="AEK51" i="5" s="1"/>
  <c r="AEK53" i="5" s="1"/>
  <c r="AEL46" i="5"/>
  <c r="AMD48" i="5" l="1"/>
  <c r="AHV38" i="5"/>
  <c r="AHU44" i="5"/>
  <c r="ALI37" i="5"/>
  <c r="ALJ20" i="5"/>
  <c r="AEL49" i="5"/>
  <c r="AEL51" i="5" s="1"/>
  <c r="AEL53" i="5" s="1"/>
  <c r="AEM46" i="5"/>
  <c r="AME48" i="5" l="1"/>
  <c r="AHW38" i="5"/>
  <c r="AHV44" i="5"/>
  <c r="ALJ37" i="5"/>
  <c r="ALK20" i="5"/>
  <c r="AEM49" i="5"/>
  <c r="AEM51" i="5" s="1"/>
  <c r="AEM53" i="5" s="1"/>
  <c r="AEO46" i="5"/>
  <c r="AMF48" i="5" l="1"/>
  <c r="AHX38" i="5"/>
  <c r="AHW44" i="5"/>
  <c r="ALK37" i="5"/>
  <c r="ALL20" i="5"/>
  <c r="AEO49" i="5"/>
  <c r="AEO51" i="5" s="1"/>
  <c r="AEO53" i="5" s="1"/>
  <c r="AEP46" i="5"/>
  <c r="AMG48" i="5" l="1"/>
  <c r="AHY38" i="5"/>
  <c r="AHX44" i="5"/>
  <c r="ALL37" i="5"/>
  <c r="ALM20" i="5"/>
  <c r="AEP49" i="5"/>
  <c r="AEP51" i="5" s="1"/>
  <c r="AEP53" i="5" s="1"/>
  <c r="AEQ46" i="5"/>
  <c r="AMH48" i="5" l="1"/>
  <c r="AHZ38" i="5"/>
  <c r="AHY44" i="5"/>
  <c r="ALM37" i="5"/>
  <c r="ALN20" i="5"/>
  <c r="AEQ49" i="5"/>
  <c r="AEQ51" i="5" s="1"/>
  <c r="AEQ53" i="5" s="1"/>
  <c r="AER46" i="5"/>
  <c r="AMI48" i="5" l="1"/>
  <c r="AIA38" i="5"/>
  <c r="AHZ44" i="5"/>
  <c r="ALN37" i="5"/>
  <c r="ALO20" i="5"/>
  <c r="AER49" i="5"/>
  <c r="AER51" i="5" s="1"/>
  <c r="AER53" i="5" s="1"/>
  <c r="AES46" i="5"/>
  <c r="AMJ48" i="5" l="1"/>
  <c r="AIB38" i="5"/>
  <c r="AIA44" i="5"/>
  <c r="ALO37" i="5"/>
  <c r="ALP20" i="5"/>
  <c r="AES49" i="5"/>
  <c r="AES51" i="5" s="1"/>
  <c r="AES53" i="5" s="1"/>
  <c r="AET46" i="5"/>
  <c r="AMK48" i="5" l="1"/>
  <c r="AIC38" i="5"/>
  <c r="AIB44" i="5"/>
  <c r="ALP37" i="5"/>
  <c r="ALQ20" i="5"/>
  <c r="AET49" i="5"/>
  <c r="AET51" i="5" s="1"/>
  <c r="AET53" i="5" s="1"/>
  <c r="AEU46" i="5"/>
  <c r="AML48" i="5" l="1"/>
  <c r="AID38" i="5"/>
  <c r="AIC44" i="5"/>
  <c r="ALQ37" i="5"/>
  <c r="ALR20" i="5"/>
  <c r="AEU49" i="5"/>
  <c r="AEU51" i="5" s="1"/>
  <c r="AEU53" i="5" s="1"/>
  <c r="AEV46" i="5"/>
  <c r="AMM48" i="5" l="1"/>
  <c r="AIF38" i="5"/>
  <c r="AID44" i="5"/>
  <c r="ALR37" i="5"/>
  <c r="ALS20" i="5"/>
  <c r="AEV49" i="5"/>
  <c r="AEV51" i="5" s="1"/>
  <c r="AEV53" i="5" s="1"/>
  <c r="AEW46" i="5"/>
  <c r="AMN48" i="5" l="1"/>
  <c r="AIG38" i="5"/>
  <c r="AIF44" i="5"/>
  <c r="ALS37" i="5"/>
  <c r="ALU20" i="5"/>
  <c r="AEW49" i="5"/>
  <c r="AEW51" i="5" s="1"/>
  <c r="AEW53" i="5" s="1"/>
  <c r="AEX46" i="5"/>
  <c r="AMO48" i="5" l="1"/>
  <c r="AIH38" i="5"/>
  <c r="AIG44" i="5"/>
  <c r="ALU37" i="5"/>
  <c r="ALV20" i="5"/>
  <c r="AEX49" i="5"/>
  <c r="AEX51" i="5" s="1"/>
  <c r="AEX53" i="5" s="1"/>
  <c r="AEY46" i="5"/>
  <c r="AMP48" i="5" l="1"/>
  <c r="AII38" i="5"/>
  <c r="AIH44" i="5"/>
  <c r="ALV37" i="5"/>
  <c r="ALW20" i="5"/>
  <c r="AEY49" i="5"/>
  <c r="AEY51" i="5" s="1"/>
  <c r="AEY53" i="5" s="1"/>
  <c r="AEZ46" i="5"/>
  <c r="AMQ48" i="5" l="1"/>
  <c r="AIJ38" i="5"/>
  <c r="AII44" i="5"/>
  <c r="ALW37" i="5"/>
  <c r="ALX20" i="5"/>
  <c r="AEZ49" i="5"/>
  <c r="AEZ51" i="5" s="1"/>
  <c r="AEZ53" i="5" s="1"/>
  <c r="AFA46" i="5"/>
  <c r="AMR48" i="5" l="1"/>
  <c r="AIK38" i="5"/>
  <c r="AIJ44" i="5"/>
  <c r="ALX37" i="5"/>
  <c r="ALY20" i="5"/>
  <c r="AFA49" i="5"/>
  <c r="AFA51" i="5" s="1"/>
  <c r="AFA53" i="5" s="1"/>
  <c r="AFB46" i="5"/>
  <c r="AMS48" i="5" l="1"/>
  <c r="AIL38" i="5"/>
  <c r="AIK44" i="5"/>
  <c r="ALY37" i="5"/>
  <c r="ALZ20" i="5"/>
  <c r="AFB49" i="5"/>
  <c r="AFB51" i="5" s="1"/>
  <c r="AFB53" i="5" s="1"/>
  <c r="AFC46" i="5"/>
  <c r="AMT48" i="5" l="1"/>
  <c r="AIM38" i="5"/>
  <c r="AIL44" i="5"/>
  <c r="ALZ37" i="5"/>
  <c r="AMA20" i="5"/>
  <c r="AFC49" i="5"/>
  <c r="AFC51" i="5" s="1"/>
  <c r="AFC53" i="5" s="1"/>
  <c r="AFD46" i="5"/>
  <c r="AMU48" i="5" l="1"/>
  <c r="AIN38" i="5"/>
  <c r="AIM44" i="5"/>
  <c r="AMA37" i="5"/>
  <c r="AMB20" i="5"/>
  <c r="AFD49" i="5"/>
  <c r="AFD51" i="5" s="1"/>
  <c r="AFD53" i="5" s="1"/>
  <c r="AFE46" i="5"/>
  <c r="AMV48" i="5" l="1"/>
  <c r="AIO38" i="5"/>
  <c r="AIN44" i="5"/>
  <c r="AMB37" i="5"/>
  <c r="AMC20" i="5"/>
  <c r="AFE49" i="5"/>
  <c r="AFE51" i="5" s="1"/>
  <c r="AFE53" i="5" s="1"/>
  <c r="AFF46" i="5"/>
  <c r="AMW48" i="5" l="1"/>
  <c r="AIP38" i="5"/>
  <c r="AIO44" i="5"/>
  <c r="AMC37" i="5"/>
  <c r="AMD20" i="5"/>
  <c r="AFF49" i="5"/>
  <c r="AFF51" i="5" s="1"/>
  <c r="AFF53" i="5" s="1"/>
  <c r="AFG46" i="5"/>
  <c r="AMX48" i="5" l="1"/>
  <c r="AIQ38" i="5"/>
  <c r="AIP44" i="5"/>
  <c r="AMD37" i="5"/>
  <c r="AME20" i="5"/>
  <c r="AFG49" i="5"/>
  <c r="AFG51" i="5" s="1"/>
  <c r="AFG53" i="5" s="1"/>
  <c r="AFH46" i="5"/>
  <c r="AMZ48" i="5" l="1"/>
  <c r="AIR38" i="5"/>
  <c r="AIQ44" i="5"/>
  <c r="AME37" i="5"/>
  <c r="AMF20" i="5"/>
  <c r="AFH49" i="5"/>
  <c r="AFH51" i="5" s="1"/>
  <c r="AFH53" i="5" s="1"/>
  <c r="AFI46" i="5"/>
  <c r="ANA48" i="5" l="1"/>
  <c r="AIS38" i="5"/>
  <c r="AIR44" i="5"/>
  <c r="AMF37" i="5"/>
  <c r="AMG20" i="5"/>
  <c r="AFI49" i="5"/>
  <c r="AFI51" i="5" s="1"/>
  <c r="AFI53" i="5" s="1"/>
  <c r="AFJ46" i="5"/>
  <c r="ANB48" i="5" l="1"/>
  <c r="AIT38" i="5"/>
  <c r="AIS44" i="5"/>
  <c r="AMG37" i="5"/>
  <c r="AMH20" i="5"/>
  <c r="AFJ49" i="5"/>
  <c r="AFJ51" i="5" s="1"/>
  <c r="AFJ53" i="5" s="1"/>
  <c r="AFK46" i="5"/>
  <c r="ANC48" i="5" l="1"/>
  <c r="AIU38" i="5"/>
  <c r="AIT44" i="5"/>
  <c r="AMH37" i="5"/>
  <c r="AMI20" i="5"/>
  <c r="AFK49" i="5"/>
  <c r="AFK51" i="5" s="1"/>
  <c r="AFK53" i="5" s="1"/>
  <c r="AFL46" i="5"/>
  <c r="AND48" i="5" l="1"/>
  <c r="AIV38" i="5"/>
  <c r="AIU44" i="5"/>
  <c r="AMI37" i="5"/>
  <c r="AMJ20" i="5"/>
  <c r="AFL49" i="5"/>
  <c r="AFL51" i="5" s="1"/>
  <c r="AFL53" i="5" s="1"/>
  <c r="AFM46" i="5"/>
  <c r="ANE48" i="5" l="1"/>
  <c r="AIW38" i="5"/>
  <c r="AIV44" i="5"/>
  <c r="AMJ37" i="5"/>
  <c r="AMK20" i="5"/>
  <c r="AFM49" i="5"/>
  <c r="AFM51" i="5" s="1"/>
  <c r="AFM53" i="5" s="1"/>
  <c r="AFN46" i="5"/>
  <c r="ANF48" i="5" l="1"/>
  <c r="AIX38" i="5"/>
  <c r="AIW44" i="5"/>
  <c r="AMK37" i="5"/>
  <c r="AML20" i="5"/>
  <c r="AFN49" i="5"/>
  <c r="AFN51" i="5" s="1"/>
  <c r="AFN53" i="5" s="1"/>
  <c r="AFO46" i="5"/>
  <c r="ANG48" i="5" l="1"/>
  <c r="AIY38" i="5"/>
  <c r="AIX44" i="5"/>
  <c r="AML37" i="5"/>
  <c r="AMM20" i="5"/>
  <c r="AFO49" i="5"/>
  <c r="AFO51" i="5" s="1"/>
  <c r="AFO53" i="5" s="1"/>
  <c r="AFP46" i="5"/>
  <c r="ANH48" i="5" l="1"/>
  <c r="AIZ38" i="5"/>
  <c r="AIY44" i="5"/>
  <c r="AMM37" i="5"/>
  <c r="AMN20" i="5"/>
  <c r="AFP49" i="5"/>
  <c r="AFP51" i="5" s="1"/>
  <c r="AFP53" i="5" s="1"/>
  <c r="AFQ46" i="5"/>
  <c r="ANI48" i="5" l="1"/>
  <c r="AJA38" i="5"/>
  <c r="AIZ44" i="5"/>
  <c r="AMN37" i="5"/>
  <c r="AMO20" i="5"/>
  <c r="AFQ49" i="5"/>
  <c r="AFQ51" i="5" s="1"/>
  <c r="AFQ53" i="5" s="1"/>
  <c r="AFR46" i="5"/>
  <c r="ANJ48" i="5" l="1"/>
  <c r="AJB38" i="5"/>
  <c r="AJA44" i="5"/>
  <c r="AMO37" i="5"/>
  <c r="AMP20" i="5"/>
  <c r="AFR49" i="5"/>
  <c r="AFR51" i="5" s="1"/>
  <c r="AFR53" i="5" s="1"/>
  <c r="AFS46" i="5"/>
  <c r="ANK48" i="5" l="1"/>
  <c r="AJC38" i="5"/>
  <c r="AJB44" i="5"/>
  <c r="AMP37" i="5"/>
  <c r="AMQ20" i="5"/>
  <c r="AFS49" i="5"/>
  <c r="AFS51" i="5" s="1"/>
  <c r="AFS53" i="5" s="1"/>
  <c r="AFU46" i="5"/>
  <c r="ANL48" i="5" l="1"/>
  <c r="AJD38" i="5"/>
  <c r="AJC44" i="5"/>
  <c r="AMQ37" i="5"/>
  <c r="AMR20" i="5"/>
  <c r="AFU49" i="5"/>
  <c r="AFU51" i="5" s="1"/>
  <c r="AFU53" i="5" s="1"/>
  <c r="AFV46" i="5"/>
  <c r="ANM48" i="5" l="1"/>
  <c r="AJE38" i="5"/>
  <c r="AJD44" i="5"/>
  <c r="AMR37" i="5"/>
  <c r="AMS20" i="5"/>
  <c r="AFV49" i="5"/>
  <c r="AFV51" i="5" s="1"/>
  <c r="AFV53" i="5" s="1"/>
  <c r="AFW46" i="5"/>
  <c r="ANN48" i="5" l="1"/>
  <c r="AJF38" i="5"/>
  <c r="AJE44" i="5"/>
  <c r="AMS37" i="5"/>
  <c r="AMT20" i="5"/>
  <c r="AFW49" i="5"/>
  <c r="AFW51" i="5" s="1"/>
  <c r="AFW53" i="5" s="1"/>
  <c r="AFX46" i="5"/>
  <c r="ANO48" i="5" l="1"/>
  <c r="AJG38" i="5"/>
  <c r="AJF44" i="5"/>
  <c r="AMT37" i="5"/>
  <c r="AMU20" i="5"/>
  <c r="AFX49" i="5"/>
  <c r="AFX51" i="5" s="1"/>
  <c r="AFX53" i="5" s="1"/>
  <c r="AFY46" i="5"/>
  <c r="ANP48" i="5" l="1"/>
  <c r="AJH38" i="5"/>
  <c r="AJG44" i="5"/>
  <c r="AMU37" i="5"/>
  <c r="AMV20" i="5"/>
  <c r="AFY49" i="5"/>
  <c r="AFY51" i="5" s="1"/>
  <c r="AFY53" i="5" s="1"/>
  <c r="AFZ46" i="5"/>
  <c r="ANQ48" i="5" l="1"/>
  <c r="AJI38" i="5"/>
  <c r="AJH44" i="5"/>
  <c r="AMV37" i="5"/>
  <c r="AMW20" i="5"/>
  <c r="AFZ49" i="5"/>
  <c r="AFZ51" i="5" s="1"/>
  <c r="AFZ53" i="5" s="1"/>
  <c r="AGA46" i="5"/>
  <c r="ANR48" i="5" l="1"/>
  <c r="AJJ38" i="5"/>
  <c r="AJI44" i="5"/>
  <c r="AMW37" i="5"/>
  <c r="AMX20" i="5"/>
  <c r="AGA49" i="5"/>
  <c r="AGA51" i="5" s="1"/>
  <c r="AGA53" i="5" s="1"/>
  <c r="AGB46" i="5"/>
  <c r="ANS48" i="5" l="1"/>
  <c r="AJL38" i="5"/>
  <c r="AJJ44" i="5"/>
  <c r="AMX37" i="5"/>
  <c r="AMZ20" i="5"/>
  <c r="AGB49" i="5"/>
  <c r="AGB51" i="5" s="1"/>
  <c r="AGB53" i="5" s="1"/>
  <c r="AGC46" i="5"/>
  <c r="ANT48" i="5" l="1"/>
  <c r="AJM38" i="5"/>
  <c r="AJL44" i="5"/>
  <c r="AMZ37" i="5"/>
  <c r="ANA20" i="5"/>
  <c r="AGC49" i="5"/>
  <c r="AGC51" i="5" s="1"/>
  <c r="AGC53" i="5" s="1"/>
  <c r="AGD46" i="5"/>
  <c r="ANU48" i="5" l="1"/>
  <c r="AJN38" i="5"/>
  <c r="AJM44" i="5"/>
  <c r="ANA37" i="5"/>
  <c r="ANB20" i="5"/>
  <c r="AGD49" i="5"/>
  <c r="AGD51" i="5" s="1"/>
  <c r="AGD53" i="5" s="1"/>
  <c r="AGE46" i="5"/>
  <c r="ANV48" i="5" l="1"/>
  <c r="AJO38" i="5"/>
  <c r="AJN44" i="5"/>
  <c r="ANB37" i="5"/>
  <c r="ANC20" i="5"/>
  <c r="AGE49" i="5"/>
  <c r="AGE51" i="5" s="1"/>
  <c r="AGE53" i="5" s="1"/>
  <c r="AGF46" i="5"/>
  <c r="ANW48" i="5" l="1"/>
  <c r="AJP38" i="5"/>
  <c r="AJO44" i="5"/>
  <c r="ANC37" i="5"/>
  <c r="AND20" i="5"/>
  <c r="AGF49" i="5"/>
  <c r="AGF51" i="5" s="1"/>
  <c r="AGF53" i="5" s="1"/>
  <c r="AGG46" i="5"/>
  <c r="ANX48" i="5" l="1"/>
  <c r="AJQ38" i="5"/>
  <c r="AJP44" i="5"/>
  <c r="AND37" i="5"/>
  <c r="ANE20" i="5"/>
  <c r="AGG49" i="5"/>
  <c r="AGG51" i="5" s="1"/>
  <c r="AGG53" i="5" s="1"/>
  <c r="AGH46" i="5"/>
  <c r="ANY48" i="5" l="1"/>
  <c r="AJR38" i="5"/>
  <c r="AJQ44" i="5"/>
  <c r="ANE37" i="5"/>
  <c r="ANF20" i="5"/>
  <c r="AGH49" i="5"/>
  <c r="AGH51" i="5" s="1"/>
  <c r="AGH53" i="5" s="1"/>
  <c r="AGI46" i="5"/>
  <c r="ANZ48" i="5" l="1"/>
  <c r="AJS38" i="5"/>
  <c r="AJR44" i="5"/>
  <c r="ANF37" i="5"/>
  <c r="ANG20" i="5"/>
  <c r="AGI49" i="5"/>
  <c r="AGI51" i="5" s="1"/>
  <c r="AGI53" i="5" s="1"/>
  <c r="AGJ46" i="5"/>
  <c r="AOA48" i="5" l="1"/>
  <c r="AJT38" i="5"/>
  <c r="AJS44" i="5"/>
  <c r="ANG37" i="5"/>
  <c r="ANH20" i="5"/>
  <c r="AGJ49" i="5"/>
  <c r="AGJ51" i="5" s="1"/>
  <c r="AGJ53" i="5" s="1"/>
  <c r="AGK46" i="5"/>
  <c r="AOB48" i="5" l="1"/>
  <c r="AJU38" i="5"/>
  <c r="AJT44" i="5"/>
  <c r="ANH37" i="5"/>
  <c r="ANI20" i="5"/>
  <c r="AGK49" i="5"/>
  <c r="AGK51" i="5" s="1"/>
  <c r="AGK53" i="5" s="1"/>
  <c r="AGL46" i="5"/>
  <c r="AOC48" i="5" l="1"/>
  <c r="AJV38" i="5"/>
  <c r="AJU44" i="5"/>
  <c r="ANI37" i="5"/>
  <c r="ANJ20" i="5"/>
  <c r="AGL49" i="5"/>
  <c r="AGL51" i="5" s="1"/>
  <c r="AGL53" i="5" s="1"/>
  <c r="AGM46" i="5"/>
  <c r="AJW38" i="5" l="1"/>
  <c r="AJV44" i="5"/>
  <c r="ANJ37" i="5"/>
  <c r="ANK20" i="5"/>
  <c r="AGM49" i="5"/>
  <c r="AGM51" i="5" s="1"/>
  <c r="AGM53" i="5" s="1"/>
  <c r="AGN46" i="5"/>
  <c r="AJX38" i="5" l="1"/>
  <c r="AJW44" i="5"/>
  <c r="ANK37" i="5"/>
  <c r="ANL20" i="5"/>
  <c r="AGN49" i="5"/>
  <c r="AGN51" i="5" s="1"/>
  <c r="AGN53" i="5" s="1"/>
  <c r="AGO46" i="5"/>
  <c r="AJY38" i="5" l="1"/>
  <c r="AJX44" i="5"/>
  <c r="ANL37" i="5"/>
  <c r="ANM20" i="5"/>
  <c r="AGO49" i="5"/>
  <c r="AGO51" i="5" s="1"/>
  <c r="AGO53" i="5" s="1"/>
  <c r="AGP46" i="5"/>
  <c r="AJZ38" i="5" l="1"/>
  <c r="AJY44" i="5"/>
  <c r="ANM37" i="5"/>
  <c r="ANN20" i="5"/>
  <c r="AGP49" i="5"/>
  <c r="AGP51" i="5" s="1"/>
  <c r="AGP53" i="5" s="1"/>
  <c r="AGQ46" i="5"/>
  <c r="AKA38" i="5" l="1"/>
  <c r="AJZ44" i="5"/>
  <c r="ANN37" i="5"/>
  <c r="ANO20" i="5"/>
  <c r="AGQ49" i="5"/>
  <c r="AGQ51" i="5" s="1"/>
  <c r="AGQ53" i="5" s="1"/>
  <c r="AGR46" i="5"/>
  <c r="AKB38" i="5" l="1"/>
  <c r="AKA44" i="5"/>
  <c r="ANO37" i="5"/>
  <c r="ANP20" i="5"/>
  <c r="AGR49" i="5"/>
  <c r="AGR51" i="5" s="1"/>
  <c r="AGR53" i="5" s="1"/>
  <c r="AGS46" i="5"/>
  <c r="AKC38" i="5" l="1"/>
  <c r="AKB44" i="5"/>
  <c r="ANP37" i="5"/>
  <c r="ANQ20" i="5"/>
  <c r="AGS49" i="5"/>
  <c r="AGS51" i="5" s="1"/>
  <c r="AGS53" i="5" s="1"/>
  <c r="AGT46" i="5"/>
  <c r="AKD38" i="5" l="1"/>
  <c r="AKC44" i="5"/>
  <c r="ANQ37" i="5"/>
  <c r="ANR20" i="5"/>
  <c r="AGT49" i="5"/>
  <c r="AGT51" i="5" s="1"/>
  <c r="AGT53" i="5" s="1"/>
  <c r="AGU46" i="5"/>
  <c r="AKE38" i="5" l="1"/>
  <c r="AKD44" i="5"/>
  <c r="ANR37" i="5"/>
  <c r="ANS20" i="5"/>
  <c r="AGU49" i="5"/>
  <c r="AGU51" i="5" s="1"/>
  <c r="AGU53" i="5" s="1"/>
  <c r="AGV46" i="5"/>
  <c r="AKF38" i="5" l="1"/>
  <c r="AKE44" i="5"/>
  <c r="ANS37" i="5"/>
  <c r="ANT20" i="5"/>
  <c r="AGV49" i="5"/>
  <c r="AGV51" i="5" s="1"/>
  <c r="AGV53" i="5" s="1"/>
  <c r="AGW46" i="5"/>
  <c r="AKG38" i="5" l="1"/>
  <c r="AKF44" i="5"/>
  <c r="ANT37" i="5"/>
  <c r="ANU20" i="5"/>
  <c r="AGW49" i="5"/>
  <c r="AGW51" i="5" s="1"/>
  <c r="AGW53" i="5" s="1"/>
  <c r="AGX46" i="5"/>
  <c r="AKH38" i="5" l="1"/>
  <c r="AKG44" i="5"/>
  <c r="ANU37" i="5"/>
  <c r="ANV20" i="5"/>
  <c r="AGX49" i="5"/>
  <c r="AGX51" i="5" s="1"/>
  <c r="AGX53" i="5" s="1"/>
  <c r="AGZ46" i="5"/>
  <c r="AKI38" i="5" l="1"/>
  <c r="AKH44" i="5"/>
  <c r="ANV37" i="5"/>
  <c r="ANW20" i="5"/>
  <c r="AGZ49" i="5"/>
  <c r="AGZ51" i="5" s="1"/>
  <c r="AGZ53" i="5" s="1"/>
  <c r="AHA46" i="5"/>
  <c r="AKJ38" i="5" l="1"/>
  <c r="AKI44" i="5"/>
  <c r="ANW37" i="5"/>
  <c r="ANX20" i="5"/>
  <c r="AHA49" i="5"/>
  <c r="AHA51" i="5" s="1"/>
  <c r="AHA53" i="5" s="1"/>
  <c r="AHB46" i="5"/>
  <c r="AKK38" i="5" l="1"/>
  <c r="AKJ44" i="5"/>
  <c r="ANX37" i="5"/>
  <c r="ANY20" i="5"/>
  <c r="AHB49" i="5"/>
  <c r="AHB51" i="5" s="1"/>
  <c r="AHB53" i="5" s="1"/>
  <c r="AHC46" i="5"/>
  <c r="AKL38" i="5" l="1"/>
  <c r="AKK44" i="5"/>
  <c r="ANY37" i="5"/>
  <c r="ANZ20" i="5"/>
  <c r="AHC49" i="5"/>
  <c r="AHC51" i="5" s="1"/>
  <c r="AHC53" i="5" s="1"/>
  <c r="AHD46" i="5"/>
  <c r="AKM38" i="5" l="1"/>
  <c r="AKL44" i="5"/>
  <c r="ANZ37" i="5"/>
  <c r="AOA20" i="5"/>
  <c r="AHD49" i="5"/>
  <c r="AHD51" i="5" s="1"/>
  <c r="AHD53" i="5" s="1"/>
  <c r="AHE46" i="5"/>
  <c r="AKO38" i="5" l="1"/>
  <c r="AKM44" i="5"/>
  <c r="AOA37" i="5"/>
  <c r="AOB20" i="5"/>
  <c r="AHE49" i="5"/>
  <c r="AHE51" i="5" s="1"/>
  <c r="AHE53" i="5" s="1"/>
  <c r="AHF46" i="5"/>
  <c r="AKP38" i="5" l="1"/>
  <c r="AKO44" i="5"/>
  <c r="AOB37" i="5"/>
  <c r="AOC20" i="5"/>
  <c r="AOC37" i="5" s="1"/>
  <c r="AHF49" i="5"/>
  <c r="AHF51" i="5" s="1"/>
  <c r="AHF53" i="5" s="1"/>
  <c r="AHG46" i="5"/>
  <c r="AKQ38" i="5" l="1"/>
  <c r="AKP44" i="5"/>
  <c r="AHG49" i="5"/>
  <c r="AHG51" i="5" s="1"/>
  <c r="AHG53" i="5" s="1"/>
  <c r="AHH46" i="5"/>
  <c r="AKR38" i="5" l="1"/>
  <c r="AKQ44" i="5"/>
  <c r="AHH49" i="5"/>
  <c r="AHH51" i="5" s="1"/>
  <c r="AHH53" i="5" s="1"/>
  <c r="AHI46" i="5"/>
  <c r="AKS38" i="5" l="1"/>
  <c r="AKR44" i="5"/>
  <c r="AHI49" i="5"/>
  <c r="AHI51" i="5" s="1"/>
  <c r="AHI53" i="5" s="1"/>
  <c r="AHJ46" i="5"/>
  <c r="AKT38" i="5" l="1"/>
  <c r="AKS44" i="5"/>
  <c r="AHJ49" i="5"/>
  <c r="AHJ51" i="5" s="1"/>
  <c r="AHJ53" i="5" s="1"/>
  <c r="AHK46" i="5"/>
  <c r="AKU38" i="5" l="1"/>
  <c r="AKT44" i="5"/>
  <c r="AHK49" i="5"/>
  <c r="AHK51" i="5" s="1"/>
  <c r="AHK53" i="5" s="1"/>
  <c r="AHL46" i="5"/>
  <c r="AKV38" i="5" l="1"/>
  <c r="AKU44" i="5"/>
  <c r="AHL49" i="5"/>
  <c r="AHL51" i="5" s="1"/>
  <c r="AHL53" i="5" s="1"/>
  <c r="AHM46" i="5"/>
  <c r="AKW38" i="5" l="1"/>
  <c r="AKV44" i="5"/>
  <c r="AHM49" i="5"/>
  <c r="AHM51" i="5" s="1"/>
  <c r="AHM53" i="5" s="1"/>
  <c r="AHN46" i="5"/>
  <c r="AKX38" i="5" l="1"/>
  <c r="AKW44" i="5"/>
  <c r="AHN49" i="5"/>
  <c r="AHN51" i="5" s="1"/>
  <c r="AHN53" i="5" s="1"/>
  <c r="AHO46" i="5"/>
  <c r="AKY38" i="5" l="1"/>
  <c r="AKX44" i="5"/>
  <c r="AHO49" i="5"/>
  <c r="AHO51" i="5" s="1"/>
  <c r="AHO53" i="5" s="1"/>
  <c r="AHP46" i="5"/>
  <c r="AKZ38" i="5" l="1"/>
  <c r="AKY44" i="5"/>
  <c r="AHP49" i="5"/>
  <c r="AHP51" i="5" s="1"/>
  <c r="AHP53" i="5" s="1"/>
  <c r="AHQ46" i="5"/>
  <c r="ALA38" i="5" l="1"/>
  <c r="AKZ44" i="5"/>
  <c r="AHQ49" i="5"/>
  <c r="AHQ51" i="5" s="1"/>
  <c r="AHQ53" i="5" s="1"/>
  <c r="AHR46" i="5"/>
  <c r="ALB38" i="5" l="1"/>
  <c r="ALA44" i="5"/>
  <c r="AHR49" i="5"/>
  <c r="AHR51" i="5" s="1"/>
  <c r="AHR53" i="5" s="1"/>
  <c r="AHS46" i="5"/>
  <c r="ALC38" i="5" l="1"/>
  <c r="ALB44" i="5"/>
  <c r="AHS49" i="5"/>
  <c r="AHS51" i="5" s="1"/>
  <c r="AHS53" i="5" s="1"/>
  <c r="AHT46" i="5"/>
  <c r="ALD38" i="5" l="1"/>
  <c r="ALC44" i="5"/>
  <c r="AHT49" i="5"/>
  <c r="AHT51" i="5" s="1"/>
  <c r="AHT53" i="5" s="1"/>
  <c r="AHU46" i="5"/>
  <c r="ALE38" i="5" l="1"/>
  <c r="ALD44" i="5"/>
  <c r="AHU49" i="5"/>
  <c r="AHU51" i="5" s="1"/>
  <c r="AHU53" i="5" s="1"/>
  <c r="AHV46" i="5"/>
  <c r="ALF38" i="5" l="1"/>
  <c r="ALE44" i="5"/>
  <c r="AHV49" i="5"/>
  <c r="AHV51" i="5" s="1"/>
  <c r="AHV53" i="5" s="1"/>
  <c r="AHW46" i="5"/>
  <c r="ALG38" i="5" l="1"/>
  <c r="ALF44" i="5"/>
  <c r="AHW49" i="5"/>
  <c r="AHW51" i="5" s="1"/>
  <c r="AHW53" i="5" s="1"/>
  <c r="AHX46" i="5"/>
  <c r="ALH38" i="5" l="1"/>
  <c r="ALG44" i="5"/>
  <c r="AHX49" i="5"/>
  <c r="AHX51" i="5" s="1"/>
  <c r="AHX53" i="5" s="1"/>
  <c r="AHY46" i="5"/>
  <c r="ALI38" i="5" l="1"/>
  <c r="ALH44" i="5"/>
  <c r="AHY49" i="5"/>
  <c r="AHY51" i="5" s="1"/>
  <c r="AHY53" i="5" s="1"/>
  <c r="AHZ46" i="5"/>
  <c r="ALJ38" i="5" l="1"/>
  <c r="ALI44" i="5"/>
  <c r="AHZ49" i="5"/>
  <c r="AHZ51" i="5" s="1"/>
  <c r="AHZ53" i="5" s="1"/>
  <c r="AIA46" i="5"/>
  <c r="ALK38" i="5" l="1"/>
  <c r="ALJ44" i="5"/>
  <c r="AIA49" i="5"/>
  <c r="AIA51" i="5" s="1"/>
  <c r="AIA53" i="5" s="1"/>
  <c r="AIB46" i="5"/>
  <c r="ALL38" i="5" l="1"/>
  <c r="ALK44" i="5"/>
  <c r="AIB49" i="5"/>
  <c r="AIB51" i="5" s="1"/>
  <c r="AIB53" i="5" s="1"/>
  <c r="AIC46" i="5"/>
  <c r="ALM38" i="5" l="1"/>
  <c r="ALL44" i="5"/>
  <c r="AIC49" i="5"/>
  <c r="AIC51" i="5" s="1"/>
  <c r="AIC53" i="5" s="1"/>
  <c r="AID46" i="5"/>
  <c r="ALN38" i="5" l="1"/>
  <c r="ALM44" i="5"/>
  <c r="AID49" i="5"/>
  <c r="AID51" i="5" s="1"/>
  <c r="AID53" i="5" s="1"/>
  <c r="AIF46" i="5"/>
  <c r="ALO38" i="5" l="1"/>
  <c r="ALN44" i="5"/>
  <c r="AIF49" i="5"/>
  <c r="AIF51" i="5" s="1"/>
  <c r="AIF53" i="5" s="1"/>
  <c r="AIG46" i="5"/>
  <c r="ALP38" i="5" l="1"/>
  <c r="ALO44" i="5"/>
  <c r="AIG49" i="5"/>
  <c r="AIG51" i="5" s="1"/>
  <c r="AIG53" i="5" s="1"/>
  <c r="AIH46" i="5"/>
  <c r="ALQ38" i="5" l="1"/>
  <c r="ALP44" i="5"/>
  <c r="AIH49" i="5"/>
  <c r="AIH51" i="5" s="1"/>
  <c r="AIH53" i="5" s="1"/>
  <c r="AII46" i="5"/>
  <c r="ALR38" i="5" l="1"/>
  <c r="ALQ44" i="5"/>
  <c r="AII49" i="5"/>
  <c r="AII51" i="5" s="1"/>
  <c r="AII53" i="5" s="1"/>
  <c r="AIJ46" i="5"/>
  <c r="ALS38" i="5" l="1"/>
  <c r="ALR44" i="5"/>
  <c r="AIJ49" i="5"/>
  <c r="AIJ51" i="5" s="1"/>
  <c r="AIJ53" i="5" s="1"/>
  <c r="AIK46" i="5"/>
  <c r="ALU38" i="5" l="1"/>
  <c r="ALS44" i="5"/>
  <c r="AIK49" i="5"/>
  <c r="AIK51" i="5" s="1"/>
  <c r="AIK53" i="5" s="1"/>
  <c r="AIL46" i="5"/>
  <c r="ALV38" i="5" l="1"/>
  <c r="ALU44" i="5"/>
  <c r="AIL49" i="5"/>
  <c r="AIL51" i="5" s="1"/>
  <c r="AIL53" i="5" s="1"/>
  <c r="AIM46" i="5"/>
  <c r="ALW38" i="5" l="1"/>
  <c r="ALV44" i="5"/>
  <c r="AIM49" i="5"/>
  <c r="AIM51" i="5" s="1"/>
  <c r="AIM53" i="5" s="1"/>
  <c r="AIN46" i="5"/>
  <c r="ALX38" i="5" l="1"/>
  <c r="ALW44" i="5"/>
  <c r="AIN49" i="5"/>
  <c r="AIN51" i="5" s="1"/>
  <c r="AIN53" i="5" s="1"/>
  <c r="AIO46" i="5"/>
  <c r="ALY38" i="5" l="1"/>
  <c r="ALX44" i="5"/>
  <c r="AIO49" i="5"/>
  <c r="AIO51" i="5" s="1"/>
  <c r="AIO53" i="5" s="1"/>
  <c r="AIP46" i="5"/>
  <c r="ALZ38" i="5" l="1"/>
  <c r="ALY44" i="5"/>
  <c r="AIP49" i="5"/>
  <c r="AIP51" i="5" s="1"/>
  <c r="AIP53" i="5" s="1"/>
  <c r="AIQ46" i="5"/>
  <c r="AMA38" i="5" l="1"/>
  <c r="ALZ44" i="5"/>
  <c r="AIQ49" i="5"/>
  <c r="AIQ51" i="5" s="1"/>
  <c r="AIQ53" i="5" s="1"/>
  <c r="AIR46" i="5"/>
  <c r="AMB38" i="5" l="1"/>
  <c r="AMA44" i="5"/>
  <c r="AIR49" i="5"/>
  <c r="AIR51" i="5" s="1"/>
  <c r="AIR53" i="5" s="1"/>
  <c r="AIS46" i="5"/>
  <c r="AMC38" i="5" l="1"/>
  <c r="AMB44" i="5"/>
  <c r="AIS49" i="5"/>
  <c r="AIS51" i="5" s="1"/>
  <c r="AIS53" i="5" s="1"/>
  <c r="AIT46" i="5"/>
  <c r="AMD38" i="5" l="1"/>
  <c r="AMC44" i="5"/>
  <c r="AIT49" i="5"/>
  <c r="AIT51" i="5" s="1"/>
  <c r="AIT53" i="5" s="1"/>
  <c r="AIU46" i="5"/>
  <c r="AME38" i="5" l="1"/>
  <c r="AMD44" i="5"/>
  <c r="AIU49" i="5"/>
  <c r="AIU51" i="5" s="1"/>
  <c r="AIU53" i="5" s="1"/>
  <c r="AIV46" i="5"/>
  <c r="AMF38" i="5" l="1"/>
  <c r="AME44" i="5"/>
  <c r="AIV49" i="5"/>
  <c r="AIV51" i="5" s="1"/>
  <c r="AIV53" i="5" s="1"/>
  <c r="AIW46" i="5"/>
  <c r="AMG38" i="5" l="1"/>
  <c r="AMF44" i="5"/>
  <c r="AIW49" i="5"/>
  <c r="AIW51" i="5" s="1"/>
  <c r="AIW53" i="5" s="1"/>
  <c r="AIX46" i="5"/>
  <c r="AMH38" i="5" l="1"/>
  <c r="AMG44" i="5"/>
  <c r="AIX49" i="5"/>
  <c r="AIX51" i="5" s="1"/>
  <c r="AIX53" i="5" s="1"/>
  <c r="AIY46" i="5"/>
  <c r="AMI38" i="5" l="1"/>
  <c r="AMH44" i="5"/>
  <c r="AIY49" i="5"/>
  <c r="AIY51" i="5" s="1"/>
  <c r="AIY53" i="5" s="1"/>
  <c r="AIZ46" i="5"/>
  <c r="AMJ38" i="5" l="1"/>
  <c r="AMI44" i="5"/>
  <c r="AIZ49" i="5"/>
  <c r="AIZ51" i="5" s="1"/>
  <c r="AIZ53" i="5" s="1"/>
  <c r="AJA46" i="5"/>
  <c r="AMK38" i="5" l="1"/>
  <c r="AMJ44" i="5"/>
  <c r="AJA49" i="5"/>
  <c r="AJA51" i="5" s="1"/>
  <c r="AJA53" i="5" s="1"/>
  <c r="AJB46" i="5"/>
  <c r="AML38" i="5" l="1"/>
  <c r="AMK44" i="5"/>
  <c r="AJB49" i="5"/>
  <c r="AJB51" i="5" s="1"/>
  <c r="AJB53" i="5" s="1"/>
  <c r="AJC46" i="5"/>
  <c r="AMM38" i="5" l="1"/>
  <c r="AML44" i="5"/>
  <c r="AJC49" i="5"/>
  <c r="AJC51" i="5" s="1"/>
  <c r="AJC53" i="5" s="1"/>
  <c r="AJD46" i="5"/>
  <c r="AMN38" i="5" l="1"/>
  <c r="AMM44" i="5"/>
  <c r="AJD49" i="5"/>
  <c r="AJD51" i="5" s="1"/>
  <c r="AJD53" i="5" s="1"/>
  <c r="AJE46" i="5"/>
  <c r="AMO38" i="5" l="1"/>
  <c r="AMN44" i="5"/>
  <c r="AJE49" i="5"/>
  <c r="AJE51" i="5" s="1"/>
  <c r="AJE53" i="5" s="1"/>
  <c r="AJF46" i="5"/>
  <c r="AMP38" i="5" l="1"/>
  <c r="AMO44" i="5"/>
  <c r="AJF49" i="5"/>
  <c r="AJF51" i="5" s="1"/>
  <c r="AJF53" i="5" s="1"/>
  <c r="AJG46" i="5"/>
  <c r="AMQ38" i="5" l="1"/>
  <c r="AMP44" i="5"/>
  <c r="AJG49" i="5"/>
  <c r="AJG51" i="5" s="1"/>
  <c r="AJG53" i="5" s="1"/>
  <c r="AJH46" i="5"/>
  <c r="AMR38" i="5" l="1"/>
  <c r="AMQ44" i="5"/>
  <c r="AJH49" i="5"/>
  <c r="AJH51" i="5" s="1"/>
  <c r="AJH53" i="5" s="1"/>
  <c r="AJI46" i="5"/>
  <c r="AMS38" i="5" l="1"/>
  <c r="AMR44" i="5"/>
  <c r="AJI49" i="5"/>
  <c r="AJI51" i="5" s="1"/>
  <c r="AJI53" i="5" s="1"/>
  <c r="AJJ46" i="5"/>
  <c r="AMT38" i="5" l="1"/>
  <c r="AMS44" i="5"/>
  <c r="AJJ49" i="5"/>
  <c r="AJJ51" i="5" s="1"/>
  <c r="AJJ53" i="5" s="1"/>
  <c r="AJL46" i="5"/>
  <c r="AMU38" i="5" l="1"/>
  <c r="AMT44" i="5"/>
  <c r="AJL49" i="5"/>
  <c r="AJL51" i="5" s="1"/>
  <c r="AJL53" i="5" s="1"/>
  <c r="AJM46" i="5"/>
  <c r="AMV38" i="5" l="1"/>
  <c r="AMU44" i="5"/>
  <c r="AJM49" i="5"/>
  <c r="AJM51" i="5" s="1"/>
  <c r="AJM53" i="5" s="1"/>
  <c r="AJN46" i="5"/>
  <c r="AMW38" i="5" l="1"/>
  <c r="AMV44" i="5"/>
  <c r="AJN49" i="5"/>
  <c r="AJN51" i="5" s="1"/>
  <c r="AJN53" i="5" s="1"/>
  <c r="AJO46" i="5"/>
  <c r="AMX38" i="5" l="1"/>
  <c r="AMW44" i="5"/>
  <c r="AJO49" i="5"/>
  <c r="AJO51" i="5" s="1"/>
  <c r="AJO53" i="5" s="1"/>
  <c r="AJP46" i="5"/>
  <c r="AMZ38" i="5" l="1"/>
  <c r="AMX44" i="5"/>
  <c r="AJP49" i="5"/>
  <c r="AJP51" i="5" s="1"/>
  <c r="AJP53" i="5" s="1"/>
  <c r="AJQ46" i="5"/>
  <c r="ANA38" i="5" l="1"/>
  <c r="AMZ44" i="5"/>
  <c r="AJQ49" i="5"/>
  <c r="AJQ51" i="5" s="1"/>
  <c r="AJQ53" i="5" s="1"/>
  <c r="AJR46" i="5"/>
  <c r="ANB38" i="5" l="1"/>
  <c r="ANA44" i="5"/>
  <c r="AJR49" i="5"/>
  <c r="AJR51" i="5" s="1"/>
  <c r="AJR53" i="5" s="1"/>
  <c r="AJS46" i="5"/>
  <c r="ANC38" i="5" l="1"/>
  <c r="ANB44" i="5"/>
  <c r="AJS49" i="5"/>
  <c r="AJS51" i="5" s="1"/>
  <c r="AJS53" i="5" s="1"/>
  <c r="AJT46" i="5"/>
  <c r="AND38" i="5" l="1"/>
  <c r="ANC44" i="5"/>
  <c r="AJT49" i="5"/>
  <c r="AJT51" i="5" s="1"/>
  <c r="AJT53" i="5" s="1"/>
  <c r="AJU46" i="5"/>
  <c r="ANE38" i="5" l="1"/>
  <c r="AND44" i="5"/>
  <c r="AJU49" i="5"/>
  <c r="AJU51" i="5" s="1"/>
  <c r="AJU53" i="5" s="1"/>
  <c r="AJV46" i="5"/>
  <c r="ANF38" i="5" l="1"/>
  <c r="ANE44" i="5"/>
  <c r="AJV49" i="5"/>
  <c r="AJV51" i="5" s="1"/>
  <c r="AJV53" i="5" s="1"/>
  <c r="AJW46" i="5"/>
  <c r="ANG38" i="5" l="1"/>
  <c r="ANF44" i="5"/>
  <c r="AJW49" i="5"/>
  <c r="AJW51" i="5" s="1"/>
  <c r="AJW53" i="5" s="1"/>
  <c r="AJX46" i="5"/>
  <c r="ANH38" i="5" l="1"/>
  <c r="ANG44" i="5"/>
  <c r="AJX49" i="5"/>
  <c r="AJX51" i="5" s="1"/>
  <c r="AJX53" i="5" s="1"/>
  <c r="AJY46" i="5"/>
  <c r="ANI38" i="5" l="1"/>
  <c r="ANH44" i="5"/>
  <c r="AJY49" i="5"/>
  <c r="AJY51" i="5" s="1"/>
  <c r="AJY53" i="5" s="1"/>
  <c r="AJZ46" i="5"/>
  <c r="ANJ38" i="5" l="1"/>
  <c r="ANI44" i="5"/>
  <c r="AJZ49" i="5"/>
  <c r="AJZ51" i="5" s="1"/>
  <c r="AJZ53" i="5" s="1"/>
  <c r="AKA46" i="5"/>
  <c r="ANK38" i="5" l="1"/>
  <c r="ANJ44" i="5"/>
  <c r="AKA49" i="5"/>
  <c r="AKA51" i="5" s="1"/>
  <c r="AKA53" i="5" s="1"/>
  <c r="AKB46" i="5"/>
  <c r="ANL38" i="5" l="1"/>
  <c r="ANK44" i="5"/>
  <c r="AKB49" i="5"/>
  <c r="AKB51" i="5" s="1"/>
  <c r="AKB53" i="5" s="1"/>
  <c r="AKC46" i="5"/>
  <c r="ANM38" i="5" l="1"/>
  <c r="ANL44" i="5"/>
  <c r="AKC49" i="5"/>
  <c r="AKC51" i="5" s="1"/>
  <c r="AKC53" i="5" s="1"/>
  <c r="AKD46" i="5"/>
  <c r="ANN38" i="5" l="1"/>
  <c r="ANM44" i="5"/>
  <c r="AKD49" i="5"/>
  <c r="AKD51" i="5" s="1"/>
  <c r="AKD53" i="5" s="1"/>
  <c r="AKE46" i="5"/>
  <c r="ANO38" i="5" l="1"/>
  <c r="ANN44" i="5"/>
  <c r="AKE49" i="5"/>
  <c r="AKE51" i="5" s="1"/>
  <c r="AKE53" i="5" s="1"/>
  <c r="AKF46" i="5"/>
  <c r="ANP38" i="5" l="1"/>
  <c r="ANO44" i="5"/>
  <c r="AKF49" i="5"/>
  <c r="AKF51" i="5" s="1"/>
  <c r="AKF53" i="5" s="1"/>
  <c r="AKG46" i="5"/>
  <c r="ANQ38" i="5" l="1"/>
  <c r="ANP44" i="5"/>
  <c r="AKG49" i="5"/>
  <c r="AKG51" i="5" s="1"/>
  <c r="AKG53" i="5" s="1"/>
  <c r="AKH46" i="5"/>
  <c r="ANR38" i="5" l="1"/>
  <c r="ANQ44" i="5"/>
  <c r="AKH49" i="5"/>
  <c r="AKH51" i="5" s="1"/>
  <c r="AKH53" i="5" s="1"/>
  <c r="AKI46" i="5"/>
  <c r="ANS38" i="5" l="1"/>
  <c r="ANR44" i="5"/>
  <c r="AKI49" i="5"/>
  <c r="AKI51" i="5" s="1"/>
  <c r="AKI53" i="5" s="1"/>
  <c r="AKJ46" i="5"/>
  <c r="ANT38" i="5" l="1"/>
  <c r="ANS44" i="5"/>
  <c r="AKJ49" i="5"/>
  <c r="AKJ51" i="5" s="1"/>
  <c r="AKJ53" i="5" s="1"/>
  <c r="AKK46" i="5"/>
  <c r="ANU38" i="5" l="1"/>
  <c r="ANT44" i="5"/>
  <c r="AKK49" i="5"/>
  <c r="AKK51" i="5" s="1"/>
  <c r="AKK53" i="5" s="1"/>
  <c r="AKL46" i="5"/>
  <c r="ANV38" i="5" l="1"/>
  <c r="ANU44" i="5"/>
  <c r="AKL49" i="5"/>
  <c r="AKL51" i="5" s="1"/>
  <c r="AKL53" i="5" s="1"/>
  <c r="AKM46" i="5"/>
  <c r="ANW38" i="5" l="1"/>
  <c r="ANV44" i="5"/>
  <c r="AKM49" i="5"/>
  <c r="AKM51" i="5" s="1"/>
  <c r="AKM53" i="5" s="1"/>
  <c r="AKO46" i="5"/>
  <c r="ANX38" i="5" l="1"/>
  <c r="ANW44" i="5"/>
  <c r="AKO49" i="5"/>
  <c r="AKO51" i="5" s="1"/>
  <c r="AKO53" i="5" s="1"/>
  <c r="AKP46" i="5"/>
  <c r="ANY38" i="5" l="1"/>
  <c r="ANX44" i="5"/>
  <c r="AKP49" i="5"/>
  <c r="AKP51" i="5" s="1"/>
  <c r="AKP53" i="5" s="1"/>
  <c r="AKQ46" i="5"/>
  <c r="ANZ38" i="5" l="1"/>
  <c r="ANY44" i="5"/>
  <c r="AKQ49" i="5"/>
  <c r="AKQ51" i="5" s="1"/>
  <c r="AKQ53" i="5" s="1"/>
  <c r="AKR46" i="5"/>
  <c r="AOA38" i="5" l="1"/>
  <c r="ANZ44" i="5"/>
  <c r="AKR49" i="5"/>
  <c r="AKR51" i="5" s="1"/>
  <c r="AKR53" i="5" s="1"/>
  <c r="AKS46" i="5"/>
  <c r="AOB38" i="5" l="1"/>
  <c r="AOA44" i="5"/>
  <c r="AKS49" i="5"/>
  <c r="AKS51" i="5" s="1"/>
  <c r="AKS53" i="5" s="1"/>
  <c r="AKT46" i="5"/>
  <c r="AOC38" i="5" l="1"/>
  <c r="AOC44" i="5" s="1"/>
  <c r="AOB44" i="5"/>
  <c r="AKT49" i="5"/>
  <c r="AKT51" i="5" s="1"/>
  <c r="AKT53" i="5" s="1"/>
  <c r="AKU46" i="5"/>
  <c r="AKU49" i="5" l="1"/>
  <c r="AKU51" i="5" s="1"/>
  <c r="AKU53" i="5" s="1"/>
  <c r="AKV46" i="5"/>
  <c r="AKV49" i="5" l="1"/>
  <c r="AKV51" i="5" s="1"/>
  <c r="AKV53" i="5" s="1"/>
  <c r="AKW46" i="5"/>
  <c r="AKW49" i="5" l="1"/>
  <c r="AKW51" i="5" s="1"/>
  <c r="AKW53" i="5" s="1"/>
  <c r="AKX46" i="5"/>
  <c r="AKX49" i="5" l="1"/>
  <c r="AKX51" i="5" s="1"/>
  <c r="AKX53" i="5" s="1"/>
  <c r="AKY46" i="5"/>
  <c r="AKY49" i="5" l="1"/>
  <c r="AKY51" i="5" s="1"/>
  <c r="AKY53" i="5" s="1"/>
  <c r="AKZ46" i="5"/>
  <c r="AKZ49" i="5" l="1"/>
  <c r="AKZ51" i="5" s="1"/>
  <c r="AKZ53" i="5" s="1"/>
  <c r="ALA46" i="5"/>
  <c r="ALA49" i="5" l="1"/>
  <c r="ALA51" i="5" s="1"/>
  <c r="ALA53" i="5" s="1"/>
  <c r="ALB46" i="5"/>
  <c r="ALB49" i="5" l="1"/>
  <c r="ALB51" i="5" s="1"/>
  <c r="ALB53" i="5" s="1"/>
  <c r="ALC46" i="5"/>
  <c r="ALC49" i="5" l="1"/>
  <c r="ALC51" i="5" s="1"/>
  <c r="ALC53" i="5" s="1"/>
  <c r="ALD46" i="5"/>
  <c r="ALD49" i="5" l="1"/>
  <c r="ALD51" i="5" s="1"/>
  <c r="ALD53" i="5" s="1"/>
  <c r="ALE46" i="5"/>
  <c r="ALE49" i="5" l="1"/>
  <c r="ALE51" i="5" s="1"/>
  <c r="ALE53" i="5" s="1"/>
  <c r="ALF46" i="5"/>
  <c r="ALF49" i="5" l="1"/>
  <c r="ALF51" i="5" s="1"/>
  <c r="ALF53" i="5" s="1"/>
  <c r="ALG46" i="5"/>
  <c r="ALG49" i="5" l="1"/>
  <c r="ALG51" i="5" s="1"/>
  <c r="ALG53" i="5" s="1"/>
  <c r="ALH46" i="5"/>
  <c r="ALH49" i="5" l="1"/>
  <c r="ALH51" i="5" s="1"/>
  <c r="ALH53" i="5" s="1"/>
  <c r="ALI46" i="5"/>
  <c r="ALI49" i="5" l="1"/>
  <c r="ALI51" i="5" s="1"/>
  <c r="ALI53" i="5" s="1"/>
  <c r="ALJ46" i="5"/>
  <c r="ALJ49" i="5" l="1"/>
  <c r="ALJ51" i="5" s="1"/>
  <c r="ALJ53" i="5" s="1"/>
  <c r="ALK46" i="5"/>
  <c r="ALK49" i="5" l="1"/>
  <c r="ALK51" i="5" s="1"/>
  <c r="ALK53" i="5" s="1"/>
  <c r="ALL46" i="5"/>
  <c r="ALL49" i="5" l="1"/>
  <c r="ALL51" i="5" s="1"/>
  <c r="ALL53" i="5" s="1"/>
  <c r="ALM46" i="5"/>
  <c r="ALM49" i="5" l="1"/>
  <c r="ALM51" i="5" s="1"/>
  <c r="ALM53" i="5" s="1"/>
  <c r="ALN46" i="5"/>
  <c r="ALN49" i="5" l="1"/>
  <c r="ALN51" i="5" s="1"/>
  <c r="ALN53" i="5" s="1"/>
  <c r="ALO46" i="5"/>
  <c r="ALO49" i="5" l="1"/>
  <c r="ALO51" i="5" s="1"/>
  <c r="ALO53" i="5" s="1"/>
  <c r="ALP46" i="5"/>
  <c r="ALP49" i="5" l="1"/>
  <c r="ALP51" i="5" s="1"/>
  <c r="ALP53" i="5" s="1"/>
  <c r="ALQ46" i="5"/>
  <c r="ALQ49" i="5" l="1"/>
  <c r="ALQ51" i="5" s="1"/>
  <c r="ALQ53" i="5" s="1"/>
  <c r="ALR46" i="5"/>
  <c r="ALR49" i="5" l="1"/>
  <c r="ALR51" i="5" s="1"/>
  <c r="ALR53" i="5" s="1"/>
  <c r="ALS46" i="5"/>
  <c r="ALS49" i="5" l="1"/>
  <c r="ALS51" i="5" s="1"/>
  <c r="ALS53" i="5" s="1"/>
  <c r="ALU46" i="5"/>
  <c r="ALU49" i="5" l="1"/>
  <c r="ALU51" i="5" s="1"/>
  <c r="ALU53" i="5" s="1"/>
  <c r="ALV46" i="5"/>
  <c r="ALV49" i="5" l="1"/>
  <c r="ALV51" i="5" s="1"/>
  <c r="ALV53" i="5" s="1"/>
  <c r="ALW46" i="5"/>
  <c r="ALW49" i="5" l="1"/>
  <c r="ALW51" i="5" s="1"/>
  <c r="ALW53" i="5" s="1"/>
  <c r="ALX46" i="5"/>
  <c r="ALX49" i="5" l="1"/>
  <c r="ALX51" i="5" s="1"/>
  <c r="ALX53" i="5" s="1"/>
  <c r="ALY46" i="5"/>
  <c r="ALY49" i="5" l="1"/>
  <c r="ALY51" i="5" s="1"/>
  <c r="ALY53" i="5" s="1"/>
  <c r="ALZ46" i="5"/>
  <c r="ALZ49" i="5" l="1"/>
  <c r="ALZ51" i="5" s="1"/>
  <c r="ALZ53" i="5" s="1"/>
  <c r="AMA46" i="5"/>
  <c r="AMA49" i="5" l="1"/>
  <c r="AMA51" i="5" s="1"/>
  <c r="AMA53" i="5" s="1"/>
  <c r="AMB46" i="5"/>
  <c r="AMB49" i="5" l="1"/>
  <c r="AMB51" i="5" s="1"/>
  <c r="AMB53" i="5" s="1"/>
  <c r="AMC46" i="5"/>
  <c r="AMC49" i="5" l="1"/>
  <c r="AMC51" i="5" s="1"/>
  <c r="AMC53" i="5" s="1"/>
  <c r="AMD46" i="5"/>
  <c r="AMD49" i="5" l="1"/>
  <c r="AMD51" i="5" s="1"/>
  <c r="AMD53" i="5" s="1"/>
  <c r="AME46" i="5"/>
  <c r="AME49" i="5" l="1"/>
  <c r="AME51" i="5" s="1"/>
  <c r="AME53" i="5" s="1"/>
  <c r="AMF46" i="5"/>
  <c r="AMF49" i="5" l="1"/>
  <c r="AMF51" i="5" s="1"/>
  <c r="AMF53" i="5" s="1"/>
  <c r="AMG46" i="5"/>
  <c r="AMG49" i="5" l="1"/>
  <c r="AMG51" i="5" s="1"/>
  <c r="AMG53" i="5" s="1"/>
  <c r="AMH46" i="5"/>
  <c r="AMH49" i="5" l="1"/>
  <c r="AMH51" i="5" s="1"/>
  <c r="AMH53" i="5" s="1"/>
  <c r="AMI46" i="5"/>
  <c r="AMI49" i="5" l="1"/>
  <c r="AMI51" i="5" s="1"/>
  <c r="AMI53" i="5" s="1"/>
  <c r="AMJ46" i="5"/>
  <c r="AMJ49" i="5" l="1"/>
  <c r="AMJ51" i="5" s="1"/>
  <c r="AMJ53" i="5" s="1"/>
  <c r="AMK46" i="5"/>
  <c r="AMK49" i="5" l="1"/>
  <c r="AMK51" i="5" s="1"/>
  <c r="AMK53" i="5" s="1"/>
  <c r="AML46" i="5"/>
  <c r="AML49" i="5" l="1"/>
  <c r="AML51" i="5" s="1"/>
  <c r="AML53" i="5" s="1"/>
  <c r="AMM46" i="5"/>
  <c r="AMM49" i="5" l="1"/>
  <c r="AMM51" i="5" s="1"/>
  <c r="AMM53" i="5" s="1"/>
  <c r="AMN46" i="5"/>
  <c r="AMN49" i="5" l="1"/>
  <c r="AMN51" i="5" s="1"/>
  <c r="AMN53" i="5" s="1"/>
  <c r="AMO46" i="5"/>
  <c r="AMO49" i="5" l="1"/>
  <c r="AMO51" i="5" s="1"/>
  <c r="AMO53" i="5" s="1"/>
  <c r="AMP46" i="5"/>
  <c r="AMP49" i="5" l="1"/>
  <c r="AMP51" i="5" s="1"/>
  <c r="AMP53" i="5" s="1"/>
  <c r="AMQ46" i="5"/>
  <c r="AMQ49" i="5" l="1"/>
  <c r="AMQ51" i="5" s="1"/>
  <c r="AMQ53" i="5" s="1"/>
  <c r="AMR46" i="5"/>
  <c r="AMR49" i="5" l="1"/>
  <c r="AMR51" i="5" s="1"/>
  <c r="AMR53" i="5" s="1"/>
  <c r="AMS46" i="5"/>
  <c r="AMS49" i="5" l="1"/>
  <c r="AMS51" i="5" s="1"/>
  <c r="AMS53" i="5" s="1"/>
  <c r="AMT46" i="5"/>
  <c r="AMT49" i="5" l="1"/>
  <c r="AMT51" i="5" s="1"/>
  <c r="AMT53" i="5" s="1"/>
  <c r="AMU46" i="5"/>
  <c r="AMU49" i="5" l="1"/>
  <c r="AMU51" i="5" s="1"/>
  <c r="AMU53" i="5" s="1"/>
  <c r="AMV46" i="5"/>
  <c r="AMV49" i="5" l="1"/>
  <c r="AMV51" i="5" s="1"/>
  <c r="AMV53" i="5" s="1"/>
  <c r="AMW46" i="5"/>
  <c r="AMW49" i="5" l="1"/>
  <c r="AMW51" i="5" s="1"/>
  <c r="AMW53" i="5" s="1"/>
  <c r="AMX46" i="5"/>
  <c r="AMX49" i="5" l="1"/>
  <c r="AMX51" i="5" s="1"/>
  <c r="AMX53" i="5" s="1"/>
  <c r="AMZ46" i="5"/>
  <c r="AMZ49" i="5" l="1"/>
  <c r="AMZ51" i="5" s="1"/>
  <c r="AMZ53" i="5" s="1"/>
  <c r="ANA46" i="5"/>
  <c r="ANA49" i="5" l="1"/>
  <c r="ANA51" i="5" s="1"/>
  <c r="ANA53" i="5" s="1"/>
  <c r="ANB46" i="5"/>
  <c r="ANB49" i="5" l="1"/>
  <c r="ANB51" i="5" s="1"/>
  <c r="ANB53" i="5" s="1"/>
  <c r="ANC46" i="5"/>
  <c r="ANC49" i="5" l="1"/>
  <c r="ANC51" i="5" s="1"/>
  <c r="ANC53" i="5" s="1"/>
  <c r="AND46" i="5"/>
  <c r="AND49" i="5" l="1"/>
  <c r="AND51" i="5" s="1"/>
  <c r="AND53" i="5" s="1"/>
  <c r="ANE46" i="5"/>
  <c r="ANE49" i="5" l="1"/>
  <c r="ANE51" i="5" s="1"/>
  <c r="ANE53" i="5" s="1"/>
  <c r="ANF46" i="5"/>
  <c r="ANF49" i="5" l="1"/>
  <c r="ANF51" i="5" s="1"/>
  <c r="ANF53" i="5" s="1"/>
  <c r="ANG46" i="5"/>
  <c r="ANG49" i="5" l="1"/>
  <c r="ANG51" i="5" s="1"/>
  <c r="ANG53" i="5" s="1"/>
  <c r="ANH46" i="5"/>
  <c r="ANH49" i="5" l="1"/>
  <c r="ANH51" i="5" s="1"/>
  <c r="ANH53" i="5" s="1"/>
  <c r="ANI46" i="5"/>
  <c r="ANI49" i="5" l="1"/>
  <c r="ANI51" i="5" s="1"/>
  <c r="ANI53" i="5" s="1"/>
  <c r="ANJ46" i="5"/>
  <c r="ANJ49" i="5" l="1"/>
  <c r="ANJ51" i="5" s="1"/>
  <c r="ANJ53" i="5" s="1"/>
  <c r="ANK46" i="5"/>
  <c r="ANK49" i="5" l="1"/>
  <c r="ANK51" i="5" s="1"/>
  <c r="ANK53" i="5" s="1"/>
  <c r="ANL46" i="5"/>
  <c r="ANL49" i="5" l="1"/>
  <c r="ANL51" i="5" s="1"/>
  <c r="ANL53" i="5" s="1"/>
  <c r="ANM46" i="5"/>
  <c r="ANM49" i="5" l="1"/>
  <c r="ANM51" i="5" s="1"/>
  <c r="ANM53" i="5" s="1"/>
  <c r="ANN46" i="5"/>
  <c r="ANN49" i="5" l="1"/>
  <c r="ANN51" i="5" s="1"/>
  <c r="ANN53" i="5" s="1"/>
  <c r="ANO46" i="5"/>
  <c r="ANO49" i="5" l="1"/>
  <c r="ANO51" i="5" s="1"/>
  <c r="ANO53" i="5" s="1"/>
  <c r="ANP46" i="5"/>
  <c r="ANP49" i="5" l="1"/>
  <c r="ANP51" i="5" s="1"/>
  <c r="ANP53" i="5" s="1"/>
  <c r="ANQ46" i="5"/>
  <c r="ANQ49" i="5" l="1"/>
  <c r="ANQ51" i="5" s="1"/>
  <c r="ANQ53" i="5" s="1"/>
  <c r="ANR46" i="5"/>
  <c r="ANR49" i="5" l="1"/>
  <c r="ANR51" i="5" s="1"/>
  <c r="ANR53" i="5" s="1"/>
  <c r="ANS46" i="5"/>
  <c r="ANS49" i="5" l="1"/>
  <c r="ANS51" i="5" s="1"/>
  <c r="ANS53" i="5" s="1"/>
  <c r="ANT46" i="5"/>
  <c r="ANT49" i="5" l="1"/>
  <c r="ANT51" i="5" s="1"/>
  <c r="ANT53" i="5" s="1"/>
  <c r="ANU46" i="5"/>
  <c r="ANU49" i="5" l="1"/>
  <c r="ANU51" i="5" s="1"/>
  <c r="ANU53" i="5" s="1"/>
  <c r="ANV46" i="5"/>
  <c r="ANV49" i="5" l="1"/>
  <c r="ANV51" i="5" s="1"/>
  <c r="ANV53" i="5" s="1"/>
  <c r="ANW46" i="5"/>
  <c r="ANW49" i="5" l="1"/>
  <c r="ANW51" i="5" s="1"/>
  <c r="ANW53" i="5" s="1"/>
  <c r="ANX46" i="5"/>
  <c r="ANX49" i="5" l="1"/>
  <c r="ANX51" i="5" s="1"/>
  <c r="ANX53" i="5" s="1"/>
  <c r="ANY46" i="5"/>
  <c r="ANY49" i="5" l="1"/>
  <c r="ANY51" i="5" s="1"/>
  <c r="ANY53" i="5" s="1"/>
  <c r="ANZ46" i="5"/>
  <c r="ANZ49" i="5" l="1"/>
  <c r="ANZ51" i="5" s="1"/>
  <c r="ANZ53" i="5" s="1"/>
  <c r="AOA46" i="5"/>
  <c r="AOA49" i="5" l="1"/>
  <c r="AOA51" i="5" s="1"/>
  <c r="AOA53" i="5" s="1"/>
  <c r="AOB46" i="5"/>
  <c r="AOB49" i="5" l="1"/>
  <c r="AOB51" i="5" s="1"/>
  <c r="AOB53" i="5" s="1"/>
  <c r="AOC46" i="5"/>
  <c r="AOC49" i="5" s="1"/>
  <c r="AOC51" i="5" s="1"/>
  <c r="AOC53" i="5" s="1"/>
</calcChain>
</file>

<file path=xl/sharedStrings.xml><?xml version="1.0" encoding="utf-8"?>
<sst xmlns="http://schemas.openxmlformats.org/spreadsheetml/2006/main" count="4091" uniqueCount="1686">
  <si>
    <t>ITEMS</t>
  </si>
  <si>
    <t>PARTICULARS</t>
  </si>
  <si>
    <t>13/8/23</t>
  </si>
  <si>
    <t>14/8/23</t>
  </si>
  <si>
    <t>15/8/23</t>
  </si>
  <si>
    <t>16/8/23</t>
  </si>
  <si>
    <t>17/8/23</t>
  </si>
  <si>
    <t>18/8/23</t>
  </si>
  <si>
    <t>19/8/23</t>
  </si>
  <si>
    <t>20/8/23</t>
  </si>
  <si>
    <t>21/8/23</t>
  </si>
  <si>
    <t>22/8/23</t>
  </si>
  <si>
    <t>23/8/23</t>
  </si>
  <si>
    <t>24/8/23</t>
  </si>
  <si>
    <t>25/8/23</t>
  </si>
  <si>
    <t>26/8/23</t>
  </si>
  <si>
    <t>27/8/23</t>
  </si>
  <si>
    <t>28/8/23</t>
  </si>
  <si>
    <t>29/8/23</t>
  </si>
  <si>
    <t>30/8/23</t>
  </si>
  <si>
    <t>31/8/23</t>
  </si>
  <si>
    <t>MONTHLY TOTAL</t>
  </si>
  <si>
    <t>Monthly Total</t>
  </si>
  <si>
    <t xml:space="preserve">1st june </t>
  </si>
  <si>
    <t xml:space="preserve">2nd june </t>
  </si>
  <si>
    <t xml:space="preserve">3rd june </t>
  </si>
  <si>
    <t xml:space="preserve">4th june </t>
  </si>
  <si>
    <t xml:space="preserve">5th june </t>
  </si>
  <si>
    <t xml:space="preserve">6th june </t>
  </si>
  <si>
    <t xml:space="preserve">7th june </t>
  </si>
  <si>
    <t xml:space="preserve">8th june </t>
  </si>
  <si>
    <t xml:space="preserve">9th june </t>
  </si>
  <si>
    <t xml:space="preserve">10th june </t>
  </si>
  <si>
    <t xml:space="preserve">11th june </t>
  </si>
  <si>
    <t xml:space="preserve">12th june </t>
  </si>
  <si>
    <t xml:space="preserve">13th june </t>
  </si>
  <si>
    <t xml:space="preserve">14th june </t>
  </si>
  <si>
    <t xml:space="preserve">15th june </t>
  </si>
  <si>
    <t xml:space="preserve">16th june </t>
  </si>
  <si>
    <t xml:space="preserve">17th june </t>
  </si>
  <si>
    <t xml:space="preserve">18th june </t>
  </si>
  <si>
    <t xml:space="preserve">19th june </t>
  </si>
  <si>
    <t xml:space="preserve">20th june </t>
  </si>
  <si>
    <t xml:space="preserve">21st june </t>
  </si>
  <si>
    <t xml:space="preserve">22nd june </t>
  </si>
  <si>
    <t xml:space="preserve">23rd june </t>
  </si>
  <si>
    <t xml:space="preserve">24th june </t>
  </si>
  <si>
    <t xml:space="preserve">25th june </t>
  </si>
  <si>
    <t xml:space="preserve">26th june </t>
  </si>
  <si>
    <t xml:space="preserve">27th june </t>
  </si>
  <si>
    <t xml:space="preserve">28th june </t>
  </si>
  <si>
    <t xml:space="preserve">29th june </t>
  </si>
  <si>
    <t xml:space="preserve">30th june </t>
  </si>
  <si>
    <t>1st july</t>
  </si>
  <si>
    <t>2nd july</t>
  </si>
  <si>
    <t>3rd july</t>
  </si>
  <si>
    <t>4th july</t>
  </si>
  <si>
    <t>5th july</t>
  </si>
  <si>
    <t>6th july</t>
  </si>
  <si>
    <t>7th july</t>
  </si>
  <si>
    <t>8th july</t>
  </si>
  <si>
    <t>9th july</t>
  </si>
  <si>
    <t>10th july</t>
  </si>
  <si>
    <t>11th july</t>
  </si>
  <si>
    <t>12th july</t>
  </si>
  <si>
    <t>13th july</t>
  </si>
  <si>
    <t>14th july</t>
  </si>
  <si>
    <t>15th july</t>
  </si>
  <si>
    <t>16th july</t>
  </si>
  <si>
    <t>17th july</t>
  </si>
  <si>
    <t>18th july</t>
  </si>
  <si>
    <t>19th july</t>
  </si>
  <si>
    <t>20th july</t>
  </si>
  <si>
    <t>21st july</t>
  </si>
  <si>
    <t>22nd july</t>
  </si>
  <si>
    <t>23rd july</t>
  </si>
  <si>
    <t>24th july</t>
  </si>
  <si>
    <t>25th july</t>
  </si>
  <si>
    <t>26th july</t>
  </si>
  <si>
    <t>27th july</t>
  </si>
  <si>
    <t>28th july</t>
  </si>
  <si>
    <t>29th july</t>
  </si>
  <si>
    <t>30th july</t>
  </si>
  <si>
    <t>31st july</t>
  </si>
  <si>
    <t>1st aug</t>
  </si>
  <si>
    <t>2nd aug</t>
  </si>
  <si>
    <t>3rd aug</t>
  </si>
  <si>
    <t>4th aug</t>
  </si>
  <si>
    <t>5th aug</t>
  </si>
  <si>
    <t>6th aug</t>
  </si>
  <si>
    <t>7th aug</t>
  </si>
  <si>
    <t>8th aug</t>
  </si>
  <si>
    <t>9th aug</t>
  </si>
  <si>
    <t>10th aug</t>
  </si>
  <si>
    <t>11th aug</t>
  </si>
  <si>
    <t>12th aug</t>
  </si>
  <si>
    <t>13th aug</t>
  </si>
  <si>
    <t>14th aug</t>
  </si>
  <si>
    <t>15th aug</t>
  </si>
  <si>
    <t>16th aug</t>
  </si>
  <si>
    <t>17th aug</t>
  </si>
  <si>
    <t>18th aug</t>
  </si>
  <si>
    <t>19th aug</t>
  </si>
  <si>
    <t>20th aug</t>
  </si>
  <si>
    <t>21st aug</t>
  </si>
  <si>
    <t>22nd aug</t>
  </si>
  <si>
    <t>23rd aug</t>
  </si>
  <si>
    <t>24th aug</t>
  </si>
  <si>
    <t>25th aug</t>
  </si>
  <si>
    <t>26th aug</t>
  </si>
  <si>
    <t>27th aug</t>
  </si>
  <si>
    <t>28th aug</t>
  </si>
  <si>
    <t>29th aug</t>
  </si>
  <si>
    <t>30th aug</t>
  </si>
  <si>
    <t>31st aug</t>
  </si>
  <si>
    <t>1st sep</t>
  </si>
  <si>
    <t>2nd sep</t>
  </si>
  <si>
    <t>3rd sep</t>
  </si>
  <si>
    <t>4th sep</t>
  </si>
  <si>
    <t>5th sep</t>
  </si>
  <si>
    <t>6th sep</t>
  </si>
  <si>
    <t>7th sep</t>
  </si>
  <si>
    <t>8th sep</t>
  </si>
  <si>
    <t>9th sep</t>
  </si>
  <si>
    <t>10th sep</t>
  </si>
  <si>
    <t>11th sep</t>
  </si>
  <si>
    <t>12th sep</t>
  </si>
  <si>
    <t>13th sep</t>
  </si>
  <si>
    <t>14th sep</t>
  </si>
  <si>
    <t>15th sep</t>
  </si>
  <si>
    <t>16th sep</t>
  </si>
  <si>
    <t>17th sep</t>
  </si>
  <si>
    <t>18th sep</t>
  </si>
  <si>
    <t>19th sep</t>
  </si>
  <si>
    <t>20th sep</t>
  </si>
  <si>
    <t>21st sep</t>
  </si>
  <si>
    <t>22nd sep</t>
  </si>
  <si>
    <t>23rd sep</t>
  </si>
  <si>
    <t>24th sep</t>
  </si>
  <si>
    <t>25th sep</t>
  </si>
  <si>
    <t>26th sep</t>
  </si>
  <si>
    <t>27th sep</t>
  </si>
  <si>
    <t>28th sep</t>
  </si>
  <si>
    <t>29th sep</t>
  </si>
  <si>
    <t>30th sep</t>
  </si>
  <si>
    <t>1st 0ct 24</t>
  </si>
  <si>
    <t>2nd 0ct 24</t>
  </si>
  <si>
    <t>3rd 0ct 24</t>
  </si>
  <si>
    <t>4th 0ct 24</t>
  </si>
  <si>
    <t>5th 0ct 24</t>
  </si>
  <si>
    <t>6th 0ct 24</t>
  </si>
  <si>
    <t>7th 0ct 24</t>
  </si>
  <si>
    <t>8th 0ct 24</t>
  </si>
  <si>
    <t>9th 0ct 24</t>
  </si>
  <si>
    <t>10th 0ct 24</t>
  </si>
  <si>
    <t>11th 0ct 24</t>
  </si>
  <si>
    <t>12th 0ct 24</t>
  </si>
  <si>
    <t>13th 0ct 24</t>
  </si>
  <si>
    <t>14th 0ct 24</t>
  </si>
  <si>
    <t>15th 0ct 24</t>
  </si>
  <si>
    <t>16th 0ct 24</t>
  </si>
  <si>
    <t>17th 0ct 24</t>
  </si>
  <si>
    <t>18th 0ct 24</t>
  </si>
  <si>
    <t>19th 0ct 24</t>
  </si>
  <si>
    <t>20th 0ct 24</t>
  </si>
  <si>
    <t>21st 0ct 24</t>
  </si>
  <si>
    <t>22nd 0ct 24</t>
  </si>
  <si>
    <t>23rd 0ct 24</t>
  </si>
  <si>
    <t>24th 0ct 24</t>
  </si>
  <si>
    <t>25th 0ct 24</t>
  </si>
  <si>
    <t>26th 0ct 24</t>
  </si>
  <si>
    <t>27th 0ct 24</t>
  </si>
  <si>
    <t>28th 0ct 24</t>
  </si>
  <si>
    <t>29th 0ct 24</t>
  </si>
  <si>
    <t>30th 0ct 24</t>
  </si>
  <si>
    <t>31st 0ct 24</t>
  </si>
  <si>
    <t>1st Nov-2024</t>
  </si>
  <si>
    <t>2nd Nov-2024</t>
  </si>
  <si>
    <t>3rd Nov-2024</t>
  </si>
  <si>
    <t>4th Nov-2024</t>
  </si>
  <si>
    <t>5th Nov-2024</t>
  </si>
  <si>
    <t>6th Nov-2024</t>
  </si>
  <si>
    <t>7th Nov-2024</t>
  </si>
  <si>
    <t>8th Nov-2024</t>
  </si>
  <si>
    <t>9th Nov-2024</t>
  </si>
  <si>
    <t>10th Nov-2024</t>
  </si>
  <si>
    <t>11th Nov-2024</t>
  </si>
  <si>
    <t>12th Nov-2024</t>
  </si>
  <si>
    <t>13th Nov-2024</t>
  </si>
  <si>
    <t>14th Nov-2024</t>
  </si>
  <si>
    <t>15th Nov-2024</t>
  </si>
  <si>
    <t>16th Nov-2024</t>
  </si>
  <si>
    <t>17th Nov-2024</t>
  </si>
  <si>
    <t>18th Nov-2024</t>
  </si>
  <si>
    <t>19th Nov-2024</t>
  </si>
  <si>
    <t>20th Nov-2024</t>
  </si>
  <si>
    <t>21st Nov-2024</t>
  </si>
  <si>
    <t>22nd Nov-2024</t>
  </si>
  <si>
    <t>23rd Nov-2024</t>
  </si>
  <si>
    <t>24th Nov-2024</t>
  </si>
  <si>
    <t>25th Nov-2024</t>
  </si>
  <si>
    <t>26th Nov-2024</t>
  </si>
  <si>
    <t>27th Nov-2024</t>
  </si>
  <si>
    <t>28th Nov-2024</t>
  </si>
  <si>
    <t>29th Nov-2024</t>
  </si>
  <si>
    <t>30th Nov-2024</t>
  </si>
  <si>
    <t>1st dec-2024</t>
  </si>
  <si>
    <t>2nd dec-2024</t>
  </si>
  <si>
    <t>3rd dec-2024</t>
  </si>
  <si>
    <t>4th dec-2024</t>
  </si>
  <si>
    <t>5th dec-2024</t>
  </si>
  <si>
    <t>6th dec-2024</t>
  </si>
  <si>
    <t>7th dec-2024</t>
  </si>
  <si>
    <t>8th dec-2024</t>
  </si>
  <si>
    <t>9th dec-2024</t>
  </si>
  <si>
    <t>10th dec-2024</t>
  </si>
  <si>
    <t>11th dec-2024</t>
  </si>
  <si>
    <t>12th dec-2024</t>
  </si>
  <si>
    <t>13th dec-2024</t>
  </si>
  <si>
    <t>14th dec-2024</t>
  </si>
  <si>
    <t>15th dec-2024</t>
  </si>
  <si>
    <t>16th dec-2024</t>
  </si>
  <si>
    <t>17th dec-2024</t>
  </si>
  <si>
    <t>18th dec-2024</t>
  </si>
  <si>
    <t>19th dec-2024</t>
  </si>
  <si>
    <t>20th dec-2024</t>
  </si>
  <si>
    <t>21st dec-2024</t>
  </si>
  <si>
    <t>22nd dec-2024</t>
  </si>
  <si>
    <t>23rd dec-2024</t>
  </si>
  <si>
    <t>24th dec-2024</t>
  </si>
  <si>
    <t>25th dec-2024</t>
  </si>
  <si>
    <t>26th dec-2024</t>
  </si>
  <si>
    <t>27th dec-2024</t>
  </si>
  <si>
    <t>28th dec-2024</t>
  </si>
  <si>
    <t>29th dec-2024</t>
  </si>
  <si>
    <t>30th dec-2024</t>
  </si>
  <si>
    <t>31st dec-2024</t>
  </si>
  <si>
    <t>1st jan-2025</t>
  </si>
  <si>
    <t>2nd jan -2025</t>
  </si>
  <si>
    <t>3rd jan -2025</t>
  </si>
  <si>
    <t>4th jan -2025</t>
  </si>
  <si>
    <t>5th jan -2025</t>
  </si>
  <si>
    <t>6th jan -2025</t>
  </si>
  <si>
    <t>7th jan -2025</t>
  </si>
  <si>
    <t>8th jan -2025</t>
  </si>
  <si>
    <t>9th jan -2025</t>
  </si>
  <si>
    <t>10th jan -2025</t>
  </si>
  <si>
    <t>11th jan -2025</t>
  </si>
  <si>
    <t>12th jan -2025</t>
  </si>
  <si>
    <t>13th jan -2025</t>
  </si>
  <si>
    <t>14th jan -2025</t>
  </si>
  <si>
    <t>15th jan -2025</t>
  </si>
  <si>
    <t>16th jan -2025</t>
  </si>
  <si>
    <t>17th jan -2025</t>
  </si>
  <si>
    <t>18th jan -2025</t>
  </si>
  <si>
    <t>19th jan -2025</t>
  </si>
  <si>
    <t>20th jan -2025</t>
  </si>
  <si>
    <t>21st jan -2025</t>
  </si>
  <si>
    <t>22nd jan -2025</t>
  </si>
  <si>
    <t>23rd jan -2025</t>
  </si>
  <si>
    <t>24th jan -2025</t>
  </si>
  <si>
    <t>25th jan -2025</t>
  </si>
  <si>
    <t>26th jan -2025</t>
  </si>
  <si>
    <t>27th jan -2025</t>
  </si>
  <si>
    <t>28th jan -2025</t>
  </si>
  <si>
    <t>29th jan -2025</t>
  </si>
  <si>
    <t>30th jan -2025</t>
  </si>
  <si>
    <t>31st jan -2025</t>
  </si>
  <si>
    <t>1st feb2025</t>
  </si>
  <si>
    <t>2nd feb2025</t>
  </si>
  <si>
    <t>3rd feb2025</t>
  </si>
  <si>
    <t>4th feb2025</t>
  </si>
  <si>
    <t>5th feb2025</t>
  </si>
  <si>
    <t>6th feb2025</t>
  </si>
  <si>
    <t>7th feb2025</t>
  </si>
  <si>
    <t>8th feb2025</t>
  </si>
  <si>
    <t>9th feb2025</t>
  </si>
  <si>
    <t>10th feb2025</t>
  </si>
  <si>
    <t>11th feb2025</t>
  </si>
  <si>
    <t>12th feb2025</t>
  </si>
  <si>
    <t>13th feb2025</t>
  </si>
  <si>
    <t>14th feb2025</t>
  </si>
  <si>
    <t>15th feb2025</t>
  </si>
  <si>
    <t>16th feb2025</t>
  </si>
  <si>
    <t>17th feb2025</t>
  </si>
  <si>
    <t>18th feb2025</t>
  </si>
  <si>
    <t>19th feb2025</t>
  </si>
  <si>
    <t>20th feb2025</t>
  </si>
  <si>
    <t>21st feb2025</t>
  </si>
  <si>
    <t>22nd feb2025</t>
  </si>
  <si>
    <t>23rd feb2025</t>
  </si>
  <si>
    <t>24th feb2025</t>
  </si>
  <si>
    <t>25th feb2025</t>
  </si>
  <si>
    <t>26th feb2025</t>
  </si>
  <si>
    <t>27th feb2025</t>
  </si>
  <si>
    <t>28th feb2025</t>
  </si>
  <si>
    <t>1st mar2025</t>
  </si>
  <si>
    <t>2nd mar2025</t>
  </si>
  <si>
    <t>3rd mar2025</t>
  </si>
  <si>
    <t>4th mar2025</t>
  </si>
  <si>
    <t>5th mar2025</t>
  </si>
  <si>
    <t>6th mar2025</t>
  </si>
  <si>
    <t>7th mar2025</t>
  </si>
  <si>
    <t>8th mar2025</t>
  </si>
  <si>
    <t>9th mar2025</t>
  </si>
  <si>
    <t>10th mar2025</t>
  </si>
  <si>
    <t>11th mar2025</t>
  </si>
  <si>
    <t>12th mar2025</t>
  </si>
  <si>
    <t>13th mar2025</t>
  </si>
  <si>
    <t>14th mar2025</t>
  </si>
  <si>
    <t>15th mar2025</t>
  </si>
  <si>
    <t>16th mar2025</t>
  </si>
  <si>
    <t>17th mar2025</t>
  </si>
  <si>
    <t>18th mar2025</t>
  </si>
  <si>
    <t>19th mar2025</t>
  </si>
  <si>
    <t>20th mar2025</t>
  </si>
  <si>
    <t>21st mar2025</t>
  </si>
  <si>
    <t>22nd mar2025</t>
  </si>
  <si>
    <t>23rd mar2025</t>
  </si>
  <si>
    <t>24th mar2025</t>
  </si>
  <si>
    <t>25th mar2025</t>
  </si>
  <si>
    <t>26th mar2025</t>
  </si>
  <si>
    <t>27th mar2025</t>
  </si>
  <si>
    <t>28th mar2025</t>
  </si>
  <si>
    <t>29th mar2025</t>
  </si>
  <si>
    <t>30th mar2025</t>
  </si>
  <si>
    <t>31st mar2025</t>
  </si>
  <si>
    <t>1st -apr2025</t>
  </si>
  <si>
    <t>2nd -apr2025</t>
  </si>
  <si>
    <t>3rd -apr2025</t>
  </si>
  <si>
    <t>4th -apr2025</t>
  </si>
  <si>
    <t>5th -apr2025</t>
  </si>
  <si>
    <t>6th -apr2025</t>
  </si>
  <si>
    <t>7th -apr2025</t>
  </si>
  <si>
    <t>8th -apr2025</t>
  </si>
  <si>
    <t>9th -apr2025</t>
  </si>
  <si>
    <t>10th -apr2025</t>
  </si>
  <si>
    <t>11th -apr2025</t>
  </si>
  <si>
    <t>12th -apr2025</t>
  </si>
  <si>
    <t>13th -apr2025</t>
  </si>
  <si>
    <t>14th -apr2025</t>
  </si>
  <si>
    <t>15th -apr2025</t>
  </si>
  <si>
    <t>16th -apr2025</t>
  </si>
  <si>
    <t>17th -apr2025</t>
  </si>
  <si>
    <t>18th -apr2025</t>
  </si>
  <si>
    <t>19th -apr2025</t>
  </si>
  <si>
    <t>20th -apr2025</t>
  </si>
  <si>
    <t>21st -apr2025</t>
  </si>
  <si>
    <t>22nd -apr2025</t>
  </si>
  <si>
    <t>23rd -apr2025</t>
  </si>
  <si>
    <t>24th -apr2025</t>
  </si>
  <si>
    <t>25th -apr2025</t>
  </si>
  <si>
    <t>26th -apr2025</t>
  </si>
  <si>
    <t>27th -apr2025</t>
  </si>
  <si>
    <t>28th -apr2025</t>
  </si>
  <si>
    <t>29th -apr2025</t>
  </si>
  <si>
    <t>30th -apr2025</t>
  </si>
  <si>
    <t>1st May-2025</t>
  </si>
  <si>
    <t>2nd May-2025</t>
  </si>
  <si>
    <t>3rd May-2025</t>
  </si>
  <si>
    <t>4th May-2025</t>
  </si>
  <si>
    <t>5th May-2025</t>
  </si>
  <si>
    <t>6th May-2025</t>
  </si>
  <si>
    <t>7th May-2025</t>
  </si>
  <si>
    <t>8th May-2025</t>
  </si>
  <si>
    <t>9th May-2025</t>
  </si>
  <si>
    <t>10th May-2025</t>
  </si>
  <si>
    <t>11th May-2025</t>
  </si>
  <si>
    <t>12th May-2025</t>
  </si>
  <si>
    <t>13th May-2025</t>
  </si>
  <si>
    <t>14th May-2025</t>
  </si>
  <si>
    <t>15th May-2025</t>
  </si>
  <si>
    <t>16th May-2025</t>
  </si>
  <si>
    <t>17th May-2025</t>
  </si>
  <si>
    <t>18th May-2025</t>
  </si>
  <si>
    <t>19th May-2025</t>
  </si>
  <si>
    <t>20th May-2025</t>
  </si>
  <si>
    <t>21st May-2025</t>
  </si>
  <si>
    <t>22nd May-2025</t>
  </si>
  <si>
    <t>23rd May-2025</t>
  </si>
  <si>
    <t>24th May-2025</t>
  </si>
  <si>
    <t>25th May-2025</t>
  </si>
  <si>
    <t>26th May-2025</t>
  </si>
  <si>
    <t>27th May-2025</t>
  </si>
  <si>
    <t>28th May-2025</t>
  </si>
  <si>
    <t>29th May-2025</t>
  </si>
  <si>
    <t>30th May-2025</t>
  </si>
  <si>
    <t>31st May-2025</t>
  </si>
  <si>
    <t>1st june</t>
  </si>
  <si>
    <t>2nd june</t>
  </si>
  <si>
    <t>3rd june</t>
  </si>
  <si>
    <t>4th june</t>
  </si>
  <si>
    <t>5th june</t>
  </si>
  <si>
    <t>6th june</t>
  </si>
  <si>
    <t>7th june</t>
  </si>
  <si>
    <t>8th june</t>
  </si>
  <si>
    <t>9th june</t>
  </si>
  <si>
    <t>10th june</t>
  </si>
  <si>
    <t>11th june</t>
  </si>
  <si>
    <t>12th june</t>
  </si>
  <si>
    <t>13th june</t>
  </si>
  <si>
    <t>14th june</t>
  </si>
  <si>
    <t>15th june</t>
  </si>
  <si>
    <t>16th june</t>
  </si>
  <si>
    <t>17th june</t>
  </si>
  <si>
    <t>18th june</t>
  </si>
  <si>
    <t>19th june</t>
  </si>
  <si>
    <t>20th june</t>
  </si>
  <si>
    <t>21st june</t>
  </si>
  <si>
    <t>22nd june</t>
  </si>
  <si>
    <t>23rd june</t>
  </si>
  <si>
    <t>24th june</t>
  </si>
  <si>
    <t>25th june</t>
  </si>
  <si>
    <t>26th june</t>
  </si>
  <si>
    <t>27th june</t>
  </si>
  <si>
    <t>28th june</t>
  </si>
  <si>
    <t>29th june</t>
  </si>
  <si>
    <t>30th june</t>
  </si>
  <si>
    <t>1st -july</t>
  </si>
  <si>
    <t>2nd -july</t>
  </si>
  <si>
    <t>3rd -july</t>
  </si>
  <si>
    <t>4th -july</t>
  </si>
  <si>
    <t>5th -july</t>
  </si>
  <si>
    <t>6th -july</t>
  </si>
  <si>
    <t>7th -july</t>
  </si>
  <si>
    <t>8th -july</t>
  </si>
  <si>
    <t>9th -july</t>
  </si>
  <si>
    <t>10th -july</t>
  </si>
  <si>
    <t>11th -july</t>
  </si>
  <si>
    <t>12th -july</t>
  </si>
  <si>
    <t>13th -july</t>
  </si>
  <si>
    <t>14th -july</t>
  </si>
  <si>
    <t>15th -july</t>
  </si>
  <si>
    <t>16th -july</t>
  </si>
  <si>
    <t>17th -july</t>
  </si>
  <si>
    <t>18th -july</t>
  </si>
  <si>
    <t>19th -july</t>
  </si>
  <si>
    <t>20th -july</t>
  </si>
  <si>
    <t>21st -july</t>
  </si>
  <si>
    <t>22nd -july</t>
  </si>
  <si>
    <t>23rd -july</t>
  </si>
  <si>
    <t>24th -july</t>
  </si>
  <si>
    <t>25th -july</t>
  </si>
  <si>
    <t>26th -july</t>
  </si>
  <si>
    <t>27th -july</t>
  </si>
  <si>
    <t>28th -july</t>
  </si>
  <si>
    <t>29th -july</t>
  </si>
  <si>
    <t>30th -july</t>
  </si>
  <si>
    <t>31st -july</t>
  </si>
  <si>
    <t>1st -aug25</t>
  </si>
  <si>
    <t>2nd -aug</t>
  </si>
  <si>
    <t>3rd -aug</t>
  </si>
  <si>
    <t>4th -aug</t>
  </si>
  <si>
    <t>5th -aug</t>
  </si>
  <si>
    <t>6th -aug</t>
  </si>
  <si>
    <t>7th -aug</t>
  </si>
  <si>
    <t>8th -aug</t>
  </si>
  <si>
    <t>9th -aug</t>
  </si>
  <si>
    <t>10th -aug</t>
  </si>
  <si>
    <t>11th -aug</t>
  </si>
  <si>
    <t>12th -aug</t>
  </si>
  <si>
    <t>13th -aug</t>
  </si>
  <si>
    <t>14th -aug</t>
  </si>
  <si>
    <t>15th -aug</t>
  </si>
  <si>
    <t>16th -aug</t>
  </si>
  <si>
    <t>17th -aug</t>
  </si>
  <si>
    <t>18th -aug</t>
  </si>
  <si>
    <t>19th -aug</t>
  </si>
  <si>
    <t>20th -aug</t>
  </si>
  <si>
    <t>21st -aug</t>
  </si>
  <si>
    <t>22nd -aug</t>
  </si>
  <si>
    <t>23rd -aug</t>
  </si>
  <si>
    <t>24th -aug</t>
  </si>
  <si>
    <t>25th -aug</t>
  </si>
  <si>
    <t>26th -aug</t>
  </si>
  <si>
    <t>27th -aug</t>
  </si>
  <si>
    <t>28th -aug</t>
  </si>
  <si>
    <t>29th -aug</t>
  </si>
  <si>
    <t>30th -aug</t>
  </si>
  <si>
    <t>31st -aug</t>
  </si>
  <si>
    <t>1st -sep 25</t>
  </si>
  <si>
    <t>2nd -sep 25</t>
  </si>
  <si>
    <t>3rd -sep 25</t>
  </si>
  <si>
    <t>4th -sep 25</t>
  </si>
  <si>
    <t>5th -sep 25</t>
  </si>
  <si>
    <t>6th -sep 25</t>
  </si>
  <si>
    <t>7th -sep 25</t>
  </si>
  <si>
    <t>8th -sep 25</t>
  </si>
  <si>
    <t>9th -sep 25</t>
  </si>
  <si>
    <t>10th -sep 25</t>
  </si>
  <si>
    <t>11th -sep 25</t>
  </si>
  <si>
    <t>12th -sep 25</t>
  </si>
  <si>
    <t>13th -sep 25</t>
  </si>
  <si>
    <t>14th -sep 25</t>
  </si>
  <si>
    <t>15th -sep 25</t>
  </si>
  <si>
    <t>16th -sep 25</t>
  </si>
  <si>
    <t>17th -sep 25</t>
  </si>
  <si>
    <t>18th -sep 25</t>
  </si>
  <si>
    <t>19th -sep 25</t>
  </si>
  <si>
    <t>20th -sep 25</t>
  </si>
  <si>
    <t>21st -sep 25</t>
  </si>
  <si>
    <t>22nd -sep 25</t>
  </si>
  <si>
    <t>23rd -sep 25</t>
  </si>
  <si>
    <t>24th -sep 25</t>
  </si>
  <si>
    <t>25th -sep 25</t>
  </si>
  <si>
    <t>26th -sep 25</t>
  </si>
  <si>
    <t>27th -sep 25</t>
  </si>
  <si>
    <t>28th -sep 25</t>
  </si>
  <si>
    <t>29th -sep 25</t>
  </si>
  <si>
    <t>30th -sep 25</t>
  </si>
  <si>
    <t>1st -oct25</t>
  </si>
  <si>
    <t>2nd -oct25</t>
  </si>
  <si>
    <t>3rd -oct25</t>
  </si>
  <si>
    <t>4th -oct25</t>
  </si>
  <si>
    <t>5th -oct25</t>
  </si>
  <si>
    <t>6th -oct25</t>
  </si>
  <si>
    <t>7th -oct25</t>
  </si>
  <si>
    <t>8th -oct25</t>
  </si>
  <si>
    <t>9th -oct25</t>
  </si>
  <si>
    <t>10th -oct25</t>
  </si>
  <si>
    <t>11th -oct25</t>
  </si>
  <si>
    <t>12th -oct25</t>
  </si>
  <si>
    <t>13th -oct25</t>
  </si>
  <si>
    <t>14th -oct25</t>
  </si>
  <si>
    <t>15th -oct25</t>
  </si>
  <si>
    <t>16th -oct25</t>
  </si>
  <si>
    <t>17th -oct25</t>
  </si>
  <si>
    <t>18th -oct25</t>
  </si>
  <si>
    <t>19th -oct25</t>
  </si>
  <si>
    <t>20th -oct25</t>
  </si>
  <si>
    <t>21st -oct25</t>
  </si>
  <si>
    <t>22nd -oct25</t>
  </si>
  <si>
    <t>23rd -oct25</t>
  </si>
  <si>
    <t>24th -oct25</t>
  </si>
  <si>
    <t>25th -oct25</t>
  </si>
  <si>
    <t>26th -oct25</t>
  </si>
  <si>
    <t>27th -oct25</t>
  </si>
  <si>
    <t>28th -oct25</t>
  </si>
  <si>
    <t>29th -oct25</t>
  </si>
  <si>
    <t>30th -oct25</t>
  </si>
  <si>
    <t>31st -oct25</t>
  </si>
  <si>
    <t>1st -nov25</t>
  </si>
  <si>
    <t>2nd -nov25</t>
  </si>
  <si>
    <t>3rd -nov25</t>
  </si>
  <si>
    <t>4th -nov25</t>
  </si>
  <si>
    <t>5th -nov25</t>
  </si>
  <si>
    <t>6th -nov25</t>
  </si>
  <si>
    <t>7th -nov25</t>
  </si>
  <si>
    <t>8th -nov25</t>
  </si>
  <si>
    <t>9th -nov25</t>
  </si>
  <si>
    <t>10th -nov25</t>
  </si>
  <si>
    <t>11th -nov25</t>
  </si>
  <si>
    <t>12th -nov25</t>
  </si>
  <si>
    <t>13th -nov25</t>
  </si>
  <si>
    <t>14th -nov25</t>
  </si>
  <si>
    <t>15th -nov25</t>
  </si>
  <si>
    <t>16th -nov25</t>
  </si>
  <si>
    <t>17th -nov25</t>
  </si>
  <si>
    <t>18th -nov25</t>
  </si>
  <si>
    <t>19th -nov25</t>
  </si>
  <si>
    <t>20th -nov25</t>
  </si>
  <si>
    <t>21st -nov25</t>
  </si>
  <si>
    <t>22nd -nov25</t>
  </si>
  <si>
    <t>23rd -nov25</t>
  </si>
  <si>
    <t>24th -nov25</t>
  </si>
  <si>
    <t>25th -nov25</t>
  </si>
  <si>
    <t>26th -nov25</t>
  </si>
  <si>
    <t>27th -nov25</t>
  </si>
  <si>
    <t>28th -nov25</t>
  </si>
  <si>
    <t>29th -nov25</t>
  </si>
  <si>
    <t>30th -nov25</t>
  </si>
  <si>
    <t>1st -dec25</t>
  </si>
  <si>
    <t>2nd -dec25</t>
  </si>
  <si>
    <t>3rd -dec25</t>
  </si>
  <si>
    <t>4th -dec25</t>
  </si>
  <si>
    <t>5th -dec25</t>
  </si>
  <si>
    <t>6th -dec25</t>
  </si>
  <si>
    <t>7th -dec25</t>
  </si>
  <si>
    <t>8th -dec25</t>
  </si>
  <si>
    <t>9th -dec25</t>
  </si>
  <si>
    <t>10th -dec25</t>
  </si>
  <si>
    <t>11th -dec25</t>
  </si>
  <si>
    <t>12th -dec25</t>
  </si>
  <si>
    <t>13th -dec25</t>
  </si>
  <si>
    <t>14th -dec25</t>
  </si>
  <si>
    <t>15th -dec25</t>
  </si>
  <si>
    <t>16th -dec25</t>
  </si>
  <si>
    <t>17th -dec25</t>
  </si>
  <si>
    <t>18th -dec25</t>
  </si>
  <si>
    <t>19th -dec25</t>
  </si>
  <si>
    <t>20th -dec25</t>
  </si>
  <si>
    <t>21st -dec25</t>
  </si>
  <si>
    <t>22nd -dec25</t>
  </si>
  <si>
    <t>23rd -dec25</t>
  </si>
  <si>
    <t>24th -dec25</t>
  </si>
  <si>
    <t>25th -dec25</t>
  </si>
  <si>
    <t>26th -dec25</t>
  </si>
  <si>
    <t>27th -dec25</t>
  </si>
  <si>
    <t>28th -dec25</t>
  </si>
  <si>
    <t>29th -dec25</t>
  </si>
  <si>
    <t>30th -dec25</t>
  </si>
  <si>
    <t>31st -dec25</t>
  </si>
  <si>
    <t>1st - jan26</t>
  </si>
  <si>
    <t>2nd - jan26</t>
  </si>
  <si>
    <t>3rd - jan26</t>
  </si>
  <si>
    <t>4th - jan26</t>
  </si>
  <si>
    <t>5th - jan26</t>
  </si>
  <si>
    <t>6th - jan26</t>
  </si>
  <si>
    <t>7th - jan26</t>
  </si>
  <si>
    <t>8th - jan26</t>
  </si>
  <si>
    <t>9th - jan26</t>
  </si>
  <si>
    <t>10th - jan26</t>
  </si>
  <si>
    <t>11th - jan26</t>
  </si>
  <si>
    <t>12th - jan26</t>
  </si>
  <si>
    <t>13th - jan26</t>
  </si>
  <si>
    <t>14th - jan26</t>
  </si>
  <si>
    <t>15th - jan26</t>
  </si>
  <si>
    <t>16th - jan26</t>
  </si>
  <si>
    <t>17th - jan26</t>
  </si>
  <si>
    <t>18th - jan26</t>
  </si>
  <si>
    <t>19th - jan26</t>
  </si>
  <si>
    <t>20th - jan26</t>
  </si>
  <si>
    <t>21st - jan26</t>
  </si>
  <si>
    <t>22nd - jan26</t>
  </si>
  <si>
    <t>23rd - jan26</t>
  </si>
  <si>
    <t>24th - jan26</t>
  </si>
  <si>
    <t>25th - jan26</t>
  </si>
  <si>
    <t>26th - jan26</t>
  </si>
  <si>
    <t>27th - jan26</t>
  </si>
  <si>
    <t>28th - jan26</t>
  </si>
  <si>
    <t>29th - jan26</t>
  </si>
  <si>
    <t>30th - jan26</t>
  </si>
  <si>
    <t>31st - jan26</t>
  </si>
  <si>
    <t>1st -feb2026</t>
  </si>
  <si>
    <t>2nd -feb2026</t>
  </si>
  <si>
    <t>3rd -feb2026</t>
  </si>
  <si>
    <t>4th -feb2026</t>
  </si>
  <si>
    <t>5th -feb2026</t>
  </si>
  <si>
    <t>6th -feb2026</t>
  </si>
  <si>
    <t>7th -feb2026</t>
  </si>
  <si>
    <t>8th -feb2026</t>
  </si>
  <si>
    <t>9th -feb2026</t>
  </si>
  <si>
    <t>10th -feb2026</t>
  </si>
  <si>
    <t>11th -feb2026</t>
  </si>
  <si>
    <t>12th -feb2026</t>
  </si>
  <si>
    <t>13th -feb2026</t>
  </si>
  <si>
    <t>14th -feb2026</t>
  </si>
  <si>
    <t>15th -feb2026</t>
  </si>
  <si>
    <t>16th -feb2026</t>
  </si>
  <si>
    <t>17th -feb2026</t>
  </si>
  <si>
    <t>18th -feb2026</t>
  </si>
  <si>
    <t>19th -feb2026</t>
  </si>
  <si>
    <t>20th -feb2026</t>
  </si>
  <si>
    <t>21st -feb2026</t>
  </si>
  <si>
    <t>22nd -feb2026</t>
  </si>
  <si>
    <t>23rd -feb2026</t>
  </si>
  <si>
    <t>24th -feb2026</t>
  </si>
  <si>
    <t>25th -feb2026</t>
  </si>
  <si>
    <t>26th -feb2026</t>
  </si>
  <si>
    <t>27th -feb2026</t>
  </si>
  <si>
    <t>28th -feb2026</t>
  </si>
  <si>
    <t>1st -mar2026</t>
  </si>
  <si>
    <t>2nd -mar2026</t>
  </si>
  <si>
    <t>3rd -mar2026</t>
  </si>
  <si>
    <t>4th -mar2026</t>
  </si>
  <si>
    <t>5th -mar2026</t>
  </si>
  <si>
    <t>6th -mar2026</t>
  </si>
  <si>
    <t>7th -mar2026</t>
  </si>
  <si>
    <t>8th -mar2026</t>
  </si>
  <si>
    <t>9th -mar2026</t>
  </si>
  <si>
    <t>10th -mar2026</t>
  </si>
  <si>
    <t>11th -mar2026</t>
  </si>
  <si>
    <t>12th -mar2026</t>
  </si>
  <si>
    <t>13th -mar2026</t>
  </si>
  <si>
    <t>14th -mar2026</t>
  </si>
  <si>
    <t>15th -mar2026</t>
  </si>
  <si>
    <t>16th -mar2026</t>
  </si>
  <si>
    <t>17th -mar2026</t>
  </si>
  <si>
    <t>18th -mar2026</t>
  </si>
  <si>
    <t>19th -mar2026</t>
  </si>
  <si>
    <t>20th -mar2026</t>
  </si>
  <si>
    <t>21st -mar2026</t>
  </si>
  <si>
    <t>22nd -mar2026</t>
  </si>
  <si>
    <t>23rd -mar2026</t>
  </si>
  <si>
    <t>24th -mar2026</t>
  </si>
  <si>
    <t>25th -mar2026</t>
  </si>
  <si>
    <t>26th -mar2026</t>
  </si>
  <si>
    <t>27th -mar2026</t>
  </si>
  <si>
    <t>28th -mar2026</t>
  </si>
  <si>
    <t>29th -mar2026</t>
  </si>
  <si>
    <t>30th -mar2026</t>
  </si>
  <si>
    <t>31st -mar2026</t>
  </si>
  <si>
    <t>1st -apr2026</t>
  </si>
  <si>
    <t>2nd -apr2026</t>
  </si>
  <si>
    <t>3rd -apr2026</t>
  </si>
  <si>
    <t>4th -apr2026</t>
  </si>
  <si>
    <t>5th -apr2026</t>
  </si>
  <si>
    <t>6th -apr2026</t>
  </si>
  <si>
    <t>7th -apr2026</t>
  </si>
  <si>
    <t>8th -apr2026</t>
  </si>
  <si>
    <t>9th -apr2026</t>
  </si>
  <si>
    <t>10th -apr2026</t>
  </si>
  <si>
    <t>11th -apr2026</t>
  </si>
  <si>
    <t>12th -apr2026</t>
  </si>
  <si>
    <t>13th -apr2026</t>
  </si>
  <si>
    <t>14th -apr2026</t>
  </si>
  <si>
    <t>15th -apr2026</t>
  </si>
  <si>
    <t>16th -apr2026</t>
  </si>
  <si>
    <t>17th -apr2026</t>
  </si>
  <si>
    <t>18th -apr2026</t>
  </si>
  <si>
    <t>19th -apr2026</t>
  </si>
  <si>
    <t>20th -apr2026</t>
  </si>
  <si>
    <t>21st -apr2026</t>
  </si>
  <si>
    <t>22nd -apr2026</t>
  </si>
  <si>
    <t>23rd -apr2026</t>
  </si>
  <si>
    <t>24th -apr2026</t>
  </si>
  <si>
    <t>25th -apr2026</t>
  </si>
  <si>
    <t>26th -apr2026</t>
  </si>
  <si>
    <t>27th -apr2026</t>
  </si>
  <si>
    <t>28th -apr2026</t>
  </si>
  <si>
    <t>29th -apr2026</t>
  </si>
  <si>
    <t>30th -apr2026</t>
  </si>
  <si>
    <t>1st -May2026</t>
  </si>
  <si>
    <t>2nd -May2026</t>
  </si>
  <si>
    <t>3rd -May2026</t>
  </si>
  <si>
    <t>4th -May2026</t>
  </si>
  <si>
    <t>5th -May2026</t>
  </si>
  <si>
    <t>6th -May2026</t>
  </si>
  <si>
    <t>7th -May2026</t>
  </si>
  <si>
    <t>8th -May2026</t>
  </si>
  <si>
    <t>9th -May2026</t>
  </si>
  <si>
    <t>10th -May2026</t>
  </si>
  <si>
    <t>11th -May2026</t>
  </si>
  <si>
    <t>12th -May2026</t>
  </si>
  <si>
    <t>13th -May2026</t>
  </si>
  <si>
    <t>14th -May2026</t>
  </si>
  <si>
    <t>15th -May2026</t>
  </si>
  <si>
    <t>16th -May2026</t>
  </si>
  <si>
    <t>17th -May2026</t>
  </si>
  <si>
    <t>18th -May2026</t>
  </si>
  <si>
    <t>19th -May2026</t>
  </si>
  <si>
    <t>20th -May2026</t>
  </si>
  <si>
    <t>21st -May2026</t>
  </si>
  <si>
    <t>22nd -May2026</t>
  </si>
  <si>
    <t>23rd -May2026</t>
  </si>
  <si>
    <t>24th -May2026</t>
  </si>
  <si>
    <t>25th -May2026</t>
  </si>
  <si>
    <t>26th -May2026</t>
  </si>
  <si>
    <t>27th -May2026</t>
  </si>
  <si>
    <t>28th -May2026</t>
  </si>
  <si>
    <t>29th -May2026</t>
  </si>
  <si>
    <t>30th -May2026</t>
  </si>
  <si>
    <t>31st -May2026</t>
  </si>
  <si>
    <t>10th -June2026</t>
  </si>
  <si>
    <t>PMS</t>
  </si>
  <si>
    <t>PMS 1</t>
  </si>
  <si>
    <t>OPENING</t>
  </si>
  <si>
    <t>CLOSING</t>
  </si>
  <si>
    <t>PMS 1 SALES</t>
  </si>
  <si>
    <t>PMS 2</t>
  </si>
  <si>
    <t>PMS 2 SALES</t>
  </si>
  <si>
    <t>PMS 3</t>
  </si>
  <si>
    <t>PMS 3 SALES</t>
  </si>
  <si>
    <t>PMS 4</t>
  </si>
  <si>
    <t>PMS 4 SALES</t>
  </si>
  <si>
    <t>TOTAL PMS SALES</t>
  </si>
  <si>
    <t>PMS RTT</t>
  </si>
  <si>
    <t>NET PMS SALES</t>
  </si>
  <si>
    <t>AGO</t>
  </si>
  <si>
    <t>AGO 1</t>
  </si>
  <si>
    <t>AGO 1 SALES</t>
  </si>
  <si>
    <t>AGO 2</t>
  </si>
  <si>
    <t>AGO 2 SALES</t>
  </si>
  <si>
    <t>AGO 3</t>
  </si>
  <si>
    <t>AGO 3 SALES</t>
  </si>
  <si>
    <t>AGO 4</t>
  </si>
  <si>
    <t>AGO 4 SALES</t>
  </si>
  <si>
    <t>TOTAL AGO SALES</t>
  </si>
  <si>
    <t>AGO RTT</t>
  </si>
  <si>
    <t>NET AGO SALES</t>
  </si>
  <si>
    <t>Monthly total</t>
  </si>
  <si>
    <t>monthly total</t>
  </si>
  <si>
    <t>total</t>
  </si>
  <si>
    <t>1st -june</t>
  </si>
  <si>
    <t>2nd -june</t>
  </si>
  <si>
    <t>3rd -june</t>
  </si>
  <si>
    <t>4th -june</t>
  </si>
  <si>
    <t>5th -june</t>
  </si>
  <si>
    <t>6th -june</t>
  </si>
  <si>
    <t>7th -june</t>
  </si>
  <si>
    <t>8th -june</t>
  </si>
  <si>
    <t>9th -june</t>
  </si>
  <si>
    <t>10th -june</t>
  </si>
  <si>
    <t>11th -june</t>
  </si>
  <si>
    <t>12th -june</t>
  </si>
  <si>
    <t>13th -june</t>
  </si>
  <si>
    <t>14th -june</t>
  </si>
  <si>
    <t>15th -june</t>
  </si>
  <si>
    <t>16th -june</t>
  </si>
  <si>
    <t>17th -june</t>
  </si>
  <si>
    <t>18th -june</t>
  </si>
  <si>
    <t>19th -june</t>
  </si>
  <si>
    <t>20th -june</t>
  </si>
  <si>
    <t>21st -june</t>
  </si>
  <si>
    <t>22nd -june</t>
  </si>
  <si>
    <t>23rd -june</t>
  </si>
  <si>
    <t>24th -june</t>
  </si>
  <si>
    <t>25th -june</t>
  </si>
  <si>
    <t>26th -june</t>
  </si>
  <si>
    <t>27th -june</t>
  </si>
  <si>
    <t>28th -june</t>
  </si>
  <si>
    <t>29th -june</t>
  </si>
  <si>
    <t>30th -june</t>
  </si>
  <si>
    <t>1st august</t>
  </si>
  <si>
    <t>2nd august</t>
  </si>
  <si>
    <t>3rd august</t>
  </si>
  <si>
    <t>4th august</t>
  </si>
  <si>
    <t>5th august</t>
  </si>
  <si>
    <t>6th august</t>
  </si>
  <si>
    <t>7th august</t>
  </si>
  <si>
    <t>8th august</t>
  </si>
  <si>
    <t>9th august</t>
  </si>
  <si>
    <t>10th august</t>
  </si>
  <si>
    <t>11th august</t>
  </si>
  <si>
    <t>12th august</t>
  </si>
  <si>
    <t>13th august</t>
  </si>
  <si>
    <t>14th august</t>
  </si>
  <si>
    <t>15th august</t>
  </si>
  <si>
    <t>16th august</t>
  </si>
  <si>
    <t>17th august</t>
  </si>
  <si>
    <t>18th august</t>
  </si>
  <si>
    <t>19th august</t>
  </si>
  <si>
    <t>20th august</t>
  </si>
  <si>
    <t>21st august</t>
  </si>
  <si>
    <t>22nd august</t>
  </si>
  <si>
    <t>23rd august</t>
  </si>
  <si>
    <t>24th august</t>
  </si>
  <si>
    <t>25th august</t>
  </si>
  <si>
    <t>26th august</t>
  </si>
  <si>
    <t>27th august</t>
  </si>
  <si>
    <t>28th august</t>
  </si>
  <si>
    <t>29th august</t>
  </si>
  <si>
    <t>30th august</t>
  </si>
  <si>
    <t>31st august</t>
  </si>
  <si>
    <t>1st oct-24</t>
  </si>
  <si>
    <t>2nd oct-24</t>
  </si>
  <si>
    <t>3rd oct-24</t>
  </si>
  <si>
    <t>4th oct-24</t>
  </si>
  <si>
    <t>5th oct-24</t>
  </si>
  <si>
    <t>6th oct-24</t>
  </si>
  <si>
    <t>7th oct-24</t>
  </si>
  <si>
    <t>8th oct-24</t>
  </si>
  <si>
    <t>9th oct-24</t>
  </si>
  <si>
    <t>10th oct-24</t>
  </si>
  <si>
    <t>11th oct-24</t>
  </si>
  <si>
    <t>12th oct-24</t>
  </si>
  <si>
    <t>13th oct-24</t>
  </si>
  <si>
    <t>14th oct-24</t>
  </si>
  <si>
    <t>15th oct-24</t>
  </si>
  <si>
    <t>16th oct-24</t>
  </si>
  <si>
    <t>17th oct-24</t>
  </si>
  <si>
    <t>18th oct-24</t>
  </si>
  <si>
    <t>19th oct-24</t>
  </si>
  <si>
    <t>20th oct-24</t>
  </si>
  <si>
    <t>21st oct-24</t>
  </si>
  <si>
    <t>22nd oct-24</t>
  </si>
  <si>
    <t>23rd oct-24</t>
  </si>
  <si>
    <t>24th oct-24</t>
  </si>
  <si>
    <t>25th oct-24</t>
  </si>
  <si>
    <t>26th oct-24</t>
  </si>
  <si>
    <t>27th oct-24</t>
  </si>
  <si>
    <t>28th oct-24</t>
  </si>
  <si>
    <t>29th oct-24</t>
  </si>
  <si>
    <t>30th oct-24</t>
  </si>
  <si>
    <t>31st oct-24</t>
  </si>
  <si>
    <t>1st nov-2024</t>
  </si>
  <si>
    <t>2nd nov-2024</t>
  </si>
  <si>
    <t>3rd nov-2024</t>
  </si>
  <si>
    <t>4th nov-2024</t>
  </si>
  <si>
    <t>5th nov-2024</t>
  </si>
  <si>
    <t>6th nov-2024</t>
  </si>
  <si>
    <t>7th nov-2024</t>
  </si>
  <si>
    <t>8th nov-2024</t>
  </si>
  <si>
    <t>9th nov-2024</t>
  </si>
  <si>
    <t>10th nov-2024</t>
  </si>
  <si>
    <t>11th nov-2024</t>
  </si>
  <si>
    <t>12th nov-2024</t>
  </si>
  <si>
    <t>13th nov-2024</t>
  </si>
  <si>
    <t>14th nov-2024</t>
  </si>
  <si>
    <t>15th nov-2024</t>
  </si>
  <si>
    <t>16th nov-2024</t>
  </si>
  <si>
    <t>17th nov-2024</t>
  </si>
  <si>
    <t>18th nov-2024</t>
  </si>
  <si>
    <t>19th nov-2024</t>
  </si>
  <si>
    <t>20th nov-2024</t>
  </si>
  <si>
    <t>21st nov-2024</t>
  </si>
  <si>
    <t>22nd nov-2024</t>
  </si>
  <si>
    <t>23rd nov-2024</t>
  </si>
  <si>
    <t>24th nov-2024</t>
  </si>
  <si>
    <t>25th nov-2024</t>
  </si>
  <si>
    <t>26th nov-2024</t>
  </si>
  <si>
    <t>27th nov-2024</t>
  </si>
  <si>
    <t>28th nov-2024</t>
  </si>
  <si>
    <t>29th nov-2024</t>
  </si>
  <si>
    <t>30th nov-2024</t>
  </si>
  <si>
    <t>1st jan -2025</t>
  </si>
  <si>
    <t>tptal</t>
  </si>
  <si>
    <t>1st feb 2025</t>
  </si>
  <si>
    <t>2nd feb 2025</t>
  </si>
  <si>
    <t>3rd feb 2025</t>
  </si>
  <si>
    <t>4th feb 2025</t>
  </si>
  <si>
    <t>5th feb 2025</t>
  </si>
  <si>
    <t>6th feb 2025</t>
  </si>
  <si>
    <t>7th feb 2025</t>
  </si>
  <si>
    <t>8th feb 2025</t>
  </si>
  <si>
    <t>9th feb 2025</t>
  </si>
  <si>
    <t>10th feb 2025</t>
  </si>
  <si>
    <t>11th feb 2025</t>
  </si>
  <si>
    <t>12th feb 2025</t>
  </si>
  <si>
    <t>13th feb 2025</t>
  </si>
  <si>
    <t>14th feb 2025</t>
  </si>
  <si>
    <t>15th feb 2025</t>
  </si>
  <si>
    <t>16th feb 2025</t>
  </si>
  <si>
    <t>17th feb 2025</t>
  </si>
  <si>
    <t>18th feb 2025</t>
  </si>
  <si>
    <t>19th feb 2025</t>
  </si>
  <si>
    <t>20th feb 2025</t>
  </si>
  <si>
    <t>21st feb 2025</t>
  </si>
  <si>
    <t>22nd feb 2025</t>
  </si>
  <si>
    <t>23rd feb 2025</t>
  </si>
  <si>
    <t>24th feb 2025</t>
  </si>
  <si>
    <t>25th feb 2025</t>
  </si>
  <si>
    <t>26th feb 2025</t>
  </si>
  <si>
    <t>27th feb 2025</t>
  </si>
  <si>
    <t>28th feb 2025</t>
  </si>
  <si>
    <t>Total</t>
  </si>
  <si>
    <t>1st mar 2025</t>
  </si>
  <si>
    <t>2nd mar 2025</t>
  </si>
  <si>
    <t>3rd mar 2025</t>
  </si>
  <si>
    <t>4th mar 2025</t>
  </si>
  <si>
    <t>5th mar 2025</t>
  </si>
  <si>
    <t>6th mar 2025</t>
  </si>
  <si>
    <t>7th mar 2025</t>
  </si>
  <si>
    <t>8th mar 2025</t>
  </si>
  <si>
    <t>9th mar 2025</t>
  </si>
  <si>
    <t>10th mar 2025</t>
  </si>
  <si>
    <t>11th mar 2025</t>
  </si>
  <si>
    <t>12th mar 2025</t>
  </si>
  <si>
    <t>13th mar 2025</t>
  </si>
  <si>
    <t>14th mar 2025</t>
  </si>
  <si>
    <t>15th mar 2025</t>
  </si>
  <si>
    <t>16th mar 2025</t>
  </si>
  <si>
    <t>17th mar 2025</t>
  </si>
  <si>
    <t>18th mar 2025</t>
  </si>
  <si>
    <t>19th mar 2025</t>
  </si>
  <si>
    <t>20th mar 2025</t>
  </si>
  <si>
    <t>21st mar 2025</t>
  </si>
  <si>
    <t>22nd mar 2025</t>
  </si>
  <si>
    <t>23rd mar 2025</t>
  </si>
  <si>
    <t>24th mar 2025</t>
  </si>
  <si>
    <t>25th mar 2025</t>
  </si>
  <si>
    <t>26th mar 2025</t>
  </si>
  <si>
    <t>27th mar 2025</t>
  </si>
  <si>
    <t>28th mar 2025</t>
  </si>
  <si>
    <t>29th mar 2025</t>
  </si>
  <si>
    <t>30th mar 2025</t>
  </si>
  <si>
    <t>31st mar 2025</t>
  </si>
  <si>
    <t>T0tal</t>
  </si>
  <si>
    <t>1st -sep25</t>
  </si>
  <si>
    <t>2nd -sep25</t>
  </si>
  <si>
    <t>3rd -sep25</t>
  </si>
  <si>
    <t>4th -sep25</t>
  </si>
  <si>
    <t>5th -sep25</t>
  </si>
  <si>
    <t>6th -sep25</t>
  </si>
  <si>
    <t>7th -sep25</t>
  </si>
  <si>
    <t>8th -sep25</t>
  </si>
  <si>
    <t>9th -sep25</t>
  </si>
  <si>
    <t>10th -sep25</t>
  </si>
  <si>
    <t>11th -sep25</t>
  </si>
  <si>
    <t>12th -sep25</t>
  </si>
  <si>
    <t>13th -sep25</t>
  </si>
  <si>
    <t>14th -sep25</t>
  </si>
  <si>
    <t>15th -sep25</t>
  </si>
  <si>
    <t>16th -sep25</t>
  </si>
  <si>
    <t>17th -sep25</t>
  </si>
  <si>
    <t>18th -sep25</t>
  </si>
  <si>
    <t>19th -sep25</t>
  </si>
  <si>
    <t>20th -sep25</t>
  </si>
  <si>
    <t>21st -sep25</t>
  </si>
  <si>
    <t>22nd -sep25</t>
  </si>
  <si>
    <t>23rd -sep25</t>
  </si>
  <si>
    <t>24th -sep25</t>
  </si>
  <si>
    <t>25th -sep25</t>
  </si>
  <si>
    <t>26th -sep25</t>
  </si>
  <si>
    <t>27th -sep25</t>
  </si>
  <si>
    <t>28th -sep25</t>
  </si>
  <si>
    <t>29th -sep25</t>
  </si>
  <si>
    <t>30th -sep25</t>
  </si>
  <si>
    <t>1st -jan26</t>
  </si>
  <si>
    <t>2nd -jan26</t>
  </si>
  <si>
    <t>3rd -jan26</t>
  </si>
  <si>
    <t>4th -jan26</t>
  </si>
  <si>
    <t>5th -jan26</t>
  </si>
  <si>
    <t>6th -jan26</t>
  </si>
  <si>
    <t>7th -jan26</t>
  </si>
  <si>
    <t>8th -jan26</t>
  </si>
  <si>
    <t>9th -jan26</t>
  </si>
  <si>
    <t>10th -jan26</t>
  </si>
  <si>
    <t>11th -jan26</t>
  </si>
  <si>
    <t>12th -jan26</t>
  </si>
  <si>
    <t>13th -jan26</t>
  </si>
  <si>
    <t>14th -jan26</t>
  </si>
  <si>
    <t>15th -jan26</t>
  </si>
  <si>
    <t>16th -jan26</t>
  </si>
  <si>
    <t>17th -jan26</t>
  </si>
  <si>
    <t>18th -jan26</t>
  </si>
  <si>
    <t>19th -jan26</t>
  </si>
  <si>
    <t>20th -jan26</t>
  </si>
  <si>
    <t>21st -jan26</t>
  </si>
  <si>
    <t>22nd -jan26</t>
  </si>
  <si>
    <t>23rd -jan26</t>
  </si>
  <si>
    <t>24th -jan26</t>
  </si>
  <si>
    <t>25th -jan26</t>
  </si>
  <si>
    <t>26th -jan26</t>
  </si>
  <si>
    <t>27th -jan26</t>
  </si>
  <si>
    <t>28th -jan26</t>
  </si>
  <si>
    <t>29th -jan26</t>
  </si>
  <si>
    <t>30th -jan26</t>
  </si>
  <si>
    <t>31st -jan26</t>
  </si>
  <si>
    <t>1st apr2026</t>
  </si>
  <si>
    <t>2nd apr2026</t>
  </si>
  <si>
    <t>3rd apr2026</t>
  </si>
  <si>
    <t>4th apr2026</t>
  </si>
  <si>
    <t>5th apr2026</t>
  </si>
  <si>
    <t>6th apr2026</t>
  </si>
  <si>
    <t>7th apr2026</t>
  </si>
  <si>
    <t>8th apr2026</t>
  </si>
  <si>
    <t>9th apr2026</t>
  </si>
  <si>
    <t>10th apr2026</t>
  </si>
  <si>
    <t>11th apr2026</t>
  </si>
  <si>
    <t>12th apr2026</t>
  </si>
  <si>
    <t>13th apr2026</t>
  </si>
  <si>
    <t>14th apr2026</t>
  </si>
  <si>
    <t>15th apr2026</t>
  </si>
  <si>
    <t>16th apr2026</t>
  </si>
  <si>
    <t>17th apr2026</t>
  </si>
  <si>
    <t>18th apr2026</t>
  </si>
  <si>
    <t>19th apr2026</t>
  </si>
  <si>
    <t>20th apr2026</t>
  </si>
  <si>
    <t>21st apr2026</t>
  </si>
  <si>
    <t>22nd apr2026</t>
  </si>
  <si>
    <t>23rd apr2026</t>
  </si>
  <si>
    <t>24th apr2026</t>
  </si>
  <si>
    <t>25th apr2026</t>
  </si>
  <si>
    <t>26th apr2026</t>
  </si>
  <si>
    <t>27th apr2026</t>
  </si>
  <si>
    <t>28th apr2026</t>
  </si>
  <si>
    <t>29th apr2026</t>
  </si>
  <si>
    <t>30th apr2026</t>
  </si>
  <si>
    <t>1st -may2026</t>
  </si>
  <si>
    <t>2nd -may2026</t>
  </si>
  <si>
    <t>3rd -may2026</t>
  </si>
  <si>
    <t>4th -may2026</t>
  </si>
  <si>
    <t>5th -may2026</t>
  </si>
  <si>
    <t>6th -may2026</t>
  </si>
  <si>
    <t>7th -may2026</t>
  </si>
  <si>
    <t>8th -may2026</t>
  </si>
  <si>
    <t>9th -may2026</t>
  </si>
  <si>
    <t>10th -may2026</t>
  </si>
  <si>
    <t>11th -may2026</t>
  </si>
  <si>
    <t>12th -may2026</t>
  </si>
  <si>
    <t>13th -may2026</t>
  </si>
  <si>
    <t>14th -may2026</t>
  </si>
  <si>
    <t>15th -may2026</t>
  </si>
  <si>
    <t>16th -may2026</t>
  </si>
  <si>
    <t>17th -may2026</t>
  </si>
  <si>
    <t>18th -may2026</t>
  </si>
  <si>
    <t>19th -may2026</t>
  </si>
  <si>
    <t>20th -may2026</t>
  </si>
  <si>
    <t>21st -may2026</t>
  </si>
  <si>
    <t>22nd -may2026</t>
  </si>
  <si>
    <t>23rd -may2026</t>
  </si>
  <si>
    <t>24th -may2026</t>
  </si>
  <si>
    <t>25th -may2026</t>
  </si>
  <si>
    <t>26th -may2026</t>
  </si>
  <si>
    <t>27th -may2026</t>
  </si>
  <si>
    <t>28th -may2026</t>
  </si>
  <si>
    <t>29th -may2026</t>
  </si>
  <si>
    <t>30th -may2026</t>
  </si>
  <si>
    <t>MOMOPAY</t>
  </si>
  <si>
    <t>AIRTEL</t>
  </si>
  <si>
    <t>VISA CARD</t>
  </si>
  <si>
    <t>RUBIS CARD</t>
  </si>
  <si>
    <t>RUBIS APP</t>
  </si>
  <si>
    <t>UIU university</t>
  </si>
  <si>
    <t xml:space="preserve">1st - june </t>
  </si>
  <si>
    <t xml:space="preserve">2nd - june </t>
  </si>
  <si>
    <t xml:space="preserve">3rd - june </t>
  </si>
  <si>
    <t xml:space="preserve">4th - june </t>
  </si>
  <si>
    <t xml:space="preserve">5th - june </t>
  </si>
  <si>
    <t xml:space="preserve">6th - june </t>
  </si>
  <si>
    <t xml:space="preserve">7th - june </t>
  </si>
  <si>
    <t xml:space="preserve">8th - june </t>
  </si>
  <si>
    <t xml:space="preserve">9th - june </t>
  </si>
  <si>
    <t xml:space="preserve">10th - june </t>
  </si>
  <si>
    <t xml:space="preserve">11th - june </t>
  </si>
  <si>
    <t xml:space="preserve">12th - june </t>
  </si>
  <si>
    <t xml:space="preserve">13th - june </t>
  </si>
  <si>
    <t xml:space="preserve">14th - june </t>
  </si>
  <si>
    <t xml:space="preserve">15th - june </t>
  </si>
  <si>
    <t xml:space="preserve">16th - june </t>
  </si>
  <si>
    <t xml:space="preserve">17th - june </t>
  </si>
  <si>
    <t xml:space="preserve">18th - june </t>
  </si>
  <si>
    <t xml:space="preserve">19th - june </t>
  </si>
  <si>
    <t xml:space="preserve">20th - june </t>
  </si>
  <si>
    <t xml:space="preserve">21st - june </t>
  </si>
  <si>
    <t xml:space="preserve">22nd - june </t>
  </si>
  <si>
    <t xml:space="preserve">23rd - june </t>
  </si>
  <si>
    <t xml:space="preserve">24th - june </t>
  </si>
  <si>
    <t xml:space="preserve">25th - june </t>
  </si>
  <si>
    <t xml:space="preserve">26th - june </t>
  </si>
  <si>
    <t xml:space="preserve">27th - june </t>
  </si>
  <si>
    <t xml:space="preserve">28th - june </t>
  </si>
  <si>
    <t xml:space="preserve">29th - june </t>
  </si>
  <si>
    <t xml:space="preserve">30th - june </t>
  </si>
  <si>
    <t>1st July</t>
  </si>
  <si>
    <t>2nd July</t>
  </si>
  <si>
    <t>3rd July</t>
  </si>
  <si>
    <t>4th July</t>
  </si>
  <si>
    <t>5th July</t>
  </si>
  <si>
    <t>6th July</t>
  </si>
  <si>
    <t>7th July</t>
  </si>
  <si>
    <t>8th July</t>
  </si>
  <si>
    <t>9th July</t>
  </si>
  <si>
    <t>10th July</t>
  </si>
  <si>
    <t>11th July</t>
  </si>
  <si>
    <t>12th July</t>
  </si>
  <si>
    <t>13th July</t>
  </si>
  <si>
    <t>14th July</t>
  </si>
  <si>
    <t>15th July</t>
  </si>
  <si>
    <t>16th July</t>
  </si>
  <si>
    <t>17th July</t>
  </si>
  <si>
    <t>18th July</t>
  </si>
  <si>
    <t>19th July</t>
  </si>
  <si>
    <t>20th July</t>
  </si>
  <si>
    <t>21st July</t>
  </si>
  <si>
    <t>22nd July</t>
  </si>
  <si>
    <t>23rd July</t>
  </si>
  <si>
    <t>24th July</t>
  </si>
  <si>
    <t>25th July</t>
  </si>
  <si>
    <t>26th July</t>
  </si>
  <si>
    <t>27th July</t>
  </si>
  <si>
    <t>28th July</t>
  </si>
  <si>
    <t>29th July</t>
  </si>
  <si>
    <t>30th July</t>
  </si>
  <si>
    <t>31st July</t>
  </si>
  <si>
    <t>31st nov-2024</t>
  </si>
  <si>
    <t>1st dec- 2024</t>
  </si>
  <si>
    <t>2nd dec- 2024</t>
  </si>
  <si>
    <t>3rd dec- 2024</t>
  </si>
  <si>
    <t>4th dec- 2024</t>
  </si>
  <si>
    <t>5th dec- 2024</t>
  </si>
  <si>
    <t>6th dec- 2024</t>
  </si>
  <si>
    <t>7th dec- 2024</t>
  </si>
  <si>
    <t>8th dec- 2024</t>
  </si>
  <si>
    <t>9th dec- 2024</t>
  </si>
  <si>
    <t>10th dec- 2024</t>
  </si>
  <si>
    <t>11th dec- 2024</t>
  </si>
  <si>
    <t>12th dec- 2024</t>
  </si>
  <si>
    <t>13th dec- 2024</t>
  </si>
  <si>
    <t>14th dec- 2024</t>
  </si>
  <si>
    <t>15th dec- 2024</t>
  </si>
  <si>
    <t>16th dec- 2024</t>
  </si>
  <si>
    <t>17th dec- 2024</t>
  </si>
  <si>
    <t>18th dec- 2024</t>
  </si>
  <si>
    <t>19th dec- 2024</t>
  </si>
  <si>
    <t>20th dec- 2024</t>
  </si>
  <si>
    <t>21st dec- 2024</t>
  </si>
  <si>
    <t>22nd dec- 2024</t>
  </si>
  <si>
    <t>23rd dec- 2024</t>
  </si>
  <si>
    <t>24th dec- 2024</t>
  </si>
  <si>
    <t>25th dec- 2024</t>
  </si>
  <si>
    <t>26th dec- 2024</t>
  </si>
  <si>
    <t>27th dec- 2024</t>
  </si>
  <si>
    <t>28th dec- 2024</t>
  </si>
  <si>
    <t>29th dec- 2024</t>
  </si>
  <si>
    <t>30th dec- 2024</t>
  </si>
  <si>
    <t>31st dec- 2024</t>
  </si>
  <si>
    <t>2nd jan-2025</t>
  </si>
  <si>
    <t>3rd jan-2025</t>
  </si>
  <si>
    <t>4th jan-2025</t>
  </si>
  <si>
    <t>5th jan-2025</t>
  </si>
  <si>
    <t>6th jan-2025</t>
  </si>
  <si>
    <t>7th jan-2025</t>
  </si>
  <si>
    <t>8th jan-2025</t>
  </si>
  <si>
    <t>9th jan-2025</t>
  </si>
  <si>
    <t>10th jan-2025</t>
  </si>
  <si>
    <t>11th jan-2025</t>
  </si>
  <si>
    <t>12th jan-2025</t>
  </si>
  <si>
    <t>13th jan-2025</t>
  </si>
  <si>
    <t>14th jan-2025</t>
  </si>
  <si>
    <t>15th jan-2025</t>
  </si>
  <si>
    <t>16th jan-2025</t>
  </si>
  <si>
    <t>17th jan-2025</t>
  </si>
  <si>
    <t>18th jan-2025</t>
  </si>
  <si>
    <t>19th jan-2025</t>
  </si>
  <si>
    <t>20th jan-2025</t>
  </si>
  <si>
    <t>21st jan-2025</t>
  </si>
  <si>
    <t>22nd jan-2025</t>
  </si>
  <si>
    <t>23rd jan-2025</t>
  </si>
  <si>
    <t>24th jan-2025</t>
  </si>
  <si>
    <t>25th jan-2025</t>
  </si>
  <si>
    <t>26th jan-2025</t>
  </si>
  <si>
    <t>27th jan-2025</t>
  </si>
  <si>
    <t>28th jan-2025</t>
  </si>
  <si>
    <t>29th jan-2025</t>
  </si>
  <si>
    <t>30th jan-2025</t>
  </si>
  <si>
    <t>31st jan-2025</t>
  </si>
  <si>
    <t>1st-apr2025</t>
  </si>
  <si>
    <t xml:space="preserve">1st aug </t>
  </si>
  <si>
    <t xml:space="preserve">2nd aug </t>
  </si>
  <si>
    <t xml:space="preserve">3rd aug </t>
  </si>
  <si>
    <t xml:space="preserve">4th aug </t>
  </si>
  <si>
    <t xml:space="preserve">5th aug </t>
  </si>
  <si>
    <t xml:space="preserve">6th aug </t>
  </si>
  <si>
    <t xml:space="preserve">7th aug </t>
  </si>
  <si>
    <t xml:space="preserve">8th aug </t>
  </si>
  <si>
    <t xml:space="preserve">9th aug </t>
  </si>
  <si>
    <t xml:space="preserve">10th aug </t>
  </si>
  <si>
    <t xml:space="preserve">11th aug </t>
  </si>
  <si>
    <t xml:space="preserve">12th aug </t>
  </si>
  <si>
    <t xml:space="preserve">13th aug </t>
  </si>
  <si>
    <t xml:space="preserve">14th aug </t>
  </si>
  <si>
    <t xml:space="preserve">15th aug </t>
  </si>
  <si>
    <t xml:space="preserve">16th aug </t>
  </si>
  <si>
    <t xml:space="preserve">17th aug </t>
  </si>
  <si>
    <t xml:space="preserve">18th aug </t>
  </si>
  <si>
    <t xml:space="preserve">19th aug </t>
  </si>
  <si>
    <t xml:space="preserve">20th aug </t>
  </si>
  <si>
    <t xml:space="preserve">21st aug </t>
  </si>
  <si>
    <t xml:space="preserve">22nd aug </t>
  </si>
  <si>
    <t xml:space="preserve">23rd aug </t>
  </si>
  <si>
    <t xml:space="preserve">24th aug </t>
  </si>
  <si>
    <t xml:space="preserve">25th aug </t>
  </si>
  <si>
    <t xml:space="preserve">26th aug </t>
  </si>
  <si>
    <t xml:space="preserve">27th aug </t>
  </si>
  <si>
    <t xml:space="preserve">28th aug </t>
  </si>
  <si>
    <t xml:space="preserve">29th aug </t>
  </si>
  <si>
    <t xml:space="preserve">30th aug </t>
  </si>
  <si>
    <t xml:space="preserve">31st aug </t>
  </si>
  <si>
    <t>1st -dce25</t>
  </si>
  <si>
    <t>2nd -dce25</t>
  </si>
  <si>
    <t>3rd -dce25</t>
  </si>
  <si>
    <t>4th -dce25</t>
  </si>
  <si>
    <t>5th -dce25</t>
  </si>
  <si>
    <t>6th -dce25</t>
  </si>
  <si>
    <t>7th -dce25</t>
  </si>
  <si>
    <t>8th -dce25</t>
  </si>
  <si>
    <t>9th -dce25</t>
  </si>
  <si>
    <t>10th -dce25</t>
  </si>
  <si>
    <t>11th -dce25</t>
  </si>
  <si>
    <t>12th -dce25</t>
  </si>
  <si>
    <t>13th -dce25</t>
  </si>
  <si>
    <t>14th -dce25</t>
  </si>
  <si>
    <t>15th -dce25</t>
  </si>
  <si>
    <t>16th -dce25</t>
  </si>
  <si>
    <t>17th -dce25</t>
  </si>
  <si>
    <t>18th -dce25</t>
  </si>
  <si>
    <t>19th -dce25</t>
  </si>
  <si>
    <t>20th -dce25</t>
  </si>
  <si>
    <t>21st -dce25</t>
  </si>
  <si>
    <t>22nd -dce25</t>
  </si>
  <si>
    <t>23rd -dce25</t>
  </si>
  <si>
    <t>24th -dce25</t>
  </si>
  <si>
    <t>25th -dce25</t>
  </si>
  <si>
    <t>26th -dce25</t>
  </si>
  <si>
    <t>27th -dce25</t>
  </si>
  <si>
    <t>28th -dce25</t>
  </si>
  <si>
    <t>29th -dce25</t>
  </si>
  <si>
    <t>30th -dce25</t>
  </si>
  <si>
    <t>31st -dce25</t>
  </si>
  <si>
    <t>1st -apr206</t>
  </si>
  <si>
    <t>2nd -apr206</t>
  </si>
  <si>
    <t>3rd -apr206</t>
  </si>
  <si>
    <t>4th -apr206</t>
  </si>
  <si>
    <t>5th -apr206</t>
  </si>
  <si>
    <t>6th -apr206</t>
  </si>
  <si>
    <t>7th -apr206</t>
  </si>
  <si>
    <t>8th -apr206</t>
  </si>
  <si>
    <t>9th -apr206</t>
  </si>
  <si>
    <t>10th -apr206</t>
  </si>
  <si>
    <t>11th -apr206</t>
  </si>
  <si>
    <t>12th -apr206</t>
  </si>
  <si>
    <t>13th -apr206</t>
  </si>
  <si>
    <t>14th -apr206</t>
  </si>
  <si>
    <t>15th -apr206</t>
  </si>
  <si>
    <t>16th -apr206</t>
  </si>
  <si>
    <t>17th -apr206</t>
  </si>
  <si>
    <t>18th -apr206</t>
  </si>
  <si>
    <t>19th -apr206</t>
  </si>
  <si>
    <t>20th -apr206</t>
  </si>
  <si>
    <t>21st -apr206</t>
  </si>
  <si>
    <t>22nd -apr206</t>
  </si>
  <si>
    <t>23rd -apr206</t>
  </si>
  <si>
    <t>24th -apr206</t>
  </si>
  <si>
    <t>25th -apr206</t>
  </si>
  <si>
    <t>26th -apr206</t>
  </si>
  <si>
    <t>27th -apr206</t>
  </si>
  <si>
    <t>28th -apr206</t>
  </si>
  <si>
    <t>29th -apr206</t>
  </si>
  <si>
    <t>30th -apr206</t>
  </si>
  <si>
    <t>1st May2026</t>
  </si>
  <si>
    <t>2nd May2026</t>
  </si>
  <si>
    <t>3rd May2026</t>
  </si>
  <si>
    <t>4th May2026</t>
  </si>
  <si>
    <t>5th May2026</t>
  </si>
  <si>
    <t>6th May2026</t>
  </si>
  <si>
    <t>7th May2026</t>
  </si>
  <si>
    <t>8th May2026</t>
  </si>
  <si>
    <t>9th May2026</t>
  </si>
  <si>
    <t>10th May2026</t>
  </si>
  <si>
    <t>11th May2026</t>
  </si>
  <si>
    <t>12th May2026</t>
  </si>
  <si>
    <t>13th May2026</t>
  </si>
  <si>
    <t>14th May2026</t>
  </si>
  <si>
    <t>15th May2026</t>
  </si>
  <si>
    <t>16th May2026</t>
  </si>
  <si>
    <t>17th May2026</t>
  </si>
  <si>
    <t>18th May2026</t>
  </si>
  <si>
    <t>19th May2026</t>
  </si>
  <si>
    <t>20th May2026</t>
  </si>
  <si>
    <t>21st May2026</t>
  </si>
  <si>
    <t>22nd May2026</t>
  </si>
  <si>
    <t>23rd May2026</t>
  </si>
  <si>
    <t>24th May2026</t>
  </si>
  <si>
    <t>25th May2026</t>
  </si>
  <si>
    <t>26th May2026</t>
  </si>
  <si>
    <t>27th May2026</t>
  </si>
  <si>
    <t>28th May2026</t>
  </si>
  <si>
    <t>29th May2026</t>
  </si>
  <si>
    <t>30th May2026</t>
  </si>
  <si>
    <t>EXPENSES</t>
  </si>
  <si>
    <t>GARBAGE</t>
  </si>
  <si>
    <t>LIQUID SOAP</t>
  </si>
  <si>
    <t>CAR FUEL</t>
  </si>
  <si>
    <t>FOOD</t>
  </si>
  <si>
    <t>BROOM</t>
  </si>
  <si>
    <t>Bankin transport</t>
  </si>
  <si>
    <t>AIRTIME</t>
  </si>
  <si>
    <t>price survey</t>
  </si>
  <si>
    <t>Security</t>
  </si>
  <si>
    <t>Hose pipe and Rubber</t>
  </si>
  <si>
    <t>Salary</t>
  </si>
  <si>
    <t>staff advance</t>
  </si>
  <si>
    <t>water bill</t>
  </si>
  <si>
    <t>generator</t>
  </si>
  <si>
    <t>shorteg</t>
  </si>
  <si>
    <t>Toiletpaper</t>
  </si>
  <si>
    <t>Toilet repair</t>
  </si>
  <si>
    <t>Book</t>
  </si>
  <si>
    <t>bucket</t>
  </si>
  <si>
    <t>cleaning</t>
  </si>
  <si>
    <t>URA</t>
  </si>
  <si>
    <t>slashing</t>
  </si>
  <si>
    <t>ummeme</t>
  </si>
  <si>
    <t>padlock</t>
  </si>
  <si>
    <t>credit sales</t>
  </si>
  <si>
    <t>Rtt</t>
  </si>
  <si>
    <t>cash withdrow from bussines</t>
  </si>
  <si>
    <t>other transport</t>
  </si>
  <si>
    <t>others</t>
  </si>
  <si>
    <t>TOTAL EXPENSES</t>
  </si>
  <si>
    <t>stolen</t>
  </si>
  <si>
    <t>cash withdrow 3600000 buy dollar 1000 bank stanbic</t>
  </si>
  <si>
    <t>cash withdrow 6500000 for shifan school fee</t>
  </si>
  <si>
    <t>17th</t>
  </si>
  <si>
    <t>blasio</t>
  </si>
  <si>
    <t>baker</t>
  </si>
  <si>
    <t>ricky</t>
  </si>
  <si>
    <t>latif</t>
  </si>
  <si>
    <t>price change</t>
  </si>
  <si>
    <t>1st june 24</t>
  </si>
  <si>
    <t>2nd june 24</t>
  </si>
  <si>
    <t>3rd june 24</t>
  </si>
  <si>
    <t>4th june 24</t>
  </si>
  <si>
    <t>5th june 24</t>
  </si>
  <si>
    <t>6th june 24</t>
  </si>
  <si>
    <t>7th june 24</t>
  </si>
  <si>
    <t>8th june 24</t>
  </si>
  <si>
    <t>9th june 24</t>
  </si>
  <si>
    <t>10th june 24</t>
  </si>
  <si>
    <t>11th june 24</t>
  </si>
  <si>
    <t>12th june 24</t>
  </si>
  <si>
    <t>13th june 24</t>
  </si>
  <si>
    <t>14th june 24</t>
  </si>
  <si>
    <t>15th june 24</t>
  </si>
  <si>
    <t>16th june 24</t>
  </si>
  <si>
    <t>17th june 24</t>
  </si>
  <si>
    <t>18th june 24</t>
  </si>
  <si>
    <t>19th june 24</t>
  </si>
  <si>
    <t>20th june 24</t>
  </si>
  <si>
    <t>21st june 24</t>
  </si>
  <si>
    <t>22nd june 24</t>
  </si>
  <si>
    <t>23rd june 24</t>
  </si>
  <si>
    <t>24th june 24</t>
  </si>
  <si>
    <t>25th june 24</t>
  </si>
  <si>
    <t>26th june 24</t>
  </si>
  <si>
    <t>27th june 24</t>
  </si>
  <si>
    <t>28th june 24</t>
  </si>
  <si>
    <t>29th june 24</t>
  </si>
  <si>
    <t>30th june 24</t>
  </si>
  <si>
    <t>1st nov2024</t>
  </si>
  <si>
    <t>2nd nov2024</t>
  </si>
  <si>
    <t>3rd nov2024</t>
  </si>
  <si>
    <t>4th nov2024</t>
  </si>
  <si>
    <t>5th nov2024</t>
  </si>
  <si>
    <t>6th nov2024</t>
  </si>
  <si>
    <t>7th nov2024</t>
  </si>
  <si>
    <t>8th nov2024</t>
  </si>
  <si>
    <t>9th nov2024</t>
  </si>
  <si>
    <t>10th nov2024</t>
  </si>
  <si>
    <t>11th nov2024</t>
  </si>
  <si>
    <t>12th nov2024</t>
  </si>
  <si>
    <t>13th nov2024</t>
  </si>
  <si>
    <t>14th nov2024</t>
  </si>
  <si>
    <t>15th nov2024</t>
  </si>
  <si>
    <t>16th nov2024</t>
  </si>
  <si>
    <t>17th nov2024</t>
  </si>
  <si>
    <t>18th nov2024</t>
  </si>
  <si>
    <t>19th nov2024</t>
  </si>
  <si>
    <t>20th nov2024</t>
  </si>
  <si>
    <t>21st nov2024</t>
  </si>
  <si>
    <t>22nd nov2024</t>
  </si>
  <si>
    <t>23rd nov2024</t>
  </si>
  <si>
    <t>24th nov2024</t>
  </si>
  <si>
    <t>25th nov2024</t>
  </si>
  <si>
    <t>26th nov2024</t>
  </si>
  <si>
    <t>27th nov2024</t>
  </si>
  <si>
    <t>28th nov2024</t>
  </si>
  <si>
    <t>29th nov2024</t>
  </si>
  <si>
    <t>30th nov2024</t>
  </si>
  <si>
    <t>1st dec25</t>
  </si>
  <si>
    <t>2nd dec25</t>
  </si>
  <si>
    <t>3rd dec25</t>
  </si>
  <si>
    <t>4th dec25</t>
  </si>
  <si>
    <t>5th dec25</t>
  </si>
  <si>
    <t>6th dec25</t>
  </si>
  <si>
    <t>7th dec25</t>
  </si>
  <si>
    <t>8th dec25</t>
  </si>
  <si>
    <t>9th dec25</t>
  </si>
  <si>
    <t>10th dec25</t>
  </si>
  <si>
    <t>11th dec25</t>
  </si>
  <si>
    <t>12th dec25</t>
  </si>
  <si>
    <t>13th dec25</t>
  </si>
  <si>
    <t>14th dec25</t>
  </si>
  <si>
    <t>15th dec25</t>
  </si>
  <si>
    <t>16th dec25</t>
  </si>
  <si>
    <t>17th dec25</t>
  </si>
  <si>
    <t>18th dec25</t>
  </si>
  <si>
    <t>19th dec25</t>
  </si>
  <si>
    <t>20th dec25</t>
  </si>
  <si>
    <t>21st dec25</t>
  </si>
  <si>
    <t>22nd dec25</t>
  </si>
  <si>
    <t>23rd dec25</t>
  </si>
  <si>
    <t>24th dec25</t>
  </si>
  <si>
    <t>25th dec25</t>
  </si>
  <si>
    <t>26th dec25</t>
  </si>
  <si>
    <t>27th dec25</t>
  </si>
  <si>
    <t>28th dec25</t>
  </si>
  <si>
    <t>29th dec25</t>
  </si>
  <si>
    <t>30th dec25</t>
  </si>
  <si>
    <t>31st dec25</t>
  </si>
  <si>
    <t>1st Mar2026</t>
  </si>
  <si>
    <t>2nd Mar2026</t>
  </si>
  <si>
    <t>3rd Mar2026</t>
  </si>
  <si>
    <t>4th Mar2026</t>
  </si>
  <si>
    <t>5th Mar2026</t>
  </si>
  <si>
    <t>6th Mar2026</t>
  </si>
  <si>
    <t>7th Mar2026</t>
  </si>
  <si>
    <t>8th Mar2026</t>
  </si>
  <si>
    <t>9th Mar2026</t>
  </si>
  <si>
    <t>10th Mar2026</t>
  </si>
  <si>
    <t>11th Mar2026</t>
  </si>
  <si>
    <t>12th Mar2026</t>
  </si>
  <si>
    <t>13th Mar2026</t>
  </si>
  <si>
    <t>14th Mar2026</t>
  </si>
  <si>
    <t>15th Mar2026</t>
  </si>
  <si>
    <t>16th Mar2026</t>
  </si>
  <si>
    <t>17th Mar2026</t>
  </si>
  <si>
    <t>18th Mar2026</t>
  </si>
  <si>
    <t>19th Mar2026</t>
  </si>
  <si>
    <t>20th Mar2026</t>
  </si>
  <si>
    <t>21st Mar2026</t>
  </si>
  <si>
    <t>22nd Mar2026</t>
  </si>
  <si>
    <t>23rd Mar2026</t>
  </si>
  <si>
    <t>24th Mar2026</t>
  </si>
  <si>
    <t>25th Mar2026</t>
  </si>
  <si>
    <t>26th Mar2026</t>
  </si>
  <si>
    <t>27th Mar2026</t>
  </si>
  <si>
    <t>28th Mar2026</t>
  </si>
  <si>
    <t>29th Mar2026</t>
  </si>
  <si>
    <t>30th Mar2026</t>
  </si>
  <si>
    <t>31st Mar2026</t>
  </si>
  <si>
    <t>WHITE FUELS</t>
  </si>
  <si>
    <t>PMS QTY</t>
  </si>
  <si>
    <t>PMS PRICE</t>
  </si>
  <si>
    <t>PMS SALES UGX</t>
  </si>
  <si>
    <t>AGO QTY</t>
  </si>
  <si>
    <t>AGO PRICE</t>
  </si>
  <si>
    <t>AGO SALES UGX</t>
  </si>
  <si>
    <t>TOTALS SALES QTY</t>
  </si>
  <si>
    <t>TOTAL SALES UGX</t>
  </si>
  <si>
    <t>ELECTRONIC SALES</t>
  </si>
  <si>
    <t>MOMO PAY</t>
  </si>
  <si>
    <t>TOTAL ELECTRONIC SALES</t>
  </si>
  <si>
    <t>OTHER SALES</t>
  </si>
  <si>
    <t>LUBES</t>
  </si>
  <si>
    <t>OTHER CASH COLLECTION</t>
  </si>
  <si>
    <t>Topup</t>
  </si>
  <si>
    <t>Filter</t>
  </si>
  <si>
    <t>GAS</t>
  </si>
  <si>
    <t>TOTAL</t>
  </si>
  <si>
    <t>BANKING</t>
  </si>
  <si>
    <t>BANKING AS PER THE STTAION</t>
  </si>
  <si>
    <t>DIFFERENCE</t>
  </si>
  <si>
    <t>SHORTAGE PMS</t>
  </si>
  <si>
    <t>OPENING STOCK</t>
  </si>
  <si>
    <t xml:space="preserve">SALES </t>
  </si>
  <si>
    <t>CLOSING STOCK</t>
  </si>
  <si>
    <t>DIPPING</t>
  </si>
  <si>
    <t>SHORTAGE/GAIN QTY</t>
  </si>
  <si>
    <t>SHORTAGE/GAIN  VALUE</t>
  </si>
  <si>
    <t>SHORTAGE AGO</t>
  </si>
  <si>
    <t>TOTAL SHORTAGE</t>
  </si>
  <si>
    <t>DEALER FEE ON PURCHASE</t>
  </si>
  <si>
    <t>DAILY GROSS PROFIT</t>
  </si>
  <si>
    <t>DAILY NET PROFIT</t>
  </si>
  <si>
    <t>total money</t>
  </si>
  <si>
    <t>electronics sales</t>
  </si>
  <si>
    <t>expence</t>
  </si>
  <si>
    <t>gas lubs</t>
  </si>
  <si>
    <t>filter</t>
  </si>
  <si>
    <t xml:space="preserve">price </t>
  </si>
  <si>
    <t>30/8/2023</t>
  </si>
  <si>
    <t>31/8/2023</t>
  </si>
  <si>
    <t>30th nov</t>
  </si>
  <si>
    <t>1st Nov 24</t>
  </si>
  <si>
    <t>2nd Nov 24</t>
  </si>
  <si>
    <t>3rd Nov 24</t>
  </si>
  <si>
    <t>4th Nov 24</t>
  </si>
  <si>
    <t>5th Nov 24</t>
  </si>
  <si>
    <t>6th Nov 24</t>
  </si>
  <si>
    <t>7th Nov 24</t>
  </si>
  <si>
    <t>8th Nov 24</t>
  </si>
  <si>
    <t>9th Nov 24</t>
  </si>
  <si>
    <t>10th Nov 24</t>
  </si>
  <si>
    <t>11th Nov 24</t>
  </si>
  <si>
    <t>12th Nov 24</t>
  </si>
  <si>
    <t>13th Nov 24</t>
  </si>
  <si>
    <t>14th Nov 24</t>
  </si>
  <si>
    <t>15th Nov 24</t>
  </si>
  <si>
    <t>16th Nov 24</t>
  </si>
  <si>
    <t>17th Nov 24</t>
  </si>
  <si>
    <t>18th Nov 24</t>
  </si>
  <si>
    <t>19th Nov 24</t>
  </si>
  <si>
    <t>20th Nov 24</t>
  </si>
  <si>
    <t>21st Nov 24</t>
  </si>
  <si>
    <t>22nd Nov 24</t>
  </si>
  <si>
    <t>23rd Nov 24</t>
  </si>
  <si>
    <t>24th Nov 24</t>
  </si>
  <si>
    <t>25th Nov 24</t>
  </si>
  <si>
    <t>26th Nov 24</t>
  </si>
  <si>
    <t>27th Nov 24</t>
  </si>
  <si>
    <t>28th Nov 24</t>
  </si>
  <si>
    <t>29th Nov 24</t>
  </si>
  <si>
    <t>30th Nov 24</t>
  </si>
  <si>
    <t>1st apr-2025</t>
  </si>
  <si>
    <t>2nd apr-2025</t>
  </si>
  <si>
    <t>3rd apr-2025</t>
  </si>
  <si>
    <t>4th apr-2025</t>
  </si>
  <si>
    <t>5th apr-2025</t>
  </si>
  <si>
    <t>6th apr-2025</t>
  </si>
  <si>
    <t>7th apr-2025</t>
  </si>
  <si>
    <t>8th apr-2025</t>
  </si>
  <si>
    <t>9th apr-2025</t>
  </si>
  <si>
    <t>10th apr-2025</t>
  </si>
  <si>
    <t>11th apr-2025</t>
  </si>
  <si>
    <t>12th apr-2025</t>
  </si>
  <si>
    <t>13th apr-2025</t>
  </si>
  <si>
    <t>14th apr-2025</t>
  </si>
  <si>
    <t>15th apr-2025</t>
  </si>
  <si>
    <t>16th apr-2025</t>
  </si>
  <si>
    <t>17th apr-2025</t>
  </si>
  <si>
    <t>18th apr-2025</t>
  </si>
  <si>
    <t>19th apr-2025</t>
  </si>
  <si>
    <t>20th apr-2025</t>
  </si>
  <si>
    <t>21st apr-2025</t>
  </si>
  <si>
    <t>22nd apr-2025</t>
  </si>
  <si>
    <t>23rd apr-2025</t>
  </si>
  <si>
    <t>24th apr-2025</t>
  </si>
  <si>
    <t>25th apr-2025</t>
  </si>
  <si>
    <t>26th apr-2025</t>
  </si>
  <si>
    <t>27th apr-2025</t>
  </si>
  <si>
    <t>28th apr-2025</t>
  </si>
  <si>
    <t>29th apr-2025</t>
  </si>
  <si>
    <t>30th apr-2025</t>
  </si>
  <si>
    <t>1st -  0ct25</t>
  </si>
  <si>
    <t>2nd -  0ct25</t>
  </si>
  <si>
    <t>3rd -  0ct25</t>
  </si>
  <si>
    <t>4th -  0ct25</t>
  </si>
  <si>
    <t>5th -  0ct25</t>
  </si>
  <si>
    <t>6th -  0ct25</t>
  </si>
  <si>
    <t>7th -  0ct25</t>
  </si>
  <si>
    <t>8th -  0ct25</t>
  </si>
  <si>
    <t>9th -  0ct25</t>
  </si>
  <si>
    <t>10th -  0ct25</t>
  </si>
  <si>
    <t>11th -  0ct25</t>
  </si>
  <si>
    <t>12th -  0ct25</t>
  </si>
  <si>
    <t>13th -  0ct25</t>
  </si>
  <si>
    <t>14th -  0ct25</t>
  </si>
  <si>
    <t>15th -  0ct25</t>
  </si>
  <si>
    <t>16th -  0ct25</t>
  </si>
  <si>
    <t>17th -  0ct25</t>
  </si>
  <si>
    <t>18th -  0ct25</t>
  </si>
  <si>
    <t>19th -  0ct25</t>
  </si>
  <si>
    <t>20th -  0ct25</t>
  </si>
  <si>
    <t>21st -  0ct25</t>
  </si>
  <si>
    <t>22nd -  0ct25</t>
  </si>
  <si>
    <t>23rd -  0ct25</t>
  </si>
  <si>
    <t>24th -  0ct25</t>
  </si>
  <si>
    <t>25th -  0ct25</t>
  </si>
  <si>
    <t>26th -  0ct25</t>
  </si>
  <si>
    <t>27th -  0ct25</t>
  </si>
  <si>
    <t>28th -  0ct25</t>
  </si>
  <si>
    <t>29th -  0ct25</t>
  </si>
  <si>
    <t>30th -  0ct25</t>
  </si>
  <si>
    <t>31st -  0ct25</t>
  </si>
  <si>
    <t>1st  -dec25</t>
  </si>
  <si>
    <t>STOCK WHITE FULES</t>
  </si>
  <si>
    <t>PMS STOCK VLAUE</t>
  </si>
  <si>
    <t>AGO STOCK VALUE</t>
  </si>
  <si>
    <t>TOTAL FUEL STOCK VALUE</t>
  </si>
  <si>
    <t>STOCK VALUE LUBES</t>
  </si>
  <si>
    <t>STOCK  VALUE GAS</t>
  </si>
  <si>
    <t>TOTAL STOCK VALUE</t>
  </si>
  <si>
    <t>DEBTORS</t>
  </si>
  <si>
    <t>Momo CF</t>
  </si>
  <si>
    <t>Md fuel</t>
  </si>
  <si>
    <t>Visa card CF</t>
  </si>
  <si>
    <t>Rubis card CF</t>
  </si>
  <si>
    <t>rubis app</t>
  </si>
  <si>
    <t>muhammed stolen</t>
  </si>
  <si>
    <t>Brian</t>
  </si>
  <si>
    <t>lubs taken headoffice</t>
  </si>
  <si>
    <t>sabiti</t>
  </si>
  <si>
    <t>Diamond</t>
  </si>
  <si>
    <t>Uber</t>
  </si>
  <si>
    <t>Awezi</t>
  </si>
  <si>
    <t xml:space="preserve">Momo </t>
  </si>
  <si>
    <t xml:space="preserve">Airtel </t>
  </si>
  <si>
    <t xml:space="preserve">Visa </t>
  </si>
  <si>
    <t xml:space="preserve">Rubis card </t>
  </si>
  <si>
    <t>Rubis App</t>
  </si>
  <si>
    <t>yusuf umor</t>
  </si>
  <si>
    <t>Zion investment</t>
  </si>
  <si>
    <t>Debit note+reversal</t>
  </si>
  <si>
    <t>megnum</t>
  </si>
  <si>
    <t>pms invoice more litter</t>
  </si>
  <si>
    <t>Umer +prime</t>
  </si>
  <si>
    <t>TOTAL DEBTORS</t>
  </si>
  <si>
    <t>CREDITORS</t>
  </si>
  <si>
    <t>Rubis</t>
  </si>
  <si>
    <t>Top Up Cash</t>
  </si>
  <si>
    <t>Received money from others</t>
  </si>
  <si>
    <t>Monthly profit capitalized</t>
  </si>
  <si>
    <t>Dealer Lisence</t>
  </si>
  <si>
    <t>TOTAL CREDITORS</t>
  </si>
  <si>
    <t>CASH AT HAND</t>
  </si>
  <si>
    <t>STANBIC</t>
  </si>
  <si>
    <t>DTB</t>
  </si>
  <si>
    <t>SECURITY DEPOSIT WITH RUBIS</t>
  </si>
  <si>
    <t>TOTAL CASH AT HAND</t>
  </si>
  <si>
    <t>TOTAL CAPITAL AT HAND</t>
  </si>
  <si>
    <t>INITIAL CAPITAL INVESTMENT</t>
  </si>
  <si>
    <t>NET PROFIT</t>
  </si>
  <si>
    <t>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</si>
</sst>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m/d/yy;@"/>
    <numFmt numFmtId="165" formatCode="_(* #,##0.000_);_(* \(#,##0.000\);_(* &quot;-&quot;??_);_(@_)"/>
    <numFmt numFmtId="166" formatCode="_(* #,##0_);_(* \(#,##0\);_(* &quot;-&quot;??_);_(@_)"/>
    <numFmt numFmtId="167" formatCode="_(* #,##0.0_);_(* \(#,##0.0\);_(* &quot;-&quot;??_);_(@_)"/>
    <numFmt numFmtId="168" formatCode="[$-409]d\-mmm\-yy;@"/>
    <numFmt numFmtId="169" formatCode="_(* #,##0.000_);_(* \(#,##0.000\);_(* &quot;-&quot;???_);_(@_)"/>
    <numFmt numFmtId="170" formatCode="[$-409]d\-mmm;@"/>
    <numFmt numFmtId="171" formatCode="mm/dd/yy;@"/>
    <numFmt numFmtId="172" formatCode="[$-409]dd\-mmm\-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175">
    <xf numFmtId="0" fontId="0" fillId="0" borderId="0" xfId="0"/>
    <xf numFmtId="43" fontId="0" fillId="0" borderId="0" xfId="0" applyNumberFormat="1"/>
    <xf numFmtId="0" fontId="2" fillId="4" borderId="0" xfId="0" applyFont="1" applyFill="1"/>
    <xf numFmtId="164" fontId="2" fillId="4" borderId="0" xfId="0" applyNumberFormat="1" applyFont="1" applyFill="1"/>
    <xf numFmtId="0" fontId="2" fillId="0" borderId="0" xfId="0" applyFont="1"/>
    <xf numFmtId="0" fontId="3" fillId="0" borderId="0" xfId="0" applyFont="1"/>
    <xf numFmtId="0" fontId="2" fillId="10" borderId="0" xfId="0" applyFont="1" applyFill="1"/>
    <xf numFmtId="0" fontId="3" fillId="0" borderId="6" xfId="0" applyFont="1" applyBorder="1"/>
    <xf numFmtId="0" fontId="2" fillId="2" borderId="6" xfId="0" applyFont="1" applyFill="1" applyBorder="1"/>
    <xf numFmtId="165" fontId="2" fillId="2" borderId="6" xfId="1" applyNumberFormat="1" applyFont="1" applyFill="1" applyBorder="1"/>
    <xf numFmtId="0" fontId="2" fillId="10" borderId="0" xfId="0" applyFont="1" applyFill="1" applyAlignment="1">
      <alignment horizontal="center" vertical="center" textRotation="180"/>
    </xf>
    <xf numFmtId="0" fontId="2" fillId="11" borderId="0" xfId="0" applyFont="1" applyFill="1"/>
    <xf numFmtId="166" fontId="2" fillId="11" borderId="0" xfId="1" applyNumberFormat="1" applyFont="1" applyFill="1"/>
    <xf numFmtId="0" fontId="0" fillId="11" borderId="0" xfId="0" applyFill="1"/>
    <xf numFmtId="165" fontId="2" fillId="11" borderId="1" xfId="1" applyNumberFormat="1" applyFont="1" applyFill="1" applyBorder="1"/>
    <xf numFmtId="165" fontId="2" fillId="11" borderId="2" xfId="1" applyNumberFormat="1" applyFont="1" applyFill="1" applyBorder="1"/>
    <xf numFmtId="165" fontId="2" fillId="10" borderId="0" xfId="1" applyNumberFormat="1" applyFont="1" applyFill="1"/>
    <xf numFmtId="165" fontId="2" fillId="11" borderId="4" xfId="1" applyNumberFormat="1" applyFont="1" applyFill="1" applyBorder="1"/>
    <xf numFmtId="165" fontId="2" fillId="11" borderId="0" xfId="1" applyNumberFormat="1" applyFont="1" applyFill="1"/>
    <xf numFmtId="0" fontId="2" fillId="10" borderId="0" xfId="0" applyFont="1" applyFill="1" applyAlignment="1">
      <alignment vertical="center" textRotation="180"/>
    </xf>
    <xf numFmtId="165" fontId="3" fillId="0" borderId="0" xfId="1" applyNumberFormat="1" applyFont="1"/>
    <xf numFmtId="166" fontId="2" fillId="10" borderId="0" xfId="1" applyNumberFormat="1" applyFont="1" applyFill="1"/>
    <xf numFmtId="166" fontId="3" fillId="0" borderId="0" xfId="1" applyNumberFormat="1" applyFont="1"/>
    <xf numFmtId="0" fontId="2" fillId="5" borderId="0" xfId="0" applyFont="1" applyFill="1"/>
    <xf numFmtId="166" fontId="2" fillId="5" borderId="0" xfId="1" applyNumberFormat="1" applyFont="1" applyFill="1"/>
    <xf numFmtId="0" fontId="2" fillId="9" borderId="0" xfId="0" applyFont="1" applyFill="1"/>
    <xf numFmtId="166" fontId="2" fillId="9" borderId="0" xfId="1" applyNumberFormat="1" applyFont="1" applyFill="1"/>
    <xf numFmtId="0" fontId="2" fillId="8" borderId="0" xfId="0" applyFont="1" applyFill="1"/>
    <xf numFmtId="166" fontId="2" fillId="8" borderId="0" xfId="1" applyNumberFormat="1" applyFont="1" applyFill="1"/>
    <xf numFmtId="0" fontId="2" fillId="6" borderId="0" xfId="0" applyFont="1" applyFill="1"/>
    <xf numFmtId="166" fontId="2" fillId="6" borderId="0" xfId="1" applyNumberFormat="1" applyFont="1" applyFill="1"/>
    <xf numFmtId="0" fontId="2" fillId="7" borderId="0" xfId="0" applyFont="1" applyFill="1"/>
    <xf numFmtId="166" fontId="2" fillId="7" borderId="0" xfId="1" applyNumberFormat="1" applyFont="1" applyFill="1"/>
    <xf numFmtId="167" fontId="3" fillId="0" borderId="0" xfId="1" applyNumberFormat="1" applyFont="1"/>
    <xf numFmtId="0" fontId="3" fillId="12" borderId="0" xfId="0" applyFont="1" applyFill="1"/>
    <xf numFmtId="165" fontId="3" fillId="12" borderId="0" xfId="1" applyNumberFormat="1" applyFont="1" applyFill="1"/>
    <xf numFmtId="0" fontId="2" fillId="12" borderId="0" xfId="0" applyFont="1" applyFill="1"/>
    <xf numFmtId="165" fontId="2" fillId="12" borderId="0" xfId="1" applyNumberFormat="1" applyFont="1" applyFill="1"/>
    <xf numFmtId="0" fontId="2" fillId="3" borderId="7" xfId="0" applyFont="1" applyFill="1" applyBorder="1"/>
    <xf numFmtId="166" fontId="2" fillId="3" borderId="7" xfId="1" applyNumberFormat="1" applyFont="1" applyFill="1" applyBorder="1"/>
    <xf numFmtId="166" fontId="2" fillId="5" borderId="7" xfId="1" applyNumberFormat="1" applyFont="1" applyFill="1" applyBorder="1"/>
    <xf numFmtId="166" fontId="2" fillId="10" borderId="7" xfId="1" applyNumberFormat="1" applyFont="1" applyFill="1" applyBorder="1"/>
    <xf numFmtId="0" fontId="0" fillId="2" borderId="8" xfId="0" applyFill="1" applyBorder="1"/>
    <xf numFmtId="166" fontId="2" fillId="12" borderId="0" xfId="1" applyNumberFormat="1" applyFont="1" applyFill="1"/>
    <xf numFmtId="0" fontId="3" fillId="11" borderId="1" xfId="0" applyFont="1" applyFill="1" applyBorder="1"/>
    <xf numFmtId="165" fontId="3" fillId="11" borderId="1" xfId="1" applyNumberFormat="1" applyFont="1" applyFill="1" applyBorder="1"/>
    <xf numFmtId="165" fontId="3" fillId="11" borderId="2" xfId="1" applyNumberFormat="1" applyFont="1" applyFill="1" applyBorder="1"/>
    <xf numFmtId="0" fontId="3" fillId="11" borderId="0" xfId="0" applyFont="1" applyFill="1"/>
    <xf numFmtId="165" fontId="3" fillId="11" borderId="0" xfId="1" applyNumberFormat="1" applyFont="1" applyFill="1"/>
    <xf numFmtId="165" fontId="3" fillId="11" borderId="4" xfId="1" applyNumberFormat="1" applyFont="1" applyFill="1" applyBorder="1"/>
    <xf numFmtId="0" fontId="4" fillId="4" borderId="0" xfId="0" applyFont="1" applyFill="1"/>
    <xf numFmtId="164" fontId="4" fillId="4" borderId="0" xfId="0" applyNumberFormat="1" applyFont="1" applyFill="1"/>
    <xf numFmtId="166" fontId="0" fillId="0" borderId="0" xfId="1" applyNumberFormat="1" applyFont="1"/>
    <xf numFmtId="166" fontId="4" fillId="2" borderId="0" xfId="1" applyNumberFormat="1" applyFont="1" applyFill="1"/>
    <xf numFmtId="0" fontId="4" fillId="10" borderId="0" xfId="0" applyFont="1" applyFill="1"/>
    <xf numFmtId="166" fontId="4" fillId="10" borderId="0" xfId="1" applyNumberFormat="1" applyFont="1" applyFill="1"/>
    <xf numFmtId="0" fontId="4" fillId="11" borderId="0" xfId="0" applyFont="1" applyFill="1" applyAlignment="1">
      <alignment horizontal="center" vertical="center" textRotation="180"/>
    </xf>
    <xf numFmtId="166" fontId="0" fillId="11" borderId="0" xfId="1" applyNumberFormat="1" applyFont="1" applyFill="1"/>
    <xf numFmtId="166" fontId="1" fillId="11" borderId="0" xfId="1" applyNumberFormat="1" applyFill="1"/>
    <xf numFmtId="166" fontId="4" fillId="11" borderId="0" xfId="1" applyNumberFormat="1" applyFont="1" applyFill="1"/>
    <xf numFmtId="0" fontId="4" fillId="9" borderId="0" xfId="0" applyFont="1" applyFill="1" applyAlignment="1">
      <alignment horizontal="center" textRotation="180"/>
    </xf>
    <xf numFmtId="0" fontId="4" fillId="9" borderId="0" xfId="0" applyFont="1" applyFill="1"/>
    <xf numFmtId="166" fontId="4" fillId="9" borderId="0" xfId="1" applyNumberFormat="1" applyFont="1" applyFill="1"/>
    <xf numFmtId="0" fontId="0" fillId="0" borderId="0" xfId="0" applyAlignment="1">
      <alignment horizontal="left"/>
    </xf>
    <xf numFmtId="0" fontId="4" fillId="8" borderId="0" xfId="0" applyFont="1" applyFill="1"/>
    <xf numFmtId="166" fontId="4" fillId="8" borderId="0" xfId="1" applyNumberFormat="1" applyFont="1" applyFill="1"/>
    <xf numFmtId="0" fontId="4" fillId="3" borderId="0" xfId="0" applyFont="1" applyFill="1"/>
    <xf numFmtId="166" fontId="4" fillId="3" borderId="0" xfId="1" applyNumberFormat="1" applyFont="1" applyFill="1"/>
    <xf numFmtId="0" fontId="4" fillId="11" borderId="0" xfId="0" applyFont="1" applyFill="1"/>
    <xf numFmtId="0" fontId="4" fillId="2" borderId="0" xfId="0" applyFont="1" applyFill="1"/>
    <xf numFmtId="0" fontId="4" fillId="0" borderId="0" xfId="0" applyFont="1"/>
    <xf numFmtId="166" fontId="4" fillId="0" borderId="0" xfId="0" applyNumberFormat="1" applyFont="1"/>
    <xf numFmtId="0" fontId="5" fillId="0" borderId="0" xfId="0" applyFont="1"/>
    <xf numFmtId="166" fontId="5" fillId="0" borderId="0" xfId="1" applyNumberFormat="1" applyFont="1"/>
    <xf numFmtId="166" fontId="5" fillId="0" borderId="0" xfId="0" applyNumberFormat="1" applyFont="1"/>
    <xf numFmtId="166" fontId="2" fillId="0" borderId="0" xfId="0" applyNumberFormat="1" applyFont="1"/>
    <xf numFmtId="0" fontId="2" fillId="11" borderId="0" xfId="0" applyFont="1" applyFill="1" applyAlignment="1">
      <alignment horizontal="center" textRotation="180"/>
    </xf>
    <xf numFmtId="0" fontId="2" fillId="11" borderId="0" xfId="0" applyFont="1" applyFill="1" applyAlignment="1">
      <alignment horizontal="left"/>
    </xf>
    <xf numFmtId="0" fontId="2" fillId="13" borderId="0" xfId="0" applyFont="1" applyFill="1"/>
    <xf numFmtId="0" fontId="3" fillId="13" borderId="0" xfId="0" applyFont="1" applyFill="1"/>
    <xf numFmtId="166" fontId="3" fillId="13" borderId="0" xfId="1" applyNumberFormat="1" applyFont="1" applyFill="1"/>
    <xf numFmtId="166" fontId="4" fillId="14" borderId="7" xfId="1" applyNumberFormat="1" applyFont="1" applyFill="1" applyBorder="1"/>
    <xf numFmtId="166" fontId="0" fillId="0" borderId="0" xfId="0" applyNumberFormat="1"/>
    <xf numFmtId="43" fontId="0" fillId="0" borderId="0" xfId="1" applyFont="1"/>
    <xf numFmtId="165" fontId="0" fillId="0" borderId="0" xfId="1" applyNumberFormat="1" applyFont="1"/>
    <xf numFmtId="0" fontId="2" fillId="5" borderId="7" xfId="0" applyFont="1" applyFill="1" applyBorder="1" applyAlignment="1">
      <alignment horizontal="center" vertical="center" indent="1"/>
    </xf>
    <xf numFmtId="0" fontId="2" fillId="10" borderId="7" xfId="0" applyFont="1" applyFill="1" applyBorder="1" applyAlignment="1">
      <alignment horizontal="left" vertical="top"/>
    </xf>
    <xf numFmtId="166" fontId="3" fillId="7" borderId="0" xfId="1" applyNumberFormat="1" applyFont="1" applyFill="1"/>
    <xf numFmtId="168" fontId="0" fillId="0" borderId="0" xfId="0" applyNumberFormat="1"/>
    <xf numFmtId="165" fontId="0" fillId="0" borderId="0" xfId="0" applyNumberFormat="1"/>
    <xf numFmtId="165" fontId="0" fillId="11" borderId="0" xfId="0" applyNumberFormat="1" applyFill="1"/>
    <xf numFmtId="166" fontId="2" fillId="3" borderId="9" xfId="1" applyNumberFormat="1" applyFont="1" applyFill="1" applyBorder="1"/>
    <xf numFmtId="166" fontId="2" fillId="5" borderId="9" xfId="1" applyNumberFormat="1" applyFont="1" applyFill="1" applyBorder="1"/>
    <xf numFmtId="0" fontId="2" fillId="3" borderId="0" xfId="0" applyFont="1" applyFill="1"/>
    <xf numFmtId="166" fontId="3" fillId="3" borderId="0" xfId="1" applyNumberFormat="1" applyFont="1" applyFill="1"/>
    <xf numFmtId="166" fontId="2" fillId="3" borderId="0" xfId="1" applyNumberFormat="1" applyFont="1" applyFill="1"/>
    <xf numFmtId="168" fontId="4" fillId="3" borderId="0" xfId="0" applyNumberFormat="1" applyFont="1" applyFill="1"/>
    <xf numFmtId="166" fontId="4" fillId="3" borderId="0" xfId="0" applyNumberFormat="1" applyFont="1" applyFill="1"/>
    <xf numFmtId="166" fontId="0" fillId="3" borderId="0" xfId="1" applyNumberFormat="1" applyFont="1" applyFill="1"/>
    <xf numFmtId="166" fontId="2" fillId="3" borderId="0" xfId="0" applyNumberFormat="1" applyFont="1" applyFill="1"/>
    <xf numFmtId="166" fontId="2" fillId="4" borderId="7" xfId="1" applyNumberFormat="1" applyFont="1" applyFill="1" applyBorder="1"/>
    <xf numFmtId="168" fontId="0" fillId="15" borderId="0" xfId="0" applyNumberFormat="1" applyFill="1"/>
    <xf numFmtId="166" fontId="2" fillId="5" borderId="10" xfId="1" applyNumberFormat="1" applyFont="1" applyFill="1" applyBorder="1"/>
    <xf numFmtId="166" fontId="0" fillId="16" borderId="0" xfId="1" applyNumberFormat="1" applyFont="1" applyFill="1"/>
    <xf numFmtId="168" fontId="0" fillId="17" borderId="0" xfId="0" applyNumberFormat="1" applyFill="1"/>
    <xf numFmtId="0" fontId="0" fillId="17" borderId="0" xfId="0" applyFill="1"/>
    <xf numFmtId="166" fontId="0" fillId="17" borderId="0" xfId="0" applyNumberFormat="1" applyFill="1"/>
    <xf numFmtId="166" fontId="4" fillId="17" borderId="0" xfId="1" applyNumberFormat="1" applyFont="1" applyFill="1"/>
    <xf numFmtId="166" fontId="2" fillId="3" borderId="10" xfId="1" applyNumberFormat="1" applyFont="1" applyFill="1" applyBorder="1"/>
    <xf numFmtId="169" fontId="0" fillId="0" borderId="0" xfId="0" applyNumberFormat="1"/>
    <xf numFmtId="166" fontId="0" fillId="3" borderId="0" xfId="0" applyNumberFormat="1" applyFill="1"/>
    <xf numFmtId="165" fontId="3" fillId="3" borderId="0" xfId="1" applyNumberFormat="1" applyFont="1" applyFill="1"/>
    <xf numFmtId="166" fontId="0" fillId="2" borderId="0" xfId="0" applyNumberFormat="1" applyFill="1"/>
    <xf numFmtId="166" fontId="0" fillId="11" borderId="0" xfId="0" applyNumberFormat="1" applyFill="1"/>
    <xf numFmtId="168" fontId="0" fillId="18" borderId="0" xfId="0" applyNumberFormat="1" applyFill="1"/>
    <xf numFmtId="170" fontId="0" fillId="0" borderId="0" xfId="0" applyNumberFormat="1"/>
    <xf numFmtId="165" fontId="0" fillId="4" borderId="0" xfId="0" applyNumberFormat="1" applyFill="1"/>
    <xf numFmtId="0" fontId="0" fillId="4" borderId="0" xfId="0" applyFill="1"/>
    <xf numFmtId="166" fontId="0" fillId="4" borderId="0" xfId="0" applyNumberFormat="1" applyFill="1"/>
    <xf numFmtId="165" fontId="3" fillId="4" borderId="0" xfId="1" applyNumberFormat="1" applyFont="1" applyFill="1"/>
    <xf numFmtId="166" fontId="3" fillId="4" borderId="0" xfId="1" applyNumberFormat="1" applyFont="1" applyFill="1"/>
    <xf numFmtId="166" fontId="4" fillId="11" borderId="0" xfId="0" applyNumberFormat="1" applyFont="1" applyFill="1"/>
    <xf numFmtId="166" fontId="2" fillId="4" borderId="0" xfId="1" applyNumberFormat="1" applyFont="1" applyFill="1"/>
    <xf numFmtId="166" fontId="1" fillId="8" borderId="0" xfId="1" applyNumberFormat="1" applyFill="1"/>
    <xf numFmtId="170" fontId="0" fillId="19" borderId="0" xfId="0" applyNumberFormat="1" applyFill="1"/>
    <xf numFmtId="170" fontId="4" fillId="20" borderId="0" xfId="0" applyNumberFormat="1" applyFont="1" applyFill="1"/>
    <xf numFmtId="0" fontId="4" fillId="20" borderId="0" xfId="0" applyFont="1" applyFill="1"/>
    <xf numFmtId="165" fontId="4" fillId="20" borderId="0" xfId="0" applyNumberFormat="1" applyFont="1" applyFill="1"/>
    <xf numFmtId="166" fontId="4" fillId="20" borderId="0" xfId="0" applyNumberFormat="1" applyFont="1" applyFill="1"/>
    <xf numFmtId="170" fontId="0" fillId="10" borderId="0" xfId="0" applyNumberFormat="1" applyFill="1"/>
    <xf numFmtId="0" fontId="0" fillId="20" borderId="0" xfId="0" applyFill="1"/>
    <xf numFmtId="170" fontId="0" fillId="3" borderId="0" xfId="0" applyNumberFormat="1" applyFill="1"/>
    <xf numFmtId="16" fontId="0" fillId="0" borderId="0" xfId="0" applyNumberFormat="1"/>
    <xf numFmtId="166" fontId="0" fillId="20" borderId="0" xfId="0" applyNumberFormat="1" applyFill="1"/>
    <xf numFmtId="170" fontId="0" fillId="20" borderId="0" xfId="0" applyNumberFormat="1" applyFill="1"/>
    <xf numFmtId="43" fontId="0" fillId="11" borderId="0" xfId="1" applyFont="1" applyFill="1"/>
    <xf numFmtId="170" fontId="0" fillId="4" borderId="0" xfId="0" applyNumberFormat="1" applyFill="1"/>
    <xf numFmtId="171" fontId="0" fillId="0" borderId="0" xfId="0" applyNumberFormat="1"/>
    <xf numFmtId="172" fontId="0" fillId="0" borderId="0" xfId="0" applyNumberFormat="1"/>
    <xf numFmtId="166" fontId="0" fillId="20" borderId="0" xfId="1" applyNumberFormat="1" applyFont="1" applyFill="1"/>
    <xf numFmtId="166" fontId="4" fillId="20" borderId="0" xfId="1" applyNumberFormat="1" applyFont="1" applyFill="1"/>
    <xf numFmtId="43" fontId="0" fillId="20" borderId="0" xfId="0" applyNumberFormat="1" applyFill="1"/>
    <xf numFmtId="166" fontId="1" fillId="20" borderId="0" xfId="1" applyNumberFormat="1" applyFill="1"/>
    <xf numFmtId="166" fontId="2" fillId="20" borderId="0" xfId="0" applyNumberFormat="1" applyFont="1" applyFill="1"/>
    <xf numFmtId="43" fontId="4" fillId="20" borderId="0" xfId="0" applyNumberFormat="1" applyFont="1" applyFill="1"/>
    <xf numFmtId="0" fontId="0" fillId="2" borderId="0" xfId="0" applyFill="1"/>
    <xf numFmtId="0" fontId="0" fillId="21" borderId="0" xfId="0" applyFill="1"/>
    <xf numFmtId="0" fontId="0" fillId="22" borderId="0" xfId="0" applyFill="1"/>
    <xf numFmtId="166" fontId="0" fillId="22" borderId="0" xfId="0" applyNumberFormat="1" applyFill="1"/>
    <xf numFmtId="0" fontId="0" fillId="23" borderId="0" xfId="0" applyFill="1"/>
    <xf numFmtId="170" fontId="0" fillId="2" borderId="0" xfId="0" applyNumberFormat="1" applyFill="1"/>
    <xf numFmtId="166" fontId="0" fillId="2" borderId="0" xfId="1" applyNumberFormat="1" applyFont="1" applyFill="1"/>
    <xf numFmtId="43" fontId="0" fillId="2" borderId="0" xfId="0" applyNumberFormat="1" applyFill="1"/>
    <xf numFmtId="166" fontId="1" fillId="2" borderId="0" xfId="1" applyNumberFormat="1" applyFill="1"/>
    <xf numFmtId="166" fontId="4" fillId="2" borderId="0" xfId="0" applyNumberFormat="1" applyFont="1" applyFill="1"/>
    <xf numFmtId="166" fontId="2" fillId="2" borderId="0" xfId="0" applyNumberFormat="1" applyFont="1" applyFill="1"/>
    <xf numFmtId="0" fontId="2" fillId="10" borderId="11" xfId="0" applyFont="1" applyFill="1" applyBorder="1" applyAlignment="1">
      <alignment horizontal="center" vertical="center" textRotation="180"/>
    </xf>
    <xf numFmtId="0" fontId="0" fillId="0" borderId="3" xfId="0" applyBorder="1"/>
    <xf numFmtId="0" fontId="0" fillId="0" borderId="5" xfId="0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2" fillId="8" borderId="0" xfId="0" applyFont="1" applyFill="1" applyAlignment="1">
      <alignment horizontal="center" vertical="center" textRotation="180"/>
    </xf>
    <xf numFmtId="0" fontId="2" fillId="3" borderId="0" xfId="0" applyFont="1" applyFill="1" applyAlignment="1">
      <alignment horizontal="center" vertical="center" textRotation="180"/>
    </xf>
    <xf numFmtId="0" fontId="2" fillId="8" borderId="0" xfId="0" applyFont="1" applyFill="1" applyAlignment="1">
      <alignment horizontal="left"/>
    </xf>
    <xf numFmtId="0" fontId="2" fillId="5" borderId="0" xfId="0" applyFont="1" applyFill="1" applyAlignment="1">
      <alignment horizontal="center" vertical="center" textRotation="180"/>
    </xf>
    <xf numFmtId="0" fontId="2" fillId="10" borderId="0" xfId="0" applyFont="1" applyFill="1" applyAlignment="1">
      <alignment horizontal="center" vertical="center" textRotation="180"/>
    </xf>
    <xf numFmtId="0" fontId="2" fillId="6" borderId="0" xfId="0" applyFont="1" applyFill="1" applyAlignment="1">
      <alignment horizontal="left"/>
    </xf>
    <xf numFmtId="0" fontId="2" fillId="2" borderId="0" xfId="0" applyFont="1" applyFill="1" applyAlignment="1">
      <alignment horizontal="center" vertical="center" textRotation="180"/>
    </xf>
    <xf numFmtId="0" fontId="2" fillId="9" borderId="0" xfId="0" applyFont="1" applyFill="1" applyAlignment="1">
      <alignment horizontal="center" textRotation="180"/>
    </xf>
    <xf numFmtId="0" fontId="4" fillId="10" borderId="0" xfId="0" applyFont="1" applyFill="1" applyAlignment="1">
      <alignment horizontal="center" vertical="center" textRotation="180"/>
    </xf>
    <xf numFmtId="0" fontId="4" fillId="2" borderId="0" xfId="0" applyFont="1" applyFill="1" applyAlignment="1">
      <alignment horizontal="center" vertical="center" textRotation="180"/>
    </xf>
    <xf numFmtId="0" fontId="4" fillId="3" borderId="0" xfId="0" applyFont="1" applyFill="1" applyAlignment="1">
      <alignment horizontal="center" vertical="center" textRotation="180"/>
    </xf>
    <xf numFmtId="0" fontId="4" fillId="8" borderId="0" xfId="0" applyFont="1" applyFill="1" applyAlignment="1">
      <alignment horizontal="center" vertical="center" textRotation="180"/>
    </xf>
    <xf numFmtId="166" fontId="4" fillId="11" borderId="0" xfId="0" applyNumberFormat="1" applyFont="1" applyFill="1" applyAlignment="1">
      <alignment horizontal="center" vertical="center" textRotation="18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C21"/>
  <sheetViews>
    <sheetView tabSelected="1" zoomScaleNormal="210" workbookViewId="0">
      <pane xSplit="1" ySplit="3" topLeftCell="ANV4" activePane="bottomRight" state="frozen"/>
      <selection pane="topRight" activeCell="D1" sqref="D1"/>
      <selection pane="bottomLeft" activeCell="A4" sqref="A4"/>
      <selection pane="bottomRight" activeCell="AOF18" sqref="AOF18"/>
    </sheetView>
  </sheetViews>
  <sheetFormatPr baseColWidth="10" defaultColWidth="8.83203125" defaultRowHeight="15" x14ac:dyDescent="0.2"/>
  <cols>
    <col min="1" max="1" width="11.1640625" customWidth="1"/>
    <col min="2" max="2" width="12.1640625" customWidth="1"/>
    <col min="3" max="3" width="9.6640625" customWidth="1"/>
    <col min="4" max="9" width="9.1640625" bestFit="1" customWidth="1"/>
    <col min="10" max="10" width="9.83203125" bestFit="1" customWidth="1"/>
    <col min="11" max="17" width="9.6640625" customWidth="1"/>
    <col min="18" max="30" width="9.1640625" bestFit="1" customWidth="1"/>
    <col min="31" max="32" width="9.1640625" customWidth="1"/>
    <col min="33" max="33" width="16" customWidth="1"/>
    <col min="34" max="44" width="12.1640625" bestFit="1" customWidth="1"/>
    <col min="45" max="45" width="10.83203125" bestFit="1" customWidth="1"/>
    <col min="46" max="59" width="12.1640625" bestFit="1" customWidth="1"/>
    <col min="60" max="61" width="10.83203125" bestFit="1" customWidth="1"/>
    <col min="62" max="63" width="12.1640625" bestFit="1" customWidth="1"/>
    <col min="64" max="64" width="11.83203125" bestFit="1" customWidth="1"/>
    <col min="65" max="73" width="12.1640625" bestFit="1" customWidth="1"/>
    <col min="74" max="75" width="10.83203125" bestFit="1" customWidth="1"/>
    <col min="76" max="81" width="12.1640625" bestFit="1" customWidth="1"/>
    <col min="82" max="82" width="10.83203125" bestFit="1" customWidth="1"/>
    <col min="83" max="83" width="12.1640625" bestFit="1" customWidth="1"/>
    <col min="84" max="84" width="10.83203125" bestFit="1" customWidth="1"/>
    <col min="85" max="86" width="12.1640625" bestFit="1" customWidth="1"/>
    <col min="87" max="87" width="10.83203125" bestFit="1" customWidth="1"/>
    <col min="88" max="94" width="12.1640625" bestFit="1" customWidth="1"/>
    <col min="95" max="95" width="10.83203125" bestFit="1" customWidth="1"/>
    <col min="96" max="96" width="10.83203125" customWidth="1"/>
    <col min="97" max="103" width="12.1640625" bestFit="1" customWidth="1"/>
    <col min="104" max="104" width="10.83203125" bestFit="1" customWidth="1"/>
    <col min="105" max="105" width="12.1640625" bestFit="1" customWidth="1"/>
    <col min="106" max="106" width="10.1640625" customWidth="1"/>
    <col min="107" max="107" width="10" customWidth="1"/>
    <col min="108" max="108" width="12.1640625" bestFit="1" customWidth="1"/>
    <col min="109" max="109" width="10.5" customWidth="1"/>
    <col min="110" max="110" width="10.6640625" customWidth="1"/>
    <col min="111" max="111" width="12.1640625" bestFit="1" customWidth="1"/>
    <col min="112" max="112" width="10.6640625" customWidth="1"/>
    <col min="113" max="113" width="10" customWidth="1"/>
    <col min="114" max="114" width="11.1640625" customWidth="1"/>
    <col min="115" max="115" width="11" customWidth="1"/>
    <col min="116" max="116" width="11.5" customWidth="1"/>
    <col min="117" max="117" width="10" customWidth="1"/>
    <col min="118" max="118" width="11.1640625" customWidth="1"/>
    <col min="119" max="119" width="10.83203125" customWidth="1"/>
    <col min="120" max="120" width="10.5" customWidth="1"/>
    <col min="121" max="121" width="10.83203125" customWidth="1"/>
    <col min="122" max="122" width="11.6640625" customWidth="1"/>
    <col min="123" max="124" width="11.5" customWidth="1"/>
    <col min="125" max="126" width="10.5" customWidth="1"/>
    <col min="127" max="127" width="14.5" bestFit="1" customWidth="1"/>
    <col min="128" max="129" width="12.1640625" bestFit="1" customWidth="1"/>
    <col min="130" max="131" width="10.83203125" bestFit="1" customWidth="1"/>
    <col min="132" max="133" width="12.1640625" bestFit="1" customWidth="1"/>
    <col min="134" max="134" width="10.83203125" bestFit="1" customWidth="1"/>
    <col min="135" max="140" width="12.1640625" bestFit="1" customWidth="1"/>
    <col min="141" max="157" width="13.1640625" bestFit="1" customWidth="1"/>
    <col min="158" max="158" width="12.1640625" bestFit="1" customWidth="1"/>
    <col min="159" max="159" width="11.1640625" customWidth="1"/>
    <col min="160" max="164" width="12.1640625" bestFit="1" customWidth="1"/>
    <col min="165" max="165" width="10.83203125" bestFit="1" customWidth="1"/>
    <col min="166" max="174" width="12.1640625" bestFit="1" customWidth="1"/>
    <col min="175" max="175" width="10.83203125" bestFit="1" customWidth="1"/>
    <col min="176" max="188" width="12.1640625" bestFit="1" customWidth="1"/>
    <col min="189" max="189" width="10.83203125" bestFit="1" customWidth="1"/>
    <col min="190" max="190" width="12.1640625" bestFit="1" customWidth="1"/>
    <col min="191" max="191" width="13.5" customWidth="1"/>
    <col min="192" max="194" width="12.1640625" bestFit="1" customWidth="1"/>
    <col min="195" max="196" width="10.83203125" bestFit="1" customWidth="1"/>
    <col min="197" max="204" width="12.1640625" bestFit="1" customWidth="1"/>
    <col min="205" max="205" width="10.83203125" bestFit="1" customWidth="1"/>
    <col min="206" max="212" width="12.1640625" bestFit="1" customWidth="1"/>
    <col min="213" max="213" width="10.83203125" bestFit="1" customWidth="1"/>
    <col min="214" max="215" width="12.1640625" bestFit="1" customWidth="1"/>
    <col min="216" max="217" width="10.83203125" bestFit="1" customWidth="1"/>
    <col min="218" max="218" width="12.1640625" bestFit="1" customWidth="1"/>
    <col min="219" max="220" width="9" bestFit="1" customWidth="1"/>
    <col min="221" max="221" width="12.5" customWidth="1"/>
    <col min="222" max="241" width="12.1640625" bestFit="1" customWidth="1"/>
    <col min="242" max="242" width="10.83203125" bestFit="1" customWidth="1"/>
    <col min="243" max="247" width="12.1640625" bestFit="1" customWidth="1"/>
    <col min="248" max="248" width="10.83203125" bestFit="1" customWidth="1"/>
    <col min="249" max="251" width="12.1640625" bestFit="1" customWidth="1"/>
    <col min="252" max="252" width="10.83203125" bestFit="1" customWidth="1"/>
    <col min="253" max="253" width="11.1640625" customWidth="1"/>
    <col min="254" max="255" width="12.1640625" bestFit="1" customWidth="1"/>
    <col min="256" max="256" width="10.83203125" bestFit="1" customWidth="1"/>
    <col min="257" max="261" width="12.1640625" bestFit="1" customWidth="1"/>
    <col min="262" max="262" width="10.83203125" bestFit="1" customWidth="1"/>
    <col min="263" max="277" width="12.1640625" bestFit="1" customWidth="1"/>
    <col min="278" max="278" width="10.83203125" bestFit="1" customWidth="1"/>
    <col min="279" max="283" width="12.1640625" bestFit="1" customWidth="1"/>
    <col min="284" max="284" width="12.1640625" customWidth="1"/>
    <col min="285" max="286" width="12.1640625" bestFit="1" customWidth="1"/>
    <col min="287" max="287" width="10.83203125" bestFit="1" customWidth="1"/>
    <col min="288" max="295" width="12.1640625" bestFit="1" customWidth="1"/>
    <col min="296" max="296" width="10.83203125" bestFit="1" customWidth="1"/>
    <col min="297" max="315" width="12.1640625" bestFit="1" customWidth="1"/>
    <col min="316" max="316" width="11.33203125" customWidth="1"/>
    <col min="317" max="318" width="12.1640625" bestFit="1" customWidth="1"/>
    <col min="319" max="319" width="10.83203125" bestFit="1" customWidth="1"/>
    <col min="320" max="324" width="12.1640625" bestFit="1" customWidth="1"/>
    <col min="325" max="325" width="10.83203125" bestFit="1" customWidth="1"/>
    <col min="326" max="343" width="12.1640625" bestFit="1" customWidth="1"/>
    <col min="344" max="346" width="12.5" bestFit="1" customWidth="1"/>
    <col min="347" max="347" width="11.83203125" customWidth="1"/>
    <col min="348" max="367" width="12.5" bestFit="1" customWidth="1"/>
    <col min="368" max="368" width="11.1640625" bestFit="1" customWidth="1"/>
    <col min="369" max="378" width="12.1640625" bestFit="1" customWidth="1"/>
    <col min="379" max="379" width="11.1640625" customWidth="1"/>
    <col min="380" max="403" width="12.1640625" bestFit="1" customWidth="1"/>
    <col min="404" max="404" width="10.83203125" bestFit="1" customWidth="1"/>
    <col min="405" max="406" width="12.1640625" bestFit="1" customWidth="1"/>
    <col min="407" max="407" width="10.83203125" bestFit="1" customWidth="1"/>
    <col min="408" max="410" width="12.1640625" bestFit="1" customWidth="1"/>
    <col min="411" max="411" width="11.33203125" customWidth="1"/>
    <col min="412" max="424" width="12.1640625" bestFit="1" customWidth="1"/>
    <col min="425" max="425" width="10.83203125" bestFit="1" customWidth="1"/>
    <col min="426" max="427" width="12.1640625" bestFit="1" customWidth="1"/>
    <col min="428" max="428" width="10.83203125" bestFit="1" customWidth="1"/>
    <col min="429" max="431" width="12.1640625" bestFit="1" customWidth="1"/>
    <col min="432" max="432" width="10.83203125" bestFit="1" customWidth="1"/>
    <col min="433" max="433" width="12.1640625" bestFit="1" customWidth="1"/>
    <col min="434" max="434" width="10.83203125" bestFit="1" customWidth="1"/>
    <col min="435" max="435" width="12.1640625" bestFit="1" customWidth="1"/>
    <col min="436" max="436" width="10.83203125" bestFit="1" customWidth="1"/>
    <col min="437" max="437" width="12.1640625" bestFit="1" customWidth="1"/>
    <col min="438" max="439" width="10.83203125" bestFit="1" customWidth="1"/>
    <col min="440" max="441" width="12.1640625" bestFit="1" customWidth="1"/>
    <col min="442" max="442" width="10.6640625" customWidth="1"/>
    <col min="443" max="443" width="12.1640625" bestFit="1" customWidth="1"/>
    <col min="444" max="444" width="10.83203125" bestFit="1" customWidth="1"/>
    <col min="445" max="451" width="12.1640625" bestFit="1" customWidth="1"/>
    <col min="452" max="452" width="10.83203125" bestFit="1" customWidth="1"/>
    <col min="453" max="461" width="12.1640625" bestFit="1" customWidth="1"/>
    <col min="462" max="463" width="10.83203125" bestFit="1" customWidth="1"/>
    <col min="464" max="465" width="12.1640625" bestFit="1" customWidth="1"/>
    <col min="466" max="466" width="10.83203125" bestFit="1" customWidth="1"/>
    <col min="467" max="473" width="12.1640625" bestFit="1" customWidth="1"/>
    <col min="474" max="474" width="11.33203125" customWidth="1"/>
    <col min="475" max="478" width="12.1640625" bestFit="1" customWidth="1"/>
    <col min="479" max="479" width="10.83203125" bestFit="1" customWidth="1"/>
    <col min="480" max="483" width="12.1640625" bestFit="1" customWidth="1"/>
    <col min="484" max="484" width="10.83203125" bestFit="1" customWidth="1"/>
    <col min="485" max="494" width="12.1640625" bestFit="1" customWidth="1"/>
    <col min="495" max="495" width="10.83203125" bestFit="1" customWidth="1"/>
    <col min="496" max="504" width="12.1640625" bestFit="1" customWidth="1"/>
    <col min="505" max="505" width="11" customWidth="1"/>
    <col min="506" max="506" width="10.83203125" bestFit="1" customWidth="1"/>
    <col min="507" max="530" width="12.1640625" bestFit="1" customWidth="1"/>
    <col min="531" max="531" width="10.83203125" bestFit="1" customWidth="1"/>
    <col min="532" max="534" width="12.1640625" bestFit="1" customWidth="1"/>
    <col min="535" max="535" width="10.83203125" bestFit="1" customWidth="1"/>
    <col min="536" max="536" width="12.1640625" bestFit="1" customWidth="1"/>
    <col min="537" max="537" width="11.5" customWidth="1"/>
    <col min="538" max="538" width="10.83203125" bestFit="1" customWidth="1"/>
    <col min="539" max="543" width="12.1640625" bestFit="1" customWidth="1"/>
    <col min="544" max="544" width="10.83203125" bestFit="1" customWidth="1"/>
    <col min="545" max="565" width="12.1640625" bestFit="1" customWidth="1"/>
    <col min="566" max="567" width="10.83203125" bestFit="1" customWidth="1"/>
    <col min="568" max="568" width="12.1640625" bestFit="1" customWidth="1"/>
    <col min="569" max="569" width="11.5" customWidth="1"/>
    <col min="570" max="575" width="12.1640625" bestFit="1" customWidth="1"/>
    <col min="576" max="576" width="10.83203125" bestFit="1" customWidth="1"/>
    <col min="577" max="585" width="12.1640625" bestFit="1" customWidth="1"/>
    <col min="586" max="586" width="10.83203125" bestFit="1" customWidth="1"/>
    <col min="587" max="587" width="12.1640625" bestFit="1" customWidth="1"/>
    <col min="588" max="588" width="10.83203125" bestFit="1" customWidth="1"/>
    <col min="589" max="597" width="12.1640625" bestFit="1" customWidth="1"/>
    <col min="598" max="598" width="10.5" customWidth="1"/>
    <col min="599" max="599" width="12.1640625" bestFit="1" customWidth="1"/>
    <col min="600" max="600" width="10.83203125" bestFit="1" customWidth="1"/>
    <col min="601" max="606" width="12.1640625" bestFit="1" customWidth="1"/>
    <col min="607" max="607" width="10.83203125" bestFit="1" customWidth="1"/>
    <col min="608" max="609" width="12.1640625" bestFit="1" customWidth="1"/>
    <col min="610" max="610" width="10.83203125" bestFit="1" customWidth="1"/>
    <col min="611" max="613" width="12.1640625" bestFit="1" customWidth="1"/>
    <col min="614" max="615" width="10.83203125" bestFit="1" customWidth="1"/>
    <col min="617" max="617" width="10.83203125" bestFit="1" customWidth="1"/>
    <col min="618" max="629" width="12.1640625" bestFit="1" customWidth="1"/>
    <col min="630" max="630" width="11" customWidth="1"/>
    <col min="631" max="651" width="12.1640625" bestFit="1" customWidth="1"/>
    <col min="652" max="652" width="10.83203125" bestFit="1" customWidth="1"/>
    <col min="653" max="659" width="12.1640625" bestFit="1" customWidth="1"/>
    <col min="660" max="660" width="10.83203125" bestFit="1" customWidth="1"/>
    <col min="661" max="661" width="10.83203125" customWidth="1"/>
    <col min="662" max="664" width="12.1640625" bestFit="1" customWidth="1"/>
    <col min="665" max="665" width="10.83203125" bestFit="1" customWidth="1"/>
    <col min="666" max="668" width="12.1640625" bestFit="1" customWidth="1"/>
    <col min="669" max="669" width="10.83203125" bestFit="1" customWidth="1"/>
    <col min="670" max="692" width="12.1640625" bestFit="1" customWidth="1"/>
    <col min="693" max="693" width="11.5" customWidth="1"/>
    <col min="694" max="700" width="12.1640625" bestFit="1" customWidth="1"/>
    <col min="701" max="701" width="10.83203125" bestFit="1" customWidth="1"/>
    <col min="702" max="702" width="12.1640625" bestFit="1" customWidth="1"/>
    <col min="703" max="704" width="10.83203125" bestFit="1" customWidth="1"/>
    <col min="705" max="723" width="12.1640625" bestFit="1" customWidth="1"/>
    <col min="724" max="724" width="11" customWidth="1"/>
    <col min="725" max="726" width="12.1640625" bestFit="1" customWidth="1"/>
    <col min="727" max="727" width="10.83203125" bestFit="1" customWidth="1"/>
    <col min="728" max="730" width="12.1640625" bestFit="1" customWidth="1"/>
    <col min="731" max="731" width="10.83203125" bestFit="1" customWidth="1"/>
    <col min="732" max="755" width="12.1640625" bestFit="1" customWidth="1"/>
    <col min="756" max="756" width="14.1640625" customWidth="1"/>
    <col min="757" max="757" width="10.83203125" bestFit="1" customWidth="1"/>
    <col min="758" max="766" width="12.1640625" bestFit="1" customWidth="1"/>
    <col min="767" max="776" width="13.5" bestFit="1" customWidth="1"/>
    <col min="777" max="777" width="12" bestFit="1" customWidth="1"/>
    <col min="778" max="781" width="13.5" bestFit="1" customWidth="1"/>
    <col min="782" max="782" width="12" bestFit="1" customWidth="1"/>
    <col min="783" max="787" width="13.5" bestFit="1" customWidth="1"/>
    <col min="788" max="788" width="14.1640625" customWidth="1"/>
    <col min="789" max="795" width="13.5" bestFit="1" customWidth="1"/>
    <col min="796" max="815" width="12.33203125" bestFit="1" customWidth="1"/>
    <col min="816" max="816" width="10.83203125" bestFit="1" customWidth="1"/>
    <col min="817" max="818" width="12.33203125" bestFit="1" customWidth="1"/>
    <col min="819" max="819" width="12" customWidth="1"/>
    <col min="820" max="824" width="12.33203125" bestFit="1" customWidth="1"/>
    <col min="825" max="826" width="10.83203125" bestFit="1" customWidth="1"/>
    <col min="827" max="845" width="12.33203125" bestFit="1" customWidth="1"/>
    <col min="846" max="847" width="10.83203125" bestFit="1" customWidth="1"/>
    <col min="848" max="850" width="12.33203125" bestFit="1" customWidth="1"/>
    <col min="851" max="851" width="11.6640625" customWidth="1"/>
    <col min="852" max="857" width="12.33203125" bestFit="1" customWidth="1"/>
    <col min="858" max="858" width="10.83203125" bestFit="1" customWidth="1"/>
    <col min="859" max="859" width="9.83203125" bestFit="1" customWidth="1"/>
    <col min="882" max="882" width="10.6640625" customWidth="1"/>
    <col min="914" max="914" width="11.1640625" customWidth="1"/>
    <col min="946" max="946" width="10.83203125" customWidth="1"/>
    <col min="975" max="975" width="11.5" customWidth="1"/>
    <col min="1007" max="1007" width="11.1640625" customWidth="1"/>
    <col min="1038" max="1038" width="11.83203125" customWidth="1"/>
  </cols>
  <sheetData>
    <row r="3" spans="1:1069" x14ac:dyDescent="0.2">
      <c r="A3" s="2" t="s">
        <v>0</v>
      </c>
      <c r="B3" s="3">
        <v>44204</v>
      </c>
      <c r="C3" s="3">
        <v>44965</v>
      </c>
      <c r="D3" s="3">
        <v>44993</v>
      </c>
      <c r="E3" s="3">
        <v>45024</v>
      </c>
      <c r="F3" s="3">
        <v>45054</v>
      </c>
      <c r="G3" s="3">
        <v>45085</v>
      </c>
      <c r="H3" s="3">
        <v>45115</v>
      </c>
      <c r="I3" s="3">
        <v>45146</v>
      </c>
      <c r="J3" s="3">
        <v>45177</v>
      </c>
      <c r="K3" s="3">
        <v>45207</v>
      </c>
      <c r="L3" s="3">
        <v>45238</v>
      </c>
      <c r="M3" s="3">
        <v>45268</v>
      </c>
      <c r="N3" s="3" t="s">
        <v>2</v>
      </c>
      <c r="O3" s="3" t="s">
        <v>3</v>
      </c>
      <c r="P3" s="3" t="s">
        <v>4</v>
      </c>
      <c r="Q3" s="3" t="s">
        <v>5</v>
      </c>
      <c r="R3" s="3" t="s">
        <v>6</v>
      </c>
      <c r="S3" s="3" t="s">
        <v>7</v>
      </c>
      <c r="T3" s="3" t="s">
        <v>8</v>
      </c>
      <c r="U3" s="3" t="s">
        <v>9</v>
      </c>
      <c r="V3" s="3" t="s">
        <v>10</v>
      </c>
      <c r="W3" s="3" t="s">
        <v>11</v>
      </c>
      <c r="X3" s="3" t="s">
        <v>12</v>
      </c>
      <c r="Y3" s="3" t="s">
        <v>13</v>
      </c>
      <c r="Z3" s="3" t="s">
        <v>14</v>
      </c>
      <c r="AA3" s="3" t="s">
        <v>15</v>
      </c>
      <c r="AB3" s="3" t="s">
        <v>16</v>
      </c>
      <c r="AC3" s="3" t="s">
        <v>17</v>
      </c>
      <c r="AD3" s="3" t="s">
        <v>18</v>
      </c>
      <c r="AE3" s="3" t="s">
        <v>19</v>
      </c>
      <c r="AF3" s="3" t="s">
        <v>20</v>
      </c>
      <c r="AG3" s="2" t="s">
        <v>21</v>
      </c>
      <c r="AH3" s="88">
        <v>45170</v>
      </c>
      <c r="AI3" s="88">
        <f t="shared" ref="AI3:BK3" si="0">AH3+1</f>
        <v>45171</v>
      </c>
      <c r="AJ3" s="88">
        <f t="shared" si="0"/>
        <v>45172</v>
      </c>
      <c r="AK3" s="88">
        <f t="shared" si="0"/>
        <v>45173</v>
      </c>
      <c r="AL3" s="88">
        <f t="shared" si="0"/>
        <v>45174</v>
      </c>
      <c r="AM3" s="88">
        <f t="shared" si="0"/>
        <v>45175</v>
      </c>
      <c r="AN3" s="88">
        <f t="shared" si="0"/>
        <v>45176</v>
      </c>
      <c r="AO3" s="88">
        <f t="shared" si="0"/>
        <v>45177</v>
      </c>
      <c r="AP3" s="88">
        <f t="shared" si="0"/>
        <v>45178</v>
      </c>
      <c r="AQ3" s="88">
        <f t="shared" si="0"/>
        <v>45179</v>
      </c>
      <c r="AR3" s="88">
        <f t="shared" si="0"/>
        <v>45180</v>
      </c>
      <c r="AS3" s="88">
        <f t="shared" si="0"/>
        <v>45181</v>
      </c>
      <c r="AT3" s="88">
        <f t="shared" si="0"/>
        <v>45182</v>
      </c>
      <c r="AU3" s="88">
        <f t="shared" si="0"/>
        <v>45183</v>
      </c>
      <c r="AV3" s="88">
        <f t="shared" si="0"/>
        <v>45184</v>
      </c>
      <c r="AW3" s="88">
        <f t="shared" si="0"/>
        <v>45185</v>
      </c>
      <c r="AX3" s="88">
        <f t="shared" si="0"/>
        <v>45186</v>
      </c>
      <c r="AY3" s="88">
        <f t="shared" si="0"/>
        <v>45187</v>
      </c>
      <c r="AZ3" s="88">
        <f t="shared" si="0"/>
        <v>45188</v>
      </c>
      <c r="BA3" s="88">
        <f t="shared" si="0"/>
        <v>45189</v>
      </c>
      <c r="BB3" s="88">
        <f t="shared" si="0"/>
        <v>45190</v>
      </c>
      <c r="BC3" s="88">
        <f t="shared" si="0"/>
        <v>45191</v>
      </c>
      <c r="BD3" s="88">
        <f t="shared" si="0"/>
        <v>45192</v>
      </c>
      <c r="BE3" s="88">
        <f t="shared" si="0"/>
        <v>45193</v>
      </c>
      <c r="BF3" s="88">
        <f t="shared" si="0"/>
        <v>45194</v>
      </c>
      <c r="BG3" s="88">
        <f t="shared" si="0"/>
        <v>45195</v>
      </c>
      <c r="BH3" s="88">
        <f t="shared" si="0"/>
        <v>45196</v>
      </c>
      <c r="BI3" s="88">
        <f t="shared" si="0"/>
        <v>45197</v>
      </c>
      <c r="BJ3" s="88">
        <f t="shared" si="0"/>
        <v>45198</v>
      </c>
      <c r="BK3" s="88">
        <f t="shared" si="0"/>
        <v>45199</v>
      </c>
      <c r="BL3" s="88" t="s">
        <v>22</v>
      </c>
      <c r="BM3" s="88">
        <f t="shared" ref="BM3:CP3" si="1">AH3+30</f>
        <v>45200</v>
      </c>
      <c r="BN3" s="88">
        <f t="shared" si="1"/>
        <v>45201</v>
      </c>
      <c r="BO3" s="88">
        <f t="shared" si="1"/>
        <v>45202</v>
      </c>
      <c r="BP3" s="88">
        <f t="shared" si="1"/>
        <v>45203</v>
      </c>
      <c r="BQ3" s="88">
        <f t="shared" si="1"/>
        <v>45204</v>
      </c>
      <c r="BR3" s="88">
        <f t="shared" si="1"/>
        <v>45205</v>
      </c>
      <c r="BS3" s="88">
        <f t="shared" si="1"/>
        <v>45206</v>
      </c>
      <c r="BT3" s="88">
        <f t="shared" si="1"/>
        <v>45207</v>
      </c>
      <c r="BU3" s="88">
        <f t="shared" si="1"/>
        <v>45208</v>
      </c>
      <c r="BV3" s="88">
        <f t="shared" si="1"/>
        <v>45209</v>
      </c>
      <c r="BW3" s="88">
        <f t="shared" si="1"/>
        <v>45210</v>
      </c>
      <c r="BX3" s="88">
        <f t="shared" si="1"/>
        <v>45211</v>
      </c>
      <c r="BY3" s="88">
        <f t="shared" si="1"/>
        <v>45212</v>
      </c>
      <c r="BZ3" s="88">
        <f t="shared" si="1"/>
        <v>45213</v>
      </c>
      <c r="CA3" s="88">
        <f t="shared" si="1"/>
        <v>45214</v>
      </c>
      <c r="CB3" s="88">
        <f t="shared" si="1"/>
        <v>45215</v>
      </c>
      <c r="CC3" s="88">
        <f t="shared" si="1"/>
        <v>45216</v>
      </c>
      <c r="CD3" s="88">
        <f t="shared" si="1"/>
        <v>45217</v>
      </c>
      <c r="CE3" s="88">
        <f t="shared" si="1"/>
        <v>45218</v>
      </c>
      <c r="CF3" s="88">
        <f t="shared" si="1"/>
        <v>45219</v>
      </c>
      <c r="CG3" s="88">
        <f t="shared" si="1"/>
        <v>45220</v>
      </c>
      <c r="CH3" s="88">
        <f t="shared" si="1"/>
        <v>45221</v>
      </c>
      <c r="CI3" s="88">
        <f t="shared" si="1"/>
        <v>45222</v>
      </c>
      <c r="CJ3" s="88">
        <f t="shared" si="1"/>
        <v>45223</v>
      </c>
      <c r="CK3" s="88">
        <f t="shared" si="1"/>
        <v>45224</v>
      </c>
      <c r="CL3" s="88">
        <f t="shared" si="1"/>
        <v>45225</v>
      </c>
      <c r="CM3" s="88">
        <f t="shared" si="1"/>
        <v>45226</v>
      </c>
      <c r="CN3" s="88">
        <f t="shared" si="1"/>
        <v>45227</v>
      </c>
      <c r="CO3" s="88">
        <f t="shared" si="1"/>
        <v>45228</v>
      </c>
      <c r="CP3" s="88">
        <f t="shared" si="1"/>
        <v>45229</v>
      </c>
      <c r="CQ3" s="88">
        <f>BM3+30</f>
        <v>45230</v>
      </c>
      <c r="CR3" t="s">
        <v>780</v>
      </c>
      <c r="CS3" s="88">
        <f t="shared" ref="CS3:DV3" si="2">BN3+30</f>
        <v>45231</v>
      </c>
      <c r="CT3" s="88">
        <f t="shared" si="2"/>
        <v>45232</v>
      </c>
      <c r="CU3" s="88">
        <f t="shared" si="2"/>
        <v>45233</v>
      </c>
      <c r="CV3" s="88">
        <f t="shared" si="2"/>
        <v>45234</v>
      </c>
      <c r="CW3" s="88">
        <f t="shared" si="2"/>
        <v>45235</v>
      </c>
      <c r="CX3" s="88">
        <f t="shared" si="2"/>
        <v>45236</v>
      </c>
      <c r="CY3" s="88">
        <f t="shared" si="2"/>
        <v>45237</v>
      </c>
      <c r="CZ3" s="88">
        <f t="shared" si="2"/>
        <v>45238</v>
      </c>
      <c r="DA3" s="88">
        <f t="shared" si="2"/>
        <v>45239</v>
      </c>
      <c r="DB3" s="88">
        <f t="shared" si="2"/>
        <v>45240</v>
      </c>
      <c r="DC3" s="88">
        <f t="shared" si="2"/>
        <v>45241</v>
      </c>
      <c r="DD3" s="88">
        <f t="shared" si="2"/>
        <v>45242</v>
      </c>
      <c r="DE3" s="88">
        <f t="shared" si="2"/>
        <v>45243</v>
      </c>
      <c r="DF3" s="88">
        <f t="shared" si="2"/>
        <v>45244</v>
      </c>
      <c r="DG3" s="88">
        <f t="shared" si="2"/>
        <v>45245</v>
      </c>
      <c r="DH3" s="88">
        <f t="shared" si="2"/>
        <v>45246</v>
      </c>
      <c r="DI3" s="88">
        <f t="shared" si="2"/>
        <v>45247</v>
      </c>
      <c r="DJ3" s="88">
        <f t="shared" si="2"/>
        <v>45248</v>
      </c>
      <c r="DK3" s="88">
        <f t="shared" si="2"/>
        <v>45249</v>
      </c>
      <c r="DL3" s="88">
        <f t="shared" si="2"/>
        <v>45250</v>
      </c>
      <c r="DM3" s="88">
        <f t="shared" si="2"/>
        <v>45251</v>
      </c>
      <c r="DN3" s="88">
        <f t="shared" si="2"/>
        <v>45252</v>
      </c>
      <c r="DO3" s="88">
        <f t="shared" si="2"/>
        <v>45253</v>
      </c>
      <c r="DP3" s="88">
        <f t="shared" si="2"/>
        <v>45254</v>
      </c>
      <c r="DQ3" s="88">
        <f t="shared" si="2"/>
        <v>45255</v>
      </c>
      <c r="DR3" s="88">
        <f t="shared" si="2"/>
        <v>45256</v>
      </c>
      <c r="DS3" s="88">
        <f t="shared" si="2"/>
        <v>45257</v>
      </c>
      <c r="DT3" s="88">
        <f t="shared" si="2"/>
        <v>45258</v>
      </c>
      <c r="DU3" s="88">
        <f t="shared" si="2"/>
        <v>45259</v>
      </c>
      <c r="DV3" s="88">
        <f t="shared" si="2"/>
        <v>45260</v>
      </c>
      <c r="DW3" t="s">
        <v>21</v>
      </c>
      <c r="DX3" s="115">
        <v>45261</v>
      </c>
      <c r="DY3" s="115">
        <f t="shared" ref="DY3:FB3" si="3">DX3+1</f>
        <v>45262</v>
      </c>
      <c r="DZ3" s="115">
        <f t="shared" si="3"/>
        <v>45263</v>
      </c>
      <c r="EA3" s="115">
        <f t="shared" si="3"/>
        <v>45264</v>
      </c>
      <c r="EB3" s="115">
        <f t="shared" si="3"/>
        <v>45265</v>
      </c>
      <c r="EC3" s="115">
        <f t="shared" si="3"/>
        <v>45266</v>
      </c>
      <c r="ED3" s="115">
        <f t="shared" si="3"/>
        <v>45267</v>
      </c>
      <c r="EE3" s="115">
        <f t="shared" si="3"/>
        <v>45268</v>
      </c>
      <c r="EF3" s="115">
        <f t="shared" si="3"/>
        <v>45269</v>
      </c>
      <c r="EG3" s="115">
        <f t="shared" si="3"/>
        <v>45270</v>
      </c>
      <c r="EH3" s="115">
        <f t="shared" si="3"/>
        <v>45271</v>
      </c>
      <c r="EI3" s="115">
        <f t="shared" si="3"/>
        <v>45272</v>
      </c>
      <c r="EJ3" s="115">
        <f t="shared" si="3"/>
        <v>45273</v>
      </c>
      <c r="EK3" s="115">
        <f t="shared" si="3"/>
        <v>45274</v>
      </c>
      <c r="EL3" s="115">
        <f t="shared" si="3"/>
        <v>45275</v>
      </c>
      <c r="EM3" s="115">
        <f t="shared" si="3"/>
        <v>45276</v>
      </c>
      <c r="EN3" s="115">
        <f t="shared" si="3"/>
        <v>45277</v>
      </c>
      <c r="EO3" s="115">
        <f t="shared" si="3"/>
        <v>45278</v>
      </c>
      <c r="EP3" s="115">
        <f t="shared" si="3"/>
        <v>45279</v>
      </c>
      <c r="EQ3" s="115">
        <f t="shared" si="3"/>
        <v>45280</v>
      </c>
      <c r="ER3" s="115">
        <f t="shared" si="3"/>
        <v>45281</v>
      </c>
      <c r="ES3" s="115">
        <f t="shared" si="3"/>
        <v>45282</v>
      </c>
      <c r="ET3" s="115">
        <f t="shared" si="3"/>
        <v>45283</v>
      </c>
      <c r="EU3" s="115">
        <f t="shared" si="3"/>
        <v>45284</v>
      </c>
      <c r="EV3" s="115">
        <f t="shared" si="3"/>
        <v>45285</v>
      </c>
      <c r="EW3" s="115">
        <f t="shared" si="3"/>
        <v>45286</v>
      </c>
      <c r="EX3" s="115">
        <f t="shared" si="3"/>
        <v>45287</v>
      </c>
      <c r="EY3" s="115">
        <f t="shared" si="3"/>
        <v>45288</v>
      </c>
      <c r="EZ3" s="115">
        <f t="shared" si="3"/>
        <v>45289</v>
      </c>
      <c r="FA3" s="115">
        <f t="shared" si="3"/>
        <v>45290</v>
      </c>
      <c r="FB3" s="115">
        <f t="shared" si="3"/>
        <v>45291</v>
      </c>
      <c r="FC3" s="125" t="s">
        <v>21</v>
      </c>
      <c r="FD3" s="115">
        <f>FB3+1</f>
        <v>45292</v>
      </c>
      <c r="FE3" s="115">
        <f t="shared" ref="FE3:GH3" si="4">FD3+1</f>
        <v>45293</v>
      </c>
      <c r="FF3" s="115">
        <f t="shared" si="4"/>
        <v>45294</v>
      </c>
      <c r="FG3" s="115">
        <f t="shared" si="4"/>
        <v>45295</v>
      </c>
      <c r="FH3" s="115">
        <f t="shared" si="4"/>
        <v>45296</v>
      </c>
      <c r="FI3" s="115">
        <f t="shared" si="4"/>
        <v>45297</v>
      </c>
      <c r="FJ3" s="115">
        <f t="shared" si="4"/>
        <v>45298</v>
      </c>
      <c r="FK3" s="115">
        <f t="shared" si="4"/>
        <v>45299</v>
      </c>
      <c r="FL3" s="115">
        <f t="shared" si="4"/>
        <v>45300</v>
      </c>
      <c r="FM3" s="115">
        <f t="shared" si="4"/>
        <v>45301</v>
      </c>
      <c r="FN3" s="115">
        <f t="shared" si="4"/>
        <v>45302</v>
      </c>
      <c r="FO3" s="115">
        <f t="shared" si="4"/>
        <v>45303</v>
      </c>
      <c r="FP3" s="115">
        <f t="shared" si="4"/>
        <v>45304</v>
      </c>
      <c r="FQ3" s="115">
        <f t="shared" si="4"/>
        <v>45305</v>
      </c>
      <c r="FR3" s="115">
        <f t="shared" si="4"/>
        <v>45306</v>
      </c>
      <c r="FS3" s="115">
        <f t="shared" si="4"/>
        <v>45307</v>
      </c>
      <c r="FT3" s="115">
        <f t="shared" si="4"/>
        <v>45308</v>
      </c>
      <c r="FU3" s="115">
        <f t="shared" si="4"/>
        <v>45309</v>
      </c>
      <c r="FV3" s="115">
        <f t="shared" si="4"/>
        <v>45310</v>
      </c>
      <c r="FW3" s="115">
        <f t="shared" si="4"/>
        <v>45311</v>
      </c>
      <c r="FX3" s="115">
        <f t="shared" si="4"/>
        <v>45312</v>
      </c>
      <c r="FY3" s="115">
        <f t="shared" si="4"/>
        <v>45313</v>
      </c>
      <c r="FZ3" s="115">
        <f t="shared" si="4"/>
        <v>45314</v>
      </c>
      <c r="GA3" s="115">
        <f t="shared" si="4"/>
        <v>45315</v>
      </c>
      <c r="GB3" s="115">
        <f t="shared" si="4"/>
        <v>45316</v>
      </c>
      <c r="GC3" s="115">
        <f t="shared" si="4"/>
        <v>45317</v>
      </c>
      <c r="GD3" s="115">
        <f t="shared" si="4"/>
        <v>45318</v>
      </c>
      <c r="GE3" s="115">
        <f t="shared" si="4"/>
        <v>45319</v>
      </c>
      <c r="GF3" s="115">
        <f t="shared" si="4"/>
        <v>45320</v>
      </c>
      <c r="GG3" s="115">
        <f t="shared" si="4"/>
        <v>45321</v>
      </c>
      <c r="GH3" s="115">
        <f t="shared" si="4"/>
        <v>45322</v>
      </c>
      <c r="GI3" s="125" t="s">
        <v>21</v>
      </c>
      <c r="GJ3" s="115">
        <f>GH3+1</f>
        <v>45323</v>
      </c>
      <c r="GK3" s="115">
        <f t="shared" ref="GK3:HJ3" si="5">GJ3+1</f>
        <v>45324</v>
      </c>
      <c r="GL3" s="115">
        <f t="shared" si="5"/>
        <v>45325</v>
      </c>
      <c r="GM3" s="115">
        <f t="shared" si="5"/>
        <v>45326</v>
      </c>
      <c r="GN3" s="115">
        <f t="shared" si="5"/>
        <v>45327</v>
      </c>
      <c r="GO3" s="115">
        <f t="shared" si="5"/>
        <v>45328</v>
      </c>
      <c r="GP3" s="115">
        <f t="shared" si="5"/>
        <v>45329</v>
      </c>
      <c r="GQ3" s="115">
        <f t="shared" si="5"/>
        <v>45330</v>
      </c>
      <c r="GR3" s="115">
        <f t="shared" si="5"/>
        <v>45331</v>
      </c>
      <c r="GS3" s="115">
        <f t="shared" si="5"/>
        <v>45332</v>
      </c>
      <c r="GT3" s="115">
        <f t="shared" si="5"/>
        <v>45333</v>
      </c>
      <c r="GU3" s="115">
        <f t="shared" si="5"/>
        <v>45334</v>
      </c>
      <c r="GV3" s="115">
        <f t="shared" si="5"/>
        <v>45335</v>
      </c>
      <c r="GW3" s="115">
        <f t="shared" si="5"/>
        <v>45336</v>
      </c>
      <c r="GX3" s="115">
        <f t="shared" si="5"/>
        <v>45337</v>
      </c>
      <c r="GY3" s="115">
        <f t="shared" si="5"/>
        <v>45338</v>
      </c>
      <c r="GZ3" s="115">
        <f t="shared" si="5"/>
        <v>45339</v>
      </c>
      <c r="HA3" s="115">
        <f t="shared" si="5"/>
        <v>45340</v>
      </c>
      <c r="HB3" s="115">
        <f t="shared" si="5"/>
        <v>45341</v>
      </c>
      <c r="HC3" s="115">
        <f t="shared" si="5"/>
        <v>45342</v>
      </c>
      <c r="HD3" s="115">
        <f t="shared" si="5"/>
        <v>45343</v>
      </c>
      <c r="HE3" s="115">
        <f t="shared" si="5"/>
        <v>45344</v>
      </c>
      <c r="HF3" s="115">
        <f t="shared" si="5"/>
        <v>45345</v>
      </c>
      <c r="HG3" s="115">
        <f t="shared" si="5"/>
        <v>45346</v>
      </c>
      <c r="HH3" s="115">
        <f t="shared" si="5"/>
        <v>45347</v>
      </c>
      <c r="HI3" s="115">
        <f t="shared" si="5"/>
        <v>45348</v>
      </c>
      <c r="HJ3" s="115">
        <f t="shared" si="5"/>
        <v>45349</v>
      </c>
      <c r="HK3" s="132">
        <v>45350</v>
      </c>
      <c r="HL3" s="132">
        <v>45351</v>
      </c>
      <c r="HM3" s="125" t="s">
        <v>21</v>
      </c>
      <c r="HN3" s="115">
        <f>HL3+1</f>
        <v>45352</v>
      </c>
      <c r="HO3" s="115">
        <f t="shared" ref="HO3:IR3" si="6">HN3+1</f>
        <v>45353</v>
      </c>
      <c r="HP3" s="115">
        <f t="shared" si="6"/>
        <v>45354</v>
      </c>
      <c r="HQ3" s="115">
        <f t="shared" si="6"/>
        <v>45355</v>
      </c>
      <c r="HR3" s="115">
        <f t="shared" si="6"/>
        <v>45356</v>
      </c>
      <c r="HS3" s="115">
        <f t="shared" si="6"/>
        <v>45357</v>
      </c>
      <c r="HT3" s="115">
        <f t="shared" si="6"/>
        <v>45358</v>
      </c>
      <c r="HU3" s="115">
        <f t="shared" si="6"/>
        <v>45359</v>
      </c>
      <c r="HV3" s="115">
        <f t="shared" si="6"/>
        <v>45360</v>
      </c>
      <c r="HW3" s="115">
        <f t="shared" si="6"/>
        <v>45361</v>
      </c>
      <c r="HX3" s="115">
        <f t="shared" si="6"/>
        <v>45362</v>
      </c>
      <c r="HY3" s="115">
        <f t="shared" si="6"/>
        <v>45363</v>
      </c>
      <c r="HZ3" s="115">
        <f t="shared" si="6"/>
        <v>45364</v>
      </c>
      <c r="IA3" s="115">
        <f t="shared" si="6"/>
        <v>45365</v>
      </c>
      <c r="IB3" s="115">
        <f t="shared" si="6"/>
        <v>45366</v>
      </c>
      <c r="IC3" s="115">
        <f t="shared" si="6"/>
        <v>45367</v>
      </c>
      <c r="ID3" s="115">
        <f t="shared" si="6"/>
        <v>45368</v>
      </c>
      <c r="IE3" s="115">
        <f t="shared" si="6"/>
        <v>45369</v>
      </c>
      <c r="IF3" s="115">
        <f t="shared" si="6"/>
        <v>45370</v>
      </c>
      <c r="IG3" s="115">
        <f t="shared" si="6"/>
        <v>45371</v>
      </c>
      <c r="IH3" s="115">
        <f t="shared" si="6"/>
        <v>45372</v>
      </c>
      <c r="II3" s="115">
        <f t="shared" si="6"/>
        <v>45373</v>
      </c>
      <c r="IJ3" s="115">
        <f t="shared" si="6"/>
        <v>45374</v>
      </c>
      <c r="IK3" s="115">
        <f t="shared" si="6"/>
        <v>45375</v>
      </c>
      <c r="IL3" s="115">
        <f t="shared" si="6"/>
        <v>45376</v>
      </c>
      <c r="IM3" s="115">
        <f t="shared" si="6"/>
        <v>45377</v>
      </c>
      <c r="IN3" s="115">
        <f t="shared" si="6"/>
        <v>45378</v>
      </c>
      <c r="IO3" s="115">
        <f t="shared" si="6"/>
        <v>45379</v>
      </c>
      <c r="IP3" s="115">
        <f t="shared" si="6"/>
        <v>45380</v>
      </c>
      <c r="IQ3" s="115">
        <f t="shared" si="6"/>
        <v>45381</v>
      </c>
      <c r="IR3" s="115">
        <f t="shared" si="6"/>
        <v>45382</v>
      </c>
      <c r="IS3" s="130" t="s">
        <v>781</v>
      </c>
      <c r="IT3" s="115">
        <v>45383</v>
      </c>
      <c r="IU3" s="115">
        <f t="shared" ref="IU3:JW3" si="7">IT3+1</f>
        <v>45384</v>
      </c>
      <c r="IV3" s="115">
        <f t="shared" si="7"/>
        <v>45385</v>
      </c>
      <c r="IW3" s="115">
        <f t="shared" si="7"/>
        <v>45386</v>
      </c>
      <c r="IX3" s="115">
        <f t="shared" si="7"/>
        <v>45387</v>
      </c>
      <c r="IY3" s="115">
        <f t="shared" si="7"/>
        <v>45388</v>
      </c>
      <c r="IZ3" s="115">
        <f t="shared" si="7"/>
        <v>45389</v>
      </c>
      <c r="JA3" s="115">
        <f t="shared" si="7"/>
        <v>45390</v>
      </c>
      <c r="JB3" s="115">
        <f t="shared" si="7"/>
        <v>45391</v>
      </c>
      <c r="JC3" s="115">
        <f t="shared" si="7"/>
        <v>45392</v>
      </c>
      <c r="JD3" s="115">
        <f t="shared" si="7"/>
        <v>45393</v>
      </c>
      <c r="JE3" s="115">
        <f t="shared" si="7"/>
        <v>45394</v>
      </c>
      <c r="JF3" s="115">
        <f t="shared" si="7"/>
        <v>45395</v>
      </c>
      <c r="JG3" s="115">
        <f t="shared" si="7"/>
        <v>45396</v>
      </c>
      <c r="JH3" s="115">
        <f t="shared" si="7"/>
        <v>45397</v>
      </c>
      <c r="JI3" s="115">
        <f t="shared" si="7"/>
        <v>45398</v>
      </c>
      <c r="JJ3" s="115">
        <f t="shared" si="7"/>
        <v>45399</v>
      </c>
      <c r="JK3" s="115">
        <f t="shared" si="7"/>
        <v>45400</v>
      </c>
      <c r="JL3" s="115">
        <f t="shared" si="7"/>
        <v>45401</v>
      </c>
      <c r="JM3" s="115">
        <f t="shared" si="7"/>
        <v>45402</v>
      </c>
      <c r="JN3" s="115">
        <f t="shared" si="7"/>
        <v>45403</v>
      </c>
      <c r="JO3" s="115">
        <f t="shared" si="7"/>
        <v>45404</v>
      </c>
      <c r="JP3" s="115">
        <f t="shared" si="7"/>
        <v>45405</v>
      </c>
      <c r="JQ3" s="115">
        <f t="shared" si="7"/>
        <v>45406</v>
      </c>
      <c r="JR3" s="115">
        <f t="shared" si="7"/>
        <v>45407</v>
      </c>
      <c r="JS3" s="115">
        <f t="shared" si="7"/>
        <v>45408</v>
      </c>
      <c r="JT3" s="115">
        <f t="shared" si="7"/>
        <v>45409</v>
      </c>
      <c r="JU3" s="115">
        <f t="shared" si="7"/>
        <v>45410</v>
      </c>
      <c r="JV3" s="115">
        <f t="shared" si="7"/>
        <v>45411</v>
      </c>
      <c r="JW3" s="115">
        <f t="shared" si="7"/>
        <v>45412</v>
      </c>
      <c r="JX3" s="130" t="s">
        <v>782</v>
      </c>
      <c r="JY3" s="115">
        <v>45413</v>
      </c>
      <c r="JZ3" s="115">
        <f t="shared" ref="JZ3:LC3" si="8">JY3+1</f>
        <v>45414</v>
      </c>
      <c r="KA3" s="115">
        <f t="shared" si="8"/>
        <v>45415</v>
      </c>
      <c r="KB3" s="115">
        <f t="shared" si="8"/>
        <v>45416</v>
      </c>
      <c r="KC3" s="115">
        <f t="shared" si="8"/>
        <v>45417</v>
      </c>
      <c r="KD3" s="115">
        <f t="shared" si="8"/>
        <v>45418</v>
      </c>
      <c r="KE3" s="115">
        <f t="shared" si="8"/>
        <v>45419</v>
      </c>
      <c r="KF3" s="115">
        <f t="shared" si="8"/>
        <v>45420</v>
      </c>
      <c r="KG3" s="115">
        <f t="shared" si="8"/>
        <v>45421</v>
      </c>
      <c r="KH3" s="115">
        <f t="shared" si="8"/>
        <v>45422</v>
      </c>
      <c r="KI3" s="115">
        <f t="shared" si="8"/>
        <v>45423</v>
      </c>
      <c r="KJ3" s="115">
        <f t="shared" si="8"/>
        <v>45424</v>
      </c>
      <c r="KK3" s="115">
        <f t="shared" si="8"/>
        <v>45425</v>
      </c>
      <c r="KL3" s="115">
        <f t="shared" si="8"/>
        <v>45426</v>
      </c>
      <c r="KM3" s="115">
        <f t="shared" si="8"/>
        <v>45427</v>
      </c>
      <c r="KN3" s="115">
        <f t="shared" si="8"/>
        <v>45428</v>
      </c>
      <c r="KO3" s="115">
        <f t="shared" si="8"/>
        <v>45429</v>
      </c>
      <c r="KP3" s="115">
        <f t="shared" si="8"/>
        <v>45430</v>
      </c>
      <c r="KQ3" s="115">
        <f t="shared" si="8"/>
        <v>45431</v>
      </c>
      <c r="KR3" s="115">
        <f t="shared" si="8"/>
        <v>45432</v>
      </c>
      <c r="KS3" s="115">
        <f t="shared" si="8"/>
        <v>45433</v>
      </c>
      <c r="KT3" s="115">
        <f t="shared" si="8"/>
        <v>45434</v>
      </c>
      <c r="KU3" s="115">
        <f t="shared" si="8"/>
        <v>45435</v>
      </c>
      <c r="KV3" s="115">
        <f t="shared" si="8"/>
        <v>45436</v>
      </c>
      <c r="KW3" s="115">
        <f t="shared" si="8"/>
        <v>45437</v>
      </c>
      <c r="KX3" s="115">
        <f t="shared" si="8"/>
        <v>45438</v>
      </c>
      <c r="KY3" s="115">
        <f t="shared" si="8"/>
        <v>45439</v>
      </c>
      <c r="KZ3" s="115">
        <f t="shared" si="8"/>
        <v>45440</v>
      </c>
      <c r="LA3" s="115">
        <f t="shared" si="8"/>
        <v>45441</v>
      </c>
      <c r="LB3" s="115">
        <f t="shared" si="8"/>
        <v>45442</v>
      </c>
      <c r="LC3" s="115">
        <f t="shared" si="8"/>
        <v>45443</v>
      </c>
      <c r="LD3" s="134" t="s">
        <v>782</v>
      </c>
      <c r="LE3" t="s">
        <v>783</v>
      </c>
      <c r="LF3" t="s">
        <v>784</v>
      </c>
      <c r="LG3" t="s">
        <v>785</v>
      </c>
      <c r="LH3" t="s">
        <v>786</v>
      </c>
      <c r="LI3" t="s">
        <v>787</v>
      </c>
      <c r="LJ3" t="s">
        <v>788</v>
      </c>
      <c r="LK3" t="s">
        <v>789</v>
      </c>
      <c r="LL3" t="s">
        <v>790</v>
      </c>
      <c r="LM3" t="s">
        <v>791</v>
      </c>
      <c r="LN3" t="s">
        <v>792</v>
      </c>
      <c r="LO3" t="s">
        <v>793</v>
      </c>
      <c r="LP3" t="s">
        <v>794</v>
      </c>
      <c r="LQ3" t="s">
        <v>795</v>
      </c>
      <c r="LR3" t="s">
        <v>796</v>
      </c>
      <c r="LS3" t="s">
        <v>797</v>
      </c>
      <c r="LT3" t="s">
        <v>798</v>
      </c>
      <c r="LU3" t="s">
        <v>799</v>
      </c>
      <c r="LV3" t="s">
        <v>800</v>
      </c>
      <c r="LW3" t="s">
        <v>801</v>
      </c>
      <c r="LX3" t="s">
        <v>802</v>
      </c>
      <c r="LY3" t="s">
        <v>803</v>
      </c>
      <c r="LZ3" t="s">
        <v>804</v>
      </c>
      <c r="MA3" t="s">
        <v>805</v>
      </c>
      <c r="MB3" t="s">
        <v>806</v>
      </c>
      <c r="MC3" t="s">
        <v>807</v>
      </c>
      <c r="MD3" t="s">
        <v>808</v>
      </c>
      <c r="ME3" t="s">
        <v>809</v>
      </c>
      <c r="MF3" t="s">
        <v>810</v>
      </c>
      <c r="MG3" t="s">
        <v>811</v>
      </c>
      <c r="MH3" t="s">
        <v>812</v>
      </c>
      <c r="MI3" s="134" t="s">
        <v>782</v>
      </c>
      <c r="MJ3" t="s">
        <v>53</v>
      </c>
      <c r="MK3" t="s">
        <v>54</v>
      </c>
      <c r="ML3" t="s">
        <v>55</v>
      </c>
      <c r="MM3" t="s">
        <v>56</v>
      </c>
      <c r="MN3" t="s">
        <v>57</v>
      </c>
      <c r="MO3" t="s">
        <v>58</v>
      </c>
      <c r="MP3" t="s">
        <v>59</v>
      </c>
      <c r="MQ3" t="s">
        <v>60</v>
      </c>
      <c r="MR3" t="s">
        <v>61</v>
      </c>
      <c r="MS3" t="s">
        <v>62</v>
      </c>
      <c r="MT3" t="s">
        <v>63</v>
      </c>
      <c r="MU3" t="s">
        <v>64</v>
      </c>
      <c r="MV3" t="s">
        <v>65</v>
      </c>
      <c r="MW3" t="s">
        <v>66</v>
      </c>
      <c r="MX3" t="s">
        <v>67</v>
      </c>
      <c r="MY3" t="s">
        <v>68</v>
      </c>
      <c r="MZ3" t="s">
        <v>69</v>
      </c>
      <c r="NA3" t="s">
        <v>70</v>
      </c>
      <c r="NB3" t="s">
        <v>71</v>
      </c>
      <c r="NC3" t="s">
        <v>72</v>
      </c>
      <c r="ND3" t="s">
        <v>73</v>
      </c>
      <c r="NE3" t="s">
        <v>74</v>
      </c>
      <c r="NF3" t="s">
        <v>75</v>
      </c>
      <c r="NG3" t="s">
        <v>76</v>
      </c>
      <c r="NH3" t="s">
        <v>77</v>
      </c>
      <c r="NI3" t="s">
        <v>78</v>
      </c>
      <c r="NJ3" t="s">
        <v>79</v>
      </c>
      <c r="NK3" t="s">
        <v>80</v>
      </c>
      <c r="NL3" t="s">
        <v>81</v>
      </c>
      <c r="NM3" t="s">
        <v>82</v>
      </c>
      <c r="NN3" t="s">
        <v>83</v>
      </c>
      <c r="NO3" s="134" t="s">
        <v>782</v>
      </c>
      <c r="NP3" t="s">
        <v>813</v>
      </c>
      <c r="NQ3" t="s">
        <v>814</v>
      </c>
      <c r="NR3" t="s">
        <v>815</v>
      </c>
      <c r="NS3" t="s">
        <v>816</v>
      </c>
      <c r="NT3" t="s">
        <v>817</v>
      </c>
      <c r="NU3" t="s">
        <v>818</v>
      </c>
      <c r="NV3" t="s">
        <v>819</v>
      </c>
      <c r="NW3" t="s">
        <v>820</v>
      </c>
      <c r="NX3" t="s">
        <v>821</v>
      </c>
      <c r="NY3" t="s">
        <v>822</v>
      </c>
      <c r="NZ3" t="s">
        <v>823</v>
      </c>
      <c r="OA3" t="s">
        <v>824</v>
      </c>
      <c r="OB3" t="s">
        <v>825</v>
      </c>
      <c r="OC3" t="s">
        <v>826</v>
      </c>
      <c r="OD3" t="s">
        <v>827</v>
      </c>
      <c r="OE3" t="s">
        <v>828</v>
      </c>
      <c r="OF3" t="s">
        <v>829</v>
      </c>
      <c r="OG3" t="s">
        <v>830</v>
      </c>
      <c r="OH3" t="s">
        <v>831</v>
      </c>
      <c r="OI3" t="s">
        <v>832</v>
      </c>
      <c r="OJ3" t="s">
        <v>833</v>
      </c>
      <c r="OK3" t="s">
        <v>834</v>
      </c>
      <c r="OL3" t="s">
        <v>835</v>
      </c>
      <c r="OM3" t="s">
        <v>836</v>
      </c>
      <c r="ON3" t="s">
        <v>837</v>
      </c>
      <c r="OO3" t="s">
        <v>838</v>
      </c>
      <c r="OP3" t="s">
        <v>839</v>
      </c>
      <c r="OQ3" t="s">
        <v>840</v>
      </c>
      <c r="OR3" t="s">
        <v>841</v>
      </c>
      <c r="OS3" t="s">
        <v>842</v>
      </c>
      <c r="OT3" t="s">
        <v>843</v>
      </c>
      <c r="OU3" s="134" t="s">
        <v>782</v>
      </c>
      <c r="OV3" t="s">
        <v>115</v>
      </c>
      <c r="OW3" t="s">
        <v>116</v>
      </c>
      <c r="OX3" t="s">
        <v>117</v>
      </c>
      <c r="OY3" t="s">
        <v>118</v>
      </c>
      <c r="OZ3" t="s">
        <v>119</v>
      </c>
      <c r="PA3" t="s">
        <v>120</v>
      </c>
      <c r="PB3" t="s">
        <v>121</v>
      </c>
      <c r="PC3" t="s">
        <v>122</v>
      </c>
      <c r="PD3" t="s">
        <v>123</v>
      </c>
      <c r="PE3" t="s">
        <v>124</v>
      </c>
      <c r="PF3" t="s">
        <v>125</v>
      </c>
      <c r="PG3" t="s">
        <v>126</v>
      </c>
      <c r="PH3" t="s">
        <v>127</v>
      </c>
      <c r="PI3" t="s">
        <v>128</v>
      </c>
      <c r="PJ3" t="s">
        <v>129</v>
      </c>
      <c r="PK3" t="s">
        <v>130</v>
      </c>
      <c r="PL3" t="s">
        <v>131</v>
      </c>
      <c r="PM3" t="s">
        <v>132</v>
      </c>
      <c r="PN3" t="s">
        <v>133</v>
      </c>
      <c r="PO3" t="s">
        <v>134</v>
      </c>
      <c r="PP3" t="s">
        <v>135</v>
      </c>
      <c r="PQ3" t="s">
        <v>136</v>
      </c>
      <c r="PR3" t="s">
        <v>137</v>
      </c>
      <c r="PS3" t="s">
        <v>138</v>
      </c>
      <c r="PT3" t="s">
        <v>139</v>
      </c>
      <c r="PU3" t="s">
        <v>140</v>
      </c>
      <c r="PV3" t="s">
        <v>141</v>
      </c>
      <c r="PW3" t="s">
        <v>142</v>
      </c>
      <c r="PX3" t="s">
        <v>143</v>
      </c>
      <c r="PY3" t="s">
        <v>144</v>
      </c>
      <c r="PZ3" s="134" t="s">
        <v>782</v>
      </c>
      <c r="QA3" t="s">
        <v>844</v>
      </c>
      <c r="QB3" t="s">
        <v>845</v>
      </c>
      <c r="QC3" t="s">
        <v>846</v>
      </c>
      <c r="QD3" t="s">
        <v>847</v>
      </c>
      <c r="QE3" t="s">
        <v>848</v>
      </c>
      <c r="QF3" t="s">
        <v>849</v>
      </c>
      <c r="QG3" t="s">
        <v>850</v>
      </c>
      <c r="QH3" t="s">
        <v>851</v>
      </c>
      <c r="QI3" t="s">
        <v>852</v>
      </c>
      <c r="QJ3" t="s">
        <v>853</v>
      </c>
      <c r="QK3" t="s">
        <v>854</v>
      </c>
      <c r="QL3" t="s">
        <v>855</v>
      </c>
      <c r="QM3" t="s">
        <v>856</v>
      </c>
      <c r="QN3" t="s">
        <v>857</v>
      </c>
      <c r="QO3" t="s">
        <v>858</v>
      </c>
      <c r="QP3" t="s">
        <v>859</v>
      </c>
      <c r="QQ3" t="s">
        <v>860</v>
      </c>
      <c r="QR3" t="s">
        <v>861</v>
      </c>
      <c r="QS3" t="s">
        <v>862</v>
      </c>
      <c r="QT3" t="s">
        <v>863</v>
      </c>
      <c r="QU3" t="s">
        <v>864</v>
      </c>
      <c r="QV3" t="s">
        <v>865</v>
      </c>
      <c r="QW3" t="s">
        <v>866</v>
      </c>
      <c r="QX3" t="s">
        <v>867</v>
      </c>
      <c r="QY3" t="s">
        <v>868</v>
      </c>
      <c r="QZ3" t="s">
        <v>869</v>
      </c>
      <c r="RA3" t="s">
        <v>870</v>
      </c>
      <c r="RB3" t="s">
        <v>871</v>
      </c>
      <c r="RC3" t="s">
        <v>872</v>
      </c>
      <c r="RD3" t="s">
        <v>873</v>
      </c>
      <c r="RE3" t="s">
        <v>874</v>
      </c>
      <c r="RF3" s="134" t="s">
        <v>782</v>
      </c>
      <c r="RG3" t="s">
        <v>875</v>
      </c>
      <c r="RH3" t="s">
        <v>876</v>
      </c>
      <c r="RI3" t="s">
        <v>877</v>
      </c>
      <c r="RJ3" t="s">
        <v>878</v>
      </c>
      <c r="RK3" t="s">
        <v>879</v>
      </c>
      <c r="RL3" t="s">
        <v>880</v>
      </c>
      <c r="RM3" t="s">
        <v>881</v>
      </c>
      <c r="RN3" t="s">
        <v>882</v>
      </c>
      <c r="RO3" t="s">
        <v>883</v>
      </c>
      <c r="RP3" t="s">
        <v>884</v>
      </c>
      <c r="RQ3" t="s">
        <v>885</v>
      </c>
      <c r="RR3" t="s">
        <v>886</v>
      </c>
      <c r="RS3" t="s">
        <v>887</v>
      </c>
      <c r="RT3" t="s">
        <v>888</v>
      </c>
      <c r="RU3" t="s">
        <v>889</v>
      </c>
      <c r="RV3" t="s">
        <v>890</v>
      </c>
      <c r="RW3" t="s">
        <v>891</v>
      </c>
      <c r="RX3" t="s">
        <v>892</v>
      </c>
      <c r="RY3" t="s">
        <v>893</v>
      </c>
      <c r="RZ3" t="s">
        <v>894</v>
      </c>
      <c r="SA3" t="s">
        <v>895</v>
      </c>
      <c r="SB3" t="s">
        <v>896</v>
      </c>
      <c r="SC3" t="s">
        <v>897</v>
      </c>
      <c r="SD3" t="s">
        <v>898</v>
      </c>
      <c r="SE3" t="s">
        <v>899</v>
      </c>
      <c r="SF3" t="s">
        <v>900</v>
      </c>
      <c r="SG3" t="s">
        <v>901</v>
      </c>
      <c r="SH3" t="s">
        <v>902</v>
      </c>
      <c r="SI3" t="s">
        <v>903</v>
      </c>
      <c r="SJ3" t="s">
        <v>904</v>
      </c>
      <c r="SK3" s="134" t="s">
        <v>782</v>
      </c>
      <c r="SL3" t="s">
        <v>206</v>
      </c>
      <c r="SM3" t="s">
        <v>207</v>
      </c>
      <c r="SN3" t="s">
        <v>208</v>
      </c>
      <c r="SO3" t="s">
        <v>209</v>
      </c>
      <c r="SP3" t="s">
        <v>210</v>
      </c>
      <c r="SQ3" t="s">
        <v>211</v>
      </c>
      <c r="SR3" t="s">
        <v>212</v>
      </c>
      <c r="SS3" t="s">
        <v>213</v>
      </c>
      <c r="ST3" t="s">
        <v>214</v>
      </c>
      <c r="SU3" t="s">
        <v>215</v>
      </c>
      <c r="SV3" t="s">
        <v>216</v>
      </c>
      <c r="SW3" t="s">
        <v>217</v>
      </c>
      <c r="SX3" t="s">
        <v>218</v>
      </c>
      <c r="SY3" t="s">
        <v>219</v>
      </c>
      <c r="SZ3" t="s">
        <v>220</v>
      </c>
      <c r="TA3" t="s">
        <v>221</v>
      </c>
      <c r="TB3" t="s">
        <v>222</v>
      </c>
      <c r="TC3" t="s">
        <v>223</v>
      </c>
      <c r="TD3" t="s">
        <v>224</v>
      </c>
      <c r="TE3" t="s">
        <v>225</v>
      </c>
      <c r="TF3" t="s">
        <v>226</v>
      </c>
      <c r="TG3" t="s">
        <v>227</v>
      </c>
      <c r="TH3" t="s">
        <v>228</v>
      </c>
      <c r="TI3" t="s">
        <v>229</v>
      </c>
      <c r="TJ3" t="s">
        <v>230</v>
      </c>
      <c r="TK3" t="s">
        <v>231</v>
      </c>
      <c r="TL3" t="s">
        <v>232</v>
      </c>
      <c r="TM3" t="s">
        <v>233</v>
      </c>
      <c r="TN3" t="s">
        <v>234</v>
      </c>
      <c r="TO3" t="s">
        <v>235</v>
      </c>
      <c r="TP3" t="s">
        <v>236</v>
      </c>
      <c r="TQ3" s="134" t="s">
        <v>782</v>
      </c>
      <c r="TR3" t="s">
        <v>905</v>
      </c>
      <c r="TS3" t="s">
        <v>238</v>
      </c>
      <c r="TT3" t="s">
        <v>239</v>
      </c>
      <c r="TU3" t="s">
        <v>240</v>
      </c>
      <c r="TV3" t="s">
        <v>241</v>
      </c>
      <c r="TW3" t="s">
        <v>242</v>
      </c>
      <c r="TX3" t="s">
        <v>243</v>
      </c>
      <c r="TY3" t="s">
        <v>244</v>
      </c>
      <c r="TZ3" t="s">
        <v>245</v>
      </c>
      <c r="UA3" t="s">
        <v>246</v>
      </c>
      <c r="UB3" t="s">
        <v>247</v>
      </c>
      <c r="UC3" t="s">
        <v>248</v>
      </c>
      <c r="UD3" t="s">
        <v>249</v>
      </c>
      <c r="UE3" t="s">
        <v>250</v>
      </c>
      <c r="UF3" t="s">
        <v>251</v>
      </c>
      <c r="UG3" t="s">
        <v>252</v>
      </c>
      <c r="UH3" t="s">
        <v>253</v>
      </c>
      <c r="UI3" t="s">
        <v>254</v>
      </c>
      <c r="UJ3" t="s">
        <v>255</v>
      </c>
      <c r="UK3" t="s">
        <v>256</v>
      </c>
      <c r="UL3" t="s">
        <v>257</v>
      </c>
      <c r="UM3" t="s">
        <v>258</v>
      </c>
      <c r="UN3" t="s">
        <v>259</v>
      </c>
      <c r="UO3" t="s">
        <v>260</v>
      </c>
      <c r="UP3" t="s">
        <v>261</v>
      </c>
      <c r="UQ3" t="s">
        <v>262</v>
      </c>
      <c r="UR3" t="s">
        <v>263</v>
      </c>
      <c r="US3" t="s">
        <v>264</v>
      </c>
      <c r="UT3" t="s">
        <v>265</v>
      </c>
      <c r="UU3" t="s">
        <v>266</v>
      </c>
      <c r="UV3" t="s">
        <v>267</v>
      </c>
      <c r="UW3" s="130" t="s">
        <v>906</v>
      </c>
      <c r="UX3" t="s">
        <v>907</v>
      </c>
      <c r="UY3" t="s">
        <v>908</v>
      </c>
      <c r="UZ3" t="s">
        <v>909</v>
      </c>
      <c r="VA3" t="s">
        <v>910</v>
      </c>
      <c r="VB3" t="s">
        <v>911</v>
      </c>
      <c r="VC3" t="s">
        <v>912</v>
      </c>
      <c r="VD3" t="s">
        <v>913</v>
      </c>
      <c r="VE3" t="s">
        <v>914</v>
      </c>
      <c r="VF3" t="s">
        <v>915</v>
      </c>
      <c r="VG3" t="s">
        <v>916</v>
      </c>
      <c r="VH3" t="s">
        <v>917</v>
      </c>
      <c r="VI3" t="s">
        <v>918</v>
      </c>
      <c r="VJ3" t="s">
        <v>919</v>
      </c>
      <c r="VK3" t="s">
        <v>920</v>
      </c>
      <c r="VL3" t="s">
        <v>921</v>
      </c>
      <c r="VM3" t="s">
        <v>922</v>
      </c>
      <c r="VN3" t="s">
        <v>923</v>
      </c>
      <c r="VO3" t="s">
        <v>924</v>
      </c>
      <c r="VP3" t="s">
        <v>925</v>
      </c>
      <c r="VQ3" t="s">
        <v>926</v>
      </c>
      <c r="VR3" t="s">
        <v>927</v>
      </c>
      <c r="VS3" t="s">
        <v>928</v>
      </c>
      <c r="VT3" t="s">
        <v>929</v>
      </c>
      <c r="VU3" t="s">
        <v>930</v>
      </c>
      <c r="VV3" t="s">
        <v>931</v>
      </c>
      <c r="VW3" t="s">
        <v>932</v>
      </c>
      <c r="VX3" t="s">
        <v>933</v>
      </c>
      <c r="VY3" t="s">
        <v>934</v>
      </c>
      <c r="VZ3" s="130" t="s">
        <v>935</v>
      </c>
      <c r="WA3" t="s">
        <v>936</v>
      </c>
      <c r="WB3" t="s">
        <v>937</v>
      </c>
      <c r="WC3" t="s">
        <v>938</v>
      </c>
      <c r="WD3" t="s">
        <v>939</v>
      </c>
      <c r="WE3" t="s">
        <v>940</v>
      </c>
      <c r="WF3" t="s">
        <v>941</v>
      </c>
      <c r="WG3" t="s">
        <v>942</v>
      </c>
      <c r="WH3" t="s">
        <v>943</v>
      </c>
      <c r="WI3" t="s">
        <v>944</v>
      </c>
      <c r="WJ3" t="s">
        <v>945</v>
      </c>
      <c r="WK3" t="s">
        <v>946</v>
      </c>
      <c r="WL3" t="s">
        <v>947</v>
      </c>
      <c r="WM3" t="s">
        <v>948</v>
      </c>
      <c r="WN3" t="s">
        <v>949</v>
      </c>
      <c r="WO3" t="s">
        <v>950</v>
      </c>
      <c r="WP3" t="s">
        <v>951</v>
      </c>
      <c r="WQ3" t="s">
        <v>952</v>
      </c>
      <c r="WR3" t="s">
        <v>953</v>
      </c>
      <c r="WS3" t="s">
        <v>954</v>
      </c>
      <c r="WT3" t="s">
        <v>955</v>
      </c>
      <c r="WU3" t="s">
        <v>956</v>
      </c>
      <c r="WV3" t="s">
        <v>957</v>
      </c>
      <c r="WW3" t="s">
        <v>958</v>
      </c>
      <c r="WX3" t="s">
        <v>959</v>
      </c>
      <c r="WY3" t="s">
        <v>960</v>
      </c>
      <c r="WZ3" t="s">
        <v>961</v>
      </c>
      <c r="XA3" t="s">
        <v>962</v>
      </c>
      <c r="XB3" t="s">
        <v>963</v>
      </c>
      <c r="XC3" t="s">
        <v>964</v>
      </c>
      <c r="XD3" t="s">
        <v>965</v>
      </c>
      <c r="XE3" t="s">
        <v>966</v>
      </c>
      <c r="XF3" s="130" t="s">
        <v>967</v>
      </c>
      <c r="XG3" t="s">
        <v>327</v>
      </c>
      <c r="XH3" t="s">
        <v>328</v>
      </c>
      <c r="XI3" t="s">
        <v>329</v>
      </c>
      <c r="XJ3" t="s">
        <v>330</v>
      </c>
      <c r="XK3" t="s">
        <v>331</v>
      </c>
      <c r="XL3" t="s">
        <v>332</v>
      </c>
      <c r="XM3" t="s">
        <v>333</v>
      </c>
      <c r="XN3" t="s">
        <v>334</v>
      </c>
      <c r="XO3" t="s">
        <v>335</v>
      </c>
      <c r="XP3" t="s">
        <v>336</v>
      </c>
      <c r="XQ3" t="s">
        <v>337</v>
      </c>
      <c r="XR3" t="s">
        <v>338</v>
      </c>
      <c r="XS3" t="s">
        <v>339</v>
      </c>
      <c r="XT3" t="s">
        <v>340</v>
      </c>
      <c r="XU3" t="s">
        <v>341</v>
      </c>
      <c r="XV3" t="s">
        <v>342</v>
      </c>
      <c r="XW3" t="s">
        <v>343</v>
      </c>
      <c r="XX3" t="s">
        <v>344</v>
      </c>
      <c r="XY3" t="s">
        <v>345</v>
      </c>
      <c r="XZ3" t="s">
        <v>346</v>
      </c>
      <c r="YA3" t="s">
        <v>347</v>
      </c>
      <c r="YB3" t="s">
        <v>348</v>
      </c>
      <c r="YC3" t="s">
        <v>349</v>
      </c>
      <c r="YD3" t="s">
        <v>350</v>
      </c>
      <c r="YE3" t="s">
        <v>351</v>
      </c>
      <c r="YF3" t="s">
        <v>352</v>
      </c>
      <c r="YG3" t="s">
        <v>353</v>
      </c>
      <c r="YH3" t="s">
        <v>354</v>
      </c>
      <c r="YI3" t="s">
        <v>355</v>
      </c>
      <c r="YJ3" t="s">
        <v>356</v>
      </c>
      <c r="YK3" s="130" t="s">
        <v>967</v>
      </c>
      <c r="YL3" t="s">
        <v>357</v>
      </c>
      <c r="YM3" t="s">
        <v>358</v>
      </c>
      <c r="YN3" t="s">
        <v>359</v>
      </c>
      <c r="YO3" t="s">
        <v>360</v>
      </c>
      <c r="YP3" t="s">
        <v>361</v>
      </c>
      <c r="YQ3" t="s">
        <v>362</v>
      </c>
      <c r="YR3" t="s">
        <v>363</v>
      </c>
      <c r="YS3" t="s">
        <v>364</v>
      </c>
      <c r="YT3" t="s">
        <v>365</v>
      </c>
      <c r="YU3" t="s">
        <v>366</v>
      </c>
      <c r="YV3" t="s">
        <v>367</v>
      </c>
      <c r="YW3" t="s">
        <v>368</v>
      </c>
      <c r="YX3" t="s">
        <v>369</v>
      </c>
      <c r="YY3" t="s">
        <v>370</v>
      </c>
      <c r="YZ3" t="s">
        <v>371</v>
      </c>
      <c r="ZA3" t="s">
        <v>372</v>
      </c>
      <c r="ZB3" t="s">
        <v>373</v>
      </c>
      <c r="ZC3" t="s">
        <v>374</v>
      </c>
      <c r="ZD3" t="s">
        <v>375</v>
      </c>
      <c r="ZE3" t="s">
        <v>376</v>
      </c>
      <c r="ZF3" t="s">
        <v>377</v>
      </c>
      <c r="ZG3" t="s">
        <v>378</v>
      </c>
      <c r="ZH3" t="s">
        <v>379</v>
      </c>
      <c r="ZI3" t="s">
        <v>380</v>
      </c>
      <c r="ZJ3" t="s">
        <v>381</v>
      </c>
      <c r="ZK3" t="s">
        <v>382</v>
      </c>
      <c r="ZL3" t="s">
        <v>383</v>
      </c>
      <c r="ZM3" t="s">
        <v>384</v>
      </c>
      <c r="ZN3" t="s">
        <v>385</v>
      </c>
      <c r="ZO3" t="s">
        <v>386</v>
      </c>
      <c r="ZP3" t="s">
        <v>387</v>
      </c>
      <c r="ZQ3" s="130" t="s">
        <v>967</v>
      </c>
      <c r="ZR3" t="s">
        <v>388</v>
      </c>
      <c r="ZS3" t="s">
        <v>389</v>
      </c>
      <c r="ZT3" t="s">
        <v>390</v>
      </c>
      <c r="ZU3" t="s">
        <v>391</v>
      </c>
      <c r="ZV3" t="s">
        <v>392</v>
      </c>
      <c r="ZW3" t="s">
        <v>393</v>
      </c>
      <c r="ZX3" t="s">
        <v>394</v>
      </c>
      <c r="ZY3" t="s">
        <v>395</v>
      </c>
      <c r="ZZ3" t="s">
        <v>396</v>
      </c>
      <c r="AAA3" t="s">
        <v>397</v>
      </c>
      <c r="AAB3" t="s">
        <v>398</v>
      </c>
      <c r="AAC3" t="s">
        <v>399</v>
      </c>
      <c r="AAD3" t="s">
        <v>400</v>
      </c>
      <c r="AAE3" t="s">
        <v>401</v>
      </c>
      <c r="AAF3" t="s">
        <v>402</v>
      </c>
      <c r="AAG3" t="s">
        <v>403</v>
      </c>
      <c r="AAH3" t="s">
        <v>404</v>
      </c>
      <c r="AAI3" t="s">
        <v>405</v>
      </c>
      <c r="AAJ3" t="s">
        <v>406</v>
      </c>
      <c r="AAK3" t="s">
        <v>407</v>
      </c>
      <c r="AAL3" t="s">
        <v>408</v>
      </c>
      <c r="AAM3" t="s">
        <v>409</v>
      </c>
      <c r="AAN3" t="s">
        <v>410</v>
      </c>
      <c r="AAO3" t="s">
        <v>411</v>
      </c>
      <c r="AAP3" t="s">
        <v>412</v>
      </c>
      <c r="AAQ3" t="s">
        <v>413</v>
      </c>
      <c r="AAR3" t="s">
        <v>414</v>
      </c>
      <c r="AAS3" t="s">
        <v>415</v>
      </c>
      <c r="AAT3" t="s">
        <v>416</v>
      </c>
      <c r="AAU3" t="s">
        <v>417</v>
      </c>
      <c r="AAV3" s="130" t="s">
        <v>967</v>
      </c>
      <c r="AAW3" t="s">
        <v>53</v>
      </c>
      <c r="AAX3" t="s">
        <v>54</v>
      </c>
      <c r="AAY3" t="s">
        <v>55</v>
      </c>
      <c r="AAZ3" t="s">
        <v>56</v>
      </c>
      <c r="ABA3" t="s">
        <v>57</v>
      </c>
      <c r="ABB3" t="s">
        <v>58</v>
      </c>
      <c r="ABC3" t="s">
        <v>59</v>
      </c>
      <c r="ABD3" t="s">
        <v>60</v>
      </c>
      <c r="ABE3" t="s">
        <v>61</v>
      </c>
      <c r="ABF3" t="s">
        <v>62</v>
      </c>
      <c r="ABG3" t="s">
        <v>63</v>
      </c>
      <c r="ABH3" t="s">
        <v>64</v>
      </c>
      <c r="ABI3" t="s">
        <v>65</v>
      </c>
      <c r="ABJ3" t="s">
        <v>66</v>
      </c>
      <c r="ABK3" t="s">
        <v>67</v>
      </c>
      <c r="ABL3" t="s">
        <v>68</v>
      </c>
      <c r="ABM3" t="s">
        <v>69</v>
      </c>
      <c r="ABN3" t="s">
        <v>70</v>
      </c>
      <c r="ABO3" t="s">
        <v>71</v>
      </c>
      <c r="ABP3" t="s">
        <v>72</v>
      </c>
      <c r="ABQ3" t="s">
        <v>73</v>
      </c>
      <c r="ABR3" t="s">
        <v>74</v>
      </c>
      <c r="ABS3" t="s">
        <v>75</v>
      </c>
      <c r="ABT3" t="s">
        <v>76</v>
      </c>
      <c r="ABU3" t="s">
        <v>77</v>
      </c>
      <c r="ABV3" t="s">
        <v>78</v>
      </c>
      <c r="ABW3" t="s">
        <v>79</v>
      </c>
      <c r="ABX3" t="s">
        <v>80</v>
      </c>
      <c r="ABY3" t="s">
        <v>81</v>
      </c>
      <c r="ABZ3" t="s">
        <v>82</v>
      </c>
      <c r="ACA3" t="s">
        <v>83</v>
      </c>
      <c r="ACB3" s="130" t="s">
        <v>967</v>
      </c>
      <c r="ACC3" t="s">
        <v>84</v>
      </c>
      <c r="ACD3" t="s">
        <v>85</v>
      </c>
      <c r="ACE3" t="s">
        <v>86</v>
      </c>
      <c r="ACF3" t="s">
        <v>87</v>
      </c>
      <c r="ACG3" t="s">
        <v>88</v>
      </c>
      <c r="ACH3" t="s">
        <v>89</v>
      </c>
      <c r="ACI3" t="s">
        <v>90</v>
      </c>
      <c r="ACJ3" t="s">
        <v>91</v>
      </c>
      <c r="ACK3" t="s">
        <v>92</v>
      </c>
      <c r="ACL3" t="s">
        <v>93</v>
      </c>
      <c r="ACM3" t="s">
        <v>94</v>
      </c>
      <c r="ACN3" t="s">
        <v>95</v>
      </c>
      <c r="ACO3" t="s">
        <v>96</v>
      </c>
      <c r="ACP3" t="s">
        <v>97</v>
      </c>
      <c r="ACQ3" t="s">
        <v>98</v>
      </c>
      <c r="ACR3" t="s">
        <v>99</v>
      </c>
      <c r="ACS3" t="s">
        <v>100</v>
      </c>
      <c r="ACT3" t="s">
        <v>101</v>
      </c>
      <c r="ACU3" t="s">
        <v>102</v>
      </c>
      <c r="ACV3" t="s">
        <v>103</v>
      </c>
      <c r="ACW3" t="s">
        <v>104</v>
      </c>
      <c r="ACX3" t="s">
        <v>105</v>
      </c>
      <c r="ACY3" t="s">
        <v>106</v>
      </c>
      <c r="ACZ3" t="s">
        <v>107</v>
      </c>
      <c r="ADA3" t="s">
        <v>108</v>
      </c>
      <c r="ADB3" t="s">
        <v>109</v>
      </c>
      <c r="ADC3" t="s">
        <v>110</v>
      </c>
      <c r="ADD3" t="s">
        <v>111</v>
      </c>
      <c r="ADE3" t="s">
        <v>112</v>
      </c>
      <c r="ADF3" t="s">
        <v>113</v>
      </c>
      <c r="ADG3" t="s">
        <v>114</v>
      </c>
      <c r="ADH3" s="130"/>
      <c r="ADI3" t="s">
        <v>968</v>
      </c>
      <c r="ADJ3" t="s">
        <v>969</v>
      </c>
      <c r="ADK3" t="s">
        <v>970</v>
      </c>
      <c r="ADL3" t="s">
        <v>971</v>
      </c>
      <c r="ADM3" t="s">
        <v>972</v>
      </c>
      <c r="ADN3" t="s">
        <v>973</v>
      </c>
      <c r="ADO3" t="s">
        <v>974</v>
      </c>
      <c r="ADP3" t="s">
        <v>975</v>
      </c>
      <c r="ADQ3" t="s">
        <v>976</v>
      </c>
      <c r="ADR3" t="s">
        <v>977</v>
      </c>
      <c r="ADS3" t="s">
        <v>978</v>
      </c>
      <c r="ADT3" t="s">
        <v>979</v>
      </c>
      <c r="ADU3" t="s">
        <v>980</v>
      </c>
      <c r="ADV3" t="s">
        <v>981</v>
      </c>
      <c r="ADW3" t="s">
        <v>982</v>
      </c>
      <c r="ADX3" t="s">
        <v>983</v>
      </c>
      <c r="ADY3" t="s">
        <v>984</v>
      </c>
      <c r="ADZ3" t="s">
        <v>985</v>
      </c>
      <c r="AEA3" t="s">
        <v>986</v>
      </c>
      <c r="AEB3" t="s">
        <v>987</v>
      </c>
      <c r="AEC3" t="s">
        <v>988</v>
      </c>
      <c r="AED3" t="s">
        <v>989</v>
      </c>
      <c r="AEE3" t="s">
        <v>990</v>
      </c>
      <c r="AEF3" t="s">
        <v>991</v>
      </c>
      <c r="AEG3" t="s">
        <v>992</v>
      </c>
      <c r="AEH3" t="s">
        <v>993</v>
      </c>
      <c r="AEI3" t="s">
        <v>994</v>
      </c>
      <c r="AEJ3" t="s">
        <v>995</v>
      </c>
      <c r="AEK3" t="s">
        <v>996</v>
      </c>
      <c r="AEL3" t="s">
        <v>997</v>
      </c>
      <c r="AEM3" s="130" t="s">
        <v>935</v>
      </c>
      <c r="AEN3" t="s">
        <v>510</v>
      </c>
      <c r="AEO3" t="s">
        <v>511</v>
      </c>
      <c r="AEP3" t="s">
        <v>512</v>
      </c>
      <c r="AEQ3" t="s">
        <v>513</v>
      </c>
      <c r="AER3" t="s">
        <v>514</v>
      </c>
      <c r="AES3" t="s">
        <v>515</v>
      </c>
      <c r="AET3" t="s">
        <v>516</v>
      </c>
      <c r="AEU3" t="s">
        <v>517</v>
      </c>
      <c r="AEV3" t="s">
        <v>518</v>
      </c>
      <c r="AEW3" t="s">
        <v>519</v>
      </c>
      <c r="AEX3" t="s">
        <v>520</v>
      </c>
      <c r="AEY3" t="s">
        <v>521</v>
      </c>
      <c r="AEZ3" t="s">
        <v>522</v>
      </c>
      <c r="AFA3" t="s">
        <v>523</v>
      </c>
      <c r="AFB3" t="s">
        <v>524</v>
      </c>
      <c r="AFC3" t="s">
        <v>525</v>
      </c>
      <c r="AFD3" t="s">
        <v>526</v>
      </c>
      <c r="AFE3" t="s">
        <v>527</v>
      </c>
      <c r="AFF3" t="s">
        <v>528</v>
      </c>
      <c r="AFG3" t="s">
        <v>529</v>
      </c>
      <c r="AFH3" t="s">
        <v>530</v>
      </c>
      <c r="AFI3" t="s">
        <v>531</v>
      </c>
      <c r="AFJ3" t="s">
        <v>532</v>
      </c>
      <c r="AFK3" t="s">
        <v>533</v>
      </c>
      <c r="AFL3" t="s">
        <v>534</v>
      </c>
      <c r="AFM3" t="s">
        <v>535</v>
      </c>
      <c r="AFN3" t="s">
        <v>536</v>
      </c>
      <c r="AFO3" t="s">
        <v>537</v>
      </c>
      <c r="AFP3" t="s">
        <v>538</v>
      </c>
      <c r="AFQ3" t="s">
        <v>539</v>
      </c>
      <c r="AFR3" t="s">
        <v>540</v>
      </c>
      <c r="AFS3" s="130" t="s">
        <v>782</v>
      </c>
      <c r="AFT3" t="s">
        <v>541</v>
      </c>
      <c r="AFU3" t="s">
        <v>542</v>
      </c>
      <c r="AFV3" t="s">
        <v>543</v>
      </c>
      <c r="AFW3" t="s">
        <v>544</v>
      </c>
      <c r="AFX3" t="s">
        <v>545</v>
      </c>
      <c r="AFY3" t="s">
        <v>546</v>
      </c>
      <c r="AFZ3" t="s">
        <v>547</v>
      </c>
      <c r="AGA3" t="s">
        <v>548</v>
      </c>
      <c r="AGB3" t="s">
        <v>549</v>
      </c>
      <c r="AGC3" t="s">
        <v>550</v>
      </c>
      <c r="AGD3" t="s">
        <v>551</v>
      </c>
      <c r="AGE3" t="s">
        <v>552</v>
      </c>
      <c r="AGF3" t="s">
        <v>553</v>
      </c>
      <c r="AGG3" t="s">
        <v>554</v>
      </c>
      <c r="AGH3" t="s">
        <v>555</v>
      </c>
      <c r="AGI3" t="s">
        <v>556</v>
      </c>
      <c r="AGJ3" t="s">
        <v>557</v>
      </c>
      <c r="AGK3" t="s">
        <v>558</v>
      </c>
      <c r="AGL3" t="s">
        <v>559</v>
      </c>
      <c r="AGM3" t="s">
        <v>560</v>
      </c>
      <c r="AGN3" t="s">
        <v>561</v>
      </c>
      <c r="AGO3" t="s">
        <v>562</v>
      </c>
      <c r="AGP3" t="s">
        <v>563</v>
      </c>
      <c r="AGQ3" t="s">
        <v>564</v>
      </c>
      <c r="AGR3" t="s">
        <v>565</v>
      </c>
      <c r="AGS3" t="s">
        <v>566</v>
      </c>
      <c r="AGT3" t="s">
        <v>567</v>
      </c>
      <c r="AGU3" t="s">
        <v>568</v>
      </c>
      <c r="AGV3" t="s">
        <v>569</v>
      </c>
      <c r="AGW3" t="s">
        <v>570</v>
      </c>
      <c r="AGX3" s="130" t="s">
        <v>782</v>
      </c>
      <c r="AGY3" t="s">
        <v>571</v>
      </c>
      <c r="AGZ3" t="s">
        <v>572</v>
      </c>
      <c r="AHA3" t="s">
        <v>573</v>
      </c>
      <c r="AHB3" t="s">
        <v>574</v>
      </c>
      <c r="AHC3" t="s">
        <v>575</v>
      </c>
      <c r="AHD3" t="s">
        <v>576</v>
      </c>
      <c r="AHE3" t="s">
        <v>577</v>
      </c>
      <c r="AHF3" t="s">
        <v>578</v>
      </c>
      <c r="AHG3" t="s">
        <v>579</v>
      </c>
      <c r="AHH3" t="s">
        <v>580</v>
      </c>
      <c r="AHI3" t="s">
        <v>581</v>
      </c>
      <c r="AHJ3" t="s">
        <v>582</v>
      </c>
      <c r="AHK3" t="s">
        <v>583</v>
      </c>
      <c r="AHL3" t="s">
        <v>584</v>
      </c>
      <c r="AHM3" t="s">
        <v>585</v>
      </c>
      <c r="AHN3" t="s">
        <v>586</v>
      </c>
      <c r="AHO3" t="s">
        <v>587</v>
      </c>
      <c r="AHP3" t="s">
        <v>588</v>
      </c>
      <c r="AHQ3" t="s">
        <v>589</v>
      </c>
      <c r="AHR3" t="s">
        <v>590</v>
      </c>
      <c r="AHS3" t="s">
        <v>591</v>
      </c>
      <c r="AHT3" t="s">
        <v>592</v>
      </c>
      <c r="AHU3" t="s">
        <v>593</v>
      </c>
      <c r="AHV3" t="s">
        <v>594</v>
      </c>
      <c r="AHW3" t="s">
        <v>595</v>
      </c>
      <c r="AHX3" t="s">
        <v>596</v>
      </c>
      <c r="AHY3" t="s">
        <v>597</v>
      </c>
      <c r="AHZ3" t="s">
        <v>598</v>
      </c>
      <c r="AIA3" t="s">
        <v>599</v>
      </c>
      <c r="AIB3" t="s">
        <v>600</v>
      </c>
      <c r="AIC3" t="s">
        <v>601</v>
      </c>
      <c r="AID3" s="130" t="s">
        <v>782</v>
      </c>
      <c r="AIE3" t="s">
        <v>998</v>
      </c>
      <c r="AIF3" t="s">
        <v>999</v>
      </c>
      <c r="AIG3" t="s">
        <v>1000</v>
      </c>
      <c r="AIH3" t="s">
        <v>1001</v>
      </c>
      <c r="AII3" t="s">
        <v>1002</v>
      </c>
      <c r="AIJ3" t="s">
        <v>1003</v>
      </c>
      <c r="AIK3" t="s">
        <v>1004</v>
      </c>
      <c r="AIL3" t="s">
        <v>1005</v>
      </c>
      <c r="AIM3" t="s">
        <v>1006</v>
      </c>
      <c r="AIN3" t="s">
        <v>1007</v>
      </c>
      <c r="AIO3" t="s">
        <v>1008</v>
      </c>
      <c r="AIP3" t="s">
        <v>1009</v>
      </c>
      <c r="AIQ3" t="s">
        <v>1010</v>
      </c>
      <c r="AIR3" t="s">
        <v>1011</v>
      </c>
      <c r="AIS3" t="s">
        <v>1012</v>
      </c>
      <c r="AIT3" t="s">
        <v>1013</v>
      </c>
      <c r="AIU3" t="s">
        <v>1014</v>
      </c>
      <c r="AIV3" t="s">
        <v>1015</v>
      </c>
      <c r="AIW3" t="s">
        <v>1016</v>
      </c>
      <c r="AIX3" t="s">
        <v>1017</v>
      </c>
      <c r="AIY3" t="s">
        <v>1018</v>
      </c>
      <c r="AIZ3" t="s">
        <v>1019</v>
      </c>
      <c r="AJA3" t="s">
        <v>1020</v>
      </c>
      <c r="AJB3" t="s">
        <v>1021</v>
      </c>
      <c r="AJC3" t="s">
        <v>1022</v>
      </c>
      <c r="AJD3" t="s">
        <v>1023</v>
      </c>
      <c r="AJE3" t="s">
        <v>1024</v>
      </c>
      <c r="AJF3" t="s">
        <v>1025</v>
      </c>
      <c r="AJG3" t="s">
        <v>1026</v>
      </c>
      <c r="AJH3" t="s">
        <v>1027</v>
      </c>
      <c r="AJI3" t="s">
        <v>1028</v>
      </c>
      <c r="AJJ3" s="130" t="s">
        <v>782</v>
      </c>
      <c r="AJK3" t="s">
        <v>633</v>
      </c>
      <c r="AJL3" t="s">
        <v>634</v>
      </c>
      <c r="AJM3" t="s">
        <v>635</v>
      </c>
      <c r="AJN3" t="s">
        <v>636</v>
      </c>
      <c r="AJO3" t="s">
        <v>637</v>
      </c>
      <c r="AJP3" t="s">
        <v>638</v>
      </c>
      <c r="AJQ3" t="s">
        <v>639</v>
      </c>
      <c r="AJR3" t="s">
        <v>640</v>
      </c>
      <c r="AJS3" t="s">
        <v>641</v>
      </c>
      <c r="AJT3" t="s">
        <v>642</v>
      </c>
      <c r="AJU3" t="s">
        <v>643</v>
      </c>
      <c r="AJV3" t="s">
        <v>644</v>
      </c>
      <c r="AJW3" t="s">
        <v>645</v>
      </c>
      <c r="AJX3" t="s">
        <v>646</v>
      </c>
      <c r="AJY3" t="s">
        <v>647</v>
      </c>
      <c r="AJZ3" t="s">
        <v>648</v>
      </c>
      <c r="AKA3" t="s">
        <v>649</v>
      </c>
      <c r="AKB3" t="s">
        <v>650</v>
      </c>
      <c r="AKC3" t="s">
        <v>651</v>
      </c>
      <c r="AKD3" t="s">
        <v>652</v>
      </c>
      <c r="AKE3" t="s">
        <v>653</v>
      </c>
      <c r="AKF3" t="s">
        <v>654</v>
      </c>
      <c r="AKG3" t="s">
        <v>655</v>
      </c>
      <c r="AKH3" t="s">
        <v>656</v>
      </c>
      <c r="AKI3" t="s">
        <v>657</v>
      </c>
      <c r="AKJ3" t="s">
        <v>658</v>
      </c>
      <c r="AKK3" t="s">
        <v>659</v>
      </c>
      <c r="AKL3" t="s">
        <v>660</v>
      </c>
      <c r="AKM3" s="130" t="s">
        <v>782</v>
      </c>
      <c r="AKN3" t="s">
        <v>661</v>
      </c>
      <c r="AKO3" t="s">
        <v>662</v>
      </c>
      <c r="AKP3" t="s">
        <v>663</v>
      </c>
      <c r="AKQ3" t="s">
        <v>664</v>
      </c>
      <c r="AKR3" t="s">
        <v>665</v>
      </c>
      <c r="AKS3" t="s">
        <v>666</v>
      </c>
      <c r="AKT3" t="s">
        <v>667</v>
      </c>
      <c r="AKU3" t="s">
        <v>668</v>
      </c>
      <c r="AKV3" t="s">
        <v>669</v>
      </c>
      <c r="AKW3" t="s">
        <v>670</v>
      </c>
      <c r="AKX3" t="s">
        <v>671</v>
      </c>
      <c r="AKY3" t="s">
        <v>672</v>
      </c>
      <c r="AKZ3" t="s">
        <v>673</v>
      </c>
      <c r="ALA3" t="s">
        <v>674</v>
      </c>
      <c r="ALB3" t="s">
        <v>675</v>
      </c>
      <c r="ALC3" t="s">
        <v>676</v>
      </c>
      <c r="ALD3" t="s">
        <v>677</v>
      </c>
      <c r="ALE3" t="s">
        <v>678</v>
      </c>
      <c r="ALF3" t="s">
        <v>679</v>
      </c>
      <c r="ALG3" t="s">
        <v>680</v>
      </c>
      <c r="ALH3" t="s">
        <v>681</v>
      </c>
      <c r="ALI3" t="s">
        <v>682</v>
      </c>
      <c r="ALJ3" t="s">
        <v>683</v>
      </c>
      <c r="ALK3" t="s">
        <v>684</v>
      </c>
      <c r="ALL3" t="s">
        <v>685</v>
      </c>
      <c r="ALM3" t="s">
        <v>686</v>
      </c>
      <c r="ALN3" t="s">
        <v>687</v>
      </c>
      <c r="ALO3" t="s">
        <v>688</v>
      </c>
      <c r="ALP3" t="s">
        <v>689</v>
      </c>
      <c r="ALQ3" t="s">
        <v>690</v>
      </c>
      <c r="ALR3" t="s">
        <v>691</v>
      </c>
      <c r="ALS3" s="130" t="s">
        <v>782</v>
      </c>
      <c r="ALT3" t="s">
        <v>1029</v>
      </c>
      <c r="ALU3" t="s">
        <v>1030</v>
      </c>
      <c r="ALV3" t="s">
        <v>1031</v>
      </c>
      <c r="ALW3" t="s">
        <v>1032</v>
      </c>
      <c r="ALX3" t="s">
        <v>1033</v>
      </c>
      <c r="ALY3" t="s">
        <v>1034</v>
      </c>
      <c r="ALZ3" t="s">
        <v>1035</v>
      </c>
      <c r="AMA3" t="s">
        <v>1036</v>
      </c>
      <c r="AMB3" t="s">
        <v>1037</v>
      </c>
      <c r="AMC3" t="s">
        <v>1038</v>
      </c>
      <c r="AMD3" t="s">
        <v>1039</v>
      </c>
      <c r="AME3" t="s">
        <v>1040</v>
      </c>
      <c r="AMF3" t="s">
        <v>1041</v>
      </c>
      <c r="AMG3" t="s">
        <v>1042</v>
      </c>
      <c r="AMH3" t="s">
        <v>1043</v>
      </c>
      <c r="AMI3" t="s">
        <v>1044</v>
      </c>
      <c r="AMJ3" t="s">
        <v>1045</v>
      </c>
      <c r="AMK3" t="s">
        <v>1046</v>
      </c>
      <c r="AML3" t="s">
        <v>1047</v>
      </c>
      <c r="AMM3" t="s">
        <v>1048</v>
      </c>
      <c r="AMN3" t="s">
        <v>1049</v>
      </c>
      <c r="AMO3" t="s">
        <v>1050</v>
      </c>
      <c r="AMP3" t="s">
        <v>1051</v>
      </c>
      <c r="AMQ3" t="s">
        <v>1052</v>
      </c>
      <c r="AMR3" t="s">
        <v>1053</v>
      </c>
      <c r="AMS3" t="s">
        <v>1054</v>
      </c>
      <c r="AMT3" t="s">
        <v>1055</v>
      </c>
      <c r="AMU3" t="s">
        <v>1056</v>
      </c>
      <c r="AMV3" t="s">
        <v>1057</v>
      </c>
      <c r="AMW3" t="s">
        <v>1058</v>
      </c>
      <c r="AMX3" s="130" t="s">
        <v>782</v>
      </c>
      <c r="AMY3" t="s">
        <v>1059</v>
      </c>
      <c r="AMZ3" t="s">
        <v>1060</v>
      </c>
      <c r="ANA3" t="s">
        <v>1061</v>
      </c>
      <c r="ANB3" t="s">
        <v>1062</v>
      </c>
      <c r="ANC3" t="s">
        <v>1063</v>
      </c>
      <c r="AND3" t="s">
        <v>1064</v>
      </c>
      <c r="ANE3" t="s">
        <v>1065</v>
      </c>
      <c r="ANF3" t="s">
        <v>1066</v>
      </c>
      <c r="ANG3" t="s">
        <v>1067</v>
      </c>
      <c r="ANH3" t="s">
        <v>1068</v>
      </c>
      <c r="ANI3" t="s">
        <v>1069</v>
      </c>
      <c r="ANJ3" t="s">
        <v>1070</v>
      </c>
      <c r="ANK3" t="s">
        <v>1071</v>
      </c>
      <c r="ANL3" t="s">
        <v>1072</v>
      </c>
      <c r="ANM3" t="s">
        <v>1073</v>
      </c>
      <c r="ANN3" t="s">
        <v>1074</v>
      </c>
      <c r="ANO3" t="s">
        <v>1075</v>
      </c>
      <c r="ANP3" t="s">
        <v>1076</v>
      </c>
      <c r="ANQ3" t="s">
        <v>1077</v>
      </c>
      <c r="ANR3" t="s">
        <v>1078</v>
      </c>
      <c r="ANS3" t="s">
        <v>1079</v>
      </c>
      <c r="ANT3" t="s">
        <v>1080</v>
      </c>
      <c r="ANU3" t="s">
        <v>1081</v>
      </c>
      <c r="ANV3" t="s">
        <v>1082</v>
      </c>
      <c r="ANW3" t="s">
        <v>1083</v>
      </c>
      <c r="ANX3" t="s">
        <v>1084</v>
      </c>
      <c r="ANY3" t="s">
        <v>1085</v>
      </c>
      <c r="ANZ3" t="s">
        <v>1086</v>
      </c>
      <c r="AOA3" t="s">
        <v>1087</v>
      </c>
      <c r="AOB3" t="s">
        <v>1088</v>
      </c>
      <c r="AOC3" t="s">
        <v>753</v>
      </c>
    </row>
    <row r="4" spans="1:1069" x14ac:dyDescent="0.2">
      <c r="A4" s="38" t="s">
        <v>1089</v>
      </c>
      <c r="B4" s="39">
        <v>1656008</v>
      </c>
      <c r="C4" s="39">
        <v>1896485</v>
      </c>
      <c r="D4" s="39">
        <v>1900500</v>
      </c>
      <c r="E4" s="39">
        <v>1307000</v>
      </c>
      <c r="F4" s="39">
        <v>1320600</v>
      </c>
      <c r="G4" s="39">
        <v>1245000</v>
      </c>
      <c r="H4" s="39">
        <v>1337725</v>
      </c>
      <c r="I4" s="39">
        <v>931700</v>
      </c>
      <c r="J4" s="39">
        <v>1315000</v>
      </c>
      <c r="K4" s="39">
        <v>1250500</v>
      </c>
      <c r="L4" s="39">
        <v>911563</v>
      </c>
      <c r="M4" s="39">
        <v>1656000</v>
      </c>
      <c r="N4" s="39">
        <v>842000</v>
      </c>
      <c r="O4" s="39">
        <v>667000</v>
      </c>
      <c r="P4" s="39">
        <v>1099000</v>
      </c>
      <c r="Q4" s="39">
        <v>802000</v>
      </c>
      <c r="R4" s="39">
        <v>1051000</v>
      </c>
      <c r="S4" s="39">
        <v>1177000</v>
      </c>
      <c r="T4" s="39">
        <v>766000</v>
      </c>
      <c r="U4" s="39">
        <v>610500</v>
      </c>
      <c r="V4" s="39">
        <v>2100000</v>
      </c>
      <c r="W4" s="39">
        <v>1108000</v>
      </c>
      <c r="X4" s="39">
        <v>2044000</v>
      </c>
      <c r="Y4" s="39">
        <v>2241654</v>
      </c>
      <c r="Z4" s="39">
        <v>1168000</v>
      </c>
      <c r="AA4" s="39">
        <v>1201200</v>
      </c>
      <c r="AB4" s="39">
        <v>771400</v>
      </c>
      <c r="AC4" s="39">
        <v>645000</v>
      </c>
      <c r="AD4" s="39">
        <v>491000</v>
      </c>
      <c r="AE4" s="39">
        <v>731000</v>
      </c>
      <c r="AF4" s="39">
        <v>1242000</v>
      </c>
      <c r="AG4" s="100">
        <f>SUM(B4:AF4)</f>
        <v>37485835</v>
      </c>
      <c r="AH4" s="91">
        <v>608500</v>
      </c>
      <c r="AI4" s="91">
        <v>834000</v>
      </c>
      <c r="AJ4" s="91">
        <v>1216886</v>
      </c>
      <c r="AK4" s="91">
        <v>2198000</v>
      </c>
      <c r="AL4" s="91">
        <v>1906595</v>
      </c>
      <c r="AM4" s="91">
        <v>1435300</v>
      </c>
      <c r="AN4" s="91">
        <v>1208000</v>
      </c>
      <c r="AO4" s="91">
        <v>2029000</v>
      </c>
      <c r="AP4" s="91">
        <v>1333600</v>
      </c>
      <c r="AQ4" s="91">
        <v>1128600</v>
      </c>
      <c r="AR4" s="91">
        <v>1288100</v>
      </c>
      <c r="AS4" s="91">
        <v>671000</v>
      </c>
      <c r="AT4" s="91">
        <v>869000</v>
      </c>
      <c r="AU4" s="91">
        <v>1012400</v>
      </c>
      <c r="AV4" s="91">
        <v>1722800</v>
      </c>
      <c r="AW4" s="91">
        <v>1033000</v>
      </c>
      <c r="AX4" s="91">
        <v>480000</v>
      </c>
      <c r="AY4" s="91">
        <v>1244000</v>
      </c>
      <c r="AZ4" s="91">
        <v>2092000</v>
      </c>
      <c r="BA4" s="91">
        <v>692000</v>
      </c>
      <c r="BB4" s="91">
        <v>1152500</v>
      </c>
      <c r="BC4" s="91">
        <v>1122300</v>
      </c>
      <c r="BD4" s="91">
        <v>1436500</v>
      </c>
      <c r="BE4" s="91">
        <v>1322100</v>
      </c>
      <c r="BF4" s="91">
        <v>1458000</v>
      </c>
      <c r="BG4" s="91">
        <v>854800</v>
      </c>
      <c r="BH4" s="91">
        <v>782000</v>
      </c>
      <c r="BI4" s="91">
        <v>684560</v>
      </c>
      <c r="BJ4" s="91">
        <v>1953463</v>
      </c>
      <c r="BK4" s="91">
        <v>1323600</v>
      </c>
      <c r="BL4" s="82">
        <f>SUM(AH4:BK4)</f>
        <v>37092604</v>
      </c>
      <c r="BM4" s="108">
        <v>1047000</v>
      </c>
      <c r="BN4" s="108">
        <v>1627000</v>
      </c>
      <c r="BO4" s="108">
        <v>1751000</v>
      </c>
      <c r="BP4" s="108">
        <v>1141000</v>
      </c>
      <c r="BQ4" s="108">
        <v>511000</v>
      </c>
      <c r="BR4" s="108">
        <v>1372312</v>
      </c>
      <c r="BS4" s="108">
        <v>1370000</v>
      </c>
      <c r="BT4" s="108">
        <v>158000</v>
      </c>
      <c r="BU4" s="108">
        <v>974700</v>
      </c>
      <c r="BV4" s="108">
        <v>951750</v>
      </c>
      <c r="BW4" s="108">
        <v>832000</v>
      </c>
      <c r="BX4" s="108">
        <v>973000</v>
      </c>
      <c r="BY4" s="108">
        <v>1484500</v>
      </c>
      <c r="BZ4" s="108">
        <v>2322000</v>
      </c>
      <c r="CA4" s="108">
        <v>1078000</v>
      </c>
      <c r="CB4" s="108">
        <v>1190000</v>
      </c>
      <c r="CC4" s="108">
        <v>847000</v>
      </c>
      <c r="CD4" s="108">
        <v>383000</v>
      </c>
      <c r="CE4" s="108">
        <v>1761170</v>
      </c>
      <c r="CF4" s="108">
        <v>723000</v>
      </c>
      <c r="CG4" s="108">
        <v>1178980</v>
      </c>
      <c r="CH4" s="108">
        <v>1037000</v>
      </c>
      <c r="CI4" s="108">
        <v>766500</v>
      </c>
      <c r="CJ4" s="108">
        <v>1736000</v>
      </c>
      <c r="CK4" s="108">
        <v>917000</v>
      </c>
      <c r="CL4" s="108">
        <v>1370000</v>
      </c>
      <c r="CM4" s="108">
        <v>1496000</v>
      </c>
      <c r="CN4" s="108">
        <v>1106000</v>
      </c>
      <c r="CO4" s="108">
        <v>1061552</v>
      </c>
      <c r="CP4" s="108">
        <v>1350421</v>
      </c>
      <c r="CQ4" s="108">
        <v>803000</v>
      </c>
      <c r="CR4" s="82">
        <f>SUM(BM4:CQ4)</f>
        <v>35319885</v>
      </c>
      <c r="CS4" s="95">
        <v>2575000</v>
      </c>
      <c r="CT4" s="95">
        <v>1032512</v>
      </c>
      <c r="CU4" s="95">
        <v>1549453</v>
      </c>
      <c r="CV4" s="95">
        <v>1163078</v>
      </c>
      <c r="CW4" s="95">
        <v>1572000</v>
      </c>
      <c r="CX4" s="95">
        <v>1357500</v>
      </c>
      <c r="CY4" s="95">
        <v>1145000</v>
      </c>
      <c r="CZ4" s="95">
        <v>711000</v>
      </c>
      <c r="DA4" s="95">
        <v>630000</v>
      </c>
      <c r="DB4" s="95">
        <v>1686000</v>
      </c>
      <c r="DC4" s="95">
        <v>842000</v>
      </c>
      <c r="DD4" s="95">
        <v>565969</v>
      </c>
      <c r="DE4" s="95">
        <v>1019000</v>
      </c>
      <c r="DF4" s="95">
        <v>1122842</v>
      </c>
      <c r="DG4" s="95">
        <v>1012000</v>
      </c>
      <c r="DH4" s="95">
        <v>773000</v>
      </c>
      <c r="DI4" s="95">
        <v>1700200</v>
      </c>
      <c r="DJ4" s="95">
        <v>1580000</v>
      </c>
      <c r="DK4" s="95">
        <v>684000</v>
      </c>
      <c r="DL4" s="95">
        <v>1780218</v>
      </c>
      <c r="DM4" s="95">
        <v>1258000</v>
      </c>
      <c r="DN4" s="95">
        <v>1173082</v>
      </c>
      <c r="DO4" s="95">
        <v>1887050</v>
      </c>
      <c r="DP4" s="95">
        <v>1415000</v>
      </c>
      <c r="DQ4" s="95">
        <v>2460200</v>
      </c>
      <c r="DR4" s="95">
        <v>1009258</v>
      </c>
      <c r="DS4" s="95">
        <v>2444200</v>
      </c>
      <c r="DT4" s="95">
        <v>1119653</v>
      </c>
      <c r="DU4" s="95">
        <v>1084650</v>
      </c>
      <c r="DV4" s="95">
        <v>1015000</v>
      </c>
      <c r="DW4" s="82">
        <f>SUM(CS4:DV4)</f>
        <v>39366865</v>
      </c>
      <c r="DX4" s="95">
        <v>894200</v>
      </c>
      <c r="DY4" s="95">
        <v>1658286</v>
      </c>
      <c r="DZ4" s="95">
        <v>708900</v>
      </c>
      <c r="EA4" s="95">
        <v>610000</v>
      </c>
      <c r="EB4" s="95">
        <v>1304500</v>
      </c>
      <c r="EC4" s="95">
        <v>1055000</v>
      </c>
      <c r="ED4" s="95">
        <v>811000</v>
      </c>
      <c r="EE4" s="95">
        <v>1426100</v>
      </c>
      <c r="EF4" s="95">
        <v>1220000</v>
      </c>
      <c r="EG4" s="95">
        <v>1530000</v>
      </c>
      <c r="EH4" s="95">
        <v>1299000</v>
      </c>
      <c r="EI4" s="95">
        <v>1527610</v>
      </c>
      <c r="EJ4" s="95">
        <v>1136000</v>
      </c>
      <c r="EK4" s="95">
        <v>850000</v>
      </c>
      <c r="EL4" s="95">
        <v>1403011</v>
      </c>
      <c r="EM4" s="95">
        <v>1591859</v>
      </c>
      <c r="EN4" s="95">
        <v>1323950</v>
      </c>
      <c r="EO4" s="95">
        <v>2499000</v>
      </c>
      <c r="EP4" s="95">
        <v>1147000</v>
      </c>
      <c r="EQ4" s="95">
        <v>632400</v>
      </c>
      <c r="ER4" s="95">
        <v>1138000</v>
      </c>
      <c r="ES4" s="95">
        <v>1527865</v>
      </c>
      <c r="ET4" s="95">
        <v>1924000</v>
      </c>
      <c r="EU4" s="95">
        <v>1501128</v>
      </c>
      <c r="EV4" s="95">
        <v>1240000</v>
      </c>
      <c r="EW4" s="95">
        <v>1299000</v>
      </c>
      <c r="EX4" s="95">
        <v>851000</v>
      </c>
      <c r="EY4" s="95">
        <v>1338078</v>
      </c>
      <c r="EZ4" s="95">
        <v>1748500</v>
      </c>
      <c r="FA4" s="95">
        <v>1992021</v>
      </c>
      <c r="FB4" s="95">
        <v>1585000</v>
      </c>
      <c r="FC4" s="128">
        <f>SUM(DX4:FB4)</f>
        <v>40772408</v>
      </c>
      <c r="FD4" s="95">
        <v>1823895</v>
      </c>
      <c r="FE4" s="95">
        <v>1199000</v>
      </c>
      <c r="FF4" s="95">
        <v>1462000</v>
      </c>
      <c r="FG4" s="95">
        <v>600000</v>
      </c>
      <c r="FH4" s="95">
        <v>445000</v>
      </c>
      <c r="FI4" s="95">
        <v>733000</v>
      </c>
      <c r="FJ4" s="95">
        <v>1637000</v>
      </c>
      <c r="FK4" s="95">
        <v>1143500</v>
      </c>
      <c r="FL4" s="95">
        <v>967000</v>
      </c>
      <c r="FM4" s="95">
        <v>1801689</v>
      </c>
      <c r="FN4" s="95">
        <v>1132600</v>
      </c>
      <c r="FO4" s="95">
        <v>949000</v>
      </c>
      <c r="FP4" s="95">
        <v>1347000</v>
      </c>
      <c r="FQ4" s="95">
        <v>2005000</v>
      </c>
      <c r="FR4" s="95">
        <v>1237000</v>
      </c>
      <c r="FS4" s="95">
        <v>902000</v>
      </c>
      <c r="FT4" s="95">
        <v>1289000</v>
      </c>
      <c r="FU4" s="95">
        <v>1318000</v>
      </c>
      <c r="FV4" s="95">
        <v>665000</v>
      </c>
      <c r="FW4" s="95">
        <v>1365500</v>
      </c>
      <c r="FX4" s="95">
        <v>1156979</v>
      </c>
      <c r="FY4" s="95">
        <v>895000</v>
      </c>
      <c r="FZ4" s="95">
        <v>1785682</v>
      </c>
      <c r="GA4" s="95">
        <v>719000</v>
      </c>
      <c r="GB4" s="95">
        <v>1006000</v>
      </c>
      <c r="GC4" s="95">
        <v>1835092</v>
      </c>
      <c r="GD4" s="95">
        <v>1320000</v>
      </c>
      <c r="GE4" s="95">
        <v>2044500</v>
      </c>
      <c r="GF4" s="95">
        <v>1124000</v>
      </c>
      <c r="GG4" s="95">
        <v>736000</v>
      </c>
      <c r="GH4" s="95">
        <v>2328000</v>
      </c>
      <c r="GI4" s="82">
        <f>SUM(FD4:GH4)</f>
        <v>38972437</v>
      </c>
      <c r="GJ4" s="95">
        <v>642000</v>
      </c>
      <c r="GK4" s="95">
        <v>774000</v>
      </c>
      <c r="GL4" s="95">
        <v>1126300</v>
      </c>
      <c r="GM4" s="95">
        <v>555000</v>
      </c>
      <c r="GN4" s="95">
        <v>1010000</v>
      </c>
      <c r="GO4" s="95">
        <v>1627300</v>
      </c>
      <c r="GP4" s="95">
        <v>1329000</v>
      </c>
      <c r="GQ4" s="95">
        <v>1568000</v>
      </c>
      <c r="GR4" s="95">
        <v>1248000</v>
      </c>
      <c r="GS4" s="95">
        <v>1427000</v>
      </c>
      <c r="GT4" s="95">
        <v>986912</v>
      </c>
      <c r="GU4" s="95">
        <v>643000</v>
      </c>
      <c r="GV4" s="95">
        <v>1649922</v>
      </c>
      <c r="GW4" s="95">
        <v>706000</v>
      </c>
      <c r="GX4" s="95">
        <v>804608</v>
      </c>
      <c r="GY4" s="95">
        <v>1237000</v>
      </c>
      <c r="GZ4" s="95">
        <v>2156432</v>
      </c>
      <c r="HA4" s="95">
        <v>1381061</v>
      </c>
      <c r="HB4" s="95">
        <v>1128000</v>
      </c>
      <c r="HC4" s="95">
        <v>1363000</v>
      </c>
      <c r="HD4" s="95">
        <v>830000</v>
      </c>
      <c r="HE4" s="95">
        <v>840000</v>
      </c>
      <c r="HF4" s="95">
        <v>2185450</v>
      </c>
      <c r="HG4" s="95">
        <v>576000</v>
      </c>
      <c r="HH4" s="95">
        <v>557000</v>
      </c>
      <c r="HI4" s="95">
        <v>468000</v>
      </c>
      <c r="HJ4" s="95">
        <v>789000</v>
      </c>
      <c r="HK4" s="95">
        <v>1208817</v>
      </c>
      <c r="HL4" s="95">
        <v>426000</v>
      </c>
      <c r="HM4" s="133">
        <f>SUM(GJ4:HL4)</f>
        <v>31242802</v>
      </c>
      <c r="HN4" s="95">
        <v>880000</v>
      </c>
      <c r="HO4" s="95">
        <v>1598000</v>
      </c>
      <c r="HP4" s="95">
        <v>1206000</v>
      </c>
      <c r="HQ4" s="95">
        <v>1775232</v>
      </c>
      <c r="HR4" s="95">
        <v>1131700</v>
      </c>
      <c r="HS4" s="95">
        <v>1820000</v>
      </c>
      <c r="HT4" s="95">
        <v>2131900</v>
      </c>
      <c r="HU4" s="95">
        <v>1653900</v>
      </c>
      <c r="HV4" s="95">
        <v>713000</v>
      </c>
      <c r="HW4" s="95">
        <v>870000</v>
      </c>
      <c r="HX4" s="95">
        <v>1099000</v>
      </c>
      <c r="HY4" s="95">
        <v>1089000</v>
      </c>
      <c r="HZ4" s="95">
        <v>2110432</v>
      </c>
      <c r="IA4" s="95">
        <v>942000</v>
      </c>
      <c r="IB4" s="95">
        <v>1376000</v>
      </c>
      <c r="IC4" s="95">
        <v>1829300</v>
      </c>
      <c r="ID4" s="95">
        <v>576200</v>
      </c>
      <c r="IE4" s="95">
        <v>1260680</v>
      </c>
      <c r="IF4" s="95">
        <v>608000</v>
      </c>
      <c r="IG4" s="95">
        <v>1719836</v>
      </c>
      <c r="IH4" s="95">
        <v>677000</v>
      </c>
      <c r="II4" s="95">
        <v>1651000</v>
      </c>
      <c r="IJ4" s="95">
        <v>1404620</v>
      </c>
      <c r="IK4" s="95">
        <v>783000</v>
      </c>
      <c r="IL4" s="95">
        <v>1419000</v>
      </c>
      <c r="IM4" s="95">
        <v>1167700</v>
      </c>
      <c r="IN4" s="95">
        <v>665400</v>
      </c>
      <c r="IO4" s="95">
        <v>1703022</v>
      </c>
      <c r="IP4" s="95">
        <v>1386003</v>
      </c>
      <c r="IQ4" s="95">
        <v>508000</v>
      </c>
      <c r="IR4" s="95">
        <v>807025</v>
      </c>
      <c r="IS4" s="133">
        <f>SUM(HN4:IR4)</f>
        <v>38561950</v>
      </c>
      <c r="IT4" s="95">
        <v>223000</v>
      </c>
      <c r="IU4" s="95">
        <v>2000169</v>
      </c>
      <c r="IV4" s="95">
        <v>496000</v>
      </c>
      <c r="IW4" s="95">
        <v>785343</v>
      </c>
      <c r="IX4" s="95">
        <v>1149000</v>
      </c>
      <c r="IY4" s="95">
        <v>870000</v>
      </c>
      <c r="IZ4" s="95">
        <v>1485000</v>
      </c>
      <c r="JA4" s="95">
        <v>2238052</v>
      </c>
      <c r="JB4" s="95">
        <v>697851</v>
      </c>
      <c r="JC4" s="95">
        <v>673000</v>
      </c>
      <c r="JD4" s="95">
        <v>1672000</v>
      </c>
      <c r="JE4" s="95">
        <v>2524583</v>
      </c>
      <c r="JF4" s="95">
        <v>1073000</v>
      </c>
      <c r="JG4">
        <v>725000</v>
      </c>
      <c r="JH4" s="95">
        <v>1193000</v>
      </c>
      <c r="JI4" s="95">
        <v>837000</v>
      </c>
      <c r="JJ4" s="95">
        <v>717000</v>
      </c>
      <c r="JK4" s="95">
        <v>1095000</v>
      </c>
      <c r="JL4" s="95">
        <v>1084500</v>
      </c>
      <c r="JM4" s="95">
        <v>685000</v>
      </c>
      <c r="JN4" s="95">
        <v>1076968</v>
      </c>
      <c r="JO4" s="95">
        <v>832700</v>
      </c>
      <c r="JP4" s="95">
        <v>704000</v>
      </c>
      <c r="JQ4" s="95">
        <v>399000</v>
      </c>
      <c r="JR4" s="95">
        <v>999950</v>
      </c>
      <c r="JS4" s="95">
        <v>1296000</v>
      </c>
      <c r="JT4" s="95">
        <v>2398500</v>
      </c>
      <c r="JU4" s="95">
        <v>1230000</v>
      </c>
      <c r="JV4" s="95">
        <v>1666500</v>
      </c>
      <c r="JW4" s="95">
        <v>877000</v>
      </c>
      <c r="JX4" s="133">
        <f>SUM(IT4:JW4)</f>
        <v>33704116</v>
      </c>
      <c r="JY4" s="95">
        <v>1235700</v>
      </c>
      <c r="JZ4" s="95">
        <v>790000</v>
      </c>
      <c r="KA4" s="95">
        <v>870000</v>
      </c>
      <c r="KB4" s="95">
        <v>709000</v>
      </c>
      <c r="KC4" s="95">
        <v>1210112</v>
      </c>
      <c r="KD4" s="95">
        <v>1168000</v>
      </c>
      <c r="KE4" s="95">
        <v>1510500</v>
      </c>
      <c r="KF4" s="95">
        <v>1061750</v>
      </c>
      <c r="KG4" s="95">
        <v>1311900</v>
      </c>
      <c r="KH4" s="95">
        <v>554000</v>
      </c>
      <c r="KI4" s="95">
        <v>788000</v>
      </c>
      <c r="KJ4" s="95">
        <v>919000</v>
      </c>
      <c r="KK4" s="95">
        <v>2611400</v>
      </c>
      <c r="KL4" s="95">
        <v>878000</v>
      </c>
      <c r="KM4" s="95">
        <v>1270500</v>
      </c>
      <c r="KN4" s="95">
        <v>1827542</v>
      </c>
      <c r="KO4" s="95">
        <v>420000</v>
      </c>
      <c r="KP4" s="95">
        <v>1465000</v>
      </c>
      <c r="KQ4" s="95">
        <v>513500</v>
      </c>
      <c r="KR4" s="95">
        <v>953000</v>
      </c>
      <c r="KS4" s="95">
        <v>2302050</v>
      </c>
      <c r="KT4" s="95">
        <v>817000</v>
      </c>
      <c r="KU4" s="95">
        <v>799000</v>
      </c>
      <c r="KV4" s="95">
        <v>1117900</v>
      </c>
      <c r="KW4" s="95">
        <v>1078000</v>
      </c>
      <c r="KX4" s="95">
        <v>1481038</v>
      </c>
      <c r="KY4" s="95">
        <v>1311000</v>
      </c>
      <c r="KZ4" s="95">
        <v>1513500</v>
      </c>
      <c r="LA4" s="95">
        <v>1107250</v>
      </c>
      <c r="LB4" s="95">
        <v>540000</v>
      </c>
      <c r="LC4" s="95">
        <v>2368000</v>
      </c>
      <c r="LD4" s="133">
        <f>SUM(JY4:LC4)</f>
        <v>36501642</v>
      </c>
      <c r="LE4" s="95">
        <v>1837864</v>
      </c>
      <c r="LF4" s="95">
        <v>1156000</v>
      </c>
      <c r="LG4" s="95">
        <v>927000</v>
      </c>
      <c r="LH4" s="95">
        <v>1204000</v>
      </c>
      <c r="LI4" s="95">
        <v>1366500</v>
      </c>
      <c r="LJ4" s="95">
        <v>592500</v>
      </c>
      <c r="LK4" s="95">
        <v>1462000</v>
      </c>
      <c r="LL4" s="95">
        <v>1097931</v>
      </c>
      <c r="LM4" s="95">
        <v>790000</v>
      </c>
      <c r="LN4" s="95">
        <v>911000</v>
      </c>
      <c r="LO4" s="95">
        <v>724000</v>
      </c>
      <c r="LP4" s="95">
        <v>1050042</v>
      </c>
      <c r="LQ4" s="95">
        <v>1363000</v>
      </c>
      <c r="LR4" s="95">
        <v>1145300</v>
      </c>
      <c r="LS4" s="95">
        <v>1831000</v>
      </c>
      <c r="LT4" s="95">
        <v>1249000</v>
      </c>
      <c r="LU4" s="95">
        <v>1374000</v>
      </c>
      <c r="LV4" s="95">
        <v>1502250</v>
      </c>
      <c r="LW4" s="95">
        <v>1583500</v>
      </c>
      <c r="LX4" s="95">
        <v>1275000</v>
      </c>
      <c r="LY4" s="95">
        <v>1700014</v>
      </c>
      <c r="LZ4" s="95">
        <v>589450</v>
      </c>
      <c r="MA4" s="95">
        <v>1317000</v>
      </c>
      <c r="MB4" s="95">
        <v>546000</v>
      </c>
      <c r="MC4" s="95">
        <v>708750</v>
      </c>
      <c r="MD4" s="95">
        <v>1398198</v>
      </c>
      <c r="ME4" s="95">
        <v>697142</v>
      </c>
      <c r="MF4" s="95">
        <v>2145500</v>
      </c>
      <c r="MG4" s="95">
        <v>938500</v>
      </c>
      <c r="MH4" s="95">
        <v>960045</v>
      </c>
      <c r="MI4" s="133">
        <f>SUM(LD4:MH4)</f>
        <v>71944128</v>
      </c>
      <c r="MJ4" s="95">
        <v>1090164</v>
      </c>
      <c r="MK4" s="95">
        <v>1156500</v>
      </c>
      <c r="ML4" s="95">
        <v>593900</v>
      </c>
      <c r="MM4" s="95">
        <v>860900</v>
      </c>
      <c r="MN4" s="95">
        <v>818000</v>
      </c>
      <c r="MO4" s="95">
        <v>994000</v>
      </c>
      <c r="MP4" s="95">
        <v>801000</v>
      </c>
      <c r="MQ4" s="95">
        <v>904000</v>
      </c>
      <c r="MR4" s="95">
        <v>596000</v>
      </c>
      <c r="MS4" s="95">
        <v>1277378</v>
      </c>
      <c r="MT4" s="95">
        <v>1370468</v>
      </c>
      <c r="MU4" s="95">
        <v>1847344</v>
      </c>
      <c r="MV4" s="95">
        <v>952450</v>
      </c>
      <c r="MW4" s="95">
        <v>1058000</v>
      </c>
      <c r="MX4" s="95">
        <v>970000</v>
      </c>
      <c r="MY4" s="95">
        <v>1527000</v>
      </c>
      <c r="MZ4" s="95">
        <v>1187800</v>
      </c>
      <c r="NA4" s="95">
        <v>1215025</v>
      </c>
      <c r="NB4" s="95">
        <v>1618998</v>
      </c>
      <c r="NC4" s="95">
        <v>1332000</v>
      </c>
      <c r="ND4" s="95">
        <v>869500</v>
      </c>
      <c r="NE4" s="95">
        <v>1747960</v>
      </c>
      <c r="NF4" s="95">
        <v>721000</v>
      </c>
      <c r="NG4" s="95">
        <v>1173000</v>
      </c>
      <c r="NH4" s="95">
        <v>1137000</v>
      </c>
      <c r="NI4" s="95">
        <v>913886</v>
      </c>
      <c r="NJ4" s="95">
        <v>1064000</v>
      </c>
      <c r="NK4" s="95">
        <v>459000</v>
      </c>
      <c r="NL4" s="95">
        <v>815000</v>
      </c>
      <c r="NM4" s="95">
        <v>1519688</v>
      </c>
      <c r="NN4" s="95">
        <v>914000</v>
      </c>
      <c r="NO4" s="133">
        <f>SUM(MJ4:NN4)</f>
        <v>33504961</v>
      </c>
      <c r="NP4" s="95">
        <v>573000</v>
      </c>
      <c r="NQ4" s="95">
        <v>1917456</v>
      </c>
      <c r="NR4" s="95">
        <v>1123504</v>
      </c>
      <c r="NS4" s="95">
        <v>1260200</v>
      </c>
      <c r="NT4" s="95">
        <v>710500</v>
      </c>
      <c r="NU4" s="95">
        <v>1030000</v>
      </c>
      <c r="NV4" s="95">
        <v>985650</v>
      </c>
      <c r="NW4" s="95">
        <v>744000</v>
      </c>
      <c r="NX4" s="95">
        <v>772900</v>
      </c>
      <c r="NY4" s="95">
        <v>462000</v>
      </c>
      <c r="NZ4" s="95">
        <v>452000</v>
      </c>
      <c r="OA4" s="95">
        <v>557000</v>
      </c>
      <c r="OB4" s="95">
        <v>1035830</v>
      </c>
      <c r="OC4" s="95">
        <v>1547000</v>
      </c>
      <c r="OD4" s="95">
        <v>1918400</v>
      </c>
      <c r="OE4" s="95">
        <v>2252000</v>
      </c>
      <c r="OF4" s="95">
        <v>1551900</v>
      </c>
      <c r="OG4" s="95">
        <v>677000</v>
      </c>
      <c r="OH4" s="95">
        <v>982200</v>
      </c>
      <c r="OI4" s="95">
        <v>1115000</v>
      </c>
      <c r="OJ4" s="95">
        <v>986000</v>
      </c>
      <c r="OK4" s="95">
        <v>924000</v>
      </c>
      <c r="OL4" s="95">
        <v>342000</v>
      </c>
      <c r="OM4" s="95">
        <v>1314000</v>
      </c>
      <c r="ON4" s="95">
        <v>490000</v>
      </c>
      <c r="OO4" s="95">
        <v>1405094</v>
      </c>
      <c r="OP4" s="95">
        <v>1147003</v>
      </c>
      <c r="OQ4" s="95">
        <v>696412</v>
      </c>
      <c r="OR4" s="95">
        <v>1178398</v>
      </c>
      <c r="OS4" s="95">
        <v>1292000</v>
      </c>
      <c r="OT4" s="95">
        <v>1059000</v>
      </c>
      <c r="OU4" s="133">
        <f>SUM(NP4:OT4)</f>
        <v>32501447</v>
      </c>
      <c r="OV4" s="95">
        <v>1082000</v>
      </c>
      <c r="OW4" s="95">
        <v>1121495</v>
      </c>
      <c r="OX4" s="95">
        <v>1266980</v>
      </c>
      <c r="OY4" s="95">
        <v>770000</v>
      </c>
      <c r="OZ4" s="95">
        <v>968000</v>
      </c>
      <c r="PA4" s="95">
        <v>1111000</v>
      </c>
      <c r="PB4" s="95">
        <v>862500</v>
      </c>
      <c r="PC4" s="95">
        <v>1625000</v>
      </c>
      <c r="PD4" s="95">
        <v>788200</v>
      </c>
      <c r="PE4" s="95">
        <v>718000</v>
      </c>
      <c r="PF4" s="95">
        <v>1261000</v>
      </c>
      <c r="PG4" s="95">
        <v>1345000</v>
      </c>
      <c r="PH4" s="95">
        <v>1730538</v>
      </c>
      <c r="PI4" s="95">
        <v>892000</v>
      </c>
      <c r="PJ4" s="95">
        <v>734900</v>
      </c>
      <c r="PK4" s="95">
        <v>1055132</v>
      </c>
      <c r="PL4" s="95">
        <v>355000</v>
      </c>
      <c r="PM4" s="95">
        <v>1257500</v>
      </c>
      <c r="PN4" s="95">
        <v>1540200</v>
      </c>
      <c r="PO4" s="95">
        <v>2783148</v>
      </c>
      <c r="PP4" s="95">
        <v>812000</v>
      </c>
      <c r="PQ4" s="95">
        <v>542014</v>
      </c>
      <c r="PR4" s="95">
        <v>695000</v>
      </c>
      <c r="PS4" s="95">
        <v>724000</v>
      </c>
      <c r="PT4" s="95">
        <v>659980</v>
      </c>
      <c r="PU4" s="95">
        <v>1191000</v>
      </c>
      <c r="PV4" s="95">
        <v>799000</v>
      </c>
      <c r="PW4" s="95">
        <v>843500</v>
      </c>
      <c r="PX4" s="95">
        <v>590000</v>
      </c>
      <c r="PY4" s="95">
        <v>736000</v>
      </c>
      <c r="PZ4" s="133">
        <f>SUM(OV4:PY4)</f>
        <v>30860087</v>
      </c>
      <c r="QA4" s="95">
        <v>768000</v>
      </c>
      <c r="QB4" s="95">
        <v>320000</v>
      </c>
      <c r="QC4" s="95">
        <v>907100</v>
      </c>
      <c r="QD4" s="95">
        <v>469000</v>
      </c>
      <c r="QE4" s="95">
        <v>1572150</v>
      </c>
      <c r="QF4" s="95">
        <v>798000</v>
      </c>
      <c r="QG4" s="95">
        <v>1112000</v>
      </c>
      <c r="QH4" s="95">
        <v>578980</v>
      </c>
      <c r="QI4" s="95">
        <v>836100</v>
      </c>
      <c r="QJ4" s="95">
        <v>624000</v>
      </c>
      <c r="QK4" s="95">
        <v>857550</v>
      </c>
      <c r="QL4" s="95">
        <v>909000</v>
      </c>
      <c r="QM4" s="95">
        <v>1440902</v>
      </c>
      <c r="QN4" s="95">
        <v>1675400</v>
      </c>
      <c r="QO4" s="95">
        <v>971700</v>
      </c>
      <c r="QP4" s="95">
        <v>1343500</v>
      </c>
      <c r="QQ4" s="95">
        <v>1050850</v>
      </c>
      <c r="QR4" s="95">
        <v>1140450</v>
      </c>
      <c r="QS4" s="95">
        <v>1231500</v>
      </c>
      <c r="QT4" s="95">
        <v>380000</v>
      </c>
      <c r="QU4" s="95">
        <v>753400</v>
      </c>
      <c r="QV4" s="95">
        <v>842100</v>
      </c>
      <c r="QW4" s="95">
        <v>485000</v>
      </c>
      <c r="QX4" s="95">
        <v>402960</v>
      </c>
      <c r="QY4" s="95">
        <v>2106000</v>
      </c>
      <c r="QZ4" s="95">
        <v>1477000</v>
      </c>
      <c r="RA4" s="95">
        <v>267000</v>
      </c>
      <c r="RB4" s="95">
        <v>1260000</v>
      </c>
      <c r="RC4" s="95">
        <v>596188</v>
      </c>
      <c r="RD4" s="95">
        <v>790000</v>
      </c>
      <c r="RE4" s="95">
        <v>953500</v>
      </c>
      <c r="RF4" s="133">
        <f>SUM(QA4:RE4)</f>
        <v>28919330</v>
      </c>
      <c r="RG4" s="82">
        <v>888000</v>
      </c>
      <c r="RH4" s="95">
        <v>1097000</v>
      </c>
      <c r="RI4" s="95">
        <v>658000</v>
      </c>
      <c r="RJ4" s="95">
        <v>837017</v>
      </c>
      <c r="RK4" s="95">
        <v>809985</v>
      </c>
      <c r="RL4" s="95">
        <v>1352780</v>
      </c>
      <c r="RM4" s="95">
        <v>758000</v>
      </c>
      <c r="RN4" s="95">
        <v>1177000</v>
      </c>
      <c r="RO4" s="95">
        <v>1104000</v>
      </c>
      <c r="RP4" s="95">
        <v>646752</v>
      </c>
      <c r="RQ4" s="95">
        <v>620000</v>
      </c>
      <c r="RR4" s="95">
        <v>2178000</v>
      </c>
      <c r="RS4" s="95">
        <v>1079599</v>
      </c>
      <c r="RT4" s="95">
        <v>410000</v>
      </c>
      <c r="RU4" s="95">
        <v>458000</v>
      </c>
      <c r="RV4" s="95">
        <v>521000</v>
      </c>
      <c r="RW4" s="95">
        <v>882000</v>
      </c>
      <c r="RX4" s="95">
        <v>734000</v>
      </c>
      <c r="RY4" s="95">
        <v>934000</v>
      </c>
      <c r="RZ4" s="95">
        <v>1192000</v>
      </c>
      <c r="SA4" s="95">
        <v>837842</v>
      </c>
      <c r="SB4" s="95">
        <v>840000</v>
      </c>
      <c r="SC4" s="95">
        <v>588000</v>
      </c>
      <c r="SD4" s="95">
        <v>450000</v>
      </c>
      <c r="SE4" s="95">
        <v>1165800</v>
      </c>
      <c r="SF4" s="95">
        <v>834333</v>
      </c>
      <c r="SG4" s="95">
        <v>2060000</v>
      </c>
      <c r="SH4" s="95">
        <v>925380</v>
      </c>
      <c r="SI4" s="95">
        <v>1140000</v>
      </c>
      <c r="SJ4" s="95">
        <v>1205000</v>
      </c>
      <c r="SK4" s="133">
        <f>SUM(RG4:SJ4)</f>
        <v>28383488</v>
      </c>
      <c r="SL4" s="95">
        <v>408900</v>
      </c>
      <c r="SM4" s="95">
        <v>820000</v>
      </c>
      <c r="SN4" s="95">
        <v>1275400</v>
      </c>
      <c r="SO4" s="95">
        <v>1181500</v>
      </c>
      <c r="SP4" s="95">
        <v>1570850</v>
      </c>
      <c r="SQ4" s="95">
        <v>803500</v>
      </c>
      <c r="SR4" s="95">
        <v>1469000</v>
      </c>
      <c r="SS4" s="95">
        <v>1278802</v>
      </c>
      <c r="ST4" s="95">
        <v>1370000</v>
      </c>
      <c r="SU4" s="95">
        <v>1715128</v>
      </c>
      <c r="SV4" s="95">
        <v>1590000</v>
      </c>
      <c r="SW4" s="95">
        <v>822800</v>
      </c>
      <c r="SX4" s="95">
        <v>2290090</v>
      </c>
      <c r="SY4" s="95">
        <v>1148109</v>
      </c>
      <c r="SZ4" s="95">
        <v>956000</v>
      </c>
      <c r="TA4" s="95">
        <v>1747890</v>
      </c>
      <c r="TB4" s="95">
        <v>2034950</v>
      </c>
      <c r="TC4" s="95">
        <v>601000</v>
      </c>
      <c r="TD4" s="95">
        <v>1859222</v>
      </c>
      <c r="TE4" s="95">
        <v>1181429</v>
      </c>
      <c r="TF4" s="95">
        <v>1247000</v>
      </c>
      <c r="TG4" s="95">
        <v>3046264</v>
      </c>
      <c r="TH4" s="95">
        <v>1196000</v>
      </c>
      <c r="TI4" s="95">
        <v>572000</v>
      </c>
      <c r="TJ4" s="95">
        <v>779559</v>
      </c>
      <c r="TK4" s="95">
        <v>671000</v>
      </c>
      <c r="TL4" s="95">
        <v>1661352</v>
      </c>
      <c r="TM4" s="95">
        <v>618000</v>
      </c>
      <c r="TN4" s="95">
        <v>1313500</v>
      </c>
      <c r="TO4" s="95">
        <v>643000</v>
      </c>
      <c r="TP4" s="95">
        <v>1383000</v>
      </c>
      <c r="TQ4" s="133">
        <f>SUM(SL4:TP4)</f>
        <v>39255245</v>
      </c>
      <c r="TR4" s="95">
        <v>641000</v>
      </c>
      <c r="TS4" s="95">
        <v>847000</v>
      </c>
      <c r="TT4" s="95">
        <v>755000</v>
      </c>
      <c r="TU4" s="95">
        <v>1901000</v>
      </c>
      <c r="TV4" s="95">
        <v>1267800</v>
      </c>
      <c r="TW4" s="95">
        <v>1721000</v>
      </c>
      <c r="TX4" s="95">
        <v>840000</v>
      </c>
      <c r="TY4" s="95">
        <v>1630000</v>
      </c>
      <c r="TZ4" s="95">
        <v>902000</v>
      </c>
      <c r="UA4" s="95">
        <v>2456590</v>
      </c>
      <c r="UB4" s="95">
        <v>538000</v>
      </c>
      <c r="UC4" s="95">
        <v>1376000</v>
      </c>
      <c r="UD4" s="95">
        <v>1391700</v>
      </c>
      <c r="UE4" s="95">
        <v>1799600</v>
      </c>
      <c r="UF4" s="95">
        <v>2289000</v>
      </c>
      <c r="UG4" s="95">
        <v>1722500</v>
      </c>
      <c r="UH4" s="95">
        <v>1480000</v>
      </c>
      <c r="UI4" s="95">
        <v>1904000</v>
      </c>
      <c r="UJ4" s="95">
        <v>1559000</v>
      </c>
      <c r="UK4" s="95">
        <v>1093000</v>
      </c>
      <c r="UL4" s="95">
        <v>1025063</v>
      </c>
      <c r="UM4" s="95">
        <v>774500</v>
      </c>
      <c r="UN4" s="95">
        <v>1146000</v>
      </c>
      <c r="UO4" s="95">
        <v>1679000</v>
      </c>
      <c r="UP4" s="95">
        <v>1427000</v>
      </c>
      <c r="UQ4" s="95">
        <v>851000</v>
      </c>
      <c r="UR4" s="95">
        <v>1651000</v>
      </c>
      <c r="US4" s="95">
        <v>1429000</v>
      </c>
      <c r="UT4" s="95">
        <v>781000</v>
      </c>
      <c r="UU4" s="95">
        <v>368000</v>
      </c>
      <c r="UV4" s="95">
        <v>1191000</v>
      </c>
      <c r="UW4" s="133">
        <f>SUM(TR4:UV4)</f>
        <v>40436753</v>
      </c>
      <c r="UX4" s="95">
        <v>796000</v>
      </c>
      <c r="UY4" s="95">
        <v>866000</v>
      </c>
      <c r="UZ4" s="95">
        <v>2355260</v>
      </c>
      <c r="VA4" s="95">
        <v>905000</v>
      </c>
      <c r="VB4" s="95">
        <v>1027000</v>
      </c>
      <c r="VC4" s="95">
        <v>1294000</v>
      </c>
      <c r="VD4" s="95">
        <v>826500</v>
      </c>
      <c r="VE4" s="95">
        <v>2025000</v>
      </c>
      <c r="VF4" s="95">
        <v>226000</v>
      </c>
      <c r="VG4" s="95">
        <v>1033000</v>
      </c>
      <c r="VH4" s="95">
        <v>462000</v>
      </c>
      <c r="VI4" s="95">
        <v>950000</v>
      </c>
      <c r="VJ4" s="95">
        <v>884000</v>
      </c>
      <c r="VK4" s="95">
        <v>864000</v>
      </c>
      <c r="VL4" s="95">
        <v>1089000</v>
      </c>
      <c r="VM4" s="95">
        <v>1230520</v>
      </c>
      <c r="VN4" s="95">
        <v>562000</v>
      </c>
      <c r="VO4" s="95">
        <v>384000</v>
      </c>
      <c r="VP4" s="95">
        <v>910000</v>
      </c>
      <c r="VQ4" s="95">
        <v>1249106</v>
      </c>
      <c r="VR4" s="95">
        <v>1495000</v>
      </c>
      <c r="VS4" s="95">
        <v>1860000</v>
      </c>
      <c r="VT4" s="95">
        <v>1260500</v>
      </c>
      <c r="VU4" s="95">
        <v>1965332</v>
      </c>
      <c r="VV4" s="95">
        <v>1037000</v>
      </c>
      <c r="VW4" s="95">
        <v>1880000</v>
      </c>
      <c r="VX4" s="95">
        <v>1884000</v>
      </c>
      <c r="VY4" s="95">
        <v>1250000</v>
      </c>
      <c r="VZ4" s="133">
        <f>SUM(UX4:VY4)</f>
        <v>32570218</v>
      </c>
      <c r="WA4" s="95">
        <v>1608652</v>
      </c>
      <c r="WB4" s="95">
        <v>917000</v>
      </c>
      <c r="WC4" s="95">
        <v>911500</v>
      </c>
      <c r="WD4" s="95">
        <v>840000</v>
      </c>
      <c r="WE4" s="95">
        <v>967200</v>
      </c>
      <c r="WF4" s="95">
        <v>1130000</v>
      </c>
      <c r="WG4" s="95">
        <v>729000</v>
      </c>
      <c r="WH4" s="95">
        <v>382000</v>
      </c>
      <c r="WI4" s="95">
        <v>484000</v>
      </c>
      <c r="WJ4" s="95">
        <v>841000</v>
      </c>
      <c r="WK4" s="95">
        <v>1610000</v>
      </c>
      <c r="WL4" s="95">
        <v>511000</v>
      </c>
      <c r="WM4" s="95">
        <v>611500</v>
      </c>
      <c r="WN4" s="95">
        <v>1051000</v>
      </c>
      <c r="WO4" s="95">
        <v>1661050</v>
      </c>
      <c r="WP4" s="95">
        <v>885000</v>
      </c>
      <c r="WQ4" s="95">
        <v>104000</v>
      </c>
      <c r="WR4" s="95">
        <v>0</v>
      </c>
      <c r="WS4" s="95">
        <v>478705</v>
      </c>
      <c r="WT4" s="95">
        <v>560000</v>
      </c>
      <c r="WU4" s="95">
        <v>578000</v>
      </c>
      <c r="WV4" s="95">
        <v>1439000</v>
      </c>
      <c r="WW4" s="95">
        <v>922000</v>
      </c>
      <c r="WX4" s="95">
        <v>2004000</v>
      </c>
      <c r="WY4" s="95">
        <v>355000</v>
      </c>
      <c r="WZ4" s="95">
        <v>1618000</v>
      </c>
      <c r="XA4" s="95">
        <v>1428800</v>
      </c>
      <c r="XB4" s="95">
        <v>1293474</v>
      </c>
      <c r="XC4" s="95">
        <v>653000</v>
      </c>
      <c r="XD4" s="95">
        <v>2462000</v>
      </c>
      <c r="XE4" s="95">
        <v>1386000</v>
      </c>
      <c r="XF4" s="133">
        <f>SUM(WA4:XE4)</f>
        <v>30421881</v>
      </c>
      <c r="XG4" s="95">
        <v>1520000</v>
      </c>
      <c r="XH4" s="95">
        <v>1163890</v>
      </c>
      <c r="XI4" s="95">
        <v>2025000</v>
      </c>
      <c r="XJ4" s="95">
        <v>997000</v>
      </c>
      <c r="XK4" s="95">
        <v>1226585</v>
      </c>
      <c r="XL4" s="95">
        <v>646000</v>
      </c>
      <c r="XM4" s="95">
        <v>1453965</v>
      </c>
      <c r="XN4" s="95">
        <v>727200</v>
      </c>
      <c r="XO4" s="95">
        <v>548850</v>
      </c>
      <c r="XP4" s="95">
        <v>758000</v>
      </c>
      <c r="XQ4" s="95">
        <v>707000</v>
      </c>
      <c r="XR4" s="95">
        <v>1865954</v>
      </c>
      <c r="XS4" s="95">
        <v>745000</v>
      </c>
      <c r="XT4" s="95">
        <v>1457850</v>
      </c>
      <c r="XU4" s="95">
        <v>1290000</v>
      </c>
      <c r="XV4" s="95">
        <v>1035000</v>
      </c>
      <c r="XW4" s="95">
        <v>1092000</v>
      </c>
      <c r="XX4" s="95">
        <v>530000</v>
      </c>
      <c r="XY4" s="95">
        <v>625030</v>
      </c>
      <c r="XZ4" s="95">
        <v>350000</v>
      </c>
      <c r="YA4" s="95">
        <v>986000</v>
      </c>
      <c r="YB4" s="95">
        <v>996000</v>
      </c>
      <c r="YC4" s="95">
        <v>1942000</v>
      </c>
      <c r="YD4" s="95">
        <v>532000</v>
      </c>
      <c r="YE4" s="95">
        <v>921000</v>
      </c>
      <c r="YF4" s="95">
        <v>770000</v>
      </c>
      <c r="YG4" s="95">
        <v>686000</v>
      </c>
      <c r="YH4" s="95">
        <v>373000</v>
      </c>
      <c r="YI4" s="95">
        <v>1210266</v>
      </c>
      <c r="YJ4" s="95">
        <v>358000</v>
      </c>
      <c r="YK4" s="133">
        <f>SUM(XF4:YJ4)</f>
        <v>59960471</v>
      </c>
      <c r="YL4" s="95">
        <v>2827000</v>
      </c>
      <c r="YM4" s="95">
        <v>1098256</v>
      </c>
      <c r="YN4" s="95">
        <v>937000</v>
      </c>
      <c r="YO4" s="95">
        <v>864500</v>
      </c>
      <c r="YP4" s="95">
        <v>1315000</v>
      </c>
      <c r="YQ4" s="95">
        <v>1103000</v>
      </c>
      <c r="YR4" s="95">
        <v>1169676</v>
      </c>
      <c r="YS4" s="95">
        <v>736500</v>
      </c>
      <c r="YT4" s="95">
        <v>982000</v>
      </c>
      <c r="YU4" s="95">
        <v>1235832</v>
      </c>
      <c r="YV4" s="95">
        <v>1252000</v>
      </c>
      <c r="YW4" s="95">
        <v>840450</v>
      </c>
      <c r="YX4" s="95">
        <v>824000</v>
      </c>
      <c r="YY4" s="95">
        <v>733500</v>
      </c>
      <c r="YZ4" s="95">
        <v>1793000</v>
      </c>
      <c r="ZA4" s="95">
        <v>1392000</v>
      </c>
      <c r="ZB4" s="95">
        <v>642000</v>
      </c>
      <c r="ZC4" s="95">
        <v>881000</v>
      </c>
      <c r="ZD4" s="95">
        <v>1561000</v>
      </c>
      <c r="ZE4" s="95">
        <v>470000</v>
      </c>
      <c r="ZF4" s="95">
        <v>1294700</v>
      </c>
      <c r="ZG4" s="95">
        <v>1474750</v>
      </c>
      <c r="ZH4" s="95">
        <v>1068000</v>
      </c>
      <c r="ZI4" s="95">
        <v>1325000</v>
      </c>
      <c r="ZJ4" s="95">
        <v>806500</v>
      </c>
      <c r="ZK4" s="95">
        <v>1456719</v>
      </c>
      <c r="ZL4" s="95">
        <v>2515000</v>
      </c>
      <c r="ZM4" s="95">
        <v>1405000</v>
      </c>
      <c r="ZN4" s="95">
        <v>662500</v>
      </c>
      <c r="ZO4" s="95">
        <v>842500</v>
      </c>
      <c r="ZP4" s="95">
        <v>806000</v>
      </c>
      <c r="ZQ4" s="133">
        <f>SUM(YL4:ZP4)</f>
        <v>36314383</v>
      </c>
      <c r="ZR4" s="95">
        <v>1700000</v>
      </c>
      <c r="ZS4" s="95">
        <v>1007000</v>
      </c>
      <c r="ZT4" s="95">
        <v>1258000</v>
      </c>
      <c r="ZU4" s="95">
        <v>2037740</v>
      </c>
      <c r="ZV4" s="95">
        <v>1400000</v>
      </c>
      <c r="ZW4" s="95">
        <v>1558046</v>
      </c>
      <c r="ZX4" s="95">
        <v>1067950</v>
      </c>
      <c r="ZY4" s="95">
        <v>874500</v>
      </c>
      <c r="ZZ4" s="95">
        <v>1500000</v>
      </c>
      <c r="AAA4" s="95">
        <v>820000</v>
      </c>
      <c r="AAB4" s="95">
        <v>557000</v>
      </c>
      <c r="AAC4" s="95">
        <v>1795000</v>
      </c>
      <c r="AAD4" s="95">
        <v>1264000</v>
      </c>
      <c r="AAE4" s="95">
        <v>1283816</v>
      </c>
      <c r="AAF4" s="95">
        <v>846472</v>
      </c>
      <c r="AAG4" s="95">
        <v>862700</v>
      </c>
      <c r="AAH4" s="95">
        <v>1286000</v>
      </c>
      <c r="AAI4" s="95">
        <v>1083832</v>
      </c>
      <c r="AAJ4" s="95">
        <v>1737482</v>
      </c>
      <c r="AAK4" s="95">
        <v>1940600</v>
      </c>
      <c r="AAL4" s="95">
        <v>856880</v>
      </c>
      <c r="AAM4" s="95">
        <v>1585000</v>
      </c>
      <c r="AAN4" s="95">
        <v>1065000</v>
      </c>
      <c r="AAO4" s="95">
        <v>1299500</v>
      </c>
      <c r="AAP4" s="95">
        <v>902509</v>
      </c>
      <c r="AAQ4" s="95">
        <v>1707000</v>
      </c>
      <c r="AAR4" s="95">
        <v>1340000</v>
      </c>
      <c r="AAS4" s="95">
        <v>1388500</v>
      </c>
      <c r="AAT4" s="95">
        <v>904000</v>
      </c>
      <c r="AAU4" s="95">
        <v>1704000</v>
      </c>
      <c r="AAV4" s="133">
        <f>SUM(ZR4:AAU4)</f>
        <v>38632527</v>
      </c>
      <c r="AAW4" s="95">
        <v>989000</v>
      </c>
      <c r="AAX4" s="95">
        <v>475000</v>
      </c>
      <c r="AAY4" s="95">
        <v>878000</v>
      </c>
      <c r="AAZ4" s="95">
        <v>1711000</v>
      </c>
      <c r="ABA4" s="95">
        <v>1003500</v>
      </c>
      <c r="ABB4" s="95">
        <v>1699500</v>
      </c>
      <c r="ABC4" s="95">
        <v>540200</v>
      </c>
      <c r="ABD4" s="95">
        <v>1891997</v>
      </c>
      <c r="ABE4" s="95">
        <v>643000</v>
      </c>
      <c r="ABF4" s="95">
        <v>1083542</v>
      </c>
      <c r="ABG4" s="95">
        <v>2508235</v>
      </c>
      <c r="ABH4" s="95">
        <v>930000</v>
      </c>
      <c r="ABI4" s="95">
        <v>1800000</v>
      </c>
      <c r="ABJ4" s="95">
        <v>1536831</v>
      </c>
      <c r="ABK4" s="95">
        <v>928000</v>
      </c>
      <c r="ABL4" s="95">
        <v>655000</v>
      </c>
      <c r="ABM4" s="95">
        <v>2021000</v>
      </c>
      <c r="ABN4" s="95">
        <v>1669800</v>
      </c>
      <c r="ABO4" s="95">
        <v>1325000</v>
      </c>
      <c r="ABP4" s="95">
        <v>1076200</v>
      </c>
      <c r="ABQ4" s="95">
        <v>1162626</v>
      </c>
      <c r="ABR4" s="95">
        <v>1196500</v>
      </c>
      <c r="ABS4" s="95">
        <v>1151404</v>
      </c>
      <c r="ABT4" s="95">
        <v>952009</v>
      </c>
      <c r="ABU4" s="95">
        <v>930000</v>
      </c>
      <c r="ABV4" s="95">
        <v>1084000</v>
      </c>
      <c r="ABW4" s="95">
        <v>650000</v>
      </c>
      <c r="ABX4" s="95">
        <v>1264000</v>
      </c>
      <c r="ABY4" s="95">
        <v>838500</v>
      </c>
      <c r="ABZ4" s="95">
        <v>1313000</v>
      </c>
      <c r="ACA4" s="95">
        <v>1996500</v>
      </c>
      <c r="ACB4" s="133">
        <f>SUM(AAX4:ACA4)</f>
        <v>36914344</v>
      </c>
      <c r="ACC4" s="95">
        <v>913000</v>
      </c>
      <c r="ACD4" s="95">
        <v>2157364</v>
      </c>
      <c r="ACE4" s="95">
        <v>1061000</v>
      </c>
      <c r="ACF4" s="95">
        <v>2929500</v>
      </c>
      <c r="ACG4" s="95">
        <v>872000</v>
      </c>
      <c r="ACH4" s="95">
        <v>1941000</v>
      </c>
      <c r="ACI4" s="95">
        <v>2588547</v>
      </c>
      <c r="ACJ4" s="95">
        <v>1466250</v>
      </c>
      <c r="ACK4" s="95">
        <v>1385000</v>
      </c>
      <c r="ACL4" s="95">
        <v>540000</v>
      </c>
      <c r="ACM4" s="95">
        <v>1318000</v>
      </c>
      <c r="ACN4" s="95">
        <v>1194500</v>
      </c>
      <c r="ACO4" s="95">
        <v>916153</v>
      </c>
      <c r="ACP4" s="95">
        <v>966076</v>
      </c>
      <c r="ACQ4" s="95">
        <v>841000</v>
      </c>
      <c r="ACR4" s="95">
        <v>1688600</v>
      </c>
      <c r="ACS4" s="95">
        <v>1151000</v>
      </c>
      <c r="ACT4" s="95">
        <v>1667535</v>
      </c>
      <c r="ACU4" s="95">
        <v>819000</v>
      </c>
      <c r="ACV4" s="95">
        <v>967190</v>
      </c>
      <c r="ACW4" s="95">
        <v>710190</v>
      </c>
      <c r="ACX4" s="95">
        <v>2732000</v>
      </c>
      <c r="ACY4" s="95">
        <v>770333</v>
      </c>
      <c r="ACZ4" s="95">
        <v>1530500</v>
      </c>
      <c r="ADA4" s="95">
        <v>1464731</v>
      </c>
      <c r="ADB4" s="95">
        <v>751200</v>
      </c>
      <c r="ADC4" s="95">
        <v>815000</v>
      </c>
      <c r="ADD4" s="95">
        <v>473000</v>
      </c>
      <c r="ADE4" s="95">
        <v>939000</v>
      </c>
      <c r="ADF4" s="95">
        <v>1066000</v>
      </c>
      <c r="ADG4" s="95">
        <v>478000</v>
      </c>
      <c r="ADH4" s="133">
        <f>SUM(ACC4:ADG4)</f>
        <v>39112669</v>
      </c>
      <c r="ADI4" s="95">
        <v>1126000</v>
      </c>
      <c r="ADJ4" s="95">
        <v>1642601</v>
      </c>
      <c r="ADK4" s="95">
        <v>1538000</v>
      </c>
      <c r="ADL4" s="95">
        <v>1410746</v>
      </c>
      <c r="ADM4" s="95">
        <v>1099000</v>
      </c>
      <c r="ADN4" s="95">
        <v>1186000</v>
      </c>
      <c r="ADO4" s="95">
        <v>1107800</v>
      </c>
      <c r="ADP4" s="95">
        <v>742000</v>
      </c>
      <c r="ADQ4" s="95">
        <v>1020000</v>
      </c>
      <c r="ADR4" s="95">
        <v>920580</v>
      </c>
      <c r="ADS4" s="95">
        <v>1103095</v>
      </c>
      <c r="ADT4" s="95">
        <v>2227109</v>
      </c>
      <c r="ADU4" s="95">
        <v>962000</v>
      </c>
      <c r="ADV4" s="95">
        <v>1262000</v>
      </c>
      <c r="ADW4" s="95">
        <v>882500</v>
      </c>
      <c r="ADX4" s="95">
        <v>511000</v>
      </c>
      <c r="ADY4" s="95">
        <v>946060</v>
      </c>
      <c r="ADZ4" s="95">
        <v>1408400</v>
      </c>
      <c r="AEA4" s="95">
        <v>1323000</v>
      </c>
      <c r="AEB4" s="95">
        <v>968000</v>
      </c>
      <c r="AEC4" s="95">
        <v>1361000</v>
      </c>
      <c r="AED4" s="95">
        <v>935000</v>
      </c>
      <c r="AEE4" s="95">
        <v>1044000</v>
      </c>
      <c r="AEF4" s="95">
        <v>1372000</v>
      </c>
      <c r="AEG4" s="95">
        <v>1276000</v>
      </c>
      <c r="AEH4" s="95">
        <v>1004000</v>
      </c>
      <c r="AEI4" s="95">
        <v>1901000</v>
      </c>
      <c r="AEJ4" s="95">
        <v>992000</v>
      </c>
      <c r="AEK4" s="95">
        <v>632000</v>
      </c>
      <c r="AEL4" s="95">
        <v>1646000</v>
      </c>
      <c r="AEM4" s="133">
        <f>SUM(ADI4:AEL4)</f>
        <v>35548891</v>
      </c>
      <c r="AEN4" s="95">
        <v>935893</v>
      </c>
      <c r="AEO4" s="95">
        <v>890000</v>
      </c>
      <c r="AEP4" s="95">
        <v>1040040</v>
      </c>
      <c r="AEQ4" s="95">
        <v>2119000</v>
      </c>
      <c r="AER4" s="95">
        <v>1027103</v>
      </c>
      <c r="AES4" s="95">
        <v>944500</v>
      </c>
      <c r="AET4" s="95">
        <v>703000</v>
      </c>
      <c r="AEU4" s="95">
        <v>2110142</v>
      </c>
      <c r="AEV4" s="95">
        <v>1684900</v>
      </c>
      <c r="AEW4" s="95">
        <v>2658489</v>
      </c>
      <c r="AEX4" s="95">
        <v>1535000</v>
      </c>
      <c r="AEY4" s="95">
        <v>1361788</v>
      </c>
      <c r="AEZ4" s="95">
        <v>2107984</v>
      </c>
      <c r="AFA4" s="95">
        <v>354000</v>
      </c>
      <c r="AFB4" s="95">
        <v>657142</v>
      </c>
      <c r="AFC4" s="95">
        <v>761000</v>
      </c>
      <c r="AFD4" s="95">
        <v>730024</v>
      </c>
      <c r="AFE4" s="95">
        <v>889000</v>
      </c>
      <c r="AFF4" s="95">
        <v>849000</v>
      </c>
      <c r="AFG4" s="95">
        <v>625000</v>
      </c>
      <c r="AFH4" s="95">
        <v>1102000</v>
      </c>
      <c r="AFI4" s="95">
        <v>1283000</v>
      </c>
      <c r="AFJ4" s="95">
        <v>1236827</v>
      </c>
      <c r="AFK4" s="95">
        <v>974000</v>
      </c>
      <c r="AFL4" s="95">
        <v>1400000</v>
      </c>
      <c r="AFM4" s="95">
        <v>2008974</v>
      </c>
      <c r="AFN4" s="95">
        <v>886330</v>
      </c>
      <c r="AFO4" s="95">
        <v>415000</v>
      </c>
      <c r="AFP4" s="95">
        <v>630725</v>
      </c>
      <c r="AFQ4" s="95">
        <v>2195000</v>
      </c>
      <c r="AFR4" s="95">
        <v>1531000</v>
      </c>
      <c r="AFS4" s="133">
        <f>SUM(AEN4:AFR4)</f>
        <v>37645861</v>
      </c>
      <c r="AFT4" s="95">
        <v>599500</v>
      </c>
      <c r="AFU4" s="95">
        <v>1221000</v>
      </c>
      <c r="AFV4" s="95">
        <v>1785000</v>
      </c>
      <c r="AFW4" s="95">
        <v>515000</v>
      </c>
      <c r="AFX4" s="95">
        <v>1283490</v>
      </c>
      <c r="AFY4" s="95">
        <v>1077000</v>
      </c>
      <c r="AFZ4" s="95">
        <v>866000</v>
      </c>
      <c r="AGE4">
        <v>60000</v>
      </c>
      <c r="AGN4">
        <v>130000</v>
      </c>
      <c r="AGX4" s="133">
        <f>SUM(AFT4:AGW4)</f>
        <v>7536990</v>
      </c>
      <c r="AID4" s="133">
        <f>SUM(AGZ4:AIC4)</f>
        <v>0</v>
      </c>
      <c r="AJJ4" s="133">
        <f>SUM(AIF4:AJI4)</f>
        <v>0</v>
      </c>
      <c r="AKM4" s="133">
        <f>SUM(AJI4:AKL4)</f>
        <v>0</v>
      </c>
      <c r="ALS4" s="133">
        <f>SUM(AKO4:ALR4)</f>
        <v>0</v>
      </c>
      <c r="AMX4" s="133">
        <f>SUM(ALT4:AMW4)</f>
        <v>0</v>
      </c>
    </row>
    <row r="5" spans="1:1069" x14ac:dyDescent="0.2">
      <c r="A5" s="38" t="s">
        <v>1090</v>
      </c>
      <c r="B5" s="39">
        <v>2169300</v>
      </c>
      <c r="C5" s="39">
        <v>1204500</v>
      </c>
      <c r="D5" s="39">
        <v>2185500</v>
      </c>
      <c r="E5" s="39">
        <v>1573000</v>
      </c>
      <c r="F5" s="39">
        <v>1008600</v>
      </c>
      <c r="G5" s="39">
        <v>2899500</v>
      </c>
      <c r="H5" s="39">
        <v>1116000</v>
      </c>
      <c r="I5" s="39">
        <v>2236800</v>
      </c>
      <c r="J5" s="39">
        <v>3300500</v>
      </c>
      <c r="K5" s="39">
        <v>1593000</v>
      </c>
      <c r="L5" s="39">
        <v>1335000</v>
      </c>
      <c r="M5" s="39">
        <v>1260000</v>
      </c>
      <c r="N5" s="39">
        <v>1038000</v>
      </c>
      <c r="O5" s="39">
        <v>1021000</v>
      </c>
      <c r="P5" s="39">
        <v>1538000</v>
      </c>
      <c r="Q5" s="39">
        <v>582600</v>
      </c>
      <c r="R5" s="39">
        <v>1396000</v>
      </c>
      <c r="S5" s="39">
        <v>959000</v>
      </c>
      <c r="T5" s="39">
        <v>815000</v>
      </c>
      <c r="U5" s="39">
        <v>1463300</v>
      </c>
      <c r="V5" s="39">
        <v>1017000</v>
      </c>
      <c r="W5" s="39">
        <v>790000</v>
      </c>
      <c r="X5" s="39">
        <v>1052300</v>
      </c>
      <c r="Y5" s="39">
        <v>1261000</v>
      </c>
      <c r="Z5" s="39">
        <v>1507800</v>
      </c>
      <c r="AA5" s="39">
        <v>1014100</v>
      </c>
      <c r="AB5" s="39">
        <v>1187000</v>
      </c>
      <c r="AC5" s="39">
        <v>518000</v>
      </c>
      <c r="AD5" s="39">
        <v>2516000</v>
      </c>
      <c r="AE5" s="39">
        <v>979000</v>
      </c>
      <c r="AF5" s="39">
        <v>758000</v>
      </c>
      <c r="AG5" s="100">
        <f>SUM(B5:AF5)</f>
        <v>43294800</v>
      </c>
      <c r="AH5" s="91">
        <v>1437000</v>
      </c>
      <c r="AI5" s="91">
        <v>1046100</v>
      </c>
      <c r="AJ5" s="91">
        <v>1065000</v>
      </c>
      <c r="AK5" s="91">
        <v>1675000</v>
      </c>
      <c r="AL5" s="91">
        <v>1615462</v>
      </c>
      <c r="AM5" s="91">
        <v>604000</v>
      </c>
      <c r="AN5" s="91">
        <v>1560238</v>
      </c>
      <c r="AO5" s="91">
        <v>2003764</v>
      </c>
      <c r="AP5" s="91">
        <v>867500</v>
      </c>
      <c r="AQ5" s="91">
        <v>1468000</v>
      </c>
      <c r="AR5" s="91">
        <v>523400</v>
      </c>
      <c r="AS5" s="91">
        <v>875000</v>
      </c>
      <c r="AT5" s="91">
        <v>755900</v>
      </c>
      <c r="AU5" s="91">
        <v>780000</v>
      </c>
      <c r="AV5" s="91">
        <v>1337500</v>
      </c>
      <c r="AW5" s="91">
        <v>1193000</v>
      </c>
      <c r="AX5" s="91">
        <v>1332000</v>
      </c>
      <c r="AY5" s="91">
        <v>1432800</v>
      </c>
      <c r="AZ5" s="91">
        <v>672000</v>
      </c>
      <c r="BA5" s="91">
        <v>1271300</v>
      </c>
      <c r="BB5" s="91">
        <v>386700</v>
      </c>
      <c r="BC5" s="91">
        <v>940740</v>
      </c>
      <c r="BD5" s="91">
        <v>1522010</v>
      </c>
      <c r="BE5" s="91">
        <v>540100</v>
      </c>
      <c r="BF5" s="91">
        <v>904000</v>
      </c>
      <c r="BG5" s="91">
        <v>2004900</v>
      </c>
      <c r="BH5" s="91">
        <v>892000</v>
      </c>
      <c r="BI5" s="91">
        <v>902000</v>
      </c>
      <c r="BJ5" s="91">
        <v>732000</v>
      </c>
      <c r="BK5" s="91">
        <v>921000</v>
      </c>
      <c r="BL5" s="82">
        <f>SUM(AH5:BK5)</f>
        <v>33260414</v>
      </c>
      <c r="BM5" s="108">
        <v>293000</v>
      </c>
      <c r="BN5" s="108">
        <v>778000</v>
      </c>
      <c r="BO5" s="108">
        <v>421900</v>
      </c>
      <c r="BP5" s="108">
        <v>1368000</v>
      </c>
      <c r="BQ5" s="108">
        <v>1064560</v>
      </c>
      <c r="BR5" s="108">
        <v>1124000</v>
      </c>
      <c r="BS5" s="108">
        <v>1139000</v>
      </c>
      <c r="BT5" s="108">
        <v>1305800</v>
      </c>
      <c r="BU5" s="108">
        <v>1657500</v>
      </c>
      <c r="BV5" s="108">
        <v>828500</v>
      </c>
      <c r="BW5" s="108">
        <v>306950</v>
      </c>
      <c r="BX5" s="108">
        <v>947000</v>
      </c>
      <c r="BY5" s="108">
        <v>639000</v>
      </c>
      <c r="BZ5" s="108">
        <v>939000</v>
      </c>
      <c r="CA5" s="108">
        <v>661500</v>
      </c>
      <c r="CB5" s="108">
        <v>1073000</v>
      </c>
      <c r="CC5" s="108">
        <v>1259500</v>
      </c>
      <c r="CD5" s="108">
        <v>314000</v>
      </c>
      <c r="CE5" s="108">
        <v>860500</v>
      </c>
      <c r="CF5" s="108">
        <v>712000</v>
      </c>
      <c r="CG5" s="108">
        <v>1014754</v>
      </c>
      <c r="CH5" s="108">
        <v>601000</v>
      </c>
      <c r="CI5" s="108">
        <v>924500</v>
      </c>
      <c r="CJ5" s="108">
        <v>480000</v>
      </c>
      <c r="CK5" s="108">
        <v>1637500</v>
      </c>
      <c r="CL5" s="108">
        <v>1332000</v>
      </c>
      <c r="CM5" s="108">
        <v>1067900</v>
      </c>
      <c r="CN5" s="108">
        <v>1758000</v>
      </c>
      <c r="CO5" s="108">
        <v>507950</v>
      </c>
      <c r="CP5" s="108">
        <v>1675700</v>
      </c>
      <c r="CQ5" s="108">
        <v>922000</v>
      </c>
      <c r="CR5" s="82">
        <f>SUM(BM5:CQ5)</f>
        <v>29614014</v>
      </c>
      <c r="CS5" s="95">
        <v>1279000</v>
      </c>
      <c r="CT5" s="95">
        <v>1380000</v>
      </c>
      <c r="CU5" s="95">
        <v>1038000</v>
      </c>
      <c r="CV5" s="95">
        <v>1588010</v>
      </c>
      <c r="CW5" s="95">
        <v>622053</v>
      </c>
      <c r="CX5" s="95">
        <v>1828800</v>
      </c>
      <c r="CY5" s="95">
        <v>1008122</v>
      </c>
      <c r="CZ5" s="95">
        <v>838000</v>
      </c>
      <c r="DA5" s="95">
        <v>1369500</v>
      </c>
      <c r="DB5" s="95">
        <v>972073</v>
      </c>
      <c r="DC5" s="95">
        <v>694000</v>
      </c>
      <c r="DD5" s="95">
        <v>1175500</v>
      </c>
      <c r="DE5" s="95">
        <v>1133695</v>
      </c>
      <c r="DF5" s="95">
        <v>1438390</v>
      </c>
      <c r="DG5" s="95">
        <v>1093000</v>
      </c>
      <c r="DH5" s="95">
        <v>612100</v>
      </c>
      <c r="DI5" s="95">
        <v>2553150</v>
      </c>
      <c r="DJ5" s="95">
        <v>497100</v>
      </c>
      <c r="DK5" s="95">
        <v>969000</v>
      </c>
      <c r="DL5" s="95">
        <v>1626490</v>
      </c>
      <c r="DM5" s="95">
        <v>1000900</v>
      </c>
      <c r="DN5" s="95">
        <v>903500</v>
      </c>
      <c r="DO5" s="95">
        <v>953000</v>
      </c>
      <c r="DP5" s="95">
        <v>679000</v>
      </c>
      <c r="DQ5" s="95">
        <v>1415100</v>
      </c>
      <c r="DR5" s="95">
        <v>819500</v>
      </c>
      <c r="DS5" s="95">
        <v>981500</v>
      </c>
      <c r="DT5" s="95">
        <v>2126000</v>
      </c>
      <c r="DU5" s="95">
        <v>514000</v>
      </c>
      <c r="DV5" s="95">
        <v>1322000</v>
      </c>
      <c r="DW5" s="82">
        <f>SUM(CS5:DV5)</f>
        <v>34430483</v>
      </c>
      <c r="DX5" s="95">
        <v>1631000</v>
      </c>
      <c r="DY5" s="95">
        <v>898000</v>
      </c>
      <c r="DZ5" s="95">
        <v>352000</v>
      </c>
      <c r="EA5" s="95">
        <v>370500</v>
      </c>
      <c r="EB5" s="95">
        <v>1413000</v>
      </c>
      <c r="EC5" s="95">
        <v>724000</v>
      </c>
      <c r="ED5" s="95">
        <v>914000</v>
      </c>
      <c r="EE5" s="95">
        <v>1747780</v>
      </c>
      <c r="EF5" s="95">
        <v>1047000</v>
      </c>
      <c r="EG5" s="95">
        <v>1539400</v>
      </c>
      <c r="EH5" s="95">
        <v>1161000</v>
      </c>
      <c r="EI5" s="95">
        <v>1748000</v>
      </c>
      <c r="EJ5" s="95">
        <v>2177962</v>
      </c>
      <c r="EK5" s="95">
        <v>1605850</v>
      </c>
      <c r="EL5" s="95">
        <v>961000</v>
      </c>
      <c r="EM5" s="95">
        <v>1564000</v>
      </c>
      <c r="EN5" s="95">
        <v>684000</v>
      </c>
      <c r="EO5" s="95">
        <v>1224900</v>
      </c>
      <c r="EP5" s="95">
        <v>803000</v>
      </c>
      <c r="EQ5" s="95">
        <v>1502000</v>
      </c>
      <c r="ER5" s="95">
        <v>2153000</v>
      </c>
      <c r="ES5" s="95">
        <v>1266500</v>
      </c>
      <c r="ET5" s="95">
        <v>2187000</v>
      </c>
      <c r="EU5" s="95">
        <v>717112</v>
      </c>
      <c r="EV5" s="95">
        <v>1548038</v>
      </c>
      <c r="EW5" s="95">
        <v>1201000</v>
      </c>
      <c r="EX5" s="95">
        <v>1383205</v>
      </c>
      <c r="EY5" s="95">
        <v>1702500</v>
      </c>
      <c r="EZ5" s="95">
        <v>1892700</v>
      </c>
      <c r="FA5" s="95">
        <v>1325000</v>
      </c>
      <c r="FB5" s="95">
        <v>789540</v>
      </c>
      <c r="FC5" s="128">
        <f>SUM(DX5:FB5)</f>
        <v>40233987</v>
      </c>
      <c r="FD5" s="95">
        <v>626333</v>
      </c>
      <c r="FE5" s="95">
        <v>439000</v>
      </c>
      <c r="FF5" s="95">
        <v>532000</v>
      </c>
      <c r="FG5" s="95">
        <v>1204900</v>
      </c>
      <c r="FH5" s="95">
        <v>2003124</v>
      </c>
      <c r="FI5" s="95">
        <v>518000</v>
      </c>
      <c r="FJ5" s="95">
        <v>955000</v>
      </c>
      <c r="FK5" s="95">
        <v>789000</v>
      </c>
      <c r="FL5" s="95">
        <v>1582000</v>
      </c>
      <c r="FM5" s="95">
        <v>275000</v>
      </c>
      <c r="FN5" s="95">
        <v>1662000</v>
      </c>
      <c r="FO5" s="95">
        <v>1093044</v>
      </c>
      <c r="FP5" s="95">
        <v>974000</v>
      </c>
      <c r="FQ5" s="95">
        <v>1022000</v>
      </c>
      <c r="FR5" s="95">
        <v>1178674</v>
      </c>
      <c r="FS5" s="95">
        <v>650000</v>
      </c>
      <c r="FT5" s="95">
        <v>1880000</v>
      </c>
      <c r="FU5" s="95">
        <v>1582000</v>
      </c>
      <c r="FV5" s="95">
        <v>1813000</v>
      </c>
      <c r="FW5" s="95">
        <v>884000</v>
      </c>
      <c r="FX5" s="95">
        <v>853000</v>
      </c>
      <c r="FY5" s="95">
        <v>662000</v>
      </c>
      <c r="FZ5" s="95">
        <v>569000</v>
      </c>
      <c r="GA5" s="95">
        <v>1526170</v>
      </c>
      <c r="GB5" s="95">
        <v>1524000</v>
      </c>
      <c r="GC5" s="95">
        <v>2441200</v>
      </c>
      <c r="GD5" s="95">
        <v>947000</v>
      </c>
      <c r="GE5" s="95">
        <v>1374000</v>
      </c>
      <c r="GF5" s="95">
        <v>1462000</v>
      </c>
      <c r="GG5" s="95">
        <v>785000</v>
      </c>
      <c r="GH5" s="95">
        <v>1781000</v>
      </c>
      <c r="GI5" s="82">
        <f>SUM(FD5:GH5)</f>
        <v>35587445</v>
      </c>
      <c r="GJ5" s="95">
        <v>1640000</v>
      </c>
      <c r="GK5" s="95">
        <v>1490000</v>
      </c>
      <c r="GL5" s="95">
        <v>1449034</v>
      </c>
      <c r="GM5" s="95">
        <v>453000</v>
      </c>
      <c r="GN5" s="95">
        <v>932000</v>
      </c>
      <c r="GO5" s="95">
        <v>800000</v>
      </c>
      <c r="GP5" s="95">
        <v>1696000</v>
      </c>
      <c r="GQ5" s="95">
        <v>957000</v>
      </c>
      <c r="GR5" s="95">
        <v>1689000</v>
      </c>
      <c r="GS5" s="95">
        <v>1344500</v>
      </c>
      <c r="GT5" s="95">
        <v>1077000</v>
      </c>
      <c r="GU5" s="95">
        <v>1599000</v>
      </c>
      <c r="GV5" s="95">
        <v>1359300</v>
      </c>
      <c r="GW5" s="95">
        <v>823703</v>
      </c>
      <c r="GX5" s="95">
        <v>1075000</v>
      </c>
      <c r="GY5" s="95">
        <v>1126972</v>
      </c>
      <c r="GZ5" s="95">
        <v>967602</v>
      </c>
      <c r="HA5" s="95">
        <v>814900</v>
      </c>
      <c r="HB5" s="95">
        <v>695000</v>
      </c>
      <c r="HC5" s="95">
        <v>1540390</v>
      </c>
      <c r="HD5" s="95">
        <v>1150200</v>
      </c>
      <c r="HE5" s="95">
        <v>715000</v>
      </c>
      <c r="HF5" s="95">
        <v>991160</v>
      </c>
      <c r="HG5" s="95">
        <v>1064000</v>
      </c>
      <c r="HH5" s="95">
        <v>771000</v>
      </c>
      <c r="HI5" s="95">
        <v>834000</v>
      </c>
      <c r="HJ5" s="95">
        <v>1032000</v>
      </c>
      <c r="HK5" s="95">
        <v>1441808</v>
      </c>
      <c r="HL5" s="95">
        <v>1368946</v>
      </c>
      <c r="HM5" s="133">
        <f>SUM(GJ5:HL5)</f>
        <v>32897515</v>
      </c>
      <c r="HN5" s="95">
        <v>1175000</v>
      </c>
      <c r="HO5" s="95">
        <v>1055000</v>
      </c>
      <c r="HP5" s="95">
        <v>1062000</v>
      </c>
      <c r="HQ5" s="95">
        <v>1519000</v>
      </c>
      <c r="HR5" s="95">
        <v>1896823</v>
      </c>
      <c r="HS5" s="95">
        <v>805900</v>
      </c>
      <c r="HT5" s="95">
        <v>1278160</v>
      </c>
      <c r="HU5" s="95">
        <v>1486160</v>
      </c>
      <c r="HV5" s="95">
        <v>1685000</v>
      </c>
      <c r="HW5" s="95">
        <v>1362000</v>
      </c>
      <c r="HX5" s="95">
        <v>1367000</v>
      </c>
      <c r="HY5" s="95">
        <v>1354000</v>
      </c>
      <c r="HZ5" s="95">
        <v>610000</v>
      </c>
      <c r="IA5" s="95">
        <v>1363500</v>
      </c>
      <c r="IB5" s="95">
        <v>3145400</v>
      </c>
      <c r="IC5" s="95">
        <v>828000</v>
      </c>
      <c r="ID5" s="95">
        <v>1249650</v>
      </c>
      <c r="IE5" s="95">
        <v>882000</v>
      </c>
      <c r="IF5" s="95">
        <v>1695000</v>
      </c>
      <c r="IG5" s="95">
        <v>924000</v>
      </c>
      <c r="IH5" s="95">
        <v>470400</v>
      </c>
      <c r="II5" s="95">
        <v>1703000</v>
      </c>
      <c r="IJ5" s="95">
        <v>1364500</v>
      </c>
      <c r="IK5" s="95">
        <v>1592250</v>
      </c>
      <c r="IL5" s="95">
        <v>1259400</v>
      </c>
      <c r="IM5" s="95">
        <v>1312500</v>
      </c>
      <c r="IN5" s="95">
        <v>932700</v>
      </c>
      <c r="IO5" s="95">
        <v>2296900</v>
      </c>
      <c r="IP5" s="95">
        <v>816000</v>
      </c>
      <c r="IQ5" s="95">
        <v>1421500</v>
      </c>
      <c r="IR5" s="95">
        <v>588400</v>
      </c>
      <c r="IS5" s="133">
        <f>SUM(HN5:IR5)</f>
        <v>40501143</v>
      </c>
      <c r="IT5" s="95">
        <v>1128000</v>
      </c>
      <c r="IU5" s="95">
        <v>1561182</v>
      </c>
      <c r="IV5" s="95">
        <v>785400</v>
      </c>
      <c r="IW5" s="95">
        <v>1354000</v>
      </c>
      <c r="IX5" s="95">
        <v>1117000</v>
      </c>
      <c r="IY5" s="95">
        <v>1191500</v>
      </c>
      <c r="IZ5" s="95">
        <v>953000</v>
      </c>
      <c r="JA5" s="95">
        <v>797500</v>
      </c>
      <c r="JB5" s="95">
        <v>1702000</v>
      </c>
      <c r="JC5" s="95">
        <v>1038000</v>
      </c>
      <c r="JD5" s="95">
        <v>1434000</v>
      </c>
      <c r="JE5" s="95">
        <v>1106900</v>
      </c>
      <c r="JF5" s="95">
        <v>2077500</v>
      </c>
      <c r="JG5" s="95">
        <v>1378500</v>
      </c>
      <c r="JH5" s="95">
        <v>983000</v>
      </c>
      <c r="JI5" s="95">
        <v>1536780</v>
      </c>
      <c r="JJ5" s="95">
        <v>1079000</v>
      </c>
      <c r="JK5" s="95">
        <v>641000</v>
      </c>
      <c r="JL5" s="95">
        <v>2637636</v>
      </c>
      <c r="JM5" s="95">
        <v>1292500</v>
      </c>
      <c r="JN5" s="95">
        <v>1081000</v>
      </c>
      <c r="JO5" s="95">
        <v>2728500</v>
      </c>
      <c r="JP5" s="95">
        <v>1455080</v>
      </c>
      <c r="JQ5" s="95">
        <v>2339531</v>
      </c>
      <c r="JR5" s="95">
        <v>465000</v>
      </c>
      <c r="JS5" s="95">
        <v>1207000</v>
      </c>
      <c r="JT5" s="95">
        <v>2168000</v>
      </c>
      <c r="JU5" s="95">
        <v>811500</v>
      </c>
      <c r="JV5" s="95">
        <v>1463085</v>
      </c>
      <c r="JW5" s="95">
        <v>1701000</v>
      </c>
      <c r="JX5" s="133">
        <f>SUM(IT5:JW5)</f>
        <v>41214094</v>
      </c>
      <c r="JY5" s="95">
        <v>1371000</v>
      </c>
      <c r="JZ5" s="95">
        <v>1212900</v>
      </c>
      <c r="KA5" s="95">
        <v>1798700</v>
      </c>
      <c r="KB5" s="95">
        <v>1761460</v>
      </c>
      <c r="KC5" s="95">
        <v>1253744</v>
      </c>
      <c r="KD5" s="95">
        <v>2674320</v>
      </c>
      <c r="KE5" s="95">
        <v>3076340</v>
      </c>
      <c r="KF5" s="95">
        <v>1821680</v>
      </c>
      <c r="KG5" s="95">
        <v>2480880</v>
      </c>
      <c r="KH5" s="95">
        <v>3013300</v>
      </c>
      <c r="KI5" s="95">
        <v>2133730</v>
      </c>
      <c r="KJ5" s="95">
        <v>830000</v>
      </c>
      <c r="KK5" s="95">
        <v>2986700</v>
      </c>
      <c r="KL5" s="95">
        <v>2926900</v>
      </c>
      <c r="KM5" s="95">
        <v>1457000</v>
      </c>
      <c r="KN5" s="95">
        <v>3459050</v>
      </c>
      <c r="KO5" s="95">
        <v>2108730</v>
      </c>
      <c r="KP5" s="95">
        <v>2337500</v>
      </c>
      <c r="KQ5" s="95">
        <v>1024000</v>
      </c>
      <c r="KR5" s="95">
        <v>2445590</v>
      </c>
      <c r="KS5" s="95">
        <v>2456370</v>
      </c>
      <c r="KT5" s="95">
        <v>2496500</v>
      </c>
      <c r="KU5" s="95">
        <v>2019000</v>
      </c>
      <c r="KV5" s="95">
        <v>2412200</v>
      </c>
      <c r="KW5" s="95">
        <v>2207880</v>
      </c>
      <c r="KX5" s="95">
        <v>1173000</v>
      </c>
      <c r="KY5" s="95">
        <v>3002660</v>
      </c>
      <c r="KZ5" s="95">
        <v>3333000</v>
      </c>
      <c r="LA5" s="95">
        <v>2541000</v>
      </c>
      <c r="LB5" s="95">
        <v>5008500</v>
      </c>
      <c r="LC5" s="95">
        <v>1319950</v>
      </c>
      <c r="LD5" s="133">
        <f>SUM(JY5:LC5)</f>
        <v>70143584</v>
      </c>
      <c r="LE5" s="95">
        <v>3509660</v>
      </c>
      <c r="LF5" s="95">
        <v>1950100</v>
      </c>
      <c r="LG5" s="95">
        <v>2454000</v>
      </c>
      <c r="LH5" s="95">
        <v>2263350</v>
      </c>
      <c r="LI5" s="95">
        <v>1815450</v>
      </c>
      <c r="LJ5" s="95">
        <v>3072850</v>
      </c>
      <c r="LK5" s="95">
        <v>2489700</v>
      </c>
      <c r="LL5" s="95">
        <v>3426000</v>
      </c>
      <c r="LM5" s="95">
        <v>854000</v>
      </c>
      <c r="LN5" s="95">
        <v>2294000</v>
      </c>
      <c r="LO5" s="95">
        <v>4265268</v>
      </c>
      <c r="LP5" s="95">
        <v>1658740</v>
      </c>
      <c r="LQ5" s="95">
        <v>2202000</v>
      </c>
      <c r="LR5" s="95">
        <v>2962213</v>
      </c>
      <c r="LS5" s="95">
        <v>2793343</v>
      </c>
      <c r="LT5" s="95">
        <v>888200</v>
      </c>
      <c r="LU5" s="95">
        <v>1877900</v>
      </c>
      <c r="LV5" s="95">
        <v>2867000</v>
      </c>
      <c r="LW5" s="95">
        <v>2999209</v>
      </c>
      <c r="LX5" s="95">
        <v>2113000</v>
      </c>
      <c r="LY5" s="95">
        <v>3588000</v>
      </c>
      <c r="LZ5" s="95">
        <v>2049000</v>
      </c>
      <c r="MA5" s="95">
        <v>514000</v>
      </c>
      <c r="MB5" s="95">
        <v>3290450</v>
      </c>
      <c r="MC5" s="95">
        <v>1602350</v>
      </c>
      <c r="MD5" s="95">
        <v>2205740</v>
      </c>
      <c r="ME5" s="95">
        <v>1228000</v>
      </c>
      <c r="MF5" s="95">
        <v>3280836</v>
      </c>
      <c r="MG5" s="95">
        <v>1326000</v>
      </c>
      <c r="MH5" s="95">
        <v>2044500</v>
      </c>
      <c r="MI5" s="133">
        <f>SUM(LD5:MH5)</f>
        <v>140028443</v>
      </c>
      <c r="MJ5" s="95">
        <v>2181100</v>
      </c>
      <c r="MK5" s="95">
        <v>1937000</v>
      </c>
      <c r="ML5" s="95">
        <v>2369000</v>
      </c>
      <c r="MM5" s="95">
        <v>1965000</v>
      </c>
      <c r="MN5" s="95">
        <v>3602000</v>
      </c>
      <c r="MO5" s="95">
        <v>1638900</v>
      </c>
      <c r="MP5" s="95">
        <v>1732500</v>
      </c>
      <c r="MQ5" s="95">
        <v>3546370</v>
      </c>
      <c r="MR5" s="95">
        <v>2896501</v>
      </c>
      <c r="MS5" s="95">
        <v>1682000</v>
      </c>
      <c r="MT5" s="95">
        <v>3423000</v>
      </c>
      <c r="MU5" s="95">
        <v>3320000</v>
      </c>
      <c r="MV5" s="95">
        <v>2853000</v>
      </c>
      <c r="MW5" s="95">
        <v>1558000</v>
      </c>
      <c r="MX5" s="95">
        <v>2680100</v>
      </c>
      <c r="MY5" s="95">
        <v>2541000</v>
      </c>
      <c r="MZ5" s="95">
        <v>1547700</v>
      </c>
      <c r="NA5" s="95">
        <v>2616018</v>
      </c>
      <c r="NB5" s="95">
        <v>1513117</v>
      </c>
      <c r="NC5" s="95">
        <v>1290000</v>
      </c>
      <c r="ND5" s="95">
        <v>960320</v>
      </c>
      <c r="NE5" s="95">
        <v>1776600</v>
      </c>
      <c r="NF5" s="95">
        <v>2696000</v>
      </c>
      <c r="NG5" s="95">
        <v>1796000</v>
      </c>
      <c r="NH5" s="95">
        <v>2729300</v>
      </c>
      <c r="NI5" s="95">
        <v>3264100</v>
      </c>
      <c r="NJ5" s="95">
        <v>1277000</v>
      </c>
      <c r="NK5" s="95">
        <v>1236000</v>
      </c>
      <c r="NL5" s="95">
        <v>2005000</v>
      </c>
      <c r="NM5" s="95">
        <v>2110300</v>
      </c>
      <c r="NN5" s="95">
        <v>1924000</v>
      </c>
      <c r="NO5" s="133">
        <f>SUM(MJ5:NN5)</f>
        <v>68666926</v>
      </c>
      <c r="NP5" s="95">
        <v>2068500</v>
      </c>
      <c r="NQ5" s="95">
        <v>2502000</v>
      </c>
      <c r="NR5" s="95">
        <v>3647892</v>
      </c>
      <c r="NS5" s="95">
        <v>1743500</v>
      </c>
      <c r="NT5" s="95">
        <v>2372800</v>
      </c>
      <c r="NU5" s="95">
        <v>3323409</v>
      </c>
      <c r="NV5" s="95">
        <v>2913000</v>
      </c>
      <c r="NW5" s="95">
        <v>3078500</v>
      </c>
      <c r="NX5" s="95">
        <v>2473000</v>
      </c>
      <c r="NY5" s="95">
        <v>1880700</v>
      </c>
      <c r="NZ5" s="95">
        <v>1440904</v>
      </c>
      <c r="OA5" s="95">
        <v>1790000</v>
      </c>
      <c r="OB5" s="95">
        <v>1453000</v>
      </c>
      <c r="OC5" s="95">
        <v>2304900</v>
      </c>
      <c r="OD5" s="95">
        <v>962000</v>
      </c>
      <c r="OE5" s="95">
        <v>2684415</v>
      </c>
      <c r="OF5" s="95">
        <v>1532500</v>
      </c>
      <c r="OG5" s="95">
        <v>1156500</v>
      </c>
      <c r="OH5" s="95">
        <v>1015000</v>
      </c>
      <c r="OI5" s="95">
        <v>1457000</v>
      </c>
      <c r="OJ5" s="95">
        <v>1379300</v>
      </c>
      <c r="OK5" s="95">
        <v>1078000</v>
      </c>
      <c r="OL5" s="95">
        <v>1264500</v>
      </c>
      <c r="OM5" s="95">
        <v>1287000</v>
      </c>
      <c r="ON5" s="95">
        <v>329000</v>
      </c>
      <c r="OO5" s="95">
        <v>1526500</v>
      </c>
      <c r="OP5" s="95">
        <v>3350963</v>
      </c>
      <c r="OQ5" s="95">
        <v>889760</v>
      </c>
      <c r="OR5" s="95">
        <v>1603260</v>
      </c>
      <c r="OS5" s="95">
        <v>1257010</v>
      </c>
      <c r="OT5" s="95">
        <v>1341760</v>
      </c>
      <c r="OU5" s="133">
        <f>SUM(NP5:OT5)</f>
        <v>57106573</v>
      </c>
      <c r="OV5" s="95">
        <v>947500</v>
      </c>
      <c r="OW5" s="95">
        <v>1358900</v>
      </c>
      <c r="OX5" s="95">
        <v>2014100</v>
      </c>
      <c r="OY5" s="95">
        <v>2974000</v>
      </c>
      <c r="OZ5" s="95">
        <v>2374500</v>
      </c>
      <c r="PA5" s="95">
        <v>1228000</v>
      </c>
      <c r="PB5" s="95">
        <v>1187500</v>
      </c>
      <c r="PC5" s="95">
        <v>1214000</v>
      </c>
      <c r="PD5" s="95">
        <v>1520000</v>
      </c>
      <c r="PE5" s="95">
        <v>2447500</v>
      </c>
      <c r="PF5" s="95">
        <v>1702300</v>
      </c>
      <c r="PG5" s="95">
        <v>619500</v>
      </c>
      <c r="PH5" s="95">
        <v>2894600</v>
      </c>
      <c r="PI5" s="95">
        <v>829400</v>
      </c>
      <c r="PJ5" s="95">
        <v>1721500</v>
      </c>
      <c r="PK5" s="95">
        <v>1283000</v>
      </c>
      <c r="PL5" s="95">
        <v>712000</v>
      </c>
      <c r="PM5" s="95">
        <v>2373000</v>
      </c>
      <c r="PN5" s="95">
        <v>1161100</v>
      </c>
      <c r="PO5" s="95">
        <v>740000</v>
      </c>
      <c r="PP5" s="95">
        <v>422000</v>
      </c>
      <c r="PQ5" s="95">
        <v>1482000</v>
      </c>
      <c r="PR5" s="95">
        <v>924500</v>
      </c>
      <c r="PS5" s="95">
        <v>1501000</v>
      </c>
      <c r="PT5" s="95">
        <v>852000</v>
      </c>
      <c r="PU5" s="95">
        <v>1416714</v>
      </c>
      <c r="PV5" s="95">
        <v>868000</v>
      </c>
      <c r="PW5" s="95">
        <v>626500</v>
      </c>
      <c r="PX5" s="95">
        <v>1067675</v>
      </c>
      <c r="PY5" s="95">
        <v>1623400</v>
      </c>
      <c r="PZ5" s="133">
        <f>SUM(OV5:PY5)</f>
        <v>42086189</v>
      </c>
      <c r="QA5" s="95">
        <v>1145000</v>
      </c>
      <c r="QB5" s="95">
        <v>740000</v>
      </c>
      <c r="QC5" s="95">
        <v>1339000</v>
      </c>
      <c r="QD5" s="95">
        <v>1784600</v>
      </c>
      <c r="QE5" s="95">
        <v>1214000</v>
      </c>
      <c r="QF5" s="95">
        <v>2010100</v>
      </c>
      <c r="QG5" s="95">
        <v>1409000</v>
      </c>
      <c r="QH5" s="95">
        <v>1523000</v>
      </c>
      <c r="QI5" s="95">
        <v>1283750</v>
      </c>
      <c r="QJ5" s="95">
        <v>865250</v>
      </c>
      <c r="QK5" s="95">
        <v>1958900</v>
      </c>
      <c r="QL5" s="95">
        <v>1147000</v>
      </c>
      <c r="QM5" s="95">
        <v>1577500</v>
      </c>
      <c r="QN5" s="95">
        <v>1405000</v>
      </c>
      <c r="QO5" s="95">
        <v>2060000</v>
      </c>
      <c r="QP5" s="95">
        <v>636000</v>
      </c>
      <c r="QQ5" s="95">
        <v>1711000</v>
      </c>
      <c r="QR5" s="95">
        <v>1315000</v>
      </c>
      <c r="QS5" s="95">
        <v>4169700</v>
      </c>
      <c r="QT5" s="95">
        <v>853500</v>
      </c>
      <c r="QU5" s="95">
        <v>831500</v>
      </c>
      <c r="QV5" s="95">
        <v>1104500</v>
      </c>
      <c r="QW5" s="95">
        <v>1050485</v>
      </c>
      <c r="QX5" s="95">
        <v>939985</v>
      </c>
      <c r="QY5" s="95">
        <v>1774000</v>
      </c>
      <c r="QZ5" s="95">
        <v>596000</v>
      </c>
      <c r="RA5" s="95">
        <v>1093500</v>
      </c>
      <c r="RB5" s="95">
        <v>1490750</v>
      </c>
      <c r="RC5" s="95">
        <v>2072300</v>
      </c>
      <c r="RD5" s="95">
        <v>1685000</v>
      </c>
      <c r="RE5" s="95">
        <v>2108908</v>
      </c>
      <c r="RF5" s="133">
        <f>SUM(QA5:RE5)</f>
        <v>44894228</v>
      </c>
      <c r="RG5" s="95">
        <v>1267000</v>
      </c>
      <c r="RH5" s="95">
        <v>626648</v>
      </c>
      <c r="RI5" s="95">
        <v>1975000</v>
      </c>
      <c r="RJ5" s="95">
        <v>1515380</v>
      </c>
      <c r="RK5" s="95">
        <v>972785</v>
      </c>
      <c r="RL5" s="95">
        <v>1026000</v>
      </c>
      <c r="RM5" s="95">
        <v>1492000</v>
      </c>
      <c r="RN5" s="95">
        <v>844000</v>
      </c>
      <c r="RO5" s="95">
        <v>1084000</v>
      </c>
      <c r="RP5" s="95">
        <v>993500</v>
      </c>
      <c r="RQ5" s="95">
        <v>1229000</v>
      </c>
      <c r="RR5" s="95">
        <v>1433285</v>
      </c>
      <c r="RS5" s="95">
        <v>1174304</v>
      </c>
      <c r="RT5" s="95">
        <v>1170400</v>
      </c>
      <c r="RU5" s="95">
        <v>1685500</v>
      </c>
      <c r="RV5" s="95">
        <v>1750500</v>
      </c>
      <c r="RW5" s="95">
        <v>1255500</v>
      </c>
      <c r="RX5" s="95">
        <v>2286285</v>
      </c>
      <c r="RY5" s="95">
        <v>2582300</v>
      </c>
      <c r="RZ5" s="95">
        <v>1316500</v>
      </c>
      <c r="SA5" s="95">
        <v>710500</v>
      </c>
      <c r="SB5" s="95">
        <v>1230500</v>
      </c>
      <c r="SC5" s="95">
        <v>1655500</v>
      </c>
      <c r="SD5" s="95">
        <v>2170740</v>
      </c>
      <c r="SE5" s="95">
        <v>2753500</v>
      </c>
      <c r="SF5" s="95">
        <v>1166755</v>
      </c>
      <c r="SG5" s="95">
        <v>1054800</v>
      </c>
      <c r="SH5" s="95">
        <v>1045000</v>
      </c>
      <c r="SI5" s="95">
        <v>1615900</v>
      </c>
      <c r="SJ5" s="95">
        <v>1176049</v>
      </c>
      <c r="SK5" s="133">
        <f>SUM(RG5:SJ5)</f>
        <v>42259131</v>
      </c>
      <c r="SL5" s="95">
        <v>861500</v>
      </c>
      <c r="SM5" s="95">
        <v>1074355</v>
      </c>
      <c r="SN5" s="95">
        <v>1597000</v>
      </c>
      <c r="SO5" s="95">
        <v>1542000</v>
      </c>
      <c r="SP5" s="95">
        <v>1968868</v>
      </c>
      <c r="SQ5" s="95">
        <v>1706000</v>
      </c>
      <c r="SR5" s="95">
        <v>1294000</v>
      </c>
      <c r="SS5" s="95">
        <v>678000</v>
      </c>
      <c r="ST5" s="95">
        <v>2844355</v>
      </c>
      <c r="SU5" s="95">
        <v>1632350</v>
      </c>
      <c r="SV5" s="95">
        <v>854000</v>
      </c>
      <c r="SW5" s="95">
        <v>1259000</v>
      </c>
      <c r="SX5" s="95">
        <v>2575000</v>
      </c>
      <c r="SY5" s="95">
        <v>829000</v>
      </c>
      <c r="SZ5" s="95">
        <v>2259840</v>
      </c>
      <c r="TA5" s="95">
        <v>1790355</v>
      </c>
      <c r="TB5" s="95">
        <v>1891560</v>
      </c>
      <c r="TC5" s="95">
        <v>2340000</v>
      </c>
      <c r="TD5" s="95">
        <v>2092230</v>
      </c>
      <c r="TE5" s="95">
        <v>1170000</v>
      </c>
      <c r="TF5" s="95">
        <v>1300500</v>
      </c>
      <c r="TG5" s="95">
        <v>1575033</v>
      </c>
      <c r="TH5" s="95">
        <v>982355</v>
      </c>
      <c r="TI5" s="95">
        <v>2000000</v>
      </c>
      <c r="TJ5" s="95">
        <v>1085000</v>
      </c>
      <c r="TK5" s="95">
        <v>947000</v>
      </c>
      <c r="TL5" s="95">
        <v>1260500</v>
      </c>
      <c r="TM5" s="95">
        <v>1830000</v>
      </c>
      <c r="TN5" s="95">
        <v>1073000</v>
      </c>
      <c r="TO5" s="95">
        <v>708000</v>
      </c>
      <c r="TP5" s="95">
        <v>1759910</v>
      </c>
      <c r="TQ5" s="133">
        <f>SUM(SL5:TP5)</f>
        <v>46780711</v>
      </c>
      <c r="TR5" s="95">
        <v>353474</v>
      </c>
      <c r="TS5" s="95">
        <v>1026000</v>
      </c>
      <c r="TT5" s="95">
        <v>1354000</v>
      </c>
      <c r="TU5" s="95">
        <v>707560</v>
      </c>
      <c r="TV5" s="95">
        <v>1308000</v>
      </c>
      <c r="TW5" s="95">
        <v>845355</v>
      </c>
      <c r="TX5" s="95">
        <v>776000</v>
      </c>
      <c r="TY5" s="95">
        <v>1414500</v>
      </c>
      <c r="TZ5" s="95">
        <v>1806000</v>
      </c>
      <c r="UA5" s="95">
        <v>2354000</v>
      </c>
      <c r="UB5" s="95">
        <v>1835000</v>
      </c>
      <c r="UC5" s="95">
        <v>747000</v>
      </c>
      <c r="UD5" s="95">
        <v>960000</v>
      </c>
      <c r="UE5" s="95">
        <v>1686061</v>
      </c>
      <c r="UF5" s="95">
        <v>1732500</v>
      </c>
      <c r="UG5" s="95">
        <v>1172000</v>
      </c>
      <c r="UH5" s="95">
        <v>1116700</v>
      </c>
      <c r="UI5" s="95">
        <v>1748000</v>
      </c>
      <c r="UJ5" s="95">
        <v>950000</v>
      </c>
      <c r="UK5" s="95">
        <v>1577355</v>
      </c>
      <c r="UL5" s="95">
        <v>1413000</v>
      </c>
      <c r="UM5" s="95">
        <v>1553000</v>
      </c>
      <c r="UN5" s="95">
        <v>1473000</v>
      </c>
      <c r="UO5" s="95">
        <v>1733058</v>
      </c>
      <c r="UP5" s="95">
        <v>1290800</v>
      </c>
      <c r="UQ5" s="95">
        <v>1771500</v>
      </c>
      <c r="UR5" s="95">
        <v>912655</v>
      </c>
      <c r="US5" s="95">
        <v>1415000</v>
      </c>
      <c r="UT5" s="95">
        <v>598000</v>
      </c>
      <c r="UU5" s="95">
        <v>975000</v>
      </c>
      <c r="UV5" s="95">
        <v>1190241</v>
      </c>
      <c r="UW5" s="133">
        <f>SUM(TR5:UV5)</f>
        <v>39794759</v>
      </c>
      <c r="UX5" s="95">
        <v>2338275</v>
      </c>
      <c r="UY5" s="95">
        <v>1534000</v>
      </c>
      <c r="UZ5" s="95">
        <v>774000</v>
      </c>
      <c r="VA5" s="95">
        <v>3229000</v>
      </c>
      <c r="VB5" s="95">
        <v>1496900</v>
      </c>
      <c r="VC5" s="95">
        <v>1212000</v>
      </c>
      <c r="VD5" s="95">
        <v>446900</v>
      </c>
      <c r="VE5" s="95">
        <v>1182000</v>
      </c>
      <c r="VF5" s="95">
        <v>1342000</v>
      </c>
      <c r="VG5" s="95">
        <v>1559500</v>
      </c>
      <c r="VH5" s="95">
        <v>2429000</v>
      </c>
      <c r="VI5" s="95">
        <v>1141500</v>
      </c>
      <c r="VJ5" s="95">
        <v>1779852</v>
      </c>
      <c r="VK5" s="95">
        <v>1360350</v>
      </c>
      <c r="VL5" s="95">
        <v>1431900</v>
      </c>
      <c r="VM5" s="95">
        <v>2328000</v>
      </c>
      <c r="VN5" s="95">
        <v>694384</v>
      </c>
      <c r="VO5" s="95">
        <v>1181490</v>
      </c>
      <c r="VP5" s="95">
        <v>779970</v>
      </c>
      <c r="VQ5" s="95">
        <v>2053000</v>
      </c>
      <c r="VR5" s="95">
        <v>1687000</v>
      </c>
      <c r="VS5" s="95">
        <v>1416000</v>
      </c>
      <c r="VT5" s="95">
        <v>998096</v>
      </c>
      <c r="VU5" s="95">
        <v>979000</v>
      </c>
      <c r="VV5" s="95">
        <v>2288200</v>
      </c>
      <c r="VW5" s="95">
        <v>1209000</v>
      </c>
      <c r="VX5" s="95">
        <v>1479710</v>
      </c>
      <c r="VY5" s="95">
        <v>1340000</v>
      </c>
      <c r="VZ5" s="133">
        <f>SUM(UX5:VY5)</f>
        <v>41691027</v>
      </c>
      <c r="WA5" s="95">
        <v>1793000</v>
      </c>
      <c r="WB5" s="95">
        <v>767800</v>
      </c>
      <c r="WC5" s="95">
        <v>1308417</v>
      </c>
      <c r="WD5" s="95">
        <v>1200000</v>
      </c>
      <c r="WE5" s="95">
        <v>1136000</v>
      </c>
      <c r="WF5" s="95">
        <v>879000</v>
      </c>
      <c r="WG5" s="95">
        <v>1398000</v>
      </c>
      <c r="WH5" s="95">
        <v>1195710</v>
      </c>
      <c r="WI5" s="95">
        <v>882000</v>
      </c>
      <c r="WJ5" s="95">
        <v>1475000</v>
      </c>
      <c r="WK5" s="95">
        <v>1826000</v>
      </c>
      <c r="WL5" s="95">
        <v>957500</v>
      </c>
      <c r="WM5" s="95">
        <v>1655000</v>
      </c>
      <c r="WN5" s="95">
        <v>545000</v>
      </c>
      <c r="WO5" s="95">
        <v>1730000</v>
      </c>
      <c r="WP5" s="95">
        <v>966700</v>
      </c>
      <c r="WQ5" s="95">
        <v>998000</v>
      </c>
      <c r="WR5" s="95">
        <v>0</v>
      </c>
      <c r="WS5" s="95">
        <v>773500</v>
      </c>
      <c r="WT5" s="95">
        <v>1114962</v>
      </c>
      <c r="WU5" s="95">
        <v>1188000</v>
      </c>
      <c r="WV5" s="95">
        <v>2092000</v>
      </c>
      <c r="WW5" s="95">
        <v>1486000</v>
      </c>
      <c r="WX5" s="95">
        <v>1547000</v>
      </c>
      <c r="WY5" s="95">
        <v>2942000</v>
      </c>
      <c r="WZ5" s="95">
        <v>837000</v>
      </c>
      <c r="XA5" s="95">
        <v>2102000</v>
      </c>
      <c r="XB5" s="95">
        <v>1461000</v>
      </c>
      <c r="XC5" s="95">
        <v>1935500</v>
      </c>
      <c r="XD5" s="95">
        <v>907000</v>
      </c>
      <c r="XE5" s="95">
        <v>2456059</v>
      </c>
      <c r="XF5" s="133">
        <f>SUM(WA5:XE5)</f>
        <v>41555148</v>
      </c>
      <c r="XG5" s="95">
        <v>1335500</v>
      </c>
      <c r="XH5" s="95">
        <v>1223000</v>
      </c>
      <c r="XI5" s="95">
        <v>1796400</v>
      </c>
      <c r="XJ5" s="95">
        <v>1669620</v>
      </c>
      <c r="XK5" s="95">
        <v>987000</v>
      </c>
      <c r="XL5" s="95">
        <v>2099520</v>
      </c>
      <c r="XM5" s="95">
        <v>1922587</v>
      </c>
      <c r="XN5" s="95">
        <v>1718200</v>
      </c>
      <c r="XO5" s="95">
        <v>1281540</v>
      </c>
      <c r="XP5" s="95">
        <v>1406800</v>
      </c>
      <c r="XQ5" s="95">
        <v>3226734</v>
      </c>
      <c r="XR5" s="95">
        <v>1601743</v>
      </c>
      <c r="XS5" s="95">
        <v>1498000</v>
      </c>
      <c r="XT5" s="95">
        <v>1722000</v>
      </c>
      <c r="XU5" s="95">
        <v>2090826</v>
      </c>
      <c r="XV5" s="95">
        <v>1640550</v>
      </c>
      <c r="XW5" s="95">
        <v>1180000</v>
      </c>
      <c r="XX5" s="95">
        <v>2219900</v>
      </c>
      <c r="XY5" s="95">
        <v>2042700</v>
      </c>
      <c r="XZ5" s="95">
        <v>1665000</v>
      </c>
      <c r="YA5" s="95">
        <v>1651000</v>
      </c>
      <c r="YB5" s="95">
        <v>847500</v>
      </c>
      <c r="YC5" s="95">
        <v>946000</v>
      </c>
      <c r="YD5" s="95">
        <v>1965000</v>
      </c>
      <c r="YE5" s="95">
        <v>3158207</v>
      </c>
      <c r="YF5" s="95">
        <v>1514000</v>
      </c>
      <c r="YG5" s="95">
        <v>1588000</v>
      </c>
      <c r="YH5" s="95">
        <v>1262000</v>
      </c>
      <c r="YI5" s="95">
        <v>677500</v>
      </c>
      <c r="YJ5" s="95">
        <v>939000</v>
      </c>
      <c r="YK5" s="133">
        <f>SUM(XF5:YJ5)</f>
        <v>90430975</v>
      </c>
      <c r="YL5" s="95">
        <v>1639500</v>
      </c>
      <c r="YM5" s="95">
        <v>2209500</v>
      </c>
      <c r="YN5" s="95">
        <v>1083000</v>
      </c>
      <c r="YO5" s="95">
        <v>618600</v>
      </c>
      <c r="YP5" s="95">
        <v>1447000</v>
      </c>
      <c r="YQ5" s="95">
        <v>902000</v>
      </c>
      <c r="YR5" s="95">
        <v>820000</v>
      </c>
      <c r="YS5" s="95">
        <v>300000</v>
      </c>
      <c r="YT5" s="95">
        <v>1322222</v>
      </c>
      <c r="YU5" s="95">
        <v>1256000</v>
      </c>
      <c r="YV5" s="95">
        <v>1026000</v>
      </c>
      <c r="YW5" s="95">
        <v>1207000</v>
      </c>
      <c r="YX5" s="95">
        <v>1634100</v>
      </c>
      <c r="YY5" s="95">
        <v>1019000</v>
      </c>
      <c r="YZ5" s="95">
        <v>955000</v>
      </c>
      <c r="ZA5" s="95">
        <v>1267179</v>
      </c>
      <c r="ZB5" s="95">
        <v>1449000</v>
      </c>
      <c r="ZC5" s="95">
        <v>1049800</v>
      </c>
      <c r="ZD5" s="95">
        <v>956000</v>
      </c>
      <c r="ZE5" s="95">
        <v>1937059</v>
      </c>
      <c r="ZF5" s="95">
        <v>1925000</v>
      </c>
      <c r="ZG5" s="95">
        <v>1302000</v>
      </c>
      <c r="ZH5" s="95">
        <v>1800000</v>
      </c>
      <c r="ZI5" s="95">
        <v>1537000</v>
      </c>
      <c r="ZJ5" s="95">
        <v>1018000</v>
      </c>
      <c r="ZK5" s="95">
        <v>2519750</v>
      </c>
      <c r="ZL5" s="95">
        <v>1507000</v>
      </c>
      <c r="ZM5" s="95">
        <v>1362500</v>
      </c>
      <c r="ZN5" s="95">
        <v>2789000</v>
      </c>
      <c r="ZO5" s="95">
        <v>1091000</v>
      </c>
      <c r="ZP5" s="95">
        <v>1843000</v>
      </c>
      <c r="ZQ5" s="133">
        <f>SUM(YL5:ZP5)</f>
        <v>42792210</v>
      </c>
      <c r="ZR5" s="95">
        <v>1001000</v>
      </c>
      <c r="ZS5" s="95">
        <v>2577500</v>
      </c>
      <c r="ZT5" s="95">
        <v>1070000</v>
      </c>
      <c r="ZU5" s="95">
        <v>1873000</v>
      </c>
      <c r="ZV5" s="95">
        <v>1305000</v>
      </c>
      <c r="ZW5" s="95">
        <v>865000</v>
      </c>
      <c r="ZX5" s="95">
        <v>1109126</v>
      </c>
      <c r="ZY5" s="95">
        <v>896000</v>
      </c>
      <c r="ZZ5" s="95">
        <v>577000</v>
      </c>
      <c r="AAA5" s="95">
        <v>760000</v>
      </c>
      <c r="AAB5" s="95">
        <v>570500</v>
      </c>
      <c r="AAC5" s="95">
        <v>986000</v>
      </c>
      <c r="AAD5" s="95">
        <v>1238910</v>
      </c>
      <c r="AAE5" s="95">
        <v>1803000</v>
      </c>
      <c r="AAF5" s="95">
        <v>1769000</v>
      </c>
      <c r="AAG5" s="95">
        <v>1166331</v>
      </c>
      <c r="AAH5" s="95">
        <v>1083000</v>
      </c>
      <c r="AAI5" s="95">
        <v>1913000</v>
      </c>
      <c r="AAJ5" s="95">
        <v>1152500</v>
      </c>
      <c r="AAK5" s="95">
        <v>3011624</v>
      </c>
      <c r="AAL5" s="95">
        <v>1532000</v>
      </c>
      <c r="AAM5" s="95">
        <v>1725200</v>
      </c>
      <c r="AAN5" s="95">
        <v>1507000</v>
      </c>
      <c r="AAO5" s="95">
        <v>1281000</v>
      </c>
      <c r="AAP5" s="95">
        <v>1384450</v>
      </c>
      <c r="AAQ5" s="95">
        <v>1794000</v>
      </c>
      <c r="AAR5" s="95">
        <v>1074000</v>
      </c>
      <c r="AAS5" s="95">
        <v>2144905</v>
      </c>
      <c r="AAT5" s="95">
        <v>1223000</v>
      </c>
      <c r="AAU5" s="95">
        <v>1762500</v>
      </c>
      <c r="AAV5" s="133">
        <f>SUM(ZR5:AAU5)</f>
        <v>42155546</v>
      </c>
      <c r="AAW5" s="95">
        <v>2785500</v>
      </c>
      <c r="AAX5" s="95">
        <v>2495500</v>
      </c>
      <c r="AAY5" s="95">
        <v>690000</v>
      </c>
      <c r="AAZ5" s="95">
        <v>1472950</v>
      </c>
      <c r="ABA5" s="95">
        <v>1637000</v>
      </c>
      <c r="ABB5" s="95">
        <v>1435620</v>
      </c>
      <c r="ABC5" s="95">
        <v>522000</v>
      </c>
      <c r="ABD5" s="95">
        <v>2259300</v>
      </c>
      <c r="ABE5" s="95">
        <v>1249800</v>
      </c>
      <c r="ABF5" s="95">
        <v>784800</v>
      </c>
      <c r="ABG5" s="95">
        <v>1543000</v>
      </c>
      <c r="ABH5" s="95">
        <v>2222000</v>
      </c>
      <c r="ABI5" s="95">
        <v>2834100</v>
      </c>
      <c r="ABJ5" s="95">
        <v>2086000</v>
      </c>
      <c r="ABK5" s="95">
        <v>2130000</v>
      </c>
      <c r="ABL5" s="95">
        <v>1464423</v>
      </c>
      <c r="ABM5" s="95">
        <v>1012000</v>
      </c>
      <c r="ABN5" s="95">
        <v>2304000</v>
      </c>
      <c r="ABO5" s="95">
        <v>1219000</v>
      </c>
      <c r="ABP5" s="95">
        <v>1872000</v>
      </c>
      <c r="ABQ5" s="95">
        <v>1451756</v>
      </c>
      <c r="ABR5" s="95">
        <v>1703000</v>
      </c>
      <c r="ABS5" s="95">
        <v>1161000</v>
      </c>
      <c r="ABT5" s="95">
        <v>1376919</v>
      </c>
      <c r="ABU5" s="95">
        <v>3343700</v>
      </c>
      <c r="ABV5" s="95">
        <v>2548165</v>
      </c>
      <c r="ABW5" s="95">
        <v>1789000</v>
      </c>
      <c r="ABX5" s="95">
        <v>2167500</v>
      </c>
      <c r="ABY5" s="95">
        <v>2920555</v>
      </c>
      <c r="ABZ5" s="95">
        <v>856000</v>
      </c>
      <c r="ACA5" s="95">
        <v>1518122</v>
      </c>
      <c r="ACB5" s="133">
        <f>SUM(AAX5:ACA5)</f>
        <v>52069210</v>
      </c>
      <c r="ACC5" s="95">
        <v>880000</v>
      </c>
      <c r="ACD5" s="95">
        <v>2694000</v>
      </c>
      <c r="ACE5" s="95">
        <v>715000</v>
      </c>
      <c r="ACF5" s="95">
        <v>1902000</v>
      </c>
      <c r="ACG5" s="95">
        <v>1794000</v>
      </c>
      <c r="ACH5" s="95">
        <v>2131000</v>
      </c>
      <c r="ACI5" s="95">
        <v>1135000</v>
      </c>
      <c r="ACJ5" s="95">
        <v>1842500</v>
      </c>
      <c r="ACK5" s="95">
        <v>1679000</v>
      </c>
      <c r="ACL5" s="95">
        <v>1831500</v>
      </c>
      <c r="ACM5" s="95">
        <v>1384000</v>
      </c>
      <c r="ACN5" s="95">
        <v>1030100</v>
      </c>
      <c r="ACO5" s="95">
        <v>1275000</v>
      </c>
      <c r="ACP5" s="95">
        <v>1949636</v>
      </c>
      <c r="ACQ5" s="95">
        <v>1883000</v>
      </c>
      <c r="ACR5" s="95">
        <v>1315000</v>
      </c>
      <c r="ACS5" s="95">
        <v>1908831</v>
      </c>
      <c r="ACT5" s="95">
        <v>965000</v>
      </c>
      <c r="ACU5" s="95">
        <v>1316000</v>
      </c>
      <c r="ACV5" s="95">
        <v>1061000</v>
      </c>
      <c r="ACW5" s="95">
        <v>899500</v>
      </c>
      <c r="ACX5" s="95">
        <v>1284500</v>
      </c>
      <c r="ACY5" s="95">
        <v>1039841</v>
      </c>
      <c r="ACZ5" s="95">
        <v>1944500</v>
      </c>
      <c r="ADA5" s="95">
        <v>1203400</v>
      </c>
      <c r="ADB5" s="95">
        <v>190000</v>
      </c>
      <c r="ADC5" s="95">
        <v>1313810</v>
      </c>
      <c r="ADD5" s="95">
        <v>1376000</v>
      </c>
      <c r="ADE5" s="95">
        <v>2718047</v>
      </c>
      <c r="ADF5" s="95">
        <v>942500</v>
      </c>
      <c r="ADG5" s="95">
        <v>1488000</v>
      </c>
      <c r="ADH5" s="133">
        <f>SUM(ACC5:ADG5)</f>
        <v>45091665</v>
      </c>
      <c r="ADI5" s="95">
        <v>1329841</v>
      </c>
      <c r="ADJ5" s="95">
        <v>1307000</v>
      </c>
      <c r="ADK5" s="95">
        <v>965500</v>
      </c>
      <c r="ADL5" s="95">
        <v>1118000</v>
      </c>
      <c r="ADM5" s="95">
        <v>1168000</v>
      </c>
      <c r="ADN5" s="95">
        <v>1031500</v>
      </c>
      <c r="ADO5" s="95">
        <v>1091000</v>
      </c>
      <c r="ADP5" s="95">
        <v>1293258</v>
      </c>
      <c r="ADQ5" s="95">
        <v>2401300</v>
      </c>
      <c r="ADR5" s="95">
        <v>1708000</v>
      </c>
      <c r="ADS5" s="95">
        <v>2010800</v>
      </c>
      <c r="ADT5" s="95">
        <v>2558500</v>
      </c>
      <c r="ADU5" s="95">
        <v>1596000</v>
      </c>
      <c r="ADV5" s="95">
        <v>843095</v>
      </c>
      <c r="ADW5" s="95">
        <v>1831000</v>
      </c>
      <c r="ADX5" s="95">
        <v>1046000</v>
      </c>
      <c r="ADY5" s="95">
        <v>1386000</v>
      </c>
      <c r="ADZ5" s="95">
        <v>1149500</v>
      </c>
      <c r="AEA5" s="95">
        <v>1362500</v>
      </c>
      <c r="AEB5" s="95">
        <v>1764900</v>
      </c>
      <c r="AEC5" s="95">
        <v>1399000</v>
      </c>
      <c r="AED5" s="95">
        <v>1269500</v>
      </c>
      <c r="AEE5" s="95">
        <v>1351000</v>
      </c>
      <c r="AEF5" s="95">
        <v>775000</v>
      </c>
      <c r="AEG5" s="95">
        <v>596000</v>
      </c>
      <c r="AEH5" s="95">
        <v>1415000</v>
      </c>
      <c r="AEI5" s="95">
        <v>1336000</v>
      </c>
      <c r="AEJ5" s="95">
        <v>613500</v>
      </c>
      <c r="AEK5" s="95">
        <v>1426595</v>
      </c>
      <c r="AEL5" s="95">
        <v>3026000</v>
      </c>
      <c r="AEM5" s="133">
        <f>SUM(ADI5:AEL5)</f>
        <v>42169289</v>
      </c>
      <c r="AEN5" s="95">
        <v>1106700</v>
      </c>
      <c r="AEO5" s="95">
        <v>1305000</v>
      </c>
      <c r="AEP5" s="95">
        <v>1132000</v>
      </c>
      <c r="AEQ5" s="95">
        <v>1816506</v>
      </c>
      <c r="AER5" s="95">
        <v>1511595</v>
      </c>
      <c r="AES5" s="95">
        <v>456000</v>
      </c>
      <c r="AET5" s="95">
        <v>868000</v>
      </c>
      <c r="AEU5" s="95">
        <v>1516000</v>
      </c>
      <c r="AEV5" s="95">
        <v>2305000</v>
      </c>
      <c r="AEW5" s="95">
        <v>1115000</v>
      </c>
      <c r="AEX5" s="95">
        <v>1866609</v>
      </c>
      <c r="AEY5" s="95">
        <v>1938632</v>
      </c>
      <c r="AEZ5" s="95">
        <v>1668000</v>
      </c>
      <c r="AFA5" s="95">
        <v>2289500</v>
      </c>
      <c r="AFB5" s="95">
        <v>1227000</v>
      </c>
      <c r="AFC5" s="95">
        <v>1079000</v>
      </c>
      <c r="AFD5" s="95">
        <v>1200500</v>
      </c>
      <c r="AFE5" s="95">
        <v>1198100</v>
      </c>
      <c r="AFF5" s="95">
        <v>1668000</v>
      </c>
      <c r="AFG5" s="95">
        <v>1181000</v>
      </c>
      <c r="AFH5" s="95">
        <v>1140000</v>
      </c>
      <c r="AFI5" s="95">
        <v>1120000</v>
      </c>
      <c r="AFJ5" s="95">
        <v>1875206</v>
      </c>
      <c r="AFK5" s="95">
        <v>1968848</v>
      </c>
      <c r="AFL5" s="95">
        <v>2085000</v>
      </c>
      <c r="AFM5" s="95">
        <v>1869600</v>
      </c>
      <c r="AFN5" s="95">
        <v>979000</v>
      </c>
      <c r="AFO5" s="95">
        <v>760000</v>
      </c>
      <c r="AFP5" s="95">
        <v>1840500</v>
      </c>
      <c r="AFQ5" s="95">
        <v>2492800</v>
      </c>
      <c r="AFR5" s="95">
        <v>1472000</v>
      </c>
      <c r="AFS5" s="133">
        <f>SUM(AEN5:AFR5)</f>
        <v>46051096</v>
      </c>
      <c r="AFT5" s="95">
        <v>2164800</v>
      </c>
      <c r="AFU5" s="95">
        <v>2186435</v>
      </c>
      <c r="AFV5" s="95">
        <v>838600</v>
      </c>
      <c r="AFW5" s="95">
        <v>1976800</v>
      </c>
      <c r="AFX5" s="95">
        <v>2283800</v>
      </c>
      <c r="AFY5" s="95">
        <v>2140255</v>
      </c>
      <c r="AFZ5" s="95">
        <v>662000</v>
      </c>
      <c r="AGA5" s="95">
        <v>30000</v>
      </c>
      <c r="AGF5">
        <v>0</v>
      </c>
      <c r="AGX5" s="133">
        <f>SUM(AFT5:AGW5)</f>
        <v>12282690</v>
      </c>
      <c r="AID5" s="133">
        <f>SUM(AGZ5:AIC5)</f>
        <v>0</v>
      </c>
      <c r="AJJ5" s="133">
        <f>SUM(AIF5:AJI5)</f>
        <v>0</v>
      </c>
      <c r="AKM5" s="133">
        <f>SUM(AJI5:AKL5)</f>
        <v>0</v>
      </c>
      <c r="ALS5" s="133">
        <f>SUM(AKO5:ALR5)</f>
        <v>0</v>
      </c>
      <c r="AMC5">
        <v>10000</v>
      </c>
      <c r="AMX5" s="133">
        <f>SUM(ALT5:AMW5)</f>
        <v>10000</v>
      </c>
      <c r="ANS5">
        <v>284000</v>
      </c>
      <c r="ANT5">
        <v>753500</v>
      </c>
      <c r="ANU5">
        <v>856000</v>
      </c>
      <c r="ANV5">
        <v>742300</v>
      </c>
      <c r="ANW5">
        <v>2482975</v>
      </c>
      <c r="ANX5">
        <v>3207095</v>
      </c>
      <c r="ANY5">
        <v>474400</v>
      </c>
      <c r="ANZ5">
        <v>1656250</v>
      </c>
      <c r="AOA5">
        <v>1653800</v>
      </c>
      <c r="AOB5">
        <v>2389033</v>
      </c>
      <c r="AOC5">
        <v>1055808</v>
      </c>
    </row>
    <row r="6" spans="1:1069" x14ac:dyDescent="0.2">
      <c r="A6" s="85" t="s">
        <v>1091</v>
      </c>
      <c r="B6" s="40">
        <v>710000</v>
      </c>
      <c r="C6" s="40">
        <v>330000</v>
      </c>
      <c r="D6" s="40">
        <v>55000</v>
      </c>
      <c r="E6" s="40">
        <v>1316400</v>
      </c>
      <c r="F6" s="40">
        <v>1692230</v>
      </c>
      <c r="G6" s="40">
        <v>1004268</v>
      </c>
      <c r="H6" s="40">
        <v>372000</v>
      </c>
      <c r="I6" s="40">
        <v>472250</v>
      </c>
      <c r="J6" s="40">
        <v>490000</v>
      </c>
      <c r="K6" s="40">
        <v>771000</v>
      </c>
      <c r="L6" s="40">
        <v>2024588</v>
      </c>
      <c r="M6" s="40">
        <v>440000</v>
      </c>
      <c r="N6" s="40">
        <v>913865</v>
      </c>
      <c r="O6" s="40">
        <v>585000</v>
      </c>
      <c r="P6" s="40">
        <v>170000</v>
      </c>
      <c r="Q6" s="40">
        <v>887317</v>
      </c>
      <c r="R6" s="40">
        <v>164000</v>
      </c>
      <c r="S6" s="40">
        <v>641000</v>
      </c>
      <c r="T6" s="40">
        <f>837500+(563500)</f>
        <v>1401000</v>
      </c>
      <c r="U6" s="40">
        <v>260000</v>
      </c>
      <c r="V6" s="40">
        <v>492000</v>
      </c>
      <c r="W6" s="40">
        <v>360000</v>
      </c>
      <c r="X6" s="40">
        <v>1266321</v>
      </c>
      <c r="Y6" s="40">
        <v>835700</v>
      </c>
      <c r="Z6" s="40">
        <v>1106385</v>
      </c>
      <c r="AA6" s="40">
        <v>488300</v>
      </c>
      <c r="AB6" s="40">
        <v>1433857</v>
      </c>
      <c r="AC6" s="40">
        <v>575000</v>
      </c>
      <c r="AD6" s="40">
        <v>623000</v>
      </c>
      <c r="AE6" s="40">
        <v>1086000</v>
      </c>
      <c r="AF6" s="40">
        <v>415000</v>
      </c>
      <c r="AG6" s="100">
        <f>SUM(B6:AF6)</f>
        <v>23381481</v>
      </c>
      <c r="AH6" s="92">
        <v>897366</v>
      </c>
      <c r="AI6" s="92">
        <v>886028</v>
      </c>
      <c r="AJ6" s="92">
        <v>830500</v>
      </c>
      <c r="AK6" s="92">
        <v>555941</v>
      </c>
      <c r="AL6" s="92">
        <v>518000</v>
      </c>
      <c r="AM6" s="92">
        <v>312000</v>
      </c>
      <c r="AN6" s="92">
        <v>494503</v>
      </c>
      <c r="AO6" s="92">
        <v>575746</v>
      </c>
      <c r="AP6" s="92">
        <v>455000</v>
      </c>
      <c r="AQ6" s="92">
        <v>634000</v>
      </c>
      <c r="AR6" s="92">
        <v>415822</v>
      </c>
      <c r="AS6" s="92">
        <v>400600</v>
      </c>
      <c r="AT6" s="92">
        <v>1052000</v>
      </c>
      <c r="AU6" s="92">
        <v>886500</v>
      </c>
      <c r="AV6">
        <f>190000+170000</f>
        <v>360000</v>
      </c>
      <c r="AW6" s="102">
        <v>470200</v>
      </c>
      <c r="AX6" s="102">
        <v>520000</v>
      </c>
      <c r="AY6" s="102">
        <v>426000</v>
      </c>
      <c r="AZ6" s="102">
        <v>260000</v>
      </c>
      <c r="BA6" s="102">
        <v>257000</v>
      </c>
      <c r="BB6" s="102">
        <v>465000</v>
      </c>
      <c r="BC6" s="102">
        <v>522000</v>
      </c>
      <c r="BD6" s="102">
        <v>300900</v>
      </c>
      <c r="BE6" s="102">
        <v>549042</v>
      </c>
      <c r="BF6" s="102">
        <v>425958</v>
      </c>
      <c r="BG6" s="102">
        <v>728000</v>
      </c>
      <c r="BH6" s="102">
        <v>895800</v>
      </c>
      <c r="BI6" s="102">
        <v>771833</v>
      </c>
      <c r="BJ6" s="102">
        <v>60000</v>
      </c>
      <c r="BK6" s="102">
        <v>726071</v>
      </c>
      <c r="BL6" s="82">
        <f>SUM(AH6:BK6)</f>
        <v>16651810</v>
      </c>
      <c r="BM6" s="24">
        <v>595500</v>
      </c>
      <c r="BN6" s="24">
        <v>396500</v>
      </c>
      <c r="BO6" s="24">
        <v>702558</v>
      </c>
      <c r="BP6" s="24">
        <v>310000</v>
      </c>
      <c r="BQ6" s="24">
        <v>695663</v>
      </c>
      <c r="BR6" s="24">
        <v>894000</v>
      </c>
      <c r="BS6" s="24">
        <v>366000</v>
      </c>
      <c r="BT6" s="24">
        <v>740500</v>
      </c>
      <c r="BU6" s="24">
        <v>728950</v>
      </c>
      <c r="BV6" s="24">
        <v>641000</v>
      </c>
      <c r="BW6" s="24">
        <v>600600</v>
      </c>
      <c r="BX6" s="24">
        <v>1840000</v>
      </c>
      <c r="BY6" s="24">
        <v>1052574</v>
      </c>
      <c r="BZ6" s="24">
        <v>197800</v>
      </c>
      <c r="CA6" s="24">
        <v>668000</v>
      </c>
      <c r="CB6" s="24">
        <v>418000</v>
      </c>
      <c r="CC6" s="24">
        <v>459000</v>
      </c>
      <c r="CD6" s="24">
        <v>434000</v>
      </c>
      <c r="CE6" s="24">
        <v>470565</v>
      </c>
      <c r="CF6" s="24">
        <v>820124</v>
      </c>
      <c r="CG6" s="24">
        <v>422000</v>
      </c>
      <c r="CH6" s="24">
        <v>588000</v>
      </c>
      <c r="CI6" s="24">
        <v>203500</v>
      </c>
      <c r="CJ6" s="24">
        <v>898400</v>
      </c>
      <c r="CK6" s="24">
        <v>320000</v>
      </c>
      <c r="CL6" s="24">
        <v>871900</v>
      </c>
      <c r="CM6" s="24">
        <v>445000</v>
      </c>
      <c r="CN6" s="24">
        <v>577200</v>
      </c>
      <c r="CO6" s="24">
        <v>522000</v>
      </c>
      <c r="CP6" s="24">
        <v>527000</v>
      </c>
      <c r="CQ6" s="24">
        <v>540400</v>
      </c>
      <c r="CR6" s="82">
        <f>SUM(BM6:CQ6)</f>
        <v>18946734</v>
      </c>
      <c r="CS6" s="24">
        <v>17500</v>
      </c>
      <c r="CT6" s="24">
        <v>436500</v>
      </c>
      <c r="CU6" s="24">
        <v>130000</v>
      </c>
      <c r="CV6" s="24">
        <v>315000</v>
      </c>
      <c r="CW6" s="24">
        <v>911800</v>
      </c>
      <c r="CX6" s="24">
        <v>588696</v>
      </c>
      <c r="CY6" s="24">
        <v>160500</v>
      </c>
      <c r="CZ6" s="24">
        <v>224500</v>
      </c>
      <c r="DA6" s="24">
        <v>183000</v>
      </c>
      <c r="DB6" s="24">
        <v>293000</v>
      </c>
      <c r="DC6" s="24">
        <v>235000</v>
      </c>
      <c r="DD6" s="24">
        <v>427000</v>
      </c>
      <c r="DE6" s="24">
        <v>443000</v>
      </c>
      <c r="DF6" s="24">
        <v>1057612</v>
      </c>
      <c r="DG6" s="24">
        <v>120000</v>
      </c>
      <c r="DH6" s="24">
        <v>592800</v>
      </c>
      <c r="DI6" s="24">
        <v>193000</v>
      </c>
      <c r="DJ6" s="24">
        <v>263000</v>
      </c>
      <c r="DK6" s="24">
        <v>399500</v>
      </c>
      <c r="DL6" s="24">
        <v>669370</v>
      </c>
      <c r="DN6" s="24">
        <v>180000</v>
      </c>
      <c r="DO6" s="24">
        <v>946000</v>
      </c>
      <c r="DP6" s="24">
        <v>140000</v>
      </c>
      <c r="DQ6" s="24">
        <v>649500</v>
      </c>
      <c r="DR6" s="24">
        <v>160000</v>
      </c>
      <c r="DS6" s="24">
        <v>30000</v>
      </c>
      <c r="DT6" s="24">
        <v>0</v>
      </c>
      <c r="DU6" s="24">
        <v>100000</v>
      </c>
      <c r="DV6" s="24">
        <v>182000</v>
      </c>
      <c r="DW6" s="82">
        <f>SUM(CS6:DV6)</f>
        <v>10048278</v>
      </c>
      <c r="DX6" s="24">
        <v>899800</v>
      </c>
      <c r="DY6" s="24">
        <v>123500</v>
      </c>
      <c r="DZ6" s="24">
        <v>237000</v>
      </c>
      <c r="EA6" s="24">
        <v>571000</v>
      </c>
      <c r="EB6" s="24">
        <v>46000</v>
      </c>
      <c r="EC6" s="24">
        <v>110000</v>
      </c>
      <c r="ED6" s="24">
        <v>9500</v>
      </c>
      <c r="EE6" s="24">
        <v>56000</v>
      </c>
      <c r="EF6" s="24">
        <v>999600</v>
      </c>
      <c r="EG6" s="24">
        <v>510900</v>
      </c>
      <c r="EH6" s="24">
        <v>892013</v>
      </c>
      <c r="EI6" s="24">
        <v>785000</v>
      </c>
      <c r="EJ6" s="24">
        <v>470000</v>
      </c>
      <c r="EK6" s="24">
        <v>254000</v>
      </c>
      <c r="EL6" s="24">
        <v>1184911</v>
      </c>
      <c r="EM6" s="24">
        <v>430300</v>
      </c>
      <c r="EN6" s="24">
        <v>1065500</v>
      </c>
      <c r="EO6" s="24">
        <v>689000</v>
      </c>
      <c r="EP6" s="24">
        <v>668849</v>
      </c>
      <c r="EQ6" s="24">
        <v>689800</v>
      </c>
      <c r="ER6" s="24">
        <v>1842300</v>
      </c>
      <c r="ES6" s="24">
        <v>643800</v>
      </c>
      <c r="ET6" s="24">
        <v>311042</v>
      </c>
      <c r="EU6" s="24">
        <v>823000</v>
      </c>
      <c r="EV6" s="24">
        <v>1224751</v>
      </c>
      <c r="EW6" s="24">
        <v>10000</v>
      </c>
      <c r="EX6" s="24">
        <v>190500</v>
      </c>
      <c r="EY6" s="24">
        <v>1169700</v>
      </c>
      <c r="EZ6" s="24">
        <v>933150</v>
      </c>
      <c r="FA6" s="24">
        <v>451000</v>
      </c>
      <c r="FB6" s="24">
        <v>96000</v>
      </c>
      <c r="FC6" s="128">
        <f>SUM(DX6:FB6)</f>
        <v>18387916</v>
      </c>
      <c r="FD6" s="24">
        <v>498300</v>
      </c>
      <c r="FE6" s="24">
        <v>444600</v>
      </c>
      <c r="FF6" s="24">
        <v>150000</v>
      </c>
      <c r="FG6" s="24">
        <v>710061</v>
      </c>
      <c r="FH6" s="24">
        <v>130000</v>
      </c>
      <c r="FI6" s="24">
        <v>233500</v>
      </c>
      <c r="FJ6" s="24">
        <v>247200</v>
      </c>
      <c r="FK6" s="24">
        <v>737988</v>
      </c>
      <c r="FL6" s="24">
        <v>415000</v>
      </c>
      <c r="FM6" s="24">
        <v>110000</v>
      </c>
      <c r="FO6" s="24">
        <v>535900</v>
      </c>
      <c r="FP6" s="24">
        <v>849633</v>
      </c>
      <c r="FQ6" s="24">
        <v>313400</v>
      </c>
      <c r="FR6" s="24">
        <v>811443</v>
      </c>
      <c r="FS6" s="24">
        <v>309500</v>
      </c>
      <c r="FT6" s="24">
        <v>752500</v>
      </c>
      <c r="FU6" s="24">
        <v>286500</v>
      </c>
      <c r="FV6" s="24">
        <v>205000</v>
      </c>
      <c r="FW6" s="24">
        <v>416000</v>
      </c>
      <c r="FX6" s="24">
        <v>1159300</v>
      </c>
      <c r="FY6" s="24">
        <v>1955500</v>
      </c>
      <c r="GA6" s="24">
        <v>394372</v>
      </c>
      <c r="GB6" s="24">
        <v>565000</v>
      </c>
      <c r="GC6" s="24">
        <v>716900</v>
      </c>
      <c r="GD6" s="24">
        <v>476500</v>
      </c>
      <c r="GE6" s="24">
        <v>560000</v>
      </c>
      <c r="GF6" s="24">
        <v>516929</v>
      </c>
      <c r="GG6" s="24">
        <v>410000</v>
      </c>
      <c r="GH6" s="24">
        <v>404500</v>
      </c>
      <c r="GI6" s="82">
        <f>SUM(FD6:GH6)</f>
        <v>15315526</v>
      </c>
      <c r="GJ6" s="24">
        <v>30000</v>
      </c>
      <c r="GK6" s="24">
        <v>421000</v>
      </c>
      <c r="GL6" s="24">
        <v>674553</v>
      </c>
      <c r="GM6" s="24">
        <v>546964</v>
      </c>
      <c r="GN6" s="24">
        <v>576500</v>
      </c>
      <c r="GO6" s="24">
        <v>1559030</v>
      </c>
      <c r="GP6" s="24">
        <v>100000</v>
      </c>
      <c r="GQ6" s="24">
        <v>655500</v>
      </c>
      <c r="GR6" s="24">
        <v>229000</v>
      </c>
      <c r="GS6" s="24">
        <v>202000</v>
      </c>
      <c r="GT6" s="24">
        <v>135500</v>
      </c>
      <c r="GU6" s="24">
        <v>687592</v>
      </c>
      <c r="GV6" s="24">
        <v>0</v>
      </c>
      <c r="GW6" s="24">
        <v>80000</v>
      </c>
      <c r="GX6" s="24">
        <v>495000</v>
      </c>
      <c r="GY6" s="24">
        <v>200000</v>
      </c>
      <c r="GZ6" s="24">
        <v>710000</v>
      </c>
      <c r="HA6" s="24">
        <v>150000</v>
      </c>
      <c r="HB6" s="24">
        <v>173000</v>
      </c>
      <c r="HC6" s="24">
        <v>60000</v>
      </c>
      <c r="HD6" s="24">
        <v>512000</v>
      </c>
      <c r="HE6" s="24">
        <v>0</v>
      </c>
      <c r="HF6" s="24">
        <v>1030000</v>
      </c>
      <c r="HG6" s="24">
        <v>700000</v>
      </c>
      <c r="HH6" s="24">
        <v>482000</v>
      </c>
      <c r="HI6" s="24">
        <v>405500</v>
      </c>
      <c r="HJ6" s="24">
        <v>345000</v>
      </c>
      <c r="HK6" s="24">
        <v>540500</v>
      </c>
      <c r="HL6" s="24">
        <v>215500</v>
      </c>
      <c r="HM6" s="133">
        <f>SUM(GJ6:HL6)</f>
        <v>11916139</v>
      </c>
      <c r="HN6" s="24">
        <v>595236</v>
      </c>
      <c r="HO6" s="24">
        <v>1229495</v>
      </c>
      <c r="HP6" s="24">
        <v>241000</v>
      </c>
      <c r="HQ6" s="24">
        <v>935000</v>
      </c>
      <c r="HR6" s="24">
        <v>427500</v>
      </c>
      <c r="HS6" s="24">
        <v>485900</v>
      </c>
      <c r="HT6" s="24">
        <v>508856</v>
      </c>
      <c r="HU6" s="24">
        <v>270000</v>
      </c>
      <c r="HV6" s="24">
        <v>82500</v>
      </c>
      <c r="HW6" s="24">
        <v>150000</v>
      </c>
      <c r="HY6" s="24">
        <v>0</v>
      </c>
      <c r="IA6" s="24">
        <v>0</v>
      </c>
      <c r="ID6">
        <v>217000</v>
      </c>
      <c r="IE6">
        <v>181000</v>
      </c>
      <c r="IF6">
        <v>147400</v>
      </c>
      <c r="IH6">
        <v>500000</v>
      </c>
      <c r="II6">
        <v>180000</v>
      </c>
      <c r="IJ6">
        <v>1014861</v>
      </c>
      <c r="IK6">
        <v>39000</v>
      </c>
      <c r="IL6">
        <v>1102000</v>
      </c>
      <c r="IM6">
        <v>225500</v>
      </c>
      <c r="IN6">
        <v>289200</v>
      </c>
      <c r="IO6">
        <v>50000</v>
      </c>
      <c r="IS6" s="133">
        <f>SUM(HN6:IR6)</f>
        <v>8871448</v>
      </c>
      <c r="IX6">
        <v>195200</v>
      </c>
      <c r="IY6">
        <v>316100</v>
      </c>
      <c r="IZ6">
        <v>830000</v>
      </c>
      <c r="JA6">
        <v>212500</v>
      </c>
      <c r="JB6">
        <v>131800</v>
      </c>
      <c r="JC6">
        <v>672710</v>
      </c>
      <c r="JD6">
        <v>512051</v>
      </c>
      <c r="JE6">
        <v>0</v>
      </c>
      <c r="JF6">
        <v>456000</v>
      </c>
      <c r="JG6">
        <v>270000</v>
      </c>
      <c r="JH6">
        <v>150000</v>
      </c>
      <c r="JI6">
        <v>311000</v>
      </c>
      <c r="JJ6">
        <v>15400</v>
      </c>
      <c r="JK6">
        <v>446400</v>
      </c>
      <c r="JL6">
        <v>30000</v>
      </c>
      <c r="JM6">
        <v>130000</v>
      </c>
      <c r="JN6">
        <v>270000</v>
      </c>
      <c r="JO6">
        <v>425000</v>
      </c>
      <c r="JP6">
        <v>230000</v>
      </c>
      <c r="JQ6">
        <v>250000</v>
      </c>
      <c r="JR6">
        <v>350000</v>
      </c>
      <c r="JS6">
        <v>105000</v>
      </c>
      <c r="JT6">
        <v>1214791</v>
      </c>
      <c r="JU6">
        <v>1471648</v>
      </c>
      <c r="JV6">
        <v>622165</v>
      </c>
      <c r="JW6">
        <v>130000</v>
      </c>
      <c r="JX6" s="133">
        <f>SUM(IT6:JW6)</f>
        <v>9747765</v>
      </c>
      <c r="JY6">
        <v>755000</v>
      </c>
      <c r="JZ6">
        <v>373000</v>
      </c>
      <c r="KA6">
        <v>390000</v>
      </c>
      <c r="KB6">
        <v>870656</v>
      </c>
      <c r="KC6">
        <v>570000</v>
      </c>
      <c r="KD6">
        <v>70000</v>
      </c>
      <c r="KE6">
        <v>485000</v>
      </c>
      <c r="KF6">
        <v>360000</v>
      </c>
      <c r="KG6">
        <v>450000</v>
      </c>
      <c r="KH6">
        <v>799117</v>
      </c>
      <c r="KI6">
        <v>930000</v>
      </c>
      <c r="KJ6">
        <v>600000</v>
      </c>
      <c r="KK6">
        <v>90000</v>
      </c>
      <c r="KL6">
        <v>993800</v>
      </c>
      <c r="KN6">
        <v>687500</v>
      </c>
      <c r="KO6">
        <v>389146</v>
      </c>
      <c r="KP6">
        <v>1128300</v>
      </c>
      <c r="KQ6">
        <v>1103556</v>
      </c>
      <c r="KR6">
        <v>300000</v>
      </c>
      <c r="KS6">
        <v>966000</v>
      </c>
      <c r="KT6">
        <v>330000</v>
      </c>
      <c r="KU6">
        <v>497000</v>
      </c>
      <c r="KV6">
        <v>220000</v>
      </c>
      <c r="KW6">
        <v>360000</v>
      </c>
      <c r="KX6">
        <v>678200</v>
      </c>
      <c r="KY6">
        <v>731000</v>
      </c>
      <c r="KZ6">
        <v>50000</v>
      </c>
      <c r="LA6">
        <v>399500</v>
      </c>
      <c r="LB6">
        <v>414000</v>
      </c>
      <c r="LC6">
        <v>1090000</v>
      </c>
      <c r="LD6" s="133">
        <f>SUM(JY6:LC6)</f>
        <v>17080775</v>
      </c>
      <c r="LE6">
        <v>921600</v>
      </c>
      <c r="LF6">
        <v>365000</v>
      </c>
      <c r="LG6">
        <v>554000</v>
      </c>
      <c r="LH6">
        <v>1308465</v>
      </c>
      <c r="LI6">
        <v>285000</v>
      </c>
      <c r="LJ6">
        <v>122000</v>
      </c>
      <c r="LK6">
        <v>1396128</v>
      </c>
      <c r="LL6">
        <v>494500</v>
      </c>
      <c r="LM6">
        <v>451500</v>
      </c>
      <c r="LN6">
        <v>740000</v>
      </c>
      <c r="LO6">
        <v>880000</v>
      </c>
      <c r="LP6">
        <v>852000</v>
      </c>
      <c r="LQ6">
        <v>140000</v>
      </c>
      <c r="LR6">
        <v>248000</v>
      </c>
      <c r="LS6">
        <v>330000</v>
      </c>
      <c r="LT6">
        <v>607000</v>
      </c>
      <c r="LU6">
        <v>500785</v>
      </c>
      <c r="LV6">
        <v>1053000</v>
      </c>
      <c r="LW6">
        <v>876000</v>
      </c>
      <c r="LX6">
        <v>577000</v>
      </c>
      <c r="LY6">
        <v>1220000</v>
      </c>
      <c r="LZ6">
        <v>836000</v>
      </c>
      <c r="MA6">
        <v>472994</v>
      </c>
      <c r="MB6">
        <v>570900</v>
      </c>
      <c r="MC6">
        <v>692700</v>
      </c>
      <c r="MD6">
        <v>585877</v>
      </c>
      <c r="ME6">
        <v>154000</v>
      </c>
      <c r="MF6">
        <v>250000</v>
      </c>
      <c r="MG6">
        <v>441400</v>
      </c>
      <c r="MH6">
        <v>360000</v>
      </c>
      <c r="MI6" s="133">
        <f>SUM(LD6:MH6)</f>
        <v>35366624</v>
      </c>
      <c r="MJ6">
        <v>1381874</v>
      </c>
      <c r="MK6">
        <v>901000</v>
      </c>
      <c r="ML6">
        <v>355000</v>
      </c>
      <c r="MM6">
        <v>245000</v>
      </c>
      <c r="MN6">
        <v>612000</v>
      </c>
      <c r="MO6">
        <v>630967</v>
      </c>
      <c r="MP6">
        <v>875000</v>
      </c>
      <c r="MQ6">
        <v>218000</v>
      </c>
      <c r="MR6">
        <v>195000</v>
      </c>
      <c r="MS6">
        <v>416500</v>
      </c>
      <c r="MT6">
        <v>660000</v>
      </c>
      <c r="MU6">
        <v>395000</v>
      </c>
      <c r="MV6">
        <v>1202153</v>
      </c>
      <c r="MW6">
        <v>308000</v>
      </c>
      <c r="MX6">
        <v>245000</v>
      </c>
      <c r="MY6">
        <v>428000</v>
      </c>
      <c r="MZ6">
        <v>310000</v>
      </c>
      <c r="NA6">
        <v>375000</v>
      </c>
      <c r="NB6">
        <v>435500</v>
      </c>
      <c r="NC6">
        <v>220000</v>
      </c>
      <c r="ND6">
        <v>1334000</v>
      </c>
      <c r="NE6">
        <v>450000</v>
      </c>
      <c r="NF6">
        <v>683156</v>
      </c>
      <c r="NG6">
        <v>200000</v>
      </c>
      <c r="NH6">
        <v>295032</v>
      </c>
      <c r="NI6">
        <v>679152</v>
      </c>
      <c r="NJ6">
        <v>865604</v>
      </c>
      <c r="NK6">
        <v>688000</v>
      </c>
      <c r="NL6">
        <v>711000</v>
      </c>
      <c r="NM6">
        <v>305000</v>
      </c>
      <c r="NN6">
        <v>601000</v>
      </c>
      <c r="NO6" s="133">
        <f>SUM(MJ6:NN6)</f>
        <v>17220938</v>
      </c>
      <c r="NP6">
        <v>597000</v>
      </c>
      <c r="NQ6">
        <v>385000</v>
      </c>
      <c r="NR6">
        <v>872000</v>
      </c>
      <c r="NS6">
        <v>1037332</v>
      </c>
      <c r="NT6">
        <v>950000</v>
      </c>
      <c r="NU6">
        <v>420000</v>
      </c>
      <c r="NV6">
        <v>107000</v>
      </c>
      <c r="NW6">
        <v>558000</v>
      </c>
      <c r="NX6">
        <v>1105956</v>
      </c>
      <c r="NY6">
        <v>1068000</v>
      </c>
      <c r="NZ6">
        <v>566616</v>
      </c>
      <c r="OA6">
        <v>1150000</v>
      </c>
      <c r="OB6">
        <v>33500</v>
      </c>
      <c r="OC6">
        <v>70000</v>
      </c>
      <c r="OD6">
        <v>165500</v>
      </c>
      <c r="OE6">
        <v>444400</v>
      </c>
      <c r="OF6">
        <v>1043024</v>
      </c>
      <c r="OG6">
        <v>196000</v>
      </c>
      <c r="OH6">
        <v>340000</v>
      </c>
      <c r="OI6">
        <v>100000</v>
      </c>
      <c r="OJ6">
        <v>439823</v>
      </c>
      <c r="OK6">
        <v>440000</v>
      </c>
      <c r="OL6">
        <v>342000</v>
      </c>
      <c r="OM6">
        <v>319000</v>
      </c>
      <c r="ON6">
        <v>105000</v>
      </c>
      <c r="OO6">
        <v>575000</v>
      </c>
      <c r="OP6">
        <v>240000</v>
      </c>
      <c r="OQ6">
        <v>71900</v>
      </c>
      <c r="OR6">
        <v>625000</v>
      </c>
      <c r="OS6">
        <v>593800</v>
      </c>
      <c r="OT6">
        <v>776277</v>
      </c>
      <c r="OU6" s="133">
        <f>SUM(NP6:OT6)</f>
        <v>15737128</v>
      </c>
      <c r="OV6">
        <v>648791</v>
      </c>
      <c r="OW6">
        <v>570700</v>
      </c>
      <c r="OX6">
        <v>533500</v>
      </c>
      <c r="OY6">
        <v>520000</v>
      </c>
      <c r="OZ6">
        <v>515000</v>
      </c>
      <c r="PA6">
        <v>1129576</v>
      </c>
      <c r="PB6">
        <v>170000</v>
      </c>
      <c r="PC6">
        <v>206000</v>
      </c>
      <c r="PD6">
        <v>750000</v>
      </c>
      <c r="PE6">
        <v>215000</v>
      </c>
      <c r="PF6">
        <v>252415</v>
      </c>
      <c r="PG6">
        <v>206900</v>
      </c>
      <c r="PH6">
        <v>497500</v>
      </c>
      <c r="PI6">
        <v>125000</v>
      </c>
      <c r="PJ6">
        <v>463000</v>
      </c>
      <c r="PK6">
        <v>132000</v>
      </c>
      <c r="PL6">
        <v>831000</v>
      </c>
      <c r="PM6">
        <v>473162</v>
      </c>
      <c r="PN6">
        <v>57000</v>
      </c>
      <c r="PO6">
        <v>331500</v>
      </c>
      <c r="PP6">
        <v>320000</v>
      </c>
      <c r="PQ6">
        <v>281750</v>
      </c>
      <c r="PR6">
        <v>389000</v>
      </c>
      <c r="PS6">
        <v>476900</v>
      </c>
      <c r="PT6">
        <v>50000</v>
      </c>
      <c r="PU6">
        <v>275000</v>
      </c>
      <c r="PV6">
        <v>385900</v>
      </c>
      <c r="PW6">
        <v>714596</v>
      </c>
      <c r="PX6">
        <v>738800</v>
      </c>
      <c r="PY6">
        <v>399000</v>
      </c>
      <c r="PZ6" s="133">
        <f>SUM(OV6:PY6)</f>
        <v>12658990</v>
      </c>
      <c r="QA6">
        <v>240000</v>
      </c>
      <c r="QB6">
        <v>450000</v>
      </c>
      <c r="QC6">
        <v>350000</v>
      </c>
      <c r="QD6">
        <v>562950</v>
      </c>
      <c r="QE6">
        <v>335000</v>
      </c>
      <c r="QF6">
        <v>235000</v>
      </c>
      <c r="QG6">
        <v>760000</v>
      </c>
      <c r="QH6">
        <v>488000</v>
      </c>
      <c r="QI6">
        <v>200000</v>
      </c>
      <c r="QJ6">
        <v>300000</v>
      </c>
      <c r="QK6">
        <v>674909</v>
      </c>
      <c r="QL6">
        <v>282000</v>
      </c>
      <c r="QM6">
        <v>465700</v>
      </c>
      <c r="QN6">
        <v>470000</v>
      </c>
      <c r="QO6">
        <v>325000</v>
      </c>
      <c r="QP6">
        <v>330000</v>
      </c>
      <c r="QQ6">
        <v>271000</v>
      </c>
      <c r="QR6">
        <v>637550</v>
      </c>
      <c r="QS6">
        <v>343900</v>
      </c>
      <c r="QT6">
        <v>484000</v>
      </c>
      <c r="QU6">
        <v>356000</v>
      </c>
      <c r="QV6">
        <v>314000</v>
      </c>
      <c r="QW6">
        <v>430000</v>
      </c>
      <c r="QX6">
        <v>610000</v>
      </c>
      <c r="QY6">
        <v>400000</v>
      </c>
      <c r="QZ6">
        <v>410000</v>
      </c>
      <c r="RA6">
        <v>266000</v>
      </c>
      <c r="RB6">
        <v>480000</v>
      </c>
      <c r="RC6">
        <v>799500</v>
      </c>
      <c r="RD6">
        <v>170000</v>
      </c>
      <c r="RE6">
        <v>220000</v>
      </c>
      <c r="RF6" s="133">
        <f>SUM(QA6:RE6)</f>
        <v>12660509</v>
      </c>
      <c r="RG6">
        <v>824890</v>
      </c>
      <c r="RH6">
        <v>70000</v>
      </c>
      <c r="RI6">
        <v>45000</v>
      </c>
      <c r="RJ6">
        <v>665000</v>
      </c>
      <c r="RK6">
        <v>0</v>
      </c>
      <c r="RL6">
        <v>235000</v>
      </c>
      <c r="RM6">
        <v>126000</v>
      </c>
      <c r="RN6">
        <v>207000</v>
      </c>
      <c r="RO6">
        <v>25000</v>
      </c>
      <c r="RP6">
        <v>276000</v>
      </c>
      <c r="RQ6">
        <v>638711</v>
      </c>
      <c r="RR6">
        <v>150000</v>
      </c>
      <c r="RS6">
        <v>1243466</v>
      </c>
      <c r="RT6">
        <v>200000</v>
      </c>
      <c r="RU6">
        <v>380000</v>
      </c>
      <c r="RV6">
        <v>310000</v>
      </c>
      <c r="RW6">
        <v>625742</v>
      </c>
      <c r="RX6">
        <v>881400</v>
      </c>
      <c r="RY6">
        <v>1161000</v>
      </c>
      <c r="RZ6">
        <v>200000</v>
      </c>
      <c r="SA6">
        <v>55000</v>
      </c>
      <c r="SB6">
        <v>758802</v>
      </c>
      <c r="SC6">
        <v>79500</v>
      </c>
      <c r="SD6">
        <v>176000</v>
      </c>
      <c r="SE6">
        <v>767000</v>
      </c>
      <c r="SF6">
        <v>424500</v>
      </c>
      <c r="SG6">
        <v>275500</v>
      </c>
      <c r="SH6">
        <v>313000</v>
      </c>
      <c r="SI6">
        <v>360000</v>
      </c>
      <c r="SJ6">
        <v>552496</v>
      </c>
      <c r="SK6" s="133">
        <f>SUM(RG6:SJ6)</f>
        <v>12026007</v>
      </c>
      <c r="SL6">
        <v>320000</v>
      </c>
      <c r="SM6">
        <v>510000</v>
      </c>
      <c r="SN6">
        <v>230000</v>
      </c>
      <c r="SO6">
        <v>325000</v>
      </c>
      <c r="SP6">
        <v>120000</v>
      </c>
      <c r="SQ6">
        <v>385000</v>
      </c>
      <c r="SR6">
        <v>80000</v>
      </c>
      <c r="SS6">
        <v>210000</v>
      </c>
      <c r="ST6">
        <v>697150</v>
      </c>
      <c r="SU6">
        <v>270000</v>
      </c>
      <c r="SV6">
        <v>1065000</v>
      </c>
      <c r="SW6">
        <v>315000</v>
      </c>
      <c r="SX6">
        <v>723000</v>
      </c>
      <c r="SY6">
        <v>219000</v>
      </c>
      <c r="SZ6">
        <v>110000</v>
      </c>
      <c r="TA6">
        <v>172000</v>
      </c>
      <c r="TB6">
        <v>148000</v>
      </c>
      <c r="TC6">
        <v>289000</v>
      </c>
      <c r="TD6">
        <v>546663</v>
      </c>
      <c r="TE6">
        <v>270000</v>
      </c>
      <c r="TF6">
        <v>450000</v>
      </c>
      <c r="TG6">
        <v>285000</v>
      </c>
      <c r="TH6">
        <v>320000</v>
      </c>
      <c r="TI6">
        <v>194500</v>
      </c>
      <c r="TJ6">
        <v>612000</v>
      </c>
      <c r="TK6">
        <v>330000</v>
      </c>
      <c r="TL6">
        <v>961400</v>
      </c>
      <c r="TM6">
        <v>932500</v>
      </c>
      <c r="TN6">
        <v>253000</v>
      </c>
      <c r="TO6">
        <v>461500</v>
      </c>
      <c r="TP6">
        <v>280000</v>
      </c>
      <c r="TQ6" s="133">
        <f>SUM(SL6:TP6)</f>
        <v>12084713</v>
      </c>
      <c r="TR6">
        <v>1005085</v>
      </c>
      <c r="TS6">
        <v>191000</v>
      </c>
      <c r="TT6">
        <v>45500</v>
      </c>
      <c r="TU6">
        <v>450000</v>
      </c>
      <c r="TV6">
        <v>324500</v>
      </c>
      <c r="TW6">
        <v>190000</v>
      </c>
      <c r="TX6">
        <v>574371</v>
      </c>
      <c r="TY6">
        <v>670978</v>
      </c>
      <c r="TZ6">
        <v>330000</v>
      </c>
      <c r="UA6">
        <v>400000</v>
      </c>
      <c r="UB6">
        <v>448900</v>
      </c>
      <c r="UC6">
        <v>170000</v>
      </c>
      <c r="UD6">
        <v>120000</v>
      </c>
      <c r="UE6">
        <v>486011</v>
      </c>
      <c r="UF6">
        <v>250000</v>
      </c>
      <c r="UG6">
        <v>448864</v>
      </c>
      <c r="UH6">
        <v>625000</v>
      </c>
      <c r="UI6">
        <v>743314</v>
      </c>
      <c r="UJ6">
        <v>350000</v>
      </c>
      <c r="UK6">
        <v>725000</v>
      </c>
      <c r="UL6">
        <v>315524</v>
      </c>
      <c r="UM6">
        <v>700000</v>
      </c>
      <c r="UN6">
        <v>550000</v>
      </c>
      <c r="UO6">
        <v>611000</v>
      </c>
      <c r="UP6">
        <v>525000</v>
      </c>
      <c r="UQ6">
        <v>1040000</v>
      </c>
      <c r="UR6">
        <v>380000</v>
      </c>
      <c r="US6">
        <v>187000</v>
      </c>
      <c r="UT6">
        <v>112000</v>
      </c>
      <c r="UU6">
        <v>120000</v>
      </c>
      <c r="UV6">
        <v>410000</v>
      </c>
      <c r="UW6" s="133">
        <f>SUM(TR6:UV6)</f>
        <v>13499047</v>
      </c>
      <c r="UX6">
        <v>228000</v>
      </c>
      <c r="UY6">
        <v>520000</v>
      </c>
      <c r="UZ6">
        <v>310000</v>
      </c>
      <c r="VA6">
        <v>167000</v>
      </c>
      <c r="VB6">
        <v>263766</v>
      </c>
      <c r="VC6">
        <v>603000</v>
      </c>
      <c r="VD6">
        <v>470000</v>
      </c>
      <c r="VE6">
        <v>390500</v>
      </c>
      <c r="VF6">
        <v>288500</v>
      </c>
      <c r="VG6">
        <v>211000</v>
      </c>
      <c r="VH6">
        <v>858500</v>
      </c>
      <c r="VI6">
        <v>430000</v>
      </c>
      <c r="VJ6">
        <v>9500</v>
      </c>
      <c r="VK6">
        <v>433500</v>
      </c>
      <c r="VL6">
        <v>195000</v>
      </c>
      <c r="VM6">
        <v>177000</v>
      </c>
      <c r="VN6">
        <v>779200</v>
      </c>
      <c r="VO6">
        <v>301500</v>
      </c>
      <c r="VP6">
        <v>120000</v>
      </c>
      <c r="VQ6">
        <v>20000</v>
      </c>
      <c r="VR6">
        <v>378500</v>
      </c>
      <c r="VS6">
        <v>175300</v>
      </c>
      <c r="VT6">
        <v>245000</v>
      </c>
      <c r="VU6">
        <v>221000</v>
      </c>
      <c r="VV6">
        <v>159101</v>
      </c>
      <c r="VW6">
        <v>338500</v>
      </c>
      <c r="VX6">
        <v>354000</v>
      </c>
      <c r="VY6">
        <v>354000</v>
      </c>
      <c r="VZ6" s="133">
        <f>SUM(UX6:VY6)</f>
        <v>9001367</v>
      </c>
      <c r="WA6">
        <v>143000</v>
      </c>
      <c r="WB6">
        <v>563955</v>
      </c>
      <c r="WC6">
        <v>300000</v>
      </c>
      <c r="WD6">
        <v>1452456</v>
      </c>
      <c r="WE6">
        <v>173000</v>
      </c>
      <c r="WF6">
        <v>214000</v>
      </c>
      <c r="WG6">
        <v>561000</v>
      </c>
      <c r="WH6">
        <v>400000</v>
      </c>
      <c r="WI6">
        <v>384000</v>
      </c>
      <c r="WJ6">
        <v>260000</v>
      </c>
      <c r="WK6">
        <v>150000</v>
      </c>
      <c r="WL6">
        <v>526000</v>
      </c>
      <c r="WM6">
        <v>240000</v>
      </c>
      <c r="WN6">
        <v>615000</v>
      </c>
      <c r="WO6">
        <v>500000</v>
      </c>
      <c r="WP6">
        <v>239000</v>
      </c>
      <c r="WQ6">
        <v>10000</v>
      </c>
      <c r="WR6">
        <v>1078795</v>
      </c>
      <c r="WS6">
        <v>250000</v>
      </c>
      <c r="WT6">
        <v>50000</v>
      </c>
      <c r="WU6">
        <v>205000</v>
      </c>
      <c r="WV6">
        <v>522036</v>
      </c>
      <c r="WW6">
        <v>450000</v>
      </c>
      <c r="WX6">
        <v>316000</v>
      </c>
      <c r="WY6">
        <v>405000</v>
      </c>
      <c r="WZ6">
        <v>230000</v>
      </c>
      <c r="XA6">
        <v>1320000</v>
      </c>
      <c r="XB6">
        <v>658863</v>
      </c>
      <c r="XC6">
        <v>476441</v>
      </c>
      <c r="XD6">
        <v>182000</v>
      </c>
      <c r="XE6">
        <v>140000</v>
      </c>
      <c r="XF6" s="133">
        <f>SUM(WA6:XE6)</f>
        <v>13015546</v>
      </c>
      <c r="XG6">
        <v>395000</v>
      </c>
      <c r="XH6">
        <v>122000</v>
      </c>
      <c r="XI6">
        <v>500000</v>
      </c>
      <c r="XJ6">
        <v>232000</v>
      </c>
      <c r="XK6">
        <v>160000</v>
      </c>
      <c r="XL6">
        <v>840424</v>
      </c>
      <c r="XM6">
        <v>461462</v>
      </c>
      <c r="XN6">
        <v>0</v>
      </c>
      <c r="XO6">
        <v>88000</v>
      </c>
      <c r="XP6">
        <v>145000</v>
      </c>
      <c r="XQ6">
        <v>410000</v>
      </c>
      <c r="XR6">
        <v>596310</v>
      </c>
      <c r="XS6">
        <v>307578</v>
      </c>
      <c r="XT6">
        <v>80000</v>
      </c>
      <c r="XU6">
        <v>496000</v>
      </c>
      <c r="XV6">
        <v>150000</v>
      </c>
      <c r="XW6">
        <v>470000</v>
      </c>
      <c r="XX6">
        <v>255000</v>
      </c>
      <c r="XY6">
        <v>400000</v>
      </c>
      <c r="XZ6">
        <v>303786</v>
      </c>
      <c r="YA6">
        <v>615000</v>
      </c>
      <c r="YB6">
        <v>50000</v>
      </c>
      <c r="YC6">
        <v>160000</v>
      </c>
      <c r="YD6">
        <v>713728</v>
      </c>
      <c r="YE6">
        <v>445000</v>
      </c>
      <c r="YF6">
        <v>1309036</v>
      </c>
      <c r="YG6">
        <v>618000</v>
      </c>
      <c r="YH6">
        <v>20000</v>
      </c>
      <c r="YI6">
        <v>40000</v>
      </c>
      <c r="YJ6">
        <v>550000</v>
      </c>
      <c r="YK6" s="133">
        <f>SUM(XF6:YJ6)</f>
        <v>23948870</v>
      </c>
      <c r="YL6">
        <v>477000</v>
      </c>
      <c r="YM6">
        <v>584320</v>
      </c>
      <c r="YN6">
        <v>343000</v>
      </c>
      <c r="YO6">
        <v>275000</v>
      </c>
      <c r="YP6">
        <v>120000</v>
      </c>
      <c r="YQ6">
        <v>417000</v>
      </c>
      <c r="YR6">
        <v>410000</v>
      </c>
      <c r="YS6">
        <v>435000</v>
      </c>
      <c r="YT6">
        <v>150000</v>
      </c>
      <c r="YU6">
        <v>565000</v>
      </c>
      <c r="YV6">
        <v>33000</v>
      </c>
      <c r="YW6">
        <v>212000</v>
      </c>
      <c r="YX6">
        <v>520000</v>
      </c>
      <c r="YY6">
        <v>579850</v>
      </c>
      <c r="YZ6">
        <v>222500</v>
      </c>
      <c r="ZA6">
        <v>100000</v>
      </c>
      <c r="ZB6">
        <v>543990</v>
      </c>
      <c r="ZC6">
        <v>50000</v>
      </c>
      <c r="ZD6">
        <v>180000</v>
      </c>
      <c r="ZE6">
        <v>50000</v>
      </c>
      <c r="ZF6">
        <v>200000</v>
      </c>
      <c r="ZG6">
        <v>479500</v>
      </c>
      <c r="ZH6">
        <v>220000</v>
      </c>
      <c r="ZI6">
        <v>514186</v>
      </c>
      <c r="ZJ6">
        <v>201500</v>
      </c>
      <c r="ZK6">
        <v>265000</v>
      </c>
      <c r="ZL6">
        <v>410000</v>
      </c>
      <c r="ZM6">
        <v>110000</v>
      </c>
      <c r="ZN6">
        <v>360000</v>
      </c>
      <c r="ZO6">
        <v>173000</v>
      </c>
      <c r="ZP6">
        <v>80000</v>
      </c>
      <c r="ZQ6" s="133">
        <f>SUM(YL6:ZP6)</f>
        <v>9280846</v>
      </c>
      <c r="ZR6">
        <v>230000</v>
      </c>
      <c r="ZS6">
        <v>195000</v>
      </c>
      <c r="ZT6">
        <v>185000</v>
      </c>
      <c r="ZU6">
        <v>135000</v>
      </c>
      <c r="ZV6">
        <v>308449</v>
      </c>
      <c r="ZW6">
        <v>1201950</v>
      </c>
      <c r="ZX6">
        <v>120000</v>
      </c>
      <c r="ZY6">
        <v>405500</v>
      </c>
      <c r="ZZ6">
        <v>40000</v>
      </c>
      <c r="AAA6">
        <v>80000</v>
      </c>
      <c r="AAB6">
        <v>220000</v>
      </c>
      <c r="AAC6">
        <v>405000</v>
      </c>
      <c r="AAD6">
        <v>395000</v>
      </c>
      <c r="AAE6">
        <v>1682500</v>
      </c>
      <c r="AAF6">
        <v>638146</v>
      </c>
      <c r="AAG6">
        <v>421822</v>
      </c>
      <c r="AAH6">
        <v>348000</v>
      </c>
      <c r="AAI6">
        <v>217000</v>
      </c>
      <c r="AAJ6">
        <v>200000</v>
      </c>
      <c r="AAK6">
        <v>220000</v>
      </c>
      <c r="AAL6">
        <v>838500</v>
      </c>
      <c r="AAM6">
        <v>513500</v>
      </c>
      <c r="AAN6">
        <v>260000</v>
      </c>
      <c r="AAO6">
        <v>0</v>
      </c>
      <c r="AAP6">
        <v>1171000</v>
      </c>
      <c r="AAQ6">
        <v>847000</v>
      </c>
      <c r="AAR6">
        <v>729260</v>
      </c>
      <c r="AAS6">
        <v>823737</v>
      </c>
      <c r="AAT6">
        <v>488595</v>
      </c>
      <c r="AAU6">
        <v>120000</v>
      </c>
      <c r="AAV6" s="133">
        <f>SUM(ZR6:AAU6)</f>
        <v>13439959</v>
      </c>
      <c r="AAW6">
        <v>791000</v>
      </c>
      <c r="AAX6">
        <v>420500</v>
      </c>
      <c r="AAY6">
        <v>82000</v>
      </c>
      <c r="AAZ6">
        <v>632242</v>
      </c>
      <c r="ABA6">
        <v>417000</v>
      </c>
      <c r="ABB6">
        <v>217500</v>
      </c>
      <c r="ABC6">
        <v>286000</v>
      </c>
      <c r="ABD6">
        <v>477000</v>
      </c>
      <c r="ABE6">
        <v>60000</v>
      </c>
      <c r="ABF6">
        <v>262600</v>
      </c>
      <c r="ABG6">
        <v>150000</v>
      </c>
      <c r="ABH6">
        <v>127000</v>
      </c>
      <c r="ABI6">
        <v>274400</v>
      </c>
      <c r="ABJ6">
        <v>129000</v>
      </c>
      <c r="ABK6">
        <v>20000</v>
      </c>
      <c r="ABL6">
        <v>335129</v>
      </c>
      <c r="ABM6">
        <v>98500</v>
      </c>
      <c r="ABN6">
        <v>36000</v>
      </c>
      <c r="ABO6">
        <v>491000</v>
      </c>
      <c r="ABP6">
        <v>388000</v>
      </c>
      <c r="ABQ6">
        <v>365000</v>
      </c>
      <c r="ABS6">
        <v>260000</v>
      </c>
      <c r="ABT6">
        <v>100000</v>
      </c>
      <c r="ABU6">
        <v>498000</v>
      </c>
      <c r="ABV6">
        <v>100000</v>
      </c>
      <c r="ABW6">
        <v>1117000</v>
      </c>
      <c r="ABX6">
        <v>2250000</v>
      </c>
      <c r="ABY6">
        <v>10000</v>
      </c>
      <c r="ABZ6">
        <v>100000</v>
      </c>
      <c r="ACA6">
        <v>127000</v>
      </c>
      <c r="ACB6" s="133">
        <f>SUM(AAX6:ACA6)</f>
        <v>9830871</v>
      </c>
      <c r="ACC6">
        <v>277500</v>
      </c>
      <c r="ACD6">
        <v>320000</v>
      </c>
      <c r="ACE6">
        <v>810000</v>
      </c>
      <c r="ACF6">
        <v>645000</v>
      </c>
      <c r="ACG6">
        <v>180000</v>
      </c>
      <c r="ACH6">
        <v>271000</v>
      </c>
      <c r="ACJ6">
        <v>644642</v>
      </c>
      <c r="ACK6">
        <v>126000</v>
      </c>
      <c r="ACL6">
        <v>315169</v>
      </c>
      <c r="ACM6">
        <v>950000</v>
      </c>
      <c r="ACN6">
        <v>470000</v>
      </c>
      <c r="ACO6">
        <v>624378</v>
      </c>
      <c r="ACP6">
        <v>270000</v>
      </c>
      <c r="ACQ6">
        <v>491203</v>
      </c>
      <c r="ACR6">
        <v>643122</v>
      </c>
      <c r="ACS6">
        <v>345912</v>
      </c>
      <c r="ACT6">
        <v>929000</v>
      </c>
      <c r="ACU6">
        <v>28000</v>
      </c>
      <c r="ACV6">
        <v>163000</v>
      </c>
      <c r="ACW6">
        <v>850000</v>
      </c>
      <c r="ACX6">
        <v>210500</v>
      </c>
      <c r="ACY6">
        <v>586499</v>
      </c>
      <c r="ACZ6">
        <v>200000</v>
      </c>
      <c r="ADA6">
        <v>0</v>
      </c>
      <c r="ADB6">
        <v>1488050</v>
      </c>
      <c r="ADC6">
        <v>93000</v>
      </c>
      <c r="ADD6">
        <v>504828</v>
      </c>
      <c r="ADE6">
        <v>390000</v>
      </c>
      <c r="ADF6">
        <v>760000</v>
      </c>
      <c r="ADG6">
        <v>509270</v>
      </c>
      <c r="ADH6" s="133">
        <f>SUM(ACC6:ADG6)</f>
        <v>14096073</v>
      </c>
      <c r="ADI6">
        <v>60000</v>
      </c>
      <c r="ADJ6">
        <v>427501</v>
      </c>
      <c r="ADK6">
        <v>613000</v>
      </c>
      <c r="ADL6">
        <v>220095</v>
      </c>
      <c r="ADM6">
        <v>204000</v>
      </c>
      <c r="ADN6">
        <v>450000</v>
      </c>
      <c r="ADO6">
        <v>235000</v>
      </c>
      <c r="ADP6">
        <v>210000</v>
      </c>
      <c r="ADQ6">
        <v>166000</v>
      </c>
      <c r="ADR6">
        <v>848000</v>
      </c>
      <c r="ADS6">
        <v>360000</v>
      </c>
      <c r="ADT6">
        <v>456000</v>
      </c>
      <c r="ADU6">
        <v>411000</v>
      </c>
      <c r="ADV6">
        <v>70000</v>
      </c>
      <c r="ADW6">
        <v>402541</v>
      </c>
      <c r="ADX6">
        <v>631281</v>
      </c>
      <c r="ADY6">
        <v>350000</v>
      </c>
      <c r="ADZ6">
        <v>250000</v>
      </c>
      <c r="AEA6">
        <v>60000</v>
      </c>
      <c r="AEB6">
        <v>270000</v>
      </c>
      <c r="AEC6">
        <v>290000</v>
      </c>
      <c r="AED6">
        <v>270000</v>
      </c>
      <c r="AEE6">
        <v>100000</v>
      </c>
      <c r="AEF6">
        <v>50000</v>
      </c>
      <c r="AEG6">
        <v>150000</v>
      </c>
      <c r="AEH6">
        <v>455000</v>
      </c>
      <c r="AEI6">
        <v>448416</v>
      </c>
      <c r="AEJ6">
        <v>450000</v>
      </c>
      <c r="AEK6">
        <v>613048</v>
      </c>
      <c r="AEL6">
        <v>235000</v>
      </c>
      <c r="AEM6" s="133">
        <f>SUM(ADI6:AEL6)</f>
        <v>9755882</v>
      </c>
      <c r="AEN6">
        <v>90000</v>
      </c>
      <c r="AEP6">
        <v>50000</v>
      </c>
      <c r="AEQ6">
        <v>230000</v>
      </c>
      <c r="AER6">
        <v>150000</v>
      </c>
      <c r="AES6">
        <v>550000</v>
      </c>
      <c r="AET6">
        <v>100000</v>
      </c>
      <c r="AEU6">
        <v>157000</v>
      </c>
      <c r="AEV6">
        <v>1172538</v>
      </c>
      <c r="AEW6">
        <v>20000</v>
      </c>
      <c r="AEX6">
        <v>165000</v>
      </c>
      <c r="AEZ6">
        <v>130000</v>
      </c>
      <c r="AFA6">
        <v>327510</v>
      </c>
      <c r="AFB6">
        <v>410000</v>
      </c>
      <c r="AFC6">
        <v>180000</v>
      </c>
      <c r="AFD6">
        <v>210000</v>
      </c>
      <c r="AFE6">
        <v>694787</v>
      </c>
      <c r="AFF6">
        <v>120000</v>
      </c>
      <c r="AFG6">
        <v>390000</v>
      </c>
      <c r="AFH6">
        <v>220000</v>
      </c>
      <c r="AFI6">
        <v>535892</v>
      </c>
      <c r="AFJ6">
        <v>20000</v>
      </c>
      <c r="AFK6">
        <v>613558</v>
      </c>
      <c r="AFL6">
        <v>465000</v>
      </c>
      <c r="AFM6">
        <v>1141975</v>
      </c>
      <c r="AFN6">
        <v>252000</v>
      </c>
      <c r="AFO6">
        <v>300000</v>
      </c>
      <c r="AFP6">
        <v>550000</v>
      </c>
      <c r="AFQ6">
        <v>322000</v>
      </c>
      <c r="AFR6">
        <v>745000</v>
      </c>
      <c r="AFS6" s="133">
        <f>SUM(AEN6:AFR6)</f>
        <v>10312260</v>
      </c>
      <c r="AFT6">
        <v>30000</v>
      </c>
      <c r="AFU6">
        <v>435000</v>
      </c>
      <c r="AFV6">
        <v>142000</v>
      </c>
      <c r="AFW6">
        <v>240000</v>
      </c>
      <c r="AFX6">
        <v>752000</v>
      </c>
      <c r="AFY6">
        <v>320000</v>
      </c>
      <c r="AFZ6">
        <v>50000</v>
      </c>
      <c r="AGA6">
        <v>145000</v>
      </c>
      <c r="AGB6">
        <v>253700</v>
      </c>
      <c r="AGC6">
        <v>484490</v>
      </c>
      <c r="AGD6">
        <v>630000</v>
      </c>
      <c r="AGE6">
        <v>425000</v>
      </c>
      <c r="AGF6">
        <v>500000</v>
      </c>
      <c r="AGG6">
        <v>357227</v>
      </c>
      <c r="AGH6">
        <v>510000</v>
      </c>
      <c r="AGI6">
        <v>135490</v>
      </c>
      <c r="AGJ6">
        <v>864908</v>
      </c>
      <c r="AGK6">
        <v>131000</v>
      </c>
      <c r="AGL6">
        <v>30000</v>
      </c>
      <c r="AGM6">
        <v>110000</v>
      </c>
      <c r="AGN6">
        <v>753000</v>
      </c>
      <c r="AGO6">
        <v>210000</v>
      </c>
      <c r="AGP6">
        <v>379000</v>
      </c>
      <c r="AGQ6">
        <v>310000</v>
      </c>
      <c r="AGR6">
        <v>824500</v>
      </c>
      <c r="AGS6">
        <v>100000</v>
      </c>
      <c r="AGT6">
        <v>203790</v>
      </c>
      <c r="AGU6">
        <v>412000</v>
      </c>
      <c r="AGV6">
        <v>545000</v>
      </c>
      <c r="AGW6">
        <v>550000</v>
      </c>
      <c r="AGX6" s="133">
        <f>SUM(AFT6:AGW6)</f>
        <v>10833105</v>
      </c>
      <c r="AGY6">
        <v>630000</v>
      </c>
      <c r="AHA6">
        <v>150000</v>
      </c>
      <c r="AHC6">
        <v>390000</v>
      </c>
      <c r="AHD6">
        <v>634976</v>
      </c>
      <c r="AHE6">
        <v>353000</v>
      </c>
      <c r="AHF6">
        <v>0</v>
      </c>
      <c r="AHG6">
        <v>225000</v>
      </c>
      <c r="AHH6">
        <v>1392000</v>
      </c>
      <c r="AHI6">
        <v>555700</v>
      </c>
      <c r="AHJ6">
        <v>150000</v>
      </c>
      <c r="AHK6">
        <v>235000</v>
      </c>
      <c r="AHL6">
        <v>930000</v>
      </c>
      <c r="AHM6">
        <v>400000</v>
      </c>
      <c r="AHN6">
        <v>100000</v>
      </c>
      <c r="AHO6">
        <v>250000</v>
      </c>
      <c r="AHP6">
        <v>152945</v>
      </c>
      <c r="AHQ6">
        <v>775000</v>
      </c>
      <c r="AHR6">
        <v>555000</v>
      </c>
      <c r="AHS6">
        <v>829235</v>
      </c>
      <c r="AHT6">
        <v>500000</v>
      </c>
      <c r="AHU6">
        <v>120000</v>
      </c>
      <c r="AHV6" s="117">
        <v>299490</v>
      </c>
      <c r="AHW6">
        <v>664669</v>
      </c>
      <c r="AHX6">
        <v>761797</v>
      </c>
      <c r="AHY6">
        <v>245000</v>
      </c>
      <c r="AHZ6">
        <v>321109</v>
      </c>
      <c r="AIA6">
        <v>235000</v>
      </c>
      <c r="AIB6">
        <v>430000</v>
      </c>
      <c r="AIC6">
        <v>170000</v>
      </c>
      <c r="AID6" s="133">
        <f>SUM(AGY6:AIC6)</f>
        <v>12454921</v>
      </c>
      <c r="AIE6">
        <v>350000</v>
      </c>
      <c r="AIF6">
        <v>650000</v>
      </c>
      <c r="AIG6">
        <v>270000</v>
      </c>
      <c r="AIH6">
        <v>459490</v>
      </c>
      <c r="AII6">
        <v>865000</v>
      </c>
      <c r="AIJ6">
        <v>440989</v>
      </c>
      <c r="AIK6">
        <v>231000</v>
      </c>
      <c r="AIL6">
        <v>170000</v>
      </c>
      <c r="AIM6">
        <v>880000</v>
      </c>
      <c r="AIN6">
        <v>886505</v>
      </c>
      <c r="AIO6">
        <v>406093</v>
      </c>
      <c r="AIP6">
        <v>402012</v>
      </c>
      <c r="AIQ6">
        <v>160000</v>
      </c>
      <c r="AIR6">
        <v>150000</v>
      </c>
      <c r="AIS6">
        <v>55000</v>
      </c>
      <c r="AIT6">
        <v>265000</v>
      </c>
      <c r="AIU6">
        <v>130000</v>
      </c>
      <c r="AIV6">
        <v>189000</v>
      </c>
      <c r="AIW6">
        <v>395000</v>
      </c>
      <c r="AIY6">
        <v>150000</v>
      </c>
      <c r="AIZ6">
        <v>555500</v>
      </c>
      <c r="AJA6">
        <v>210000</v>
      </c>
      <c r="AJB6">
        <v>508000</v>
      </c>
      <c r="AJC6">
        <v>330000</v>
      </c>
      <c r="AJD6">
        <v>170000</v>
      </c>
      <c r="AJE6">
        <v>430000</v>
      </c>
      <c r="AJF6">
        <v>200000</v>
      </c>
      <c r="AJG6">
        <v>410000</v>
      </c>
      <c r="AJH6">
        <v>800000</v>
      </c>
      <c r="AJI6">
        <v>273000</v>
      </c>
      <c r="AJJ6" s="133">
        <f>SUM(AIE6:AJI6)</f>
        <v>11391589</v>
      </c>
      <c r="AJK6">
        <v>369400</v>
      </c>
      <c r="AJL6">
        <v>80000</v>
      </c>
      <c r="AJM6">
        <v>286000</v>
      </c>
      <c r="AJN6">
        <v>1304077</v>
      </c>
      <c r="AJO6">
        <v>357716</v>
      </c>
      <c r="AJP6">
        <v>655000</v>
      </c>
      <c r="AJQ6">
        <v>346923</v>
      </c>
      <c r="AJR6">
        <v>200000</v>
      </c>
      <c r="AJS6">
        <v>354960</v>
      </c>
      <c r="AJT6">
        <v>80000</v>
      </c>
      <c r="AJU6">
        <v>275389</v>
      </c>
      <c r="AJV6">
        <v>80000</v>
      </c>
      <c r="AJW6">
        <v>150000</v>
      </c>
      <c r="AJX6">
        <v>515316</v>
      </c>
      <c r="AJY6">
        <v>438000</v>
      </c>
      <c r="AJZ6">
        <v>370000</v>
      </c>
      <c r="AKA6">
        <v>130000</v>
      </c>
      <c r="AKB6">
        <v>324936</v>
      </c>
      <c r="AKC6">
        <v>551960</v>
      </c>
      <c r="AKD6">
        <v>90000</v>
      </c>
      <c r="AKE6">
        <v>355000</v>
      </c>
      <c r="AKF6">
        <v>603233</v>
      </c>
      <c r="AKG6">
        <v>870000</v>
      </c>
      <c r="AKH6">
        <v>886198</v>
      </c>
      <c r="AKI6">
        <v>250000</v>
      </c>
      <c r="AKJ6">
        <v>672000</v>
      </c>
      <c r="AKK6">
        <v>300000</v>
      </c>
      <c r="AKL6">
        <v>173000</v>
      </c>
      <c r="AKM6" s="133">
        <f>SUM(AJK6:AKL6)</f>
        <v>11069108</v>
      </c>
      <c r="AKN6">
        <v>1014000</v>
      </c>
      <c r="AKO6">
        <v>90000</v>
      </c>
      <c r="AKP6">
        <v>350000</v>
      </c>
      <c r="AKQ6">
        <v>270000</v>
      </c>
      <c r="AKR6">
        <v>100000</v>
      </c>
      <c r="AKS6">
        <v>390000</v>
      </c>
      <c r="AKT6">
        <v>600000</v>
      </c>
      <c r="AKU6">
        <v>105000</v>
      </c>
      <c r="AKV6">
        <v>495000</v>
      </c>
      <c r="AKW6">
        <v>694109</v>
      </c>
      <c r="AKX6">
        <v>320000</v>
      </c>
      <c r="AKY6">
        <v>661000</v>
      </c>
      <c r="AKZ6">
        <v>370000</v>
      </c>
      <c r="ALA6">
        <v>796980</v>
      </c>
      <c r="ALB6">
        <v>380000</v>
      </c>
      <c r="ALC6">
        <v>1454314</v>
      </c>
      <c r="ALD6">
        <v>201000</v>
      </c>
      <c r="ALF6">
        <v>1400000</v>
      </c>
      <c r="ALG6">
        <v>610000</v>
      </c>
      <c r="ALH6">
        <v>220000</v>
      </c>
      <c r="ALI6">
        <v>200000</v>
      </c>
      <c r="ALJ6">
        <v>356490</v>
      </c>
      <c r="ALK6">
        <v>752000</v>
      </c>
      <c r="ALL6">
        <v>575000</v>
      </c>
      <c r="ALM6">
        <v>450000</v>
      </c>
      <c r="ALN6">
        <v>130000</v>
      </c>
      <c r="ALO6">
        <v>854486</v>
      </c>
      <c r="ALP6">
        <v>749081</v>
      </c>
      <c r="ALQ6">
        <v>150000</v>
      </c>
      <c r="ALR6">
        <v>100000</v>
      </c>
      <c r="ALS6" s="133">
        <f>SUM(AKN6:ALR6)</f>
        <v>14838460</v>
      </c>
      <c r="ALT6">
        <v>880000</v>
      </c>
      <c r="ALU6">
        <v>290000</v>
      </c>
      <c r="ALV6">
        <v>626351</v>
      </c>
      <c r="ALW6">
        <v>205000</v>
      </c>
      <c r="ALX6">
        <v>288000</v>
      </c>
      <c r="ALY6">
        <v>813000</v>
      </c>
      <c r="ALZ6">
        <v>301515</v>
      </c>
      <c r="AMA6">
        <v>119000</v>
      </c>
      <c r="AMB6">
        <v>545000</v>
      </c>
      <c r="AMC6">
        <v>811200</v>
      </c>
      <c r="AMD6">
        <v>130000</v>
      </c>
      <c r="AME6">
        <v>50000</v>
      </c>
      <c r="AMF6">
        <v>350000</v>
      </c>
      <c r="AMG6">
        <v>474000</v>
      </c>
      <c r="AMH6">
        <v>480000</v>
      </c>
      <c r="AMI6">
        <v>260000</v>
      </c>
      <c r="AMJ6">
        <v>95000</v>
      </c>
      <c r="AMK6">
        <v>510000</v>
      </c>
      <c r="AML6">
        <v>545000</v>
      </c>
      <c r="AMM6">
        <v>390000</v>
      </c>
      <c r="AMN6">
        <v>1060000</v>
      </c>
      <c r="AMO6">
        <v>2173700</v>
      </c>
      <c r="AMP6">
        <v>803534</v>
      </c>
      <c r="AMQ6">
        <v>1381899</v>
      </c>
      <c r="AMR6">
        <v>625000</v>
      </c>
      <c r="AMS6">
        <v>575000</v>
      </c>
      <c r="AMT6">
        <v>826983</v>
      </c>
      <c r="AMU6">
        <v>277500</v>
      </c>
      <c r="AMV6">
        <v>873000</v>
      </c>
      <c r="AMW6">
        <v>214173</v>
      </c>
      <c r="AMX6" s="133">
        <f>SUM(ALT6:AMW6)</f>
        <v>16973855</v>
      </c>
      <c r="AMY6">
        <v>600000</v>
      </c>
      <c r="AMZ6">
        <v>729850</v>
      </c>
      <c r="ANA6">
        <v>80000</v>
      </c>
      <c r="ANB6">
        <v>164000</v>
      </c>
      <c r="ANC6">
        <v>974859</v>
      </c>
      <c r="AND6">
        <v>260000</v>
      </c>
      <c r="ANE6">
        <v>1992000</v>
      </c>
      <c r="ANF6">
        <v>500000</v>
      </c>
      <c r="ANG6">
        <v>831816</v>
      </c>
      <c r="ANH6">
        <v>300000</v>
      </c>
      <c r="ANI6">
        <v>110000</v>
      </c>
      <c r="ANJ6">
        <v>979848</v>
      </c>
      <c r="ANK6">
        <v>600000</v>
      </c>
      <c r="ANL6">
        <v>358586</v>
      </c>
      <c r="ANM6">
        <v>842000</v>
      </c>
      <c r="ANN6">
        <v>532500</v>
      </c>
      <c r="ANO6">
        <v>530000</v>
      </c>
      <c r="ANP6">
        <v>300000</v>
      </c>
      <c r="ANQ6">
        <v>120000</v>
      </c>
      <c r="ANR6">
        <v>520000</v>
      </c>
      <c r="ANS6">
        <v>250000</v>
      </c>
      <c r="ANT6">
        <v>605000</v>
      </c>
      <c r="ANU6">
        <v>1268689</v>
      </c>
      <c r="ANV6">
        <v>361648</v>
      </c>
      <c r="ANW6">
        <v>978000</v>
      </c>
      <c r="ANX6">
        <v>480000</v>
      </c>
      <c r="ANY6">
        <v>90000</v>
      </c>
      <c r="ANZ6">
        <v>430000</v>
      </c>
      <c r="AOA6">
        <v>959887</v>
      </c>
      <c r="AOB6">
        <v>498890</v>
      </c>
      <c r="AOC6">
        <v>585000</v>
      </c>
    </row>
    <row r="7" spans="1:1069" x14ac:dyDescent="0.2">
      <c r="A7" s="86" t="s">
        <v>1092</v>
      </c>
      <c r="B7" s="41">
        <f>699700+730650</f>
        <v>1430350</v>
      </c>
      <c r="C7" s="41">
        <v>1207350</v>
      </c>
      <c r="D7" s="41">
        <v>80750</v>
      </c>
      <c r="E7" s="41">
        <v>650751</v>
      </c>
      <c r="F7" s="41">
        <v>301510</v>
      </c>
      <c r="G7" s="41">
        <v>385500</v>
      </c>
      <c r="H7" s="41">
        <v>618780</v>
      </c>
      <c r="I7" s="41">
        <v>100000</v>
      </c>
      <c r="J7" s="41">
        <v>576500</v>
      </c>
      <c r="K7" s="41">
        <v>100000</v>
      </c>
      <c r="L7" s="41">
        <v>1257450</v>
      </c>
      <c r="M7" s="41">
        <v>246700</v>
      </c>
      <c r="N7" s="41">
        <v>318030</v>
      </c>
      <c r="O7" s="41">
        <v>642370</v>
      </c>
      <c r="P7" s="41">
        <v>1293500</v>
      </c>
      <c r="Q7" s="41">
        <v>58680</v>
      </c>
      <c r="R7" s="41">
        <v>2310700</v>
      </c>
      <c r="S7" s="41">
        <v>336560</v>
      </c>
      <c r="T7" s="41">
        <v>209250</v>
      </c>
      <c r="U7" s="41">
        <v>0</v>
      </c>
      <c r="V7" s="41">
        <v>513640</v>
      </c>
      <c r="W7" s="41">
        <v>130000</v>
      </c>
      <c r="X7" s="41">
        <v>1059760</v>
      </c>
      <c r="Y7" s="41"/>
      <c r="Z7" s="41">
        <v>588250</v>
      </c>
      <c r="AA7" s="41">
        <v>286300</v>
      </c>
      <c r="AB7" s="41">
        <v>214460</v>
      </c>
      <c r="AC7" s="41">
        <v>903450</v>
      </c>
      <c r="AD7" s="41">
        <v>383520</v>
      </c>
      <c r="AE7" s="41">
        <v>32830</v>
      </c>
      <c r="AF7" s="41">
        <v>990987</v>
      </c>
      <c r="AG7" s="100">
        <f>SUM(B7:AF7)</f>
        <v>17227928</v>
      </c>
      <c r="AH7" s="13">
        <v>305658</v>
      </c>
      <c r="AI7" s="13">
        <v>195500</v>
      </c>
      <c r="AJ7" s="13">
        <v>905650</v>
      </c>
      <c r="AK7" s="13">
        <v>367600</v>
      </c>
      <c r="AL7" s="13">
        <v>178220</v>
      </c>
      <c r="AM7" s="13">
        <v>312050</v>
      </c>
      <c r="AN7" s="13">
        <v>560850</v>
      </c>
      <c r="AO7" s="13">
        <v>234500</v>
      </c>
      <c r="AP7" s="13">
        <v>823500</v>
      </c>
      <c r="AQ7" s="13">
        <v>1087050</v>
      </c>
      <c r="AR7" s="13"/>
      <c r="AU7">
        <v>792500</v>
      </c>
      <c r="AV7">
        <f>147000+196000</f>
        <v>343000</v>
      </c>
      <c r="AW7">
        <v>367200</v>
      </c>
      <c r="AX7">
        <v>199000</v>
      </c>
      <c r="AY7">
        <v>546330</v>
      </c>
      <c r="AZ7">
        <v>343600</v>
      </c>
      <c r="BB7">
        <v>536750</v>
      </c>
      <c r="BC7">
        <v>539000</v>
      </c>
      <c r="BD7">
        <v>80000</v>
      </c>
      <c r="BE7">
        <v>288500</v>
      </c>
      <c r="BF7">
        <v>50000</v>
      </c>
      <c r="BG7">
        <v>196000</v>
      </c>
      <c r="BH7">
        <v>223900</v>
      </c>
      <c r="BI7">
        <v>1085500</v>
      </c>
      <c r="BJ7">
        <v>891000</v>
      </c>
      <c r="BK7">
        <v>173250</v>
      </c>
      <c r="BL7">
        <f>SUM(AH7:BK7)</f>
        <v>11626108</v>
      </c>
      <c r="BM7">
        <v>237000</v>
      </c>
      <c r="BN7">
        <v>247500</v>
      </c>
      <c r="BO7">
        <v>611470</v>
      </c>
      <c r="BQ7">
        <v>2476000</v>
      </c>
      <c r="BR7">
        <v>188420</v>
      </c>
      <c r="BS7">
        <v>978190</v>
      </c>
      <c r="BT7">
        <v>415090</v>
      </c>
      <c r="BU7">
        <v>1905750</v>
      </c>
      <c r="BV7">
        <v>695500</v>
      </c>
      <c r="BW7">
        <v>819280</v>
      </c>
      <c r="BX7">
        <v>0</v>
      </c>
      <c r="BY7">
        <v>690867</v>
      </c>
      <c r="BZ7">
        <v>869052</v>
      </c>
      <c r="CA7">
        <v>628000</v>
      </c>
      <c r="CB7">
        <v>267500</v>
      </c>
      <c r="CC7">
        <v>386600</v>
      </c>
      <c r="CD7">
        <v>2213905</v>
      </c>
      <c r="CF7">
        <v>497700</v>
      </c>
      <c r="CG7">
        <v>60000</v>
      </c>
      <c r="CH7">
        <v>110000</v>
      </c>
      <c r="CI7">
        <v>30000</v>
      </c>
      <c r="CK7">
        <v>639150</v>
      </c>
      <c r="CL7">
        <v>150000</v>
      </c>
      <c r="CM7">
        <v>371250</v>
      </c>
      <c r="CO7">
        <v>20000</v>
      </c>
      <c r="CP7">
        <v>30000</v>
      </c>
      <c r="CQ7">
        <v>297500</v>
      </c>
      <c r="CR7">
        <f>SUM(BM7:CQ7)</f>
        <v>15835724</v>
      </c>
      <c r="CS7">
        <v>207800</v>
      </c>
      <c r="CT7">
        <v>1097890</v>
      </c>
      <c r="CU7">
        <v>239500</v>
      </c>
      <c r="CV7">
        <v>309000</v>
      </c>
      <c r="CW7">
        <v>321750</v>
      </c>
      <c r="CX7">
        <v>575000</v>
      </c>
      <c r="CY7">
        <v>1965279</v>
      </c>
      <c r="CZ7">
        <v>332443</v>
      </c>
      <c r="DA7">
        <v>1588445</v>
      </c>
      <c r="DB7">
        <v>411500</v>
      </c>
      <c r="DC7">
        <v>1272170</v>
      </c>
      <c r="DD7">
        <v>203000</v>
      </c>
      <c r="DE7">
        <v>499243</v>
      </c>
      <c r="DF7">
        <v>587079</v>
      </c>
      <c r="DG7">
        <v>1108300</v>
      </c>
      <c r="DI7">
        <v>2337500</v>
      </c>
      <c r="DJ7">
        <v>658453</v>
      </c>
      <c r="DK7">
        <v>567000</v>
      </c>
      <c r="DL7">
        <v>979200</v>
      </c>
      <c r="DM7">
        <v>424350</v>
      </c>
      <c r="DN7">
        <v>2125700</v>
      </c>
      <c r="DO7">
        <v>290250</v>
      </c>
      <c r="DS7">
        <v>3644800</v>
      </c>
      <c r="DT7">
        <v>436500</v>
      </c>
      <c r="DV7">
        <v>509400</v>
      </c>
      <c r="DW7">
        <f>SUM(CS7:DV7)</f>
        <v>22691552</v>
      </c>
      <c r="DX7">
        <v>1108003</v>
      </c>
      <c r="DY7">
        <v>1696000</v>
      </c>
      <c r="DZ7">
        <v>420000</v>
      </c>
      <c r="EA7">
        <v>100000</v>
      </c>
      <c r="EC7">
        <v>650000</v>
      </c>
      <c r="ED7">
        <v>888900</v>
      </c>
      <c r="EF7">
        <v>315250</v>
      </c>
      <c r="EG7">
        <v>103500</v>
      </c>
      <c r="EH7">
        <v>1035000</v>
      </c>
      <c r="EI7">
        <v>1548609</v>
      </c>
      <c r="EJ7">
        <v>647750</v>
      </c>
      <c r="EK7">
        <v>291000</v>
      </c>
      <c r="EL7" s="83">
        <v>1843000</v>
      </c>
      <c r="EM7">
        <v>681000</v>
      </c>
      <c r="EN7">
        <v>201000</v>
      </c>
      <c r="EO7">
        <v>160000</v>
      </c>
      <c r="EP7">
        <v>242500</v>
      </c>
      <c r="EQ7">
        <v>582000</v>
      </c>
      <c r="ER7">
        <v>1940000</v>
      </c>
      <c r="ES7">
        <v>100000</v>
      </c>
      <c r="EV7">
        <v>102960</v>
      </c>
      <c r="EW7">
        <v>32000</v>
      </c>
      <c r="FA7">
        <v>542500</v>
      </c>
      <c r="FB7">
        <v>339500</v>
      </c>
      <c r="FC7" s="128">
        <f>SUM(DX7:FB7)</f>
        <v>15570472</v>
      </c>
      <c r="FD7">
        <v>339400</v>
      </c>
      <c r="FE7">
        <v>1661900</v>
      </c>
      <c r="FF7">
        <v>1812500</v>
      </c>
      <c r="FG7">
        <v>277000</v>
      </c>
      <c r="FI7">
        <v>1528900</v>
      </c>
      <c r="FJ7">
        <v>194000</v>
      </c>
      <c r="FK7">
        <v>194000</v>
      </c>
      <c r="FL7">
        <v>545362</v>
      </c>
      <c r="FO7">
        <v>2449250</v>
      </c>
      <c r="FQ7">
        <v>194000</v>
      </c>
      <c r="FR7">
        <v>1908250</v>
      </c>
      <c r="FS7">
        <v>0</v>
      </c>
      <c r="FT7">
        <v>175000</v>
      </c>
      <c r="FU7">
        <v>315250</v>
      </c>
      <c r="FW7">
        <v>100000</v>
      </c>
      <c r="FX7">
        <v>214750</v>
      </c>
      <c r="FZ7">
        <v>2677867</v>
      </c>
      <c r="GB7">
        <v>127000</v>
      </c>
      <c r="GC7">
        <v>205000</v>
      </c>
      <c r="GD7">
        <v>1727380</v>
      </c>
      <c r="GF7">
        <v>318250</v>
      </c>
      <c r="GG7">
        <v>1600000</v>
      </c>
      <c r="GH7">
        <v>339500</v>
      </c>
      <c r="GI7" s="83">
        <f>SUM(FD7:GH7)</f>
        <v>18904559</v>
      </c>
      <c r="GJ7">
        <v>1635200</v>
      </c>
      <c r="GK7">
        <v>1623530</v>
      </c>
      <c r="GL7">
        <v>5290</v>
      </c>
      <c r="GM7">
        <v>890982</v>
      </c>
      <c r="GN7">
        <v>1050900</v>
      </c>
      <c r="GO7">
        <v>582500</v>
      </c>
      <c r="GP7">
        <v>1996700</v>
      </c>
      <c r="GQ7">
        <v>528969</v>
      </c>
      <c r="GR7">
        <v>342307</v>
      </c>
      <c r="GS7">
        <v>2002500</v>
      </c>
      <c r="GT7">
        <v>262500</v>
      </c>
      <c r="GU7">
        <v>324950</v>
      </c>
      <c r="GV7">
        <v>100000</v>
      </c>
      <c r="GW7">
        <v>1982400</v>
      </c>
      <c r="GX7">
        <v>349200</v>
      </c>
      <c r="GY7">
        <v>291000</v>
      </c>
      <c r="GZ7">
        <v>720000</v>
      </c>
      <c r="HA7">
        <v>100000</v>
      </c>
      <c r="HB7">
        <v>1700500</v>
      </c>
      <c r="HC7">
        <v>642350</v>
      </c>
      <c r="HD7">
        <v>258550</v>
      </c>
      <c r="HE7">
        <v>200000</v>
      </c>
      <c r="HF7">
        <v>197000</v>
      </c>
      <c r="HG7">
        <v>2282500</v>
      </c>
      <c r="HI7">
        <v>955515</v>
      </c>
      <c r="HK7">
        <v>420500</v>
      </c>
      <c r="HL7">
        <v>927000</v>
      </c>
      <c r="HM7" s="133">
        <f>SUM(GJ7:HL7)</f>
        <v>22372843</v>
      </c>
      <c r="HN7">
        <v>1939453</v>
      </c>
      <c r="HO7">
        <v>388000</v>
      </c>
      <c r="HP7">
        <v>1000000</v>
      </c>
      <c r="HQ7">
        <v>2589326</v>
      </c>
      <c r="HR7">
        <v>1164150</v>
      </c>
      <c r="HS7">
        <v>50000</v>
      </c>
      <c r="HT7">
        <v>366750</v>
      </c>
      <c r="HU7">
        <v>777864</v>
      </c>
      <c r="HV7">
        <v>2513650</v>
      </c>
      <c r="HW7">
        <v>0</v>
      </c>
      <c r="HX7">
        <v>1290000</v>
      </c>
      <c r="HY7">
        <v>0</v>
      </c>
      <c r="HZ7">
        <v>250000</v>
      </c>
      <c r="IA7">
        <v>1287337</v>
      </c>
      <c r="IB7">
        <v>452250</v>
      </c>
      <c r="IC7">
        <v>299000</v>
      </c>
      <c r="ID7">
        <v>398500</v>
      </c>
      <c r="IE7">
        <v>1478000</v>
      </c>
      <c r="IF7">
        <v>1232000</v>
      </c>
      <c r="IG7">
        <v>399530</v>
      </c>
      <c r="IH7">
        <v>2235450</v>
      </c>
      <c r="II7">
        <v>321000</v>
      </c>
      <c r="IJ7">
        <v>97000</v>
      </c>
      <c r="IK7">
        <v>0</v>
      </c>
      <c r="IL7">
        <v>1466000</v>
      </c>
      <c r="IM7">
        <v>441000</v>
      </c>
      <c r="IN7">
        <v>224217</v>
      </c>
      <c r="IO7">
        <v>250000</v>
      </c>
      <c r="IP7">
        <v>1700000</v>
      </c>
      <c r="IQ7">
        <v>740000</v>
      </c>
      <c r="IR7">
        <v>100000</v>
      </c>
      <c r="IS7" s="133">
        <f>SUM(HN7:IR7)</f>
        <v>25450477</v>
      </c>
      <c r="IT7">
        <v>1370750</v>
      </c>
      <c r="IU7">
        <v>2598808</v>
      </c>
      <c r="IV7">
        <v>280000</v>
      </c>
      <c r="IW7">
        <v>1728964</v>
      </c>
      <c r="IX7">
        <v>2065142</v>
      </c>
      <c r="IY7">
        <v>618807</v>
      </c>
      <c r="IZ7">
        <v>30000</v>
      </c>
      <c r="JA7">
        <v>2619750</v>
      </c>
      <c r="JB7">
        <v>304700</v>
      </c>
      <c r="JC7">
        <v>200000</v>
      </c>
      <c r="JD7">
        <v>70000</v>
      </c>
      <c r="JE7">
        <v>394450</v>
      </c>
      <c r="JF7">
        <v>3379965</v>
      </c>
      <c r="JG7">
        <v>314000</v>
      </c>
      <c r="JH7">
        <v>400000</v>
      </c>
      <c r="JJ7">
        <v>2287842</v>
      </c>
      <c r="JK7">
        <v>250000</v>
      </c>
      <c r="JL7">
        <v>539900</v>
      </c>
      <c r="JO7">
        <v>3443300</v>
      </c>
      <c r="JP7">
        <v>274450</v>
      </c>
      <c r="JQ7">
        <v>138000</v>
      </c>
      <c r="JR7">
        <v>444000</v>
      </c>
      <c r="JS7">
        <v>784362</v>
      </c>
      <c r="JV7">
        <v>1050000</v>
      </c>
      <c r="JW7">
        <v>294400</v>
      </c>
      <c r="JX7" s="133">
        <f>SUM(IT7:JW7)</f>
        <v>25881590</v>
      </c>
      <c r="JY7">
        <v>284720</v>
      </c>
      <c r="JZ7">
        <v>1495000</v>
      </c>
      <c r="KA7">
        <v>1295306</v>
      </c>
      <c r="KB7">
        <v>45000</v>
      </c>
      <c r="KC7">
        <v>50000</v>
      </c>
      <c r="KD7">
        <v>429969</v>
      </c>
      <c r="KE7">
        <v>655662</v>
      </c>
      <c r="KF7">
        <v>0</v>
      </c>
      <c r="KG7">
        <v>787344</v>
      </c>
      <c r="KH7">
        <v>295991</v>
      </c>
      <c r="KI7">
        <v>244500</v>
      </c>
      <c r="KJ7">
        <v>0</v>
      </c>
      <c r="KK7">
        <v>5797650</v>
      </c>
      <c r="KL7">
        <v>86050</v>
      </c>
      <c r="KM7">
        <v>714807</v>
      </c>
      <c r="KN7">
        <v>408769</v>
      </c>
      <c r="KO7">
        <v>322740</v>
      </c>
      <c r="KP7">
        <v>11000</v>
      </c>
      <c r="KR7">
        <v>951357</v>
      </c>
      <c r="KS7">
        <v>39120</v>
      </c>
      <c r="KT7">
        <v>1583170</v>
      </c>
      <c r="KU7">
        <v>900184</v>
      </c>
      <c r="KV7">
        <v>416970</v>
      </c>
      <c r="KW7">
        <v>600000</v>
      </c>
      <c r="KX7">
        <v>65120</v>
      </c>
      <c r="KY7">
        <v>298240</v>
      </c>
      <c r="KZ7">
        <v>643266</v>
      </c>
      <c r="LA7">
        <v>914539</v>
      </c>
      <c r="LB7">
        <v>505000</v>
      </c>
      <c r="LC7">
        <v>444350</v>
      </c>
      <c r="LD7" s="133">
        <f>SUM(JY7:LC7)</f>
        <v>20285824</v>
      </c>
      <c r="LE7">
        <v>1045950</v>
      </c>
      <c r="LF7">
        <v>203700</v>
      </c>
      <c r="LG7">
        <v>753064</v>
      </c>
      <c r="LH7">
        <v>1217460</v>
      </c>
      <c r="LI7">
        <v>281620</v>
      </c>
      <c r="LJ7">
        <v>38800</v>
      </c>
      <c r="LK7">
        <v>556750</v>
      </c>
      <c r="LL7">
        <v>541392</v>
      </c>
      <c r="LM7">
        <v>38800</v>
      </c>
      <c r="LN7">
        <v>160050</v>
      </c>
      <c r="LO7">
        <v>742853</v>
      </c>
      <c r="LP7">
        <v>792050</v>
      </c>
      <c r="LQ7">
        <v>244997</v>
      </c>
      <c r="LR7">
        <v>77600</v>
      </c>
      <c r="LS7">
        <v>581750</v>
      </c>
      <c r="LU7">
        <v>567262</v>
      </c>
      <c r="LV7">
        <v>767864</v>
      </c>
      <c r="LW7">
        <v>38800</v>
      </c>
      <c r="LX7">
        <v>631125</v>
      </c>
      <c r="LY7">
        <v>660820</v>
      </c>
      <c r="LZ7">
        <v>138800</v>
      </c>
      <c r="MA7">
        <v>90000</v>
      </c>
      <c r="MD7">
        <v>578862</v>
      </c>
      <c r="ME7">
        <v>40000</v>
      </c>
      <c r="MF7">
        <v>454500</v>
      </c>
      <c r="MG7">
        <v>66500</v>
      </c>
      <c r="MH7">
        <v>665660</v>
      </c>
      <c r="MI7" s="133">
        <f>SUM(LD7:MH7)</f>
        <v>32262853</v>
      </c>
      <c r="MJ7">
        <v>720950</v>
      </c>
      <c r="MK7">
        <v>533550</v>
      </c>
      <c r="ML7">
        <v>92900</v>
      </c>
      <c r="MN7">
        <v>370450</v>
      </c>
      <c r="MO7">
        <v>40000</v>
      </c>
      <c r="MP7">
        <v>626682</v>
      </c>
      <c r="MQ7">
        <v>290950</v>
      </c>
      <c r="MR7">
        <v>310000</v>
      </c>
      <c r="MS7">
        <v>273430</v>
      </c>
      <c r="MT7">
        <v>478000</v>
      </c>
      <c r="MU7">
        <v>40000</v>
      </c>
      <c r="MV7">
        <v>559000</v>
      </c>
      <c r="MW7">
        <v>126000</v>
      </c>
      <c r="MX7">
        <v>110000</v>
      </c>
      <c r="MY7">
        <v>330950</v>
      </c>
      <c r="MZ7">
        <v>90000</v>
      </c>
      <c r="NA7">
        <v>360725</v>
      </c>
      <c r="NB7">
        <v>742262</v>
      </c>
      <c r="ND7">
        <v>440000</v>
      </c>
      <c r="NE7">
        <v>493750</v>
      </c>
      <c r="NF7">
        <v>40000</v>
      </c>
      <c r="NH7">
        <v>20000</v>
      </c>
      <c r="NI7">
        <v>531502</v>
      </c>
      <c r="NJ7">
        <v>400000</v>
      </c>
      <c r="NL7">
        <v>299842</v>
      </c>
      <c r="NM7">
        <v>20000</v>
      </c>
      <c r="NN7">
        <v>322338</v>
      </c>
      <c r="NO7" s="133">
        <f>SUM(MJ7:NN7)</f>
        <v>8663281</v>
      </c>
      <c r="NQ7">
        <v>686000</v>
      </c>
      <c r="NR7">
        <v>190000</v>
      </c>
      <c r="NS7">
        <v>65000</v>
      </c>
      <c r="NU7">
        <v>340042</v>
      </c>
      <c r="NV7">
        <v>373250</v>
      </c>
      <c r="NW7">
        <v>970416</v>
      </c>
      <c r="NX7">
        <v>537026</v>
      </c>
      <c r="NZ7">
        <v>209708</v>
      </c>
      <c r="OA7">
        <v>330000</v>
      </c>
      <c r="OB7">
        <v>412362</v>
      </c>
      <c r="OC7">
        <v>106000</v>
      </c>
      <c r="OD7">
        <v>30000</v>
      </c>
      <c r="OE7">
        <v>260000</v>
      </c>
      <c r="OF7">
        <v>100000</v>
      </c>
      <c r="OG7">
        <v>412322</v>
      </c>
      <c r="OI7">
        <v>528576</v>
      </c>
      <c r="OJ7">
        <v>343638</v>
      </c>
      <c r="OK7">
        <v>480000</v>
      </c>
      <c r="OL7">
        <v>361283</v>
      </c>
      <c r="ON7">
        <v>40000</v>
      </c>
      <c r="OO7">
        <v>1327250</v>
      </c>
      <c r="OP7">
        <v>78473</v>
      </c>
      <c r="OQ7">
        <v>806597</v>
      </c>
      <c r="OR7">
        <v>210000</v>
      </c>
      <c r="OS7">
        <v>100000</v>
      </c>
      <c r="OT7">
        <v>3633399</v>
      </c>
      <c r="OU7" s="133">
        <f>SUM(NP7:OT7)</f>
        <v>12931342</v>
      </c>
      <c r="OW7">
        <v>2543563</v>
      </c>
      <c r="OX7">
        <v>247490</v>
      </c>
      <c r="OY7">
        <v>158000</v>
      </c>
      <c r="OZ7">
        <v>518499</v>
      </c>
      <c r="PA7">
        <v>1500118</v>
      </c>
      <c r="PB7">
        <f>1187250+295000</f>
        <v>1482250</v>
      </c>
      <c r="PC7">
        <v>629880</v>
      </c>
      <c r="PD7">
        <v>822399</v>
      </c>
      <c r="PE7">
        <v>522900</v>
      </c>
      <c r="PF7">
        <v>899840</v>
      </c>
      <c r="PG7">
        <v>1124754</v>
      </c>
      <c r="PH7">
        <v>654980</v>
      </c>
      <c r="PI7">
        <v>80000</v>
      </c>
      <c r="PJ7">
        <v>40000</v>
      </c>
      <c r="PK7">
        <v>926765</v>
      </c>
      <c r="PL7">
        <v>1141526</v>
      </c>
      <c r="PM7">
        <v>40000</v>
      </c>
      <c r="PN7">
        <v>1485700</v>
      </c>
      <c r="PO7">
        <v>1206446</v>
      </c>
      <c r="PP7">
        <v>475450</v>
      </c>
      <c r="PQ7">
        <v>400000</v>
      </c>
      <c r="PR7">
        <v>300000</v>
      </c>
      <c r="PS7">
        <v>401195</v>
      </c>
      <c r="PT7">
        <v>450000</v>
      </c>
      <c r="PU7">
        <v>120000</v>
      </c>
      <c r="PV7">
        <v>533278</v>
      </c>
      <c r="PW7">
        <v>1995975</v>
      </c>
      <c r="PX7">
        <v>60000</v>
      </c>
      <c r="PY7">
        <v>1304631</v>
      </c>
      <c r="PZ7" s="133">
        <f>SUM(OV7:PY7)</f>
        <v>22065639</v>
      </c>
      <c r="QA7">
        <v>410000</v>
      </c>
      <c r="QB7">
        <v>715450</v>
      </c>
      <c r="QC7">
        <v>449960</v>
      </c>
      <c r="QD7">
        <v>1932110</v>
      </c>
      <c r="QE7">
        <v>460000</v>
      </c>
      <c r="QF7">
        <v>60000</v>
      </c>
      <c r="QG7">
        <v>725450</v>
      </c>
      <c r="QH7">
        <v>90000</v>
      </c>
      <c r="QI7">
        <v>433373</v>
      </c>
      <c r="QJ7">
        <v>537920</v>
      </c>
      <c r="QK7">
        <v>436000</v>
      </c>
      <c r="QL7">
        <v>1530677</v>
      </c>
      <c r="QM7">
        <v>1052887</v>
      </c>
      <c r="QN7">
        <v>2567539</v>
      </c>
      <c r="QO7">
        <v>110000</v>
      </c>
      <c r="QP7">
        <v>2186686</v>
      </c>
      <c r="QQ7">
        <v>569237</v>
      </c>
      <c r="QR7">
        <v>1416890</v>
      </c>
      <c r="QS7">
        <v>989800</v>
      </c>
      <c r="QT7">
        <v>841812</v>
      </c>
      <c r="QU7">
        <v>239148</v>
      </c>
      <c r="QV7">
        <v>363000</v>
      </c>
      <c r="QW7">
        <v>231980</v>
      </c>
      <c r="QX7">
        <v>4751544</v>
      </c>
      <c r="QY7">
        <v>684049</v>
      </c>
      <c r="QZ7">
        <v>835000</v>
      </c>
      <c r="RA7">
        <v>308346</v>
      </c>
      <c r="RB7">
        <v>1244769</v>
      </c>
      <c r="RC7">
        <v>1543000</v>
      </c>
      <c r="RD7">
        <v>528346</v>
      </c>
      <c r="RE7">
        <v>859703</v>
      </c>
      <c r="RF7" s="133">
        <f>SUM(QA7:RE7)</f>
        <v>29104676</v>
      </c>
      <c r="RG7">
        <v>140000</v>
      </c>
      <c r="RH7">
        <v>110000</v>
      </c>
      <c r="RI7">
        <v>462945</v>
      </c>
      <c r="RJ7">
        <v>3063297</v>
      </c>
      <c r="RK7">
        <v>165000</v>
      </c>
      <c r="RL7">
        <v>256980</v>
      </c>
      <c r="RM7">
        <v>854148</v>
      </c>
      <c r="RN7">
        <v>566843</v>
      </c>
      <c r="RO7">
        <v>794295</v>
      </c>
      <c r="RP7">
        <v>351380</v>
      </c>
      <c r="RQ7">
        <v>1224500</v>
      </c>
      <c r="RR7">
        <v>835300</v>
      </c>
      <c r="RS7">
        <v>754395</v>
      </c>
      <c r="RT7">
        <v>1716390</v>
      </c>
      <c r="RU7">
        <v>1095020</v>
      </c>
      <c r="RV7">
        <v>1842967</v>
      </c>
      <c r="RW7">
        <v>1287365</v>
      </c>
      <c r="RX7">
        <v>645860</v>
      </c>
      <c r="RY7">
        <v>501228</v>
      </c>
      <c r="RZ7">
        <v>590000</v>
      </c>
      <c r="SA7">
        <v>956660</v>
      </c>
      <c r="SB7">
        <v>197800</v>
      </c>
      <c r="SC7">
        <v>194100</v>
      </c>
      <c r="SD7">
        <v>372670</v>
      </c>
      <c r="SE7">
        <v>457600</v>
      </c>
      <c r="SF7">
        <v>1062779</v>
      </c>
      <c r="SG7">
        <v>338000</v>
      </c>
      <c r="SH7">
        <v>1980900</v>
      </c>
      <c r="SJ7">
        <v>374764</v>
      </c>
      <c r="SK7" s="133">
        <f>SUM(RG7:SJ7)</f>
        <v>23193186</v>
      </c>
      <c r="SL7">
        <v>827000</v>
      </c>
      <c r="SM7">
        <v>2147199</v>
      </c>
      <c r="SN7">
        <v>417568</v>
      </c>
      <c r="SO7">
        <v>1968000</v>
      </c>
      <c r="SP7">
        <v>250000</v>
      </c>
      <c r="SQ7">
        <v>60000</v>
      </c>
      <c r="SR7">
        <v>907600</v>
      </c>
      <c r="SS7">
        <v>518950</v>
      </c>
      <c r="ST7">
        <v>1888000</v>
      </c>
      <c r="SU7">
        <v>60000</v>
      </c>
      <c r="SV7">
        <v>368510</v>
      </c>
      <c r="SW7">
        <v>956000</v>
      </c>
      <c r="SX7">
        <v>409984</v>
      </c>
      <c r="SY7">
        <v>729050</v>
      </c>
      <c r="SZ7">
        <v>1108900</v>
      </c>
      <c r="TA7">
        <v>2410440</v>
      </c>
      <c r="TB7">
        <v>200000</v>
      </c>
      <c r="TC7">
        <v>326500</v>
      </c>
      <c r="TD7">
        <v>1186910</v>
      </c>
      <c r="TE7">
        <v>60000</v>
      </c>
      <c r="TF7">
        <v>717000</v>
      </c>
      <c r="TG7">
        <v>558400</v>
      </c>
      <c r="TH7">
        <v>760000</v>
      </c>
      <c r="TI7">
        <v>777940</v>
      </c>
      <c r="TL7">
        <v>160000</v>
      </c>
      <c r="TM7">
        <v>199900</v>
      </c>
      <c r="TN7">
        <v>304500</v>
      </c>
      <c r="TO7">
        <v>80000</v>
      </c>
      <c r="TP7">
        <v>0</v>
      </c>
      <c r="TQ7" s="133">
        <f>SUM(SL7:TP7)</f>
        <v>20358351</v>
      </c>
      <c r="TR7">
        <v>468950</v>
      </c>
      <c r="TS7">
        <v>60000</v>
      </c>
      <c r="TT7">
        <v>300000</v>
      </c>
      <c r="TU7">
        <v>40000</v>
      </c>
      <c r="TV7">
        <v>775950</v>
      </c>
      <c r="TW7">
        <v>523400</v>
      </c>
      <c r="TX7">
        <v>954000</v>
      </c>
      <c r="TY7">
        <v>1832950</v>
      </c>
      <c r="TZ7">
        <v>150000</v>
      </c>
      <c r="UA7">
        <v>187200</v>
      </c>
      <c r="UB7">
        <v>90000</v>
      </c>
      <c r="UC7">
        <v>618520</v>
      </c>
      <c r="UD7">
        <v>2267950</v>
      </c>
      <c r="UE7">
        <v>568950</v>
      </c>
      <c r="UF7">
        <v>100000</v>
      </c>
      <c r="UG7">
        <v>537970</v>
      </c>
      <c r="UH7">
        <v>680430</v>
      </c>
      <c r="UI7">
        <v>175000</v>
      </c>
      <c r="UJ7">
        <v>328950</v>
      </c>
      <c r="UK7">
        <v>80000</v>
      </c>
      <c r="UL7">
        <v>1110000</v>
      </c>
      <c r="UM7">
        <v>801773</v>
      </c>
      <c r="UN7">
        <v>517400</v>
      </c>
      <c r="UO7">
        <v>595000</v>
      </c>
      <c r="UP7">
        <v>950000</v>
      </c>
      <c r="UQ7">
        <v>700000</v>
      </c>
      <c r="UR7">
        <v>2192720</v>
      </c>
      <c r="US7">
        <v>810000</v>
      </c>
      <c r="UT7">
        <v>40000</v>
      </c>
      <c r="UU7">
        <v>1153302</v>
      </c>
      <c r="UV7">
        <v>60000</v>
      </c>
      <c r="UW7" s="133">
        <f>SUM(TR7:UV7)</f>
        <v>19670415</v>
      </c>
      <c r="UX7">
        <v>868950</v>
      </c>
      <c r="UY7">
        <v>569978</v>
      </c>
      <c r="UZ7">
        <v>2949203</v>
      </c>
      <c r="VA7">
        <v>449435</v>
      </c>
      <c r="VB7">
        <v>813840</v>
      </c>
      <c r="VC7">
        <v>195000</v>
      </c>
      <c r="VD7">
        <v>1411762</v>
      </c>
      <c r="VE7">
        <v>1353000</v>
      </c>
      <c r="VF7">
        <v>830063</v>
      </c>
      <c r="VG7">
        <v>860445</v>
      </c>
      <c r="VH7">
        <v>3250110</v>
      </c>
      <c r="VI7">
        <v>350120</v>
      </c>
      <c r="VJ7">
        <v>774344</v>
      </c>
      <c r="VK7">
        <v>451060</v>
      </c>
      <c r="VL7">
        <v>455000</v>
      </c>
      <c r="VM7">
        <v>777000</v>
      </c>
      <c r="VN7">
        <v>350000</v>
      </c>
      <c r="VO7">
        <v>269445</v>
      </c>
      <c r="VP7">
        <v>1776000</v>
      </c>
      <c r="VQ7">
        <v>368010</v>
      </c>
      <c r="VR7">
        <v>550000</v>
      </c>
      <c r="VS7">
        <v>765000</v>
      </c>
      <c r="VT7">
        <v>795700</v>
      </c>
      <c r="VU7">
        <v>27060</v>
      </c>
      <c r="VV7">
        <v>2875605</v>
      </c>
      <c r="VW7">
        <v>125000</v>
      </c>
      <c r="VX7">
        <v>2170000</v>
      </c>
      <c r="VY7">
        <v>70000</v>
      </c>
      <c r="VZ7" s="133">
        <f>SUM(UX7:VY7)</f>
        <v>26501130</v>
      </c>
      <c r="WA7">
        <v>632000</v>
      </c>
      <c r="WB7">
        <v>960250</v>
      </c>
      <c r="WC7">
        <v>3445412</v>
      </c>
      <c r="WD7">
        <v>1287292</v>
      </c>
      <c r="WE7">
        <v>1135960</v>
      </c>
      <c r="WF7">
        <v>127000</v>
      </c>
      <c r="WG7">
        <v>755492</v>
      </c>
      <c r="WH7">
        <v>2182000</v>
      </c>
      <c r="WI7">
        <v>617778</v>
      </c>
      <c r="WJ7">
        <v>1300000</v>
      </c>
      <c r="WK7">
        <v>2208460</v>
      </c>
      <c r="WL7">
        <v>557500</v>
      </c>
      <c r="WM7">
        <v>1542883</v>
      </c>
      <c r="WN7">
        <v>1628000</v>
      </c>
      <c r="WO7">
        <v>967000</v>
      </c>
      <c r="WP7">
        <v>801650</v>
      </c>
      <c r="WQ7">
        <v>1458700</v>
      </c>
      <c r="WR7">
        <v>90000</v>
      </c>
      <c r="WS7">
        <v>931970</v>
      </c>
      <c r="WT7">
        <v>110000</v>
      </c>
      <c r="WU7">
        <v>2466570</v>
      </c>
      <c r="WV7">
        <v>355000</v>
      </c>
      <c r="WW7">
        <v>1188248</v>
      </c>
      <c r="WX7">
        <v>1045000</v>
      </c>
      <c r="XB7">
        <v>250000</v>
      </c>
      <c r="XF7" s="133">
        <f>SUM(WA7:XE7)</f>
        <v>28044165</v>
      </c>
      <c r="XG7">
        <v>0</v>
      </c>
      <c r="XH7">
        <v>0</v>
      </c>
      <c r="XI7">
        <v>0</v>
      </c>
      <c r="XL7">
        <v>0</v>
      </c>
      <c r="XN7">
        <v>0</v>
      </c>
      <c r="XR7">
        <v>0</v>
      </c>
      <c r="XS7">
        <v>0</v>
      </c>
      <c r="XT7">
        <v>0</v>
      </c>
      <c r="XU7">
        <v>0</v>
      </c>
      <c r="XV7">
        <v>56000</v>
      </c>
      <c r="XW7">
        <v>200000</v>
      </c>
      <c r="XX7">
        <v>300000</v>
      </c>
      <c r="XY7">
        <v>255750</v>
      </c>
      <c r="XZ7">
        <v>465000</v>
      </c>
      <c r="YA7">
        <v>190000</v>
      </c>
      <c r="YB7">
        <v>490972</v>
      </c>
      <c r="YC7">
        <v>558422</v>
      </c>
      <c r="YD7">
        <v>398245</v>
      </c>
      <c r="YE7">
        <v>383000</v>
      </c>
      <c r="YF7">
        <v>40000</v>
      </c>
      <c r="YH7">
        <v>479000</v>
      </c>
      <c r="YJ7">
        <v>566000</v>
      </c>
      <c r="YK7" s="133">
        <f>SUM(XG7:YJ7)</f>
        <v>4382389</v>
      </c>
      <c r="YL7">
        <v>1935000</v>
      </c>
      <c r="YM7">
        <v>326555</v>
      </c>
      <c r="YN7">
        <v>200000</v>
      </c>
      <c r="YO7">
        <v>1177000</v>
      </c>
      <c r="YP7">
        <v>1541000</v>
      </c>
      <c r="YQ7">
        <v>792412</v>
      </c>
      <c r="YR7">
        <v>1301060</v>
      </c>
      <c r="YS7">
        <v>0</v>
      </c>
      <c r="YT7">
        <v>1495000</v>
      </c>
      <c r="YU7">
        <v>1037200</v>
      </c>
      <c r="YV7">
        <v>645200</v>
      </c>
      <c r="YW7">
        <v>1530988</v>
      </c>
      <c r="YY7">
        <v>30000</v>
      </c>
      <c r="ZA7">
        <v>922500</v>
      </c>
      <c r="ZB7">
        <v>310000</v>
      </c>
      <c r="ZC7">
        <v>915000</v>
      </c>
      <c r="ZD7">
        <v>923614</v>
      </c>
      <c r="ZE7">
        <v>333900</v>
      </c>
      <c r="ZF7">
        <v>1053000</v>
      </c>
      <c r="ZG7">
        <v>0</v>
      </c>
      <c r="ZI7">
        <v>1162900</v>
      </c>
      <c r="ZK7">
        <v>100000</v>
      </c>
      <c r="ZL7">
        <v>60000</v>
      </c>
      <c r="ZM7">
        <v>250000</v>
      </c>
      <c r="ZN7">
        <v>830096</v>
      </c>
      <c r="ZO7">
        <v>941268</v>
      </c>
      <c r="ZQ7" s="133">
        <f>SUM(YM7:ZP7)</f>
        <v>17878693</v>
      </c>
      <c r="ZR7">
        <v>3040750</v>
      </c>
      <c r="ZS7">
        <v>930000</v>
      </c>
      <c r="ZT7">
        <v>426057</v>
      </c>
      <c r="ZU7">
        <v>265000</v>
      </c>
      <c r="ZV7">
        <v>1079760</v>
      </c>
      <c r="ZW7">
        <v>80000</v>
      </c>
      <c r="ZX7">
        <v>420850</v>
      </c>
      <c r="ZY7">
        <v>70000</v>
      </c>
      <c r="ZZ7">
        <v>670000</v>
      </c>
      <c r="AAA7">
        <v>4301250</v>
      </c>
      <c r="AAB7">
        <v>2526714</v>
      </c>
      <c r="AAC7">
        <v>293000</v>
      </c>
      <c r="AAD7">
        <v>367564</v>
      </c>
      <c r="AAE7">
        <v>360000</v>
      </c>
      <c r="AAF7">
        <v>1025000</v>
      </c>
      <c r="AAG7">
        <v>80000</v>
      </c>
      <c r="AAH7">
        <v>200000</v>
      </c>
      <c r="AAI7">
        <v>400000</v>
      </c>
      <c r="AAJ7">
        <v>1410400</v>
      </c>
      <c r="AAK7">
        <v>1265900</v>
      </c>
      <c r="AAL7">
        <v>1804000</v>
      </c>
      <c r="AAM7">
        <v>406117</v>
      </c>
      <c r="AAN7">
        <v>287000</v>
      </c>
      <c r="AAO7">
        <v>250000</v>
      </c>
      <c r="AAP7">
        <v>110000</v>
      </c>
      <c r="AAS7">
        <v>873000</v>
      </c>
      <c r="AAV7" s="133">
        <f>SUM(ZR7:AAU7)</f>
        <v>22942362</v>
      </c>
      <c r="AAW7">
        <v>68000</v>
      </c>
      <c r="AAX7">
        <v>160000</v>
      </c>
      <c r="AAY7">
        <v>867800</v>
      </c>
      <c r="ABA7">
        <v>2025877</v>
      </c>
      <c r="ABB7">
        <v>543005</v>
      </c>
      <c r="ABD7">
        <v>300000</v>
      </c>
      <c r="ABE7">
        <v>423661</v>
      </c>
      <c r="ABG7">
        <v>772000</v>
      </c>
      <c r="ABH7">
        <v>1333000</v>
      </c>
      <c r="ABI7">
        <v>140000</v>
      </c>
      <c r="ABJ7">
        <v>0</v>
      </c>
      <c r="ABK7">
        <v>309051</v>
      </c>
      <c r="ABN7">
        <v>571402</v>
      </c>
      <c r="ABO7">
        <v>1270977</v>
      </c>
      <c r="ABP7">
        <v>159000</v>
      </c>
      <c r="ABQ7">
        <v>20000</v>
      </c>
      <c r="ABR7">
        <v>72700</v>
      </c>
      <c r="ABS7">
        <v>672904</v>
      </c>
      <c r="ABU7">
        <v>379000</v>
      </c>
      <c r="ABV7">
        <v>1152500</v>
      </c>
      <c r="ABZ7">
        <v>111427</v>
      </c>
      <c r="ACB7" s="133">
        <f>SUM(AAX7:ACA7)</f>
        <v>11284304</v>
      </c>
      <c r="ACC7">
        <v>314450</v>
      </c>
      <c r="ACD7">
        <v>1046800</v>
      </c>
      <c r="ACE7">
        <v>100000</v>
      </c>
      <c r="ACF7">
        <v>872000</v>
      </c>
      <c r="ACG7">
        <v>534740</v>
      </c>
      <c r="ACH7">
        <v>200000</v>
      </c>
      <c r="ACI7">
        <v>698760</v>
      </c>
      <c r="ACJ7">
        <v>275593</v>
      </c>
      <c r="ACK7">
        <v>485000</v>
      </c>
      <c r="ACM7">
        <v>921510</v>
      </c>
      <c r="ACN7">
        <v>500000</v>
      </c>
      <c r="ACO7">
        <v>818450</v>
      </c>
      <c r="ACP7">
        <v>368750</v>
      </c>
      <c r="ACQ7">
        <v>70000</v>
      </c>
      <c r="ACR7">
        <v>837000</v>
      </c>
      <c r="ACS7">
        <v>1219068</v>
      </c>
      <c r="ACT7">
        <v>533281</v>
      </c>
      <c r="ACU7">
        <v>120000</v>
      </c>
      <c r="ACW7">
        <v>323760</v>
      </c>
      <c r="ACX7">
        <v>443548</v>
      </c>
      <c r="ACY7">
        <v>837000</v>
      </c>
      <c r="ADA7">
        <v>672000</v>
      </c>
      <c r="ADB7">
        <v>200000</v>
      </c>
      <c r="ADC7">
        <v>395129</v>
      </c>
      <c r="ADF7">
        <v>553500</v>
      </c>
      <c r="ADG7">
        <v>784724</v>
      </c>
      <c r="ADH7" s="133">
        <f>SUM(ACC7:ADG7)</f>
        <v>14125063</v>
      </c>
      <c r="ADI7">
        <v>901989</v>
      </c>
      <c r="ADJ7">
        <v>343000</v>
      </c>
      <c r="ADK7">
        <v>348750</v>
      </c>
      <c r="ADL7">
        <v>100000</v>
      </c>
      <c r="ADM7">
        <v>450760</v>
      </c>
      <c r="ADN7">
        <v>1010615</v>
      </c>
      <c r="ADO7">
        <v>562500</v>
      </c>
      <c r="ADP7">
        <v>801493</v>
      </c>
      <c r="ADQ7">
        <v>352558</v>
      </c>
      <c r="ADR7">
        <v>395250</v>
      </c>
      <c r="ADS7">
        <v>170000</v>
      </c>
      <c r="ADT7">
        <v>253961</v>
      </c>
      <c r="ADU7">
        <v>838000</v>
      </c>
      <c r="ADV7">
        <v>668000</v>
      </c>
      <c r="ADW7">
        <v>859500</v>
      </c>
      <c r="ADY7">
        <v>150000</v>
      </c>
      <c r="ADZ7">
        <v>481824</v>
      </c>
      <c r="AEB7">
        <v>232500</v>
      </c>
      <c r="AEC7">
        <v>245300</v>
      </c>
      <c r="AED7">
        <v>566328</v>
      </c>
      <c r="AEE7">
        <v>311298</v>
      </c>
      <c r="AEF7">
        <v>50000</v>
      </c>
      <c r="AEG7">
        <v>645000</v>
      </c>
      <c r="AEH7">
        <v>93000</v>
      </c>
      <c r="AEI7">
        <v>8000</v>
      </c>
      <c r="AEK7">
        <v>150000</v>
      </c>
      <c r="AEL7">
        <v>255750</v>
      </c>
      <c r="AEM7" s="133">
        <f>SUM(ADI7:AEL7)</f>
        <v>11245376</v>
      </c>
      <c r="AEN7">
        <v>789945</v>
      </c>
      <c r="AEO7">
        <v>160000</v>
      </c>
      <c r="AEP7">
        <v>0</v>
      </c>
      <c r="AEQ7">
        <v>0</v>
      </c>
      <c r="AER7">
        <v>593938</v>
      </c>
      <c r="AES7">
        <v>308750</v>
      </c>
      <c r="AEU7">
        <v>724500</v>
      </c>
      <c r="AEV7">
        <v>255750</v>
      </c>
      <c r="AEW7">
        <v>866867</v>
      </c>
      <c r="AEZ7">
        <v>616000</v>
      </c>
      <c r="AFB7">
        <v>439480</v>
      </c>
      <c r="AFC7">
        <v>250000</v>
      </c>
      <c r="AFE7">
        <v>372000</v>
      </c>
      <c r="AFI7">
        <v>139500</v>
      </c>
      <c r="AFJ7">
        <v>93000</v>
      </c>
      <c r="AFK7">
        <v>180000</v>
      </c>
      <c r="AFL7">
        <v>150000</v>
      </c>
      <c r="AFN7">
        <v>139500</v>
      </c>
      <c r="AFQ7">
        <v>121000</v>
      </c>
      <c r="AFR7">
        <v>8000</v>
      </c>
      <c r="AFS7" s="133">
        <f>SUM(AEN7:AFR7)</f>
        <v>6208230</v>
      </c>
      <c r="AFT7">
        <v>693998</v>
      </c>
      <c r="AFU7">
        <v>50000</v>
      </c>
      <c r="AFW7">
        <v>255750</v>
      </c>
      <c r="AFX7">
        <v>150000</v>
      </c>
      <c r="AFY7">
        <v>250000</v>
      </c>
      <c r="AFZ7">
        <v>255750</v>
      </c>
      <c r="AGB7">
        <v>359199</v>
      </c>
      <c r="AGE7">
        <v>100000</v>
      </c>
      <c r="AGF7">
        <v>150000</v>
      </c>
      <c r="AGG7">
        <v>150000</v>
      </c>
      <c r="AGH7">
        <v>151538</v>
      </c>
      <c r="AGI7">
        <v>1349348</v>
      </c>
      <c r="AGJ7">
        <v>200000</v>
      </c>
      <c r="AGK7">
        <v>500000</v>
      </c>
      <c r="AGL7">
        <v>211025</v>
      </c>
      <c r="AGN7">
        <v>260000</v>
      </c>
      <c r="AGO7">
        <v>702234</v>
      </c>
      <c r="AGP7">
        <v>406990</v>
      </c>
      <c r="AGQ7">
        <v>150917</v>
      </c>
      <c r="AGU7">
        <v>30000</v>
      </c>
      <c r="AGV7">
        <v>201000</v>
      </c>
      <c r="AGW7">
        <v>50000</v>
      </c>
      <c r="AGX7" s="133">
        <f>SUM(AFT7:AGW7)</f>
        <v>6627749</v>
      </c>
      <c r="AGZ7">
        <v>634000</v>
      </c>
      <c r="AHA7">
        <v>220033</v>
      </c>
      <c r="AHB7">
        <v>445404</v>
      </c>
      <c r="AHC7">
        <v>672395</v>
      </c>
      <c r="AHE7">
        <v>847120</v>
      </c>
      <c r="AHH7">
        <v>250000</v>
      </c>
      <c r="AHJ7">
        <v>128478</v>
      </c>
      <c r="AHK7">
        <v>180000</v>
      </c>
      <c r="AHL7">
        <v>413010</v>
      </c>
      <c r="AHM7">
        <v>100000</v>
      </c>
      <c r="AHO7">
        <v>270109</v>
      </c>
      <c r="AHP7" s="147">
        <v>220000</v>
      </c>
      <c r="AHQ7">
        <v>114725</v>
      </c>
      <c r="AHS7">
        <v>100000</v>
      </c>
      <c r="AHX7">
        <v>100000</v>
      </c>
      <c r="AHY7">
        <v>140000</v>
      </c>
      <c r="AHZ7">
        <v>226565</v>
      </c>
      <c r="AIB7">
        <v>202000</v>
      </c>
      <c r="AID7" s="133">
        <f>SUM(AGY7:AIC7)</f>
        <v>5263839</v>
      </c>
      <c r="AIF7">
        <v>155646</v>
      </c>
      <c r="AIH7">
        <v>364049</v>
      </c>
      <c r="AII7">
        <v>548000</v>
      </c>
      <c r="AIK7">
        <v>1482666</v>
      </c>
      <c r="AIL7">
        <v>835000</v>
      </c>
      <c r="AIM7">
        <v>157774</v>
      </c>
      <c r="AIN7">
        <v>1666150</v>
      </c>
      <c r="AIO7">
        <v>70000</v>
      </c>
      <c r="AIP7">
        <v>1000100</v>
      </c>
      <c r="AIW7">
        <v>400000</v>
      </c>
      <c r="AIX7">
        <v>150000</v>
      </c>
      <c r="AIY7">
        <v>444147</v>
      </c>
      <c r="AIZ7">
        <v>199980</v>
      </c>
      <c r="AJB7">
        <v>16000</v>
      </c>
      <c r="AJE7">
        <v>84000</v>
      </c>
      <c r="AJF7">
        <v>1639650</v>
      </c>
      <c r="AJH7">
        <v>375969</v>
      </c>
      <c r="AJI7">
        <v>191458</v>
      </c>
      <c r="AJJ7" s="133">
        <f>SUM(AIE7:AJI7)</f>
        <v>9780589</v>
      </c>
      <c r="AJL7">
        <v>541930</v>
      </c>
      <c r="AJM7">
        <v>1024171</v>
      </c>
      <c r="AJN7">
        <v>252945</v>
      </c>
      <c r="AJO7">
        <v>99900</v>
      </c>
      <c r="AJQ7">
        <v>310000</v>
      </c>
      <c r="AJR7">
        <v>1305485</v>
      </c>
      <c r="AJS7">
        <v>229950</v>
      </c>
      <c r="AJT7">
        <v>99980</v>
      </c>
      <c r="AJV7">
        <v>200000</v>
      </c>
      <c r="AJW7">
        <v>280000</v>
      </c>
      <c r="AJY7">
        <v>50000</v>
      </c>
      <c r="AJZ7">
        <v>326953</v>
      </c>
      <c r="AKA7">
        <v>60033</v>
      </c>
      <c r="AKB7">
        <v>99980</v>
      </c>
      <c r="AKD7">
        <v>1096068</v>
      </c>
      <c r="AKE7">
        <v>196571</v>
      </c>
      <c r="AKF7">
        <v>100000</v>
      </c>
      <c r="AKH7">
        <v>99980</v>
      </c>
      <c r="AKI7">
        <v>515925</v>
      </c>
      <c r="AKJ7">
        <v>24000</v>
      </c>
      <c r="AKK7">
        <v>530000</v>
      </c>
      <c r="AKL7">
        <v>600000</v>
      </c>
      <c r="AKM7" s="133">
        <f>SUM(AJK7:AKL7)</f>
        <v>8043871</v>
      </c>
      <c r="AKN7">
        <v>501971</v>
      </c>
      <c r="AKO7">
        <v>298868</v>
      </c>
      <c r="AKP7">
        <v>727755</v>
      </c>
      <c r="AKQ7">
        <v>219200</v>
      </c>
      <c r="AKR7">
        <v>196154</v>
      </c>
      <c r="AKS7">
        <v>549000</v>
      </c>
      <c r="AKT7">
        <v>2408704</v>
      </c>
      <c r="AKU7">
        <v>150000</v>
      </c>
      <c r="AKV7">
        <v>1441074</v>
      </c>
      <c r="AKW7">
        <v>442205</v>
      </c>
      <c r="AKX7">
        <v>499103</v>
      </c>
      <c r="AKY7">
        <v>50000</v>
      </c>
      <c r="ALC7">
        <v>343747</v>
      </c>
      <c r="ALD7">
        <v>331994</v>
      </c>
      <c r="ALE7">
        <v>50000</v>
      </c>
      <c r="ALG7">
        <v>255000</v>
      </c>
      <c r="ALH7">
        <v>10000</v>
      </c>
      <c r="ALK7">
        <v>160000</v>
      </c>
      <c r="ALL7">
        <v>60000</v>
      </c>
      <c r="ALM7">
        <v>50000</v>
      </c>
      <c r="ALN7">
        <v>403000</v>
      </c>
      <c r="ALO7">
        <v>155000</v>
      </c>
      <c r="ALP7">
        <v>557005</v>
      </c>
      <c r="ALQ7">
        <v>782000</v>
      </c>
      <c r="ALR7">
        <v>554905</v>
      </c>
      <c r="ALS7" s="133">
        <f>SUM(AKN7:ALR7)</f>
        <v>11196685</v>
      </c>
      <c r="ALT7">
        <v>342000</v>
      </c>
      <c r="ALU7">
        <v>50000</v>
      </c>
      <c r="ALW7">
        <v>81768</v>
      </c>
      <c r="ALX7">
        <v>0</v>
      </c>
      <c r="ALY7">
        <v>277748</v>
      </c>
      <c r="ALZ7">
        <v>501000</v>
      </c>
      <c r="AMA7">
        <v>1221278</v>
      </c>
      <c r="AMB7">
        <v>1224362</v>
      </c>
      <c r="AMC7">
        <v>350000</v>
      </c>
      <c r="AMD7">
        <v>550000</v>
      </c>
      <c r="AME7">
        <v>389188</v>
      </c>
      <c r="AMF7">
        <v>1158740</v>
      </c>
      <c r="AMG7">
        <v>105000</v>
      </c>
      <c r="AMH7">
        <v>678891</v>
      </c>
      <c r="AMI7">
        <v>320050</v>
      </c>
      <c r="AMJ7">
        <v>400000</v>
      </c>
      <c r="AMK7">
        <v>90000</v>
      </c>
      <c r="AML7">
        <v>160000</v>
      </c>
      <c r="AMM7">
        <v>296945</v>
      </c>
      <c r="AMO7">
        <v>66000</v>
      </c>
      <c r="AMQ7">
        <v>290000</v>
      </c>
      <c r="AMS7">
        <v>500000</v>
      </c>
      <c r="AMT7">
        <v>200000</v>
      </c>
      <c r="AMU7">
        <v>183000</v>
      </c>
      <c r="AMW7">
        <v>100000</v>
      </c>
      <c r="AMX7" s="133">
        <f>SUM(ALT7:AMW7)</f>
        <v>9535970</v>
      </c>
      <c r="AMY7">
        <v>368818</v>
      </c>
      <c r="AMZ7">
        <v>1150879</v>
      </c>
      <c r="ANA7">
        <v>235027</v>
      </c>
      <c r="ANB7">
        <v>723136</v>
      </c>
      <c r="ANC7">
        <v>270000</v>
      </c>
      <c r="AND7">
        <v>1378020</v>
      </c>
      <c r="ANE7">
        <v>763990</v>
      </c>
      <c r="ANF7">
        <v>100000</v>
      </c>
      <c r="ANG7">
        <v>260000</v>
      </c>
      <c r="ANH7">
        <v>973830</v>
      </c>
      <c r="ANI7">
        <v>1232310</v>
      </c>
      <c r="ANJ7">
        <v>40000</v>
      </c>
      <c r="ANK7">
        <v>50000</v>
      </c>
      <c r="ANL7">
        <v>369828</v>
      </c>
      <c r="ANM7">
        <v>180000</v>
      </c>
      <c r="ANO7">
        <v>129000</v>
      </c>
      <c r="ANQ7">
        <v>957000</v>
      </c>
      <c r="ANR7">
        <v>722207</v>
      </c>
      <c r="ANS7">
        <v>0</v>
      </c>
      <c r="ANT7">
        <v>632647</v>
      </c>
      <c r="ANU7">
        <v>135000</v>
      </c>
      <c r="ANV7">
        <v>180000</v>
      </c>
      <c r="ANW7">
        <v>516000</v>
      </c>
      <c r="ANX7">
        <v>247000</v>
      </c>
      <c r="ANY7">
        <v>868022</v>
      </c>
      <c r="AOB7">
        <v>100161</v>
      </c>
      <c r="AOC7">
        <v>604200</v>
      </c>
    </row>
    <row r="8" spans="1:1069" x14ac:dyDescent="0.2">
      <c r="A8" s="42" t="s">
        <v>1093</v>
      </c>
      <c r="B8" s="42">
        <v>0</v>
      </c>
      <c r="C8" s="42">
        <v>30000</v>
      </c>
      <c r="D8" s="42">
        <v>0</v>
      </c>
      <c r="E8" s="42"/>
      <c r="F8" s="42"/>
      <c r="G8" s="42"/>
      <c r="H8" s="42"/>
      <c r="I8" s="42">
        <v>50000</v>
      </c>
      <c r="J8" s="42"/>
      <c r="K8" s="42"/>
      <c r="L8" s="42"/>
      <c r="M8" s="42"/>
      <c r="N8" s="42"/>
      <c r="O8" s="42"/>
      <c r="P8" s="42"/>
      <c r="Q8" s="42"/>
      <c r="R8" s="42">
        <v>62000</v>
      </c>
      <c r="S8" s="42"/>
      <c r="T8" s="42"/>
      <c r="U8" s="42">
        <v>0</v>
      </c>
      <c r="V8" s="42"/>
      <c r="W8" s="42">
        <v>90000</v>
      </c>
      <c r="X8" s="42">
        <v>0</v>
      </c>
      <c r="Y8" s="42"/>
      <c r="Z8" s="42"/>
      <c r="AA8" s="42"/>
      <c r="AB8" s="42"/>
      <c r="AC8" s="42"/>
      <c r="AD8" s="42"/>
      <c r="AE8" s="42"/>
      <c r="AF8" s="42"/>
      <c r="AG8" s="100">
        <f>SUM(B8:AF8)</f>
        <v>232000</v>
      </c>
      <c r="AM8">
        <v>200000</v>
      </c>
      <c r="BL8" s="82">
        <f>SUM(AH8:BK8)</f>
        <v>200000</v>
      </c>
      <c r="CM8">
        <v>130000</v>
      </c>
      <c r="CR8" s="82">
        <f>SUM(BM8:CQ8)</f>
        <v>130000</v>
      </c>
      <c r="CY8">
        <v>100000</v>
      </c>
      <c r="DA8">
        <v>205000</v>
      </c>
      <c r="DK8">
        <v>280000</v>
      </c>
      <c r="DM8">
        <v>302000</v>
      </c>
      <c r="DO8">
        <v>126000</v>
      </c>
      <c r="DW8" s="82">
        <f>SUM(CS8:DV8)</f>
        <v>1013000</v>
      </c>
      <c r="FB8">
        <v>0</v>
      </c>
      <c r="FC8" s="126"/>
      <c r="HE8">
        <v>24000</v>
      </c>
      <c r="HF8">
        <v>310000</v>
      </c>
      <c r="HG8">
        <v>0</v>
      </c>
      <c r="HI8">
        <v>312000</v>
      </c>
      <c r="HL8">
        <v>384000</v>
      </c>
      <c r="HM8" s="133">
        <f>SUM(GJ8:HL8)</f>
        <v>1030000</v>
      </c>
      <c r="HN8">
        <v>0</v>
      </c>
      <c r="HO8">
        <v>0</v>
      </c>
      <c r="HP8">
        <v>0</v>
      </c>
      <c r="HS8">
        <v>312000</v>
      </c>
      <c r="HY8">
        <v>0</v>
      </c>
      <c r="HZ8">
        <v>312000</v>
      </c>
      <c r="IE8">
        <v>385000</v>
      </c>
      <c r="IL8">
        <v>312000</v>
      </c>
      <c r="IQ8">
        <v>382000</v>
      </c>
      <c r="IS8" s="133">
        <f>SUM(HN8:IR8)</f>
        <v>1703000</v>
      </c>
      <c r="IU8">
        <v>313000</v>
      </c>
      <c r="IY8">
        <v>312000</v>
      </c>
      <c r="JD8">
        <v>318000</v>
      </c>
      <c r="JE8">
        <v>0</v>
      </c>
      <c r="JH8">
        <v>384000</v>
      </c>
      <c r="JL8">
        <v>312000</v>
      </c>
      <c r="JO8">
        <v>312000</v>
      </c>
      <c r="JR8">
        <v>383000</v>
      </c>
      <c r="JV8">
        <v>313000</v>
      </c>
      <c r="JX8" s="133">
        <f>SUM(IT8:JW8)</f>
        <v>2647000</v>
      </c>
      <c r="KA8">
        <v>312000</v>
      </c>
      <c r="KB8">
        <v>0</v>
      </c>
      <c r="KE8">
        <v>383000</v>
      </c>
      <c r="KF8">
        <v>0</v>
      </c>
      <c r="KL8">
        <v>312000</v>
      </c>
      <c r="KO8">
        <v>382000</v>
      </c>
      <c r="KR8">
        <v>312000</v>
      </c>
      <c r="KU8">
        <v>17000</v>
      </c>
      <c r="KV8">
        <v>382000</v>
      </c>
      <c r="KY8">
        <v>307000</v>
      </c>
      <c r="KZ8">
        <v>20000</v>
      </c>
      <c r="LB8">
        <v>332200</v>
      </c>
      <c r="LD8" s="133">
        <f>SUM(JY8:LC8)</f>
        <v>2759200</v>
      </c>
      <c r="MB8">
        <v>40000</v>
      </c>
      <c r="MI8" s="133">
        <f>SUM(LD8:MH8)</f>
        <v>2799200</v>
      </c>
      <c r="NO8" s="133">
        <f>SUM(MJ8:NN8)</f>
        <v>0</v>
      </c>
      <c r="OU8" s="133">
        <f>SUM(NP8:OT8)</f>
        <v>0</v>
      </c>
      <c r="PZ8" s="133">
        <f>SUM(OV8:PY8)</f>
        <v>0</v>
      </c>
      <c r="RF8" s="133"/>
      <c r="SK8" s="133">
        <f>SUM(RG8:SJ8)</f>
        <v>0</v>
      </c>
      <c r="TQ8" s="133">
        <f>SUM(SL8:TP8)</f>
        <v>0</v>
      </c>
      <c r="WV8">
        <v>170000</v>
      </c>
      <c r="XF8" s="133">
        <f>SUM(WA8:XE8)</f>
        <v>170000</v>
      </c>
      <c r="XK8">
        <v>6000</v>
      </c>
      <c r="XL8">
        <v>779000</v>
      </c>
      <c r="XN8">
        <v>680000</v>
      </c>
      <c r="XO8">
        <v>669000</v>
      </c>
      <c r="XQ8">
        <v>240000</v>
      </c>
      <c r="XR8">
        <v>0</v>
      </c>
      <c r="XS8">
        <v>0</v>
      </c>
      <c r="XT8">
        <v>0</v>
      </c>
      <c r="XU8">
        <v>0</v>
      </c>
      <c r="YK8" s="133">
        <f>SUM(XG8:YJ8)</f>
        <v>2374000</v>
      </c>
      <c r="YN8">
        <f>510000+900000</f>
        <v>1410000</v>
      </c>
      <c r="YZ8">
        <v>400000</v>
      </c>
      <c r="ZQ8" s="133">
        <f>SUM(YM8:ZP8)</f>
        <v>1810000</v>
      </c>
      <c r="AAV8" s="133">
        <f>SUM(ZR8:AAU8)</f>
        <v>0</v>
      </c>
      <c r="AAW8">
        <v>0</v>
      </c>
      <c r="ACB8" s="133">
        <f>SUM(AAX8:ACA8)</f>
        <v>0</v>
      </c>
      <c r="ADH8" s="130"/>
      <c r="AEM8" s="82">
        <f>SUM(ADI8:AEL8)</f>
        <v>0</v>
      </c>
      <c r="AFS8" s="133">
        <f>SUM(AEN8:AFR8)</f>
        <v>0</v>
      </c>
      <c r="AGX8" s="133">
        <f>SUM(AFT8:AGW8)</f>
        <v>0</v>
      </c>
      <c r="AID8" s="133">
        <f>SUM(AGZ8:AIC8)</f>
        <v>0</v>
      </c>
      <c r="AJJ8" s="133">
        <f>SUM(AIF8:AJI8)</f>
        <v>0</v>
      </c>
      <c r="AKM8" s="133">
        <f>SUM(AJI8:AKL8)</f>
        <v>0</v>
      </c>
      <c r="ALS8" s="133">
        <f>SUM(AKO8:ALR8)</f>
        <v>0</v>
      </c>
      <c r="AMX8" s="133">
        <f>SUM(ALT8:AMW8)</f>
        <v>0</v>
      </c>
    </row>
    <row r="9" spans="1:1069" x14ac:dyDescent="0.2"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2"/>
      <c r="BF9" s="82"/>
      <c r="BG9" s="82"/>
      <c r="BH9" s="82"/>
      <c r="BI9" s="82"/>
      <c r="BJ9" s="82"/>
      <c r="BK9" s="82"/>
      <c r="BL9" s="82"/>
      <c r="FC9" s="126"/>
    </row>
    <row r="10" spans="1:1069" x14ac:dyDescent="0.2">
      <c r="FC10" s="126"/>
    </row>
    <row r="11" spans="1:1069" x14ac:dyDescent="0.2">
      <c r="FC11" s="126"/>
    </row>
    <row r="12" spans="1:1069" x14ac:dyDescent="0.2">
      <c r="BU12">
        <v>10000</v>
      </c>
      <c r="BV12">
        <v>5290</v>
      </c>
      <c r="BW12">
        <f>BU12*BV12</f>
        <v>52900000</v>
      </c>
      <c r="FC12" s="126"/>
    </row>
    <row r="13" spans="1:1069" x14ac:dyDescent="0.2">
      <c r="BU13">
        <v>5000</v>
      </c>
      <c r="BV13">
        <v>4850</v>
      </c>
      <c r="BW13">
        <f>BU13*BV13</f>
        <v>24250000</v>
      </c>
      <c r="FC13" s="126"/>
      <c r="ALQ13" s="145"/>
    </row>
    <row r="14" spans="1:1069" x14ac:dyDescent="0.2">
      <c r="FC14" s="126"/>
      <c r="AHP14">
        <v>2</v>
      </c>
    </row>
    <row r="15" spans="1:1069" x14ac:dyDescent="0.2">
      <c r="FC15" s="126"/>
      <c r="ADP15">
        <v>12904</v>
      </c>
      <c r="ADQ15">
        <v>4936</v>
      </c>
      <c r="AIJ15" t="s">
        <v>1094</v>
      </c>
    </row>
    <row r="16" spans="1:1069" x14ac:dyDescent="0.2">
      <c r="FC16" s="126"/>
      <c r="ADP16">
        <v>132</v>
      </c>
      <c r="ADQ16">
        <v>7968</v>
      </c>
    </row>
    <row r="17" spans="159:797" x14ac:dyDescent="0.2">
      <c r="FC17" s="126"/>
      <c r="ADP17">
        <f>ADP15-ADP16</f>
        <v>12772</v>
      </c>
      <c r="ADQ17">
        <f>SUM(ADQ15:ADQ16)</f>
        <v>12904</v>
      </c>
    </row>
    <row r="18" spans="159:797" x14ac:dyDescent="0.2">
      <c r="FC18" s="126"/>
      <c r="ADQ18">
        <v>132</v>
      </c>
    </row>
    <row r="19" spans="159:797" x14ac:dyDescent="0.2">
      <c r="FC19" s="126"/>
      <c r="ADQ19">
        <f>ADQ17-ADQ18</f>
        <v>12772</v>
      </c>
    </row>
    <row r="20" spans="159:797" x14ac:dyDescent="0.2">
      <c r="FC20" s="126"/>
      <c r="ADQ20">
        <v>12800</v>
      </c>
    </row>
    <row r="21" spans="159:797" x14ac:dyDescent="0.2">
      <c r="FC21" s="126"/>
      <c r="ADQ21">
        <f>ADQ20-ADQ19</f>
        <v>28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D48"/>
  <sheetViews>
    <sheetView zoomScale="86" zoomScaleNormal="170" workbookViewId="0">
      <pane xSplit="2" ySplit="2" topLeftCell="AMS3" activePane="bottomRight" state="frozen"/>
      <selection pane="topRight" activeCell="C1" sqref="C1"/>
      <selection pane="bottomLeft" activeCell="A3" sqref="A3"/>
      <selection pane="bottomRight" activeCell="AOE6" sqref="AOE6"/>
    </sheetView>
  </sheetViews>
  <sheetFormatPr baseColWidth="10" defaultColWidth="8.83203125" defaultRowHeight="15" x14ac:dyDescent="0.2"/>
  <cols>
    <col min="2" max="2" width="30.33203125" customWidth="1"/>
    <col min="35" max="35" width="10.83203125" bestFit="1" customWidth="1"/>
    <col min="36" max="36" width="9.83203125" bestFit="1" customWidth="1"/>
    <col min="37" max="37" width="8.83203125" bestFit="1" customWidth="1"/>
    <col min="38" max="38" width="12.1640625" bestFit="1" customWidth="1"/>
    <col min="39" max="39" width="8.83203125" bestFit="1" customWidth="1"/>
    <col min="40" max="40" width="12.1640625" bestFit="1" customWidth="1"/>
    <col min="41" max="41" width="11.1640625" customWidth="1"/>
    <col min="42" max="42" width="10.83203125" bestFit="1" customWidth="1"/>
    <col min="43" max="44" width="8.83203125" bestFit="1" customWidth="1"/>
    <col min="45" max="45" width="10.83203125" bestFit="1" customWidth="1"/>
    <col min="46" max="46" width="9.83203125" bestFit="1" customWidth="1"/>
    <col min="47" max="47" width="11.1640625" customWidth="1"/>
    <col min="48" max="49" width="9.83203125" bestFit="1" customWidth="1"/>
    <col min="50" max="50" width="10.83203125" bestFit="1" customWidth="1"/>
    <col min="51" max="51" width="9.83203125" bestFit="1" customWidth="1"/>
    <col min="52" max="52" width="10.83203125" bestFit="1" customWidth="1"/>
    <col min="53" max="54" width="8.83203125" bestFit="1" customWidth="1"/>
    <col min="55" max="55" width="10.83203125" bestFit="1" customWidth="1"/>
    <col min="56" max="56" width="9.83203125" bestFit="1" customWidth="1"/>
    <col min="57" max="57" width="10.83203125" bestFit="1" customWidth="1"/>
    <col min="58" max="58" width="8.83203125" bestFit="1" customWidth="1"/>
    <col min="59" max="59" width="9.83203125" bestFit="1" customWidth="1"/>
    <col min="60" max="60" width="10.83203125" bestFit="1" customWidth="1"/>
    <col min="61" max="62" width="8.83203125" bestFit="1" customWidth="1"/>
    <col min="63" max="63" width="10.83203125" bestFit="1" customWidth="1"/>
    <col min="64" max="64" width="9.83203125" bestFit="1" customWidth="1"/>
    <col min="65" max="65" width="14.1640625" bestFit="1" customWidth="1"/>
    <col min="68" max="68" width="9.83203125" bestFit="1" customWidth="1"/>
    <col min="97" max="97" width="9.6640625" customWidth="1"/>
    <col min="100" max="100" width="9.83203125" bestFit="1" customWidth="1"/>
    <col min="106" max="106" width="9.83203125" bestFit="1" customWidth="1"/>
    <col min="107" max="107" width="11.6640625" customWidth="1"/>
    <col min="108" max="108" width="10.5" customWidth="1"/>
    <col min="109" max="109" width="13" customWidth="1"/>
    <col min="110" max="110" width="10.83203125" customWidth="1"/>
    <col min="111" max="111" width="11.1640625" customWidth="1"/>
    <col min="112" max="112" width="10.6640625" customWidth="1"/>
    <col min="113" max="113" width="11.5" customWidth="1"/>
    <col min="114" max="114" width="10.5" customWidth="1"/>
    <col min="115" max="115" width="10.6640625" customWidth="1"/>
    <col min="116" max="116" width="12.1640625" customWidth="1"/>
    <col min="117" max="117" width="10.5" customWidth="1"/>
    <col min="118" max="118" width="12.1640625" customWidth="1"/>
    <col min="119" max="119" width="10.5" customWidth="1"/>
    <col min="120" max="120" width="10.83203125" customWidth="1"/>
    <col min="121" max="121" width="11.1640625" customWidth="1"/>
    <col min="122" max="122" width="11" customWidth="1"/>
    <col min="123" max="123" width="10.5" customWidth="1"/>
    <col min="124" max="124" width="13.5" customWidth="1"/>
    <col min="125" max="125" width="11.5" customWidth="1"/>
    <col min="126" max="126" width="10.1640625" customWidth="1"/>
    <col min="127" max="127" width="10.83203125" customWidth="1"/>
    <col min="128" max="128" width="12.1640625" customWidth="1"/>
    <col min="144" max="144" width="11.83203125" customWidth="1"/>
    <col min="192" max="192" width="10.6640625" customWidth="1"/>
    <col min="212" max="212" width="10.1640625" customWidth="1"/>
    <col min="222" max="222" width="10.6640625" customWidth="1"/>
    <col min="226" max="226" width="10.83203125" customWidth="1"/>
    <col min="230" max="230" width="10.1640625" customWidth="1"/>
    <col min="254" max="254" width="10.83203125" customWidth="1"/>
    <col min="257" max="257" width="10.5" customWidth="1"/>
    <col min="260" max="260" width="10" customWidth="1"/>
    <col min="285" max="285" width="9.83203125" customWidth="1"/>
    <col min="287" max="288" width="10.5" customWidth="1"/>
    <col min="293" max="293" width="10.1640625" customWidth="1"/>
    <col min="295" max="295" width="10" customWidth="1"/>
    <col min="301" max="301" width="10.5" customWidth="1"/>
    <col min="306" max="306" width="10.83203125" customWidth="1"/>
    <col min="307" max="307" width="10.1640625" customWidth="1"/>
    <col min="308" max="308" width="10.33203125" customWidth="1"/>
    <col min="317" max="317" width="11.83203125" customWidth="1"/>
    <col min="320" max="320" width="11.5" customWidth="1"/>
    <col min="321" max="321" width="10.83203125" customWidth="1"/>
    <col min="331" max="331" width="10.83203125" customWidth="1"/>
    <col min="348" max="348" width="14.5" customWidth="1"/>
    <col min="349" max="349" width="10.5" customWidth="1"/>
    <col min="365" max="365" width="11.5" customWidth="1"/>
    <col min="366" max="366" width="10.5" customWidth="1"/>
    <col min="378" max="378" width="10.1640625" customWidth="1"/>
    <col min="380" max="380" width="12.6640625" customWidth="1"/>
    <col min="410" max="410" width="11.1640625" customWidth="1"/>
    <col min="412" max="412" width="11.5" customWidth="1"/>
    <col min="414" max="414" width="10.83203125" customWidth="1"/>
    <col min="418" max="418" width="11.1640625" customWidth="1"/>
    <col min="421" max="421" width="10.5" customWidth="1"/>
    <col min="422" max="422" width="10.83203125" customWidth="1"/>
    <col min="445" max="445" width="11" customWidth="1"/>
    <col min="468" max="468" width="10" customWidth="1"/>
    <col min="475" max="475" width="12.1640625" customWidth="1"/>
    <col min="477" max="477" width="12.1640625" customWidth="1"/>
    <col min="495" max="495" width="10.1640625" customWidth="1"/>
    <col min="496" max="496" width="10.5" customWidth="1"/>
    <col min="500" max="500" width="10.5" customWidth="1"/>
    <col min="507" max="507" width="11.33203125" customWidth="1"/>
    <col min="510" max="510" width="10.5" customWidth="1"/>
    <col min="511" max="511" width="11.83203125" customWidth="1"/>
    <col min="513" max="513" width="10.83203125" customWidth="1"/>
    <col min="538" max="538" width="11.1640625" customWidth="1"/>
    <col min="539" max="539" width="11.5" customWidth="1"/>
    <col min="540" max="540" width="10.6640625" customWidth="1"/>
    <col min="541" max="541" width="11.83203125" customWidth="1"/>
    <col min="553" max="553" width="10" customWidth="1"/>
    <col min="563" max="563" width="11.5" customWidth="1"/>
    <col min="574" max="574" width="10.1640625" customWidth="1"/>
    <col min="603" max="603" width="10.5" customWidth="1"/>
    <col min="625" max="625" width="10" customWidth="1"/>
    <col min="630" max="630" width="10.1640625" customWidth="1"/>
    <col min="663" max="663" width="12" customWidth="1"/>
    <col min="665" max="665" width="10" customWidth="1"/>
    <col min="669" max="669" width="10" customWidth="1"/>
    <col min="698" max="699" width="10.5" customWidth="1"/>
    <col min="705" max="705" width="9.83203125" customWidth="1"/>
    <col min="726" max="726" width="12.5" customWidth="1"/>
    <col min="727" max="727" width="9.83203125" customWidth="1"/>
    <col min="728" max="728" width="10.6640625" customWidth="1"/>
    <col min="758" max="758" width="12" customWidth="1"/>
    <col min="790" max="790" width="13.83203125" customWidth="1"/>
    <col min="793" max="793" width="10.5" customWidth="1"/>
    <col min="815" max="815" width="11" customWidth="1"/>
    <col min="854" max="854" width="10.1640625" customWidth="1"/>
    <col min="858" max="858" width="10.5" customWidth="1"/>
    <col min="884" max="884" width="10.83203125" customWidth="1"/>
    <col min="887" max="887" width="10.5" customWidth="1"/>
    <col min="916" max="916" width="11" customWidth="1"/>
    <col min="923" max="923" width="10" customWidth="1"/>
    <col min="924" max="924" width="10.5" customWidth="1"/>
    <col min="929" max="929" width="11" customWidth="1"/>
    <col min="948" max="948" width="12.83203125" customWidth="1"/>
    <col min="952" max="952" width="11.6640625" customWidth="1"/>
    <col min="977" max="977" width="11.1640625" customWidth="1"/>
    <col min="978" max="978" width="10.33203125" customWidth="1"/>
    <col min="981" max="981" width="11.33203125" customWidth="1"/>
    <col min="1012" max="1012" width="12" customWidth="1"/>
    <col min="1040" max="1040" width="12.83203125" customWidth="1"/>
    <col min="1044" max="1044" width="11.33203125" customWidth="1"/>
  </cols>
  <sheetData>
    <row r="1" spans="1:1070" x14ac:dyDescent="0.2">
      <c r="FD1" s="126"/>
    </row>
    <row r="2" spans="1:1070" x14ac:dyDescent="0.2">
      <c r="A2" s="2" t="s">
        <v>0</v>
      </c>
      <c r="B2" s="2" t="s">
        <v>1</v>
      </c>
      <c r="C2" s="3">
        <v>44204</v>
      </c>
      <c r="D2" s="3">
        <v>44965</v>
      </c>
      <c r="E2" s="3">
        <v>44993</v>
      </c>
      <c r="F2" s="3">
        <v>45024</v>
      </c>
      <c r="G2" s="3">
        <v>45054</v>
      </c>
      <c r="H2" s="3">
        <v>45085</v>
      </c>
      <c r="I2" s="3">
        <v>45115</v>
      </c>
      <c r="J2" s="3">
        <v>45146</v>
      </c>
      <c r="K2" s="3">
        <v>45177</v>
      </c>
      <c r="L2" s="3">
        <v>45207</v>
      </c>
      <c r="M2" s="3">
        <v>45238</v>
      </c>
      <c r="N2" s="3">
        <v>45268</v>
      </c>
      <c r="O2" s="3" t="s">
        <v>2</v>
      </c>
      <c r="P2" s="3" t="s">
        <v>3</v>
      </c>
      <c r="Q2" s="3" t="s">
        <v>4</v>
      </c>
      <c r="R2" s="3" t="s">
        <v>5</v>
      </c>
      <c r="S2" s="3" t="s">
        <v>6</v>
      </c>
      <c r="T2" s="3" t="s">
        <v>7</v>
      </c>
      <c r="U2" s="3" t="s">
        <v>8</v>
      </c>
      <c r="V2" s="3" t="s">
        <v>9</v>
      </c>
      <c r="W2" s="3" t="s">
        <v>10</v>
      </c>
      <c r="X2" s="3" t="s">
        <v>11</v>
      </c>
      <c r="Y2" s="3" t="s">
        <v>12</v>
      </c>
      <c r="Z2" s="3" t="s">
        <v>13</v>
      </c>
      <c r="AA2" s="3" t="s">
        <v>14</v>
      </c>
      <c r="AB2" s="3" t="s">
        <v>15</v>
      </c>
      <c r="AC2" s="3" t="s">
        <v>16</v>
      </c>
      <c r="AD2" s="3" t="s">
        <v>17</v>
      </c>
      <c r="AE2" s="3" t="s">
        <v>18</v>
      </c>
      <c r="AF2" s="3" t="s">
        <v>19</v>
      </c>
      <c r="AG2" s="3" t="s">
        <v>20</v>
      </c>
      <c r="AH2" s="2" t="s">
        <v>21</v>
      </c>
      <c r="AI2" s="88">
        <v>45170</v>
      </c>
      <c r="AJ2" s="88">
        <f t="shared" ref="AJ2:BL2" si="0">AI2+1</f>
        <v>45171</v>
      </c>
      <c r="AK2" s="88">
        <f t="shared" si="0"/>
        <v>45172</v>
      </c>
      <c r="AL2" s="88">
        <f t="shared" si="0"/>
        <v>45173</v>
      </c>
      <c r="AM2" s="88">
        <f t="shared" si="0"/>
        <v>45174</v>
      </c>
      <c r="AN2" s="88">
        <f t="shared" si="0"/>
        <v>45175</v>
      </c>
      <c r="AO2" s="88">
        <f t="shared" si="0"/>
        <v>45176</v>
      </c>
      <c r="AP2" s="88">
        <f t="shared" si="0"/>
        <v>45177</v>
      </c>
      <c r="AQ2" s="88">
        <f t="shared" si="0"/>
        <v>45178</v>
      </c>
      <c r="AR2" s="88">
        <f t="shared" si="0"/>
        <v>45179</v>
      </c>
      <c r="AS2" s="88">
        <f t="shared" si="0"/>
        <v>45180</v>
      </c>
      <c r="AT2" s="88">
        <f t="shared" si="0"/>
        <v>45181</v>
      </c>
      <c r="AU2" s="88">
        <f t="shared" si="0"/>
        <v>45182</v>
      </c>
      <c r="AV2" s="88">
        <f t="shared" si="0"/>
        <v>45183</v>
      </c>
      <c r="AW2" s="88">
        <f t="shared" si="0"/>
        <v>45184</v>
      </c>
      <c r="AX2" s="88">
        <f t="shared" si="0"/>
        <v>45185</v>
      </c>
      <c r="AY2" s="88">
        <f t="shared" si="0"/>
        <v>45186</v>
      </c>
      <c r="AZ2" s="88">
        <f t="shared" si="0"/>
        <v>45187</v>
      </c>
      <c r="BA2" s="88">
        <f t="shared" si="0"/>
        <v>45188</v>
      </c>
      <c r="BB2" s="88">
        <f t="shared" si="0"/>
        <v>45189</v>
      </c>
      <c r="BC2" s="88">
        <f t="shared" si="0"/>
        <v>45190</v>
      </c>
      <c r="BD2" s="88">
        <f t="shared" si="0"/>
        <v>45191</v>
      </c>
      <c r="BE2" s="88">
        <f t="shared" si="0"/>
        <v>45192</v>
      </c>
      <c r="BF2" s="88">
        <f t="shared" si="0"/>
        <v>45193</v>
      </c>
      <c r="BG2" s="88">
        <f t="shared" si="0"/>
        <v>45194</v>
      </c>
      <c r="BH2" s="88">
        <f t="shared" si="0"/>
        <v>45195</v>
      </c>
      <c r="BI2" s="88">
        <f t="shared" si="0"/>
        <v>45196</v>
      </c>
      <c r="BJ2" s="88">
        <f t="shared" si="0"/>
        <v>45197</v>
      </c>
      <c r="BK2" s="88">
        <f t="shared" si="0"/>
        <v>45198</v>
      </c>
      <c r="BL2" s="88">
        <f t="shared" si="0"/>
        <v>45199</v>
      </c>
      <c r="BM2" s="88" t="s">
        <v>22</v>
      </c>
      <c r="BN2" s="88">
        <f t="shared" ref="BN2:CQ2" si="1">AI2+30</f>
        <v>45200</v>
      </c>
      <c r="BO2" s="88">
        <f t="shared" si="1"/>
        <v>45201</v>
      </c>
      <c r="BP2" s="88">
        <f t="shared" si="1"/>
        <v>45202</v>
      </c>
      <c r="BQ2" s="88">
        <f t="shared" si="1"/>
        <v>45203</v>
      </c>
      <c r="BR2" s="88">
        <f t="shared" si="1"/>
        <v>45204</v>
      </c>
      <c r="BS2" s="88">
        <f t="shared" si="1"/>
        <v>45205</v>
      </c>
      <c r="BT2" s="88">
        <f t="shared" si="1"/>
        <v>45206</v>
      </c>
      <c r="BU2" s="88">
        <f t="shared" si="1"/>
        <v>45207</v>
      </c>
      <c r="BV2" s="88">
        <f t="shared" si="1"/>
        <v>45208</v>
      </c>
      <c r="BW2" s="88">
        <f t="shared" si="1"/>
        <v>45209</v>
      </c>
      <c r="BX2" s="88">
        <f t="shared" si="1"/>
        <v>45210</v>
      </c>
      <c r="BY2" s="88">
        <f t="shared" si="1"/>
        <v>45211</v>
      </c>
      <c r="BZ2" s="88">
        <f t="shared" si="1"/>
        <v>45212</v>
      </c>
      <c r="CA2" s="88">
        <f t="shared" si="1"/>
        <v>45213</v>
      </c>
      <c r="CB2" s="88">
        <f t="shared" si="1"/>
        <v>45214</v>
      </c>
      <c r="CC2" s="88">
        <f t="shared" si="1"/>
        <v>45215</v>
      </c>
      <c r="CD2" s="88">
        <f t="shared" si="1"/>
        <v>45216</v>
      </c>
      <c r="CE2" s="88">
        <f t="shared" si="1"/>
        <v>45217</v>
      </c>
      <c r="CF2" s="88">
        <f t="shared" si="1"/>
        <v>45218</v>
      </c>
      <c r="CG2" s="88">
        <f t="shared" si="1"/>
        <v>45219</v>
      </c>
      <c r="CH2" s="88">
        <f t="shared" si="1"/>
        <v>45220</v>
      </c>
      <c r="CI2" s="88">
        <f t="shared" si="1"/>
        <v>45221</v>
      </c>
      <c r="CJ2" s="88">
        <f t="shared" si="1"/>
        <v>45222</v>
      </c>
      <c r="CK2" s="88">
        <f t="shared" si="1"/>
        <v>45223</v>
      </c>
      <c r="CL2" s="88">
        <f t="shared" si="1"/>
        <v>45224</v>
      </c>
      <c r="CM2" s="88">
        <f t="shared" si="1"/>
        <v>45225</v>
      </c>
      <c r="CN2" s="88">
        <f t="shared" si="1"/>
        <v>45226</v>
      </c>
      <c r="CO2" s="88">
        <f t="shared" si="1"/>
        <v>45227</v>
      </c>
      <c r="CP2" s="88">
        <f t="shared" si="1"/>
        <v>45228</v>
      </c>
      <c r="CQ2" s="88">
        <f t="shared" si="1"/>
        <v>45229</v>
      </c>
      <c r="CR2" s="88">
        <f>BN2+30</f>
        <v>45230</v>
      </c>
      <c r="CS2" t="s">
        <v>22</v>
      </c>
      <c r="CT2" s="88">
        <f t="shared" ref="CT2:DW2" si="2">BO2+30</f>
        <v>45231</v>
      </c>
      <c r="CU2" s="88">
        <f t="shared" si="2"/>
        <v>45232</v>
      </c>
      <c r="CV2" s="88">
        <f t="shared" si="2"/>
        <v>45233</v>
      </c>
      <c r="CW2" s="88">
        <f t="shared" si="2"/>
        <v>45234</v>
      </c>
      <c r="CX2" s="88">
        <f t="shared" si="2"/>
        <v>45235</v>
      </c>
      <c r="CY2" s="88">
        <f t="shared" si="2"/>
        <v>45236</v>
      </c>
      <c r="CZ2" s="88">
        <f t="shared" si="2"/>
        <v>45237</v>
      </c>
      <c r="DA2" s="88">
        <f t="shared" si="2"/>
        <v>45238</v>
      </c>
      <c r="DB2" s="88">
        <f t="shared" si="2"/>
        <v>45239</v>
      </c>
      <c r="DC2" s="88">
        <f t="shared" si="2"/>
        <v>45240</v>
      </c>
      <c r="DD2" s="88">
        <f t="shared" si="2"/>
        <v>45241</v>
      </c>
      <c r="DE2" s="88">
        <f t="shared" si="2"/>
        <v>45242</v>
      </c>
      <c r="DF2" s="88">
        <f t="shared" si="2"/>
        <v>45243</v>
      </c>
      <c r="DG2" s="88">
        <f t="shared" si="2"/>
        <v>45244</v>
      </c>
      <c r="DH2" s="88">
        <f t="shared" si="2"/>
        <v>45245</v>
      </c>
      <c r="DI2" s="88">
        <f t="shared" si="2"/>
        <v>45246</v>
      </c>
      <c r="DJ2" s="88">
        <f t="shared" si="2"/>
        <v>45247</v>
      </c>
      <c r="DK2" s="88">
        <f t="shared" si="2"/>
        <v>45248</v>
      </c>
      <c r="DL2" s="88">
        <f t="shared" si="2"/>
        <v>45249</v>
      </c>
      <c r="DM2" s="88">
        <f t="shared" si="2"/>
        <v>45250</v>
      </c>
      <c r="DN2" s="88">
        <f t="shared" si="2"/>
        <v>45251</v>
      </c>
      <c r="DO2" s="88">
        <f t="shared" si="2"/>
        <v>45252</v>
      </c>
      <c r="DP2" s="88">
        <f t="shared" si="2"/>
        <v>45253</v>
      </c>
      <c r="DQ2" s="88">
        <f t="shared" si="2"/>
        <v>45254</v>
      </c>
      <c r="DR2" s="88">
        <f t="shared" si="2"/>
        <v>45255</v>
      </c>
      <c r="DS2" s="88">
        <f t="shared" si="2"/>
        <v>45256</v>
      </c>
      <c r="DT2" s="88">
        <f t="shared" si="2"/>
        <v>45257</v>
      </c>
      <c r="DU2" s="88">
        <f t="shared" si="2"/>
        <v>45258</v>
      </c>
      <c r="DV2" s="88">
        <f t="shared" si="2"/>
        <v>45259</v>
      </c>
      <c r="DW2" s="88">
        <f t="shared" si="2"/>
        <v>45260</v>
      </c>
      <c r="DX2" t="s">
        <v>21</v>
      </c>
      <c r="DY2" s="115">
        <v>45261</v>
      </c>
      <c r="DZ2" s="115">
        <f t="shared" ref="DZ2:FC2" si="3">DY2+1</f>
        <v>45262</v>
      </c>
      <c r="EA2" s="115">
        <f t="shared" si="3"/>
        <v>45263</v>
      </c>
      <c r="EB2" s="115">
        <f t="shared" si="3"/>
        <v>45264</v>
      </c>
      <c r="EC2" s="115">
        <f t="shared" si="3"/>
        <v>45265</v>
      </c>
      <c r="ED2" s="115">
        <f t="shared" si="3"/>
        <v>45266</v>
      </c>
      <c r="EE2" s="115">
        <f t="shared" si="3"/>
        <v>45267</v>
      </c>
      <c r="EF2" s="115">
        <f t="shared" si="3"/>
        <v>45268</v>
      </c>
      <c r="EG2" s="115">
        <f t="shared" si="3"/>
        <v>45269</v>
      </c>
      <c r="EH2" s="115">
        <f t="shared" si="3"/>
        <v>45270</v>
      </c>
      <c r="EI2" s="115">
        <f t="shared" si="3"/>
        <v>45271</v>
      </c>
      <c r="EJ2" s="115">
        <f t="shared" si="3"/>
        <v>45272</v>
      </c>
      <c r="EK2" s="115">
        <f t="shared" si="3"/>
        <v>45273</v>
      </c>
      <c r="EL2" s="115">
        <f t="shared" si="3"/>
        <v>45274</v>
      </c>
      <c r="EM2" s="115">
        <f t="shared" si="3"/>
        <v>45275</v>
      </c>
      <c r="EN2" s="115">
        <f t="shared" si="3"/>
        <v>45276</v>
      </c>
      <c r="EO2" s="115">
        <f t="shared" si="3"/>
        <v>45277</v>
      </c>
      <c r="EP2" s="115">
        <f t="shared" si="3"/>
        <v>45278</v>
      </c>
      <c r="EQ2" s="115">
        <f t="shared" si="3"/>
        <v>45279</v>
      </c>
      <c r="ER2" s="115">
        <f t="shared" si="3"/>
        <v>45280</v>
      </c>
      <c r="ES2" s="115">
        <f t="shared" si="3"/>
        <v>45281</v>
      </c>
      <c r="ET2" s="115">
        <f t="shared" si="3"/>
        <v>45282</v>
      </c>
      <c r="EU2" s="115">
        <f t="shared" si="3"/>
        <v>45283</v>
      </c>
      <c r="EV2" s="115">
        <f t="shared" si="3"/>
        <v>45284</v>
      </c>
      <c r="EW2" s="115">
        <f t="shared" si="3"/>
        <v>45285</v>
      </c>
      <c r="EX2" s="115">
        <f t="shared" si="3"/>
        <v>45286</v>
      </c>
      <c r="EY2" s="115">
        <f t="shared" si="3"/>
        <v>45287</v>
      </c>
      <c r="EZ2" s="115">
        <f t="shared" si="3"/>
        <v>45288</v>
      </c>
      <c r="FA2" s="115">
        <f t="shared" si="3"/>
        <v>45289</v>
      </c>
      <c r="FB2" s="115">
        <f t="shared" si="3"/>
        <v>45290</v>
      </c>
      <c r="FC2" s="115">
        <f t="shared" si="3"/>
        <v>45291</v>
      </c>
      <c r="FD2" s="125" t="s">
        <v>21</v>
      </c>
      <c r="FE2" s="115">
        <f>FC2+1</f>
        <v>45292</v>
      </c>
      <c r="FF2" s="115">
        <f t="shared" ref="FF2:GI2" si="4">FE2+1</f>
        <v>45293</v>
      </c>
      <c r="FG2" s="115">
        <f t="shared" si="4"/>
        <v>45294</v>
      </c>
      <c r="FH2" s="115">
        <f t="shared" si="4"/>
        <v>45295</v>
      </c>
      <c r="FI2" s="115">
        <f t="shared" si="4"/>
        <v>45296</v>
      </c>
      <c r="FJ2" s="115">
        <f t="shared" si="4"/>
        <v>45297</v>
      </c>
      <c r="FK2" s="115">
        <f t="shared" si="4"/>
        <v>45298</v>
      </c>
      <c r="FL2" s="115">
        <f t="shared" si="4"/>
        <v>45299</v>
      </c>
      <c r="FM2" s="115">
        <f t="shared" si="4"/>
        <v>45300</v>
      </c>
      <c r="FN2" s="115">
        <f t="shared" si="4"/>
        <v>45301</v>
      </c>
      <c r="FO2" s="115">
        <f t="shared" si="4"/>
        <v>45302</v>
      </c>
      <c r="FP2" s="115">
        <f t="shared" si="4"/>
        <v>45303</v>
      </c>
      <c r="FQ2" s="115">
        <f t="shared" si="4"/>
        <v>45304</v>
      </c>
      <c r="FR2" s="115">
        <f t="shared" si="4"/>
        <v>45305</v>
      </c>
      <c r="FS2" s="115">
        <f t="shared" si="4"/>
        <v>45306</v>
      </c>
      <c r="FT2" s="115">
        <f t="shared" si="4"/>
        <v>45307</v>
      </c>
      <c r="FU2" s="115">
        <f t="shared" si="4"/>
        <v>45308</v>
      </c>
      <c r="FV2" s="115">
        <f t="shared" si="4"/>
        <v>45309</v>
      </c>
      <c r="FW2" s="115">
        <f t="shared" si="4"/>
        <v>45310</v>
      </c>
      <c r="FX2" s="115">
        <f t="shared" si="4"/>
        <v>45311</v>
      </c>
      <c r="FY2" s="115">
        <f t="shared" si="4"/>
        <v>45312</v>
      </c>
      <c r="FZ2" s="115">
        <f t="shared" si="4"/>
        <v>45313</v>
      </c>
      <c r="GA2" s="115">
        <f t="shared" si="4"/>
        <v>45314</v>
      </c>
      <c r="GB2" s="115">
        <f t="shared" si="4"/>
        <v>45315</v>
      </c>
      <c r="GC2" s="115">
        <f t="shared" si="4"/>
        <v>45316</v>
      </c>
      <c r="GD2" s="115">
        <f t="shared" si="4"/>
        <v>45317</v>
      </c>
      <c r="GE2" s="115">
        <f t="shared" si="4"/>
        <v>45318</v>
      </c>
      <c r="GF2" s="115">
        <f t="shared" si="4"/>
        <v>45319</v>
      </c>
      <c r="GG2" s="115">
        <f t="shared" si="4"/>
        <v>45320</v>
      </c>
      <c r="GH2" s="115">
        <f t="shared" si="4"/>
        <v>45321</v>
      </c>
      <c r="GI2" s="115">
        <f t="shared" si="4"/>
        <v>45322</v>
      </c>
      <c r="GJ2" s="125" t="s">
        <v>21</v>
      </c>
      <c r="GK2" s="115">
        <f>GI2+1</f>
        <v>45323</v>
      </c>
      <c r="GL2" s="115">
        <f t="shared" ref="GL2:HM2" si="5">GK2+1</f>
        <v>45324</v>
      </c>
      <c r="GM2" s="115">
        <f t="shared" si="5"/>
        <v>45325</v>
      </c>
      <c r="GN2" s="115">
        <f t="shared" si="5"/>
        <v>45326</v>
      </c>
      <c r="GO2" s="115">
        <f t="shared" si="5"/>
        <v>45327</v>
      </c>
      <c r="GP2" s="115">
        <f t="shared" si="5"/>
        <v>45328</v>
      </c>
      <c r="GQ2" s="115">
        <f t="shared" si="5"/>
        <v>45329</v>
      </c>
      <c r="GR2" s="115">
        <f t="shared" si="5"/>
        <v>45330</v>
      </c>
      <c r="GS2" s="115">
        <f t="shared" si="5"/>
        <v>45331</v>
      </c>
      <c r="GT2" s="115">
        <f t="shared" si="5"/>
        <v>45332</v>
      </c>
      <c r="GU2" s="115">
        <f t="shared" si="5"/>
        <v>45333</v>
      </c>
      <c r="GV2" s="115">
        <f t="shared" si="5"/>
        <v>45334</v>
      </c>
      <c r="GW2" s="115">
        <f t="shared" si="5"/>
        <v>45335</v>
      </c>
      <c r="GX2" s="115">
        <f t="shared" si="5"/>
        <v>45336</v>
      </c>
      <c r="GY2" s="115">
        <f t="shared" si="5"/>
        <v>45337</v>
      </c>
      <c r="GZ2" s="115">
        <f t="shared" si="5"/>
        <v>45338</v>
      </c>
      <c r="HA2" s="115">
        <f t="shared" si="5"/>
        <v>45339</v>
      </c>
      <c r="HB2" s="115">
        <f t="shared" si="5"/>
        <v>45340</v>
      </c>
      <c r="HC2" s="115">
        <f t="shared" si="5"/>
        <v>45341</v>
      </c>
      <c r="HD2" s="115">
        <f t="shared" si="5"/>
        <v>45342</v>
      </c>
      <c r="HE2" s="115">
        <f t="shared" si="5"/>
        <v>45343</v>
      </c>
      <c r="HF2" s="115">
        <f t="shared" si="5"/>
        <v>45344</v>
      </c>
      <c r="HG2" s="115">
        <f t="shared" si="5"/>
        <v>45345</v>
      </c>
      <c r="HH2" s="115">
        <f t="shared" si="5"/>
        <v>45346</v>
      </c>
      <c r="HI2" s="115">
        <f t="shared" si="5"/>
        <v>45347</v>
      </c>
      <c r="HJ2" s="115">
        <f t="shared" si="5"/>
        <v>45348</v>
      </c>
      <c r="HK2" s="115">
        <f t="shared" si="5"/>
        <v>45349</v>
      </c>
      <c r="HL2" s="115">
        <f t="shared" si="5"/>
        <v>45350</v>
      </c>
      <c r="HM2" s="115">
        <f t="shared" si="5"/>
        <v>45351</v>
      </c>
      <c r="HN2" s="125" t="s">
        <v>21</v>
      </c>
      <c r="HO2" s="115">
        <v>45352</v>
      </c>
      <c r="HP2" s="115">
        <f t="shared" ref="HP2:IS2" si="6">HO2+1</f>
        <v>45353</v>
      </c>
      <c r="HQ2" s="115">
        <f t="shared" si="6"/>
        <v>45354</v>
      </c>
      <c r="HR2" s="115">
        <f t="shared" si="6"/>
        <v>45355</v>
      </c>
      <c r="HS2" s="115">
        <f t="shared" si="6"/>
        <v>45356</v>
      </c>
      <c r="HT2" s="115">
        <f t="shared" si="6"/>
        <v>45357</v>
      </c>
      <c r="HU2" s="115">
        <f t="shared" si="6"/>
        <v>45358</v>
      </c>
      <c r="HV2" s="115">
        <f t="shared" si="6"/>
        <v>45359</v>
      </c>
      <c r="HW2" s="115">
        <f t="shared" si="6"/>
        <v>45360</v>
      </c>
      <c r="HX2" s="115">
        <f t="shared" si="6"/>
        <v>45361</v>
      </c>
      <c r="HY2" s="115">
        <f t="shared" si="6"/>
        <v>45362</v>
      </c>
      <c r="HZ2" s="115">
        <f t="shared" si="6"/>
        <v>45363</v>
      </c>
      <c r="IA2" s="115">
        <f t="shared" si="6"/>
        <v>45364</v>
      </c>
      <c r="IB2" s="115">
        <f t="shared" si="6"/>
        <v>45365</v>
      </c>
      <c r="IC2" s="115">
        <f t="shared" si="6"/>
        <v>45366</v>
      </c>
      <c r="ID2" s="115">
        <f t="shared" si="6"/>
        <v>45367</v>
      </c>
      <c r="IE2" s="115">
        <f t="shared" si="6"/>
        <v>45368</v>
      </c>
      <c r="IF2" s="115">
        <f t="shared" si="6"/>
        <v>45369</v>
      </c>
      <c r="IG2" s="115">
        <f t="shared" si="6"/>
        <v>45370</v>
      </c>
      <c r="IH2" s="115">
        <f t="shared" si="6"/>
        <v>45371</v>
      </c>
      <c r="II2" s="115">
        <f t="shared" si="6"/>
        <v>45372</v>
      </c>
      <c r="IJ2" s="115">
        <f t="shared" si="6"/>
        <v>45373</v>
      </c>
      <c r="IK2" s="115">
        <f t="shared" si="6"/>
        <v>45374</v>
      </c>
      <c r="IL2" s="115">
        <f t="shared" si="6"/>
        <v>45375</v>
      </c>
      <c r="IM2" s="115">
        <f t="shared" si="6"/>
        <v>45376</v>
      </c>
      <c r="IN2" s="115">
        <f t="shared" si="6"/>
        <v>45377</v>
      </c>
      <c r="IO2" s="115">
        <f t="shared" si="6"/>
        <v>45378</v>
      </c>
      <c r="IP2" s="115">
        <f t="shared" si="6"/>
        <v>45379</v>
      </c>
      <c r="IQ2" s="115">
        <f t="shared" si="6"/>
        <v>45380</v>
      </c>
      <c r="IR2" s="115">
        <f t="shared" si="6"/>
        <v>45381</v>
      </c>
      <c r="IS2" s="115">
        <f t="shared" si="6"/>
        <v>45382</v>
      </c>
      <c r="IT2" s="130" t="s">
        <v>781</v>
      </c>
      <c r="IU2" s="138">
        <v>45383</v>
      </c>
      <c r="IV2" s="115">
        <f t="shared" ref="IV2:JX2" si="7">IU2+1</f>
        <v>45384</v>
      </c>
      <c r="IW2" s="115">
        <f t="shared" si="7"/>
        <v>45385</v>
      </c>
      <c r="IX2" s="115">
        <f t="shared" si="7"/>
        <v>45386</v>
      </c>
      <c r="IY2" s="115">
        <f t="shared" si="7"/>
        <v>45387</v>
      </c>
      <c r="IZ2" s="115">
        <f t="shared" si="7"/>
        <v>45388</v>
      </c>
      <c r="JA2" s="115">
        <f t="shared" si="7"/>
        <v>45389</v>
      </c>
      <c r="JB2" s="115">
        <f t="shared" si="7"/>
        <v>45390</v>
      </c>
      <c r="JC2" s="115">
        <f t="shared" si="7"/>
        <v>45391</v>
      </c>
      <c r="JD2" s="115">
        <f t="shared" si="7"/>
        <v>45392</v>
      </c>
      <c r="JE2" s="115">
        <f t="shared" si="7"/>
        <v>45393</v>
      </c>
      <c r="JF2" s="115">
        <f t="shared" si="7"/>
        <v>45394</v>
      </c>
      <c r="JG2" s="115">
        <f t="shared" si="7"/>
        <v>45395</v>
      </c>
      <c r="JH2" s="115">
        <f t="shared" si="7"/>
        <v>45396</v>
      </c>
      <c r="JI2" s="115">
        <f t="shared" si="7"/>
        <v>45397</v>
      </c>
      <c r="JJ2" s="115">
        <f t="shared" si="7"/>
        <v>45398</v>
      </c>
      <c r="JK2" s="115">
        <f t="shared" si="7"/>
        <v>45399</v>
      </c>
      <c r="JL2" s="115">
        <f t="shared" si="7"/>
        <v>45400</v>
      </c>
      <c r="JM2" s="115">
        <f t="shared" si="7"/>
        <v>45401</v>
      </c>
      <c r="JN2" s="115">
        <f t="shared" si="7"/>
        <v>45402</v>
      </c>
      <c r="JO2" s="115">
        <f t="shared" si="7"/>
        <v>45403</v>
      </c>
      <c r="JP2" s="115">
        <f t="shared" si="7"/>
        <v>45404</v>
      </c>
      <c r="JQ2" s="115">
        <f t="shared" si="7"/>
        <v>45405</v>
      </c>
      <c r="JR2" s="115">
        <f t="shared" si="7"/>
        <v>45406</v>
      </c>
      <c r="JS2" s="115">
        <f t="shared" si="7"/>
        <v>45407</v>
      </c>
      <c r="JT2" s="115">
        <f t="shared" si="7"/>
        <v>45408</v>
      </c>
      <c r="JU2" s="115">
        <f t="shared" si="7"/>
        <v>45409</v>
      </c>
      <c r="JV2" s="115">
        <f t="shared" si="7"/>
        <v>45410</v>
      </c>
      <c r="JW2" s="115">
        <f t="shared" si="7"/>
        <v>45411</v>
      </c>
      <c r="JX2" s="115">
        <f t="shared" si="7"/>
        <v>45412</v>
      </c>
      <c r="JY2" s="130" t="s">
        <v>781</v>
      </c>
      <c r="JZ2" s="115">
        <v>45413</v>
      </c>
      <c r="KA2" s="115">
        <f t="shared" ref="KA2:LD2" si="8">JZ2+1</f>
        <v>45414</v>
      </c>
      <c r="KB2" s="115">
        <f t="shared" si="8"/>
        <v>45415</v>
      </c>
      <c r="KC2" s="115">
        <f t="shared" si="8"/>
        <v>45416</v>
      </c>
      <c r="KD2" s="115">
        <f t="shared" si="8"/>
        <v>45417</v>
      </c>
      <c r="KE2" s="115">
        <f t="shared" si="8"/>
        <v>45418</v>
      </c>
      <c r="KF2" s="115">
        <f t="shared" si="8"/>
        <v>45419</v>
      </c>
      <c r="KG2" s="115">
        <f t="shared" si="8"/>
        <v>45420</v>
      </c>
      <c r="KH2" s="115">
        <f t="shared" si="8"/>
        <v>45421</v>
      </c>
      <c r="KI2" s="115">
        <f t="shared" si="8"/>
        <v>45422</v>
      </c>
      <c r="KJ2" s="115">
        <f t="shared" si="8"/>
        <v>45423</v>
      </c>
      <c r="KK2" s="115">
        <f t="shared" si="8"/>
        <v>45424</v>
      </c>
      <c r="KL2" s="115">
        <f t="shared" si="8"/>
        <v>45425</v>
      </c>
      <c r="KM2" s="115">
        <f t="shared" si="8"/>
        <v>45426</v>
      </c>
      <c r="KN2" s="115">
        <f t="shared" si="8"/>
        <v>45427</v>
      </c>
      <c r="KO2" s="115">
        <f t="shared" si="8"/>
        <v>45428</v>
      </c>
      <c r="KP2" s="115">
        <f t="shared" si="8"/>
        <v>45429</v>
      </c>
      <c r="KQ2" s="115">
        <f t="shared" si="8"/>
        <v>45430</v>
      </c>
      <c r="KR2" s="115">
        <f t="shared" si="8"/>
        <v>45431</v>
      </c>
      <c r="KS2" s="115">
        <f t="shared" si="8"/>
        <v>45432</v>
      </c>
      <c r="KT2" s="115">
        <f t="shared" si="8"/>
        <v>45433</v>
      </c>
      <c r="KU2" s="115">
        <f t="shared" si="8"/>
        <v>45434</v>
      </c>
      <c r="KV2" s="115">
        <f t="shared" si="8"/>
        <v>45435</v>
      </c>
      <c r="KW2" s="115">
        <f t="shared" si="8"/>
        <v>45436</v>
      </c>
      <c r="KX2" s="115">
        <f t="shared" si="8"/>
        <v>45437</v>
      </c>
      <c r="KY2" s="115">
        <f t="shared" si="8"/>
        <v>45438</v>
      </c>
      <c r="KZ2" s="115">
        <f t="shared" si="8"/>
        <v>45439</v>
      </c>
      <c r="LA2" s="115">
        <f t="shared" si="8"/>
        <v>45440</v>
      </c>
      <c r="LB2" s="115">
        <f t="shared" si="8"/>
        <v>45441</v>
      </c>
      <c r="LC2" s="115">
        <f t="shared" si="8"/>
        <v>45442</v>
      </c>
      <c r="LD2" s="115">
        <f t="shared" si="8"/>
        <v>45443</v>
      </c>
      <c r="LE2" s="130" t="s">
        <v>781</v>
      </c>
      <c r="LF2" s="115" t="s">
        <v>1095</v>
      </c>
      <c r="LG2" s="115" t="s">
        <v>1096</v>
      </c>
      <c r="LH2" s="115" t="s">
        <v>1097</v>
      </c>
      <c r="LI2" s="115" t="s">
        <v>1098</v>
      </c>
      <c r="LJ2" s="115" t="s">
        <v>1099</v>
      </c>
      <c r="LK2" s="115" t="s">
        <v>1100</v>
      </c>
      <c r="LL2" s="115" t="s">
        <v>1101</v>
      </c>
      <c r="LM2" s="115" t="s">
        <v>1102</v>
      </c>
      <c r="LN2" s="115" t="s">
        <v>1103</v>
      </c>
      <c r="LO2" s="115" t="s">
        <v>1104</v>
      </c>
      <c r="LP2" s="115" t="s">
        <v>1105</v>
      </c>
      <c r="LQ2" s="115" t="s">
        <v>1106</v>
      </c>
      <c r="LR2" s="115" t="s">
        <v>1107</v>
      </c>
      <c r="LS2" s="115" t="s">
        <v>1108</v>
      </c>
      <c r="LT2" s="115" t="s">
        <v>1109</v>
      </c>
      <c r="LU2" s="115" t="s">
        <v>1110</v>
      </c>
      <c r="LV2" s="115" t="s">
        <v>1111</v>
      </c>
      <c r="LW2" s="115" t="s">
        <v>1112</v>
      </c>
      <c r="LX2" s="115" t="s">
        <v>1113</v>
      </c>
      <c r="LY2" s="115" t="s">
        <v>1114</v>
      </c>
      <c r="LZ2" s="115" t="s">
        <v>1115</v>
      </c>
      <c r="MA2" s="115" t="s">
        <v>1116</v>
      </c>
      <c r="MB2" s="115" t="s">
        <v>1117</v>
      </c>
      <c r="MC2" s="115" t="s">
        <v>1118</v>
      </c>
      <c r="MD2" s="115" t="s">
        <v>1119</v>
      </c>
      <c r="ME2" s="115" t="s">
        <v>1120</v>
      </c>
      <c r="MF2" s="115" t="s">
        <v>1121</v>
      </c>
      <c r="MG2" s="115" t="s">
        <v>1122</v>
      </c>
      <c r="MH2" s="115" t="s">
        <v>1123</v>
      </c>
      <c r="MI2" s="115" t="s">
        <v>1124</v>
      </c>
      <c r="MJ2" s="130" t="s">
        <v>781</v>
      </c>
      <c r="MK2" s="115" t="s">
        <v>1125</v>
      </c>
      <c r="ML2" s="115" t="s">
        <v>1126</v>
      </c>
      <c r="MM2" s="115" t="s">
        <v>1127</v>
      </c>
      <c r="MN2" s="115" t="s">
        <v>1128</v>
      </c>
      <c r="MO2" s="115" t="s">
        <v>1129</v>
      </c>
      <c r="MP2" s="115" t="s">
        <v>1130</v>
      </c>
      <c r="MQ2" s="115" t="s">
        <v>1131</v>
      </c>
      <c r="MR2" s="115" t="s">
        <v>1132</v>
      </c>
      <c r="MS2" s="115" t="s">
        <v>1133</v>
      </c>
      <c r="MT2" s="115" t="s">
        <v>1134</v>
      </c>
      <c r="MU2" s="115" t="s">
        <v>1135</v>
      </c>
      <c r="MV2" s="115" t="s">
        <v>1136</v>
      </c>
      <c r="MW2" s="115" t="s">
        <v>1137</v>
      </c>
      <c r="MX2" s="115" t="s">
        <v>1138</v>
      </c>
      <c r="MY2" s="115" t="s">
        <v>1139</v>
      </c>
      <c r="MZ2" s="115" t="s">
        <v>1140</v>
      </c>
      <c r="NA2" s="115" t="s">
        <v>1141</v>
      </c>
      <c r="NB2" s="115" t="s">
        <v>1142</v>
      </c>
      <c r="NC2" s="115" t="s">
        <v>1143</v>
      </c>
      <c r="ND2" s="115" t="s">
        <v>1144</v>
      </c>
      <c r="NE2" s="115" t="s">
        <v>1145</v>
      </c>
      <c r="NF2" s="115" t="s">
        <v>1146</v>
      </c>
      <c r="NG2" s="115" t="s">
        <v>1147</v>
      </c>
      <c r="NH2" s="115" t="s">
        <v>1148</v>
      </c>
      <c r="NI2" s="115" t="s">
        <v>1149</v>
      </c>
      <c r="NJ2" s="115" t="s">
        <v>1150</v>
      </c>
      <c r="NK2" s="115" t="s">
        <v>1151</v>
      </c>
      <c r="NL2" s="115" t="s">
        <v>1152</v>
      </c>
      <c r="NM2" s="115" t="s">
        <v>1153</v>
      </c>
      <c r="NN2" s="115" t="s">
        <v>1154</v>
      </c>
      <c r="NO2" s="115" t="s">
        <v>1155</v>
      </c>
      <c r="NP2" s="130" t="s">
        <v>781</v>
      </c>
      <c r="NQ2" s="115" t="s">
        <v>84</v>
      </c>
      <c r="NR2" s="115" t="s">
        <v>85</v>
      </c>
      <c r="NS2" s="115" t="s">
        <v>86</v>
      </c>
      <c r="NT2" s="115" t="s">
        <v>87</v>
      </c>
      <c r="NU2" s="115" t="s">
        <v>88</v>
      </c>
      <c r="NV2" s="115" t="s">
        <v>89</v>
      </c>
      <c r="NW2" s="115" t="s">
        <v>90</v>
      </c>
      <c r="NX2" s="115" t="s">
        <v>91</v>
      </c>
      <c r="NY2" s="115" t="s">
        <v>92</v>
      </c>
      <c r="NZ2" s="115" t="s">
        <v>93</v>
      </c>
      <c r="OA2" s="115" t="s">
        <v>94</v>
      </c>
      <c r="OB2" s="115" t="s">
        <v>95</v>
      </c>
      <c r="OC2" s="115" t="s">
        <v>96</v>
      </c>
      <c r="OD2" s="115" t="s">
        <v>97</v>
      </c>
      <c r="OE2" s="115" t="s">
        <v>98</v>
      </c>
      <c r="OF2" s="115" t="s">
        <v>99</v>
      </c>
      <c r="OG2" s="115" t="s">
        <v>100</v>
      </c>
      <c r="OH2" s="115" t="s">
        <v>101</v>
      </c>
      <c r="OI2" s="115" t="s">
        <v>102</v>
      </c>
      <c r="OJ2" s="115" t="s">
        <v>103</v>
      </c>
      <c r="OK2" s="115" t="s">
        <v>104</v>
      </c>
      <c r="OL2" s="115" t="s">
        <v>105</v>
      </c>
      <c r="OM2" s="115" t="s">
        <v>106</v>
      </c>
      <c r="ON2" s="115" t="s">
        <v>107</v>
      </c>
      <c r="OO2" s="115" t="s">
        <v>108</v>
      </c>
      <c r="OP2" s="115" t="s">
        <v>109</v>
      </c>
      <c r="OQ2" s="115" t="s">
        <v>110</v>
      </c>
      <c r="OR2" s="115" t="s">
        <v>111</v>
      </c>
      <c r="OS2" s="115" t="s">
        <v>112</v>
      </c>
      <c r="OT2" s="115" t="s">
        <v>113</v>
      </c>
      <c r="OU2" s="115" t="s">
        <v>114</v>
      </c>
      <c r="OV2" s="130" t="s">
        <v>781</v>
      </c>
      <c r="OW2" s="115" t="s">
        <v>115</v>
      </c>
      <c r="OX2" s="115" t="s">
        <v>116</v>
      </c>
      <c r="OY2" s="115" t="s">
        <v>117</v>
      </c>
      <c r="OZ2" s="115" t="s">
        <v>118</v>
      </c>
      <c r="PA2" s="115" t="s">
        <v>119</v>
      </c>
      <c r="PB2" s="115" t="s">
        <v>120</v>
      </c>
      <c r="PC2" s="115" t="s">
        <v>121</v>
      </c>
      <c r="PD2" s="115" t="s">
        <v>122</v>
      </c>
      <c r="PE2" s="115" t="s">
        <v>123</v>
      </c>
      <c r="PF2" s="115" t="s">
        <v>124</v>
      </c>
      <c r="PG2" s="115" t="s">
        <v>125</v>
      </c>
      <c r="PH2" s="115" t="s">
        <v>126</v>
      </c>
      <c r="PI2" s="115" t="s">
        <v>127</v>
      </c>
      <c r="PJ2" s="115" t="s">
        <v>128</v>
      </c>
      <c r="PK2" s="115" t="s">
        <v>129</v>
      </c>
      <c r="PL2" s="115" t="s">
        <v>130</v>
      </c>
      <c r="PM2" s="115" t="s">
        <v>131</v>
      </c>
      <c r="PN2" s="115" t="s">
        <v>132</v>
      </c>
      <c r="PO2" s="115" t="s">
        <v>133</v>
      </c>
      <c r="PP2" s="115" t="s">
        <v>134</v>
      </c>
      <c r="PQ2" s="115" t="s">
        <v>135</v>
      </c>
      <c r="PR2" s="115" t="s">
        <v>136</v>
      </c>
      <c r="PS2" s="115" t="s">
        <v>137</v>
      </c>
      <c r="PT2" s="115" t="s">
        <v>138</v>
      </c>
      <c r="PU2" s="115" t="s">
        <v>139</v>
      </c>
      <c r="PV2" s="115" t="s">
        <v>140</v>
      </c>
      <c r="PW2" s="115" t="s">
        <v>141</v>
      </c>
      <c r="PX2" s="115" t="s">
        <v>142</v>
      </c>
      <c r="PY2" s="115" t="s">
        <v>143</v>
      </c>
      <c r="PZ2" s="115" t="s">
        <v>144</v>
      </c>
      <c r="QA2" s="130" t="s">
        <v>781</v>
      </c>
      <c r="QB2" s="115" t="s">
        <v>844</v>
      </c>
      <c r="QC2" s="115" t="s">
        <v>845</v>
      </c>
      <c r="QD2" s="115" t="s">
        <v>846</v>
      </c>
      <c r="QE2" s="115" t="s">
        <v>847</v>
      </c>
      <c r="QF2" s="115" t="s">
        <v>848</v>
      </c>
      <c r="QG2" s="115" t="s">
        <v>849</v>
      </c>
      <c r="QH2" s="115" t="s">
        <v>850</v>
      </c>
      <c r="QI2" s="115" t="s">
        <v>851</v>
      </c>
      <c r="QJ2" s="115" t="s">
        <v>852</v>
      </c>
      <c r="QK2" s="115" t="s">
        <v>853</v>
      </c>
      <c r="QL2" s="115" t="s">
        <v>854</v>
      </c>
      <c r="QM2" s="115" t="s">
        <v>855</v>
      </c>
      <c r="QN2" s="115" t="s">
        <v>856</v>
      </c>
      <c r="QO2" s="115" t="s">
        <v>857</v>
      </c>
      <c r="QP2" s="115" t="s">
        <v>858</v>
      </c>
      <c r="QQ2" s="115" t="s">
        <v>859</v>
      </c>
      <c r="QR2" s="115" t="s">
        <v>860</v>
      </c>
      <c r="QS2" s="115" t="s">
        <v>861</v>
      </c>
      <c r="QT2" s="115" t="s">
        <v>862</v>
      </c>
      <c r="QU2" s="115" t="s">
        <v>863</v>
      </c>
      <c r="QV2" s="115" t="s">
        <v>864</v>
      </c>
      <c r="QW2" s="115" t="s">
        <v>865</v>
      </c>
      <c r="QX2" s="115" t="s">
        <v>866</v>
      </c>
      <c r="QY2" s="115" t="s">
        <v>867</v>
      </c>
      <c r="QZ2" s="115" t="s">
        <v>868</v>
      </c>
      <c r="RA2" s="115" t="s">
        <v>869</v>
      </c>
      <c r="RB2" s="115" t="s">
        <v>870</v>
      </c>
      <c r="RC2" s="115" t="s">
        <v>871</v>
      </c>
      <c r="RD2" s="115" t="s">
        <v>872</v>
      </c>
      <c r="RE2" s="115" t="s">
        <v>873</v>
      </c>
      <c r="RF2" s="115" t="s">
        <v>874</v>
      </c>
      <c r="RG2" s="130" t="s">
        <v>781</v>
      </c>
      <c r="RH2" s="115" t="s">
        <v>875</v>
      </c>
      <c r="RI2" s="115" t="s">
        <v>876</v>
      </c>
      <c r="RJ2" s="115" t="s">
        <v>877</v>
      </c>
      <c r="RK2" s="115" t="s">
        <v>878</v>
      </c>
      <c r="RL2" s="115" t="s">
        <v>879</v>
      </c>
      <c r="RM2" s="115" t="s">
        <v>880</v>
      </c>
      <c r="RN2" s="115" t="s">
        <v>881</v>
      </c>
      <c r="RO2" s="115" t="s">
        <v>882</v>
      </c>
      <c r="RP2" s="115" t="s">
        <v>883</v>
      </c>
      <c r="RQ2" s="115" t="s">
        <v>884</v>
      </c>
      <c r="RR2" s="115" t="s">
        <v>885</v>
      </c>
      <c r="RS2" s="115" t="s">
        <v>886</v>
      </c>
      <c r="RT2" s="115" t="s">
        <v>887</v>
      </c>
      <c r="RU2" s="115" t="s">
        <v>888</v>
      </c>
      <c r="RV2" s="115" t="s">
        <v>889</v>
      </c>
      <c r="RW2" s="115" t="s">
        <v>890</v>
      </c>
      <c r="RX2" s="115" t="s">
        <v>891</v>
      </c>
      <c r="RY2" s="115" t="s">
        <v>892</v>
      </c>
      <c r="RZ2" s="115" t="s">
        <v>893</v>
      </c>
      <c r="SA2" s="115" t="s">
        <v>894</v>
      </c>
      <c r="SB2" s="115" t="s">
        <v>895</v>
      </c>
      <c r="SC2" s="115" t="s">
        <v>896</v>
      </c>
      <c r="SD2" s="115" t="s">
        <v>897</v>
      </c>
      <c r="SE2" s="115" t="s">
        <v>898</v>
      </c>
      <c r="SF2" s="115" t="s">
        <v>899</v>
      </c>
      <c r="SG2" s="115" t="s">
        <v>900</v>
      </c>
      <c r="SH2" s="115" t="s">
        <v>901</v>
      </c>
      <c r="SI2" s="115" t="s">
        <v>902</v>
      </c>
      <c r="SJ2" s="115" t="s">
        <v>903</v>
      </c>
      <c r="SK2" s="115" t="s">
        <v>904</v>
      </c>
      <c r="SL2" s="115" t="s">
        <v>1156</v>
      </c>
      <c r="SM2" s="130" t="s">
        <v>781</v>
      </c>
      <c r="SN2" s="115" t="s">
        <v>1157</v>
      </c>
      <c r="SO2" s="115" t="s">
        <v>1158</v>
      </c>
      <c r="SP2" s="115" t="s">
        <v>1159</v>
      </c>
      <c r="SQ2" s="115" t="s">
        <v>1160</v>
      </c>
      <c r="SR2" s="115" t="s">
        <v>1161</v>
      </c>
      <c r="SS2" s="115" t="s">
        <v>1162</v>
      </c>
      <c r="ST2" s="115" t="s">
        <v>1163</v>
      </c>
      <c r="SU2" s="115" t="s">
        <v>1164</v>
      </c>
      <c r="SV2" s="115" t="s">
        <v>1165</v>
      </c>
      <c r="SW2" s="115" t="s">
        <v>1166</v>
      </c>
      <c r="SX2" s="115" t="s">
        <v>1167</v>
      </c>
      <c r="SY2" s="115" t="s">
        <v>1168</v>
      </c>
      <c r="SZ2" s="115" t="s">
        <v>1169</v>
      </c>
      <c r="TA2" s="115" t="s">
        <v>1170</v>
      </c>
      <c r="TB2" s="115" t="s">
        <v>1171</v>
      </c>
      <c r="TC2" s="115" t="s">
        <v>1172</v>
      </c>
      <c r="TD2" s="115" t="s">
        <v>1173</v>
      </c>
      <c r="TE2" s="115" t="s">
        <v>1174</v>
      </c>
      <c r="TF2" s="115" t="s">
        <v>1175</v>
      </c>
      <c r="TG2" s="115" t="s">
        <v>1176</v>
      </c>
      <c r="TH2" s="115" t="s">
        <v>1177</v>
      </c>
      <c r="TI2" s="115" t="s">
        <v>1178</v>
      </c>
      <c r="TJ2" s="115" t="s">
        <v>1179</v>
      </c>
      <c r="TK2" s="115" t="s">
        <v>1180</v>
      </c>
      <c r="TL2" s="115" t="s">
        <v>1181</v>
      </c>
      <c r="TM2" s="115" t="s">
        <v>1182</v>
      </c>
      <c r="TN2" s="115" t="s">
        <v>1183</v>
      </c>
      <c r="TO2" s="115" t="s">
        <v>1184</v>
      </c>
      <c r="TP2" s="115" t="s">
        <v>1185</v>
      </c>
      <c r="TQ2" s="115" t="s">
        <v>1186</v>
      </c>
      <c r="TR2" s="115" t="s">
        <v>1187</v>
      </c>
      <c r="TS2" s="130" t="s">
        <v>781</v>
      </c>
      <c r="TT2" s="115" t="s">
        <v>237</v>
      </c>
      <c r="TU2" s="115" t="s">
        <v>1188</v>
      </c>
      <c r="TV2" s="115" t="s">
        <v>1189</v>
      </c>
      <c r="TW2" s="115" t="s">
        <v>1190</v>
      </c>
      <c r="TX2" s="115" t="s">
        <v>1191</v>
      </c>
      <c r="TY2" s="115" t="s">
        <v>1192</v>
      </c>
      <c r="TZ2" s="115" t="s">
        <v>1193</v>
      </c>
      <c r="UA2" s="115" t="s">
        <v>1194</v>
      </c>
      <c r="UB2" s="115" t="s">
        <v>1195</v>
      </c>
      <c r="UC2" s="115" t="s">
        <v>1196</v>
      </c>
      <c r="UD2" s="115" t="s">
        <v>1197</v>
      </c>
      <c r="UE2" s="115" t="s">
        <v>1198</v>
      </c>
      <c r="UF2" s="115" t="s">
        <v>1199</v>
      </c>
      <c r="UG2" s="115" t="s">
        <v>1200</v>
      </c>
      <c r="UH2" s="115" t="s">
        <v>1201</v>
      </c>
      <c r="UI2" s="115" t="s">
        <v>1202</v>
      </c>
      <c r="UJ2" s="115" t="s">
        <v>1203</v>
      </c>
      <c r="UK2" s="115" t="s">
        <v>1204</v>
      </c>
      <c r="UL2" s="115" t="s">
        <v>1205</v>
      </c>
      <c r="UM2" s="115" t="s">
        <v>1206</v>
      </c>
      <c r="UN2" s="115" t="s">
        <v>1207</v>
      </c>
      <c r="UO2" s="115" t="s">
        <v>1208</v>
      </c>
      <c r="UP2" s="115" t="s">
        <v>1209</v>
      </c>
      <c r="UQ2" s="115" t="s">
        <v>1210</v>
      </c>
      <c r="UR2" s="115" t="s">
        <v>1211</v>
      </c>
      <c r="US2" s="115" t="s">
        <v>1212</v>
      </c>
      <c r="UT2" s="115" t="s">
        <v>1213</v>
      </c>
      <c r="UU2" s="115" t="s">
        <v>1214</v>
      </c>
      <c r="UV2" s="115" t="s">
        <v>1215</v>
      </c>
      <c r="UW2" s="115" t="s">
        <v>1216</v>
      </c>
      <c r="UX2" s="115" t="s">
        <v>1217</v>
      </c>
      <c r="UY2" s="130" t="s">
        <v>781</v>
      </c>
      <c r="UZ2" s="115" t="s">
        <v>268</v>
      </c>
      <c r="VA2" s="115" t="s">
        <v>269</v>
      </c>
      <c r="VB2" s="115" t="s">
        <v>270</v>
      </c>
      <c r="VC2" s="115" t="s">
        <v>271</v>
      </c>
      <c r="VD2" s="115" t="s">
        <v>272</v>
      </c>
      <c r="VE2" s="115" t="s">
        <v>273</v>
      </c>
      <c r="VF2" s="115" t="s">
        <v>274</v>
      </c>
      <c r="VG2" s="115" t="s">
        <v>275</v>
      </c>
      <c r="VH2" s="115" t="s">
        <v>276</v>
      </c>
      <c r="VI2" s="115" t="s">
        <v>277</v>
      </c>
      <c r="VJ2" s="115" t="s">
        <v>278</v>
      </c>
      <c r="VK2" s="115" t="s">
        <v>279</v>
      </c>
      <c r="VL2" s="115" t="s">
        <v>280</v>
      </c>
      <c r="VM2" s="115" t="s">
        <v>281</v>
      </c>
      <c r="VN2" s="115" t="s">
        <v>282</v>
      </c>
      <c r="VO2" s="115" t="s">
        <v>283</v>
      </c>
      <c r="VP2" s="115" t="s">
        <v>284</v>
      </c>
      <c r="VQ2" s="115" t="s">
        <v>285</v>
      </c>
      <c r="VR2" s="115" t="s">
        <v>286</v>
      </c>
      <c r="VS2" s="115" t="s">
        <v>287</v>
      </c>
      <c r="VT2" s="115" t="s">
        <v>288</v>
      </c>
      <c r="VU2" s="115" t="s">
        <v>289</v>
      </c>
      <c r="VV2" s="115" t="s">
        <v>290</v>
      </c>
      <c r="VW2" s="115" t="s">
        <v>291</v>
      </c>
      <c r="VX2" s="115" t="s">
        <v>292</v>
      </c>
      <c r="VY2" s="115" t="s">
        <v>293</v>
      </c>
      <c r="VZ2" s="115" t="s">
        <v>294</v>
      </c>
      <c r="WA2" s="115" t="s">
        <v>295</v>
      </c>
      <c r="WB2" s="130" t="s">
        <v>781</v>
      </c>
      <c r="WC2" s="115" t="s">
        <v>936</v>
      </c>
      <c r="WD2" s="115" t="s">
        <v>937</v>
      </c>
      <c r="WE2" s="115" t="s">
        <v>938</v>
      </c>
      <c r="WF2" s="115" t="s">
        <v>939</v>
      </c>
      <c r="WG2" s="115" t="s">
        <v>940</v>
      </c>
      <c r="WH2" s="115" t="s">
        <v>941</v>
      </c>
      <c r="WI2" s="115" t="s">
        <v>942</v>
      </c>
      <c r="WJ2" s="115" t="s">
        <v>943</v>
      </c>
      <c r="WK2" s="115" t="s">
        <v>944</v>
      </c>
      <c r="WL2" s="115" t="s">
        <v>945</v>
      </c>
      <c r="WM2" s="115" t="s">
        <v>946</v>
      </c>
      <c r="WN2" s="115" t="s">
        <v>947</v>
      </c>
      <c r="WO2" s="115" t="s">
        <v>948</v>
      </c>
      <c r="WP2" s="115" t="s">
        <v>949</v>
      </c>
      <c r="WQ2" s="115" t="s">
        <v>950</v>
      </c>
      <c r="WR2" s="115" t="s">
        <v>951</v>
      </c>
      <c r="WS2" s="115" t="s">
        <v>952</v>
      </c>
      <c r="WT2" s="115" t="s">
        <v>953</v>
      </c>
      <c r="WU2" s="115" t="s">
        <v>954</v>
      </c>
      <c r="WV2" s="115" t="s">
        <v>955</v>
      </c>
      <c r="WW2" s="115" t="s">
        <v>956</v>
      </c>
      <c r="WX2" s="115" t="s">
        <v>957</v>
      </c>
      <c r="WY2" s="115" t="s">
        <v>958</v>
      </c>
      <c r="WZ2" s="115" t="s">
        <v>959</v>
      </c>
      <c r="XA2" s="115" t="s">
        <v>960</v>
      </c>
      <c r="XB2" s="115" t="s">
        <v>961</v>
      </c>
      <c r="XC2" s="115" t="s">
        <v>962</v>
      </c>
      <c r="XD2" s="115" t="s">
        <v>963</v>
      </c>
      <c r="XE2" s="115" t="s">
        <v>964</v>
      </c>
      <c r="XF2" s="115" t="s">
        <v>965</v>
      </c>
      <c r="XG2" s="115" t="s">
        <v>966</v>
      </c>
      <c r="XH2" s="130" t="s">
        <v>781</v>
      </c>
      <c r="XI2" s="115" t="s">
        <v>1218</v>
      </c>
      <c r="XJ2" s="115" t="s">
        <v>328</v>
      </c>
      <c r="XK2" s="115" t="s">
        <v>329</v>
      </c>
      <c r="XL2" s="115" t="s">
        <v>330</v>
      </c>
      <c r="XM2" s="115" t="s">
        <v>331</v>
      </c>
      <c r="XN2" s="115" t="s">
        <v>332</v>
      </c>
      <c r="XO2" s="115" t="s">
        <v>333</v>
      </c>
      <c r="XP2" s="115" t="s">
        <v>334</v>
      </c>
      <c r="XQ2" s="115" t="s">
        <v>335</v>
      </c>
      <c r="XR2" s="115" t="s">
        <v>336</v>
      </c>
      <c r="XS2" s="115" t="s">
        <v>337</v>
      </c>
      <c r="XT2" s="115" t="s">
        <v>338</v>
      </c>
      <c r="XU2" s="115" t="s">
        <v>339</v>
      </c>
      <c r="XV2" s="115" t="s">
        <v>340</v>
      </c>
      <c r="XW2" s="115" t="s">
        <v>341</v>
      </c>
      <c r="XX2" s="115" t="s">
        <v>342</v>
      </c>
      <c r="XY2" s="115" t="s">
        <v>343</v>
      </c>
      <c r="XZ2" s="115" t="s">
        <v>344</v>
      </c>
      <c r="YA2" s="115" t="s">
        <v>345</v>
      </c>
      <c r="YB2" s="115" t="s">
        <v>346</v>
      </c>
      <c r="YC2" s="115" t="s">
        <v>347</v>
      </c>
      <c r="YD2" s="115" t="s">
        <v>348</v>
      </c>
      <c r="YE2" s="115" t="s">
        <v>349</v>
      </c>
      <c r="YF2" s="115" t="s">
        <v>350</v>
      </c>
      <c r="YG2" s="115" t="s">
        <v>351</v>
      </c>
      <c r="YH2" s="115" t="s">
        <v>352</v>
      </c>
      <c r="YI2" s="115" t="s">
        <v>353</v>
      </c>
      <c r="YJ2" s="115" t="s">
        <v>354</v>
      </c>
      <c r="YK2" s="115" t="s">
        <v>355</v>
      </c>
      <c r="YL2" s="115" t="s">
        <v>356</v>
      </c>
      <c r="YM2" s="130" t="s">
        <v>781</v>
      </c>
      <c r="YN2" s="115" t="s">
        <v>357</v>
      </c>
      <c r="YO2" s="115" t="s">
        <v>358</v>
      </c>
      <c r="YP2" s="115" t="s">
        <v>359</v>
      </c>
      <c r="YQ2" s="115" t="s">
        <v>360</v>
      </c>
      <c r="YR2" s="115" t="s">
        <v>361</v>
      </c>
      <c r="YS2" s="115" t="s">
        <v>362</v>
      </c>
      <c r="YT2" s="115" t="s">
        <v>363</v>
      </c>
      <c r="YU2" s="115" t="s">
        <v>364</v>
      </c>
      <c r="YV2" s="115" t="s">
        <v>365</v>
      </c>
      <c r="YW2" s="115" t="s">
        <v>366</v>
      </c>
      <c r="YX2" s="115" t="s">
        <v>367</v>
      </c>
      <c r="YY2" s="115" t="s">
        <v>368</v>
      </c>
      <c r="YZ2" s="115" t="s">
        <v>369</v>
      </c>
      <c r="ZA2" s="115" t="s">
        <v>370</v>
      </c>
      <c r="ZB2" s="115" t="s">
        <v>371</v>
      </c>
      <c r="ZC2" s="115" t="s">
        <v>372</v>
      </c>
      <c r="ZD2" s="115" t="s">
        <v>373</v>
      </c>
      <c r="ZE2" s="115" t="s">
        <v>374</v>
      </c>
      <c r="ZF2" s="115" t="s">
        <v>375</v>
      </c>
      <c r="ZG2" s="115" t="s">
        <v>376</v>
      </c>
      <c r="ZH2" s="115" t="s">
        <v>377</v>
      </c>
      <c r="ZI2" s="115" t="s">
        <v>378</v>
      </c>
      <c r="ZJ2" s="115" t="s">
        <v>379</v>
      </c>
      <c r="ZK2" s="115" t="s">
        <v>380</v>
      </c>
      <c r="ZL2" s="115" t="s">
        <v>381</v>
      </c>
      <c r="ZM2" s="115" t="s">
        <v>382</v>
      </c>
      <c r="ZN2" s="115" t="s">
        <v>383</v>
      </c>
      <c r="ZO2" s="115" t="s">
        <v>384</v>
      </c>
      <c r="ZP2" s="115" t="s">
        <v>385</v>
      </c>
      <c r="ZQ2" s="115" t="s">
        <v>386</v>
      </c>
      <c r="ZR2" s="115" t="s">
        <v>387</v>
      </c>
      <c r="ZS2" s="130" t="s">
        <v>781</v>
      </c>
      <c r="ZT2" s="115" t="s">
        <v>388</v>
      </c>
      <c r="ZU2" s="115" t="s">
        <v>389</v>
      </c>
      <c r="ZV2" s="115" t="s">
        <v>390</v>
      </c>
      <c r="ZW2" s="115" t="s">
        <v>391</v>
      </c>
      <c r="ZX2" s="115" t="s">
        <v>392</v>
      </c>
      <c r="ZY2" s="115" t="s">
        <v>393</v>
      </c>
      <c r="ZZ2" s="115" t="s">
        <v>394</v>
      </c>
      <c r="AAA2" s="115" t="s">
        <v>395</v>
      </c>
      <c r="AAB2" s="115" t="s">
        <v>396</v>
      </c>
      <c r="AAC2" s="115" t="s">
        <v>397</v>
      </c>
      <c r="AAD2" s="115" t="s">
        <v>398</v>
      </c>
      <c r="AAE2" s="115" t="s">
        <v>399</v>
      </c>
      <c r="AAF2" s="115" t="s">
        <v>400</v>
      </c>
      <c r="AAG2" s="115" t="s">
        <v>401</v>
      </c>
      <c r="AAH2" s="115" t="s">
        <v>402</v>
      </c>
      <c r="AAI2" s="115" t="s">
        <v>403</v>
      </c>
      <c r="AAJ2" s="115" t="s">
        <v>404</v>
      </c>
      <c r="AAK2" s="115" t="s">
        <v>405</v>
      </c>
      <c r="AAL2" s="115" t="s">
        <v>406</v>
      </c>
      <c r="AAM2" s="115" t="s">
        <v>407</v>
      </c>
      <c r="AAN2" s="115" t="s">
        <v>408</v>
      </c>
      <c r="AAO2" s="115" t="s">
        <v>409</v>
      </c>
      <c r="AAP2" s="115" t="s">
        <v>410</v>
      </c>
      <c r="AAQ2" s="115" t="s">
        <v>411</v>
      </c>
      <c r="AAR2" s="115" t="s">
        <v>412</v>
      </c>
      <c r="AAS2" s="115" t="s">
        <v>413</v>
      </c>
      <c r="AAT2" s="115" t="s">
        <v>414</v>
      </c>
      <c r="AAU2" s="115" t="s">
        <v>415</v>
      </c>
      <c r="AAV2" s="115" t="s">
        <v>416</v>
      </c>
      <c r="AAW2" s="115" t="s">
        <v>417</v>
      </c>
      <c r="AAX2" s="130" t="s">
        <v>781</v>
      </c>
      <c r="AAY2" s="115" t="s">
        <v>53</v>
      </c>
      <c r="AAZ2" s="115" t="s">
        <v>54</v>
      </c>
      <c r="ABA2" s="115" t="s">
        <v>55</v>
      </c>
      <c r="ABB2" s="115" t="s">
        <v>56</v>
      </c>
      <c r="ABC2" s="115" t="s">
        <v>57</v>
      </c>
      <c r="ABD2" s="115" t="s">
        <v>58</v>
      </c>
      <c r="ABE2" s="115" t="s">
        <v>59</v>
      </c>
      <c r="ABF2" s="115" t="s">
        <v>60</v>
      </c>
      <c r="ABG2" s="115" t="s">
        <v>61</v>
      </c>
      <c r="ABH2" s="115" t="s">
        <v>62</v>
      </c>
      <c r="ABI2" s="115" t="s">
        <v>63</v>
      </c>
      <c r="ABJ2" s="115" t="s">
        <v>64</v>
      </c>
      <c r="ABK2" s="115" t="s">
        <v>65</v>
      </c>
      <c r="ABL2" s="115" t="s">
        <v>66</v>
      </c>
      <c r="ABM2" s="115" t="s">
        <v>67</v>
      </c>
      <c r="ABN2" s="115" t="s">
        <v>68</v>
      </c>
      <c r="ABO2" s="115" t="s">
        <v>69</v>
      </c>
      <c r="ABP2" s="115" t="s">
        <v>70</v>
      </c>
      <c r="ABQ2" s="115" t="s">
        <v>71</v>
      </c>
      <c r="ABR2" s="115" t="s">
        <v>72</v>
      </c>
      <c r="ABS2" s="115" t="s">
        <v>73</v>
      </c>
      <c r="ABT2" s="115" t="s">
        <v>74</v>
      </c>
      <c r="ABU2" s="115" t="s">
        <v>75</v>
      </c>
      <c r="ABV2" s="115" t="s">
        <v>76</v>
      </c>
      <c r="ABW2" s="115" t="s">
        <v>77</v>
      </c>
      <c r="ABX2" s="115" t="s">
        <v>78</v>
      </c>
      <c r="ABY2" s="115" t="s">
        <v>79</v>
      </c>
      <c r="ABZ2" s="115" t="s">
        <v>80</v>
      </c>
      <c r="ACA2" s="115" t="s">
        <v>81</v>
      </c>
      <c r="ACB2" s="115" t="s">
        <v>82</v>
      </c>
      <c r="ACC2" s="115" t="s">
        <v>83</v>
      </c>
      <c r="ACD2" s="130" t="s">
        <v>781</v>
      </c>
      <c r="ACE2" s="115" t="s">
        <v>1219</v>
      </c>
      <c r="ACF2" s="115" t="s">
        <v>1220</v>
      </c>
      <c r="ACG2" s="115" t="s">
        <v>1221</v>
      </c>
      <c r="ACH2" s="115" t="s">
        <v>1222</v>
      </c>
      <c r="ACI2" s="115" t="s">
        <v>1223</v>
      </c>
      <c r="ACJ2" s="115" t="s">
        <v>1224</v>
      </c>
      <c r="ACK2" s="115" t="s">
        <v>1225</v>
      </c>
      <c r="ACL2" s="115" t="s">
        <v>1226</v>
      </c>
      <c r="ACM2" s="115" t="s">
        <v>1227</v>
      </c>
      <c r="ACN2" s="115" t="s">
        <v>1228</v>
      </c>
      <c r="ACO2" s="115" t="s">
        <v>1229</v>
      </c>
      <c r="ACP2" s="115" t="s">
        <v>1230</v>
      </c>
      <c r="ACQ2" s="115" t="s">
        <v>1231</v>
      </c>
      <c r="ACR2" s="115" t="s">
        <v>1232</v>
      </c>
      <c r="ACS2" s="115" t="s">
        <v>1233</v>
      </c>
      <c r="ACT2" s="115" t="s">
        <v>1234</v>
      </c>
      <c r="ACU2" s="115" t="s">
        <v>1235</v>
      </c>
      <c r="ACV2" s="115" t="s">
        <v>1236</v>
      </c>
      <c r="ACW2" s="115" t="s">
        <v>1237</v>
      </c>
      <c r="ACX2" s="115" t="s">
        <v>1238</v>
      </c>
      <c r="ACY2" s="115" t="s">
        <v>1239</v>
      </c>
      <c r="ACZ2" s="115" t="s">
        <v>1240</v>
      </c>
      <c r="ADA2" s="115" t="s">
        <v>1241</v>
      </c>
      <c r="ADB2" s="115" t="s">
        <v>1242</v>
      </c>
      <c r="ADC2" s="115" t="s">
        <v>1243</v>
      </c>
      <c r="ADD2" s="115" t="s">
        <v>1244</v>
      </c>
      <c r="ADE2" s="115" t="s">
        <v>1245</v>
      </c>
      <c r="ADF2" s="115" t="s">
        <v>1246</v>
      </c>
      <c r="ADG2" s="115" t="s">
        <v>1247</v>
      </c>
      <c r="ADH2" s="115" t="s">
        <v>1248</v>
      </c>
      <c r="ADI2" s="115" t="s">
        <v>1249</v>
      </c>
      <c r="ADJ2" s="130" t="s">
        <v>781</v>
      </c>
      <c r="ADK2" s="115" t="s">
        <v>968</v>
      </c>
      <c r="ADL2" s="115" t="s">
        <v>969</v>
      </c>
      <c r="ADM2" s="115" t="s">
        <v>970</v>
      </c>
      <c r="ADN2" s="115" t="s">
        <v>971</v>
      </c>
      <c r="ADO2" s="115" t="s">
        <v>972</v>
      </c>
      <c r="ADP2" s="115" t="s">
        <v>973</v>
      </c>
      <c r="ADQ2" s="115" t="s">
        <v>974</v>
      </c>
      <c r="ADR2" s="115" t="s">
        <v>975</v>
      </c>
      <c r="ADS2" s="115" t="s">
        <v>976</v>
      </c>
      <c r="ADT2" s="115" t="s">
        <v>977</v>
      </c>
      <c r="ADU2" s="115" t="s">
        <v>978</v>
      </c>
      <c r="ADV2" s="115" t="s">
        <v>979</v>
      </c>
      <c r="ADW2" s="115" t="s">
        <v>980</v>
      </c>
      <c r="ADX2" s="115" t="s">
        <v>981</v>
      </c>
      <c r="ADY2" s="115" t="s">
        <v>982</v>
      </c>
      <c r="ADZ2" s="115" t="s">
        <v>983</v>
      </c>
      <c r="AEA2" s="115" t="s">
        <v>984</v>
      </c>
      <c r="AEB2" s="115" t="s">
        <v>985</v>
      </c>
      <c r="AEC2" s="115" t="s">
        <v>986</v>
      </c>
      <c r="AED2" s="115" t="s">
        <v>987</v>
      </c>
      <c r="AEE2" s="115" t="s">
        <v>988</v>
      </c>
      <c r="AEF2" s="115" t="s">
        <v>989</v>
      </c>
      <c r="AEG2" s="115" t="s">
        <v>990</v>
      </c>
      <c r="AEH2" s="115" t="s">
        <v>991</v>
      </c>
      <c r="AEI2" s="115" t="s">
        <v>992</v>
      </c>
      <c r="AEJ2" s="115" t="s">
        <v>993</v>
      </c>
      <c r="AEK2" s="115" t="s">
        <v>994</v>
      </c>
      <c r="AEL2" s="115" t="s">
        <v>995</v>
      </c>
      <c r="AEM2" s="115" t="s">
        <v>996</v>
      </c>
      <c r="AEN2" s="115" t="s">
        <v>997</v>
      </c>
      <c r="AEO2" s="130" t="s">
        <v>781</v>
      </c>
      <c r="AEP2" s="115" t="s">
        <v>510</v>
      </c>
      <c r="AEQ2" s="115" t="s">
        <v>511</v>
      </c>
      <c r="AER2" s="115" t="s">
        <v>512</v>
      </c>
      <c r="AES2" s="115" t="s">
        <v>513</v>
      </c>
      <c r="AET2" s="115" t="s">
        <v>514</v>
      </c>
      <c r="AEU2" s="115" t="s">
        <v>515</v>
      </c>
      <c r="AEV2" s="115" t="s">
        <v>516</v>
      </c>
      <c r="AEW2" s="115" t="s">
        <v>517</v>
      </c>
      <c r="AEX2" s="115" t="s">
        <v>518</v>
      </c>
      <c r="AEY2" s="115" t="s">
        <v>519</v>
      </c>
      <c r="AEZ2" s="115" t="s">
        <v>520</v>
      </c>
      <c r="AFA2" s="115" t="s">
        <v>521</v>
      </c>
      <c r="AFB2" s="115" t="s">
        <v>522</v>
      </c>
      <c r="AFC2" s="115" t="s">
        <v>523</v>
      </c>
      <c r="AFD2" s="115" t="s">
        <v>524</v>
      </c>
      <c r="AFE2" s="115" t="s">
        <v>525</v>
      </c>
      <c r="AFF2" s="115" t="s">
        <v>526</v>
      </c>
      <c r="AFG2" s="115" t="s">
        <v>527</v>
      </c>
      <c r="AFH2" s="115" t="s">
        <v>528</v>
      </c>
      <c r="AFI2" s="115" t="s">
        <v>529</v>
      </c>
      <c r="AFJ2" s="115" t="s">
        <v>530</v>
      </c>
      <c r="AFK2" s="115" t="s">
        <v>531</v>
      </c>
      <c r="AFL2" s="115" t="s">
        <v>532</v>
      </c>
      <c r="AFM2" s="115" t="s">
        <v>533</v>
      </c>
      <c r="AFN2" s="115" t="s">
        <v>534</v>
      </c>
      <c r="AFO2" s="115" t="s">
        <v>535</v>
      </c>
      <c r="AFP2" s="115" t="s">
        <v>536</v>
      </c>
      <c r="AFQ2" s="115" t="s">
        <v>537</v>
      </c>
      <c r="AFR2" s="115" t="s">
        <v>538</v>
      </c>
      <c r="AFS2" s="115" t="s">
        <v>539</v>
      </c>
      <c r="AFT2" s="115" t="s">
        <v>540</v>
      </c>
      <c r="AFU2" s="130" t="s">
        <v>781</v>
      </c>
      <c r="AFV2" s="115" t="s">
        <v>541</v>
      </c>
      <c r="AFW2" s="115" t="s">
        <v>542</v>
      </c>
      <c r="AFX2" s="115" t="s">
        <v>543</v>
      </c>
      <c r="AFY2" s="115" t="s">
        <v>544</v>
      </c>
      <c r="AFZ2" s="115" t="s">
        <v>545</v>
      </c>
      <c r="AGA2" s="115" t="s">
        <v>546</v>
      </c>
      <c r="AGB2" s="115" t="s">
        <v>547</v>
      </c>
      <c r="AGC2" s="115" t="s">
        <v>548</v>
      </c>
      <c r="AGD2" s="115" t="s">
        <v>549</v>
      </c>
      <c r="AGE2" s="115" t="s">
        <v>550</v>
      </c>
      <c r="AGF2" s="115" t="s">
        <v>551</v>
      </c>
      <c r="AGG2" s="115" t="s">
        <v>552</v>
      </c>
      <c r="AGH2" s="115" t="s">
        <v>553</v>
      </c>
      <c r="AGI2" s="115" t="s">
        <v>554</v>
      </c>
      <c r="AGJ2" s="115" t="s">
        <v>555</v>
      </c>
      <c r="AGK2" s="115" t="s">
        <v>556</v>
      </c>
      <c r="AGL2" s="115" t="s">
        <v>557</v>
      </c>
      <c r="AGM2" s="115" t="s">
        <v>558</v>
      </c>
      <c r="AGN2" s="115" t="s">
        <v>559</v>
      </c>
      <c r="AGO2" s="115" t="s">
        <v>560</v>
      </c>
      <c r="AGP2" s="115" t="s">
        <v>561</v>
      </c>
      <c r="AGQ2" s="115" t="s">
        <v>562</v>
      </c>
      <c r="AGR2" s="115" t="s">
        <v>563</v>
      </c>
      <c r="AGS2" s="115" t="s">
        <v>564</v>
      </c>
      <c r="AGT2" s="115" t="s">
        <v>565</v>
      </c>
      <c r="AGU2" s="115" t="s">
        <v>566</v>
      </c>
      <c r="AGV2" s="115" t="s">
        <v>567</v>
      </c>
      <c r="AGW2" s="115" t="s">
        <v>568</v>
      </c>
      <c r="AGX2" s="115" t="s">
        <v>569</v>
      </c>
      <c r="AGY2" s="115" t="s">
        <v>570</v>
      </c>
      <c r="AGZ2" s="134" t="s">
        <v>935</v>
      </c>
      <c r="AHA2" s="115" t="s">
        <v>1250</v>
      </c>
      <c r="AHB2" s="115" t="s">
        <v>1251</v>
      </c>
      <c r="AHC2" s="115" t="s">
        <v>1252</v>
      </c>
      <c r="AHD2" s="115" t="s">
        <v>1253</v>
      </c>
      <c r="AHE2" s="115" t="s">
        <v>1254</v>
      </c>
      <c r="AHF2" s="115" t="s">
        <v>1255</v>
      </c>
      <c r="AHG2" s="115" t="s">
        <v>1256</v>
      </c>
      <c r="AHH2" s="115" t="s">
        <v>1257</v>
      </c>
      <c r="AHI2" s="115" t="s">
        <v>1258</v>
      </c>
      <c r="AHJ2" s="115" t="s">
        <v>1259</v>
      </c>
      <c r="AHK2" s="115" t="s">
        <v>1260</v>
      </c>
      <c r="AHL2" s="115" t="s">
        <v>1261</v>
      </c>
      <c r="AHM2" s="115" t="s">
        <v>1262</v>
      </c>
      <c r="AHN2" s="115" t="s">
        <v>1263</v>
      </c>
      <c r="AHO2" s="115" t="s">
        <v>1264</v>
      </c>
      <c r="AHP2" s="115" t="s">
        <v>1265</v>
      </c>
      <c r="AHQ2" s="115" t="s">
        <v>1266</v>
      </c>
      <c r="AHR2" s="115" t="s">
        <v>1267</v>
      </c>
      <c r="AHS2" s="115" t="s">
        <v>1268</v>
      </c>
      <c r="AHT2" s="115" t="s">
        <v>1269</v>
      </c>
      <c r="AHU2" s="115" t="s">
        <v>1270</v>
      </c>
      <c r="AHV2" s="115" t="s">
        <v>1271</v>
      </c>
      <c r="AHW2" s="115" t="s">
        <v>1272</v>
      </c>
      <c r="AHX2" s="115" t="s">
        <v>1273</v>
      </c>
      <c r="AHY2" s="115" t="s">
        <v>1274</v>
      </c>
      <c r="AHZ2" s="115" t="s">
        <v>1275</v>
      </c>
      <c r="AIA2" s="115" t="s">
        <v>1276</v>
      </c>
      <c r="AIB2" s="115" t="s">
        <v>1277</v>
      </c>
      <c r="AIC2" s="115" t="s">
        <v>1278</v>
      </c>
      <c r="AID2" s="115" t="s">
        <v>1279</v>
      </c>
      <c r="AIE2" s="115" t="s">
        <v>1280</v>
      </c>
      <c r="AIF2" s="150" t="s">
        <v>782</v>
      </c>
      <c r="AIG2" s="115" t="s">
        <v>998</v>
      </c>
      <c r="AIH2" s="115" t="s">
        <v>999</v>
      </c>
      <c r="AII2" s="115" t="s">
        <v>1000</v>
      </c>
      <c r="AIJ2" s="115" t="s">
        <v>1001</v>
      </c>
      <c r="AIK2" s="115" t="s">
        <v>1002</v>
      </c>
      <c r="AIL2" s="115" t="s">
        <v>1003</v>
      </c>
      <c r="AIM2" s="115" t="s">
        <v>1004</v>
      </c>
      <c r="AIN2" s="115" t="s">
        <v>1005</v>
      </c>
      <c r="AIO2" s="115" t="s">
        <v>1006</v>
      </c>
      <c r="AIP2" s="115" t="s">
        <v>1007</v>
      </c>
      <c r="AIQ2" s="115" t="s">
        <v>1008</v>
      </c>
      <c r="AIR2" s="115" t="s">
        <v>1009</v>
      </c>
      <c r="AIS2" s="115" t="s">
        <v>1010</v>
      </c>
      <c r="AIT2" s="115" t="s">
        <v>1011</v>
      </c>
      <c r="AIU2" s="115" t="s">
        <v>1012</v>
      </c>
      <c r="AIV2" s="115" t="s">
        <v>1013</v>
      </c>
      <c r="AIW2" s="115" t="s">
        <v>1014</v>
      </c>
      <c r="AIX2" s="115" t="s">
        <v>1015</v>
      </c>
      <c r="AIY2" s="115" t="s">
        <v>1016</v>
      </c>
      <c r="AIZ2" s="115" t="s">
        <v>1017</v>
      </c>
      <c r="AJA2" s="115" t="s">
        <v>1018</v>
      </c>
      <c r="AJB2" s="115" t="s">
        <v>1019</v>
      </c>
      <c r="AJC2" s="115" t="s">
        <v>1020</v>
      </c>
      <c r="AJD2" s="115" t="s">
        <v>1021</v>
      </c>
      <c r="AJE2" s="115" t="s">
        <v>1022</v>
      </c>
      <c r="AJF2" s="115" t="s">
        <v>1023</v>
      </c>
      <c r="AJG2" s="115" t="s">
        <v>1024</v>
      </c>
      <c r="AJH2" s="115" t="s">
        <v>1025</v>
      </c>
      <c r="AJI2" s="115" t="s">
        <v>1026</v>
      </c>
      <c r="AJJ2" s="115" t="s">
        <v>1027</v>
      </c>
      <c r="AJK2" s="115" t="s">
        <v>1028</v>
      </c>
      <c r="AJL2" s="150" t="s">
        <v>782</v>
      </c>
      <c r="AJM2" s="115" t="s">
        <v>633</v>
      </c>
      <c r="AJN2" s="115" t="s">
        <v>634</v>
      </c>
      <c r="AJO2" s="115" t="s">
        <v>635</v>
      </c>
      <c r="AJP2" s="115" t="s">
        <v>636</v>
      </c>
      <c r="AJQ2" s="115" t="s">
        <v>637</v>
      </c>
      <c r="AJR2" s="115" t="s">
        <v>638</v>
      </c>
      <c r="AJS2" s="115" t="s">
        <v>639</v>
      </c>
      <c r="AJT2" s="115" t="s">
        <v>640</v>
      </c>
      <c r="AJU2" s="115" t="s">
        <v>641</v>
      </c>
      <c r="AJV2" s="115" t="s">
        <v>642</v>
      </c>
      <c r="AJW2" s="115" t="s">
        <v>643</v>
      </c>
      <c r="AJX2" s="115" t="s">
        <v>644</v>
      </c>
      <c r="AJY2" s="115" t="s">
        <v>645</v>
      </c>
      <c r="AJZ2" s="115" t="s">
        <v>646</v>
      </c>
      <c r="AKA2" s="115" t="s">
        <v>647</v>
      </c>
      <c r="AKB2" s="115" t="s">
        <v>648</v>
      </c>
      <c r="AKC2" s="115" t="s">
        <v>649</v>
      </c>
      <c r="AKD2" s="115" t="s">
        <v>650</v>
      </c>
      <c r="AKE2" s="115" t="s">
        <v>651</v>
      </c>
      <c r="AKF2" s="115" t="s">
        <v>652</v>
      </c>
      <c r="AKG2" s="115" t="s">
        <v>653</v>
      </c>
      <c r="AKH2" s="115" t="s">
        <v>654</v>
      </c>
      <c r="AKI2" s="115" t="s">
        <v>655</v>
      </c>
      <c r="AKJ2" s="115" t="s">
        <v>656</v>
      </c>
      <c r="AKK2" s="115" t="s">
        <v>657</v>
      </c>
      <c r="AKL2" s="115" t="s">
        <v>658</v>
      </c>
      <c r="AKM2" s="115" t="s">
        <v>659</v>
      </c>
      <c r="AKN2" s="115" t="s">
        <v>660</v>
      </c>
      <c r="AKO2" s="150" t="s">
        <v>782</v>
      </c>
      <c r="AKP2" s="115" t="s">
        <v>661</v>
      </c>
      <c r="AKQ2" s="115" t="s">
        <v>662</v>
      </c>
      <c r="AKR2" s="115" t="s">
        <v>663</v>
      </c>
      <c r="AKS2" s="115" t="s">
        <v>664</v>
      </c>
      <c r="AKT2" s="115" t="s">
        <v>665</v>
      </c>
      <c r="AKU2" s="115" t="s">
        <v>666</v>
      </c>
      <c r="AKV2" s="115" t="s">
        <v>667</v>
      </c>
      <c r="AKW2" s="115" t="s">
        <v>668</v>
      </c>
      <c r="AKX2" s="115" t="s">
        <v>669</v>
      </c>
      <c r="AKY2" s="115" t="s">
        <v>670</v>
      </c>
      <c r="AKZ2" s="115" t="s">
        <v>671</v>
      </c>
      <c r="ALA2" s="115" t="s">
        <v>672</v>
      </c>
      <c r="ALB2" s="115" t="s">
        <v>673</v>
      </c>
      <c r="ALC2" s="115" t="s">
        <v>674</v>
      </c>
      <c r="ALD2" s="115" t="s">
        <v>675</v>
      </c>
      <c r="ALE2" s="115" t="s">
        <v>676</v>
      </c>
      <c r="ALF2" s="115" t="s">
        <v>677</v>
      </c>
      <c r="ALG2" s="115" t="s">
        <v>678</v>
      </c>
      <c r="ALH2" s="115" t="s">
        <v>679</v>
      </c>
      <c r="ALI2" s="115" t="s">
        <v>680</v>
      </c>
      <c r="ALJ2" s="115" t="s">
        <v>681</v>
      </c>
      <c r="ALK2" s="115" t="s">
        <v>682</v>
      </c>
      <c r="ALL2" s="115" t="s">
        <v>683</v>
      </c>
      <c r="ALM2" s="115" t="s">
        <v>684</v>
      </c>
      <c r="ALN2" s="115" t="s">
        <v>685</v>
      </c>
      <c r="ALO2" s="115" t="s">
        <v>686</v>
      </c>
      <c r="ALP2" s="115" t="s">
        <v>687</v>
      </c>
      <c r="ALQ2" s="115" t="s">
        <v>688</v>
      </c>
      <c r="ALR2" s="115" t="s">
        <v>689</v>
      </c>
      <c r="ALS2" s="115" t="s">
        <v>690</v>
      </c>
      <c r="ALT2" s="115" t="s">
        <v>691</v>
      </c>
      <c r="ALU2" s="150" t="s">
        <v>782</v>
      </c>
      <c r="ALV2" s="115" t="s">
        <v>1281</v>
      </c>
      <c r="ALW2" s="115" t="s">
        <v>1282</v>
      </c>
      <c r="ALX2" s="115" t="s">
        <v>1283</v>
      </c>
      <c r="ALY2" s="115" t="s">
        <v>1284</v>
      </c>
      <c r="ALZ2" s="115" t="s">
        <v>1285</v>
      </c>
      <c r="AMA2" s="115" t="s">
        <v>1286</v>
      </c>
      <c r="AMB2" s="115" t="s">
        <v>1287</v>
      </c>
      <c r="AMC2" s="115" t="s">
        <v>1288</v>
      </c>
      <c r="AMD2" s="115" t="s">
        <v>1289</v>
      </c>
      <c r="AME2" s="115" t="s">
        <v>1290</v>
      </c>
      <c r="AMF2" s="115" t="s">
        <v>1291</v>
      </c>
      <c r="AMG2" s="115" t="s">
        <v>1292</v>
      </c>
      <c r="AMH2" s="115" t="s">
        <v>1293</v>
      </c>
      <c r="AMI2" s="115" t="s">
        <v>1294</v>
      </c>
      <c r="AMJ2" s="115" t="s">
        <v>1295</v>
      </c>
      <c r="AMK2" s="115" t="s">
        <v>1296</v>
      </c>
      <c r="AML2" s="115" t="s">
        <v>1297</v>
      </c>
      <c r="AMM2" s="115" t="s">
        <v>1298</v>
      </c>
      <c r="AMN2" s="115" t="s">
        <v>1299</v>
      </c>
      <c r="AMO2" s="115" t="s">
        <v>1300</v>
      </c>
      <c r="AMP2" s="115" t="s">
        <v>1301</v>
      </c>
      <c r="AMQ2" s="115" t="s">
        <v>1302</v>
      </c>
      <c r="AMR2" s="115" t="s">
        <v>1303</v>
      </c>
      <c r="AMS2" s="115" t="s">
        <v>1304</v>
      </c>
      <c r="AMT2" s="115" t="s">
        <v>1305</v>
      </c>
      <c r="AMU2" s="115" t="s">
        <v>1306</v>
      </c>
      <c r="AMV2" s="115" t="s">
        <v>1307</v>
      </c>
      <c r="AMW2" s="115" t="s">
        <v>1308</v>
      </c>
      <c r="AMX2" s="115" t="s">
        <v>1309</v>
      </c>
      <c r="AMY2" s="115" t="s">
        <v>1310</v>
      </c>
      <c r="AMZ2" s="150" t="s">
        <v>782</v>
      </c>
      <c r="ANA2" s="115" t="s">
        <v>1311</v>
      </c>
      <c r="ANB2" s="115" t="s">
        <v>1312</v>
      </c>
      <c r="ANC2" s="115" t="s">
        <v>1313</v>
      </c>
      <c r="AND2" s="115" t="s">
        <v>1314</v>
      </c>
      <c r="ANE2" s="115" t="s">
        <v>1315</v>
      </c>
      <c r="ANF2" s="115" t="s">
        <v>1316</v>
      </c>
      <c r="ANG2" s="115" t="s">
        <v>1317</v>
      </c>
      <c r="ANH2" s="115" t="s">
        <v>1318</v>
      </c>
      <c r="ANI2" s="115" t="s">
        <v>1319</v>
      </c>
      <c r="ANJ2" s="115" t="s">
        <v>1320</v>
      </c>
      <c r="ANK2" s="115" t="s">
        <v>1321</v>
      </c>
      <c r="ANL2" s="115" t="s">
        <v>1322</v>
      </c>
      <c r="ANM2" s="115" t="s">
        <v>1323</v>
      </c>
      <c r="ANN2" s="115" t="s">
        <v>1324</v>
      </c>
      <c r="ANO2" s="115" t="s">
        <v>1325</v>
      </c>
      <c r="ANP2" s="115" t="s">
        <v>1326</v>
      </c>
      <c r="ANQ2" s="115" t="s">
        <v>1327</v>
      </c>
      <c r="ANR2" s="115" t="s">
        <v>1328</v>
      </c>
      <c r="ANS2" s="115" t="s">
        <v>1329</v>
      </c>
      <c r="ANT2" s="115" t="s">
        <v>1330</v>
      </c>
      <c r="ANU2" s="115" t="s">
        <v>1331</v>
      </c>
      <c r="ANV2" s="115" t="s">
        <v>1332</v>
      </c>
      <c r="ANW2" s="115" t="s">
        <v>1333</v>
      </c>
      <c r="ANX2" s="115" t="s">
        <v>1334</v>
      </c>
      <c r="ANY2" s="115" t="s">
        <v>1335</v>
      </c>
      <c r="ANZ2" s="115" t="s">
        <v>1336</v>
      </c>
      <c r="AOA2" s="115" t="s">
        <v>1337</v>
      </c>
      <c r="AOB2" s="115" t="s">
        <v>1338</v>
      </c>
      <c r="AOC2" s="115" t="s">
        <v>1339</v>
      </c>
      <c r="AOD2" s="115" t="s">
        <v>1340</v>
      </c>
    </row>
    <row r="3" spans="1:1070" x14ac:dyDescent="0.2">
      <c r="A3" s="162" t="s">
        <v>1341</v>
      </c>
      <c r="B3" s="5" t="s">
        <v>1342</v>
      </c>
      <c r="C3" s="22">
        <v>20000</v>
      </c>
      <c r="D3" s="22"/>
      <c r="E3" s="22"/>
      <c r="F3" s="22">
        <v>0</v>
      </c>
      <c r="G3" s="22"/>
      <c r="H3" s="22">
        <v>0</v>
      </c>
      <c r="I3" s="22"/>
      <c r="J3" s="22"/>
      <c r="K3" s="22">
        <v>0</v>
      </c>
      <c r="L3" s="22"/>
      <c r="M3" s="22"/>
      <c r="N3" s="22"/>
      <c r="O3" s="22">
        <v>0</v>
      </c>
      <c r="P3" s="22"/>
      <c r="Q3" s="22"/>
      <c r="R3" s="22"/>
      <c r="S3" s="22"/>
      <c r="T3" s="22">
        <v>0</v>
      </c>
      <c r="U3" s="22"/>
      <c r="V3" s="22"/>
      <c r="W3" s="22"/>
      <c r="X3" s="22">
        <v>20000</v>
      </c>
      <c r="Y3" s="22"/>
      <c r="Z3" s="22"/>
      <c r="AA3" s="22"/>
      <c r="AB3" s="22"/>
      <c r="AC3" s="22"/>
      <c r="AD3" s="22"/>
      <c r="AE3" s="22"/>
      <c r="AF3" s="22"/>
      <c r="AG3" s="22"/>
      <c r="AH3" s="22">
        <f t="shared" ref="AH3:AH13" si="9">SUM(C3:AG3)</f>
        <v>40000</v>
      </c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  <c r="BL3" s="52"/>
      <c r="BM3" s="52"/>
      <c r="BN3" s="52"/>
      <c r="BO3" s="52"/>
      <c r="BP3" s="52">
        <v>20000</v>
      </c>
      <c r="BQ3" s="52"/>
      <c r="BR3" s="52"/>
      <c r="BS3" s="52">
        <v>20000</v>
      </c>
      <c r="BT3" s="52"/>
      <c r="BU3" s="52"/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2"/>
      <c r="CS3" s="110">
        <f t="shared" ref="CS3:CS18" si="10">SUM(BN3:CR3)</f>
        <v>40000</v>
      </c>
      <c r="CT3" s="52">
        <v>20000</v>
      </c>
      <c r="CU3" s="52"/>
      <c r="CV3" s="52"/>
      <c r="CW3" s="52"/>
      <c r="CX3" s="52"/>
      <c r="CY3" s="52"/>
      <c r="CZ3" s="52"/>
      <c r="DA3" s="52"/>
      <c r="DB3" s="52"/>
      <c r="DC3" s="52"/>
      <c r="DD3" s="52"/>
      <c r="DE3" s="52"/>
      <c r="DF3" s="52"/>
      <c r="DG3" s="52"/>
      <c r="DH3" s="52"/>
      <c r="DI3" s="52"/>
      <c r="DJ3" s="52"/>
      <c r="DK3" s="52"/>
      <c r="DL3" s="52"/>
      <c r="DM3" s="52"/>
      <c r="DN3" s="52"/>
      <c r="DO3" s="52"/>
      <c r="DP3" s="52"/>
      <c r="DQ3" s="52"/>
      <c r="DR3" s="52"/>
      <c r="DS3" s="52"/>
      <c r="DT3" s="52"/>
      <c r="DU3" s="52"/>
      <c r="DV3" s="52"/>
      <c r="DW3" s="52"/>
      <c r="DX3" s="118">
        <f>SUM(CT3:DW3)</f>
        <v>20000</v>
      </c>
      <c r="DZ3">
        <v>20000</v>
      </c>
      <c r="FD3" s="126">
        <f t="shared" ref="FD3:FD18" si="11">SUM(DY3:FC3)</f>
        <v>20000</v>
      </c>
      <c r="FE3">
        <v>20000</v>
      </c>
      <c r="GI3">
        <v>20000</v>
      </c>
      <c r="GJ3" s="130">
        <f>SUM(FE3:GI3)</f>
        <v>40000</v>
      </c>
      <c r="HN3" s="130">
        <f t="shared" ref="HN3:HN18" si="12">SUM(GK3:HM3)</f>
        <v>0</v>
      </c>
      <c r="HO3">
        <v>20000</v>
      </c>
      <c r="IS3">
        <v>20000</v>
      </c>
      <c r="IT3" s="130">
        <f t="shared" ref="IT3:IT18" si="13">SUM(HO3:IS3)</f>
        <v>40000</v>
      </c>
      <c r="JX3">
        <v>20000</v>
      </c>
      <c r="JY3" s="130">
        <f t="shared" ref="JY3:JY18" si="14">SUM(IU3:JX3)</f>
        <v>20000</v>
      </c>
      <c r="LE3" s="130">
        <f t="shared" ref="LE3:LE18" si="15">SUM(KA3:LD3)</f>
        <v>0</v>
      </c>
      <c r="LF3">
        <v>20000</v>
      </c>
      <c r="MJ3" s="130">
        <f t="shared" ref="MJ3:MJ18" si="16">SUM(LF3:MI3)</f>
        <v>20000</v>
      </c>
      <c r="MK3">
        <v>20000</v>
      </c>
      <c r="NP3" s="130">
        <f t="shared" ref="NP3:NP18" si="17">SUM(ML3:NO3)</f>
        <v>0</v>
      </c>
      <c r="NQ3">
        <v>0</v>
      </c>
      <c r="NR3">
        <v>20000</v>
      </c>
      <c r="OU3">
        <v>20000</v>
      </c>
      <c r="OV3" s="130">
        <f t="shared" ref="OV3:OV18" si="18">SUM(NR3:OU3)</f>
        <v>40000</v>
      </c>
      <c r="QA3" s="130">
        <f t="shared" ref="QA3:QA18" si="19">SUM(OW3:PZ3)</f>
        <v>0</v>
      </c>
      <c r="QB3">
        <v>20000</v>
      </c>
      <c r="RG3" s="130">
        <f t="shared" ref="RG3:RG18" si="20">SUM(QC3:RF3)</f>
        <v>0</v>
      </c>
      <c r="RI3">
        <v>20000</v>
      </c>
      <c r="SM3" s="130">
        <f t="shared" ref="SM3:SM18" si="21">SUM(RI3:SL3)</f>
        <v>20000</v>
      </c>
      <c r="SN3">
        <v>0</v>
      </c>
      <c r="SQ3">
        <v>20000</v>
      </c>
      <c r="TS3" s="130">
        <f t="shared" ref="TS3:TS18" si="22">SUM(SO3:TR3)</f>
        <v>20000</v>
      </c>
      <c r="TU3">
        <v>20000</v>
      </c>
      <c r="UY3" s="130">
        <f t="shared" ref="UY3:UY18" si="23">SUM(TU3:UX3)</f>
        <v>20000</v>
      </c>
      <c r="VB3">
        <v>20000</v>
      </c>
      <c r="WA3">
        <v>20000</v>
      </c>
      <c r="WB3" s="130">
        <f t="shared" ref="WB3:WB27" si="24">SUM(UZ3:WA3)</f>
        <v>40000</v>
      </c>
      <c r="XH3" s="130">
        <f t="shared" ref="XH3:XH27" si="25">SUM(WF3:XG3)</f>
        <v>0</v>
      </c>
      <c r="XI3">
        <v>20000</v>
      </c>
      <c r="YL3">
        <v>20000</v>
      </c>
      <c r="YM3" s="130">
        <f t="shared" ref="YM3:YM27" si="26">SUM(XK3:YL3)</f>
        <v>20000</v>
      </c>
      <c r="ZR3">
        <v>20000</v>
      </c>
      <c r="ZS3" s="130">
        <f t="shared" ref="ZS3:ZS27" si="27">SUM(YN3:ZR3)</f>
        <v>20000</v>
      </c>
      <c r="AAX3" s="130">
        <f t="shared" ref="AAX3:AAX27" si="28">SUM(ZT3:AAW3)</f>
        <v>0</v>
      </c>
      <c r="AAY3">
        <v>20000</v>
      </c>
      <c r="ACD3" s="130">
        <f t="shared" ref="ACD3:ACD27" si="29">SUM(AAY3:ACC3)</f>
        <v>20000</v>
      </c>
      <c r="ACF3">
        <v>20000</v>
      </c>
      <c r="ADJ3" s="130">
        <f t="shared" ref="ADJ3:ADJ28" si="30">SUM(ACE3:ADI3)</f>
        <v>20000</v>
      </c>
      <c r="ADK3">
        <v>20000</v>
      </c>
      <c r="AEO3" s="130">
        <f t="shared" ref="AEO3:AEO28" si="31">SUM(ADK3:AEN3)</f>
        <v>20000</v>
      </c>
      <c r="AER3">
        <v>20000</v>
      </c>
      <c r="AFU3" s="130">
        <f t="shared" ref="AFU3:AFU28" si="32">SUM(AEP3:AFT3)</f>
        <v>20000</v>
      </c>
      <c r="AFV3">
        <v>0</v>
      </c>
      <c r="AFW3">
        <v>20000</v>
      </c>
      <c r="AGZ3" s="130">
        <f t="shared" ref="AGZ3:AGZ28" si="33">SUM(AFV3:AGY3)</f>
        <v>20000</v>
      </c>
      <c r="AHA3">
        <v>20000</v>
      </c>
      <c r="AIE3">
        <v>0</v>
      </c>
      <c r="AIF3" s="145">
        <f t="shared" ref="AIF3:AIF28" si="34">SUM(AHA3:AIE3)</f>
        <v>20000</v>
      </c>
      <c r="AJL3" s="145">
        <f t="shared" ref="AJL3:AJL28" si="35">SUM(AIG3:AJK3)</f>
        <v>0</v>
      </c>
      <c r="AJQ3">
        <v>20000</v>
      </c>
      <c r="AKO3" s="145">
        <f t="shared" ref="AKO3:AKO32" si="36">SUM(AJM3:AKN3)</f>
        <v>20000</v>
      </c>
      <c r="AKU3">
        <v>20000</v>
      </c>
      <c r="ALU3" s="145">
        <f t="shared" ref="ALU3:ALU32" si="37">SUM(AKS3:ALT3)</f>
        <v>20000</v>
      </c>
      <c r="AMA3">
        <v>30000</v>
      </c>
      <c r="AMZ3" s="145">
        <f t="shared" ref="AMZ3:AMZ32" si="38">SUM(ALV3:AMY3)</f>
        <v>30000</v>
      </c>
      <c r="ANB3">
        <v>30000</v>
      </c>
    </row>
    <row r="4" spans="1:1070" x14ac:dyDescent="0.2">
      <c r="A4" s="160"/>
      <c r="B4" s="5" t="s">
        <v>1343</v>
      </c>
      <c r="C4" s="22">
        <v>0</v>
      </c>
      <c r="D4" s="22"/>
      <c r="E4" s="22"/>
      <c r="F4" s="22"/>
      <c r="G4" s="22">
        <v>3000</v>
      </c>
      <c r="H4" s="22">
        <v>0</v>
      </c>
      <c r="I4" s="22"/>
      <c r="J4" s="22"/>
      <c r="K4" s="22"/>
      <c r="L4" s="22"/>
      <c r="M4" s="22"/>
      <c r="N4" s="22"/>
      <c r="O4" s="22">
        <v>0</v>
      </c>
      <c r="P4" s="22"/>
      <c r="Q4" s="22"/>
      <c r="R4" s="22"/>
      <c r="S4" s="22"/>
      <c r="T4" s="22"/>
      <c r="U4" s="22"/>
      <c r="V4" s="22">
        <v>3000</v>
      </c>
      <c r="W4" s="22"/>
      <c r="X4" s="22">
        <v>3000</v>
      </c>
      <c r="Y4" s="22"/>
      <c r="Z4" s="22"/>
      <c r="AA4" s="22"/>
      <c r="AB4" s="22"/>
      <c r="AC4" s="22">
        <v>3000</v>
      </c>
      <c r="AD4" s="22"/>
      <c r="AE4" s="22">
        <v>20000</v>
      </c>
      <c r="AF4" s="22"/>
      <c r="AG4" s="22"/>
      <c r="AH4" s="22">
        <f t="shared" si="9"/>
        <v>32000</v>
      </c>
      <c r="AI4" s="52"/>
      <c r="AJ4" s="52"/>
      <c r="AK4" s="52"/>
      <c r="AL4" s="52"/>
      <c r="AM4" s="52">
        <v>3000</v>
      </c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>
        <v>4000</v>
      </c>
      <c r="BG4" s="52">
        <v>20000</v>
      </c>
      <c r="BH4" s="52"/>
      <c r="BI4" s="52"/>
      <c r="BJ4" s="52"/>
      <c r="BK4" s="52"/>
      <c r="BL4" s="52"/>
      <c r="BM4" s="52">
        <f t="shared" ref="BM4:BM17" si="39">SUM(AI4:BL4)</f>
        <v>27000</v>
      </c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>
        <v>4000</v>
      </c>
      <c r="CJ4">
        <v>20000</v>
      </c>
      <c r="CS4" s="110">
        <f t="shared" si="10"/>
        <v>24000</v>
      </c>
      <c r="CT4" s="52"/>
      <c r="CU4" s="52"/>
      <c r="CV4" s="52"/>
      <c r="CW4" s="52"/>
      <c r="CX4" s="52"/>
      <c r="CY4" s="52"/>
      <c r="CZ4" s="52"/>
      <c r="DA4" s="52"/>
      <c r="DB4" s="52"/>
      <c r="DC4" s="52"/>
      <c r="DD4" s="52"/>
      <c r="DE4" s="52"/>
      <c r="DF4" s="52"/>
      <c r="DG4" s="52"/>
      <c r="DH4" s="52"/>
      <c r="DI4" s="52"/>
      <c r="DJ4" s="52"/>
      <c r="DK4" s="52"/>
      <c r="DL4" s="52">
        <v>4000</v>
      </c>
      <c r="DM4" s="52">
        <v>20000</v>
      </c>
      <c r="DN4" s="52"/>
      <c r="DO4" s="52"/>
      <c r="DP4" s="52"/>
      <c r="DQ4" s="52"/>
      <c r="DR4" s="52"/>
      <c r="DS4" s="52"/>
      <c r="DT4" s="52"/>
      <c r="DU4" s="52"/>
      <c r="DV4" s="52"/>
      <c r="DW4" s="52"/>
      <c r="DX4" s="118">
        <f>SUM(CT4:DW4)</f>
        <v>24000</v>
      </c>
      <c r="ET4">
        <v>0</v>
      </c>
      <c r="EU4">
        <v>3000</v>
      </c>
      <c r="FD4" s="126">
        <f t="shared" si="11"/>
        <v>3000</v>
      </c>
      <c r="FP4">
        <v>4000</v>
      </c>
      <c r="FS4">
        <v>7000</v>
      </c>
      <c r="GJ4" s="130">
        <f>SUM(FE4:GI4)</f>
        <v>11000</v>
      </c>
      <c r="GW4">
        <v>4000</v>
      </c>
      <c r="GX4">
        <v>2000</v>
      </c>
      <c r="HA4">
        <v>4000</v>
      </c>
      <c r="HE4">
        <v>20000</v>
      </c>
      <c r="HI4">
        <v>0</v>
      </c>
      <c r="HN4" s="130">
        <f t="shared" si="12"/>
        <v>30000</v>
      </c>
      <c r="IO4">
        <v>34500</v>
      </c>
      <c r="IT4" s="130">
        <f t="shared" si="13"/>
        <v>34500</v>
      </c>
      <c r="JY4" s="130">
        <f t="shared" si="14"/>
        <v>0</v>
      </c>
      <c r="KD4">
        <v>3000</v>
      </c>
      <c r="KG4">
        <v>25000</v>
      </c>
      <c r="LE4" s="130">
        <f t="shared" si="15"/>
        <v>28000</v>
      </c>
      <c r="LL4">
        <v>29500</v>
      </c>
      <c r="MJ4" s="130">
        <f t="shared" si="16"/>
        <v>29500</v>
      </c>
      <c r="MU4">
        <v>25000</v>
      </c>
      <c r="NP4" s="130">
        <f t="shared" si="17"/>
        <v>25000</v>
      </c>
      <c r="OD4">
        <v>4000</v>
      </c>
      <c r="OE4">
        <v>25000</v>
      </c>
      <c r="OG4">
        <v>4000</v>
      </c>
      <c r="OV4" s="130">
        <f t="shared" si="18"/>
        <v>33000</v>
      </c>
      <c r="PD4">
        <v>25000</v>
      </c>
      <c r="QA4" s="130">
        <f t="shared" si="19"/>
        <v>25000</v>
      </c>
      <c r="QC4">
        <v>25000</v>
      </c>
      <c r="RF4">
        <v>25000</v>
      </c>
      <c r="RG4" s="130">
        <f t="shared" si="20"/>
        <v>50000</v>
      </c>
      <c r="SG4">
        <v>4000</v>
      </c>
      <c r="SM4" s="130">
        <f t="shared" si="21"/>
        <v>4000</v>
      </c>
      <c r="TS4" s="130">
        <f t="shared" si="22"/>
        <v>0</v>
      </c>
      <c r="UY4" s="130">
        <f t="shared" si="23"/>
        <v>0</v>
      </c>
      <c r="VA4">
        <v>3000</v>
      </c>
      <c r="VB4">
        <v>25000</v>
      </c>
      <c r="VR4">
        <v>4500</v>
      </c>
      <c r="VY4">
        <v>4500</v>
      </c>
      <c r="VZ4">
        <v>30000</v>
      </c>
      <c r="WB4" s="130">
        <f t="shared" si="24"/>
        <v>67000</v>
      </c>
      <c r="WX4">
        <v>1000</v>
      </c>
      <c r="XH4" s="130">
        <f t="shared" si="25"/>
        <v>1000</v>
      </c>
      <c r="XS4">
        <v>4000</v>
      </c>
      <c r="XV4">
        <v>25000</v>
      </c>
      <c r="YM4" s="130">
        <f t="shared" si="26"/>
        <v>29000</v>
      </c>
      <c r="YU4">
        <v>4000</v>
      </c>
      <c r="YY4">
        <v>4000</v>
      </c>
      <c r="ZS4" s="130">
        <f t="shared" si="27"/>
        <v>8000</v>
      </c>
      <c r="ZT4">
        <v>4000</v>
      </c>
      <c r="ZV4">
        <v>4000</v>
      </c>
      <c r="ZY4">
        <v>4000</v>
      </c>
      <c r="AAC4">
        <v>4000</v>
      </c>
      <c r="AAT4">
        <v>4000</v>
      </c>
      <c r="AAW4">
        <v>4000</v>
      </c>
      <c r="AAX4" s="130">
        <f t="shared" si="28"/>
        <v>24000</v>
      </c>
      <c r="AAY4">
        <v>25000</v>
      </c>
      <c r="ABR4">
        <v>25000</v>
      </c>
      <c r="ACD4" s="130">
        <f t="shared" si="29"/>
        <v>50000</v>
      </c>
      <c r="ACL4">
        <v>25000</v>
      </c>
      <c r="ADJ4" s="130">
        <f t="shared" si="30"/>
        <v>25000</v>
      </c>
      <c r="ADL4">
        <v>4000</v>
      </c>
      <c r="ADR4">
        <v>4000</v>
      </c>
      <c r="AEO4" s="130">
        <f t="shared" si="31"/>
        <v>8000</v>
      </c>
      <c r="AEU4">
        <v>4000</v>
      </c>
      <c r="AFC4">
        <v>4000</v>
      </c>
      <c r="AFH4">
        <v>20000</v>
      </c>
      <c r="AFU4" s="130">
        <f t="shared" si="32"/>
        <v>28000</v>
      </c>
      <c r="AGD4">
        <v>3500</v>
      </c>
      <c r="AGH4">
        <v>4000</v>
      </c>
      <c r="AGQ4">
        <v>25000</v>
      </c>
      <c r="AGR4">
        <v>3500</v>
      </c>
      <c r="AGZ4" s="130">
        <f t="shared" si="33"/>
        <v>36000</v>
      </c>
      <c r="AHT4">
        <v>4000</v>
      </c>
      <c r="AIC4">
        <v>4000</v>
      </c>
      <c r="AIF4" s="145">
        <f t="shared" si="34"/>
        <v>8000</v>
      </c>
      <c r="AIK4">
        <v>4000</v>
      </c>
      <c r="AIM4">
        <v>25000</v>
      </c>
      <c r="AJL4" s="145">
        <f t="shared" si="35"/>
        <v>29000</v>
      </c>
      <c r="AJO4">
        <v>3500</v>
      </c>
      <c r="AJV4">
        <v>3500</v>
      </c>
      <c r="AKG4">
        <v>25000</v>
      </c>
      <c r="AKO4" s="145">
        <f t="shared" si="36"/>
        <v>32000</v>
      </c>
      <c r="ALU4" s="145">
        <f t="shared" si="37"/>
        <v>0</v>
      </c>
      <c r="AMZ4" s="145">
        <f t="shared" si="38"/>
        <v>0</v>
      </c>
      <c r="ANH4">
        <v>4000</v>
      </c>
    </row>
    <row r="5" spans="1:1070" x14ac:dyDescent="0.2">
      <c r="A5" s="160"/>
      <c r="B5" s="5" t="s">
        <v>1344</v>
      </c>
      <c r="C5" s="22">
        <v>100000</v>
      </c>
      <c r="D5" s="22"/>
      <c r="E5" s="22">
        <v>100016</v>
      </c>
      <c r="F5" s="22"/>
      <c r="G5" s="22">
        <v>100000</v>
      </c>
      <c r="H5" s="22">
        <v>0</v>
      </c>
      <c r="I5" s="22">
        <v>100000</v>
      </c>
      <c r="J5" s="22"/>
      <c r="K5" s="22"/>
      <c r="L5" s="22"/>
      <c r="M5" s="22"/>
      <c r="N5" s="22"/>
      <c r="O5" s="22"/>
      <c r="P5" s="22">
        <v>100000</v>
      </c>
      <c r="Q5" s="22"/>
      <c r="R5" s="22"/>
      <c r="S5" s="22">
        <v>200000</v>
      </c>
      <c r="T5" s="22"/>
      <c r="U5" s="22"/>
      <c r="V5" s="22"/>
      <c r="W5" s="22"/>
      <c r="X5" s="22"/>
      <c r="Y5" s="22">
        <v>100000</v>
      </c>
      <c r="Z5" s="22"/>
      <c r="AA5" s="22">
        <v>100000</v>
      </c>
      <c r="AB5" s="22"/>
      <c r="AC5" s="22">
        <v>100000</v>
      </c>
      <c r="AD5" s="22"/>
      <c r="AE5" s="22">
        <v>100000</v>
      </c>
      <c r="AF5" s="22"/>
      <c r="AG5" s="22"/>
      <c r="AH5" s="22">
        <f t="shared" si="9"/>
        <v>1100016</v>
      </c>
      <c r="AI5" s="52">
        <v>200000</v>
      </c>
      <c r="AJ5" s="52"/>
      <c r="AK5" s="52"/>
      <c r="AL5" s="52"/>
      <c r="AM5" s="52"/>
      <c r="AN5" s="52">
        <v>100000</v>
      </c>
      <c r="AO5" s="52"/>
      <c r="AP5" s="52"/>
      <c r="AQ5" s="52"/>
      <c r="AR5" s="52"/>
      <c r="AS5" s="52">
        <v>200000</v>
      </c>
      <c r="AT5" s="52"/>
      <c r="AU5" s="52">
        <v>100000</v>
      </c>
      <c r="AV5" s="52"/>
      <c r="AW5" s="52"/>
      <c r="AX5" s="52">
        <v>200000</v>
      </c>
      <c r="AY5" s="52"/>
      <c r="AZ5" s="52">
        <v>100000</v>
      </c>
      <c r="BA5" s="52"/>
      <c r="BB5" s="52"/>
      <c r="BC5" s="52"/>
      <c r="BD5" s="52"/>
      <c r="BE5" s="52">
        <v>200000</v>
      </c>
      <c r="BF5" s="52"/>
      <c r="BG5" s="52"/>
      <c r="BH5" s="52"/>
      <c r="BI5" s="52"/>
      <c r="BJ5" s="52"/>
      <c r="BK5" s="52">
        <v>200000</v>
      </c>
      <c r="BL5" s="52"/>
      <c r="BM5" s="52">
        <f t="shared" si="39"/>
        <v>1300000</v>
      </c>
      <c r="BN5" s="52"/>
      <c r="BO5" s="52"/>
      <c r="BP5" s="52"/>
      <c r="BQ5" s="52"/>
      <c r="BR5" s="52">
        <v>100000</v>
      </c>
      <c r="BS5" s="52"/>
      <c r="BT5" s="52"/>
      <c r="BU5" s="52"/>
      <c r="BV5" s="52"/>
      <c r="BW5" s="52"/>
      <c r="BX5" s="52">
        <v>200000</v>
      </c>
      <c r="BY5" s="52"/>
      <c r="BZ5" s="52"/>
      <c r="CA5" s="52">
        <v>100000</v>
      </c>
      <c r="CB5" s="52"/>
      <c r="CC5" s="52"/>
      <c r="CD5" s="52"/>
      <c r="CE5" s="52">
        <v>200000</v>
      </c>
      <c r="CF5" s="52"/>
      <c r="CI5">
        <v>100000</v>
      </c>
      <c r="CL5">
        <v>100000</v>
      </c>
      <c r="CN5">
        <v>100000</v>
      </c>
      <c r="CR5">
        <v>100000</v>
      </c>
      <c r="CS5" s="110">
        <f t="shared" si="10"/>
        <v>1000000</v>
      </c>
      <c r="CT5" s="52"/>
      <c r="CU5" s="52">
        <v>100000</v>
      </c>
      <c r="CV5" s="52">
        <v>30000</v>
      </c>
      <c r="CW5" s="52">
        <v>100000</v>
      </c>
      <c r="CX5" s="52"/>
      <c r="CY5" s="52">
        <v>100000</v>
      </c>
      <c r="CZ5" s="52">
        <v>100000</v>
      </c>
      <c r="DA5" s="52"/>
      <c r="DB5" s="52">
        <v>100000</v>
      </c>
      <c r="DC5" s="52"/>
      <c r="DD5" s="52">
        <v>100000</v>
      </c>
      <c r="DE5" s="52">
        <v>125000</v>
      </c>
      <c r="DF5" s="52">
        <v>95000</v>
      </c>
      <c r="DG5" s="52"/>
      <c r="DH5" s="52">
        <v>100000</v>
      </c>
      <c r="DI5" s="52"/>
      <c r="DJ5" s="52">
        <v>100000</v>
      </c>
      <c r="DK5" s="52"/>
      <c r="DL5" s="52"/>
      <c r="DM5" s="52"/>
      <c r="DN5" s="52">
        <v>100000</v>
      </c>
      <c r="DO5" s="52"/>
      <c r="DP5" s="52">
        <v>100000</v>
      </c>
      <c r="DQ5" s="52"/>
      <c r="DR5" s="52"/>
      <c r="DS5" s="52"/>
      <c r="DT5" s="52">
        <v>100000</v>
      </c>
      <c r="DU5" s="52"/>
      <c r="DV5" s="52">
        <v>103500</v>
      </c>
      <c r="DW5" s="52"/>
      <c r="DX5" s="118">
        <f>SUM(CT5:DW5)</f>
        <v>1453500</v>
      </c>
      <c r="EA5">
        <v>100000</v>
      </c>
      <c r="EE5">
        <v>100000</v>
      </c>
      <c r="EG5">
        <v>100000</v>
      </c>
      <c r="EJ5">
        <v>100000</v>
      </c>
      <c r="EZ5">
        <v>100000</v>
      </c>
      <c r="FD5" s="126">
        <f t="shared" si="11"/>
        <v>500000</v>
      </c>
      <c r="FE5">
        <v>100000</v>
      </c>
      <c r="FF5">
        <v>0</v>
      </c>
      <c r="FI5">
        <v>200000</v>
      </c>
      <c r="FP5">
        <v>200000</v>
      </c>
      <c r="FU5">
        <v>400000</v>
      </c>
      <c r="FZ5">
        <v>200000</v>
      </c>
      <c r="GE5">
        <v>100000</v>
      </c>
      <c r="GH5">
        <v>100000</v>
      </c>
      <c r="GJ5" s="130">
        <f>SUM(FE5:GI5)</f>
        <v>1300000</v>
      </c>
      <c r="GK5">
        <v>200000</v>
      </c>
      <c r="GL5">
        <v>100000</v>
      </c>
      <c r="GM5">
        <v>100000</v>
      </c>
      <c r="GO5">
        <v>200000</v>
      </c>
      <c r="GR5">
        <v>300000</v>
      </c>
      <c r="GX5">
        <v>300000</v>
      </c>
      <c r="GZ5">
        <v>100000</v>
      </c>
      <c r="HC5">
        <v>200000</v>
      </c>
      <c r="HH5">
        <v>100000</v>
      </c>
      <c r="HJ5">
        <v>100000</v>
      </c>
      <c r="HL5">
        <v>100000</v>
      </c>
      <c r="HN5" s="130">
        <f t="shared" si="12"/>
        <v>1800000</v>
      </c>
      <c r="HO5">
        <v>200000</v>
      </c>
      <c r="HT5">
        <v>200000</v>
      </c>
      <c r="HX5">
        <v>100000</v>
      </c>
      <c r="HZ5">
        <v>200000</v>
      </c>
      <c r="IB5">
        <v>100000</v>
      </c>
      <c r="ID5">
        <f>160000+40000</f>
        <v>200000</v>
      </c>
      <c r="IH5">
        <v>200000</v>
      </c>
      <c r="IO5">
        <v>200000</v>
      </c>
      <c r="IQ5">
        <v>100000</v>
      </c>
      <c r="IT5" s="130">
        <f t="shared" si="13"/>
        <v>1500000</v>
      </c>
      <c r="IU5">
        <v>3000</v>
      </c>
      <c r="IW5">
        <v>200000</v>
      </c>
      <c r="IX5">
        <v>100000</v>
      </c>
      <c r="JA5">
        <v>2000</v>
      </c>
      <c r="JB5">
        <v>200000</v>
      </c>
      <c r="JC5">
        <v>200000</v>
      </c>
      <c r="JE5">
        <v>233582</v>
      </c>
      <c r="JI5">
        <v>200000</v>
      </c>
      <c r="JJ5">
        <v>200000</v>
      </c>
      <c r="JM5">
        <v>150000</v>
      </c>
      <c r="JP5">
        <v>300000</v>
      </c>
      <c r="JQ5">
        <v>100000</v>
      </c>
      <c r="JT5">
        <v>200000</v>
      </c>
      <c r="JU5">
        <v>100000</v>
      </c>
      <c r="JW5">
        <v>200000</v>
      </c>
      <c r="JX5">
        <v>100000</v>
      </c>
      <c r="JY5" s="130">
        <f t="shared" si="14"/>
        <v>2488582</v>
      </c>
      <c r="KC5">
        <v>200000</v>
      </c>
      <c r="KF5">
        <v>300000</v>
      </c>
      <c r="KM5">
        <v>200000</v>
      </c>
      <c r="KR5">
        <v>200000</v>
      </c>
      <c r="KZ5">
        <v>200000</v>
      </c>
      <c r="LB5">
        <v>100000</v>
      </c>
      <c r="LE5" s="130">
        <f t="shared" si="15"/>
        <v>1200000</v>
      </c>
      <c r="LF5">
        <v>100000</v>
      </c>
      <c r="LH5">
        <v>200000</v>
      </c>
      <c r="LM5">
        <v>200000</v>
      </c>
      <c r="LS5">
        <v>200000</v>
      </c>
      <c r="LU5">
        <v>100000</v>
      </c>
      <c r="LY5">
        <v>200000</v>
      </c>
      <c r="MB5">
        <v>100000</v>
      </c>
      <c r="ME5">
        <v>200000</v>
      </c>
      <c r="MJ5" s="130">
        <f t="shared" si="16"/>
        <v>1300000</v>
      </c>
      <c r="NF5">
        <v>100000</v>
      </c>
      <c r="NJ5">
        <v>200000</v>
      </c>
      <c r="NO5">
        <v>100000</v>
      </c>
      <c r="NP5" s="130">
        <f t="shared" si="17"/>
        <v>400000</v>
      </c>
      <c r="NQ5">
        <v>0</v>
      </c>
      <c r="NR5">
        <v>103000</v>
      </c>
      <c r="NV5">
        <v>300000</v>
      </c>
      <c r="OD5">
        <v>250000</v>
      </c>
      <c r="OI5">
        <v>100000</v>
      </c>
      <c r="OL5">
        <v>200000</v>
      </c>
      <c r="OP5">
        <v>100000</v>
      </c>
      <c r="OR5">
        <v>100000</v>
      </c>
      <c r="OV5" s="130">
        <f t="shared" si="18"/>
        <v>1153000</v>
      </c>
      <c r="OW5">
        <v>200000</v>
      </c>
      <c r="PA5">
        <v>200000</v>
      </c>
      <c r="PD5">
        <v>100000</v>
      </c>
      <c r="PG5">
        <v>100000</v>
      </c>
      <c r="PK5">
        <v>100000</v>
      </c>
      <c r="PL5">
        <v>105000</v>
      </c>
      <c r="PO5">
        <v>200000</v>
      </c>
      <c r="PU5">
        <v>100000</v>
      </c>
      <c r="PV5">
        <v>100000</v>
      </c>
      <c r="PZ5">
        <v>100000</v>
      </c>
      <c r="QA5" s="130">
        <f t="shared" si="19"/>
        <v>1305000</v>
      </c>
      <c r="QC5">
        <v>200000</v>
      </c>
      <c r="QJ5">
        <v>100000</v>
      </c>
      <c r="QL5">
        <v>100000</v>
      </c>
      <c r="QN5">
        <v>200000</v>
      </c>
      <c r="QQ5">
        <v>100000</v>
      </c>
      <c r="QR5">
        <v>100000</v>
      </c>
      <c r="QU5">
        <v>100000</v>
      </c>
      <c r="QV5">
        <v>200000</v>
      </c>
      <c r="RA5">
        <v>103000</v>
      </c>
      <c r="RE5">
        <v>100000</v>
      </c>
      <c r="RG5" s="130">
        <f t="shared" si="20"/>
        <v>1303000</v>
      </c>
      <c r="RK5">
        <v>200000</v>
      </c>
      <c r="RP5">
        <v>200000</v>
      </c>
      <c r="RT5">
        <v>150000</v>
      </c>
      <c r="RV5">
        <v>100000</v>
      </c>
      <c r="RZ5">
        <v>100000</v>
      </c>
      <c r="SA5">
        <v>300000</v>
      </c>
      <c r="SF5">
        <v>100000</v>
      </c>
      <c r="SH5">
        <v>100000</v>
      </c>
      <c r="SI5">
        <v>100000</v>
      </c>
      <c r="SM5" s="130">
        <f t="shared" si="21"/>
        <v>1350000</v>
      </c>
      <c r="SP5">
        <v>100000</v>
      </c>
      <c r="SR5">
        <v>100000</v>
      </c>
      <c r="SU5">
        <v>100000</v>
      </c>
      <c r="SW5">
        <v>100000</v>
      </c>
      <c r="SY5">
        <v>100000</v>
      </c>
      <c r="SZ5">
        <v>0</v>
      </c>
      <c r="TF5">
        <v>102000</v>
      </c>
      <c r="TI5">
        <v>100000</v>
      </c>
      <c r="TQ5">
        <v>100000</v>
      </c>
      <c r="TR5">
        <v>100000</v>
      </c>
      <c r="TS5" s="130">
        <f t="shared" si="22"/>
        <v>902000</v>
      </c>
      <c r="TY5">
        <v>100000</v>
      </c>
      <c r="UA5">
        <v>100000</v>
      </c>
      <c r="UC5">
        <v>0</v>
      </c>
      <c r="UD5">
        <v>100000</v>
      </c>
      <c r="UE5">
        <v>100000</v>
      </c>
      <c r="UH5">
        <v>100000</v>
      </c>
      <c r="UN5">
        <v>300000</v>
      </c>
      <c r="UP5">
        <v>102500</v>
      </c>
      <c r="UT5">
        <v>200000</v>
      </c>
      <c r="UW5">
        <v>100000</v>
      </c>
      <c r="UY5" s="130">
        <f t="shared" si="23"/>
        <v>1202500</v>
      </c>
      <c r="VB5">
        <v>200000</v>
      </c>
      <c r="VC5">
        <v>5000</v>
      </c>
      <c r="VF5">
        <v>100000</v>
      </c>
      <c r="VJ5">
        <v>100000</v>
      </c>
      <c r="VM5">
        <v>100000</v>
      </c>
      <c r="VQ5">
        <v>50000</v>
      </c>
      <c r="VR5">
        <v>303000</v>
      </c>
      <c r="VS5">
        <v>100000</v>
      </c>
      <c r="VT5">
        <v>0</v>
      </c>
      <c r="VX5">
        <v>100000</v>
      </c>
      <c r="VZ5">
        <v>100000</v>
      </c>
      <c r="WA5">
        <v>100000</v>
      </c>
      <c r="WB5" s="130">
        <f t="shared" si="24"/>
        <v>1258000</v>
      </c>
      <c r="WC5">
        <v>100000</v>
      </c>
      <c r="WF5">
        <v>200000</v>
      </c>
      <c r="WI5">
        <f>25.998*4550</f>
        <v>118290.90000000001</v>
      </c>
      <c r="WN5">
        <v>200000</v>
      </c>
      <c r="WR5">
        <v>101000</v>
      </c>
      <c r="WU5">
        <v>383221</v>
      </c>
      <c r="WX5">
        <v>100000</v>
      </c>
      <c r="WZ5">
        <v>100000</v>
      </c>
      <c r="XA5">
        <v>300000</v>
      </c>
      <c r="XE5">
        <v>100000</v>
      </c>
      <c r="XF5">
        <v>50000</v>
      </c>
      <c r="XH5" s="130">
        <f t="shared" si="25"/>
        <v>1652511.9</v>
      </c>
      <c r="XI5">
        <v>200000</v>
      </c>
      <c r="XL5">
        <v>100000</v>
      </c>
      <c r="XN5">
        <v>100000</v>
      </c>
      <c r="XT5">
        <v>200000</v>
      </c>
      <c r="XY5">
        <v>100000</v>
      </c>
      <c r="XZ5">
        <v>100000</v>
      </c>
      <c r="YE5">
        <v>100000</v>
      </c>
      <c r="YI5">
        <v>100000</v>
      </c>
      <c r="YJ5">
        <v>103000</v>
      </c>
      <c r="YL5">
        <v>200000</v>
      </c>
      <c r="YM5" s="130">
        <f t="shared" si="26"/>
        <v>1103000</v>
      </c>
      <c r="YN5">
        <v>0</v>
      </c>
      <c r="YO5">
        <v>5000</v>
      </c>
      <c r="YR5">
        <v>200000</v>
      </c>
      <c r="YZ5">
        <v>200000</v>
      </c>
      <c r="ZA5">
        <v>100000</v>
      </c>
      <c r="ZH5">
        <v>100000</v>
      </c>
      <c r="ZJ5">
        <v>200000</v>
      </c>
      <c r="ZK5">
        <v>200000</v>
      </c>
      <c r="ZM5">
        <v>100000</v>
      </c>
      <c r="ZQ5">
        <v>100000</v>
      </c>
      <c r="ZS5" s="130">
        <f t="shared" si="27"/>
        <v>1205000</v>
      </c>
      <c r="ZV5">
        <v>100000</v>
      </c>
      <c r="ZY5" s="130">
        <v>170000</v>
      </c>
      <c r="AAA5">
        <v>100000</v>
      </c>
      <c r="AAC5">
        <v>100000</v>
      </c>
      <c r="AAJ5">
        <v>100000</v>
      </c>
      <c r="AAL5">
        <v>100000</v>
      </c>
      <c r="AAN5">
        <v>100000</v>
      </c>
      <c r="AAS5">
        <v>100000</v>
      </c>
      <c r="AAW5">
        <v>100000</v>
      </c>
      <c r="AAX5" s="130">
        <f t="shared" si="28"/>
        <v>970000</v>
      </c>
      <c r="ABD5">
        <v>100000</v>
      </c>
      <c r="ABF5">
        <v>100000</v>
      </c>
      <c r="ABH5">
        <v>100000</v>
      </c>
      <c r="ABM5">
        <v>100000</v>
      </c>
      <c r="ABN5">
        <v>100000</v>
      </c>
      <c r="ABO5">
        <v>100000</v>
      </c>
      <c r="ABT5">
        <v>329490</v>
      </c>
      <c r="ABY5">
        <v>0</v>
      </c>
      <c r="ABZ5">
        <v>100000</v>
      </c>
      <c r="ACB5">
        <v>100000</v>
      </c>
      <c r="ACD5" s="130">
        <f t="shared" si="29"/>
        <v>1129490</v>
      </c>
      <c r="ACJ5">
        <v>300000</v>
      </c>
      <c r="ADJ5" s="130">
        <f t="shared" si="30"/>
        <v>300000</v>
      </c>
      <c r="ADW5">
        <v>100000</v>
      </c>
      <c r="ADX5">
        <v>200000</v>
      </c>
      <c r="ADZ5">
        <v>100000</v>
      </c>
      <c r="AED5">
        <v>150000</v>
      </c>
      <c r="AEF5">
        <v>100000</v>
      </c>
      <c r="AEI5">
        <v>100000</v>
      </c>
      <c r="AEN5">
        <v>200000</v>
      </c>
      <c r="AEO5" s="130">
        <f t="shared" si="31"/>
        <v>950000</v>
      </c>
      <c r="AET5">
        <v>100000</v>
      </c>
      <c r="AEW5">
        <v>100000</v>
      </c>
      <c r="AFB5">
        <v>100000</v>
      </c>
      <c r="AFH5">
        <v>100000</v>
      </c>
      <c r="AFK5">
        <v>100000</v>
      </c>
      <c r="AFO5">
        <v>100000</v>
      </c>
      <c r="AFP5">
        <v>100000</v>
      </c>
      <c r="AFT5">
        <v>100000</v>
      </c>
      <c r="AFU5" s="130">
        <f t="shared" si="32"/>
        <v>800000</v>
      </c>
      <c r="AFV5">
        <v>100000</v>
      </c>
      <c r="AFW5">
        <v>50000</v>
      </c>
      <c r="AFZ5">
        <v>100000</v>
      </c>
      <c r="AGC5">
        <v>220000</v>
      </c>
      <c r="AGD5">
        <v>100000</v>
      </c>
      <c r="AGF5">
        <v>100000</v>
      </c>
      <c r="AGL5">
        <v>100000</v>
      </c>
      <c r="AGN5">
        <v>100000</v>
      </c>
      <c r="AGQ5">
        <v>100000</v>
      </c>
      <c r="AGR5">
        <v>100000</v>
      </c>
      <c r="AGU5">
        <v>100000</v>
      </c>
      <c r="AGW5">
        <v>100000</v>
      </c>
      <c r="AGZ5" s="130">
        <f t="shared" si="33"/>
        <v>1270000</v>
      </c>
      <c r="AHA5">
        <v>100000</v>
      </c>
      <c r="AHE5">
        <v>100000</v>
      </c>
      <c r="AHG5">
        <v>100000</v>
      </c>
      <c r="AHK5">
        <v>100000</v>
      </c>
      <c r="AHQ5">
        <v>50000</v>
      </c>
      <c r="AHU5">
        <v>200000</v>
      </c>
      <c r="AHZ5">
        <v>100000</v>
      </c>
      <c r="AIB5">
        <v>50000</v>
      </c>
      <c r="AID5">
        <v>200000</v>
      </c>
      <c r="AIF5" s="145">
        <f t="shared" si="34"/>
        <v>1000000</v>
      </c>
      <c r="AIJ5">
        <v>50000</v>
      </c>
      <c r="AIO5">
        <v>100000</v>
      </c>
      <c r="AIQ5">
        <v>100000</v>
      </c>
      <c r="AIX5">
        <v>100000</v>
      </c>
      <c r="AJE5">
        <v>100000</v>
      </c>
      <c r="AJF5">
        <v>100000</v>
      </c>
      <c r="AJL5" s="145">
        <f t="shared" si="35"/>
        <v>550000</v>
      </c>
      <c r="AJM5">
        <v>100000</v>
      </c>
      <c r="AJY5">
        <v>100000</v>
      </c>
      <c r="AKA5">
        <v>100000</v>
      </c>
      <c r="AKG5">
        <v>100000</v>
      </c>
      <c r="AKH5">
        <v>100000</v>
      </c>
      <c r="AKM5">
        <v>50000</v>
      </c>
      <c r="AKN5">
        <v>100000</v>
      </c>
      <c r="AKO5" s="145">
        <f t="shared" si="36"/>
        <v>650000</v>
      </c>
      <c r="AKP5">
        <v>50000</v>
      </c>
      <c r="AKQ5">
        <v>100000</v>
      </c>
      <c r="AKV5">
        <v>100000</v>
      </c>
      <c r="AKZ5">
        <v>100000</v>
      </c>
      <c r="ALC5">
        <v>100000</v>
      </c>
      <c r="ALD5">
        <v>100000</v>
      </c>
      <c r="ALG5">
        <v>100000</v>
      </c>
      <c r="ALH5">
        <v>100000</v>
      </c>
      <c r="ALM5">
        <v>100000</v>
      </c>
      <c r="ALP5">
        <v>200000</v>
      </c>
      <c r="ALQ5">
        <v>100000</v>
      </c>
      <c r="ALR5">
        <v>150000</v>
      </c>
      <c r="ALU5" s="145">
        <f t="shared" si="37"/>
        <v>1150000</v>
      </c>
      <c r="ALZ5">
        <v>100000</v>
      </c>
      <c r="AMC5">
        <v>100000</v>
      </c>
      <c r="AMG5">
        <v>100000</v>
      </c>
      <c r="AMH5">
        <v>100000</v>
      </c>
      <c r="AML5">
        <v>100000</v>
      </c>
      <c r="AMO5">
        <v>200000</v>
      </c>
      <c r="AMT5">
        <v>100000</v>
      </c>
      <c r="AMU5">
        <v>100000</v>
      </c>
      <c r="AMV5">
        <v>200000</v>
      </c>
      <c r="AMX5">
        <v>100000</v>
      </c>
      <c r="AMY5">
        <v>100000</v>
      </c>
      <c r="AMZ5" s="145">
        <f t="shared" si="38"/>
        <v>1300000</v>
      </c>
      <c r="ANA5">
        <v>100000</v>
      </c>
      <c r="ANB5">
        <v>50000</v>
      </c>
      <c r="ANE5">
        <v>200000</v>
      </c>
      <c r="ANH5">
        <v>100000</v>
      </c>
      <c r="ANP5">
        <v>100000</v>
      </c>
      <c r="ANQ5">
        <v>100000</v>
      </c>
      <c r="ANS5">
        <v>50000</v>
      </c>
      <c r="ANT5">
        <v>412375</v>
      </c>
      <c r="ANX5">
        <v>400000</v>
      </c>
      <c r="AOA5">
        <v>0</v>
      </c>
      <c r="AOB5">
        <v>200000</v>
      </c>
    </row>
    <row r="6" spans="1:1070" x14ac:dyDescent="0.2">
      <c r="A6" s="160"/>
      <c r="B6" s="5" t="s">
        <v>1345</v>
      </c>
      <c r="C6" s="22"/>
      <c r="D6" s="22"/>
      <c r="E6" s="22">
        <v>1000</v>
      </c>
      <c r="F6" s="22"/>
      <c r="G6" s="22"/>
      <c r="H6" s="22"/>
      <c r="I6" s="22"/>
      <c r="J6" s="22"/>
      <c r="K6" s="22"/>
      <c r="L6" s="22">
        <v>5000</v>
      </c>
      <c r="M6" s="22"/>
      <c r="N6" s="22"/>
      <c r="O6" s="22"/>
      <c r="P6" s="22"/>
      <c r="Q6" s="22"/>
      <c r="R6" s="22"/>
      <c r="S6" s="22"/>
      <c r="T6" s="22"/>
      <c r="U6" s="22">
        <v>22000</v>
      </c>
      <c r="V6" s="22"/>
      <c r="W6" s="22">
        <v>5000</v>
      </c>
      <c r="X6" s="22"/>
      <c r="Y6" s="22">
        <v>6000</v>
      </c>
      <c r="Z6" s="22"/>
      <c r="AA6" s="22"/>
      <c r="AB6" s="22"/>
      <c r="AC6" s="22"/>
      <c r="AD6" s="22"/>
      <c r="AE6" s="22"/>
      <c r="AF6" s="22"/>
      <c r="AG6" s="22"/>
      <c r="AH6" s="22">
        <f t="shared" si="9"/>
        <v>39000</v>
      </c>
      <c r="AI6" s="52"/>
      <c r="AJ6" s="52">
        <v>0</v>
      </c>
      <c r="AK6" s="52"/>
      <c r="AL6" s="52"/>
      <c r="AM6" s="52"/>
      <c r="AN6" s="52"/>
      <c r="AO6" s="52">
        <v>16000</v>
      </c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>
        <v>0</v>
      </c>
      <c r="BB6" s="52">
        <v>6000</v>
      </c>
      <c r="BC6" s="52"/>
      <c r="BD6" s="52"/>
      <c r="BE6" s="52"/>
      <c r="BF6" s="52"/>
      <c r="BG6" s="52">
        <v>5000</v>
      </c>
      <c r="BH6" s="52"/>
      <c r="BI6" s="52"/>
      <c r="BJ6" s="52"/>
      <c r="BK6" s="52">
        <v>5000</v>
      </c>
      <c r="BL6" s="52"/>
      <c r="BM6" s="52">
        <f t="shared" si="39"/>
        <v>32000</v>
      </c>
      <c r="BN6" s="52"/>
      <c r="BO6" s="52"/>
      <c r="BP6" s="52"/>
      <c r="BQ6" s="52"/>
      <c r="BR6" s="52"/>
      <c r="BS6" s="52">
        <v>2500</v>
      </c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>
        <v>5000</v>
      </c>
      <c r="CF6" s="52"/>
      <c r="CG6">
        <v>10000</v>
      </c>
      <c r="CS6" s="110">
        <f t="shared" si="10"/>
        <v>17500</v>
      </c>
      <c r="CT6" s="52"/>
      <c r="CU6" s="52"/>
      <c r="CV6" s="52"/>
      <c r="CW6" s="52">
        <v>14000</v>
      </c>
      <c r="CX6" s="52"/>
      <c r="CY6" s="52"/>
      <c r="CZ6" s="52"/>
      <c r="DA6" s="52"/>
      <c r="DB6" s="52"/>
      <c r="DC6" s="52"/>
      <c r="DD6" s="52"/>
      <c r="DE6" s="52"/>
      <c r="DF6" s="52"/>
      <c r="DG6" s="52">
        <v>3000</v>
      </c>
      <c r="DH6" s="52">
        <v>8000</v>
      </c>
      <c r="DI6" s="52"/>
      <c r="DJ6" s="52"/>
      <c r="DK6" s="52"/>
      <c r="DL6" s="52"/>
      <c r="DM6" s="52"/>
      <c r="DN6" s="52"/>
      <c r="DO6" s="52">
        <v>6000</v>
      </c>
      <c r="DP6" s="52"/>
      <c r="DQ6" s="52"/>
      <c r="DR6" s="52"/>
      <c r="DS6" s="52"/>
      <c r="DT6" s="52"/>
      <c r="DU6" s="52"/>
      <c r="DV6" s="52"/>
      <c r="DW6" s="52"/>
      <c r="DX6" s="118">
        <f>SUM(CT6:DW6)</f>
        <v>31000</v>
      </c>
      <c r="EJ6">
        <v>10000</v>
      </c>
      <c r="EK6">
        <v>2500</v>
      </c>
      <c r="FD6" s="126">
        <f t="shared" si="11"/>
        <v>12500</v>
      </c>
      <c r="FE6">
        <v>7000</v>
      </c>
      <c r="FJ6">
        <v>8000</v>
      </c>
      <c r="FN6">
        <v>6000</v>
      </c>
      <c r="FO6">
        <v>5000</v>
      </c>
      <c r="FZ6">
        <v>2000</v>
      </c>
      <c r="GB6">
        <v>12500</v>
      </c>
      <c r="GC6">
        <v>2000</v>
      </c>
      <c r="GF6">
        <v>7000</v>
      </c>
      <c r="GG6">
        <v>3000</v>
      </c>
      <c r="GJ6" s="130">
        <f>SUM(FE6:GI6)</f>
        <v>52500</v>
      </c>
      <c r="GM6">
        <v>5000</v>
      </c>
      <c r="GR6">
        <v>15000</v>
      </c>
      <c r="HK6">
        <v>6000</v>
      </c>
      <c r="HN6" s="130">
        <f t="shared" si="12"/>
        <v>26000</v>
      </c>
      <c r="HW6">
        <v>10000</v>
      </c>
      <c r="HX6">
        <v>10000</v>
      </c>
      <c r="IT6" s="130">
        <f t="shared" si="13"/>
        <v>20000</v>
      </c>
      <c r="JY6" s="130">
        <f t="shared" si="14"/>
        <v>0</v>
      </c>
      <c r="KH6">
        <v>3000</v>
      </c>
      <c r="KN6">
        <v>7000</v>
      </c>
      <c r="LE6" s="130">
        <f t="shared" si="15"/>
        <v>10000</v>
      </c>
      <c r="LK6">
        <v>9000</v>
      </c>
      <c r="LY6">
        <v>39000</v>
      </c>
      <c r="ME6">
        <v>5000</v>
      </c>
      <c r="MJ6" s="130">
        <f t="shared" si="16"/>
        <v>53000</v>
      </c>
      <c r="NP6" s="130">
        <f t="shared" si="17"/>
        <v>0</v>
      </c>
      <c r="OK6">
        <v>6000</v>
      </c>
      <c r="OV6" s="130">
        <f t="shared" si="18"/>
        <v>6000</v>
      </c>
      <c r="OZ6">
        <v>5000</v>
      </c>
      <c r="PG6">
        <v>6000</v>
      </c>
      <c r="PJ6">
        <v>6000</v>
      </c>
      <c r="PL6">
        <v>5000</v>
      </c>
      <c r="PM6">
        <v>0</v>
      </c>
      <c r="PN6">
        <v>8000</v>
      </c>
      <c r="PU6">
        <v>12000</v>
      </c>
      <c r="QA6" s="130">
        <f t="shared" si="19"/>
        <v>42000</v>
      </c>
      <c r="QQ6">
        <v>10000</v>
      </c>
      <c r="QX6">
        <v>4000</v>
      </c>
      <c r="RE6">
        <v>3000</v>
      </c>
      <c r="RG6" s="130">
        <f t="shared" si="20"/>
        <v>17000</v>
      </c>
      <c r="RH6">
        <v>5000</v>
      </c>
      <c r="RM6">
        <v>3000</v>
      </c>
      <c r="RW6">
        <v>12000</v>
      </c>
      <c r="SA6">
        <v>6000</v>
      </c>
      <c r="SH6">
        <v>9000</v>
      </c>
      <c r="SM6" s="130">
        <f t="shared" si="21"/>
        <v>30000</v>
      </c>
      <c r="SN6">
        <v>6000</v>
      </c>
      <c r="SR6">
        <v>3000</v>
      </c>
      <c r="SX6">
        <v>9000</v>
      </c>
      <c r="TE6">
        <v>17000</v>
      </c>
      <c r="TS6" s="130">
        <f t="shared" si="22"/>
        <v>29000</v>
      </c>
      <c r="TT6">
        <v>5000</v>
      </c>
      <c r="TV6">
        <v>3000</v>
      </c>
      <c r="UA6">
        <v>3000</v>
      </c>
      <c r="UC6">
        <v>0</v>
      </c>
      <c r="UD6">
        <v>1500</v>
      </c>
      <c r="UH6">
        <v>6000</v>
      </c>
      <c r="UM6">
        <v>4000</v>
      </c>
      <c r="UO6">
        <v>9000</v>
      </c>
      <c r="UV6">
        <v>8000</v>
      </c>
      <c r="UW6">
        <v>6000</v>
      </c>
      <c r="UY6" s="130">
        <f t="shared" si="23"/>
        <v>40500</v>
      </c>
      <c r="UZ6">
        <v>0</v>
      </c>
      <c r="VJ6">
        <v>3000</v>
      </c>
      <c r="VR6">
        <v>23000</v>
      </c>
      <c r="VY6">
        <v>12000</v>
      </c>
      <c r="WB6" s="130">
        <f t="shared" si="24"/>
        <v>38000</v>
      </c>
      <c r="WP6">
        <v>0</v>
      </c>
      <c r="WQ6">
        <v>10000</v>
      </c>
      <c r="XH6" s="130">
        <f t="shared" si="25"/>
        <v>10000</v>
      </c>
      <c r="XL6">
        <v>10000</v>
      </c>
      <c r="XM6">
        <v>20000</v>
      </c>
      <c r="XQ6">
        <v>3000</v>
      </c>
      <c r="XW6">
        <v>2000</v>
      </c>
      <c r="XX6">
        <v>13000</v>
      </c>
      <c r="YE6">
        <v>3000</v>
      </c>
      <c r="YL6">
        <v>12000</v>
      </c>
      <c r="YM6" s="130">
        <f t="shared" si="26"/>
        <v>63000</v>
      </c>
      <c r="YN6">
        <v>0</v>
      </c>
      <c r="YT6">
        <v>8000</v>
      </c>
      <c r="YY6">
        <v>4000</v>
      </c>
      <c r="ZB6">
        <v>8000</v>
      </c>
      <c r="ZI6">
        <v>7000</v>
      </c>
      <c r="ZP6">
        <v>7000</v>
      </c>
      <c r="ZS6" s="130">
        <f t="shared" si="27"/>
        <v>34000</v>
      </c>
      <c r="AAE6">
        <v>7000</v>
      </c>
      <c r="AAT6">
        <v>20000</v>
      </c>
      <c r="AAX6" s="130">
        <f t="shared" si="28"/>
        <v>27000</v>
      </c>
      <c r="ABL6">
        <v>8000</v>
      </c>
      <c r="ABS6">
        <v>19000</v>
      </c>
      <c r="ACD6" s="130">
        <f t="shared" si="29"/>
        <v>27000</v>
      </c>
      <c r="ADJ6" s="130">
        <f t="shared" si="30"/>
        <v>0</v>
      </c>
      <c r="ADZ6">
        <v>9000</v>
      </c>
      <c r="AEF6">
        <v>5000</v>
      </c>
      <c r="AEN6">
        <v>8000</v>
      </c>
      <c r="AEO6" s="130">
        <f t="shared" si="31"/>
        <v>22000</v>
      </c>
      <c r="AFU6" s="130">
        <f t="shared" si="32"/>
        <v>0</v>
      </c>
      <c r="AGL6">
        <v>1000</v>
      </c>
      <c r="AGZ6" s="130">
        <f t="shared" si="33"/>
        <v>1000</v>
      </c>
      <c r="AHC6">
        <v>5000</v>
      </c>
      <c r="AIF6" s="145">
        <f t="shared" si="34"/>
        <v>5000</v>
      </c>
      <c r="AIK6">
        <v>10000</v>
      </c>
      <c r="AIM6">
        <v>4000</v>
      </c>
      <c r="AIS6">
        <v>14000</v>
      </c>
      <c r="AJA6">
        <v>1000</v>
      </c>
      <c r="AJL6" s="145">
        <f t="shared" si="35"/>
        <v>29000</v>
      </c>
      <c r="AKO6" s="145">
        <f t="shared" si="36"/>
        <v>0</v>
      </c>
      <c r="ALU6" s="145">
        <f t="shared" si="37"/>
        <v>0</v>
      </c>
      <c r="AMP6">
        <v>5000</v>
      </c>
      <c r="AMZ6" s="145">
        <f t="shared" si="38"/>
        <v>5000</v>
      </c>
      <c r="AND6">
        <v>10000</v>
      </c>
      <c r="ANS6">
        <v>12000</v>
      </c>
    </row>
    <row r="7" spans="1:1070" x14ac:dyDescent="0.2">
      <c r="A7" s="160"/>
      <c r="B7" s="5" t="s">
        <v>1346</v>
      </c>
      <c r="C7" s="22"/>
      <c r="D7" s="22"/>
      <c r="E7" s="22"/>
      <c r="F7" s="22"/>
      <c r="G7" s="22"/>
      <c r="H7" s="22">
        <v>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>
        <v>4000</v>
      </c>
      <c r="Y7" s="22"/>
      <c r="Z7" s="22"/>
      <c r="AA7" s="22"/>
      <c r="AB7" s="22"/>
      <c r="AC7" s="22"/>
      <c r="AD7" s="22"/>
      <c r="AE7" s="22"/>
      <c r="AF7" s="22"/>
      <c r="AG7" s="22"/>
      <c r="AH7" s="22">
        <f t="shared" si="9"/>
        <v>4000</v>
      </c>
      <c r="AI7" s="52"/>
      <c r="AJ7" s="52">
        <v>0</v>
      </c>
      <c r="AK7" s="52"/>
      <c r="AL7" s="52"/>
      <c r="AM7" s="52"/>
      <c r="AN7" s="52"/>
      <c r="AO7" s="52"/>
      <c r="AP7" s="52"/>
      <c r="AQ7" s="52">
        <v>0</v>
      </c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>
        <v>4000</v>
      </c>
      <c r="BI7" s="52">
        <v>0</v>
      </c>
      <c r="BJ7" s="52"/>
      <c r="BK7" s="52"/>
      <c r="BL7" s="52"/>
      <c r="BM7" s="52">
        <f t="shared" si="39"/>
        <v>4000</v>
      </c>
      <c r="BN7" s="52"/>
      <c r="BO7" s="52"/>
      <c r="BP7" s="52"/>
      <c r="BQ7" s="52"/>
      <c r="BR7" s="52"/>
      <c r="BS7" s="52"/>
      <c r="BT7" s="52"/>
      <c r="BU7" s="52">
        <v>0</v>
      </c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L7">
        <v>4000</v>
      </c>
      <c r="CS7" s="110">
        <f t="shared" si="10"/>
        <v>4000</v>
      </c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>
        <v>4000</v>
      </c>
      <c r="DO7" s="52"/>
      <c r="DP7" s="52"/>
      <c r="DQ7" s="52"/>
      <c r="DR7" s="52"/>
      <c r="DS7" s="52"/>
      <c r="DT7" s="52"/>
      <c r="DU7" s="52"/>
      <c r="DV7" s="52"/>
      <c r="DW7" s="52"/>
      <c r="DX7" s="118">
        <f>SUM(CT7:DW7)</f>
        <v>4000</v>
      </c>
      <c r="EA7">
        <v>10000</v>
      </c>
      <c r="ES7">
        <v>4000</v>
      </c>
      <c r="FD7" s="126">
        <f t="shared" si="11"/>
        <v>14000</v>
      </c>
      <c r="GA7">
        <v>4000</v>
      </c>
      <c r="GJ7" s="130">
        <f>SUM(FE7:GI7)</f>
        <v>4000</v>
      </c>
      <c r="HH7">
        <v>4000</v>
      </c>
      <c r="HN7" s="130">
        <f t="shared" si="12"/>
        <v>4000</v>
      </c>
      <c r="IT7" s="130">
        <f t="shared" si="13"/>
        <v>0</v>
      </c>
      <c r="JO7">
        <v>4000</v>
      </c>
      <c r="JY7" s="130">
        <f t="shared" si="14"/>
        <v>4000</v>
      </c>
      <c r="KT7">
        <v>14000</v>
      </c>
      <c r="LE7" s="130">
        <f t="shared" si="15"/>
        <v>14000</v>
      </c>
      <c r="MJ7" s="130">
        <f t="shared" si="16"/>
        <v>0</v>
      </c>
      <c r="NP7" s="130">
        <f t="shared" si="17"/>
        <v>0</v>
      </c>
      <c r="OI7">
        <v>4000</v>
      </c>
      <c r="OV7" s="130">
        <f t="shared" si="18"/>
        <v>4000</v>
      </c>
      <c r="PQ7">
        <v>4000</v>
      </c>
      <c r="QA7" s="130">
        <f t="shared" si="19"/>
        <v>4000</v>
      </c>
      <c r="QV7">
        <v>4000</v>
      </c>
      <c r="RG7" s="130">
        <f t="shared" si="20"/>
        <v>4000</v>
      </c>
      <c r="SB7">
        <v>4000</v>
      </c>
      <c r="SM7" s="130">
        <f t="shared" si="21"/>
        <v>4000</v>
      </c>
      <c r="TH7">
        <v>4000</v>
      </c>
      <c r="TS7" s="130">
        <f t="shared" si="22"/>
        <v>4000</v>
      </c>
      <c r="UN7">
        <v>4000</v>
      </c>
      <c r="UY7" s="130">
        <f t="shared" si="23"/>
        <v>4000</v>
      </c>
      <c r="UZ7">
        <v>0</v>
      </c>
      <c r="WB7" s="130">
        <f t="shared" si="24"/>
        <v>0</v>
      </c>
      <c r="WU7">
        <v>5000</v>
      </c>
      <c r="WW7">
        <v>4000</v>
      </c>
      <c r="XH7" s="130">
        <f t="shared" si="25"/>
        <v>9000</v>
      </c>
      <c r="YM7" s="130">
        <f t="shared" si="26"/>
        <v>0</v>
      </c>
      <c r="ZS7" s="130">
        <f t="shared" si="27"/>
        <v>0</v>
      </c>
      <c r="ZU7">
        <v>4000</v>
      </c>
      <c r="AAO7">
        <v>0</v>
      </c>
      <c r="AAP7">
        <v>4000</v>
      </c>
      <c r="AAX7" s="130">
        <f t="shared" si="28"/>
        <v>8000</v>
      </c>
      <c r="ABO7">
        <v>4000</v>
      </c>
      <c r="ACD7" s="130">
        <f t="shared" si="29"/>
        <v>4000</v>
      </c>
      <c r="ACM7">
        <v>4000</v>
      </c>
      <c r="ADJ7" s="130">
        <f t="shared" si="30"/>
        <v>4000</v>
      </c>
      <c r="ADR7">
        <v>4000</v>
      </c>
      <c r="AEO7" s="130">
        <f t="shared" si="31"/>
        <v>4000</v>
      </c>
      <c r="AEY7">
        <v>4000</v>
      </c>
      <c r="AFU7" s="130">
        <f t="shared" si="32"/>
        <v>4000</v>
      </c>
      <c r="AFZ7">
        <v>4000</v>
      </c>
      <c r="AGZ7" s="130">
        <f t="shared" si="33"/>
        <v>4000</v>
      </c>
      <c r="AIF7" s="145">
        <f t="shared" si="34"/>
        <v>0</v>
      </c>
      <c r="AIJ7">
        <v>4000</v>
      </c>
      <c r="AJB7">
        <v>4000</v>
      </c>
      <c r="AJL7" s="145">
        <f t="shared" si="35"/>
        <v>8000</v>
      </c>
      <c r="AJQ7">
        <v>4000</v>
      </c>
      <c r="AKO7" s="145">
        <f t="shared" si="36"/>
        <v>4000</v>
      </c>
      <c r="ALU7" s="145">
        <f t="shared" si="37"/>
        <v>0</v>
      </c>
      <c r="AMR7">
        <v>4000</v>
      </c>
      <c r="AMZ7" s="145">
        <f t="shared" si="38"/>
        <v>4000</v>
      </c>
    </row>
    <row r="8" spans="1:1070" x14ac:dyDescent="0.2">
      <c r="A8" s="160"/>
      <c r="B8" s="5" t="s">
        <v>1347</v>
      </c>
      <c r="C8" s="22"/>
      <c r="D8" s="22"/>
      <c r="E8" s="22">
        <v>33000</v>
      </c>
      <c r="F8" s="22"/>
      <c r="G8" s="22"/>
      <c r="H8" s="22">
        <v>0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>
        <v>18000</v>
      </c>
      <c r="Y8" s="22"/>
      <c r="Z8" s="22">
        <v>19000</v>
      </c>
      <c r="AA8" s="22"/>
      <c r="AB8" s="22"/>
      <c r="AC8" s="22"/>
      <c r="AD8" s="22">
        <v>4000</v>
      </c>
      <c r="AE8" s="22">
        <v>33000</v>
      </c>
      <c r="AF8" s="22"/>
      <c r="AG8" s="22"/>
      <c r="AH8" s="22">
        <f t="shared" si="9"/>
        <v>107000</v>
      </c>
      <c r="AI8" s="52"/>
      <c r="AJ8" s="52"/>
      <c r="AK8" s="52"/>
      <c r="AL8" s="52"/>
      <c r="AM8" s="52"/>
      <c r="AN8" s="52"/>
      <c r="AO8" s="52">
        <v>7000</v>
      </c>
      <c r="AP8" s="52"/>
      <c r="AQ8" s="52"/>
      <c r="AR8" s="52"/>
      <c r="AS8" s="52">
        <v>14000</v>
      </c>
      <c r="AT8" s="52"/>
      <c r="AU8" s="52">
        <v>6000</v>
      </c>
      <c r="AV8" s="52">
        <v>6000</v>
      </c>
      <c r="AW8" s="52">
        <v>10000</v>
      </c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>
        <v>58000</v>
      </c>
      <c r="BM8" s="52">
        <f t="shared" si="39"/>
        <v>101000</v>
      </c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>
        <v>2000</v>
      </c>
      <c r="CB8" s="52"/>
      <c r="CC8" s="52"/>
      <c r="CD8" s="52"/>
      <c r="CE8" s="52"/>
      <c r="CF8" s="52"/>
      <c r="CG8">
        <v>5000</v>
      </c>
      <c r="CS8" s="110">
        <f t="shared" si="10"/>
        <v>7000</v>
      </c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117"/>
      <c r="FD8" s="126">
        <f t="shared" si="11"/>
        <v>0</v>
      </c>
      <c r="GJ8" s="130"/>
      <c r="HE8">
        <v>6000</v>
      </c>
      <c r="HF8">
        <v>14000</v>
      </c>
      <c r="HN8" s="130">
        <f t="shared" si="12"/>
        <v>20000</v>
      </c>
      <c r="IJ8">
        <v>12000</v>
      </c>
      <c r="IT8" s="130">
        <f t="shared" si="13"/>
        <v>12000</v>
      </c>
      <c r="JE8">
        <v>10000</v>
      </c>
      <c r="JS8">
        <v>8000</v>
      </c>
      <c r="JY8" s="130">
        <f t="shared" si="14"/>
        <v>18000</v>
      </c>
      <c r="LE8" s="130">
        <f t="shared" si="15"/>
        <v>0</v>
      </c>
      <c r="MJ8" s="130">
        <f t="shared" si="16"/>
        <v>0</v>
      </c>
      <c r="NP8" s="130">
        <f t="shared" si="17"/>
        <v>0</v>
      </c>
      <c r="NY8">
        <v>4000</v>
      </c>
      <c r="OE8">
        <v>13000</v>
      </c>
      <c r="OT8">
        <v>8000</v>
      </c>
      <c r="OV8" s="130">
        <f t="shared" si="18"/>
        <v>25000</v>
      </c>
      <c r="QA8" s="130">
        <f t="shared" si="19"/>
        <v>0</v>
      </c>
      <c r="QK8">
        <v>20000</v>
      </c>
      <c r="RG8" s="130">
        <f t="shared" si="20"/>
        <v>20000</v>
      </c>
      <c r="SM8" s="130">
        <f t="shared" si="21"/>
        <v>0</v>
      </c>
      <c r="SO8">
        <v>6500</v>
      </c>
      <c r="SP8">
        <v>12500</v>
      </c>
      <c r="TS8" s="130">
        <f t="shared" si="22"/>
        <v>19000</v>
      </c>
      <c r="UR8">
        <v>4000</v>
      </c>
      <c r="UY8" s="130">
        <f t="shared" si="23"/>
        <v>4000</v>
      </c>
      <c r="WB8" s="130">
        <f t="shared" si="24"/>
        <v>0</v>
      </c>
      <c r="WT8">
        <v>10000</v>
      </c>
      <c r="XH8" s="130">
        <f t="shared" si="25"/>
        <v>10000</v>
      </c>
      <c r="XI8">
        <v>20000</v>
      </c>
      <c r="XR8">
        <v>12000</v>
      </c>
      <c r="YM8" s="130">
        <f t="shared" si="26"/>
        <v>12000</v>
      </c>
      <c r="YS8">
        <v>14000</v>
      </c>
      <c r="ZS8" s="130">
        <f t="shared" si="27"/>
        <v>14000</v>
      </c>
      <c r="AAD8">
        <v>14000</v>
      </c>
      <c r="AAX8" s="130">
        <f t="shared" si="28"/>
        <v>14000</v>
      </c>
      <c r="AAZ8">
        <v>16000</v>
      </c>
      <c r="ABB8">
        <v>2000</v>
      </c>
      <c r="ABE8">
        <v>2000</v>
      </c>
      <c r="ABF8">
        <v>2000</v>
      </c>
      <c r="ABG8">
        <v>2000</v>
      </c>
      <c r="ABL8">
        <v>2000</v>
      </c>
      <c r="ABM8">
        <v>2000</v>
      </c>
      <c r="ABN8">
        <v>2000</v>
      </c>
      <c r="ABO8">
        <v>2000</v>
      </c>
      <c r="ABP8">
        <v>2000</v>
      </c>
      <c r="ABQ8">
        <v>2000</v>
      </c>
      <c r="ABS8">
        <v>2000</v>
      </c>
      <c r="ABU8">
        <v>2000</v>
      </c>
      <c r="ABV8">
        <v>2000</v>
      </c>
      <c r="ABW8">
        <v>2000</v>
      </c>
      <c r="ABX8">
        <v>2000</v>
      </c>
      <c r="ACA8">
        <v>2000</v>
      </c>
      <c r="ACB8">
        <v>2000</v>
      </c>
      <c r="ACC8">
        <v>2000</v>
      </c>
      <c r="ACD8" s="130">
        <f t="shared" si="29"/>
        <v>52000</v>
      </c>
      <c r="ACE8">
        <v>2000</v>
      </c>
      <c r="ACF8">
        <v>2000</v>
      </c>
      <c r="ACH8">
        <v>2000</v>
      </c>
      <c r="ACI8">
        <v>2000</v>
      </c>
      <c r="ACJ8">
        <v>2000</v>
      </c>
      <c r="ACK8">
        <v>2000</v>
      </c>
      <c r="ACL8">
        <v>2000</v>
      </c>
      <c r="ACQ8">
        <v>2000</v>
      </c>
      <c r="ACR8">
        <v>2000</v>
      </c>
      <c r="ACS8">
        <v>2000</v>
      </c>
      <c r="ACT8">
        <v>2000</v>
      </c>
      <c r="ACV8">
        <v>4000</v>
      </c>
      <c r="ACW8">
        <v>2000</v>
      </c>
      <c r="ACX8">
        <v>2000</v>
      </c>
      <c r="ACY8">
        <v>2000</v>
      </c>
      <c r="ACZ8">
        <v>2000</v>
      </c>
      <c r="ADA8">
        <v>2000</v>
      </c>
      <c r="ADC8">
        <v>2000</v>
      </c>
      <c r="ADD8">
        <v>2000</v>
      </c>
      <c r="ADE8">
        <v>2000</v>
      </c>
      <c r="ADF8">
        <v>2000</v>
      </c>
      <c r="ADG8">
        <v>2000</v>
      </c>
      <c r="ADH8">
        <v>2000</v>
      </c>
      <c r="ADJ8" s="130">
        <f t="shared" si="30"/>
        <v>48000</v>
      </c>
      <c r="ADK8">
        <v>4000</v>
      </c>
      <c r="ADM8">
        <v>2000</v>
      </c>
      <c r="ADN8">
        <v>2000</v>
      </c>
      <c r="ADO8">
        <v>2000</v>
      </c>
      <c r="ADP8">
        <v>2000</v>
      </c>
      <c r="ADR8">
        <v>4000</v>
      </c>
      <c r="ADS8">
        <v>0</v>
      </c>
      <c r="ADT8">
        <v>2000</v>
      </c>
      <c r="ADV8">
        <v>2000</v>
      </c>
      <c r="ADW8">
        <v>2000</v>
      </c>
      <c r="ADY8">
        <v>2000</v>
      </c>
      <c r="AEA8">
        <v>2000</v>
      </c>
      <c r="AEB8">
        <v>26000</v>
      </c>
      <c r="AEC8">
        <v>2000</v>
      </c>
      <c r="AEH8">
        <v>2000</v>
      </c>
      <c r="AEI8">
        <v>2000</v>
      </c>
      <c r="AEJ8">
        <v>2000</v>
      </c>
      <c r="AEK8">
        <v>2000</v>
      </c>
      <c r="AEM8">
        <v>2000</v>
      </c>
      <c r="AEN8">
        <v>2000</v>
      </c>
      <c r="AEO8" s="130">
        <f t="shared" si="31"/>
        <v>66000</v>
      </c>
      <c r="AEP8">
        <v>2000</v>
      </c>
      <c r="AEQ8">
        <v>2000</v>
      </c>
      <c r="AER8">
        <v>2000</v>
      </c>
      <c r="AES8">
        <v>2000</v>
      </c>
      <c r="AEU8">
        <v>2000</v>
      </c>
      <c r="AEV8">
        <v>2000</v>
      </c>
      <c r="AEW8">
        <v>2000</v>
      </c>
      <c r="AEX8">
        <v>2000</v>
      </c>
      <c r="AEY8">
        <v>2000</v>
      </c>
      <c r="AEZ8">
        <v>2000</v>
      </c>
      <c r="AFB8">
        <v>2000</v>
      </c>
      <c r="AFC8">
        <v>2000</v>
      </c>
      <c r="AFD8">
        <v>2000</v>
      </c>
      <c r="AFE8">
        <v>2000</v>
      </c>
      <c r="AFF8">
        <v>2000</v>
      </c>
      <c r="AFG8">
        <v>2000</v>
      </c>
      <c r="AFI8">
        <v>2000</v>
      </c>
      <c r="AFJ8">
        <v>2000</v>
      </c>
      <c r="AFK8">
        <v>2000</v>
      </c>
      <c r="AFL8">
        <v>2000</v>
      </c>
      <c r="AFM8">
        <v>2000</v>
      </c>
      <c r="AFN8">
        <v>2000</v>
      </c>
      <c r="AFP8">
        <v>2000</v>
      </c>
      <c r="AFQ8">
        <v>2000</v>
      </c>
      <c r="AFR8">
        <v>2000</v>
      </c>
      <c r="AFS8">
        <v>2000</v>
      </c>
      <c r="AFT8">
        <v>4000</v>
      </c>
      <c r="AFU8" s="130">
        <f t="shared" si="32"/>
        <v>56000</v>
      </c>
      <c r="AFW8">
        <v>7000</v>
      </c>
      <c r="AFY8">
        <v>4000</v>
      </c>
      <c r="AFZ8">
        <v>4000</v>
      </c>
      <c r="AGA8">
        <v>2000</v>
      </c>
      <c r="AGB8">
        <v>2000</v>
      </c>
      <c r="AGC8">
        <v>2000</v>
      </c>
      <c r="AGE8">
        <v>14000</v>
      </c>
      <c r="AGF8">
        <v>2000</v>
      </c>
      <c r="AGG8">
        <v>2000</v>
      </c>
      <c r="AGH8">
        <v>2000</v>
      </c>
      <c r="AGI8">
        <v>2000</v>
      </c>
      <c r="AGJ8">
        <v>2000</v>
      </c>
      <c r="AGL8">
        <v>2000</v>
      </c>
      <c r="AGM8">
        <v>2000</v>
      </c>
      <c r="AGN8">
        <v>2000</v>
      </c>
      <c r="AGO8">
        <v>2000</v>
      </c>
      <c r="AGT8">
        <v>2000</v>
      </c>
      <c r="AGU8">
        <v>2000</v>
      </c>
      <c r="AGV8">
        <v>4000</v>
      </c>
      <c r="AGW8">
        <v>2000</v>
      </c>
      <c r="AGX8">
        <v>12000</v>
      </c>
      <c r="AGZ8" s="130">
        <f t="shared" si="33"/>
        <v>75000</v>
      </c>
      <c r="AHA8">
        <v>2000</v>
      </c>
      <c r="AHB8">
        <v>2000</v>
      </c>
      <c r="AHC8">
        <v>2000</v>
      </c>
      <c r="AHD8">
        <v>2000</v>
      </c>
      <c r="AHE8">
        <v>2000</v>
      </c>
      <c r="AHF8">
        <v>2000</v>
      </c>
      <c r="AHG8">
        <v>18000</v>
      </c>
      <c r="AHH8">
        <v>16000</v>
      </c>
      <c r="AHI8">
        <v>2000</v>
      </c>
      <c r="AHJ8">
        <v>2000</v>
      </c>
      <c r="AHK8">
        <v>2000</v>
      </c>
      <c r="AHL8">
        <v>2000</v>
      </c>
      <c r="AHM8">
        <v>2000</v>
      </c>
      <c r="AHO8">
        <v>2000</v>
      </c>
      <c r="AHP8">
        <v>2000</v>
      </c>
      <c r="AHQ8">
        <v>2000</v>
      </c>
      <c r="AHR8">
        <v>2000</v>
      </c>
      <c r="AHS8">
        <v>2000</v>
      </c>
      <c r="AHV8">
        <v>2000</v>
      </c>
      <c r="AHW8">
        <v>2000</v>
      </c>
      <c r="AHX8">
        <v>2000</v>
      </c>
      <c r="AHZ8">
        <v>2000</v>
      </c>
      <c r="AIA8">
        <v>2000</v>
      </c>
      <c r="AIC8">
        <v>2000</v>
      </c>
      <c r="AID8">
        <v>2000</v>
      </c>
      <c r="AIE8">
        <v>2000</v>
      </c>
      <c r="AIF8" s="145">
        <f t="shared" si="34"/>
        <v>82000</v>
      </c>
      <c r="AIG8">
        <v>0</v>
      </c>
      <c r="AII8">
        <v>2000</v>
      </c>
      <c r="AIK8">
        <v>2000</v>
      </c>
      <c r="AIL8">
        <v>2000</v>
      </c>
      <c r="AIM8">
        <v>2000</v>
      </c>
      <c r="AIN8">
        <v>2000</v>
      </c>
      <c r="AIO8">
        <v>2000</v>
      </c>
      <c r="AIR8">
        <v>2000</v>
      </c>
      <c r="AIS8">
        <v>2000</v>
      </c>
      <c r="AIT8">
        <v>0</v>
      </c>
      <c r="AIY8">
        <v>2000</v>
      </c>
      <c r="AIZ8">
        <v>2000</v>
      </c>
      <c r="AJA8">
        <v>2000</v>
      </c>
      <c r="AJB8">
        <v>2000</v>
      </c>
      <c r="AJC8">
        <v>2000</v>
      </c>
      <c r="AJD8">
        <v>2000</v>
      </c>
      <c r="AJF8">
        <v>2000</v>
      </c>
      <c r="AJG8">
        <v>2000</v>
      </c>
      <c r="AJH8">
        <v>2000</v>
      </c>
      <c r="AJI8">
        <v>2000</v>
      </c>
      <c r="AJJ8">
        <v>2000</v>
      </c>
      <c r="AJK8">
        <v>2000</v>
      </c>
      <c r="AJL8" s="145">
        <f t="shared" si="35"/>
        <v>40000</v>
      </c>
      <c r="AJN8">
        <v>2000</v>
      </c>
      <c r="AJO8">
        <v>2000</v>
      </c>
      <c r="AJP8">
        <v>2000</v>
      </c>
      <c r="AJQ8">
        <v>2000</v>
      </c>
      <c r="AJR8">
        <v>2000</v>
      </c>
      <c r="AJS8">
        <v>10000</v>
      </c>
      <c r="AJT8">
        <v>0</v>
      </c>
      <c r="AJU8">
        <v>2000</v>
      </c>
      <c r="AJV8">
        <v>2000</v>
      </c>
      <c r="AJW8">
        <v>2000</v>
      </c>
      <c r="AJX8">
        <v>2000</v>
      </c>
      <c r="AJY8">
        <v>2000</v>
      </c>
      <c r="AJZ8">
        <v>10000</v>
      </c>
      <c r="AKB8">
        <v>2000</v>
      </c>
      <c r="AKC8">
        <v>2000</v>
      </c>
      <c r="AKD8">
        <v>2000</v>
      </c>
      <c r="AKE8">
        <v>2000</v>
      </c>
      <c r="AKF8">
        <v>2000</v>
      </c>
      <c r="AKG8">
        <v>10000</v>
      </c>
      <c r="AKI8">
        <v>2000</v>
      </c>
      <c r="AKJ8">
        <v>2000</v>
      </c>
      <c r="AKK8">
        <v>2000</v>
      </c>
      <c r="AKL8">
        <v>2000</v>
      </c>
      <c r="AKM8">
        <v>2000</v>
      </c>
      <c r="AKN8">
        <v>8000</v>
      </c>
      <c r="AKO8" s="145">
        <f t="shared" si="36"/>
        <v>78000</v>
      </c>
      <c r="ALL8">
        <v>2000</v>
      </c>
      <c r="ALO8">
        <v>0</v>
      </c>
      <c r="ALP8">
        <v>2000</v>
      </c>
      <c r="ALS8">
        <v>2000</v>
      </c>
      <c r="ALT8">
        <v>2000</v>
      </c>
      <c r="ALU8" s="145">
        <f t="shared" si="37"/>
        <v>8000</v>
      </c>
      <c r="ALV8">
        <v>2000</v>
      </c>
      <c r="ALW8">
        <v>2000</v>
      </c>
      <c r="ALX8">
        <v>2000</v>
      </c>
      <c r="ALY8">
        <v>2000</v>
      </c>
      <c r="AMA8">
        <v>2000</v>
      </c>
      <c r="AMB8">
        <v>2000</v>
      </c>
      <c r="AMC8">
        <v>2000</v>
      </c>
      <c r="AMD8">
        <v>2000</v>
      </c>
      <c r="AME8">
        <v>2000</v>
      </c>
      <c r="AMF8">
        <v>2000</v>
      </c>
      <c r="AMG8">
        <v>0</v>
      </c>
      <c r="AMH8">
        <v>2000</v>
      </c>
      <c r="AMI8">
        <v>2000</v>
      </c>
      <c r="AMJ8">
        <v>2000</v>
      </c>
      <c r="AMK8">
        <v>2000</v>
      </c>
      <c r="AML8">
        <v>2000</v>
      </c>
      <c r="AMP8">
        <v>2000</v>
      </c>
      <c r="AMQ8">
        <v>2000</v>
      </c>
      <c r="AMR8">
        <v>2000</v>
      </c>
      <c r="AMS8">
        <v>2000</v>
      </c>
      <c r="AMU8">
        <v>2000</v>
      </c>
      <c r="AMX8">
        <v>2000</v>
      </c>
      <c r="AMZ8" s="145">
        <f t="shared" si="38"/>
        <v>42000</v>
      </c>
      <c r="ANG8">
        <v>2000</v>
      </c>
      <c r="ANH8">
        <v>2000</v>
      </c>
      <c r="ANI8">
        <v>2000</v>
      </c>
      <c r="ANK8">
        <v>6000</v>
      </c>
      <c r="ANL8">
        <v>2000</v>
      </c>
      <c r="ANM8">
        <v>2000</v>
      </c>
      <c r="ANN8">
        <v>2000</v>
      </c>
      <c r="ANO8">
        <v>2000</v>
      </c>
      <c r="ANP8">
        <v>2000</v>
      </c>
      <c r="ANR8">
        <v>2000</v>
      </c>
      <c r="ANS8">
        <v>2000</v>
      </c>
      <c r="ANT8">
        <v>2000</v>
      </c>
      <c r="ANU8">
        <v>26000</v>
      </c>
      <c r="ANV8">
        <v>14000</v>
      </c>
      <c r="ANW8">
        <v>10000</v>
      </c>
      <c r="ANY8">
        <v>2000</v>
      </c>
      <c r="ANZ8">
        <v>2000</v>
      </c>
      <c r="AOB8">
        <v>2000</v>
      </c>
      <c r="AOC8">
        <v>2000</v>
      </c>
    </row>
    <row r="9" spans="1:1070" x14ac:dyDescent="0.2">
      <c r="A9" s="160"/>
      <c r="B9" s="5" t="s">
        <v>1348</v>
      </c>
      <c r="C9" s="22"/>
      <c r="D9" s="22"/>
      <c r="E9" s="22">
        <v>2000</v>
      </c>
      <c r="F9" s="22"/>
      <c r="G9" s="22"/>
      <c r="H9" s="22">
        <v>0</v>
      </c>
      <c r="I9" s="22">
        <v>2000</v>
      </c>
      <c r="J9" s="22"/>
      <c r="K9" s="22"/>
      <c r="L9" s="22"/>
      <c r="M9" s="22">
        <v>2000</v>
      </c>
      <c r="N9" s="22"/>
      <c r="O9" s="22"/>
      <c r="P9" s="22">
        <v>2000</v>
      </c>
      <c r="Q9" s="22"/>
      <c r="R9" s="22"/>
      <c r="S9" s="22">
        <v>2000</v>
      </c>
      <c r="T9" s="22"/>
      <c r="U9" s="22"/>
      <c r="V9" s="22"/>
      <c r="W9" s="22">
        <v>2000</v>
      </c>
      <c r="X9" s="22"/>
      <c r="Y9" s="22"/>
      <c r="Z9" s="22"/>
      <c r="AA9" s="22">
        <v>2000</v>
      </c>
      <c r="AB9" s="22"/>
      <c r="AC9" s="22">
        <v>2000</v>
      </c>
      <c r="AD9" s="22"/>
      <c r="AE9" s="22"/>
      <c r="AF9" s="22"/>
      <c r="AG9" s="22">
        <v>2000</v>
      </c>
      <c r="AH9" s="22">
        <f t="shared" si="9"/>
        <v>18000</v>
      </c>
      <c r="AI9" s="52"/>
      <c r="AJ9" s="52"/>
      <c r="AK9" s="52"/>
      <c r="AL9" s="52">
        <v>2000</v>
      </c>
      <c r="AM9" s="52"/>
      <c r="AN9" s="52"/>
      <c r="AO9" s="52"/>
      <c r="AP9" s="52">
        <v>2000</v>
      </c>
      <c r="AQ9" s="52"/>
      <c r="AR9" s="52"/>
      <c r="AS9" s="52">
        <v>2000</v>
      </c>
      <c r="AT9" s="52"/>
      <c r="AU9" s="52"/>
      <c r="AV9" s="52">
        <v>2000</v>
      </c>
      <c r="AW9" s="52"/>
      <c r="AX9" s="52">
        <v>1000</v>
      </c>
      <c r="AY9" s="52">
        <v>2000</v>
      </c>
      <c r="AZ9" s="52"/>
      <c r="BA9" s="52"/>
      <c r="BB9" s="52"/>
      <c r="BC9" s="52">
        <v>2000</v>
      </c>
      <c r="BD9" s="52"/>
      <c r="BE9" s="52">
        <v>1000</v>
      </c>
      <c r="BF9" s="52">
        <v>2000</v>
      </c>
      <c r="BG9" s="52"/>
      <c r="BH9" s="52"/>
      <c r="BI9" s="52"/>
      <c r="BJ9" s="52">
        <v>2000</v>
      </c>
      <c r="BK9" s="52"/>
      <c r="BL9" s="52">
        <v>1000</v>
      </c>
      <c r="BM9" s="52">
        <f t="shared" si="39"/>
        <v>19000</v>
      </c>
      <c r="BN9" s="52"/>
      <c r="BO9" s="52">
        <v>2000</v>
      </c>
      <c r="BP9" s="52"/>
      <c r="BQ9" s="52">
        <v>2000</v>
      </c>
      <c r="BR9" s="52"/>
      <c r="BS9" s="52">
        <v>1000</v>
      </c>
      <c r="BT9" s="52">
        <v>1000</v>
      </c>
      <c r="BU9" s="52">
        <v>0</v>
      </c>
      <c r="BV9" s="52">
        <v>2000</v>
      </c>
      <c r="BW9" s="52"/>
      <c r="BX9" s="52"/>
      <c r="BY9" s="52">
        <v>2000</v>
      </c>
      <c r="BZ9" s="52"/>
      <c r="CA9" s="52"/>
      <c r="CB9" s="52">
        <v>2000</v>
      </c>
      <c r="CC9" s="52"/>
      <c r="CD9" s="52"/>
      <c r="CE9" s="52"/>
      <c r="CF9" s="52"/>
      <c r="CG9">
        <v>2000</v>
      </c>
      <c r="CM9">
        <v>2000</v>
      </c>
      <c r="CQ9">
        <v>2000</v>
      </c>
      <c r="CS9" s="110">
        <f t="shared" si="10"/>
        <v>18000</v>
      </c>
      <c r="CT9" s="52"/>
      <c r="CU9" s="52"/>
      <c r="CV9" s="52">
        <v>2000</v>
      </c>
      <c r="CW9" s="52"/>
      <c r="CX9" s="52"/>
      <c r="CY9" s="52"/>
      <c r="CZ9" s="52"/>
      <c r="DA9" s="52"/>
      <c r="DB9" s="52"/>
      <c r="DC9" s="52"/>
      <c r="DD9" s="52"/>
      <c r="DE9" s="52"/>
      <c r="DF9" s="52">
        <v>2000</v>
      </c>
      <c r="DG9" s="52"/>
      <c r="DH9" s="52"/>
      <c r="DI9" s="52">
        <v>2000</v>
      </c>
      <c r="DJ9" s="52"/>
      <c r="DK9" s="52"/>
      <c r="DL9" s="52"/>
      <c r="DM9" s="52">
        <v>2000</v>
      </c>
      <c r="DN9" s="52"/>
      <c r="DO9" s="52"/>
      <c r="DP9" s="52">
        <v>3000</v>
      </c>
      <c r="DQ9" s="52"/>
      <c r="DR9" s="52"/>
      <c r="DS9" s="52"/>
      <c r="DT9" s="52">
        <v>2000</v>
      </c>
      <c r="DU9" s="52"/>
      <c r="DV9" s="52"/>
      <c r="DW9" s="52">
        <v>2000</v>
      </c>
      <c r="DX9" s="118">
        <f t="shared" ref="DX9:DX16" si="40">SUM(CT9:DW9)</f>
        <v>15000</v>
      </c>
      <c r="EB9">
        <v>2000</v>
      </c>
      <c r="EF9">
        <v>2000</v>
      </c>
      <c r="EI9">
        <v>2000</v>
      </c>
      <c r="EL9">
        <v>2000</v>
      </c>
      <c r="EN9">
        <v>2000</v>
      </c>
      <c r="EQ9">
        <v>2000</v>
      </c>
      <c r="ES9">
        <v>2000</v>
      </c>
      <c r="ET9">
        <v>0</v>
      </c>
      <c r="EU9">
        <v>2000</v>
      </c>
      <c r="EX9">
        <v>2000</v>
      </c>
      <c r="EZ9">
        <v>2000</v>
      </c>
      <c r="FB9">
        <v>2000</v>
      </c>
      <c r="FD9" s="126">
        <f t="shared" si="11"/>
        <v>22000</v>
      </c>
      <c r="FE9">
        <v>2000</v>
      </c>
      <c r="FH9">
        <v>2000</v>
      </c>
      <c r="FK9">
        <v>2000</v>
      </c>
      <c r="FN9">
        <v>2000</v>
      </c>
      <c r="FS9">
        <v>2000</v>
      </c>
      <c r="FU9">
        <v>2000</v>
      </c>
      <c r="FW9">
        <v>2000</v>
      </c>
      <c r="FY9">
        <v>2000</v>
      </c>
      <c r="GB9">
        <v>2000</v>
      </c>
      <c r="GD9">
        <v>2000</v>
      </c>
      <c r="GG9">
        <v>2000</v>
      </c>
      <c r="GJ9" s="130">
        <f>SUM(FE9:GI9)</f>
        <v>22000</v>
      </c>
      <c r="GK9">
        <v>2000</v>
      </c>
      <c r="GN9">
        <v>2000</v>
      </c>
      <c r="GP9">
        <v>2000</v>
      </c>
      <c r="GS9">
        <v>2000</v>
      </c>
      <c r="GV9">
        <v>2000</v>
      </c>
      <c r="GX9">
        <v>2000</v>
      </c>
      <c r="GZ9">
        <v>2000</v>
      </c>
      <c r="HB9">
        <v>2000</v>
      </c>
      <c r="HE9">
        <v>2000</v>
      </c>
      <c r="HG9">
        <v>2000</v>
      </c>
      <c r="HJ9">
        <v>2000</v>
      </c>
      <c r="HL9">
        <v>2000</v>
      </c>
      <c r="HN9" s="130">
        <f t="shared" si="12"/>
        <v>24000</v>
      </c>
      <c r="HO9">
        <v>2000</v>
      </c>
      <c r="HR9">
        <v>2000</v>
      </c>
      <c r="HT9">
        <v>2000</v>
      </c>
      <c r="HV9">
        <v>2000</v>
      </c>
      <c r="HY9">
        <v>2000</v>
      </c>
      <c r="IA9">
        <v>2000</v>
      </c>
      <c r="IC9">
        <v>2000</v>
      </c>
      <c r="IE9">
        <v>2000</v>
      </c>
      <c r="IH9">
        <v>2000</v>
      </c>
      <c r="IJ9">
        <v>2000</v>
      </c>
      <c r="IL9">
        <v>2000</v>
      </c>
      <c r="IO9">
        <v>2000</v>
      </c>
      <c r="IQ9">
        <v>2000</v>
      </c>
      <c r="IS9">
        <v>2000</v>
      </c>
      <c r="IT9" s="130">
        <f t="shared" si="13"/>
        <v>28000</v>
      </c>
      <c r="IZ9">
        <v>2000</v>
      </c>
      <c r="JB9">
        <v>2000</v>
      </c>
      <c r="JE9">
        <v>2000</v>
      </c>
      <c r="JI9">
        <v>2000</v>
      </c>
      <c r="JK9">
        <v>2000</v>
      </c>
      <c r="JO9">
        <v>2000</v>
      </c>
      <c r="JQ9">
        <v>2000</v>
      </c>
      <c r="JT9">
        <v>2000</v>
      </c>
      <c r="JV9">
        <v>2000</v>
      </c>
      <c r="JY9" s="130">
        <f t="shared" si="14"/>
        <v>18000</v>
      </c>
      <c r="JZ9">
        <v>2000</v>
      </c>
      <c r="KB9">
        <v>2000</v>
      </c>
      <c r="KF9">
        <v>2000</v>
      </c>
      <c r="KI9">
        <v>2000</v>
      </c>
      <c r="KK9">
        <v>2000</v>
      </c>
      <c r="KM9">
        <v>2000</v>
      </c>
      <c r="KP9">
        <v>2000</v>
      </c>
      <c r="KR9">
        <v>2000</v>
      </c>
      <c r="KT9">
        <v>2000</v>
      </c>
      <c r="KW9">
        <v>2000</v>
      </c>
      <c r="LA9">
        <v>2000</v>
      </c>
      <c r="LD9">
        <v>2000</v>
      </c>
      <c r="LE9" s="130">
        <f t="shared" si="15"/>
        <v>22000</v>
      </c>
      <c r="LJ9">
        <v>2000</v>
      </c>
      <c r="LL9">
        <v>2000</v>
      </c>
      <c r="LN9">
        <v>0</v>
      </c>
      <c r="LO9">
        <v>2000</v>
      </c>
      <c r="LQ9">
        <v>2000</v>
      </c>
      <c r="LS9">
        <v>2000</v>
      </c>
      <c r="LV9">
        <v>2000</v>
      </c>
      <c r="LX9">
        <v>2000</v>
      </c>
      <c r="LZ9">
        <v>2000</v>
      </c>
      <c r="MC9">
        <v>2000</v>
      </c>
      <c r="ME9">
        <v>2000</v>
      </c>
      <c r="MG9">
        <v>2000</v>
      </c>
      <c r="MJ9" s="130">
        <f t="shared" si="16"/>
        <v>22000</v>
      </c>
      <c r="MK9">
        <v>2000</v>
      </c>
      <c r="MM9">
        <v>2000</v>
      </c>
      <c r="MO9">
        <v>2000</v>
      </c>
      <c r="MU9">
        <v>2000</v>
      </c>
      <c r="MX9">
        <v>2000</v>
      </c>
      <c r="NC9">
        <v>2000</v>
      </c>
      <c r="NF9">
        <v>2000</v>
      </c>
      <c r="NH9">
        <v>2000</v>
      </c>
      <c r="NJ9">
        <v>2000</v>
      </c>
      <c r="NM9">
        <v>2000</v>
      </c>
      <c r="NO9">
        <v>2000</v>
      </c>
      <c r="NP9" s="130">
        <f t="shared" si="17"/>
        <v>20000</v>
      </c>
      <c r="NV9">
        <v>2000</v>
      </c>
      <c r="NY9">
        <v>2000</v>
      </c>
      <c r="OB9">
        <v>2000</v>
      </c>
      <c r="OD9">
        <v>2000</v>
      </c>
      <c r="OF9">
        <v>2000</v>
      </c>
      <c r="OI9">
        <v>2000</v>
      </c>
      <c r="OK9">
        <v>2000</v>
      </c>
      <c r="OP9">
        <v>2000</v>
      </c>
      <c r="OR9">
        <v>2000</v>
      </c>
      <c r="OT9">
        <v>2000</v>
      </c>
      <c r="OV9" s="130">
        <f t="shared" si="18"/>
        <v>20000</v>
      </c>
      <c r="OX9">
        <v>2000</v>
      </c>
      <c r="OZ9">
        <v>2000</v>
      </c>
      <c r="PB9">
        <v>2000</v>
      </c>
      <c r="PE9">
        <v>2000</v>
      </c>
      <c r="PG9">
        <v>2000</v>
      </c>
      <c r="PI9">
        <v>2000</v>
      </c>
      <c r="PL9">
        <v>2000</v>
      </c>
      <c r="PN9">
        <v>2000</v>
      </c>
      <c r="PP9">
        <v>2000</v>
      </c>
      <c r="PW9">
        <v>2000</v>
      </c>
      <c r="PZ9">
        <v>2000</v>
      </c>
      <c r="QA9" s="130">
        <f t="shared" si="19"/>
        <v>22000</v>
      </c>
      <c r="QC9">
        <v>2000</v>
      </c>
      <c r="QE9">
        <v>2000</v>
      </c>
      <c r="QH9">
        <v>2000</v>
      </c>
      <c r="QJ9">
        <v>2000</v>
      </c>
      <c r="QL9">
        <v>2000</v>
      </c>
      <c r="QO9">
        <v>2000</v>
      </c>
      <c r="QQ9">
        <v>2000</v>
      </c>
      <c r="QS9">
        <v>2000</v>
      </c>
      <c r="QV9">
        <v>2000</v>
      </c>
      <c r="QX9">
        <v>2000</v>
      </c>
      <c r="QZ9">
        <v>2000</v>
      </c>
      <c r="RC9">
        <v>2000</v>
      </c>
      <c r="RE9">
        <v>2000</v>
      </c>
      <c r="RG9" s="130">
        <f t="shared" si="20"/>
        <v>26000</v>
      </c>
      <c r="RH9">
        <v>2000</v>
      </c>
      <c r="RK9">
        <v>2000</v>
      </c>
      <c r="RM9">
        <v>2000</v>
      </c>
      <c r="RO9">
        <v>2000</v>
      </c>
      <c r="RR9">
        <v>5000</v>
      </c>
      <c r="RT9">
        <v>2000</v>
      </c>
      <c r="RV9">
        <v>2000</v>
      </c>
      <c r="RY9">
        <v>2000</v>
      </c>
      <c r="SA9">
        <v>2000</v>
      </c>
      <c r="SC9">
        <v>2000</v>
      </c>
      <c r="SF9">
        <v>2000</v>
      </c>
      <c r="SH9">
        <v>2000</v>
      </c>
      <c r="SJ9">
        <v>2000</v>
      </c>
      <c r="SM9" s="130">
        <f t="shared" si="21"/>
        <v>27000</v>
      </c>
      <c r="SO9">
        <v>2000</v>
      </c>
      <c r="SQ9">
        <v>2000</v>
      </c>
      <c r="SS9">
        <v>2000</v>
      </c>
      <c r="SV9">
        <v>2000</v>
      </c>
      <c r="SX9">
        <v>2000</v>
      </c>
      <c r="SZ9">
        <v>2000</v>
      </c>
      <c r="TA9">
        <v>0</v>
      </c>
      <c r="TC9">
        <v>2000</v>
      </c>
      <c r="TE9">
        <v>2000</v>
      </c>
      <c r="TJ9">
        <v>2000</v>
      </c>
      <c r="TL9">
        <v>2000</v>
      </c>
      <c r="TQ9">
        <v>2000</v>
      </c>
      <c r="TS9" s="130">
        <f t="shared" si="22"/>
        <v>22000</v>
      </c>
      <c r="TT9">
        <v>2000</v>
      </c>
      <c r="TV9">
        <v>2000</v>
      </c>
      <c r="TY9">
        <v>2000</v>
      </c>
      <c r="UA9">
        <v>2000</v>
      </c>
      <c r="UC9">
        <v>2000</v>
      </c>
      <c r="UF9">
        <v>2000</v>
      </c>
      <c r="UH9">
        <v>2000</v>
      </c>
      <c r="UJ9">
        <v>2000</v>
      </c>
      <c r="UM9">
        <v>2000</v>
      </c>
      <c r="UO9">
        <v>2000</v>
      </c>
      <c r="UQ9">
        <v>2000</v>
      </c>
      <c r="UT9">
        <v>2000</v>
      </c>
      <c r="UV9">
        <v>5000</v>
      </c>
      <c r="UX9">
        <v>2000</v>
      </c>
      <c r="UY9" s="130">
        <f t="shared" si="23"/>
        <v>29000</v>
      </c>
      <c r="VB9">
        <v>2000</v>
      </c>
      <c r="VD9">
        <v>2000</v>
      </c>
      <c r="VF9">
        <v>2000</v>
      </c>
      <c r="VK9">
        <v>2000</v>
      </c>
      <c r="VM9">
        <v>2000</v>
      </c>
      <c r="VR9">
        <v>2000</v>
      </c>
      <c r="VT9">
        <v>2000</v>
      </c>
      <c r="VW9">
        <v>2000</v>
      </c>
      <c r="VY9">
        <v>2000</v>
      </c>
      <c r="WA9">
        <v>2000</v>
      </c>
      <c r="WB9" s="130">
        <f t="shared" si="24"/>
        <v>20000</v>
      </c>
      <c r="WE9">
        <v>2000</v>
      </c>
      <c r="WG9">
        <v>2000</v>
      </c>
      <c r="WL9">
        <v>2000</v>
      </c>
      <c r="WS9">
        <v>2000</v>
      </c>
      <c r="WU9">
        <v>2000</v>
      </c>
      <c r="WW9">
        <v>2000</v>
      </c>
      <c r="WY9">
        <v>0</v>
      </c>
      <c r="WZ9">
        <v>2000</v>
      </c>
      <c r="XB9">
        <v>2000</v>
      </c>
      <c r="XD9">
        <v>2000</v>
      </c>
      <c r="XH9" s="130">
        <f t="shared" si="25"/>
        <v>16000</v>
      </c>
      <c r="XJ9">
        <v>2000</v>
      </c>
      <c r="XL9">
        <v>2000</v>
      </c>
      <c r="XQ9">
        <v>2000</v>
      </c>
      <c r="XS9">
        <v>2000</v>
      </c>
      <c r="XV9">
        <v>2000</v>
      </c>
      <c r="XX9">
        <v>2000</v>
      </c>
      <c r="XZ9">
        <v>2000</v>
      </c>
      <c r="YB9">
        <v>2000</v>
      </c>
      <c r="YE9">
        <v>2000</v>
      </c>
      <c r="YG9">
        <v>2000</v>
      </c>
      <c r="YJ9">
        <v>2000</v>
      </c>
      <c r="YL9">
        <v>2000</v>
      </c>
      <c r="YM9" s="130">
        <f t="shared" si="26"/>
        <v>22000</v>
      </c>
      <c r="ZB9">
        <v>2000</v>
      </c>
      <c r="ZF9">
        <v>2000</v>
      </c>
      <c r="ZH9">
        <v>5000</v>
      </c>
      <c r="ZJ9">
        <v>2000</v>
      </c>
      <c r="ZM9">
        <v>2000</v>
      </c>
      <c r="ZN9">
        <v>0</v>
      </c>
      <c r="ZO9">
        <v>2000</v>
      </c>
      <c r="ZQ9">
        <v>2000</v>
      </c>
      <c r="ZS9" s="130">
        <f t="shared" si="27"/>
        <v>17000</v>
      </c>
      <c r="ZU9">
        <v>2000</v>
      </c>
      <c r="ZW9">
        <v>2000</v>
      </c>
      <c r="AAB9">
        <v>2000</v>
      </c>
      <c r="AAD9">
        <v>2000</v>
      </c>
      <c r="AAF9">
        <v>2000</v>
      </c>
      <c r="AAI9">
        <v>2000</v>
      </c>
      <c r="AAM9">
        <v>2000</v>
      </c>
      <c r="AAO9">
        <v>0</v>
      </c>
      <c r="AAP9">
        <v>2000</v>
      </c>
      <c r="AAR9">
        <v>2000</v>
      </c>
      <c r="AAT9">
        <v>2000</v>
      </c>
      <c r="AAW9">
        <v>2000</v>
      </c>
      <c r="AAX9" s="130">
        <f t="shared" si="28"/>
        <v>22000</v>
      </c>
      <c r="ABB9">
        <v>2000</v>
      </c>
      <c r="ABE9">
        <v>2000</v>
      </c>
      <c r="ABI9">
        <v>2000</v>
      </c>
      <c r="ABL9">
        <v>2000</v>
      </c>
      <c r="ABS9">
        <v>20000</v>
      </c>
      <c r="ABW9">
        <v>2000</v>
      </c>
      <c r="ABY9">
        <v>0</v>
      </c>
      <c r="ABZ9">
        <v>2000</v>
      </c>
      <c r="ACB9">
        <v>2000</v>
      </c>
      <c r="ACD9" s="130">
        <f t="shared" si="29"/>
        <v>34000</v>
      </c>
      <c r="ACE9">
        <v>2000</v>
      </c>
      <c r="ACH9">
        <v>2000</v>
      </c>
      <c r="ACJ9">
        <v>2000</v>
      </c>
      <c r="ACS9">
        <v>2000</v>
      </c>
      <c r="ACV9">
        <v>2000</v>
      </c>
      <c r="ACX9">
        <v>2000</v>
      </c>
      <c r="ACZ9">
        <v>2000</v>
      </c>
      <c r="ADC9">
        <v>2000</v>
      </c>
      <c r="ADE9">
        <v>2000</v>
      </c>
      <c r="ADG9">
        <v>2000</v>
      </c>
      <c r="ADJ9" s="130">
        <f t="shared" si="30"/>
        <v>20000</v>
      </c>
      <c r="ADK9">
        <v>2000</v>
      </c>
      <c r="ADL9">
        <v>2000</v>
      </c>
      <c r="ADM9">
        <v>2000</v>
      </c>
      <c r="ADO9">
        <v>2000</v>
      </c>
      <c r="ADR9">
        <v>4000</v>
      </c>
      <c r="ADT9">
        <v>2000</v>
      </c>
      <c r="ADV9">
        <v>2000</v>
      </c>
      <c r="ADY9">
        <v>2000</v>
      </c>
      <c r="AEA9">
        <v>2000</v>
      </c>
      <c r="AEC9">
        <v>2000</v>
      </c>
      <c r="AEH9">
        <v>2000</v>
      </c>
      <c r="AEJ9">
        <v>2000</v>
      </c>
      <c r="AEK9">
        <v>15000</v>
      </c>
      <c r="AEM9">
        <v>2000</v>
      </c>
      <c r="AEO9" s="130">
        <f t="shared" si="31"/>
        <v>43000</v>
      </c>
      <c r="AEP9">
        <v>2000</v>
      </c>
      <c r="AEQ9">
        <v>5000</v>
      </c>
      <c r="AER9">
        <v>2000</v>
      </c>
      <c r="AEU9">
        <v>2000</v>
      </c>
      <c r="AEY9">
        <v>2000</v>
      </c>
      <c r="AFB9">
        <v>2000</v>
      </c>
      <c r="AFE9">
        <v>2000</v>
      </c>
      <c r="AFK9">
        <v>2000</v>
      </c>
      <c r="AFM9">
        <v>2000</v>
      </c>
      <c r="AFP9">
        <v>2000</v>
      </c>
      <c r="AFU9" s="130">
        <f t="shared" si="32"/>
        <v>23000</v>
      </c>
      <c r="AFZ9">
        <v>2000</v>
      </c>
      <c r="AGD9">
        <v>15000</v>
      </c>
      <c r="AGE9">
        <v>2000</v>
      </c>
      <c r="AGI9">
        <v>2000</v>
      </c>
      <c r="AGL9">
        <v>2000</v>
      </c>
      <c r="AGO9">
        <v>2000</v>
      </c>
      <c r="AGT9">
        <v>2000</v>
      </c>
      <c r="AGW9">
        <v>2000</v>
      </c>
      <c r="AGZ9" s="130">
        <f t="shared" si="33"/>
        <v>29000</v>
      </c>
      <c r="AHA9">
        <v>2000</v>
      </c>
      <c r="AHC9">
        <v>2000</v>
      </c>
      <c r="AHD9">
        <v>10000</v>
      </c>
      <c r="AHE9">
        <v>2000</v>
      </c>
      <c r="AHH9">
        <v>2000</v>
      </c>
      <c r="AHJ9">
        <v>2000</v>
      </c>
      <c r="AHK9">
        <v>2000</v>
      </c>
      <c r="AHO9">
        <v>2000</v>
      </c>
      <c r="AHQ9">
        <v>2000</v>
      </c>
      <c r="AHS9">
        <v>2000</v>
      </c>
      <c r="AHV9">
        <v>2000</v>
      </c>
      <c r="AHX9">
        <v>2000</v>
      </c>
      <c r="AHZ9">
        <v>22000</v>
      </c>
      <c r="AIC9">
        <v>2000</v>
      </c>
      <c r="AIE9">
        <v>2000</v>
      </c>
      <c r="AIF9" s="145">
        <f t="shared" si="34"/>
        <v>58000</v>
      </c>
      <c r="AIG9">
        <v>0</v>
      </c>
      <c r="AIK9">
        <v>2000</v>
      </c>
      <c r="AIM9">
        <v>2000</v>
      </c>
      <c r="AIO9">
        <v>2000</v>
      </c>
      <c r="AIR9">
        <v>2000</v>
      </c>
      <c r="AIS9">
        <v>20000</v>
      </c>
      <c r="AIT9">
        <v>2000</v>
      </c>
      <c r="AIU9">
        <v>0</v>
      </c>
      <c r="AIV9">
        <v>2000</v>
      </c>
      <c r="AIY9">
        <v>2000</v>
      </c>
      <c r="AIZ9">
        <v>2000</v>
      </c>
      <c r="AJB9">
        <v>2000</v>
      </c>
      <c r="AJF9">
        <v>2000</v>
      </c>
      <c r="AJH9">
        <v>2000</v>
      </c>
      <c r="AJJ9">
        <v>2000</v>
      </c>
      <c r="AJL9" s="145">
        <f t="shared" si="35"/>
        <v>44000</v>
      </c>
      <c r="AJN9">
        <v>2000</v>
      </c>
      <c r="AJP9">
        <v>2000</v>
      </c>
      <c r="AJR9">
        <v>2000</v>
      </c>
      <c r="AJW9">
        <v>2000</v>
      </c>
      <c r="AJY9">
        <v>2000</v>
      </c>
      <c r="AKB9">
        <v>2000</v>
      </c>
      <c r="AKD9">
        <v>2000</v>
      </c>
      <c r="AKI9">
        <v>2000</v>
      </c>
      <c r="AKK9">
        <v>2000</v>
      </c>
      <c r="AKM9">
        <v>2000</v>
      </c>
      <c r="AKO9" s="145">
        <f t="shared" si="36"/>
        <v>20000</v>
      </c>
      <c r="AKQ9">
        <v>2000</v>
      </c>
      <c r="AKS9">
        <v>2000</v>
      </c>
      <c r="AKT9">
        <v>2000</v>
      </c>
      <c r="AKU9">
        <v>2000</v>
      </c>
      <c r="AKV9">
        <v>10000</v>
      </c>
      <c r="AKX9">
        <v>2000</v>
      </c>
      <c r="AKY9">
        <v>2000</v>
      </c>
      <c r="AKZ9">
        <v>2000</v>
      </c>
      <c r="ALA9">
        <v>2000</v>
      </c>
      <c r="ALB9">
        <v>8000</v>
      </c>
      <c r="ALE9">
        <v>2000</v>
      </c>
      <c r="ALF9">
        <v>2000</v>
      </c>
      <c r="ALG9">
        <v>2000</v>
      </c>
      <c r="ALH9">
        <v>2000</v>
      </c>
      <c r="ALL9">
        <v>2000</v>
      </c>
      <c r="ALM9">
        <v>20000</v>
      </c>
      <c r="ALN9">
        <v>22000</v>
      </c>
      <c r="ALO9">
        <v>0</v>
      </c>
      <c r="ALP9">
        <v>2000</v>
      </c>
      <c r="ALS9">
        <v>2000</v>
      </c>
      <c r="ALU9" s="145">
        <f t="shared" si="37"/>
        <v>88000</v>
      </c>
      <c r="ALV9">
        <v>2000</v>
      </c>
      <c r="ALW9">
        <v>2000</v>
      </c>
      <c r="ALZ9">
        <v>2000</v>
      </c>
      <c r="AMA9">
        <v>2000</v>
      </c>
      <c r="AMD9">
        <v>2000</v>
      </c>
      <c r="AME9">
        <v>2000</v>
      </c>
      <c r="AMF9">
        <v>2000</v>
      </c>
      <c r="AMG9">
        <v>2000</v>
      </c>
      <c r="AMH9">
        <v>2000</v>
      </c>
      <c r="AMJ9">
        <v>2000</v>
      </c>
      <c r="AML9">
        <v>2000</v>
      </c>
      <c r="AMP9">
        <v>2000</v>
      </c>
      <c r="AMR9">
        <v>2000</v>
      </c>
      <c r="AMZ9" s="145">
        <f t="shared" si="38"/>
        <v>26000</v>
      </c>
      <c r="ANA9">
        <v>2000</v>
      </c>
      <c r="ANC9">
        <v>2000</v>
      </c>
      <c r="ANG9">
        <v>2000</v>
      </c>
      <c r="ANI9">
        <v>2000</v>
      </c>
      <c r="ANK9">
        <v>2000</v>
      </c>
      <c r="ANM9">
        <v>2000</v>
      </c>
      <c r="ANO9">
        <v>2000</v>
      </c>
      <c r="ANR9">
        <v>2000</v>
      </c>
      <c r="ANT9">
        <v>2000</v>
      </c>
      <c r="ANV9">
        <v>2000</v>
      </c>
      <c r="ANX9">
        <v>2000</v>
      </c>
      <c r="ANY9">
        <v>2000</v>
      </c>
      <c r="ANZ9">
        <v>2000</v>
      </c>
      <c r="AOB9">
        <v>2000</v>
      </c>
      <c r="AOC9">
        <v>2000</v>
      </c>
    </row>
    <row r="10" spans="1:1070" x14ac:dyDescent="0.2">
      <c r="A10" s="160"/>
      <c r="B10" s="5" t="s">
        <v>1349</v>
      </c>
      <c r="C10" s="22"/>
      <c r="D10" s="22">
        <v>2000</v>
      </c>
      <c r="E10" s="22"/>
      <c r="F10" s="22"/>
      <c r="G10" s="22"/>
      <c r="H10" s="22">
        <v>0</v>
      </c>
      <c r="I10" s="22"/>
      <c r="J10" s="22"/>
      <c r="K10" s="22"/>
      <c r="L10" s="22"/>
      <c r="M10" s="22">
        <v>2000</v>
      </c>
      <c r="N10" s="22"/>
      <c r="O10" s="22"/>
      <c r="P10" s="22"/>
      <c r="Q10" s="22"/>
      <c r="R10" s="22"/>
      <c r="S10" s="22"/>
      <c r="T10" s="22"/>
      <c r="U10" s="22"/>
      <c r="V10" s="22"/>
      <c r="W10" s="22">
        <v>2000</v>
      </c>
      <c r="X10" s="22"/>
      <c r="Y10" s="22"/>
      <c r="Z10" s="22"/>
      <c r="AA10" s="22"/>
      <c r="AB10" s="22">
        <v>2000</v>
      </c>
      <c r="AC10" s="22"/>
      <c r="AD10" s="22"/>
      <c r="AE10" s="22"/>
      <c r="AF10" s="22"/>
      <c r="AG10" s="22"/>
      <c r="AH10" s="22">
        <f t="shared" si="9"/>
        <v>8000</v>
      </c>
      <c r="AI10" s="52"/>
      <c r="AJ10" s="52"/>
      <c r="AK10" s="52">
        <v>2000</v>
      </c>
      <c r="AL10" s="52"/>
      <c r="AM10" s="52">
        <v>2000</v>
      </c>
      <c r="AN10" s="52">
        <v>2000</v>
      </c>
      <c r="AO10" s="52"/>
      <c r="AP10" s="52"/>
      <c r="AQ10" s="52"/>
      <c r="AR10" s="52"/>
      <c r="AS10" s="52">
        <v>2000</v>
      </c>
      <c r="AT10" s="52">
        <v>0</v>
      </c>
      <c r="AU10" s="52">
        <v>2000</v>
      </c>
      <c r="AV10" s="52"/>
      <c r="AW10" s="52"/>
      <c r="AX10" s="52">
        <v>2000</v>
      </c>
      <c r="AY10" s="52"/>
      <c r="AZ10" s="52"/>
      <c r="BA10" s="52">
        <v>0</v>
      </c>
      <c r="BB10" s="52">
        <v>2000</v>
      </c>
      <c r="BC10" s="52"/>
      <c r="BD10" s="52"/>
      <c r="BE10" s="52">
        <v>2000</v>
      </c>
      <c r="BF10" s="52"/>
      <c r="BG10" s="52">
        <v>2000</v>
      </c>
      <c r="BH10" s="52"/>
      <c r="BI10" s="52"/>
      <c r="BJ10" s="52"/>
      <c r="BK10" s="52"/>
      <c r="BL10" s="52"/>
      <c r="BM10" s="52">
        <f t="shared" si="39"/>
        <v>18000</v>
      </c>
      <c r="BN10" s="52"/>
      <c r="BO10" s="52">
        <v>2000</v>
      </c>
      <c r="BP10" s="52"/>
      <c r="BQ10" s="52"/>
      <c r="BR10" s="52"/>
      <c r="BS10" s="52"/>
      <c r="BT10" s="52"/>
      <c r="BU10" s="52"/>
      <c r="BV10" s="52"/>
      <c r="BW10" s="52"/>
      <c r="BX10" s="52">
        <v>2000</v>
      </c>
      <c r="BY10" s="52"/>
      <c r="BZ10" s="52"/>
      <c r="CA10" s="52"/>
      <c r="CB10" s="52"/>
      <c r="CC10" s="52"/>
      <c r="CD10" s="52"/>
      <c r="CE10" s="52">
        <v>4000</v>
      </c>
      <c r="CF10" s="52"/>
      <c r="CJ10">
        <v>2000</v>
      </c>
      <c r="CO10">
        <v>2000</v>
      </c>
      <c r="CQ10">
        <v>2000</v>
      </c>
      <c r="CS10" s="110">
        <f t="shared" si="10"/>
        <v>14000</v>
      </c>
      <c r="CT10" s="52"/>
      <c r="CU10" s="52"/>
      <c r="CV10" s="52"/>
      <c r="CW10" s="52"/>
      <c r="CX10" s="52"/>
      <c r="CY10" s="52">
        <v>2000</v>
      </c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>
        <v>2000</v>
      </c>
      <c r="DO10" s="52"/>
      <c r="DP10" s="52"/>
      <c r="DQ10" s="52"/>
      <c r="DR10" s="52"/>
      <c r="DS10" s="52"/>
      <c r="DT10" s="52"/>
      <c r="DU10" s="52">
        <v>2000</v>
      </c>
      <c r="DV10" s="52"/>
      <c r="DW10" s="52"/>
      <c r="DX10" s="118">
        <f t="shared" si="40"/>
        <v>6000</v>
      </c>
      <c r="EB10">
        <v>2000</v>
      </c>
      <c r="EJ10">
        <v>2000</v>
      </c>
      <c r="FD10" s="126">
        <f t="shared" si="11"/>
        <v>4000</v>
      </c>
      <c r="FH10">
        <v>2000</v>
      </c>
      <c r="FO10">
        <v>2000</v>
      </c>
      <c r="FZ10">
        <v>2000</v>
      </c>
      <c r="GJ10" s="130">
        <f>SUM(FE10:GI10)</f>
        <v>6000</v>
      </c>
      <c r="GL10">
        <v>2000</v>
      </c>
      <c r="GP10">
        <v>2000</v>
      </c>
      <c r="HA10">
        <v>2000</v>
      </c>
      <c r="HL10">
        <v>2000</v>
      </c>
      <c r="HN10" s="130">
        <f t="shared" si="12"/>
        <v>8000</v>
      </c>
      <c r="HQ10">
        <v>2000</v>
      </c>
      <c r="HU10">
        <v>2000</v>
      </c>
      <c r="HW10">
        <v>2000</v>
      </c>
      <c r="HZ10">
        <v>2000</v>
      </c>
      <c r="IF10">
        <v>2000</v>
      </c>
      <c r="II10">
        <v>2000</v>
      </c>
      <c r="IM10">
        <v>2000</v>
      </c>
      <c r="IO10">
        <v>2000</v>
      </c>
      <c r="IT10" s="130">
        <f t="shared" si="13"/>
        <v>16000</v>
      </c>
      <c r="IU10">
        <v>2000</v>
      </c>
      <c r="IW10">
        <v>2000</v>
      </c>
      <c r="IX10">
        <v>2000</v>
      </c>
      <c r="JB10">
        <v>2000</v>
      </c>
      <c r="JI10">
        <v>2000</v>
      </c>
      <c r="JK10">
        <v>2000</v>
      </c>
      <c r="JP10">
        <v>2000</v>
      </c>
      <c r="JW10">
        <v>2000</v>
      </c>
      <c r="JY10" s="130">
        <f t="shared" si="14"/>
        <v>16000</v>
      </c>
      <c r="JZ10">
        <v>2000</v>
      </c>
      <c r="KB10">
        <v>2000</v>
      </c>
      <c r="KE10">
        <v>2000</v>
      </c>
      <c r="KG10">
        <v>2000</v>
      </c>
      <c r="KI10">
        <v>2000</v>
      </c>
      <c r="KN10">
        <v>2000</v>
      </c>
      <c r="KP10">
        <v>2000</v>
      </c>
      <c r="KS10">
        <v>2000</v>
      </c>
      <c r="KU10">
        <v>2000</v>
      </c>
      <c r="KZ10">
        <v>4000</v>
      </c>
      <c r="LB10">
        <v>2000</v>
      </c>
      <c r="LD10">
        <v>2000</v>
      </c>
      <c r="LE10" s="130">
        <f t="shared" si="15"/>
        <v>24000</v>
      </c>
      <c r="LH10">
        <v>2000</v>
      </c>
      <c r="LL10">
        <v>2000</v>
      </c>
      <c r="LN10">
        <v>0</v>
      </c>
      <c r="LO10">
        <v>2000</v>
      </c>
      <c r="LS10">
        <v>2000</v>
      </c>
      <c r="LV10">
        <v>2000</v>
      </c>
      <c r="LX10">
        <v>2000</v>
      </c>
      <c r="LZ10">
        <v>2000</v>
      </c>
      <c r="MC10">
        <v>2000</v>
      </c>
      <c r="ME10">
        <v>2000</v>
      </c>
      <c r="MG10">
        <v>2000</v>
      </c>
      <c r="MJ10" s="130">
        <f t="shared" si="16"/>
        <v>20000</v>
      </c>
      <c r="MK10">
        <v>2000</v>
      </c>
      <c r="MM10">
        <v>2000</v>
      </c>
      <c r="MO10">
        <v>2000</v>
      </c>
      <c r="MV10">
        <v>2000</v>
      </c>
      <c r="NA10">
        <v>2000</v>
      </c>
      <c r="NC10">
        <v>2000</v>
      </c>
      <c r="NF10">
        <v>2000</v>
      </c>
      <c r="NH10">
        <v>2000</v>
      </c>
      <c r="NJ10">
        <v>2000</v>
      </c>
      <c r="NM10">
        <v>2000</v>
      </c>
      <c r="NO10">
        <v>2000</v>
      </c>
      <c r="NP10" s="130">
        <f t="shared" si="17"/>
        <v>20000</v>
      </c>
      <c r="NR10">
        <v>2000</v>
      </c>
      <c r="NT10">
        <v>0</v>
      </c>
      <c r="NU10">
        <v>2000</v>
      </c>
      <c r="NW10">
        <v>2000</v>
      </c>
      <c r="NY10">
        <v>2000</v>
      </c>
      <c r="OB10">
        <v>2000</v>
      </c>
      <c r="OD10">
        <v>2000</v>
      </c>
      <c r="OF10">
        <v>2000</v>
      </c>
      <c r="OI10">
        <v>2000</v>
      </c>
      <c r="OK10">
        <v>2000</v>
      </c>
      <c r="OM10">
        <v>2000</v>
      </c>
      <c r="OP10">
        <v>2000</v>
      </c>
      <c r="OR10">
        <v>2000</v>
      </c>
      <c r="OT10">
        <v>2000</v>
      </c>
      <c r="OV10" s="130">
        <f t="shared" si="18"/>
        <v>26000</v>
      </c>
      <c r="OX10">
        <v>2000</v>
      </c>
      <c r="OZ10">
        <v>2000</v>
      </c>
      <c r="PB10">
        <v>2000</v>
      </c>
      <c r="PE10">
        <v>2000</v>
      </c>
      <c r="PG10">
        <v>2000</v>
      </c>
      <c r="PI10">
        <v>2000</v>
      </c>
      <c r="PL10">
        <v>2000</v>
      </c>
      <c r="PN10">
        <v>2000</v>
      </c>
      <c r="PP10">
        <v>2000</v>
      </c>
      <c r="PS10">
        <v>2000</v>
      </c>
      <c r="PU10">
        <v>2000</v>
      </c>
      <c r="PW10">
        <v>2000</v>
      </c>
      <c r="PZ10">
        <v>2000</v>
      </c>
      <c r="QA10" s="130">
        <f t="shared" si="19"/>
        <v>26000</v>
      </c>
      <c r="QC10">
        <v>2000</v>
      </c>
      <c r="QE10">
        <v>2000</v>
      </c>
      <c r="QH10">
        <v>2000</v>
      </c>
      <c r="QJ10">
        <v>2000</v>
      </c>
      <c r="QL10">
        <v>2000</v>
      </c>
      <c r="QO10">
        <v>2000</v>
      </c>
      <c r="QQ10">
        <v>2000</v>
      </c>
      <c r="QS10">
        <v>2000</v>
      </c>
      <c r="QV10">
        <v>2000</v>
      </c>
      <c r="QX10">
        <v>2000</v>
      </c>
      <c r="QZ10">
        <v>2000</v>
      </c>
      <c r="RC10">
        <v>2000</v>
      </c>
      <c r="RE10">
        <v>2000</v>
      </c>
      <c r="RG10" s="130">
        <f t="shared" si="20"/>
        <v>26000</v>
      </c>
      <c r="RH10">
        <v>2000</v>
      </c>
      <c r="RK10">
        <v>2000</v>
      </c>
      <c r="RM10">
        <v>2000</v>
      </c>
      <c r="RO10">
        <v>2000</v>
      </c>
      <c r="RR10">
        <v>2000</v>
      </c>
      <c r="RT10">
        <v>2000</v>
      </c>
      <c r="RV10">
        <v>2000</v>
      </c>
      <c r="RY10">
        <v>2000</v>
      </c>
      <c r="SA10">
        <v>2000</v>
      </c>
      <c r="SC10">
        <v>2000</v>
      </c>
      <c r="SF10">
        <v>2000</v>
      </c>
      <c r="SH10">
        <v>2000</v>
      </c>
      <c r="SM10" s="130">
        <f t="shared" si="21"/>
        <v>22000</v>
      </c>
      <c r="SO10">
        <v>2000</v>
      </c>
      <c r="SQ10">
        <v>2000</v>
      </c>
      <c r="SV10">
        <v>2000</v>
      </c>
      <c r="SX10">
        <v>2000</v>
      </c>
      <c r="SZ10">
        <v>2000</v>
      </c>
      <c r="TA10">
        <v>0</v>
      </c>
      <c r="TC10">
        <v>2000</v>
      </c>
      <c r="TJ10">
        <v>2000</v>
      </c>
      <c r="TL10">
        <v>2000</v>
      </c>
      <c r="TQ10">
        <v>2000</v>
      </c>
      <c r="TS10" s="130">
        <f t="shared" si="22"/>
        <v>18000</v>
      </c>
      <c r="TT10">
        <v>2000</v>
      </c>
      <c r="TV10">
        <v>2000</v>
      </c>
      <c r="TY10">
        <v>2000</v>
      </c>
      <c r="UA10">
        <v>2000</v>
      </c>
      <c r="UC10">
        <v>2000</v>
      </c>
      <c r="UF10">
        <v>2000</v>
      </c>
      <c r="UH10">
        <v>2000</v>
      </c>
      <c r="UJ10">
        <v>2000</v>
      </c>
      <c r="UM10">
        <v>2000</v>
      </c>
      <c r="UO10">
        <v>2000</v>
      </c>
      <c r="UQ10">
        <v>2000</v>
      </c>
      <c r="UT10">
        <v>2000</v>
      </c>
      <c r="UV10">
        <v>2000</v>
      </c>
      <c r="UX10">
        <v>2000</v>
      </c>
      <c r="UY10" s="130">
        <f t="shared" si="23"/>
        <v>26000</v>
      </c>
      <c r="VB10">
        <v>2000</v>
      </c>
      <c r="VD10">
        <v>2000</v>
      </c>
      <c r="VF10">
        <v>2000</v>
      </c>
      <c r="VI10">
        <v>2000</v>
      </c>
      <c r="VK10">
        <v>2000</v>
      </c>
      <c r="VM10">
        <v>2000</v>
      </c>
      <c r="VP10">
        <v>2000</v>
      </c>
      <c r="VR10">
        <v>2000</v>
      </c>
      <c r="VT10">
        <v>2000</v>
      </c>
      <c r="VW10">
        <v>2000</v>
      </c>
      <c r="VY10">
        <v>2000</v>
      </c>
      <c r="WA10">
        <v>2000</v>
      </c>
      <c r="WB10" s="130">
        <f t="shared" si="24"/>
        <v>24000</v>
      </c>
      <c r="WE10">
        <v>2000</v>
      </c>
      <c r="WG10">
        <v>2000</v>
      </c>
      <c r="WL10">
        <v>2000</v>
      </c>
      <c r="WS10">
        <v>2000</v>
      </c>
      <c r="WU10">
        <v>2000</v>
      </c>
      <c r="WW10">
        <v>2000</v>
      </c>
      <c r="WY10">
        <v>0</v>
      </c>
      <c r="WZ10">
        <v>2000</v>
      </c>
      <c r="XB10">
        <v>2000</v>
      </c>
      <c r="XD10">
        <v>2000</v>
      </c>
      <c r="XH10" s="130">
        <f t="shared" si="25"/>
        <v>16000</v>
      </c>
      <c r="XJ10">
        <v>2000</v>
      </c>
      <c r="XL10">
        <v>2000</v>
      </c>
      <c r="XQ10">
        <v>2000</v>
      </c>
      <c r="XS10">
        <v>2000</v>
      </c>
      <c r="XV10">
        <v>2000</v>
      </c>
      <c r="XX10">
        <v>2000</v>
      </c>
      <c r="XZ10">
        <v>2000</v>
      </c>
      <c r="YB10">
        <v>2000</v>
      </c>
      <c r="YE10">
        <v>2000</v>
      </c>
      <c r="YG10">
        <v>2000</v>
      </c>
      <c r="YJ10">
        <v>2000</v>
      </c>
      <c r="YL10">
        <v>2000</v>
      </c>
      <c r="YM10" s="130">
        <f t="shared" si="26"/>
        <v>22000</v>
      </c>
      <c r="YO10">
        <v>2000</v>
      </c>
      <c r="YY10">
        <v>2000</v>
      </c>
      <c r="ZB10">
        <v>2000</v>
      </c>
      <c r="ZF10">
        <v>2000</v>
      </c>
      <c r="ZH10">
        <v>2000</v>
      </c>
      <c r="ZJ10">
        <v>2000</v>
      </c>
      <c r="ZM10">
        <v>2000</v>
      </c>
      <c r="ZO10">
        <v>2000</v>
      </c>
      <c r="ZQ10">
        <v>2000</v>
      </c>
      <c r="ZS10" s="130">
        <f t="shared" si="27"/>
        <v>18000</v>
      </c>
      <c r="ZU10">
        <v>2000</v>
      </c>
      <c r="ZW10">
        <v>2000</v>
      </c>
      <c r="AAB10">
        <v>2000</v>
      </c>
      <c r="AAD10">
        <v>2000</v>
      </c>
      <c r="AAF10">
        <v>2000</v>
      </c>
      <c r="AAI10">
        <v>2000</v>
      </c>
      <c r="AAK10">
        <v>2000</v>
      </c>
      <c r="AAM10">
        <v>2000</v>
      </c>
      <c r="AAO10">
        <v>0</v>
      </c>
      <c r="AAP10">
        <v>2000</v>
      </c>
      <c r="AAR10">
        <v>2000</v>
      </c>
      <c r="AAT10">
        <v>2000</v>
      </c>
      <c r="AAW10">
        <v>2000</v>
      </c>
      <c r="AAX10" s="130">
        <f t="shared" si="28"/>
        <v>24000</v>
      </c>
      <c r="ABB10">
        <v>2000</v>
      </c>
      <c r="ABC10">
        <v>2000</v>
      </c>
      <c r="ABE10">
        <v>2000</v>
      </c>
      <c r="ABI10">
        <v>2000</v>
      </c>
      <c r="ABL10">
        <v>2000</v>
      </c>
      <c r="ABS10">
        <v>2000</v>
      </c>
      <c r="ABW10">
        <v>2000</v>
      </c>
      <c r="ABY10">
        <v>0</v>
      </c>
      <c r="ABZ10">
        <v>2000</v>
      </c>
      <c r="ACB10">
        <v>2000</v>
      </c>
      <c r="ACD10" s="130">
        <f t="shared" si="29"/>
        <v>18000</v>
      </c>
      <c r="ACE10">
        <v>2000</v>
      </c>
      <c r="ACH10">
        <v>2000</v>
      </c>
      <c r="ACJ10">
        <v>2000</v>
      </c>
      <c r="ACS10">
        <v>2000</v>
      </c>
      <c r="ACV10">
        <v>2000</v>
      </c>
      <c r="ACX10">
        <v>2000</v>
      </c>
      <c r="ACZ10">
        <v>2000</v>
      </c>
      <c r="ADC10">
        <v>2000</v>
      </c>
      <c r="ADE10">
        <v>2000</v>
      </c>
      <c r="ADG10">
        <v>2000</v>
      </c>
      <c r="ADJ10" s="130">
        <f t="shared" si="30"/>
        <v>20000</v>
      </c>
      <c r="ADK10">
        <v>2000</v>
      </c>
      <c r="ADM10">
        <v>2000</v>
      </c>
      <c r="ADO10">
        <v>2000</v>
      </c>
      <c r="ADR10">
        <v>2000</v>
      </c>
      <c r="ADT10">
        <v>2000</v>
      </c>
      <c r="ADV10">
        <v>2000</v>
      </c>
      <c r="ADY10">
        <v>2000</v>
      </c>
      <c r="AEA10">
        <v>2000</v>
      </c>
      <c r="AEC10">
        <v>2000</v>
      </c>
      <c r="AEH10">
        <v>2000</v>
      </c>
      <c r="AEJ10">
        <v>2000</v>
      </c>
      <c r="AEM10">
        <v>2000</v>
      </c>
      <c r="AEO10" s="130">
        <f t="shared" si="31"/>
        <v>24000</v>
      </c>
      <c r="AEP10">
        <v>2000</v>
      </c>
      <c r="AER10">
        <v>2000</v>
      </c>
      <c r="AEU10">
        <v>2000</v>
      </c>
      <c r="AEY10">
        <v>2000</v>
      </c>
      <c r="AFB10">
        <v>2000</v>
      </c>
      <c r="AFE10">
        <v>2000</v>
      </c>
      <c r="AFK10">
        <v>2000</v>
      </c>
      <c r="AFM10">
        <v>2000</v>
      </c>
      <c r="AFP10">
        <v>2000</v>
      </c>
      <c r="AFU10" s="130">
        <f t="shared" si="32"/>
        <v>18000</v>
      </c>
      <c r="AFZ10">
        <v>2000</v>
      </c>
      <c r="AGE10">
        <v>2000</v>
      </c>
      <c r="AGI10">
        <v>2000</v>
      </c>
      <c r="AGL10">
        <v>2000</v>
      </c>
      <c r="AGO10">
        <v>2000</v>
      </c>
      <c r="AGT10">
        <v>2000</v>
      </c>
      <c r="AGW10">
        <v>2000</v>
      </c>
      <c r="AGZ10" s="130">
        <f t="shared" si="33"/>
        <v>14000</v>
      </c>
      <c r="AHA10">
        <v>2000</v>
      </c>
      <c r="AHC10">
        <v>2000</v>
      </c>
      <c r="AHE10">
        <v>2000</v>
      </c>
      <c r="AHH10">
        <v>2000</v>
      </c>
      <c r="AHJ10">
        <v>2000</v>
      </c>
      <c r="AHK10">
        <v>2000</v>
      </c>
      <c r="AHO10">
        <v>2000</v>
      </c>
      <c r="AHQ10">
        <v>2000</v>
      </c>
      <c r="AHS10">
        <v>2000</v>
      </c>
      <c r="AHV10">
        <v>2000</v>
      </c>
      <c r="AHX10">
        <v>2000</v>
      </c>
      <c r="AHZ10">
        <v>2000</v>
      </c>
      <c r="AIC10">
        <v>2000</v>
      </c>
      <c r="AIE10">
        <v>2000</v>
      </c>
      <c r="AIF10" s="145">
        <f t="shared" si="34"/>
        <v>28000</v>
      </c>
      <c r="AIK10">
        <v>2000</v>
      </c>
      <c r="AIM10">
        <v>2000</v>
      </c>
      <c r="AIO10">
        <v>2000</v>
      </c>
      <c r="AIR10">
        <v>2000</v>
      </c>
      <c r="AIZ10">
        <v>2000</v>
      </c>
      <c r="AJB10">
        <v>2000</v>
      </c>
      <c r="AJH10">
        <v>2000</v>
      </c>
      <c r="AJJ10">
        <v>2000</v>
      </c>
      <c r="AJL10" s="145">
        <f t="shared" si="35"/>
        <v>16000</v>
      </c>
      <c r="AJN10">
        <v>2000</v>
      </c>
      <c r="AJR10">
        <v>2000</v>
      </c>
      <c r="AJW10">
        <v>2000</v>
      </c>
      <c r="AJY10">
        <v>2000</v>
      </c>
      <c r="AKB10">
        <v>2000</v>
      </c>
      <c r="AKD10">
        <v>2000</v>
      </c>
      <c r="AKI10">
        <v>2000</v>
      </c>
      <c r="AKK10">
        <v>2000</v>
      </c>
      <c r="AKM10">
        <v>2000</v>
      </c>
      <c r="AKO10" s="145">
        <f t="shared" si="36"/>
        <v>18000</v>
      </c>
      <c r="AKQ10">
        <v>2000</v>
      </c>
      <c r="AKS10">
        <v>2000</v>
      </c>
      <c r="AKU10">
        <v>2000</v>
      </c>
      <c r="AKX10">
        <v>2000</v>
      </c>
      <c r="AKZ10">
        <v>2000</v>
      </c>
      <c r="ALB10">
        <v>2000</v>
      </c>
      <c r="ALE10">
        <v>2000</v>
      </c>
      <c r="ALL10">
        <v>2000</v>
      </c>
      <c r="ALN10">
        <v>2000</v>
      </c>
      <c r="ALO10">
        <v>0</v>
      </c>
      <c r="ALP10">
        <v>2000</v>
      </c>
      <c r="ALS10">
        <v>2000</v>
      </c>
      <c r="ALU10" s="145">
        <f t="shared" si="37"/>
        <v>20000</v>
      </c>
      <c r="ALV10">
        <v>2000</v>
      </c>
      <c r="ALW10">
        <v>2000</v>
      </c>
      <c r="ALX10">
        <v>2000</v>
      </c>
      <c r="ALY10">
        <v>2000</v>
      </c>
      <c r="AMA10">
        <v>2000</v>
      </c>
      <c r="AME10">
        <v>2000</v>
      </c>
      <c r="AMH10">
        <v>2000</v>
      </c>
      <c r="AMJ10">
        <v>2000</v>
      </c>
      <c r="AMP10">
        <v>2000</v>
      </c>
      <c r="AMR10">
        <v>0</v>
      </c>
      <c r="AMZ10" s="145">
        <f t="shared" si="38"/>
        <v>18000</v>
      </c>
      <c r="ANG10">
        <v>2000</v>
      </c>
      <c r="ANM10">
        <v>2000</v>
      </c>
      <c r="ANO10">
        <v>2000</v>
      </c>
      <c r="ANR10">
        <v>2000</v>
      </c>
      <c r="ANT10">
        <v>2000</v>
      </c>
      <c r="ANV10">
        <v>2000</v>
      </c>
      <c r="ANY10">
        <v>2000</v>
      </c>
      <c r="AOB10">
        <v>2000</v>
      </c>
    </row>
    <row r="11" spans="1:1070" x14ac:dyDescent="0.2">
      <c r="A11" s="160"/>
      <c r="B11" s="5" t="s">
        <v>1350</v>
      </c>
      <c r="C11" s="22"/>
      <c r="D11" s="22"/>
      <c r="E11" s="22"/>
      <c r="F11" s="22"/>
      <c r="G11" s="22">
        <v>1200000</v>
      </c>
      <c r="H11" s="22">
        <v>0</v>
      </c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>
        <f t="shared" si="9"/>
        <v>1200000</v>
      </c>
      <c r="AI11" s="52"/>
      <c r="AJ11" s="52"/>
      <c r="AK11" s="52"/>
      <c r="AL11" s="52"/>
      <c r="AM11" s="52"/>
      <c r="AN11" s="52">
        <v>1200000</v>
      </c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>
        <f t="shared" si="39"/>
        <v>1200000</v>
      </c>
      <c r="BN11" s="52"/>
      <c r="BO11" s="52"/>
      <c r="BP11" s="52">
        <v>1200000</v>
      </c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S11" s="110">
        <f t="shared" si="10"/>
        <v>1200000</v>
      </c>
      <c r="CT11" s="52"/>
      <c r="CU11" s="52"/>
      <c r="CV11" s="52"/>
      <c r="CW11" s="52"/>
      <c r="CX11" s="52"/>
      <c r="CY11" s="52"/>
      <c r="CZ11" s="52"/>
      <c r="DA11" s="52"/>
      <c r="DB11" s="52">
        <v>1200000</v>
      </c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118">
        <f t="shared" si="40"/>
        <v>1200000</v>
      </c>
      <c r="EC11">
        <v>1200000</v>
      </c>
      <c r="FD11" s="126">
        <f t="shared" si="11"/>
        <v>1200000</v>
      </c>
      <c r="FN11">
        <v>1200000</v>
      </c>
      <c r="GJ11" s="130">
        <f>SUM(FE11:GI11)</f>
        <v>1200000</v>
      </c>
      <c r="GU11">
        <v>1200000</v>
      </c>
      <c r="HN11" s="130">
        <f t="shared" si="12"/>
        <v>1200000</v>
      </c>
      <c r="HV11">
        <v>1200000</v>
      </c>
      <c r="IT11" s="130">
        <f t="shared" si="13"/>
        <v>1200000</v>
      </c>
      <c r="IZ11">
        <v>1200000</v>
      </c>
      <c r="JY11" s="130">
        <f t="shared" si="14"/>
        <v>1200000</v>
      </c>
      <c r="KF11">
        <v>1200000</v>
      </c>
      <c r="LE11" s="130">
        <f t="shared" si="15"/>
        <v>1200000</v>
      </c>
      <c r="LI11">
        <v>1200000</v>
      </c>
      <c r="LJ11">
        <v>2000</v>
      </c>
      <c r="MJ11" s="130">
        <f t="shared" si="16"/>
        <v>1202000</v>
      </c>
      <c r="ML11">
        <v>1200000</v>
      </c>
      <c r="NP11" s="130">
        <f t="shared" si="17"/>
        <v>1200000</v>
      </c>
      <c r="NS11">
        <v>1200000</v>
      </c>
      <c r="OV11" s="130">
        <f t="shared" si="18"/>
        <v>1200000</v>
      </c>
      <c r="PE11">
        <v>1200000</v>
      </c>
      <c r="PS11">
        <v>2000</v>
      </c>
      <c r="QA11" s="130">
        <f t="shared" si="19"/>
        <v>1202000</v>
      </c>
      <c r="QD11">
        <v>1200000</v>
      </c>
      <c r="RG11" s="130">
        <f t="shared" si="20"/>
        <v>1200000</v>
      </c>
      <c r="RN11">
        <v>1200000</v>
      </c>
      <c r="SM11" s="130">
        <f t="shared" si="21"/>
        <v>1200000</v>
      </c>
      <c r="SS11">
        <v>1200000</v>
      </c>
      <c r="TS11" s="130">
        <f t="shared" si="22"/>
        <v>1200000</v>
      </c>
      <c r="UG11">
        <v>1200000</v>
      </c>
      <c r="UY11" s="130">
        <f t="shared" si="23"/>
        <v>1200000</v>
      </c>
      <c r="VC11">
        <v>1200000</v>
      </c>
      <c r="WB11" s="130">
        <f t="shared" si="24"/>
        <v>1200000</v>
      </c>
      <c r="WF11">
        <v>1200000</v>
      </c>
      <c r="XH11" s="130">
        <f t="shared" si="25"/>
        <v>1200000</v>
      </c>
      <c r="XJ11">
        <v>1200000</v>
      </c>
      <c r="YM11" s="130">
        <f t="shared" si="26"/>
        <v>0</v>
      </c>
      <c r="YS11">
        <v>1200000</v>
      </c>
      <c r="ZS11" s="130">
        <f t="shared" si="27"/>
        <v>1200000</v>
      </c>
      <c r="AAC11">
        <v>1200000</v>
      </c>
      <c r="AAX11" s="130">
        <f t="shared" si="28"/>
        <v>1200000</v>
      </c>
      <c r="AAY11">
        <v>1200000</v>
      </c>
      <c r="ACD11" s="130">
        <f t="shared" si="29"/>
        <v>1200000</v>
      </c>
      <c r="ADJ11" s="130">
        <f t="shared" si="30"/>
        <v>0</v>
      </c>
      <c r="ADK11">
        <v>0</v>
      </c>
      <c r="AEO11" s="130">
        <f t="shared" si="31"/>
        <v>0</v>
      </c>
      <c r="AFU11" s="130">
        <f t="shared" si="32"/>
        <v>0</v>
      </c>
      <c r="AGZ11" s="130">
        <f t="shared" si="33"/>
        <v>0</v>
      </c>
      <c r="AIF11" s="145">
        <f t="shared" si="34"/>
        <v>0</v>
      </c>
      <c r="AJL11" s="145">
        <f t="shared" si="35"/>
        <v>0</v>
      </c>
      <c r="AKO11" s="145">
        <f t="shared" si="36"/>
        <v>0</v>
      </c>
      <c r="AKQ11">
        <v>2000</v>
      </c>
      <c r="AKS11">
        <v>2000</v>
      </c>
      <c r="AKU11">
        <v>2000</v>
      </c>
      <c r="AKX11">
        <v>2000</v>
      </c>
      <c r="AKZ11">
        <v>2000</v>
      </c>
      <c r="ALB11">
        <v>2000</v>
      </c>
      <c r="ALE11">
        <v>2000</v>
      </c>
      <c r="ALL11">
        <v>0</v>
      </c>
      <c r="ALU11" s="145">
        <f t="shared" si="37"/>
        <v>12000</v>
      </c>
      <c r="AMZ11" s="145">
        <f t="shared" si="38"/>
        <v>0</v>
      </c>
    </row>
    <row r="12" spans="1:1070" x14ac:dyDescent="0.2">
      <c r="A12" s="160"/>
      <c r="B12" s="5" t="s">
        <v>1351</v>
      </c>
      <c r="C12" s="22"/>
      <c r="D12" s="22"/>
      <c r="E12" s="22"/>
      <c r="F12" s="22"/>
      <c r="G12" s="22">
        <v>12000</v>
      </c>
      <c r="H12" s="22">
        <v>0</v>
      </c>
      <c r="I12" s="22"/>
      <c r="J12" s="22"/>
      <c r="K12" s="22"/>
      <c r="L12" s="22"/>
      <c r="M12" s="22">
        <v>10000</v>
      </c>
      <c r="N12" s="22"/>
      <c r="O12" s="22"/>
      <c r="P12" s="22"/>
      <c r="Q12" s="22">
        <v>14000</v>
      </c>
      <c r="R12" s="22"/>
      <c r="S12" s="22"/>
      <c r="T12" s="22"/>
      <c r="U12" s="22"/>
      <c r="V12" s="22"/>
      <c r="W12" s="22">
        <v>12000</v>
      </c>
      <c r="X12" s="22"/>
      <c r="Y12" s="22"/>
      <c r="Z12" s="22"/>
      <c r="AA12" s="22">
        <v>10000</v>
      </c>
      <c r="AB12" s="22">
        <v>10000</v>
      </c>
      <c r="AC12" s="22"/>
      <c r="AD12" s="22"/>
      <c r="AE12" s="22"/>
      <c r="AF12" s="22"/>
      <c r="AG12" s="22"/>
      <c r="AH12" s="22">
        <f t="shared" si="9"/>
        <v>68000</v>
      </c>
      <c r="AI12" s="52"/>
      <c r="AJ12" s="52">
        <v>12000</v>
      </c>
      <c r="AK12" s="52"/>
      <c r="AL12" s="52"/>
      <c r="AM12" s="52"/>
      <c r="AN12" s="52">
        <v>18000</v>
      </c>
      <c r="AO12" s="52">
        <v>10000</v>
      </c>
      <c r="AP12" s="52">
        <v>350000</v>
      </c>
      <c r="AQ12" s="52"/>
      <c r="AR12" s="52"/>
      <c r="AS12" s="52"/>
      <c r="AT12" s="52">
        <v>12000</v>
      </c>
      <c r="AU12" s="52">
        <v>12000</v>
      </c>
      <c r="AV12" s="52">
        <v>10000</v>
      </c>
      <c r="AW12" s="52"/>
      <c r="AX12" s="52"/>
      <c r="AY12" s="52"/>
      <c r="AZ12" s="52"/>
      <c r="BA12" s="52"/>
      <c r="BB12" s="52"/>
      <c r="BC12" s="52"/>
      <c r="BD12" s="52"/>
      <c r="BE12" s="52">
        <v>100000</v>
      </c>
      <c r="BF12" s="52"/>
      <c r="BG12" s="52"/>
      <c r="BH12" s="52"/>
      <c r="BI12" s="52"/>
      <c r="BJ12" s="52"/>
      <c r="BK12" s="52"/>
      <c r="BL12" s="52"/>
      <c r="BM12" s="52">
        <f t="shared" si="39"/>
        <v>524000</v>
      </c>
      <c r="BN12" s="52"/>
      <c r="BO12" s="52"/>
      <c r="BP12" s="52"/>
      <c r="BQ12" s="52">
        <v>40000</v>
      </c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S12" s="110">
        <f t="shared" si="10"/>
        <v>40000</v>
      </c>
      <c r="CT12" s="52"/>
      <c r="CU12" s="52"/>
      <c r="CV12" s="52">
        <v>2650000</v>
      </c>
      <c r="CW12" s="52">
        <v>50000</v>
      </c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118">
        <f t="shared" si="40"/>
        <v>2700000</v>
      </c>
      <c r="FD12" s="126">
        <f t="shared" si="11"/>
        <v>0</v>
      </c>
      <c r="GJ12" s="130"/>
      <c r="HN12" s="130">
        <f t="shared" si="12"/>
        <v>0</v>
      </c>
      <c r="IT12" s="130">
        <f t="shared" si="13"/>
        <v>0</v>
      </c>
      <c r="JY12" s="130">
        <f t="shared" si="14"/>
        <v>0</v>
      </c>
      <c r="LE12" s="130">
        <f t="shared" si="15"/>
        <v>0</v>
      </c>
      <c r="MJ12" s="130">
        <f t="shared" si="16"/>
        <v>0</v>
      </c>
      <c r="NP12" s="130">
        <f t="shared" si="17"/>
        <v>0</v>
      </c>
      <c r="OV12" s="130">
        <f t="shared" si="18"/>
        <v>0</v>
      </c>
      <c r="QA12" s="130">
        <f t="shared" si="19"/>
        <v>0</v>
      </c>
      <c r="RG12" s="130">
        <f t="shared" si="20"/>
        <v>0</v>
      </c>
      <c r="SM12" s="130">
        <f t="shared" si="21"/>
        <v>0</v>
      </c>
      <c r="TS12" s="130">
        <f t="shared" si="22"/>
        <v>0</v>
      </c>
      <c r="UY12" s="130">
        <f t="shared" si="23"/>
        <v>0</v>
      </c>
      <c r="WB12" s="130">
        <f t="shared" si="24"/>
        <v>0</v>
      </c>
      <c r="XH12" s="130">
        <f t="shared" si="25"/>
        <v>0</v>
      </c>
      <c r="YM12" s="130">
        <f t="shared" si="26"/>
        <v>0</v>
      </c>
      <c r="ZS12" s="130">
        <f t="shared" si="27"/>
        <v>0</v>
      </c>
      <c r="AAX12" s="130">
        <f t="shared" si="28"/>
        <v>0</v>
      </c>
      <c r="ACD12" s="130">
        <f t="shared" si="29"/>
        <v>0</v>
      </c>
      <c r="ADJ12" s="130">
        <f t="shared" si="30"/>
        <v>0</v>
      </c>
      <c r="AEO12" s="130">
        <f t="shared" si="31"/>
        <v>0</v>
      </c>
      <c r="AFU12" s="130">
        <f t="shared" si="32"/>
        <v>0</v>
      </c>
      <c r="AGZ12" s="130">
        <f t="shared" si="33"/>
        <v>0</v>
      </c>
      <c r="AIF12" s="145">
        <f t="shared" si="34"/>
        <v>0</v>
      </c>
      <c r="AJL12" s="145">
        <f t="shared" si="35"/>
        <v>0</v>
      </c>
      <c r="AKO12" s="145">
        <f t="shared" si="36"/>
        <v>0</v>
      </c>
      <c r="ALU12" s="145">
        <f t="shared" si="37"/>
        <v>0</v>
      </c>
      <c r="AMZ12" s="145">
        <f t="shared" si="38"/>
        <v>0</v>
      </c>
    </row>
    <row r="13" spans="1:1070" x14ac:dyDescent="0.2">
      <c r="A13" s="160"/>
      <c r="B13" s="5" t="s">
        <v>1352</v>
      </c>
      <c r="C13" s="22">
        <v>0</v>
      </c>
      <c r="D13" s="22">
        <v>2306000</v>
      </c>
      <c r="E13" s="22"/>
      <c r="F13" s="22"/>
      <c r="G13" s="22"/>
      <c r="H13" s="22">
        <v>0</v>
      </c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>
        <v>75000</v>
      </c>
      <c r="AB13" s="22"/>
      <c r="AC13" s="22"/>
      <c r="AD13" s="22"/>
      <c r="AE13" s="22"/>
      <c r="AF13" s="22"/>
      <c r="AG13" s="22"/>
      <c r="AH13" s="22">
        <f t="shared" si="9"/>
        <v>2381000</v>
      </c>
      <c r="AI13" s="52"/>
      <c r="AJ13" s="52"/>
      <c r="AK13" s="52"/>
      <c r="AL13" s="52">
        <v>2525000</v>
      </c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>
        <f t="shared" si="39"/>
        <v>2525000</v>
      </c>
      <c r="BN13" s="52"/>
      <c r="BO13" s="52"/>
      <c r="BP13" s="52">
        <f>2657000+50000</f>
        <v>2707000</v>
      </c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S13" s="110">
        <f t="shared" si="10"/>
        <v>2707000</v>
      </c>
      <c r="CT13" s="52"/>
      <c r="CU13" s="52"/>
      <c r="CV13" s="52"/>
      <c r="CW13" s="52">
        <v>0</v>
      </c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118">
        <f t="shared" si="40"/>
        <v>0</v>
      </c>
      <c r="EB13">
        <v>2536000</v>
      </c>
      <c r="FD13" s="126">
        <f t="shared" si="11"/>
        <v>2536000</v>
      </c>
      <c r="FH13">
        <v>2503000</v>
      </c>
      <c r="FJ13">
        <v>60000</v>
      </c>
      <c r="FN13">
        <v>200000</v>
      </c>
      <c r="GJ13" s="130">
        <f>SUM(FE13:GI13)</f>
        <v>2763000</v>
      </c>
      <c r="GO13">
        <v>2418500</v>
      </c>
      <c r="GQ13">
        <v>75000</v>
      </c>
      <c r="HN13" s="130">
        <f t="shared" si="12"/>
        <v>2493500</v>
      </c>
      <c r="HR13">
        <v>2019000</v>
      </c>
      <c r="IT13" s="130">
        <f t="shared" si="13"/>
        <v>2019000</v>
      </c>
      <c r="IW13">
        <v>2132500</v>
      </c>
      <c r="JY13" s="130">
        <f t="shared" si="14"/>
        <v>2132500</v>
      </c>
      <c r="KB13">
        <v>2238200</v>
      </c>
      <c r="LE13" s="130">
        <f t="shared" si="15"/>
        <v>2238200</v>
      </c>
      <c r="LH13">
        <v>2247000</v>
      </c>
      <c r="MJ13" s="130">
        <f t="shared" si="16"/>
        <v>2247000</v>
      </c>
      <c r="MM13">
        <v>2235000</v>
      </c>
      <c r="NP13" s="130">
        <f t="shared" si="17"/>
        <v>2235000</v>
      </c>
      <c r="NR13">
        <v>2241000</v>
      </c>
      <c r="OV13" s="130">
        <f t="shared" si="18"/>
        <v>2241000</v>
      </c>
      <c r="OX13">
        <v>2237000</v>
      </c>
      <c r="QA13" s="130">
        <f t="shared" si="19"/>
        <v>2237000</v>
      </c>
      <c r="QC13">
        <v>2148000</v>
      </c>
      <c r="RG13" s="130">
        <f t="shared" si="20"/>
        <v>2148000</v>
      </c>
      <c r="RI13">
        <v>2326000</v>
      </c>
      <c r="SM13" s="130">
        <f t="shared" si="21"/>
        <v>2326000</v>
      </c>
      <c r="SQ13">
        <v>2308500</v>
      </c>
      <c r="TS13" s="130">
        <f t="shared" si="22"/>
        <v>2308500</v>
      </c>
      <c r="TV13">
        <v>2073600</v>
      </c>
      <c r="TW13">
        <v>50000</v>
      </c>
      <c r="UY13" s="130">
        <f t="shared" si="23"/>
        <v>2123600</v>
      </c>
      <c r="VB13">
        <v>2049000</v>
      </c>
      <c r="VG13">
        <v>225000</v>
      </c>
      <c r="WB13" s="130">
        <f t="shared" si="24"/>
        <v>2274000</v>
      </c>
      <c r="WE13">
        <v>2270000</v>
      </c>
      <c r="WN13">
        <v>36000</v>
      </c>
      <c r="XH13" s="130">
        <f t="shared" si="25"/>
        <v>36000</v>
      </c>
      <c r="XL13">
        <v>1991500</v>
      </c>
      <c r="YM13" s="130">
        <f t="shared" si="26"/>
        <v>1991500</v>
      </c>
      <c r="YO13">
        <v>2044400</v>
      </c>
      <c r="ZS13" s="130">
        <f t="shared" si="27"/>
        <v>2044400</v>
      </c>
      <c r="ZV13">
        <v>2186000</v>
      </c>
      <c r="AAX13" s="130">
        <f t="shared" si="28"/>
        <v>2186000</v>
      </c>
      <c r="ACD13" s="130">
        <f t="shared" si="29"/>
        <v>0</v>
      </c>
      <c r="ACH13">
        <v>2147000</v>
      </c>
      <c r="ADJ13" s="130">
        <f t="shared" si="30"/>
        <v>2147000</v>
      </c>
      <c r="ADM13">
        <v>2599900</v>
      </c>
      <c r="AEO13" s="130">
        <f t="shared" si="31"/>
        <v>2599900</v>
      </c>
      <c r="AES13">
        <v>2240000</v>
      </c>
      <c r="AFU13" s="130">
        <f t="shared" si="32"/>
        <v>2240000</v>
      </c>
      <c r="AFZ13">
        <f>2120800+45000</f>
        <v>2165800</v>
      </c>
      <c r="AGC13">
        <v>40000</v>
      </c>
      <c r="AGZ13" s="130">
        <f t="shared" si="33"/>
        <v>2205800</v>
      </c>
      <c r="AHC13">
        <v>2169000</v>
      </c>
      <c r="AIF13" s="145">
        <f t="shared" si="34"/>
        <v>2169000</v>
      </c>
      <c r="AIM13">
        <v>2303000</v>
      </c>
      <c r="AJL13" s="145">
        <f t="shared" si="35"/>
        <v>2303000</v>
      </c>
      <c r="AJP13">
        <v>2377500</v>
      </c>
      <c r="AKO13" s="145">
        <f t="shared" si="36"/>
        <v>2377500</v>
      </c>
      <c r="AKS13">
        <v>2755800</v>
      </c>
      <c r="AKU13">
        <v>70000</v>
      </c>
      <c r="ALU13" s="145">
        <f t="shared" si="37"/>
        <v>2825800</v>
      </c>
      <c r="ALX13">
        <v>2253000</v>
      </c>
      <c r="AMZ13" s="145">
        <f t="shared" si="38"/>
        <v>2253000</v>
      </c>
      <c r="AND13">
        <v>2301000</v>
      </c>
      <c r="ANG13">
        <v>396000</v>
      </c>
      <c r="ANM13">
        <v>100000</v>
      </c>
    </row>
    <row r="14" spans="1:1070" x14ac:dyDescent="0.2">
      <c r="A14" s="160"/>
      <c r="B14" s="5" t="s">
        <v>1353</v>
      </c>
      <c r="C14" s="22"/>
      <c r="D14" s="22"/>
      <c r="E14" s="22"/>
      <c r="F14" s="22"/>
      <c r="G14" s="22"/>
      <c r="H14" s="22"/>
      <c r="I14" s="22"/>
      <c r="J14" s="22">
        <v>50000</v>
      </c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52"/>
      <c r="AJ14" s="52"/>
      <c r="AK14" s="52"/>
      <c r="AL14" s="52"/>
      <c r="AM14" s="52"/>
      <c r="AN14" s="52"/>
      <c r="AO14" s="52">
        <v>51900000</v>
      </c>
      <c r="AP14" s="52"/>
      <c r="AQ14" s="52"/>
      <c r="AR14" s="52"/>
      <c r="AS14" s="52"/>
      <c r="AT14" s="52"/>
      <c r="AU14" s="52">
        <f>10000*5350</f>
        <v>53500000</v>
      </c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>
        <f t="shared" si="39"/>
        <v>105400000</v>
      </c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J14">
        <v>50000</v>
      </c>
      <c r="CS14" s="110">
        <f t="shared" si="10"/>
        <v>50000</v>
      </c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>
        <v>20000</v>
      </c>
      <c r="DQ14" s="52"/>
      <c r="DR14" s="52"/>
      <c r="DS14" s="52"/>
      <c r="DT14" s="52"/>
      <c r="DU14" s="52"/>
      <c r="DV14" s="52"/>
      <c r="DW14" s="52"/>
      <c r="DX14" s="118">
        <f t="shared" si="40"/>
        <v>20000</v>
      </c>
      <c r="DY14">
        <v>100000</v>
      </c>
      <c r="FC14">
        <v>100000</v>
      </c>
      <c r="FD14" s="126">
        <f t="shared" si="11"/>
        <v>200000</v>
      </c>
      <c r="FS14">
        <v>50000</v>
      </c>
      <c r="FW14">
        <v>80000</v>
      </c>
      <c r="GC14">
        <v>100000</v>
      </c>
      <c r="GJ14" s="130">
        <f>SUM(FE14:GI14)</f>
        <v>230000</v>
      </c>
      <c r="GZ14">
        <v>50000</v>
      </c>
      <c r="HJ14">
        <v>40000</v>
      </c>
      <c r="HN14" s="130">
        <f t="shared" si="12"/>
        <v>90000</v>
      </c>
      <c r="HO14">
        <v>216000</v>
      </c>
      <c r="IB14">
        <v>50000</v>
      </c>
      <c r="IH14">
        <v>15000</v>
      </c>
      <c r="II14">
        <v>80000</v>
      </c>
      <c r="IM14">
        <v>110000</v>
      </c>
      <c r="IQ14">
        <v>100000</v>
      </c>
      <c r="IT14" s="130">
        <f t="shared" si="13"/>
        <v>571000</v>
      </c>
      <c r="JI14">
        <v>50000</v>
      </c>
      <c r="JJ14">
        <v>100000</v>
      </c>
      <c r="JL14">
        <v>50000</v>
      </c>
      <c r="JM14">
        <v>120000</v>
      </c>
      <c r="JT14">
        <v>25000</v>
      </c>
      <c r="JY14" s="130">
        <f t="shared" si="14"/>
        <v>345000</v>
      </c>
      <c r="KN14">
        <f>60000+90000</f>
        <v>150000</v>
      </c>
      <c r="KO14">
        <f>40000+70000+80000</f>
        <v>190000</v>
      </c>
      <c r="KS14">
        <v>70000</v>
      </c>
      <c r="LE14" s="130">
        <f t="shared" si="15"/>
        <v>410000</v>
      </c>
      <c r="LN14">
        <v>0</v>
      </c>
      <c r="LO14">
        <v>50000</v>
      </c>
      <c r="LT14">
        <f>50000+100000</f>
        <v>150000</v>
      </c>
      <c r="LZ14">
        <v>100000</v>
      </c>
      <c r="MJ14" s="130">
        <f t="shared" si="16"/>
        <v>300000</v>
      </c>
      <c r="MQ14">
        <v>50000</v>
      </c>
      <c r="MX14">
        <v>60000</v>
      </c>
      <c r="ND14">
        <v>50000</v>
      </c>
      <c r="NH14">
        <v>70000</v>
      </c>
      <c r="NI14">
        <v>50000</v>
      </c>
      <c r="NJ14">
        <v>50000</v>
      </c>
      <c r="NP14" s="130">
        <f t="shared" si="17"/>
        <v>330000</v>
      </c>
      <c r="OC14">
        <v>50000</v>
      </c>
      <c r="OE14">
        <f>50000+50000</f>
        <v>100000</v>
      </c>
      <c r="OF14">
        <v>100000</v>
      </c>
      <c r="OG14">
        <v>70000</v>
      </c>
      <c r="OV14" s="130">
        <f t="shared" si="18"/>
        <v>320000</v>
      </c>
      <c r="PK14">
        <v>20000</v>
      </c>
      <c r="PM14">
        <v>0</v>
      </c>
      <c r="PN14">
        <v>80000</v>
      </c>
      <c r="PQ14">
        <v>50000</v>
      </c>
      <c r="QA14" s="130">
        <f t="shared" si="19"/>
        <v>150000</v>
      </c>
      <c r="QQ14">
        <v>50000</v>
      </c>
      <c r="QT14">
        <v>90000</v>
      </c>
      <c r="RF14">
        <v>60000</v>
      </c>
      <c r="RG14" s="130">
        <f t="shared" si="20"/>
        <v>200000</v>
      </c>
      <c r="RV14">
        <v>270000</v>
      </c>
      <c r="SA14">
        <v>90000</v>
      </c>
      <c r="SM14" s="130">
        <f t="shared" si="21"/>
        <v>360000</v>
      </c>
      <c r="TE14">
        <v>60000</v>
      </c>
      <c r="TF14">
        <v>800000</v>
      </c>
      <c r="TH14">
        <v>50000</v>
      </c>
      <c r="TK14">
        <v>250000</v>
      </c>
      <c r="TP14">
        <v>50000</v>
      </c>
      <c r="TS14" s="130">
        <f t="shared" si="22"/>
        <v>1210000</v>
      </c>
      <c r="UH14">
        <f>40000+70000</f>
        <v>110000</v>
      </c>
      <c r="UI14">
        <v>110000</v>
      </c>
      <c r="UM14">
        <v>120000</v>
      </c>
      <c r="UR14">
        <f>50000+40000</f>
        <v>90000</v>
      </c>
      <c r="UW14">
        <v>50000</v>
      </c>
      <c r="UY14" s="130">
        <f t="shared" si="23"/>
        <v>480000</v>
      </c>
      <c r="VP14">
        <v>50000</v>
      </c>
      <c r="VW14">
        <v>100000</v>
      </c>
      <c r="WB14" s="130">
        <f t="shared" si="24"/>
        <v>150000</v>
      </c>
      <c r="WN14">
        <v>300000</v>
      </c>
      <c r="XD14">
        <v>50000</v>
      </c>
      <c r="XH14" s="130">
        <f t="shared" si="25"/>
        <v>350000</v>
      </c>
      <c r="XT14">
        <v>150000</v>
      </c>
      <c r="YA14">
        <f>70000+50000</f>
        <v>120000</v>
      </c>
      <c r="YE14">
        <v>500000</v>
      </c>
      <c r="YI14">
        <v>50000</v>
      </c>
      <c r="YM14" s="130">
        <f t="shared" si="26"/>
        <v>820000</v>
      </c>
      <c r="YV14">
        <v>45000</v>
      </c>
      <c r="ZB14">
        <v>150000</v>
      </c>
      <c r="ZH14">
        <v>60000</v>
      </c>
      <c r="ZJ14">
        <v>150000</v>
      </c>
      <c r="ZL14">
        <v>10000</v>
      </c>
      <c r="ZS14" s="130">
        <f t="shared" si="27"/>
        <v>415000</v>
      </c>
      <c r="AAD14">
        <v>75000</v>
      </c>
      <c r="AAK14">
        <v>110000</v>
      </c>
      <c r="AAL14">
        <f>20000+50000</f>
        <v>70000</v>
      </c>
      <c r="AAX14" s="130">
        <f t="shared" si="28"/>
        <v>255000</v>
      </c>
      <c r="AAZ14">
        <v>2150000</v>
      </c>
      <c r="ABM14">
        <v>30000</v>
      </c>
      <c r="ABO14">
        <f>50000+30000</f>
        <v>80000</v>
      </c>
      <c r="ABP14">
        <v>50000</v>
      </c>
      <c r="ABS14">
        <v>120000</v>
      </c>
      <c r="ACD14" s="130">
        <f t="shared" si="29"/>
        <v>2430000</v>
      </c>
      <c r="ACT14">
        <v>30000</v>
      </c>
      <c r="ACV14">
        <v>100000</v>
      </c>
      <c r="ADJ14" s="130">
        <f t="shared" si="30"/>
        <v>130000</v>
      </c>
      <c r="ADZ14">
        <v>30000</v>
      </c>
      <c r="AEA14">
        <f>85000+110000+70000+50000</f>
        <v>315000</v>
      </c>
      <c r="AEC14">
        <v>150000</v>
      </c>
      <c r="AED14">
        <v>0</v>
      </c>
      <c r="AEF14">
        <v>0</v>
      </c>
      <c r="AEH14">
        <v>60000</v>
      </c>
      <c r="AEO14" s="130">
        <f t="shared" si="31"/>
        <v>555000</v>
      </c>
      <c r="AEX14">
        <v>200000</v>
      </c>
      <c r="AFE14">
        <v>30000</v>
      </c>
      <c r="AFI14">
        <v>50000</v>
      </c>
      <c r="AFL14">
        <v>50000</v>
      </c>
      <c r="AFP14">
        <v>50000</v>
      </c>
      <c r="AFU14" s="130">
        <f t="shared" si="32"/>
        <v>380000</v>
      </c>
      <c r="AGH14">
        <v>50000</v>
      </c>
      <c r="AGJ14">
        <v>70000</v>
      </c>
      <c r="AGL14">
        <v>30000</v>
      </c>
      <c r="AGS14">
        <v>50000</v>
      </c>
      <c r="AGT14">
        <v>100000</v>
      </c>
      <c r="AGV14">
        <v>50000</v>
      </c>
      <c r="AGZ14" s="130">
        <f t="shared" si="33"/>
        <v>350000</v>
      </c>
      <c r="AHT14">
        <f>150000+50000</f>
        <v>200000</v>
      </c>
      <c r="AHU14">
        <v>20000</v>
      </c>
      <c r="AIF14" s="145">
        <f t="shared" si="34"/>
        <v>220000</v>
      </c>
      <c r="AIS14">
        <v>150000</v>
      </c>
      <c r="AIX14">
        <v>150000</v>
      </c>
      <c r="AIY14">
        <v>50000</v>
      </c>
      <c r="AIZ14">
        <v>50000</v>
      </c>
      <c r="AJL14" s="145">
        <f t="shared" si="35"/>
        <v>400000</v>
      </c>
      <c r="AKO14" s="145">
        <f t="shared" si="36"/>
        <v>0</v>
      </c>
      <c r="ALF14">
        <v>50000</v>
      </c>
      <c r="ALG14">
        <v>150000</v>
      </c>
      <c r="ALJ14">
        <v>50000</v>
      </c>
      <c r="ALN14">
        <v>50000</v>
      </c>
      <c r="ALU14" s="145">
        <f t="shared" si="37"/>
        <v>300000</v>
      </c>
      <c r="AMO14">
        <v>50000</v>
      </c>
      <c r="AMP14">
        <v>70000</v>
      </c>
      <c r="AMR14">
        <v>100000</v>
      </c>
      <c r="AMZ14" s="145">
        <f t="shared" si="38"/>
        <v>220000</v>
      </c>
      <c r="ANT14">
        <f>60000+70000</f>
        <v>130000</v>
      </c>
      <c r="ANW14">
        <f>150000+50000+100000</f>
        <v>300000</v>
      </c>
      <c r="ANY14">
        <v>50000</v>
      </c>
    </row>
    <row r="15" spans="1:1070" x14ac:dyDescent="0.2">
      <c r="A15" s="160"/>
      <c r="B15" s="5" t="s">
        <v>1354</v>
      </c>
      <c r="C15" s="22"/>
      <c r="D15" s="22"/>
      <c r="E15" s="22"/>
      <c r="F15" s="22"/>
      <c r="G15" s="22"/>
      <c r="H15" s="22"/>
      <c r="I15" s="22"/>
      <c r="J15" s="22"/>
      <c r="K15" s="22"/>
      <c r="L15" s="22">
        <v>235000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52"/>
      <c r="AJ15" s="52"/>
      <c r="AK15" s="52"/>
      <c r="AL15" s="52">
        <v>168200</v>
      </c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>
        <f t="shared" si="39"/>
        <v>168200</v>
      </c>
      <c r="BN15" s="52"/>
      <c r="BO15" s="52"/>
      <c r="BP15" s="52"/>
      <c r="BQ15" s="52"/>
      <c r="BR15" s="52"/>
      <c r="BS15" s="52">
        <v>157700</v>
      </c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S15" s="110">
        <f t="shared" si="10"/>
        <v>157700</v>
      </c>
      <c r="CT15" s="52"/>
      <c r="CU15" s="52"/>
      <c r="CV15" s="52"/>
      <c r="CW15" s="52"/>
      <c r="CX15" s="52"/>
      <c r="CY15" s="52">
        <v>207000</v>
      </c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118">
        <f t="shared" si="40"/>
        <v>207000</v>
      </c>
      <c r="EJ15">
        <v>153100</v>
      </c>
      <c r="FA15">
        <v>170800</v>
      </c>
      <c r="FD15" s="126">
        <f t="shared" si="11"/>
        <v>323900</v>
      </c>
      <c r="GJ15" s="130"/>
      <c r="GR15">
        <v>213000</v>
      </c>
      <c r="HN15" s="130">
        <f t="shared" si="12"/>
        <v>213000</v>
      </c>
      <c r="HY15">
        <v>207000</v>
      </c>
      <c r="IT15" s="130">
        <f t="shared" si="13"/>
        <v>207000</v>
      </c>
      <c r="IY15">
        <v>172000</v>
      </c>
      <c r="JY15" s="130">
        <f t="shared" si="14"/>
        <v>172000</v>
      </c>
      <c r="KF15">
        <v>183000</v>
      </c>
      <c r="LA15">
        <v>183000</v>
      </c>
      <c r="LE15" s="130">
        <f t="shared" si="15"/>
        <v>366000</v>
      </c>
      <c r="MJ15" s="130">
        <f t="shared" si="16"/>
        <v>0</v>
      </c>
      <c r="MS15">
        <v>194800</v>
      </c>
      <c r="NP15" s="130">
        <f t="shared" si="17"/>
        <v>194800</v>
      </c>
      <c r="OC15">
        <v>248600</v>
      </c>
      <c r="OV15" s="130">
        <f t="shared" si="18"/>
        <v>248600</v>
      </c>
      <c r="OX15">
        <v>242000</v>
      </c>
      <c r="PZ15">
        <v>272000</v>
      </c>
      <c r="QA15" s="130">
        <f t="shared" si="19"/>
        <v>514000</v>
      </c>
      <c r="RE15">
        <v>175000</v>
      </c>
      <c r="RG15" s="130">
        <f t="shared" si="20"/>
        <v>175000</v>
      </c>
      <c r="SM15" s="130">
        <f t="shared" si="21"/>
        <v>0</v>
      </c>
      <c r="SP15">
        <v>186500</v>
      </c>
      <c r="TS15" s="130">
        <f t="shared" si="22"/>
        <v>186500</v>
      </c>
      <c r="TU15">
        <v>198500</v>
      </c>
      <c r="UY15" s="130">
        <f t="shared" si="23"/>
        <v>198500</v>
      </c>
      <c r="VD15">
        <v>174100</v>
      </c>
      <c r="WB15" s="130">
        <f t="shared" si="24"/>
        <v>174100</v>
      </c>
      <c r="WH15">
        <v>198500</v>
      </c>
      <c r="XH15" s="130">
        <f t="shared" si="25"/>
        <v>198500</v>
      </c>
      <c r="XJ15">
        <v>256500</v>
      </c>
      <c r="YM15" s="130">
        <f t="shared" si="26"/>
        <v>0</v>
      </c>
      <c r="YV15">
        <v>358000</v>
      </c>
      <c r="ZQ15">
        <v>322000</v>
      </c>
      <c r="ZS15" s="130">
        <f t="shared" si="27"/>
        <v>680000</v>
      </c>
      <c r="AAW15">
        <v>327000</v>
      </c>
      <c r="AAX15" s="130">
        <f t="shared" si="28"/>
        <v>327000</v>
      </c>
      <c r="ACB15">
        <v>292000</v>
      </c>
      <c r="ACD15" s="130">
        <f t="shared" si="29"/>
        <v>292000</v>
      </c>
      <c r="ADJ15" s="130">
        <f t="shared" si="30"/>
        <v>0</v>
      </c>
      <c r="ADN15">
        <v>230000</v>
      </c>
      <c r="AEO15" s="130">
        <f t="shared" si="31"/>
        <v>230000</v>
      </c>
      <c r="AEP15">
        <v>206600</v>
      </c>
      <c r="AFQ15">
        <v>236000</v>
      </c>
      <c r="AFU15" s="130">
        <f t="shared" si="32"/>
        <v>442600</v>
      </c>
      <c r="AFY15">
        <v>93000</v>
      </c>
      <c r="AGV15">
        <v>170000</v>
      </c>
      <c r="AGZ15" s="130">
        <f t="shared" si="33"/>
        <v>263000</v>
      </c>
      <c r="AHV15">
        <v>152000</v>
      </c>
      <c r="AIF15" s="145">
        <f t="shared" si="34"/>
        <v>152000</v>
      </c>
      <c r="AJG15">
        <v>146000</v>
      </c>
      <c r="AJL15" s="145">
        <f t="shared" si="35"/>
        <v>146000</v>
      </c>
      <c r="AKI15">
        <v>158600</v>
      </c>
      <c r="AKO15" s="145">
        <f t="shared" si="36"/>
        <v>158600</v>
      </c>
      <c r="ALP15">
        <v>183000</v>
      </c>
      <c r="ALU15" s="145">
        <f t="shared" si="37"/>
        <v>183000</v>
      </c>
      <c r="AMW15">
        <v>241499</v>
      </c>
      <c r="AMZ15" s="145">
        <f t="shared" si="38"/>
        <v>241499</v>
      </c>
      <c r="ANZ15">
        <v>202000</v>
      </c>
    </row>
    <row r="16" spans="1:1070" x14ac:dyDescent="0.2">
      <c r="A16" s="160"/>
      <c r="B16" s="5" t="s">
        <v>1355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>
        <v>93000</v>
      </c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52"/>
      <c r="AJ16" s="52"/>
      <c r="AK16" s="52"/>
      <c r="AL16" s="52"/>
      <c r="AM16" s="52"/>
      <c r="AN16" s="52"/>
      <c r="AO16" s="52"/>
      <c r="AP16" s="52">
        <v>48500</v>
      </c>
      <c r="AQ16" s="52"/>
      <c r="AR16" s="52"/>
      <c r="AS16" s="52"/>
      <c r="AT16" s="52"/>
      <c r="AU16" s="52"/>
      <c r="AV16" s="52"/>
      <c r="AW16" s="52"/>
      <c r="AX16" s="52"/>
      <c r="AY16" s="52">
        <v>98000</v>
      </c>
      <c r="AZ16" s="52"/>
      <c r="BA16" s="52"/>
      <c r="BB16" s="52"/>
      <c r="BC16" s="52"/>
      <c r="BD16" s="52">
        <v>49000</v>
      </c>
      <c r="BE16" s="52"/>
      <c r="BF16" s="52"/>
      <c r="BG16" s="52"/>
      <c r="BH16" s="52"/>
      <c r="BI16" s="52"/>
      <c r="BJ16" s="52"/>
      <c r="BK16" s="52"/>
      <c r="BL16" s="52"/>
      <c r="BM16" s="52">
        <f t="shared" si="39"/>
        <v>195500</v>
      </c>
      <c r="BN16" s="52">
        <v>99000</v>
      </c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>
        <v>99000</v>
      </c>
      <c r="CD16" s="52"/>
      <c r="CE16" s="52"/>
      <c r="CF16" s="52"/>
      <c r="CM16">
        <v>99000</v>
      </c>
      <c r="CS16" s="110">
        <f t="shared" si="10"/>
        <v>297000</v>
      </c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>
        <v>49500</v>
      </c>
      <c r="DF16" s="52"/>
      <c r="DG16" s="52"/>
      <c r="DH16" s="52"/>
      <c r="DI16" s="52"/>
      <c r="DJ16" s="52">
        <v>99800</v>
      </c>
      <c r="DK16" s="52"/>
      <c r="DL16" s="52"/>
      <c r="DM16" s="52"/>
      <c r="DN16" s="52"/>
      <c r="DO16" s="52"/>
      <c r="DP16" s="52"/>
      <c r="DQ16" s="52"/>
      <c r="DR16" s="52"/>
      <c r="DS16" s="52">
        <v>99800</v>
      </c>
      <c r="DT16" s="52">
        <v>299400</v>
      </c>
      <c r="DU16" s="52">
        <v>199600</v>
      </c>
      <c r="DV16" s="52"/>
      <c r="DW16" s="52"/>
      <c r="DX16" s="118">
        <f t="shared" si="40"/>
        <v>748100</v>
      </c>
      <c r="ED16">
        <v>49900</v>
      </c>
      <c r="EF16">
        <v>99800</v>
      </c>
      <c r="EG16">
        <v>49900</v>
      </c>
      <c r="EH16">
        <v>266750</v>
      </c>
      <c r="EI16">
        <v>97000</v>
      </c>
      <c r="EJ16">
        <v>48500</v>
      </c>
      <c r="EW16">
        <v>48500</v>
      </c>
      <c r="FD16" s="126">
        <f t="shared" si="11"/>
        <v>660350</v>
      </c>
      <c r="FZ16">
        <v>97000</v>
      </c>
      <c r="GB16">
        <v>48500</v>
      </c>
      <c r="GC16">
        <v>48500</v>
      </c>
      <c r="GJ16" s="130">
        <f>SUM(FE16:GI16)</f>
        <v>194000</v>
      </c>
      <c r="GR16">
        <v>97000</v>
      </c>
      <c r="HD16">
        <v>97000</v>
      </c>
      <c r="HE16">
        <v>97000</v>
      </c>
      <c r="HJ16">
        <v>48500</v>
      </c>
      <c r="HK16">
        <v>145500</v>
      </c>
      <c r="HN16" s="130">
        <f t="shared" si="12"/>
        <v>485000</v>
      </c>
      <c r="HT16">
        <v>97000</v>
      </c>
      <c r="IE16">
        <v>99000</v>
      </c>
      <c r="IM16">
        <v>346500</v>
      </c>
      <c r="IT16" s="130">
        <f t="shared" si="13"/>
        <v>542500</v>
      </c>
      <c r="JA16">
        <v>99800</v>
      </c>
      <c r="JN16">
        <v>99800</v>
      </c>
      <c r="JS16">
        <v>199600</v>
      </c>
      <c r="JY16" s="130">
        <f t="shared" si="14"/>
        <v>399200</v>
      </c>
      <c r="KH16">
        <v>97800</v>
      </c>
      <c r="KT16">
        <v>97800</v>
      </c>
      <c r="KX16">
        <v>97800</v>
      </c>
      <c r="KY16">
        <v>97800</v>
      </c>
      <c r="KZ16">
        <v>97800</v>
      </c>
      <c r="LE16" s="130">
        <f t="shared" si="15"/>
        <v>489000</v>
      </c>
      <c r="LL16">
        <v>194000</v>
      </c>
      <c r="LP16">
        <v>97000</v>
      </c>
      <c r="LV16">
        <v>97000</v>
      </c>
      <c r="LW16">
        <v>194000</v>
      </c>
      <c r="LX16">
        <v>145500</v>
      </c>
      <c r="MJ16" s="130">
        <f t="shared" si="16"/>
        <v>727500</v>
      </c>
      <c r="MO16">
        <v>97000</v>
      </c>
      <c r="MP16">
        <v>97000</v>
      </c>
      <c r="NC16">
        <v>47990</v>
      </c>
      <c r="NF16">
        <v>95980</v>
      </c>
      <c r="NK16">
        <v>191960</v>
      </c>
      <c r="NP16" s="130">
        <f t="shared" si="17"/>
        <v>529930</v>
      </c>
      <c r="NX16">
        <v>94980</v>
      </c>
      <c r="OF16">
        <v>47490</v>
      </c>
      <c r="OR16">
        <v>47490</v>
      </c>
      <c r="OS16">
        <v>94980</v>
      </c>
      <c r="OV16" s="130">
        <f t="shared" si="18"/>
        <v>284940</v>
      </c>
      <c r="PE16">
        <v>94980</v>
      </c>
      <c r="PG16">
        <v>189960</v>
      </c>
      <c r="PH16">
        <v>94980</v>
      </c>
      <c r="PS16">
        <v>71235</v>
      </c>
      <c r="PW16">
        <v>47490</v>
      </c>
      <c r="PZ16">
        <v>94980</v>
      </c>
      <c r="QA16" s="130">
        <f t="shared" si="19"/>
        <v>593625</v>
      </c>
      <c r="QC16">
        <v>142470</v>
      </c>
      <c r="QJ16">
        <v>94980</v>
      </c>
      <c r="QU16">
        <v>91980</v>
      </c>
      <c r="QZ16">
        <v>91980</v>
      </c>
      <c r="RC16">
        <v>91980</v>
      </c>
      <c r="RG16" s="130">
        <f t="shared" si="20"/>
        <v>513390</v>
      </c>
      <c r="RN16">
        <v>91980</v>
      </c>
      <c r="RR16">
        <v>89400</v>
      </c>
      <c r="RS16">
        <v>44700</v>
      </c>
      <c r="RT16">
        <v>44700</v>
      </c>
      <c r="RW16">
        <v>178800</v>
      </c>
      <c r="RZ16">
        <v>312900</v>
      </c>
      <c r="SA16">
        <v>312900</v>
      </c>
      <c r="SB16">
        <v>223500</v>
      </c>
      <c r="SM16" s="130">
        <f t="shared" si="21"/>
        <v>1298880</v>
      </c>
      <c r="SS16">
        <v>44700</v>
      </c>
      <c r="SZ16">
        <v>89400</v>
      </c>
      <c r="TA16">
        <v>0</v>
      </c>
      <c r="TF16">
        <v>89400</v>
      </c>
      <c r="TI16">
        <v>89400</v>
      </c>
      <c r="TP16">
        <v>89400</v>
      </c>
      <c r="TS16" s="130">
        <f t="shared" si="22"/>
        <v>402300</v>
      </c>
      <c r="TZ16">
        <v>44700</v>
      </c>
      <c r="UE16">
        <v>89400</v>
      </c>
      <c r="UL16">
        <v>44900</v>
      </c>
      <c r="UQ16">
        <v>89800</v>
      </c>
      <c r="UY16" s="130">
        <f t="shared" si="23"/>
        <v>268800</v>
      </c>
      <c r="VS16">
        <v>45500</v>
      </c>
      <c r="VW16">
        <v>45500</v>
      </c>
      <c r="VX16">
        <v>91000</v>
      </c>
      <c r="VY16">
        <v>318500</v>
      </c>
      <c r="WB16" s="130">
        <f t="shared" si="24"/>
        <v>500500</v>
      </c>
      <c r="WI16">
        <v>91000</v>
      </c>
      <c r="WJ16">
        <v>364000</v>
      </c>
      <c r="WK16">
        <v>445000</v>
      </c>
      <c r="WL16">
        <v>250250</v>
      </c>
      <c r="WX16">
        <v>273000</v>
      </c>
      <c r="XA16">
        <v>182000</v>
      </c>
      <c r="XB16">
        <v>550800</v>
      </c>
      <c r="XD16">
        <v>91800</v>
      </c>
      <c r="XG16">
        <v>91800</v>
      </c>
      <c r="XH16" s="130">
        <f t="shared" si="25"/>
        <v>2339650</v>
      </c>
      <c r="XI16">
        <v>91800</v>
      </c>
      <c r="XM16">
        <v>91800</v>
      </c>
      <c r="XN16">
        <v>183600</v>
      </c>
      <c r="XY16">
        <v>93000</v>
      </c>
      <c r="YK16">
        <v>93000</v>
      </c>
      <c r="YM16" s="130">
        <f t="shared" si="26"/>
        <v>461400</v>
      </c>
      <c r="YO16">
        <v>186000</v>
      </c>
      <c r="YP16">
        <v>93000</v>
      </c>
      <c r="YT16">
        <v>93000</v>
      </c>
      <c r="ZA16">
        <v>186000</v>
      </c>
      <c r="ZD16">
        <v>93000</v>
      </c>
      <c r="ZS16" s="130">
        <f t="shared" si="27"/>
        <v>651000</v>
      </c>
      <c r="AAA16">
        <v>186000</v>
      </c>
      <c r="AAD16">
        <v>93000</v>
      </c>
      <c r="AAG16">
        <v>46500</v>
      </c>
      <c r="AAH16">
        <v>186000</v>
      </c>
      <c r="AAX16" s="130">
        <f t="shared" si="28"/>
        <v>511500</v>
      </c>
      <c r="ABA16">
        <v>93000</v>
      </c>
      <c r="ABF16">
        <v>186000</v>
      </c>
      <c r="ABT16">
        <v>93000</v>
      </c>
      <c r="ACD16" s="130">
        <f t="shared" si="29"/>
        <v>372000</v>
      </c>
      <c r="ACK16">
        <v>186000</v>
      </c>
      <c r="ACL16">
        <v>372000</v>
      </c>
      <c r="ACM16">
        <v>93000</v>
      </c>
      <c r="ADB16">
        <v>139500</v>
      </c>
      <c r="ADC16">
        <v>372000</v>
      </c>
      <c r="ADD16">
        <v>232500</v>
      </c>
      <c r="ADF16">
        <v>93000</v>
      </c>
      <c r="ADJ16" s="130">
        <f t="shared" si="30"/>
        <v>1488000</v>
      </c>
      <c r="ADN16">
        <v>93000</v>
      </c>
      <c r="ADX16">
        <v>93000</v>
      </c>
      <c r="AEB16">
        <v>139500</v>
      </c>
      <c r="AEC16">
        <v>93000</v>
      </c>
      <c r="AEO16" s="130">
        <f t="shared" si="31"/>
        <v>418500</v>
      </c>
      <c r="AET16">
        <v>93000</v>
      </c>
      <c r="AEW16">
        <v>93000</v>
      </c>
      <c r="AFG16">
        <v>93000</v>
      </c>
      <c r="AFI16">
        <v>186000</v>
      </c>
      <c r="AFR16">
        <v>93000</v>
      </c>
      <c r="AFU16" s="130">
        <f t="shared" si="32"/>
        <v>558000</v>
      </c>
      <c r="AGE16">
        <f>93000+93000</f>
        <v>186000</v>
      </c>
      <c r="AGO16">
        <v>93000</v>
      </c>
      <c r="AGV16">
        <v>0</v>
      </c>
      <c r="AGW16">
        <v>90980</v>
      </c>
      <c r="AGZ16" s="130">
        <f t="shared" si="33"/>
        <v>369980</v>
      </c>
      <c r="AHL16">
        <v>91780</v>
      </c>
      <c r="AHW16">
        <v>91780</v>
      </c>
      <c r="AIF16" s="145">
        <f t="shared" si="34"/>
        <v>183560</v>
      </c>
      <c r="AIM16">
        <v>183560</v>
      </c>
      <c r="AIQ16">
        <v>91780</v>
      </c>
      <c r="AJJ16">
        <v>91980</v>
      </c>
      <c r="AJL16" s="145">
        <f t="shared" si="35"/>
        <v>367320</v>
      </c>
      <c r="AJV16">
        <v>91980</v>
      </c>
      <c r="AKA16">
        <v>91980</v>
      </c>
      <c r="AKO16" s="145">
        <f t="shared" si="36"/>
        <v>183960</v>
      </c>
      <c r="AKY16">
        <v>45990</v>
      </c>
      <c r="ALC16">
        <f>92980+185960</f>
        <v>278940</v>
      </c>
      <c r="ALD16">
        <f>185960+185960</f>
        <v>371920</v>
      </c>
      <c r="ALE16">
        <v>185960</v>
      </c>
      <c r="ALG16">
        <v>140970</v>
      </c>
      <c r="ALO16">
        <v>100000</v>
      </c>
      <c r="ALR16">
        <v>200000</v>
      </c>
      <c r="ALS16">
        <v>250000</v>
      </c>
      <c r="ALU16" s="145">
        <f t="shared" si="37"/>
        <v>1573780</v>
      </c>
      <c r="AMI16">
        <v>311940</v>
      </c>
      <c r="AML16">
        <v>262450</v>
      </c>
      <c r="AMM16">
        <v>367430</v>
      </c>
      <c r="AMN16">
        <v>393675</v>
      </c>
      <c r="AMO16">
        <v>314940</v>
      </c>
      <c r="AMR16">
        <v>157470</v>
      </c>
      <c r="AMZ16" s="145">
        <f t="shared" si="38"/>
        <v>1807905</v>
      </c>
      <c r="AND16">
        <v>168870</v>
      </c>
      <c r="ANE16">
        <v>281450</v>
      </c>
      <c r="ANJ16">
        <v>112580</v>
      </c>
      <c r="ANO16">
        <f>56290+20000</f>
        <v>76290</v>
      </c>
      <c r="ANP16">
        <v>354000</v>
      </c>
      <c r="ANQ16">
        <v>118000</v>
      </c>
      <c r="ANW16">
        <v>128980</v>
      </c>
      <c r="ANX16">
        <v>128980</v>
      </c>
      <c r="ANZ16">
        <v>128980</v>
      </c>
    </row>
    <row r="17" spans="1:1070" x14ac:dyDescent="0.2">
      <c r="A17" s="160"/>
      <c r="B17" s="5" t="s">
        <v>1356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>
        <v>1826000</v>
      </c>
      <c r="AD17" s="22"/>
      <c r="AE17" s="22"/>
      <c r="AF17" s="22"/>
      <c r="AG17" s="22"/>
      <c r="AH17" s="22"/>
      <c r="AI17" s="52"/>
      <c r="AJ17" s="52"/>
      <c r="AK17" s="52"/>
      <c r="AL17" s="52"/>
      <c r="AM17" s="52"/>
      <c r="AN17" s="52">
        <v>5535576</v>
      </c>
      <c r="AO17" s="52">
        <v>20000</v>
      </c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>
        <f t="shared" si="39"/>
        <v>5555576</v>
      </c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S17" s="110">
        <f t="shared" si="10"/>
        <v>0</v>
      </c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117"/>
      <c r="EJ17">
        <v>35067</v>
      </c>
      <c r="EK17">
        <v>10000</v>
      </c>
      <c r="FD17" s="126">
        <f t="shared" si="11"/>
        <v>45067</v>
      </c>
      <c r="GG17">
        <v>600000</v>
      </c>
      <c r="GJ17" s="130">
        <f>SUM(FE17:GI17)</f>
        <v>600000</v>
      </c>
      <c r="HN17" s="130">
        <f t="shared" si="12"/>
        <v>0</v>
      </c>
      <c r="IT17" s="130">
        <f t="shared" si="13"/>
        <v>0</v>
      </c>
      <c r="JY17" s="130">
        <f t="shared" si="14"/>
        <v>0</v>
      </c>
      <c r="LE17" s="130">
        <f t="shared" si="15"/>
        <v>0</v>
      </c>
      <c r="MJ17" s="130">
        <f t="shared" si="16"/>
        <v>0</v>
      </c>
      <c r="NP17" s="130">
        <f t="shared" si="17"/>
        <v>0</v>
      </c>
      <c r="OV17" s="130">
        <f t="shared" si="18"/>
        <v>0</v>
      </c>
      <c r="OW17">
        <v>0</v>
      </c>
      <c r="QA17" s="130">
        <f t="shared" si="19"/>
        <v>0</v>
      </c>
      <c r="RG17" s="130">
        <f t="shared" si="20"/>
        <v>0</v>
      </c>
      <c r="SM17" s="130">
        <f t="shared" si="21"/>
        <v>0</v>
      </c>
      <c r="TS17" s="130">
        <f t="shared" si="22"/>
        <v>0</v>
      </c>
      <c r="UY17" s="130">
        <f t="shared" si="23"/>
        <v>0</v>
      </c>
      <c r="WB17" s="130">
        <f t="shared" si="24"/>
        <v>0</v>
      </c>
      <c r="XH17" s="130">
        <f t="shared" si="25"/>
        <v>0</v>
      </c>
      <c r="XQ17">
        <v>30000</v>
      </c>
      <c r="YM17" s="130">
        <f t="shared" si="26"/>
        <v>30000</v>
      </c>
      <c r="ZS17" s="130">
        <f t="shared" si="27"/>
        <v>0</v>
      </c>
      <c r="AAX17" s="130">
        <f t="shared" si="28"/>
        <v>0</v>
      </c>
      <c r="ACD17" s="130">
        <f t="shared" si="29"/>
        <v>0</v>
      </c>
      <c r="ADJ17" s="130">
        <f t="shared" si="30"/>
        <v>0</v>
      </c>
      <c r="AEO17" s="130">
        <f t="shared" si="31"/>
        <v>0</v>
      </c>
      <c r="AFU17" s="130">
        <f t="shared" si="32"/>
        <v>0</v>
      </c>
      <c r="AFV17" s="147">
        <v>2224432</v>
      </c>
      <c r="AGO17">
        <v>0</v>
      </c>
      <c r="AGZ17" s="130">
        <f t="shared" si="33"/>
        <v>2224432</v>
      </c>
      <c r="AIF17" s="145">
        <f t="shared" si="34"/>
        <v>0</v>
      </c>
      <c r="AJL17" s="145">
        <f t="shared" si="35"/>
        <v>0</v>
      </c>
      <c r="AKO17" s="145">
        <f t="shared" si="36"/>
        <v>0</v>
      </c>
      <c r="ALU17" s="145">
        <f t="shared" si="37"/>
        <v>0</v>
      </c>
      <c r="ALZ17">
        <v>18000</v>
      </c>
      <c r="AMZ17" s="145">
        <f t="shared" si="38"/>
        <v>18000</v>
      </c>
      <c r="AND17">
        <v>12635</v>
      </c>
      <c r="ANS17">
        <v>224000</v>
      </c>
    </row>
    <row r="18" spans="1:1070" x14ac:dyDescent="0.2">
      <c r="A18" s="160"/>
      <c r="B18" s="5" t="s">
        <v>1357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>
        <v>10000</v>
      </c>
      <c r="CF18" s="52"/>
      <c r="CL18">
        <v>50000</v>
      </c>
      <c r="CS18" s="110">
        <f t="shared" si="10"/>
        <v>60000</v>
      </c>
      <c r="CT18" s="52"/>
      <c r="CU18" s="52"/>
      <c r="CV18" s="52"/>
      <c r="CW18" s="52">
        <v>6000</v>
      </c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>
        <v>2000</v>
      </c>
      <c r="DP18" s="52"/>
      <c r="DQ18" s="52"/>
      <c r="DR18" s="52"/>
      <c r="DS18" s="52"/>
      <c r="DT18" s="52"/>
      <c r="DU18" s="52"/>
      <c r="DV18" s="52"/>
      <c r="DW18" s="52"/>
      <c r="DX18" s="118">
        <f>SUM(CT18:DW18)</f>
        <v>8000</v>
      </c>
      <c r="EE18">
        <v>60000</v>
      </c>
      <c r="ET18">
        <v>0</v>
      </c>
      <c r="EU18">
        <v>10000</v>
      </c>
      <c r="FD18" s="126">
        <f t="shared" si="11"/>
        <v>70000</v>
      </c>
      <c r="FT18">
        <v>15000</v>
      </c>
      <c r="GJ18" s="130">
        <f>SUM(FE18:GI18)</f>
        <v>15000</v>
      </c>
      <c r="HK18">
        <v>10000</v>
      </c>
      <c r="HN18" s="130">
        <f t="shared" si="12"/>
        <v>10000</v>
      </c>
      <c r="IT18" s="130">
        <f t="shared" si="13"/>
        <v>0</v>
      </c>
      <c r="JY18" s="130">
        <f t="shared" si="14"/>
        <v>0</v>
      </c>
      <c r="LE18" s="130">
        <f t="shared" si="15"/>
        <v>0</v>
      </c>
      <c r="MJ18" s="130">
        <f t="shared" si="16"/>
        <v>0</v>
      </c>
      <c r="NP18" s="130">
        <f t="shared" si="17"/>
        <v>0</v>
      </c>
      <c r="OP18">
        <v>17000</v>
      </c>
      <c r="OV18" s="130">
        <f t="shared" si="18"/>
        <v>17000</v>
      </c>
      <c r="OW18">
        <v>0</v>
      </c>
      <c r="PG18">
        <v>50000</v>
      </c>
      <c r="QA18" s="130">
        <f t="shared" si="19"/>
        <v>50000</v>
      </c>
      <c r="RG18" s="130">
        <f t="shared" si="20"/>
        <v>0</v>
      </c>
      <c r="SM18" s="130">
        <f t="shared" si="21"/>
        <v>0</v>
      </c>
      <c r="TS18" s="130">
        <f t="shared" si="22"/>
        <v>0</v>
      </c>
      <c r="UI18">
        <v>10000</v>
      </c>
      <c r="UY18" s="130">
        <f t="shared" si="23"/>
        <v>10000</v>
      </c>
      <c r="WB18" s="130">
        <f t="shared" si="24"/>
        <v>0</v>
      </c>
      <c r="XH18" s="130">
        <f t="shared" si="25"/>
        <v>0</v>
      </c>
      <c r="YM18" s="130">
        <f t="shared" si="26"/>
        <v>0</v>
      </c>
      <c r="YV18">
        <v>25000</v>
      </c>
      <c r="ZS18" s="130">
        <f t="shared" si="27"/>
        <v>25000</v>
      </c>
      <c r="AAX18" s="130">
        <f t="shared" si="28"/>
        <v>0</v>
      </c>
      <c r="ACD18" s="130">
        <f t="shared" si="29"/>
        <v>0</v>
      </c>
      <c r="ACY18">
        <v>10000</v>
      </c>
      <c r="ADJ18" s="130">
        <f t="shared" si="30"/>
        <v>10000</v>
      </c>
      <c r="AEO18" s="130">
        <f t="shared" si="31"/>
        <v>0</v>
      </c>
      <c r="AFU18" s="130">
        <f t="shared" si="32"/>
        <v>0</v>
      </c>
      <c r="AGZ18" s="130">
        <f t="shared" si="33"/>
        <v>0</v>
      </c>
      <c r="AIF18" s="145">
        <f t="shared" si="34"/>
        <v>0</v>
      </c>
      <c r="AJL18" s="145">
        <f t="shared" si="35"/>
        <v>0</v>
      </c>
      <c r="AKO18" s="145">
        <f t="shared" si="36"/>
        <v>0</v>
      </c>
      <c r="ALU18" s="145">
        <f t="shared" si="37"/>
        <v>0</v>
      </c>
      <c r="AMZ18" s="145">
        <f t="shared" si="38"/>
        <v>0</v>
      </c>
      <c r="ANK18">
        <v>20000</v>
      </c>
    </row>
    <row r="19" spans="1:1070" x14ac:dyDescent="0.2">
      <c r="A19" s="160"/>
      <c r="B19" s="5" t="s">
        <v>1358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S19" s="110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118"/>
      <c r="FD19" s="126"/>
      <c r="GJ19" s="130"/>
      <c r="HN19" s="130"/>
      <c r="IT19" s="130"/>
      <c r="JY19" s="130"/>
      <c r="LE19" s="130"/>
      <c r="MJ19" s="130"/>
      <c r="NP19" s="130"/>
      <c r="OV19" s="130"/>
      <c r="QA19" s="130"/>
      <c r="RG19" s="130"/>
      <c r="RJ19">
        <v>170000</v>
      </c>
      <c r="SM19" s="130"/>
      <c r="TS19" s="130"/>
      <c r="UU19">
        <v>15000</v>
      </c>
      <c r="UY19" s="130"/>
      <c r="WB19" s="130">
        <f t="shared" si="24"/>
        <v>0</v>
      </c>
      <c r="XH19" s="130">
        <f t="shared" si="25"/>
        <v>0</v>
      </c>
      <c r="XS19">
        <v>30000</v>
      </c>
      <c r="YM19" s="130">
        <f t="shared" si="26"/>
        <v>30000</v>
      </c>
      <c r="YV19">
        <v>30000</v>
      </c>
      <c r="ZD19">
        <v>25000</v>
      </c>
      <c r="ZR19">
        <v>50000</v>
      </c>
      <c r="ZS19" s="130">
        <f t="shared" si="27"/>
        <v>105000</v>
      </c>
      <c r="AAH19">
        <v>30000</v>
      </c>
      <c r="AAX19" s="130">
        <f t="shared" si="28"/>
        <v>30000</v>
      </c>
      <c r="ABP19">
        <v>145000</v>
      </c>
      <c r="ACD19" s="130">
        <f t="shared" si="29"/>
        <v>145000</v>
      </c>
      <c r="ACG19">
        <v>41000</v>
      </c>
      <c r="ACL19">
        <v>60000</v>
      </c>
      <c r="ACX19">
        <v>30000</v>
      </c>
      <c r="ADJ19" s="130">
        <f t="shared" si="30"/>
        <v>131000</v>
      </c>
      <c r="AEO19" s="130">
        <f t="shared" si="31"/>
        <v>0</v>
      </c>
      <c r="AFO19">
        <v>2500</v>
      </c>
      <c r="AFU19" s="130">
        <f t="shared" si="32"/>
        <v>2500</v>
      </c>
      <c r="AGR19">
        <v>60000</v>
      </c>
      <c r="AGZ19" s="130">
        <f t="shared" si="33"/>
        <v>60000</v>
      </c>
      <c r="AIF19" s="145">
        <f t="shared" si="34"/>
        <v>0</v>
      </c>
      <c r="AJL19" s="145">
        <f t="shared" si="35"/>
        <v>0</v>
      </c>
      <c r="AKE19">
        <v>150000</v>
      </c>
      <c r="AKO19" s="145">
        <f t="shared" si="36"/>
        <v>150000</v>
      </c>
      <c r="AKR19">
        <v>25000</v>
      </c>
      <c r="AKS19">
        <v>65000</v>
      </c>
      <c r="ALU19" s="145">
        <f t="shared" si="37"/>
        <v>65000</v>
      </c>
      <c r="AMZ19" s="145">
        <f t="shared" si="38"/>
        <v>0</v>
      </c>
    </row>
    <row r="20" spans="1:1070" x14ac:dyDescent="0.2">
      <c r="A20" s="160"/>
      <c r="B20" s="5" t="s">
        <v>1359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>
        <v>11000</v>
      </c>
      <c r="CF20" s="52"/>
      <c r="CS20" s="110">
        <f>SUM(BN20:CR20)</f>
        <v>11000</v>
      </c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117"/>
      <c r="FB20">
        <v>15300</v>
      </c>
      <c r="FD20" s="126">
        <f t="shared" ref="FD20:FD26" si="41">SUM(DY20:FC20)</f>
        <v>15300</v>
      </c>
      <c r="FJ20">
        <v>2000</v>
      </c>
      <c r="FV20">
        <v>11000</v>
      </c>
      <c r="GE20">
        <v>20000</v>
      </c>
      <c r="GJ20" s="130">
        <f>SUM(FE20:GI20)</f>
        <v>33000</v>
      </c>
      <c r="HN20" s="130">
        <f t="shared" ref="HN20:HN27" si="42">SUM(GK20:HM20)</f>
        <v>0</v>
      </c>
      <c r="IR20">
        <v>14000</v>
      </c>
      <c r="IT20" s="130">
        <f t="shared" ref="IT20:IT27" si="43">SUM(HO20:IS20)</f>
        <v>14000</v>
      </c>
      <c r="JY20" s="130">
        <f t="shared" ref="JY20:JY27" si="44">SUM(IU20:JX20)</f>
        <v>0</v>
      </c>
      <c r="KB20">
        <v>2000</v>
      </c>
      <c r="LE20" s="130">
        <f t="shared" ref="LE20:LE27" si="45">SUM(KA20:LD20)</f>
        <v>2000</v>
      </c>
      <c r="LH20">
        <v>9800</v>
      </c>
      <c r="LR20">
        <v>9400</v>
      </c>
      <c r="MJ20" s="130">
        <f t="shared" ref="MJ20:MJ27" si="46">SUM(LF20:MI20)</f>
        <v>19200</v>
      </c>
      <c r="NP20" s="130">
        <f t="shared" ref="NP20:NP27" si="47">SUM(ML20:NO20)</f>
        <v>0</v>
      </c>
      <c r="NU20">
        <v>144000</v>
      </c>
      <c r="OV20" s="130">
        <f t="shared" ref="OV20:OV27" si="48">SUM(NR20:OU20)</f>
        <v>144000</v>
      </c>
      <c r="OY20">
        <v>17800</v>
      </c>
      <c r="PP20">
        <v>8800</v>
      </c>
      <c r="QA20" s="130">
        <f t="shared" ref="QA20:QA27" si="49">SUM(OW20:PZ20)</f>
        <v>26600</v>
      </c>
      <c r="QQ20">
        <v>9000</v>
      </c>
      <c r="QZ20">
        <v>170000</v>
      </c>
      <c r="RA20">
        <v>16800</v>
      </c>
      <c r="RG20" s="130">
        <f t="shared" ref="RG20:RG27" si="50">SUM(QC20:RF20)</f>
        <v>195800</v>
      </c>
      <c r="RW20">
        <f>13200+9800</f>
        <v>23000</v>
      </c>
      <c r="SM20" s="130">
        <f t="shared" ref="SM20:SM27" si="51">SUM(RI20:SL20)</f>
        <v>23000</v>
      </c>
      <c r="TS20" s="130">
        <f t="shared" ref="TS20:TS27" si="52">SUM(SO20:TR20)</f>
        <v>0</v>
      </c>
      <c r="UY20" s="130">
        <f t="shared" ref="UY20:UY27" si="53">SUM(TU20:UX20)</f>
        <v>0</v>
      </c>
      <c r="VM20">
        <v>13800</v>
      </c>
      <c r="WB20" s="130">
        <f t="shared" si="24"/>
        <v>13800</v>
      </c>
      <c r="WG20">
        <v>11400</v>
      </c>
      <c r="XH20" s="130">
        <f t="shared" si="25"/>
        <v>11400</v>
      </c>
      <c r="YM20" s="130">
        <f t="shared" si="26"/>
        <v>0</v>
      </c>
      <c r="YZ20">
        <v>13500</v>
      </c>
      <c r="ZS20" s="130">
        <f t="shared" si="27"/>
        <v>13500</v>
      </c>
      <c r="AAX20" s="130">
        <f t="shared" si="28"/>
        <v>0</v>
      </c>
      <c r="ABG20">
        <v>18500</v>
      </c>
      <c r="ABI20">
        <v>9600</v>
      </c>
      <c r="ABP20">
        <v>16000</v>
      </c>
      <c r="ABU20">
        <v>8000</v>
      </c>
      <c r="ACD20" s="130">
        <f t="shared" si="29"/>
        <v>52100</v>
      </c>
      <c r="ADJ20" s="130">
        <f t="shared" si="30"/>
        <v>0</v>
      </c>
      <c r="ADW20">
        <v>50000</v>
      </c>
      <c r="AEO20" s="130">
        <f t="shared" si="31"/>
        <v>50000</v>
      </c>
      <c r="AEU20">
        <v>5000</v>
      </c>
      <c r="AFU20" s="130">
        <f t="shared" si="32"/>
        <v>5000</v>
      </c>
      <c r="AGZ20" s="130">
        <f t="shared" si="33"/>
        <v>0</v>
      </c>
      <c r="AHS20">
        <v>5500</v>
      </c>
      <c r="AIF20" s="145">
        <f t="shared" si="34"/>
        <v>5500</v>
      </c>
      <c r="AJL20" s="145">
        <f t="shared" si="35"/>
        <v>0</v>
      </c>
      <c r="AJV20">
        <v>5000</v>
      </c>
      <c r="AKK20">
        <v>6500</v>
      </c>
      <c r="AKO20" s="145">
        <f t="shared" si="36"/>
        <v>11500</v>
      </c>
      <c r="AKV20">
        <v>24000</v>
      </c>
      <c r="ALU20" s="145">
        <f t="shared" si="37"/>
        <v>24000</v>
      </c>
      <c r="ALW20">
        <v>10000</v>
      </c>
      <c r="AMZ20" s="145">
        <f t="shared" si="38"/>
        <v>10000</v>
      </c>
    </row>
    <row r="21" spans="1:1070" x14ac:dyDescent="0.2">
      <c r="A21" s="160"/>
      <c r="B21" s="5" t="s">
        <v>1360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>
        <v>12000</v>
      </c>
      <c r="CF21" s="52"/>
      <c r="CS21" s="110">
        <f>SUM(BN21:CR21)</f>
        <v>12000</v>
      </c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117"/>
      <c r="FD21" s="126">
        <f t="shared" si="41"/>
        <v>0</v>
      </c>
      <c r="GJ21" s="130"/>
      <c r="HN21" s="130">
        <f t="shared" si="42"/>
        <v>0</v>
      </c>
      <c r="IT21" s="130">
        <f t="shared" si="43"/>
        <v>0</v>
      </c>
      <c r="JY21" s="130">
        <f t="shared" si="44"/>
        <v>0</v>
      </c>
      <c r="LE21" s="130">
        <f t="shared" si="45"/>
        <v>0</v>
      </c>
      <c r="MJ21" s="130">
        <f t="shared" si="46"/>
        <v>0</v>
      </c>
      <c r="NP21" s="130">
        <f t="shared" si="47"/>
        <v>0</v>
      </c>
      <c r="OV21" s="130">
        <f t="shared" si="48"/>
        <v>0</v>
      </c>
      <c r="QA21" s="130">
        <f t="shared" si="49"/>
        <v>0</v>
      </c>
      <c r="RG21" s="130">
        <f t="shared" si="50"/>
        <v>0</v>
      </c>
      <c r="SM21" s="130">
        <f t="shared" si="51"/>
        <v>0</v>
      </c>
      <c r="TS21" s="130">
        <f t="shared" si="52"/>
        <v>0</v>
      </c>
      <c r="UY21" s="130">
        <f t="shared" si="53"/>
        <v>0</v>
      </c>
      <c r="WB21" s="130">
        <f t="shared" si="24"/>
        <v>0</v>
      </c>
      <c r="XH21" s="130">
        <f t="shared" si="25"/>
        <v>0</v>
      </c>
      <c r="YM21" s="130">
        <f t="shared" si="26"/>
        <v>0</v>
      </c>
      <c r="ZS21" s="130">
        <f t="shared" si="27"/>
        <v>0</v>
      </c>
      <c r="AAX21" s="130">
        <f t="shared" si="28"/>
        <v>0</v>
      </c>
      <c r="ACD21" s="130">
        <f t="shared" si="29"/>
        <v>0</v>
      </c>
      <c r="ADJ21" s="130">
        <f t="shared" si="30"/>
        <v>0</v>
      </c>
      <c r="AEO21" s="130">
        <f t="shared" si="31"/>
        <v>0</v>
      </c>
      <c r="AFU21" s="130">
        <f t="shared" si="32"/>
        <v>0</v>
      </c>
      <c r="AGZ21" s="130">
        <f t="shared" si="33"/>
        <v>0</v>
      </c>
      <c r="AIF21" s="145">
        <f t="shared" si="34"/>
        <v>0</v>
      </c>
      <c r="AJL21" s="145">
        <f t="shared" si="35"/>
        <v>0</v>
      </c>
      <c r="AJV21">
        <v>25000</v>
      </c>
      <c r="AKO21" s="145">
        <f t="shared" si="36"/>
        <v>25000</v>
      </c>
      <c r="ALU21" s="145">
        <f t="shared" si="37"/>
        <v>0</v>
      </c>
      <c r="AMZ21" s="145">
        <f t="shared" si="38"/>
        <v>0</v>
      </c>
      <c r="ANF21">
        <v>26000</v>
      </c>
    </row>
    <row r="22" spans="1:1070" x14ac:dyDescent="0.2">
      <c r="A22" s="160"/>
      <c r="B22" s="5" t="s">
        <v>1361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>
        <v>50000</v>
      </c>
      <c r="CE22" s="52"/>
      <c r="CF22" s="52"/>
      <c r="CS22" s="110">
        <f>SUM(BN22:CR22)</f>
        <v>50000</v>
      </c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117"/>
      <c r="FD22" s="126">
        <f t="shared" si="41"/>
        <v>0</v>
      </c>
      <c r="GA22">
        <v>1000</v>
      </c>
      <c r="GE22">
        <v>20000</v>
      </c>
      <c r="GJ22" s="130">
        <f>SUM(FE22:GI22)</f>
        <v>21000</v>
      </c>
      <c r="GP22">
        <v>20000</v>
      </c>
      <c r="GT22">
        <v>8500</v>
      </c>
      <c r="GZ22">
        <v>90000</v>
      </c>
      <c r="HD22">
        <v>11000</v>
      </c>
      <c r="HJ22">
        <v>160000</v>
      </c>
      <c r="HN22" s="130">
        <f t="shared" si="42"/>
        <v>289500</v>
      </c>
      <c r="IB22">
        <v>15000</v>
      </c>
      <c r="ID22">
        <v>200000</v>
      </c>
      <c r="IT22" s="130">
        <f t="shared" si="43"/>
        <v>215000</v>
      </c>
      <c r="JY22" s="130">
        <f t="shared" si="44"/>
        <v>0</v>
      </c>
      <c r="KE22">
        <v>60000</v>
      </c>
      <c r="KQ22">
        <v>15000</v>
      </c>
      <c r="KS22">
        <v>30000</v>
      </c>
      <c r="KT22">
        <v>20000</v>
      </c>
      <c r="LE22" s="130">
        <f t="shared" si="45"/>
        <v>125000</v>
      </c>
      <c r="MJ22" s="130">
        <f t="shared" si="46"/>
        <v>0</v>
      </c>
      <c r="NP22" s="130">
        <f t="shared" si="47"/>
        <v>0</v>
      </c>
      <c r="OP22">
        <v>54000</v>
      </c>
      <c r="OT22">
        <v>170000</v>
      </c>
      <c r="OV22" s="130">
        <f t="shared" si="48"/>
        <v>224000</v>
      </c>
      <c r="QA22" s="130">
        <f t="shared" si="49"/>
        <v>0</v>
      </c>
      <c r="QB22">
        <v>0</v>
      </c>
      <c r="RG22" s="130">
        <f t="shared" si="50"/>
        <v>0</v>
      </c>
      <c r="SM22" s="130">
        <f t="shared" si="51"/>
        <v>0</v>
      </c>
      <c r="TS22" s="130">
        <f t="shared" si="52"/>
        <v>0</v>
      </c>
      <c r="UY22" s="130">
        <f t="shared" si="53"/>
        <v>0</v>
      </c>
      <c r="WB22" s="130">
        <f t="shared" si="24"/>
        <v>0</v>
      </c>
      <c r="WC22">
        <v>5000</v>
      </c>
      <c r="WD22">
        <v>5000</v>
      </c>
      <c r="WE22">
        <v>5000</v>
      </c>
      <c r="WI22">
        <v>22000</v>
      </c>
      <c r="XB22">
        <v>25000</v>
      </c>
      <c r="XH22" s="130">
        <f t="shared" si="25"/>
        <v>47000</v>
      </c>
      <c r="YM22" s="130">
        <f t="shared" si="26"/>
        <v>0</v>
      </c>
      <c r="YQ22">
        <v>5000</v>
      </c>
      <c r="YR22">
        <v>5000</v>
      </c>
      <c r="YS22">
        <v>5000</v>
      </c>
      <c r="ZJ22">
        <v>10000</v>
      </c>
      <c r="ZS22" s="130">
        <f t="shared" si="27"/>
        <v>25000</v>
      </c>
      <c r="AAF22">
        <v>40000</v>
      </c>
      <c r="AAX22" s="130">
        <f t="shared" si="28"/>
        <v>40000</v>
      </c>
      <c r="ACD22" s="130">
        <f t="shared" si="29"/>
        <v>0</v>
      </c>
      <c r="ACT22">
        <v>7000</v>
      </c>
      <c r="ADJ22" s="130">
        <f t="shared" si="30"/>
        <v>7000</v>
      </c>
      <c r="AEO22" s="130">
        <f t="shared" si="31"/>
        <v>0</v>
      </c>
      <c r="AFU22" s="130">
        <f t="shared" si="32"/>
        <v>0</v>
      </c>
      <c r="AGZ22" s="130">
        <f t="shared" si="33"/>
        <v>0</v>
      </c>
      <c r="AIF22" s="145">
        <f t="shared" si="34"/>
        <v>0</v>
      </c>
      <c r="AIJ22">
        <v>30000</v>
      </c>
      <c r="AJB22">
        <v>60000</v>
      </c>
      <c r="AJL22" s="145">
        <f t="shared" si="35"/>
        <v>90000</v>
      </c>
      <c r="AKO22" s="145">
        <f t="shared" si="36"/>
        <v>0</v>
      </c>
      <c r="ALS22">
        <v>60000</v>
      </c>
      <c r="ALU22" s="145">
        <f t="shared" si="37"/>
        <v>60000</v>
      </c>
      <c r="AMT22">
        <v>58000</v>
      </c>
      <c r="AMV22">
        <v>2000</v>
      </c>
      <c r="AMZ22" s="145">
        <f t="shared" si="38"/>
        <v>60000</v>
      </c>
    </row>
    <row r="23" spans="1:1070" x14ac:dyDescent="0.2">
      <c r="A23" s="160"/>
      <c r="B23" s="5" t="s">
        <v>1362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>
        <v>400000</v>
      </c>
      <c r="BX23" s="52"/>
      <c r="BY23" s="52"/>
      <c r="BZ23" s="52"/>
      <c r="CA23" s="52"/>
      <c r="CB23" s="52"/>
      <c r="CC23" s="52"/>
      <c r="CD23" s="52"/>
      <c r="CE23" s="52"/>
      <c r="CF23" s="52"/>
      <c r="CS23" s="110">
        <f>SUM(BN23:CR23)</f>
        <v>400000</v>
      </c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117"/>
      <c r="FD23" s="126">
        <f t="shared" si="41"/>
        <v>0</v>
      </c>
      <c r="GJ23" s="130"/>
      <c r="HN23" s="130">
        <f t="shared" si="42"/>
        <v>0</v>
      </c>
      <c r="IT23" s="130">
        <f t="shared" si="43"/>
        <v>0</v>
      </c>
      <c r="JY23" s="130">
        <f t="shared" si="44"/>
        <v>0</v>
      </c>
      <c r="LE23" s="130">
        <f t="shared" si="45"/>
        <v>0</v>
      </c>
      <c r="MJ23" s="130">
        <f t="shared" si="46"/>
        <v>0</v>
      </c>
      <c r="NP23" s="130">
        <f t="shared" si="47"/>
        <v>0</v>
      </c>
      <c r="OV23" s="130">
        <f t="shared" si="48"/>
        <v>0</v>
      </c>
      <c r="QA23" s="130">
        <f t="shared" si="49"/>
        <v>0</v>
      </c>
      <c r="RG23" s="130">
        <f t="shared" si="50"/>
        <v>0</v>
      </c>
      <c r="SM23" s="130">
        <f t="shared" si="51"/>
        <v>0</v>
      </c>
      <c r="TS23" s="130">
        <f t="shared" si="52"/>
        <v>0</v>
      </c>
      <c r="UY23" s="130">
        <f t="shared" si="53"/>
        <v>0</v>
      </c>
      <c r="WB23" s="130">
        <f t="shared" si="24"/>
        <v>0</v>
      </c>
      <c r="XH23" s="130">
        <f t="shared" si="25"/>
        <v>0</v>
      </c>
      <c r="YM23" s="130">
        <f t="shared" si="26"/>
        <v>0</v>
      </c>
      <c r="ZS23" s="130">
        <f t="shared" si="27"/>
        <v>0</v>
      </c>
      <c r="AAX23" s="130">
        <f t="shared" si="28"/>
        <v>0</v>
      </c>
      <c r="ACD23" s="130">
        <f t="shared" si="29"/>
        <v>0</v>
      </c>
      <c r="ADJ23" s="130">
        <f t="shared" si="30"/>
        <v>0</v>
      </c>
      <c r="AEO23" s="130">
        <f t="shared" si="31"/>
        <v>0</v>
      </c>
      <c r="AFU23" s="130">
        <f t="shared" si="32"/>
        <v>0</v>
      </c>
      <c r="AGZ23" s="130">
        <f t="shared" si="33"/>
        <v>0</v>
      </c>
      <c r="AIF23" s="145">
        <f t="shared" si="34"/>
        <v>0</v>
      </c>
      <c r="AJL23" s="145">
        <f t="shared" si="35"/>
        <v>0</v>
      </c>
      <c r="AKO23" s="145">
        <f t="shared" si="36"/>
        <v>0</v>
      </c>
      <c r="ALU23" s="145">
        <f t="shared" si="37"/>
        <v>0</v>
      </c>
      <c r="AMZ23" s="145">
        <f t="shared" si="38"/>
        <v>0</v>
      </c>
    </row>
    <row r="24" spans="1:1070" x14ac:dyDescent="0.2">
      <c r="A24" s="160"/>
      <c r="B24" s="5" t="s">
        <v>1363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K24">
        <v>20000</v>
      </c>
      <c r="CR24">
        <v>0</v>
      </c>
      <c r="CS24" s="110">
        <f>SUM(BN24:CR24)</f>
        <v>20000</v>
      </c>
      <c r="CT24" s="52"/>
      <c r="CU24" s="52"/>
      <c r="CV24" s="52"/>
      <c r="CW24" s="52"/>
      <c r="CX24" s="52"/>
      <c r="CY24" s="52"/>
      <c r="CZ24" s="52"/>
      <c r="DA24" s="52">
        <v>20000</v>
      </c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>
        <v>20000</v>
      </c>
      <c r="DV24" s="52"/>
      <c r="DW24" s="52"/>
      <c r="DX24" s="118">
        <f>SUM(CT24:DW24)</f>
        <v>40000</v>
      </c>
      <c r="EN24">
        <v>20000</v>
      </c>
      <c r="FD24" s="126">
        <f t="shared" si="41"/>
        <v>20000</v>
      </c>
      <c r="FO24">
        <v>20000</v>
      </c>
      <c r="GJ24" s="130">
        <f>SUM(FE24:GI24)</f>
        <v>20000</v>
      </c>
      <c r="HB24">
        <v>20000</v>
      </c>
      <c r="HN24" s="130">
        <f t="shared" si="42"/>
        <v>20000</v>
      </c>
      <c r="HO24">
        <v>20000</v>
      </c>
      <c r="II24">
        <v>20000</v>
      </c>
      <c r="IT24" s="130">
        <f t="shared" si="43"/>
        <v>40000</v>
      </c>
      <c r="JJ24">
        <v>20000</v>
      </c>
      <c r="JY24" s="130">
        <f t="shared" si="44"/>
        <v>20000</v>
      </c>
      <c r="KM24">
        <v>20000</v>
      </c>
      <c r="LE24" s="130">
        <f t="shared" si="45"/>
        <v>20000</v>
      </c>
      <c r="LX24">
        <v>20000</v>
      </c>
      <c r="MJ24" s="130">
        <f t="shared" si="46"/>
        <v>20000</v>
      </c>
      <c r="NF24">
        <v>20000</v>
      </c>
      <c r="NP24" s="130">
        <f t="shared" si="47"/>
        <v>20000</v>
      </c>
      <c r="OD24">
        <v>20000</v>
      </c>
      <c r="OU24">
        <v>20000</v>
      </c>
      <c r="OV24" s="130">
        <f t="shared" si="48"/>
        <v>40000</v>
      </c>
      <c r="PT24">
        <v>20000</v>
      </c>
      <c r="QA24" s="130">
        <f t="shared" si="49"/>
        <v>20000</v>
      </c>
      <c r="QM24">
        <v>20000</v>
      </c>
      <c r="RG24" s="130">
        <f t="shared" si="50"/>
        <v>20000</v>
      </c>
      <c r="RK24">
        <v>20000</v>
      </c>
      <c r="SK24">
        <v>20000</v>
      </c>
      <c r="SM24" s="130">
        <f t="shared" si="51"/>
        <v>40000</v>
      </c>
      <c r="TS24" s="130">
        <f t="shared" si="52"/>
        <v>0</v>
      </c>
      <c r="UT24">
        <v>20000</v>
      </c>
      <c r="UY24" s="130">
        <f t="shared" si="53"/>
        <v>20000</v>
      </c>
      <c r="WB24" s="130">
        <f t="shared" si="24"/>
        <v>0</v>
      </c>
      <c r="XH24" s="130">
        <f t="shared" si="25"/>
        <v>0</v>
      </c>
      <c r="XJ24">
        <v>20000</v>
      </c>
      <c r="YF24">
        <v>20000</v>
      </c>
      <c r="YM24" s="130">
        <f t="shared" si="26"/>
        <v>20000</v>
      </c>
      <c r="ZC24">
        <v>20000</v>
      </c>
      <c r="ZR24">
        <v>20000</v>
      </c>
      <c r="ZS24" s="130">
        <f t="shared" si="27"/>
        <v>40000</v>
      </c>
      <c r="AAX24" s="130">
        <f t="shared" si="28"/>
        <v>0</v>
      </c>
      <c r="ACD24" s="130">
        <f t="shared" si="29"/>
        <v>0</v>
      </c>
      <c r="ADE24">
        <v>20000</v>
      </c>
      <c r="ADJ24" s="130">
        <f t="shared" si="30"/>
        <v>20000</v>
      </c>
      <c r="AEO24" s="130">
        <f t="shared" si="31"/>
        <v>0</v>
      </c>
      <c r="AFL24">
        <v>20000</v>
      </c>
      <c r="AFU24" s="130">
        <f t="shared" si="32"/>
        <v>20000</v>
      </c>
      <c r="AGJ24">
        <v>20000</v>
      </c>
      <c r="AGZ24" s="130">
        <f t="shared" si="33"/>
        <v>20000</v>
      </c>
      <c r="AID24">
        <v>20000</v>
      </c>
      <c r="AIF24" s="145">
        <f t="shared" si="34"/>
        <v>20000</v>
      </c>
      <c r="AJD24">
        <v>20000</v>
      </c>
      <c r="AJL24" s="145">
        <f t="shared" si="35"/>
        <v>20000</v>
      </c>
      <c r="AKL24">
        <v>20000</v>
      </c>
      <c r="AKO24" s="145">
        <f t="shared" si="36"/>
        <v>20000</v>
      </c>
      <c r="ALM24">
        <v>20000</v>
      </c>
      <c r="ALU24" s="145">
        <f t="shared" si="37"/>
        <v>20000</v>
      </c>
      <c r="AMQ24">
        <v>20000</v>
      </c>
      <c r="AMZ24" s="145">
        <f t="shared" si="38"/>
        <v>20000</v>
      </c>
      <c r="ANN24">
        <v>20000</v>
      </c>
    </row>
    <row r="25" spans="1:1070" x14ac:dyDescent="0.2">
      <c r="A25" s="160"/>
      <c r="B25" s="5" t="s">
        <v>1364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S25" s="110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>
        <v>290000</v>
      </c>
      <c r="DV25" s="52"/>
      <c r="DW25" s="52"/>
      <c r="DX25" s="118">
        <f>SUM(CT25:DW25)</f>
        <v>290000</v>
      </c>
      <c r="EI25">
        <v>40000</v>
      </c>
      <c r="FD25" s="126">
        <f t="shared" si="41"/>
        <v>40000</v>
      </c>
      <c r="GJ25" s="130"/>
      <c r="HN25" s="130">
        <f t="shared" si="42"/>
        <v>0</v>
      </c>
      <c r="IT25" s="130">
        <f t="shared" si="43"/>
        <v>0</v>
      </c>
      <c r="JY25" s="130">
        <f t="shared" si="44"/>
        <v>0</v>
      </c>
      <c r="LE25" s="130">
        <f t="shared" si="45"/>
        <v>0</v>
      </c>
      <c r="MJ25" s="130">
        <f t="shared" si="46"/>
        <v>0</v>
      </c>
      <c r="NP25" s="130">
        <f t="shared" si="47"/>
        <v>0</v>
      </c>
      <c r="OV25" s="130">
        <f t="shared" si="48"/>
        <v>0</v>
      </c>
      <c r="QA25" s="130">
        <f t="shared" si="49"/>
        <v>0</v>
      </c>
      <c r="RG25" s="130">
        <f t="shared" si="50"/>
        <v>0</v>
      </c>
      <c r="SM25" s="130">
        <f t="shared" si="51"/>
        <v>0</v>
      </c>
      <c r="TQ25">
        <v>20000</v>
      </c>
      <c r="TS25" s="130">
        <f t="shared" si="52"/>
        <v>20000</v>
      </c>
      <c r="UY25" s="130">
        <f t="shared" si="53"/>
        <v>0</v>
      </c>
      <c r="WB25" s="130">
        <f t="shared" si="24"/>
        <v>0</v>
      </c>
      <c r="XH25" s="130">
        <f t="shared" si="25"/>
        <v>0</v>
      </c>
      <c r="YM25" s="130">
        <f t="shared" si="26"/>
        <v>0</v>
      </c>
      <c r="ZS25" s="130">
        <f t="shared" si="27"/>
        <v>0</v>
      </c>
      <c r="AAH25">
        <v>10000</v>
      </c>
      <c r="AAX25" s="130">
        <f t="shared" si="28"/>
        <v>10000</v>
      </c>
      <c r="ACD25" s="130">
        <f t="shared" si="29"/>
        <v>0</v>
      </c>
      <c r="ADJ25" s="130">
        <f t="shared" si="30"/>
        <v>0</v>
      </c>
      <c r="AEO25" s="130">
        <f t="shared" si="31"/>
        <v>0</v>
      </c>
      <c r="AFU25" s="130">
        <f t="shared" si="32"/>
        <v>0</v>
      </c>
      <c r="AGZ25" s="130">
        <f t="shared" si="33"/>
        <v>0</v>
      </c>
      <c r="AIF25" s="145">
        <f t="shared" si="34"/>
        <v>0</v>
      </c>
      <c r="AJL25" s="145">
        <f t="shared" si="35"/>
        <v>0</v>
      </c>
      <c r="AKO25" s="145">
        <f t="shared" si="36"/>
        <v>0</v>
      </c>
      <c r="ALU25" s="145">
        <f t="shared" si="37"/>
        <v>0</v>
      </c>
      <c r="AMZ25" s="145">
        <f t="shared" si="38"/>
        <v>0</v>
      </c>
    </row>
    <row r="26" spans="1:1070" x14ac:dyDescent="0.2">
      <c r="A26" s="160"/>
      <c r="B26" s="5" t="s">
        <v>1365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S26" s="110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118"/>
      <c r="EJ26">
        <v>100000</v>
      </c>
      <c r="FD26" s="126">
        <f t="shared" si="41"/>
        <v>100000</v>
      </c>
      <c r="GC26">
        <v>20000</v>
      </c>
      <c r="GF26">
        <v>15000</v>
      </c>
      <c r="GJ26" s="130">
        <f>SUM(FE26:GI26)</f>
        <v>35000</v>
      </c>
      <c r="HL26">
        <v>30000</v>
      </c>
      <c r="HN26" s="130">
        <f t="shared" si="42"/>
        <v>30000</v>
      </c>
      <c r="IT26" s="130">
        <f t="shared" si="43"/>
        <v>0</v>
      </c>
      <c r="JY26" s="130">
        <f t="shared" si="44"/>
        <v>0</v>
      </c>
      <c r="LE26" s="130">
        <f t="shared" si="45"/>
        <v>0</v>
      </c>
      <c r="MG26">
        <v>25000</v>
      </c>
      <c r="MJ26" s="130">
        <f t="shared" si="46"/>
        <v>25000</v>
      </c>
      <c r="NP26" s="130">
        <f t="shared" si="47"/>
        <v>0</v>
      </c>
      <c r="OV26" s="130">
        <f t="shared" si="48"/>
        <v>0</v>
      </c>
      <c r="PL26">
        <v>10000</v>
      </c>
      <c r="PM26">
        <v>0</v>
      </c>
      <c r="PN26">
        <v>5000</v>
      </c>
      <c r="QA26" s="130">
        <f t="shared" si="49"/>
        <v>15000</v>
      </c>
      <c r="QY26">
        <v>7000</v>
      </c>
      <c r="RG26" s="130">
        <f t="shared" si="50"/>
        <v>7000</v>
      </c>
      <c r="SM26" s="130">
        <f t="shared" si="51"/>
        <v>0</v>
      </c>
      <c r="TS26" s="130">
        <f t="shared" si="52"/>
        <v>0</v>
      </c>
      <c r="TU26">
        <v>6000</v>
      </c>
      <c r="UG26">
        <v>5000</v>
      </c>
      <c r="UY26" s="130">
        <f t="shared" si="53"/>
        <v>11000</v>
      </c>
      <c r="WB26" s="130">
        <f t="shared" si="24"/>
        <v>0</v>
      </c>
      <c r="WL26">
        <v>5000</v>
      </c>
      <c r="WU26">
        <v>10000</v>
      </c>
      <c r="XH26" s="130">
        <f t="shared" si="25"/>
        <v>15000</v>
      </c>
      <c r="YF26">
        <v>60000</v>
      </c>
      <c r="YM26" s="130">
        <f t="shared" si="26"/>
        <v>60000</v>
      </c>
      <c r="ZS26" s="130">
        <f t="shared" si="27"/>
        <v>0</v>
      </c>
      <c r="AAB26">
        <v>25000</v>
      </c>
      <c r="AAX26" s="130">
        <f t="shared" si="28"/>
        <v>25000</v>
      </c>
      <c r="ACD26" s="130">
        <f t="shared" si="29"/>
        <v>0</v>
      </c>
      <c r="ACL26">
        <v>25000</v>
      </c>
      <c r="ADC26">
        <v>10000</v>
      </c>
      <c r="ADJ26" s="130">
        <f t="shared" si="30"/>
        <v>35000</v>
      </c>
      <c r="ADY26">
        <v>5000</v>
      </c>
      <c r="AEO26" s="130">
        <f t="shared" si="31"/>
        <v>5000</v>
      </c>
      <c r="AFH26">
        <v>30000</v>
      </c>
      <c r="AFU26" s="130">
        <f t="shared" si="32"/>
        <v>30000</v>
      </c>
      <c r="AGZ26" s="130">
        <f t="shared" si="33"/>
        <v>0</v>
      </c>
      <c r="AHM26">
        <v>20000</v>
      </c>
      <c r="AIF26" s="145">
        <f t="shared" si="34"/>
        <v>20000</v>
      </c>
      <c r="AIS26">
        <v>21000</v>
      </c>
      <c r="AIW26">
        <v>30000</v>
      </c>
      <c r="AJC26">
        <v>10000</v>
      </c>
      <c r="AJL26" s="145">
        <f t="shared" si="35"/>
        <v>61000</v>
      </c>
      <c r="AJO26">
        <v>10000</v>
      </c>
      <c r="AKO26" s="145">
        <f t="shared" si="36"/>
        <v>10000</v>
      </c>
      <c r="ALU26" s="145">
        <f t="shared" si="37"/>
        <v>0</v>
      </c>
      <c r="ALW26">
        <v>5000</v>
      </c>
      <c r="AMD26">
        <v>65000</v>
      </c>
      <c r="AMO26">
        <v>5000</v>
      </c>
      <c r="AMU26">
        <v>15000</v>
      </c>
      <c r="AMZ26" s="145">
        <f t="shared" si="38"/>
        <v>90000</v>
      </c>
    </row>
    <row r="27" spans="1:1070" x14ac:dyDescent="0.2">
      <c r="A27" s="160"/>
      <c r="B27" s="5" t="s">
        <v>1366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S27" s="110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118"/>
      <c r="FD27" s="126"/>
      <c r="FV27">
        <v>314474</v>
      </c>
      <c r="FY27">
        <v>151000</v>
      </c>
      <c r="GA27">
        <v>232000</v>
      </c>
      <c r="GD27">
        <v>250000</v>
      </c>
      <c r="GJ27" s="130">
        <f>SUM(FE27:GI27)</f>
        <v>947474</v>
      </c>
      <c r="HD27">
        <f>392026+9506000</f>
        <v>9898026</v>
      </c>
      <c r="HE27">
        <v>378300</v>
      </c>
      <c r="HG27">
        <f>50000+388291</f>
        <v>438291</v>
      </c>
      <c r="HL27">
        <f>52900+266750</f>
        <v>319650</v>
      </c>
      <c r="HM27">
        <f>428110+100000</f>
        <v>528110</v>
      </c>
      <c r="HN27" s="130">
        <f t="shared" si="42"/>
        <v>11562377</v>
      </c>
      <c r="HO27">
        <v>50000</v>
      </c>
      <c r="HP27">
        <f>100000+126100</f>
        <v>226100</v>
      </c>
      <c r="HQ27">
        <v>295000</v>
      </c>
      <c r="HR27">
        <v>630000</v>
      </c>
      <c r="HS27">
        <v>630327</v>
      </c>
      <c r="HU27">
        <f>50*4850</f>
        <v>242500</v>
      </c>
      <c r="HW27">
        <v>238050</v>
      </c>
      <c r="HY27">
        <v>145500</v>
      </c>
      <c r="IG27">
        <v>198000</v>
      </c>
      <c r="IJ27">
        <v>200000</v>
      </c>
      <c r="IK27">
        <v>148500</v>
      </c>
      <c r="IT27" s="130">
        <f t="shared" si="43"/>
        <v>3003977</v>
      </c>
      <c r="IU27">
        <f>40000+95000</f>
        <v>135000</v>
      </c>
      <c r="IV27">
        <v>418052</v>
      </c>
      <c r="IX27">
        <v>249500</v>
      </c>
      <c r="JA27">
        <f>140000+22000</f>
        <v>162000</v>
      </c>
      <c r="JG27">
        <v>300000</v>
      </c>
      <c r="JH27">
        <v>0</v>
      </c>
      <c r="JP27">
        <v>385000</v>
      </c>
      <c r="JX27">
        <v>26750</v>
      </c>
      <c r="JY27" s="130">
        <f t="shared" si="44"/>
        <v>1676302</v>
      </c>
      <c r="KE27">
        <v>760000</v>
      </c>
      <c r="KF27">
        <v>365136</v>
      </c>
      <c r="KG27">
        <f>530000+760000</f>
        <v>1290000</v>
      </c>
      <c r="KI27">
        <f>106000+1086000</f>
        <v>1192000</v>
      </c>
      <c r="KM27">
        <f>337654+76000+30000</f>
        <v>443654</v>
      </c>
      <c r="KN27">
        <v>181000</v>
      </c>
      <c r="KO27">
        <v>4890000</v>
      </c>
      <c r="KP27">
        <v>813000</v>
      </c>
      <c r="KQ27">
        <v>586800</v>
      </c>
      <c r="KT27">
        <v>2117370</v>
      </c>
      <c r="KU27">
        <f>1760400+274818</f>
        <v>2035218</v>
      </c>
      <c r="KV27">
        <f>1000*4890</f>
        <v>4890000</v>
      </c>
      <c r="KX27">
        <f>69000+224000</f>
        <v>293000</v>
      </c>
      <c r="LC27">
        <f>321000+105000+66000</f>
        <v>492000</v>
      </c>
      <c r="LE27" s="130">
        <f t="shared" si="45"/>
        <v>20349178</v>
      </c>
      <c r="LJ27">
        <f>107000+44000</f>
        <v>151000</v>
      </c>
      <c r="LS27">
        <v>410000</v>
      </c>
      <c r="LY27">
        <f>112000+69000</f>
        <v>181000</v>
      </c>
      <c r="LZ27">
        <v>129000</v>
      </c>
      <c r="ME27">
        <v>397793</v>
      </c>
      <c r="MG27">
        <v>215000</v>
      </c>
      <c r="MH27">
        <v>151000</v>
      </c>
      <c r="MJ27" s="130">
        <f t="shared" si="46"/>
        <v>1634793</v>
      </c>
      <c r="MK27">
        <f>856000+210000</f>
        <v>1066000</v>
      </c>
      <c r="MU27">
        <v>296626</v>
      </c>
      <c r="MV27">
        <v>24000</v>
      </c>
      <c r="MW27">
        <v>50000</v>
      </c>
      <c r="MZ27">
        <v>100000</v>
      </c>
      <c r="NA27">
        <v>1276000</v>
      </c>
      <c r="NB27">
        <v>305504</v>
      </c>
      <c r="NH27">
        <f>11000+15000</f>
        <v>26000</v>
      </c>
      <c r="NL27">
        <f>107000+44000</f>
        <v>151000</v>
      </c>
      <c r="NN27">
        <f>856000+210000+15000+20000</f>
        <v>1101000</v>
      </c>
      <c r="NP27" s="130">
        <f t="shared" si="47"/>
        <v>3330130</v>
      </c>
      <c r="NU27">
        <v>200000</v>
      </c>
      <c r="OI27">
        <f>388516+112000+69000</f>
        <v>569516</v>
      </c>
      <c r="OM27">
        <f>6000+214000+66000+105000</f>
        <v>391000</v>
      </c>
      <c r="OQ27">
        <f>856000+6000</f>
        <v>862000</v>
      </c>
      <c r="OT27">
        <f>220000+642000+6000</f>
        <v>868000</v>
      </c>
      <c r="OV27" s="130">
        <f t="shared" si="48"/>
        <v>2890516</v>
      </c>
      <c r="OX27">
        <v>448000</v>
      </c>
      <c r="OY27">
        <v>400000</v>
      </c>
      <c r="OZ27">
        <v>294117</v>
      </c>
      <c r="PB27">
        <f>856000+105000+220000+8000</f>
        <v>1189000</v>
      </c>
      <c r="PC27">
        <v>100000</v>
      </c>
      <c r="PD27">
        <f>107000+44000</f>
        <v>151000</v>
      </c>
      <c r="PE27">
        <v>321000</v>
      </c>
      <c r="PF27">
        <f>6000+856000</f>
        <v>862000</v>
      </c>
      <c r="PO27">
        <v>725000</v>
      </c>
      <c r="PQ27">
        <v>112000</v>
      </c>
      <c r="PT27">
        <v>374400</v>
      </c>
      <c r="PV27">
        <f>107000+44000</f>
        <v>151000</v>
      </c>
      <c r="PW27">
        <v>0</v>
      </c>
      <c r="PX27">
        <v>199648</v>
      </c>
      <c r="QA27" s="130">
        <f t="shared" si="49"/>
        <v>5327165</v>
      </c>
      <c r="QO27">
        <v>100000</v>
      </c>
      <c r="RB27">
        <v>200000</v>
      </c>
      <c r="RE27">
        <v>346811</v>
      </c>
      <c r="RG27" s="130">
        <f t="shared" si="50"/>
        <v>646811</v>
      </c>
      <c r="RI27">
        <f>110000+23000</f>
        <v>133000</v>
      </c>
      <c r="RJ27">
        <f>44000+107000</f>
        <v>151000</v>
      </c>
      <c r="RL27">
        <v>336141</v>
      </c>
      <c r="SB27">
        <v>50000</v>
      </c>
      <c r="SF27">
        <v>1356540</v>
      </c>
      <c r="SM27" s="130">
        <f t="shared" si="51"/>
        <v>2026681</v>
      </c>
      <c r="SO27">
        <v>983400</v>
      </c>
      <c r="SP27">
        <v>8805900</v>
      </c>
      <c r="TS27" s="130">
        <f t="shared" si="52"/>
        <v>9789300</v>
      </c>
      <c r="UM27">
        <v>40000</v>
      </c>
      <c r="UR27">
        <v>20000</v>
      </c>
      <c r="UY27" s="130">
        <f t="shared" si="53"/>
        <v>60000</v>
      </c>
      <c r="VY27">
        <v>107778</v>
      </c>
      <c r="WB27" s="130">
        <f t="shared" si="24"/>
        <v>107778</v>
      </c>
      <c r="WG27">
        <v>13500</v>
      </c>
      <c r="XA27">
        <v>598507</v>
      </c>
      <c r="XH27" s="130">
        <f t="shared" si="25"/>
        <v>612007</v>
      </c>
      <c r="YI27">
        <v>510000</v>
      </c>
      <c r="YM27" s="130">
        <f t="shared" si="26"/>
        <v>510000</v>
      </c>
      <c r="YP27">
        <v>900000</v>
      </c>
      <c r="ZS27" s="130">
        <f t="shared" si="27"/>
        <v>900000</v>
      </c>
      <c r="AAL27">
        <v>525000</v>
      </c>
      <c r="AAX27" s="130">
        <f t="shared" si="28"/>
        <v>525000</v>
      </c>
      <c r="ACD27" s="130">
        <f t="shared" si="29"/>
        <v>0</v>
      </c>
      <c r="ADJ27" s="130">
        <f t="shared" si="30"/>
        <v>0</v>
      </c>
      <c r="AEO27" s="130">
        <f t="shared" si="31"/>
        <v>0</v>
      </c>
      <c r="AFU27" s="130">
        <f t="shared" si="32"/>
        <v>0</v>
      </c>
      <c r="AGP27">
        <v>130000</v>
      </c>
      <c r="AGZ27" s="130">
        <f t="shared" si="33"/>
        <v>130000</v>
      </c>
      <c r="AHR27">
        <v>220000</v>
      </c>
      <c r="AIF27" s="145">
        <f t="shared" si="34"/>
        <v>220000</v>
      </c>
      <c r="AJL27" s="145">
        <f t="shared" si="35"/>
        <v>0</v>
      </c>
      <c r="AKO27" s="145">
        <f t="shared" si="36"/>
        <v>0</v>
      </c>
      <c r="ALE27">
        <v>400000</v>
      </c>
      <c r="ALU27" s="145">
        <f t="shared" si="37"/>
        <v>400000</v>
      </c>
      <c r="AMZ27" s="145">
        <f t="shared" si="38"/>
        <v>0</v>
      </c>
    </row>
    <row r="28" spans="1:1070" x14ac:dyDescent="0.2">
      <c r="A28" s="160"/>
      <c r="B28" s="5" t="s">
        <v>1367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S28" s="110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118"/>
      <c r="FD28" s="126"/>
      <c r="GJ28" s="130"/>
      <c r="HN28" s="130"/>
      <c r="IT28" s="130"/>
      <c r="JY28" s="130"/>
      <c r="LE28" s="130"/>
      <c r="MJ28" s="130"/>
      <c r="NP28" s="130"/>
      <c r="OV28" s="130"/>
      <c r="QA28" s="130"/>
      <c r="RG28" s="130"/>
      <c r="SM28" s="130"/>
      <c r="TS28" s="130"/>
      <c r="UY28" s="130"/>
      <c r="WB28" s="130"/>
      <c r="XH28" s="130"/>
      <c r="YM28" s="130"/>
      <c r="ZS28" s="130"/>
      <c r="AAX28" s="130"/>
      <c r="ACD28" s="130"/>
      <c r="ACF28">
        <v>0</v>
      </c>
      <c r="ADJ28" s="130">
        <f t="shared" si="30"/>
        <v>0</v>
      </c>
      <c r="AEO28" s="130">
        <f t="shared" si="31"/>
        <v>0</v>
      </c>
      <c r="AFU28" s="130">
        <f t="shared" si="32"/>
        <v>0</v>
      </c>
      <c r="AGZ28" s="130">
        <f t="shared" si="33"/>
        <v>0</v>
      </c>
      <c r="AIF28" s="145">
        <f t="shared" si="34"/>
        <v>0</v>
      </c>
      <c r="AJL28" s="145">
        <f t="shared" si="35"/>
        <v>0</v>
      </c>
      <c r="AKO28" s="145">
        <f t="shared" si="36"/>
        <v>0</v>
      </c>
      <c r="ALU28" s="145">
        <f t="shared" si="37"/>
        <v>0</v>
      </c>
      <c r="AMZ28" s="145">
        <f t="shared" si="38"/>
        <v>0</v>
      </c>
    </row>
    <row r="29" spans="1:1070" x14ac:dyDescent="0.2">
      <c r="A29" s="160"/>
      <c r="B29" s="5" t="s">
        <v>1368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S29" s="110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118"/>
      <c r="FD29" s="126"/>
      <c r="GJ29" s="130"/>
      <c r="HN29" s="130"/>
      <c r="IT29" s="130"/>
      <c r="JY29" s="130"/>
      <c r="LE29" s="130"/>
      <c r="MJ29" s="130"/>
      <c r="NP29" s="130"/>
      <c r="OV29" s="130"/>
      <c r="QA29" s="130"/>
      <c r="RG29" s="130"/>
      <c r="SM29" s="130"/>
      <c r="TS29" s="130"/>
      <c r="UY29" s="130"/>
      <c r="WB29" s="130"/>
      <c r="XH29" s="130"/>
      <c r="YM29" s="130"/>
      <c r="ZS29" s="130"/>
      <c r="AAX29" s="130"/>
      <c r="ACD29" s="130"/>
      <c r="ADJ29" s="130"/>
      <c r="AEO29" s="130"/>
      <c r="AFU29" s="130"/>
      <c r="AGZ29" s="130"/>
      <c r="AIF29" s="145"/>
      <c r="AIS29" s="147">
        <v>6500000</v>
      </c>
      <c r="AIX29">
        <v>290000</v>
      </c>
      <c r="AJL29" s="145"/>
      <c r="AKO29" s="145">
        <f t="shared" si="36"/>
        <v>0</v>
      </c>
      <c r="AKP29" s="147">
        <v>5000000</v>
      </c>
      <c r="ALU29" s="145">
        <f t="shared" si="37"/>
        <v>0</v>
      </c>
      <c r="AMH29">
        <v>639300</v>
      </c>
      <c r="AMZ29" s="145">
        <f t="shared" si="38"/>
        <v>639300</v>
      </c>
    </row>
    <row r="30" spans="1:1070" x14ac:dyDescent="0.2">
      <c r="A30" s="160"/>
      <c r="B30" s="5" t="s">
        <v>1369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S30" s="110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118"/>
      <c r="FD30" s="126"/>
      <c r="GJ30" s="130"/>
      <c r="HN30" s="130"/>
      <c r="IT30" s="130"/>
      <c r="JY30" s="130"/>
      <c r="LE30" s="130"/>
      <c r="MJ30" s="130"/>
      <c r="NP30" s="130"/>
      <c r="OV30" s="130"/>
      <c r="QA30" s="130"/>
      <c r="RG30" s="130"/>
      <c r="SM30" s="130"/>
      <c r="TS30" s="130"/>
      <c r="UY30" s="130"/>
      <c r="WB30" s="130"/>
      <c r="XH30" s="130"/>
      <c r="YM30" s="130"/>
      <c r="ZS30" s="130"/>
      <c r="AAX30" s="130"/>
      <c r="ACD30" s="130"/>
      <c r="ADJ30" s="130"/>
      <c r="AEO30" s="130"/>
      <c r="AEP30">
        <v>14000</v>
      </c>
      <c r="AER30">
        <v>14000</v>
      </c>
      <c r="AFU30" s="130">
        <f>SUM(AEP30:AFT30)</f>
        <v>28000</v>
      </c>
      <c r="AGZ30" s="130">
        <f>SUM(AFV30:AGY30)</f>
        <v>0</v>
      </c>
      <c r="AHF30">
        <v>54439</v>
      </c>
      <c r="AHL30">
        <v>50000</v>
      </c>
      <c r="AIF30" s="145">
        <f>SUM(AHA30:AIE30)</f>
        <v>104439</v>
      </c>
      <c r="AIJ30">
        <v>150000</v>
      </c>
      <c r="AIL30">
        <v>10000</v>
      </c>
      <c r="AJI30">
        <v>5000</v>
      </c>
      <c r="AJK30">
        <v>8000</v>
      </c>
      <c r="AJL30" s="145">
        <f>SUM(AIG30:AJK30)</f>
        <v>173000</v>
      </c>
      <c r="AKO30" s="145">
        <f t="shared" si="36"/>
        <v>0</v>
      </c>
      <c r="ALU30" s="145">
        <f t="shared" si="37"/>
        <v>0</v>
      </c>
      <c r="AMZ30" s="145">
        <f t="shared" si="38"/>
        <v>0</v>
      </c>
    </row>
    <row r="31" spans="1:1070" x14ac:dyDescent="0.2">
      <c r="A31" s="160"/>
      <c r="B31" s="5" t="s">
        <v>1370</v>
      </c>
      <c r="C31" s="22"/>
      <c r="D31" s="22"/>
      <c r="E31" s="22"/>
      <c r="F31" s="22"/>
      <c r="G31" s="22"/>
      <c r="H31" s="22">
        <v>0</v>
      </c>
      <c r="I31" s="22">
        <v>11000</v>
      </c>
      <c r="J31" s="22">
        <v>5000</v>
      </c>
      <c r="K31" s="22">
        <v>0</v>
      </c>
      <c r="L31" s="22"/>
      <c r="M31" s="22"/>
      <c r="N31" s="22">
        <v>271000</v>
      </c>
      <c r="O31" s="22"/>
      <c r="P31" s="22"/>
      <c r="Q31" s="22"/>
      <c r="R31" s="22">
        <v>20000</v>
      </c>
      <c r="S31" s="22">
        <v>200000</v>
      </c>
      <c r="T31" s="22"/>
      <c r="U31" s="22">
        <v>0</v>
      </c>
      <c r="V31" s="22">
        <v>50000</v>
      </c>
      <c r="W31" s="22">
        <v>20000</v>
      </c>
      <c r="X31" s="22"/>
      <c r="Y31" s="22"/>
      <c r="Z31" s="22"/>
      <c r="AA31" s="22"/>
      <c r="AB31" s="22"/>
      <c r="AC31" s="22"/>
      <c r="AD31" s="22">
        <v>4000</v>
      </c>
      <c r="AE31" s="22">
        <v>5000</v>
      </c>
      <c r="AF31" s="22"/>
      <c r="AG31" s="22">
        <v>150000</v>
      </c>
      <c r="AH31" s="22">
        <f>SUM(C31:AG31)</f>
        <v>736000</v>
      </c>
      <c r="AI31" s="52"/>
      <c r="AJ31" s="52">
        <v>11500</v>
      </c>
      <c r="AK31" s="52"/>
      <c r="AL31" s="52"/>
      <c r="AM31" s="52"/>
      <c r="AN31" s="52"/>
      <c r="AO31" s="52">
        <v>290000</v>
      </c>
      <c r="AP31" s="52"/>
      <c r="AQ31" s="52">
        <v>0</v>
      </c>
      <c r="AR31" s="52">
        <v>7000</v>
      </c>
      <c r="AS31" s="52"/>
      <c r="AT31" s="52">
        <v>21000</v>
      </c>
      <c r="AU31" s="52"/>
      <c r="AV31" s="52"/>
      <c r="AW31" s="52">
        <v>20000</v>
      </c>
      <c r="AX31" s="103">
        <v>300000</v>
      </c>
      <c r="AY31" s="52"/>
      <c r="AZ31" s="52"/>
      <c r="BA31" s="52"/>
      <c r="BB31" s="52"/>
      <c r="BC31" s="52">
        <v>114000</v>
      </c>
      <c r="BD31" s="52"/>
      <c r="BE31" s="52">
        <v>24000</v>
      </c>
      <c r="BF31" s="52"/>
      <c r="BG31" s="52">
        <v>10000</v>
      </c>
      <c r="BH31" s="52">
        <v>100000</v>
      </c>
      <c r="BI31" s="52"/>
      <c r="BJ31" s="52"/>
      <c r="BK31" s="52"/>
      <c r="BL31" s="52">
        <v>20000</v>
      </c>
      <c r="BM31" s="52">
        <f>SUM(AI31:BL31)</f>
        <v>917500</v>
      </c>
      <c r="BN31" s="52"/>
      <c r="BO31" s="52"/>
      <c r="BP31" s="52"/>
      <c r="BQ31" s="52"/>
      <c r="BR31" s="52"/>
      <c r="BS31" s="52">
        <v>2000</v>
      </c>
      <c r="BT31" s="52"/>
      <c r="BU31" s="52">
        <v>0</v>
      </c>
      <c r="BV31" s="52">
        <v>10000</v>
      </c>
      <c r="BW31" s="52"/>
      <c r="BX31" s="52"/>
      <c r="BY31" s="52"/>
      <c r="BZ31" s="52">
        <v>300</v>
      </c>
      <c r="CA31" s="52">
        <v>15000</v>
      </c>
      <c r="CB31" s="52"/>
      <c r="CC31" s="52"/>
      <c r="CD31" s="52"/>
      <c r="CE31" s="52"/>
      <c r="CF31" s="52"/>
      <c r="CK31">
        <v>1000</v>
      </c>
      <c r="CL31">
        <v>279000</v>
      </c>
      <c r="CN31">
        <v>1000</v>
      </c>
      <c r="CO31">
        <v>13000</v>
      </c>
      <c r="CP31">
        <v>60000</v>
      </c>
      <c r="CQ31">
        <v>355000</v>
      </c>
      <c r="CR31">
        <v>28846</v>
      </c>
      <c r="CS31" s="110">
        <f>SUM(BN31:CR31)</f>
        <v>765146</v>
      </c>
      <c r="CT31" s="52"/>
      <c r="CU31" s="52"/>
      <c r="CV31" s="52"/>
      <c r="CW31" s="52">
        <v>120000</v>
      </c>
      <c r="CX31" s="52"/>
      <c r="CY31" s="52">
        <v>10000</v>
      </c>
      <c r="CZ31" s="52">
        <v>263000</v>
      </c>
      <c r="DA31" s="52"/>
      <c r="DB31" s="52"/>
      <c r="DC31" s="52"/>
      <c r="DD31" s="52"/>
      <c r="DE31" s="52"/>
      <c r="DF31" s="52">
        <v>500</v>
      </c>
      <c r="DG31" s="52"/>
      <c r="DH31" s="52">
        <v>24440</v>
      </c>
      <c r="DI31" s="52">
        <v>6000</v>
      </c>
      <c r="DJ31" s="52"/>
      <c r="DK31" s="52">
        <v>15000</v>
      </c>
      <c r="DL31" s="52"/>
      <c r="DM31" s="52">
        <v>100000</v>
      </c>
      <c r="DN31" s="52"/>
      <c r="DO31" s="52"/>
      <c r="DP31" s="52">
        <v>2000</v>
      </c>
      <c r="DQ31" s="52"/>
      <c r="DR31" s="52"/>
      <c r="DS31" s="52"/>
      <c r="DT31" s="52">
        <v>10000</v>
      </c>
      <c r="DU31" s="52"/>
      <c r="DV31" s="52"/>
      <c r="DW31" s="52"/>
      <c r="DX31" s="118">
        <f>SUM(CT31:DW31)</f>
        <v>550940</v>
      </c>
      <c r="DY31">
        <v>50000</v>
      </c>
      <c r="EC31">
        <v>1000</v>
      </c>
      <c r="EF31">
        <v>30000</v>
      </c>
      <c r="EG31">
        <v>372334</v>
      </c>
      <c r="EI31">
        <v>2000</v>
      </c>
      <c r="EL31">
        <v>267235</v>
      </c>
      <c r="EO31">
        <v>0</v>
      </c>
      <c r="EP31">
        <v>182942</v>
      </c>
      <c r="ET31">
        <v>0</v>
      </c>
      <c r="EU31">
        <v>397021</v>
      </c>
      <c r="FC31">
        <v>238572</v>
      </c>
      <c r="FD31" s="126">
        <f>SUM(DY31:FC31)</f>
        <v>1541104</v>
      </c>
      <c r="FJ31">
        <v>363265</v>
      </c>
      <c r="FN31">
        <v>40000</v>
      </c>
      <c r="FP31">
        <v>20000</v>
      </c>
      <c r="FQ31">
        <v>20000</v>
      </c>
      <c r="FY31">
        <v>0</v>
      </c>
      <c r="GC31">
        <v>20000</v>
      </c>
      <c r="GH31">
        <v>1000</v>
      </c>
      <c r="GI31">
        <v>2000</v>
      </c>
      <c r="GJ31" s="130">
        <f>SUM(FE31:GI31)</f>
        <v>466265</v>
      </c>
      <c r="GP31">
        <v>20000</v>
      </c>
      <c r="GR31">
        <v>1000</v>
      </c>
      <c r="GZ31">
        <v>2000</v>
      </c>
      <c r="HD31">
        <v>1200000</v>
      </c>
      <c r="HE31">
        <v>20000</v>
      </c>
      <c r="HH31">
        <v>400000</v>
      </c>
      <c r="HN31" s="130">
        <f>SUM(GK31:HM31)</f>
        <v>1643000</v>
      </c>
      <c r="IA31">
        <v>1000</v>
      </c>
      <c r="IB31">
        <v>532000</v>
      </c>
      <c r="IJ31">
        <v>4500</v>
      </c>
      <c r="IO31">
        <v>3120</v>
      </c>
      <c r="IQ31">
        <v>440000</v>
      </c>
      <c r="IT31" s="130">
        <f>SUM(HO31:IS31)</f>
        <v>980620</v>
      </c>
      <c r="JB31">
        <v>100000</v>
      </c>
      <c r="JC31">
        <v>260000</v>
      </c>
      <c r="JN31">
        <v>2000</v>
      </c>
      <c r="JO31">
        <v>2000</v>
      </c>
      <c r="JS31">
        <v>700000</v>
      </c>
      <c r="JT31">
        <v>20000</v>
      </c>
      <c r="JW31">
        <v>7000</v>
      </c>
      <c r="JX31">
        <v>1000</v>
      </c>
      <c r="JY31" s="130">
        <f>SUM(IU31:JX31)</f>
        <v>1092000</v>
      </c>
      <c r="KI31">
        <v>287000</v>
      </c>
      <c r="KJ31">
        <v>50000</v>
      </c>
      <c r="KR31">
        <v>2000</v>
      </c>
      <c r="KW31">
        <v>485000</v>
      </c>
      <c r="LB31">
        <v>138000</v>
      </c>
      <c r="LE31" s="130">
        <f>SUM(KA31:LD31)</f>
        <v>962000</v>
      </c>
      <c r="LF31">
        <v>23000</v>
      </c>
      <c r="LH31">
        <v>32000</v>
      </c>
      <c r="LK31">
        <f>50000+44000</f>
        <v>94000</v>
      </c>
      <c r="LP31">
        <v>2000</v>
      </c>
      <c r="LQ31">
        <v>2000</v>
      </c>
      <c r="LS31">
        <f>210000+330000+535000</f>
        <v>1075000</v>
      </c>
      <c r="LU31">
        <v>160000</v>
      </c>
      <c r="LV31">
        <f>179014+336000</f>
        <v>515014</v>
      </c>
      <c r="LX31">
        <v>5000</v>
      </c>
      <c r="MC31">
        <v>3000</v>
      </c>
      <c r="ME31">
        <v>190000</v>
      </c>
      <c r="MG31">
        <v>15000</v>
      </c>
      <c r="MJ31" s="130">
        <f>SUM(LF31:MI31)</f>
        <v>2116014</v>
      </c>
      <c r="MK31">
        <v>3000</v>
      </c>
      <c r="MN31">
        <v>1000</v>
      </c>
      <c r="MP31">
        <v>4000</v>
      </c>
      <c r="MR31">
        <v>8000</v>
      </c>
      <c r="MT31">
        <v>4000</v>
      </c>
      <c r="MV31">
        <v>65000</v>
      </c>
      <c r="MX31">
        <v>8000</v>
      </c>
      <c r="NA31">
        <v>5000</v>
      </c>
      <c r="NF31">
        <v>20000</v>
      </c>
      <c r="NH31">
        <v>5000</v>
      </c>
      <c r="NI31">
        <v>2000</v>
      </c>
      <c r="NJ31">
        <v>5000</v>
      </c>
      <c r="NN31">
        <v>20000</v>
      </c>
      <c r="NO31">
        <v>1000</v>
      </c>
      <c r="NP31" s="130">
        <f>SUM(ML31:NO31)</f>
        <v>148000</v>
      </c>
      <c r="NX31">
        <v>200000</v>
      </c>
      <c r="NY31">
        <v>636000</v>
      </c>
      <c r="NZ31">
        <v>5000</v>
      </c>
      <c r="OA31">
        <v>376263</v>
      </c>
      <c r="OD31">
        <v>1000</v>
      </c>
      <c r="OP31">
        <v>20000</v>
      </c>
      <c r="OV31" s="130">
        <f>SUM(NR31:OU31)</f>
        <v>1238263</v>
      </c>
      <c r="PE31">
        <v>4500</v>
      </c>
      <c r="PF31">
        <v>490000</v>
      </c>
      <c r="PL31">
        <v>50000</v>
      </c>
      <c r="PO31">
        <v>57500</v>
      </c>
      <c r="PT31">
        <v>150000</v>
      </c>
      <c r="PU31">
        <v>1000</v>
      </c>
      <c r="QA31" s="130">
        <f>SUM(OW31:PZ31)</f>
        <v>753000</v>
      </c>
      <c r="QH31">
        <v>6000</v>
      </c>
      <c r="QN31">
        <v>1000</v>
      </c>
      <c r="QW31">
        <v>45990</v>
      </c>
      <c r="QZ31">
        <v>1550000</v>
      </c>
      <c r="RA31">
        <f>112000+46000</f>
        <v>158000</v>
      </c>
      <c r="RE31">
        <v>60000</v>
      </c>
      <c r="RG31" s="130">
        <f>SUM(QC31:RF31)</f>
        <v>1820990</v>
      </c>
      <c r="RJ31">
        <v>2000</v>
      </c>
      <c r="RK31">
        <v>20000</v>
      </c>
      <c r="RM31">
        <v>55000</v>
      </c>
      <c r="SA31">
        <v>1500000</v>
      </c>
      <c r="SB31">
        <v>1129800</v>
      </c>
      <c r="SI31">
        <v>1000</v>
      </c>
      <c r="SM31" s="130">
        <f>SUM(RI31:SL31)</f>
        <v>2707800</v>
      </c>
      <c r="SR31">
        <v>10000</v>
      </c>
      <c r="SZ31">
        <v>20000</v>
      </c>
      <c r="TA31">
        <v>0</v>
      </c>
      <c r="TC31">
        <v>2000</v>
      </c>
      <c r="TD31">
        <v>3500</v>
      </c>
      <c r="TE31">
        <v>5000</v>
      </c>
      <c r="TF31">
        <v>1500</v>
      </c>
      <c r="TJ31">
        <v>4000</v>
      </c>
      <c r="TO31">
        <v>1000</v>
      </c>
      <c r="TR31">
        <v>1500000</v>
      </c>
      <c r="TS31" s="130">
        <f>SUM(SO31:TR31)</f>
        <v>1547000</v>
      </c>
      <c r="TT31">
        <v>5000000</v>
      </c>
      <c r="UA31">
        <v>10000</v>
      </c>
      <c r="UB31">
        <v>1000</v>
      </c>
      <c r="UF31">
        <v>2000</v>
      </c>
      <c r="UG31">
        <v>103000</v>
      </c>
      <c r="UM31">
        <v>53000</v>
      </c>
      <c r="UO31">
        <v>10000</v>
      </c>
      <c r="UP31">
        <v>15000</v>
      </c>
      <c r="UU31">
        <v>10000</v>
      </c>
      <c r="UY31" s="130">
        <f>SUM(TU31:UX31)</f>
        <v>204000</v>
      </c>
      <c r="VB31">
        <v>35000</v>
      </c>
      <c r="VE31">
        <v>12000</v>
      </c>
      <c r="VF31">
        <v>60000</v>
      </c>
      <c r="VH31">
        <v>10000</v>
      </c>
      <c r="VK31">
        <v>1000</v>
      </c>
      <c r="VQ31">
        <v>3000</v>
      </c>
      <c r="VX31">
        <v>5000</v>
      </c>
      <c r="VY31">
        <v>5000</v>
      </c>
      <c r="VZ31">
        <v>5000</v>
      </c>
      <c r="WA31">
        <v>5000</v>
      </c>
      <c r="WB31" s="130">
        <f>SUM(UZ31:WA31)</f>
        <v>141000</v>
      </c>
      <c r="WD31">
        <v>15000</v>
      </c>
      <c r="WG31">
        <v>300000</v>
      </c>
      <c r="WH31">
        <v>10000</v>
      </c>
      <c r="WJ31">
        <v>54000</v>
      </c>
      <c r="WO31">
        <v>0</v>
      </c>
      <c r="WP31">
        <v>55000</v>
      </c>
      <c r="WS31">
        <v>25000</v>
      </c>
      <c r="WU31">
        <v>130000</v>
      </c>
      <c r="WV31">
        <v>200000</v>
      </c>
      <c r="WW31">
        <v>55000</v>
      </c>
      <c r="XA31">
        <v>1000</v>
      </c>
      <c r="XD31">
        <v>55000</v>
      </c>
      <c r="XE31">
        <v>340000</v>
      </c>
      <c r="XH31" s="130">
        <f>SUM(WF31:XG31)</f>
        <v>1225000</v>
      </c>
      <c r="XM31">
        <v>2560</v>
      </c>
      <c r="XO31">
        <v>14000</v>
      </c>
      <c r="XR31">
        <v>5000</v>
      </c>
      <c r="XV31">
        <v>20000</v>
      </c>
      <c r="YD31">
        <v>120000</v>
      </c>
      <c r="YE31">
        <v>1000</v>
      </c>
      <c r="YM31" s="130">
        <f>SUM(XK31:YL31)</f>
        <v>162560</v>
      </c>
      <c r="YQ31">
        <v>0</v>
      </c>
      <c r="YW31">
        <v>32000</v>
      </c>
      <c r="ZD31">
        <v>10000</v>
      </c>
      <c r="ZF31">
        <v>99000</v>
      </c>
      <c r="ZO31">
        <v>20000</v>
      </c>
      <c r="ZQ31">
        <v>15000</v>
      </c>
      <c r="ZS31" s="130">
        <f>SUM(YN31:ZR31)</f>
        <v>176000</v>
      </c>
      <c r="ZW31">
        <v>1255000</v>
      </c>
      <c r="ZX31">
        <v>96000</v>
      </c>
      <c r="ZY31">
        <v>220000</v>
      </c>
      <c r="AAH31">
        <v>39920</v>
      </c>
      <c r="AAK31">
        <v>1000</v>
      </c>
      <c r="AAL31">
        <v>25000</v>
      </c>
      <c r="AAV31">
        <v>10000</v>
      </c>
      <c r="AAX31" s="130">
        <f>SUM(ZT31:AAW31)</f>
        <v>1646920</v>
      </c>
      <c r="ABI31">
        <v>1000</v>
      </c>
      <c r="ABL31">
        <v>10000</v>
      </c>
      <c r="ABN31">
        <v>10000</v>
      </c>
      <c r="ACD31" s="130">
        <f>SUM(AAY31:ACC31)</f>
        <v>21000</v>
      </c>
      <c r="ACF31">
        <v>0</v>
      </c>
      <c r="ACK31">
        <v>2500</v>
      </c>
      <c r="ACP31">
        <v>150000</v>
      </c>
      <c r="ADF31">
        <v>2000</v>
      </c>
      <c r="ADJ31" s="130">
        <f>SUM(ACE31:ADI31)</f>
        <v>154500</v>
      </c>
      <c r="ADM31">
        <v>2000</v>
      </c>
      <c r="ADS31">
        <v>1000</v>
      </c>
      <c r="AEB31">
        <v>1000</v>
      </c>
      <c r="AEI31">
        <v>1108000</v>
      </c>
      <c r="AEM31">
        <v>200000</v>
      </c>
      <c r="AEO31" s="130">
        <f>SUM(ADK31:AEN31)</f>
        <v>1312000</v>
      </c>
      <c r="AFH31">
        <v>50000</v>
      </c>
      <c r="AFK31">
        <v>8000</v>
      </c>
      <c r="AFL31">
        <v>16000</v>
      </c>
      <c r="AFU31" s="130">
        <f>SUM(AEP31:AFT31)</f>
        <v>74000</v>
      </c>
      <c r="AGG31">
        <v>30000</v>
      </c>
      <c r="AGH31">
        <v>60000</v>
      </c>
      <c r="AGO31">
        <v>30000</v>
      </c>
      <c r="AGZ31" s="130">
        <f>SUM(AFV31:AGY31)</f>
        <v>120000</v>
      </c>
      <c r="AHC31">
        <v>52000</v>
      </c>
      <c r="AHF31">
        <v>400000</v>
      </c>
      <c r="AHQ31">
        <v>144000</v>
      </c>
      <c r="AHW31">
        <v>10000</v>
      </c>
      <c r="AIA31">
        <v>15000</v>
      </c>
      <c r="AIF31" s="145">
        <f>SUM(AHA31:AIE31)</f>
        <v>621000</v>
      </c>
      <c r="AIN31" s="147">
        <v>3600000</v>
      </c>
      <c r="AJA31">
        <v>20000</v>
      </c>
      <c r="AJJ31">
        <v>5000</v>
      </c>
      <c r="AJL31" s="145">
        <f>SUM(AIG31:AJK31)</f>
        <v>3625000</v>
      </c>
      <c r="AKF31">
        <v>10000</v>
      </c>
      <c r="AKG31">
        <v>25000</v>
      </c>
      <c r="AKM31">
        <v>255000</v>
      </c>
      <c r="AKO31" s="145">
        <f t="shared" si="36"/>
        <v>290000</v>
      </c>
      <c r="AKS31">
        <v>15000</v>
      </c>
      <c r="AKV31">
        <v>40000</v>
      </c>
      <c r="AKY31">
        <v>5000</v>
      </c>
      <c r="ALE31">
        <v>1000</v>
      </c>
      <c r="ALH31">
        <v>310000</v>
      </c>
      <c r="ALL31">
        <v>16000</v>
      </c>
      <c r="ALM31">
        <v>1000</v>
      </c>
      <c r="ALQ31">
        <v>487500</v>
      </c>
      <c r="ALU31" s="145">
        <f t="shared" si="37"/>
        <v>875500</v>
      </c>
      <c r="AMC31">
        <v>45000</v>
      </c>
      <c r="AMD31">
        <v>1000</v>
      </c>
      <c r="AMH31">
        <v>150000</v>
      </c>
      <c r="AML31">
        <v>17000</v>
      </c>
      <c r="AMT31">
        <v>25000</v>
      </c>
      <c r="AMZ31" s="145">
        <f t="shared" si="38"/>
        <v>238000</v>
      </c>
      <c r="ANB31">
        <v>3000</v>
      </c>
      <c r="AND31">
        <v>130000</v>
      </c>
      <c r="ANE31">
        <v>200000</v>
      </c>
      <c r="ANF31">
        <v>6000</v>
      </c>
      <c r="ANI31">
        <v>170000</v>
      </c>
      <c r="ANM31">
        <v>30000</v>
      </c>
      <c r="ANP31">
        <v>5000</v>
      </c>
      <c r="ANR31">
        <v>25000</v>
      </c>
      <c r="ANY31">
        <v>1000</v>
      </c>
    </row>
    <row r="32" spans="1:1070" x14ac:dyDescent="0.2">
      <c r="A32" s="160"/>
      <c r="B32" s="27" t="s">
        <v>1371</v>
      </c>
      <c r="C32" s="28">
        <f t="shared" ref="C32:H32" si="54">SUM(C3:C13)</f>
        <v>120000</v>
      </c>
      <c r="D32" s="28">
        <f t="shared" si="54"/>
        <v>2308000</v>
      </c>
      <c r="E32" s="28">
        <f t="shared" si="54"/>
        <v>136016</v>
      </c>
      <c r="F32" s="28">
        <f t="shared" si="54"/>
        <v>0</v>
      </c>
      <c r="G32" s="28">
        <f t="shared" si="54"/>
        <v>1315000</v>
      </c>
      <c r="H32" s="28">
        <f t="shared" si="54"/>
        <v>0</v>
      </c>
      <c r="I32" s="28">
        <f t="shared" ref="I32:AG32" si="55">SUM(I3:I31)</f>
        <v>113000</v>
      </c>
      <c r="J32" s="28">
        <f t="shared" si="55"/>
        <v>55000</v>
      </c>
      <c r="K32" s="28">
        <f t="shared" si="55"/>
        <v>0</v>
      </c>
      <c r="L32" s="28">
        <f t="shared" si="55"/>
        <v>240000</v>
      </c>
      <c r="M32" s="28">
        <f t="shared" si="55"/>
        <v>14000</v>
      </c>
      <c r="N32" s="28">
        <f t="shared" si="55"/>
        <v>271000</v>
      </c>
      <c r="O32" s="28">
        <f t="shared" si="55"/>
        <v>0</v>
      </c>
      <c r="P32" s="28">
        <f t="shared" si="55"/>
        <v>102000</v>
      </c>
      <c r="Q32" s="28">
        <f t="shared" si="55"/>
        <v>14000</v>
      </c>
      <c r="R32" s="28">
        <f t="shared" si="55"/>
        <v>20000</v>
      </c>
      <c r="S32" s="28">
        <f t="shared" si="55"/>
        <v>402000</v>
      </c>
      <c r="T32" s="28">
        <f t="shared" si="55"/>
        <v>0</v>
      </c>
      <c r="U32" s="28">
        <f t="shared" si="55"/>
        <v>22000</v>
      </c>
      <c r="V32" s="28">
        <f t="shared" si="55"/>
        <v>53000</v>
      </c>
      <c r="W32" s="28">
        <f t="shared" si="55"/>
        <v>41000</v>
      </c>
      <c r="X32" s="28">
        <f t="shared" si="55"/>
        <v>138000</v>
      </c>
      <c r="Y32" s="28">
        <f t="shared" si="55"/>
        <v>106000</v>
      </c>
      <c r="Z32" s="28">
        <f t="shared" si="55"/>
        <v>19000</v>
      </c>
      <c r="AA32" s="28">
        <f t="shared" si="55"/>
        <v>187000</v>
      </c>
      <c r="AB32" s="28">
        <f t="shared" si="55"/>
        <v>12000</v>
      </c>
      <c r="AC32" s="28">
        <f t="shared" si="55"/>
        <v>1931000</v>
      </c>
      <c r="AD32" s="28">
        <f t="shared" si="55"/>
        <v>8000</v>
      </c>
      <c r="AE32" s="28">
        <f t="shared" si="55"/>
        <v>158000</v>
      </c>
      <c r="AF32" s="28">
        <f t="shared" si="55"/>
        <v>0</v>
      </c>
      <c r="AG32" s="28">
        <f t="shared" si="55"/>
        <v>152000</v>
      </c>
      <c r="AH32" s="22">
        <f>SUM(C32:AG32)</f>
        <v>7937016</v>
      </c>
      <c r="AI32" s="28">
        <f t="shared" ref="AI32:BL32" si="56">SUM(AI4:AI31)</f>
        <v>200000</v>
      </c>
      <c r="AJ32" s="28">
        <f t="shared" si="56"/>
        <v>23500</v>
      </c>
      <c r="AK32" s="28">
        <f t="shared" si="56"/>
        <v>2000</v>
      </c>
      <c r="AL32" s="28">
        <f t="shared" si="56"/>
        <v>2695200</v>
      </c>
      <c r="AM32" s="28">
        <f t="shared" si="56"/>
        <v>5000</v>
      </c>
      <c r="AN32" s="28">
        <f t="shared" si="56"/>
        <v>6855576</v>
      </c>
      <c r="AO32" s="28">
        <f t="shared" si="56"/>
        <v>52243000</v>
      </c>
      <c r="AP32" s="28">
        <f t="shared" si="56"/>
        <v>400500</v>
      </c>
      <c r="AQ32" s="28">
        <f t="shared" si="56"/>
        <v>0</v>
      </c>
      <c r="AR32" s="28">
        <f t="shared" si="56"/>
        <v>7000</v>
      </c>
      <c r="AS32" s="28">
        <f t="shared" si="56"/>
        <v>218000</v>
      </c>
      <c r="AT32" s="28">
        <f t="shared" si="56"/>
        <v>33000</v>
      </c>
      <c r="AU32" s="28">
        <f t="shared" si="56"/>
        <v>53620000</v>
      </c>
      <c r="AV32" s="28">
        <f t="shared" si="56"/>
        <v>18000</v>
      </c>
      <c r="AW32" s="28">
        <f t="shared" si="56"/>
        <v>30000</v>
      </c>
      <c r="AX32" s="28">
        <f t="shared" si="56"/>
        <v>503000</v>
      </c>
      <c r="AY32" s="28">
        <f t="shared" si="56"/>
        <v>100000</v>
      </c>
      <c r="AZ32" s="28">
        <f t="shared" si="56"/>
        <v>100000</v>
      </c>
      <c r="BA32" s="28">
        <f t="shared" si="56"/>
        <v>0</v>
      </c>
      <c r="BB32" s="28">
        <f t="shared" si="56"/>
        <v>8000</v>
      </c>
      <c r="BC32" s="28">
        <f t="shared" si="56"/>
        <v>116000</v>
      </c>
      <c r="BD32" s="28">
        <f t="shared" si="56"/>
        <v>49000</v>
      </c>
      <c r="BE32" s="28">
        <f t="shared" si="56"/>
        <v>327000</v>
      </c>
      <c r="BF32" s="28">
        <f t="shared" si="56"/>
        <v>6000</v>
      </c>
      <c r="BG32" s="28">
        <f t="shared" si="56"/>
        <v>37000</v>
      </c>
      <c r="BH32" s="28">
        <f t="shared" si="56"/>
        <v>104000</v>
      </c>
      <c r="BI32" s="28">
        <f t="shared" si="56"/>
        <v>0</v>
      </c>
      <c r="BJ32" s="28">
        <f t="shared" si="56"/>
        <v>2000</v>
      </c>
      <c r="BK32" s="28">
        <f t="shared" si="56"/>
        <v>205000</v>
      </c>
      <c r="BL32" s="28">
        <f t="shared" si="56"/>
        <v>79000</v>
      </c>
      <c r="BM32" s="52">
        <f>SUM(AI32:BL32)</f>
        <v>117986776</v>
      </c>
      <c r="BN32" s="28">
        <f>SUM(BN4:BN31)</f>
        <v>99000</v>
      </c>
      <c r="BO32" s="28">
        <f>SUM(BO4:BO31)</f>
        <v>4000</v>
      </c>
      <c r="BP32" s="28">
        <f t="shared" ref="BP32:CJ32" si="57">SUM(BP3:BP31)</f>
        <v>3927000</v>
      </c>
      <c r="BQ32" s="28">
        <f t="shared" si="57"/>
        <v>42000</v>
      </c>
      <c r="BR32" s="28">
        <f t="shared" si="57"/>
        <v>100000</v>
      </c>
      <c r="BS32" s="28">
        <f t="shared" si="57"/>
        <v>183200</v>
      </c>
      <c r="BT32" s="28">
        <f t="shared" si="57"/>
        <v>1000</v>
      </c>
      <c r="BU32" s="28">
        <f t="shared" si="57"/>
        <v>0</v>
      </c>
      <c r="BV32" s="28">
        <f t="shared" si="57"/>
        <v>12000</v>
      </c>
      <c r="BW32" s="28">
        <f t="shared" si="57"/>
        <v>400000</v>
      </c>
      <c r="BX32" s="28">
        <f t="shared" si="57"/>
        <v>202000</v>
      </c>
      <c r="BY32" s="28">
        <f t="shared" si="57"/>
        <v>2000</v>
      </c>
      <c r="BZ32" s="28">
        <f t="shared" si="57"/>
        <v>300</v>
      </c>
      <c r="CA32" s="28">
        <f t="shared" si="57"/>
        <v>117000</v>
      </c>
      <c r="CB32" s="28">
        <f t="shared" si="57"/>
        <v>2000</v>
      </c>
      <c r="CC32" s="28">
        <f t="shared" si="57"/>
        <v>99000</v>
      </c>
      <c r="CD32" s="28">
        <f t="shared" si="57"/>
        <v>50000</v>
      </c>
      <c r="CE32" s="28">
        <f t="shared" si="57"/>
        <v>242000</v>
      </c>
      <c r="CF32" s="28">
        <f t="shared" si="57"/>
        <v>0</v>
      </c>
      <c r="CG32" s="28">
        <f t="shared" si="57"/>
        <v>21000</v>
      </c>
      <c r="CH32" s="28">
        <f t="shared" si="57"/>
        <v>0</v>
      </c>
      <c r="CI32" s="28">
        <f t="shared" si="57"/>
        <v>100000</v>
      </c>
      <c r="CJ32" s="28">
        <f t="shared" si="57"/>
        <v>72000</v>
      </c>
      <c r="CL32" s="28">
        <f t="shared" ref="CL32:CR32" si="58">SUM(CL3:CL31)</f>
        <v>433000</v>
      </c>
      <c r="CM32" s="28">
        <f t="shared" si="58"/>
        <v>101000</v>
      </c>
      <c r="CN32" s="28">
        <f t="shared" si="58"/>
        <v>101000</v>
      </c>
      <c r="CO32" s="28">
        <f t="shared" si="58"/>
        <v>15000</v>
      </c>
      <c r="CP32" s="28">
        <f t="shared" si="58"/>
        <v>60000</v>
      </c>
      <c r="CQ32" s="28">
        <f t="shared" si="58"/>
        <v>359000</v>
      </c>
      <c r="CR32" s="28">
        <f t="shared" si="58"/>
        <v>128846</v>
      </c>
      <c r="CS32" s="110">
        <f>SUM(BN32:CR32)</f>
        <v>6873346</v>
      </c>
      <c r="CT32" s="28">
        <f t="shared" ref="CT32:DW32" si="59">SUM(CT3:CT31)</f>
        <v>20000</v>
      </c>
      <c r="CU32" s="28">
        <f t="shared" si="59"/>
        <v>100000</v>
      </c>
      <c r="CV32" s="28">
        <f t="shared" si="59"/>
        <v>2682000</v>
      </c>
      <c r="CW32" s="28">
        <f t="shared" si="59"/>
        <v>290000</v>
      </c>
      <c r="CX32" s="28">
        <f t="shared" si="59"/>
        <v>0</v>
      </c>
      <c r="CY32" s="28">
        <f t="shared" si="59"/>
        <v>319000</v>
      </c>
      <c r="CZ32" s="28">
        <f t="shared" si="59"/>
        <v>363000</v>
      </c>
      <c r="DA32" s="28">
        <f t="shared" si="59"/>
        <v>20000</v>
      </c>
      <c r="DB32" s="28">
        <f t="shared" si="59"/>
        <v>1300000</v>
      </c>
      <c r="DC32" s="28">
        <f t="shared" si="59"/>
        <v>0</v>
      </c>
      <c r="DD32" s="28">
        <f t="shared" si="59"/>
        <v>100000</v>
      </c>
      <c r="DE32" s="28">
        <f t="shared" si="59"/>
        <v>174500</v>
      </c>
      <c r="DF32" s="28">
        <f t="shared" si="59"/>
        <v>97500</v>
      </c>
      <c r="DG32" s="28">
        <f t="shared" si="59"/>
        <v>3000</v>
      </c>
      <c r="DH32" s="28">
        <f t="shared" si="59"/>
        <v>132440</v>
      </c>
      <c r="DI32" s="28">
        <f t="shared" si="59"/>
        <v>8000</v>
      </c>
      <c r="DJ32" s="28">
        <f t="shared" si="59"/>
        <v>199800</v>
      </c>
      <c r="DK32" s="28">
        <f t="shared" si="59"/>
        <v>15000</v>
      </c>
      <c r="DL32" s="28">
        <f t="shared" si="59"/>
        <v>4000</v>
      </c>
      <c r="DM32" s="28">
        <f t="shared" si="59"/>
        <v>122000</v>
      </c>
      <c r="DN32" s="28">
        <f t="shared" si="59"/>
        <v>106000</v>
      </c>
      <c r="DO32" s="28">
        <f t="shared" si="59"/>
        <v>8000</v>
      </c>
      <c r="DP32" s="28">
        <f t="shared" si="59"/>
        <v>125000</v>
      </c>
      <c r="DQ32" s="28">
        <f t="shared" si="59"/>
        <v>0</v>
      </c>
      <c r="DR32" s="28">
        <f t="shared" si="59"/>
        <v>0</v>
      </c>
      <c r="DS32" s="28">
        <f t="shared" si="59"/>
        <v>99800</v>
      </c>
      <c r="DT32" s="28">
        <f t="shared" si="59"/>
        <v>411400</v>
      </c>
      <c r="DU32" s="28">
        <f t="shared" si="59"/>
        <v>511600</v>
      </c>
      <c r="DV32" s="28">
        <f t="shared" si="59"/>
        <v>103500</v>
      </c>
      <c r="DW32" s="28">
        <f t="shared" si="59"/>
        <v>2000</v>
      </c>
      <c r="DX32" s="118">
        <f>SUM(CT32:DW32)</f>
        <v>7317540</v>
      </c>
      <c r="DY32" s="28">
        <f t="shared" ref="DY32:FC32" si="60">SUM(DY3:DY31)</f>
        <v>150000</v>
      </c>
      <c r="DZ32" s="28">
        <f t="shared" si="60"/>
        <v>20000</v>
      </c>
      <c r="EA32" s="28">
        <f t="shared" si="60"/>
        <v>110000</v>
      </c>
      <c r="EB32" s="28">
        <f t="shared" si="60"/>
        <v>2540000</v>
      </c>
      <c r="EC32" s="28">
        <f t="shared" si="60"/>
        <v>1201000</v>
      </c>
      <c r="ED32" s="28">
        <f t="shared" si="60"/>
        <v>49900</v>
      </c>
      <c r="EE32" s="28">
        <f t="shared" si="60"/>
        <v>160000</v>
      </c>
      <c r="EF32" s="28">
        <f t="shared" si="60"/>
        <v>131800</v>
      </c>
      <c r="EG32" s="28">
        <f t="shared" si="60"/>
        <v>522234</v>
      </c>
      <c r="EH32" s="28">
        <f t="shared" si="60"/>
        <v>266750</v>
      </c>
      <c r="EI32" s="28">
        <f t="shared" si="60"/>
        <v>141000</v>
      </c>
      <c r="EJ32" s="28">
        <f t="shared" si="60"/>
        <v>448667</v>
      </c>
      <c r="EK32" s="28">
        <f t="shared" si="60"/>
        <v>12500</v>
      </c>
      <c r="EL32" s="28">
        <f t="shared" si="60"/>
        <v>269235</v>
      </c>
      <c r="EM32" s="28">
        <f t="shared" si="60"/>
        <v>0</v>
      </c>
      <c r="EN32" s="28">
        <f t="shared" si="60"/>
        <v>22000</v>
      </c>
      <c r="EO32" s="28">
        <f t="shared" si="60"/>
        <v>0</v>
      </c>
      <c r="EP32" s="28">
        <f t="shared" si="60"/>
        <v>182942</v>
      </c>
      <c r="EQ32" s="28">
        <f t="shared" si="60"/>
        <v>2000</v>
      </c>
      <c r="ER32" s="28">
        <f t="shared" si="60"/>
        <v>0</v>
      </c>
      <c r="ES32" s="28">
        <f t="shared" si="60"/>
        <v>6000</v>
      </c>
      <c r="ET32" s="28">
        <f t="shared" si="60"/>
        <v>0</v>
      </c>
      <c r="EU32" s="28">
        <f t="shared" si="60"/>
        <v>412021</v>
      </c>
      <c r="EV32" s="28">
        <f t="shared" si="60"/>
        <v>0</v>
      </c>
      <c r="EW32" s="28">
        <f t="shared" si="60"/>
        <v>48500</v>
      </c>
      <c r="EX32" s="28">
        <f t="shared" si="60"/>
        <v>2000</v>
      </c>
      <c r="EY32" s="28">
        <f t="shared" si="60"/>
        <v>0</v>
      </c>
      <c r="EZ32" s="28">
        <f t="shared" si="60"/>
        <v>102000</v>
      </c>
      <c r="FA32" s="28">
        <f t="shared" si="60"/>
        <v>170800</v>
      </c>
      <c r="FB32" s="28">
        <f t="shared" si="60"/>
        <v>17300</v>
      </c>
      <c r="FC32" s="28">
        <f t="shared" si="60"/>
        <v>338572</v>
      </c>
      <c r="FD32" s="126"/>
      <c r="FE32" s="28">
        <f t="shared" ref="FE32:GI32" si="61">SUM(FE3:FE31)</f>
        <v>129000</v>
      </c>
      <c r="FF32" s="28">
        <f t="shared" si="61"/>
        <v>0</v>
      </c>
      <c r="FG32" s="28">
        <f t="shared" si="61"/>
        <v>0</v>
      </c>
      <c r="FH32" s="28">
        <f t="shared" si="61"/>
        <v>2507000</v>
      </c>
      <c r="FI32" s="28">
        <f t="shared" si="61"/>
        <v>200000</v>
      </c>
      <c r="FJ32" s="28">
        <f t="shared" si="61"/>
        <v>433265</v>
      </c>
      <c r="FK32" s="28">
        <f t="shared" si="61"/>
        <v>2000</v>
      </c>
      <c r="FL32" s="28">
        <f t="shared" si="61"/>
        <v>0</v>
      </c>
      <c r="FM32" s="28">
        <f t="shared" si="61"/>
        <v>0</v>
      </c>
      <c r="FN32" s="28">
        <f t="shared" si="61"/>
        <v>1448000</v>
      </c>
      <c r="FO32" s="28">
        <f t="shared" si="61"/>
        <v>27000</v>
      </c>
      <c r="FP32" s="28">
        <f t="shared" si="61"/>
        <v>224000</v>
      </c>
      <c r="FQ32" s="28">
        <f t="shared" si="61"/>
        <v>20000</v>
      </c>
      <c r="FR32" s="28">
        <f t="shared" si="61"/>
        <v>0</v>
      </c>
      <c r="FS32" s="28">
        <f t="shared" si="61"/>
        <v>59000</v>
      </c>
      <c r="FT32" s="28">
        <f t="shared" si="61"/>
        <v>15000</v>
      </c>
      <c r="FU32" s="28">
        <f t="shared" si="61"/>
        <v>402000</v>
      </c>
      <c r="FV32" s="28">
        <f t="shared" si="61"/>
        <v>325474</v>
      </c>
      <c r="FW32" s="28">
        <f t="shared" si="61"/>
        <v>82000</v>
      </c>
      <c r="FX32" s="28">
        <f t="shared" si="61"/>
        <v>0</v>
      </c>
      <c r="FY32" s="28">
        <f t="shared" si="61"/>
        <v>153000</v>
      </c>
      <c r="FZ32" s="28">
        <f t="shared" si="61"/>
        <v>301000</v>
      </c>
      <c r="GA32" s="28">
        <f t="shared" si="61"/>
        <v>237000</v>
      </c>
      <c r="GB32" s="28">
        <f t="shared" si="61"/>
        <v>63000</v>
      </c>
      <c r="GC32" s="28">
        <f t="shared" si="61"/>
        <v>190500</v>
      </c>
      <c r="GD32" s="28">
        <f t="shared" si="61"/>
        <v>252000</v>
      </c>
      <c r="GE32" s="28">
        <f t="shared" si="61"/>
        <v>140000</v>
      </c>
      <c r="GF32" s="28">
        <f t="shared" si="61"/>
        <v>22000</v>
      </c>
      <c r="GG32" s="28">
        <f t="shared" si="61"/>
        <v>605000</v>
      </c>
      <c r="GH32" s="28">
        <f t="shared" si="61"/>
        <v>101000</v>
      </c>
      <c r="GI32" s="28">
        <f t="shared" si="61"/>
        <v>22000</v>
      </c>
      <c r="GJ32" s="106">
        <f>SUM(FE32:GI32)</f>
        <v>7960239</v>
      </c>
      <c r="GK32" s="28">
        <f t="shared" ref="GK32:IV32" si="62">SUM(GK3:GK31)</f>
        <v>202000</v>
      </c>
      <c r="GL32" s="28">
        <f t="shared" si="62"/>
        <v>102000</v>
      </c>
      <c r="GM32" s="28">
        <f t="shared" si="62"/>
        <v>105000</v>
      </c>
      <c r="GN32" s="28">
        <f t="shared" si="62"/>
        <v>2000</v>
      </c>
      <c r="GO32" s="28">
        <f t="shared" si="62"/>
        <v>2618500</v>
      </c>
      <c r="GP32" s="28">
        <f t="shared" si="62"/>
        <v>44000</v>
      </c>
      <c r="GQ32" s="28">
        <f t="shared" si="62"/>
        <v>75000</v>
      </c>
      <c r="GR32" s="28">
        <f t="shared" si="62"/>
        <v>626000</v>
      </c>
      <c r="GS32" s="28">
        <f t="shared" si="62"/>
        <v>2000</v>
      </c>
      <c r="GT32" s="28">
        <f t="shared" si="62"/>
        <v>8500</v>
      </c>
      <c r="GU32" s="28">
        <f t="shared" si="62"/>
        <v>1200000</v>
      </c>
      <c r="GV32" s="28">
        <f t="shared" si="62"/>
        <v>2000</v>
      </c>
      <c r="GW32" s="28">
        <f t="shared" si="62"/>
        <v>4000</v>
      </c>
      <c r="GX32" s="28">
        <f t="shared" si="62"/>
        <v>304000</v>
      </c>
      <c r="GY32" s="28">
        <f t="shared" si="62"/>
        <v>0</v>
      </c>
      <c r="GZ32" s="28">
        <f t="shared" si="62"/>
        <v>244000</v>
      </c>
      <c r="HA32" s="28">
        <f t="shared" si="62"/>
        <v>6000</v>
      </c>
      <c r="HB32" s="28">
        <f t="shared" si="62"/>
        <v>22000</v>
      </c>
      <c r="HC32" s="28">
        <f t="shared" si="62"/>
        <v>200000</v>
      </c>
      <c r="HD32" s="28">
        <f t="shared" si="62"/>
        <v>11206026</v>
      </c>
      <c r="HE32" s="28">
        <f t="shared" si="62"/>
        <v>523300</v>
      </c>
      <c r="HF32" s="28">
        <f t="shared" si="62"/>
        <v>14000</v>
      </c>
      <c r="HG32" s="28">
        <f t="shared" si="62"/>
        <v>440291</v>
      </c>
      <c r="HH32" s="28">
        <f t="shared" si="62"/>
        <v>504000</v>
      </c>
      <c r="HI32" s="28">
        <f t="shared" si="62"/>
        <v>0</v>
      </c>
      <c r="HJ32" s="28">
        <f t="shared" si="62"/>
        <v>350500</v>
      </c>
      <c r="HK32" s="28">
        <f t="shared" si="62"/>
        <v>161500</v>
      </c>
      <c r="HL32" s="28">
        <f t="shared" si="62"/>
        <v>453650</v>
      </c>
      <c r="HM32" s="28">
        <f t="shared" si="62"/>
        <v>528110</v>
      </c>
      <c r="HN32" s="106">
        <f t="shared" si="62"/>
        <v>19948377</v>
      </c>
      <c r="HO32" s="106">
        <f t="shared" si="62"/>
        <v>508000</v>
      </c>
      <c r="HP32" s="106">
        <f t="shared" si="62"/>
        <v>226100</v>
      </c>
      <c r="HQ32" s="106">
        <f t="shared" si="62"/>
        <v>297000</v>
      </c>
      <c r="HR32" s="106">
        <f t="shared" si="62"/>
        <v>2651000</v>
      </c>
      <c r="HS32" s="106">
        <f t="shared" si="62"/>
        <v>630327</v>
      </c>
      <c r="HT32" s="106">
        <f t="shared" si="62"/>
        <v>299000</v>
      </c>
      <c r="HU32" s="106">
        <f t="shared" si="62"/>
        <v>244500</v>
      </c>
      <c r="HV32" s="106">
        <f t="shared" si="62"/>
        <v>1202000</v>
      </c>
      <c r="HW32" s="106">
        <f t="shared" si="62"/>
        <v>250050</v>
      </c>
      <c r="HX32" s="106">
        <f t="shared" si="62"/>
        <v>110000</v>
      </c>
      <c r="HY32" s="106">
        <f t="shared" si="62"/>
        <v>354500</v>
      </c>
      <c r="HZ32" s="106">
        <f t="shared" si="62"/>
        <v>202000</v>
      </c>
      <c r="IA32" s="106">
        <f t="shared" si="62"/>
        <v>3000</v>
      </c>
      <c r="IB32" s="106">
        <f t="shared" si="62"/>
        <v>697000</v>
      </c>
      <c r="IC32" s="106">
        <f t="shared" si="62"/>
        <v>2000</v>
      </c>
      <c r="ID32" s="106">
        <f t="shared" si="62"/>
        <v>400000</v>
      </c>
      <c r="IE32" s="106">
        <f t="shared" si="62"/>
        <v>101000</v>
      </c>
      <c r="IF32" s="106">
        <f t="shared" si="62"/>
        <v>2000</v>
      </c>
      <c r="IG32" s="106">
        <f t="shared" si="62"/>
        <v>198000</v>
      </c>
      <c r="IH32" s="106">
        <f t="shared" si="62"/>
        <v>217000</v>
      </c>
      <c r="II32" s="106">
        <f t="shared" si="62"/>
        <v>102000</v>
      </c>
      <c r="IJ32" s="106">
        <f t="shared" si="62"/>
        <v>218500</v>
      </c>
      <c r="IK32" s="106">
        <f t="shared" si="62"/>
        <v>148500</v>
      </c>
      <c r="IL32" s="106">
        <f t="shared" si="62"/>
        <v>2000</v>
      </c>
      <c r="IM32" s="106">
        <f t="shared" si="62"/>
        <v>458500</v>
      </c>
      <c r="IN32" s="106">
        <f t="shared" si="62"/>
        <v>0</v>
      </c>
      <c r="IO32" s="106">
        <f t="shared" si="62"/>
        <v>241620</v>
      </c>
      <c r="IP32" s="106">
        <f t="shared" si="62"/>
        <v>0</v>
      </c>
      <c r="IQ32" s="106">
        <f t="shared" si="62"/>
        <v>642000</v>
      </c>
      <c r="IR32" s="106">
        <f t="shared" si="62"/>
        <v>14000</v>
      </c>
      <c r="IS32" s="106">
        <f t="shared" si="62"/>
        <v>22000</v>
      </c>
      <c r="IT32" s="106">
        <f t="shared" si="62"/>
        <v>10443597</v>
      </c>
      <c r="IU32" s="106">
        <f t="shared" si="62"/>
        <v>140000</v>
      </c>
      <c r="IV32" s="106">
        <f t="shared" si="62"/>
        <v>418052</v>
      </c>
      <c r="IW32" s="106">
        <f t="shared" ref="IW32:LH32" si="63">SUM(IW3:IW31)</f>
        <v>2334500</v>
      </c>
      <c r="IX32" s="106">
        <f t="shared" si="63"/>
        <v>351500</v>
      </c>
      <c r="IY32" s="106">
        <f t="shared" si="63"/>
        <v>172000</v>
      </c>
      <c r="IZ32" s="106">
        <f t="shared" si="63"/>
        <v>1202000</v>
      </c>
      <c r="JA32" s="106">
        <f t="shared" si="63"/>
        <v>263800</v>
      </c>
      <c r="JB32" s="106">
        <f t="shared" si="63"/>
        <v>304000</v>
      </c>
      <c r="JC32" s="106">
        <f t="shared" si="63"/>
        <v>460000</v>
      </c>
      <c r="JD32" s="106">
        <f t="shared" si="63"/>
        <v>0</v>
      </c>
      <c r="JE32" s="106">
        <f t="shared" si="63"/>
        <v>245582</v>
      </c>
      <c r="JF32" s="106">
        <f t="shared" si="63"/>
        <v>0</v>
      </c>
      <c r="JG32" s="106">
        <f t="shared" si="63"/>
        <v>300000</v>
      </c>
      <c r="JH32" s="106">
        <f t="shared" si="63"/>
        <v>0</v>
      </c>
      <c r="JI32" s="106">
        <f t="shared" si="63"/>
        <v>254000</v>
      </c>
      <c r="JJ32" s="106">
        <f t="shared" si="63"/>
        <v>320000</v>
      </c>
      <c r="JK32" s="106">
        <f t="shared" si="63"/>
        <v>4000</v>
      </c>
      <c r="JL32" s="106">
        <f t="shared" si="63"/>
        <v>50000</v>
      </c>
      <c r="JM32" s="106">
        <f t="shared" si="63"/>
        <v>270000</v>
      </c>
      <c r="JN32" s="106">
        <f t="shared" si="63"/>
        <v>101800</v>
      </c>
      <c r="JO32" s="106">
        <f t="shared" si="63"/>
        <v>8000</v>
      </c>
      <c r="JP32" s="106">
        <f t="shared" si="63"/>
        <v>687000</v>
      </c>
      <c r="JQ32" s="106">
        <f t="shared" si="63"/>
        <v>102000</v>
      </c>
      <c r="JR32" s="106">
        <f t="shared" si="63"/>
        <v>0</v>
      </c>
      <c r="JS32" s="106">
        <f t="shared" si="63"/>
        <v>907600</v>
      </c>
      <c r="JT32" s="106">
        <f t="shared" si="63"/>
        <v>247000</v>
      </c>
      <c r="JU32" s="106">
        <f t="shared" si="63"/>
        <v>100000</v>
      </c>
      <c r="JV32" s="106">
        <f t="shared" si="63"/>
        <v>2000</v>
      </c>
      <c r="JW32" s="106">
        <f t="shared" si="63"/>
        <v>209000</v>
      </c>
      <c r="JX32" s="106">
        <f t="shared" si="63"/>
        <v>147750</v>
      </c>
      <c r="JY32" s="106">
        <f t="shared" si="63"/>
        <v>9601584</v>
      </c>
      <c r="JZ32" s="106">
        <f t="shared" si="63"/>
        <v>4000</v>
      </c>
      <c r="KA32" s="106">
        <f t="shared" si="63"/>
        <v>0</v>
      </c>
      <c r="KB32" s="106">
        <f t="shared" si="63"/>
        <v>2244200</v>
      </c>
      <c r="KC32" s="106">
        <f t="shared" si="63"/>
        <v>200000</v>
      </c>
      <c r="KD32" s="106">
        <f t="shared" si="63"/>
        <v>3000</v>
      </c>
      <c r="KE32" s="106">
        <f t="shared" si="63"/>
        <v>822000</v>
      </c>
      <c r="KF32" s="106">
        <f t="shared" si="63"/>
        <v>2050136</v>
      </c>
      <c r="KG32" s="106">
        <f t="shared" si="63"/>
        <v>1317000</v>
      </c>
      <c r="KH32" s="106">
        <f t="shared" si="63"/>
        <v>100800</v>
      </c>
      <c r="KI32" s="106">
        <f t="shared" si="63"/>
        <v>1483000</v>
      </c>
      <c r="KJ32" s="106">
        <f t="shared" si="63"/>
        <v>50000</v>
      </c>
      <c r="KK32" s="106">
        <f t="shared" si="63"/>
        <v>2000</v>
      </c>
      <c r="KL32" s="106">
        <f t="shared" si="63"/>
        <v>0</v>
      </c>
      <c r="KM32" s="106">
        <f t="shared" si="63"/>
        <v>665654</v>
      </c>
      <c r="KN32" s="106">
        <f t="shared" si="63"/>
        <v>340000</v>
      </c>
      <c r="KO32" s="106">
        <f t="shared" si="63"/>
        <v>5080000</v>
      </c>
      <c r="KP32" s="106">
        <f t="shared" si="63"/>
        <v>817000</v>
      </c>
      <c r="KQ32" s="106">
        <f t="shared" si="63"/>
        <v>601800</v>
      </c>
      <c r="KR32" s="106">
        <f t="shared" si="63"/>
        <v>204000</v>
      </c>
      <c r="KS32" s="106">
        <f t="shared" si="63"/>
        <v>102000</v>
      </c>
      <c r="KT32" s="106">
        <f t="shared" si="63"/>
        <v>2251170</v>
      </c>
      <c r="KU32" s="106">
        <f t="shared" si="63"/>
        <v>2037218</v>
      </c>
      <c r="KV32" s="106">
        <f t="shared" si="63"/>
        <v>4890000</v>
      </c>
      <c r="KW32" s="106">
        <f t="shared" si="63"/>
        <v>487000</v>
      </c>
      <c r="KX32" s="106">
        <f t="shared" si="63"/>
        <v>390800</v>
      </c>
      <c r="KY32" s="106">
        <f t="shared" si="63"/>
        <v>97800</v>
      </c>
      <c r="KZ32" s="106">
        <f t="shared" si="63"/>
        <v>301800</v>
      </c>
      <c r="LA32" s="106">
        <f t="shared" si="63"/>
        <v>185000</v>
      </c>
      <c r="LB32" s="106">
        <f t="shared" si="63"/>
        <v>240000</v>
      </c>
      <c r="LC32" s="106">
        <f t="shared" si="63"/>
        <v>492000</v>
      </c>
      <c r="LD32" s="106">
        <f t="shared" si="63"/>
        <v>4000</v>
      </c>
      <c r="LE32" s="106">
        <f t="shared" si="63"/>
        <v>27459378</v>
      </c>
      <c r="LF32" s="106">
        <f t="shared" si="63"/>
        <v>143000</v>
      </c>
      <c r="LG32" s="106">
        <f t="shared" si="63"/>
        <v>0</v>
      </c>
      <c r="LH32" s="106">
        <f t="shared" si="63"/>
        <v>2490800</v>
      </c>
      <c r="LI32" s="106">
        <f t="shared" ref="LI32:NT32" si="64">SUM(LI3:LI31)</f>
        <v>1200000</v>
      </c>
      <c r="LJ32" s="106">
        <f t="shared" si="64"/>
        <v>155000</v>
      </c>
      <c r="LK32" s="106">
        <f t="shared" si="64"/>
        <v>103000</v>
      </c>
      <c r="LL32" s="106">
        <f t="shared" si="64"/>
        <v>227500</v>
      </c>
      <c r="LM32" s="106">
        <f t="shared" si="64"/>
        <v>200000</v>
      </c>
      <c r="LN32" s="106">
        <f t="shared" si="64"/>
        <v>0</v>
      </c>
      <c r="LO32" s="106">
        <f t="shared" si="64"/>
        <v>54000</v>
      </c>
      <c r="LP32" s="106">
        <f t="shared" si="64"/>
        <v>99000</v>
      </c>
      <c r="LQ32" s="106">
        <f t="shared" si="64"/>
        <v>4000</v>
      </c>
      <c r="LR32" s="106">
        <f t="shared" si="64"/>
        <v>9400</v>
      </c>
      <c r="LS32" s="106">
        <f t="shared" si="64"/>
        <v>1689000</v>
      </c>
      <c r="LT32" s="106">
        <f t="shared" si="64"/>
        <v>150000</v>
      </c>
      <c r="LU32" s="106">
        <f t="shared" si="64"/>
        <v>260000</v>
      </c>
      <c r="LV32" s="106">
        <f t="shared" si="64"/>
        <v>616014</v>
      </c>
      <c r="LW32" s="106">
        <f t="shared" si="64"/>
        <v>194000</v>
      </c>
      <c r="LX32" s="106">
        <f t="shared" si="64"/>
        <v>174500</v>
      </c>
      <c r="LY32" s="106">
        <f t="shared" si="64"/>
        <v>420000</v>
      </c>
      <c r="LZ32" s="106">
        <f t="shared" si="64"/>
        <v>233000</v>
      </c>
      <c r="MA32" s="106">
        <f t="shared" si="64"/>
        <v>0</v>
      </c>
      <c r="MB32" s="106">
        <f t="shared" si="64"/>
        <v>100000</v>
      </c>
      <c r="MC32" s="106">
        <f t="shared" si="64"/>
        <v>7000</v>
      </c>
      <c r="MD32" s="106">
        <f t="shared" si="64"/>
        <v>0</v>
      </c>
      <c r="ME32" s="106">
        <f t="shared" si="64"/>
        <v>796793</v>
      </c>
      <c r="MF32" s="106">
        <f t="shared" si="64"/>
        <v>0</v>
      </c>
      <c r="MG32" s="106">
        <f t="shared" si="64"/>
        <v>259000</v>
      </c>
      <c r="MH32" s="106">
        <f t="shared" si="64"/>
        <v>151000</v>
      </c>
      <c r="MI32" s="106">
        <f t="shared" si="64"/>
        <v>0</v>
      </c>
      <c r="MJ32" s="106">
        <f t="shared" si="64"/>
        <v>9736007</v>
      </c>
      <c r="MK32" s="106">
        <f t="shared" si="64"/>
        <v>1093000</v>
      </c>
      <c r="ML32" s="106">
        <f t="shared" si="64"/>
        <v>1200000</v>
      </c>
      <c r="MM32" s="106">
        <f t="shared" si="64"/>
        <v>2239000</v>
      </c>
      <c r="MN32" s="106">
        <f t="shared" si="64"/>
        <v>1000</v>
      </c>
      <c r="MO32" s="106">
        <f t="shared" si="64"/>
        <v>101000</v>
      </c>
      <c r="MP32" s="106">
        <f t="shared" si="64"/>
        <v>101000</v>
      </c>
      <c r="MQ32" s="106">
        <f t="shared" si="64"/>
        <v>50000</v>
      </c>
      <c r="MR32" s="106">
        <f t="shared" si="64"/>
        <v>8000</v>
      </c>
      <c r="MS32" s="106">
        <f t="shared" si="64"/>
        <v>194800</v>
      </c>
      <c r="MT32" s="106">
        <f t="shared" si="64"/>
        <v>4000</v>
      </c>
      <c r="MU32" s="106">
        <f t="shared" si="64"/>
        <v>323626</v>
      </c>
      <c r="MV32" s="106">
        <f t="shared" si="64"/>
        <v>91000</v>
      </c>
      <c r="MW32" s="106">
        <f t="shared" si="64"/>
        <v>50000</v>
      </c>
      <c r="MX32" s="106">
        <f t="shared" si="64"/>
        <v>70000</v>
      </c>
      <c r="MY32" s="106">
        <f t="shared" si="64"/>
        <v>0</v>
      </c>
      <c r="MZ32" s="106">
        <f t="shared" si="64"/>
        <v>100000</v>
      </c>
      <c r="NA32" s="106">
        <f t="shared" si="64"/>
        <v>1283000</v>
      </c>
      <c r="NB32" s="106">
        <f t="shared" si="64"/>
        <v>305504</v>
      </c>
      <c r="NC32" s="106">
        <f t="shared" si="64"/>
        <v>51990</v>
      </c>
      <c r="ND32" s="106">
        <f t="shared" si="64"/>
        <v>50000</v>
      </c>
      <c r="NE32" s="106">
        <f t="shared" si="64"/>
        <v>0</v>
      </c>
      <c r="NF32" s="106">
        <f t="shared" si="64"/>
        <v>239980</v>
      </c>
      <c r="NG32" s="106">
        <f t="shared" si="64"/>
        <v>0</v>
      </c>
      <c r="NH32" s="106">
        <f t="shared" si="64"/>
        <v>105000</v>
      </c>
      <c r="NI32" s="106">
        <f t="shared" si="64"/>
        <v>52000</v>
      </c>
      <c r="NJ32" s="106">
        <f t="shared" si="64"/>
        <v>259000</v>
      </c>
      <c r="NK32" s="106">
        <f t="shared" si="64"/>
        <v>191960</v>
      </c>
      <c r="NL32" s="106">
        <f t="shared" si="64"/>
        <v>151000</v>
      </c>
      <c r="NM32" s="106">
        <f t="shared" si="64"/>
        <v>4000</v>
      </c>
      <c r="NN32" s="106">
        <f t="shared" si="64"/>
        <v>1121000</v>
      </c>
      <c r="NO32" s="106">
        <f t="shared" si="64"/>
        <v>105000</v>
      </c>
      <c r="NP32" s="106">
        <f t="shared" si="64"/>
        <v>8452860</v>
      </c>
      <c r="NQ32" s="106">
        <f t="shared" si="64"/>
        <v>0</v>
      </c>
      <c r="NR32" s="106">
        <f t="shared" si="64"/>
        <v>2366000</v>
      </c>
      <c r="NS32" s="106">
        <f t="shared" si="64"/>
        <v>1200000</v>
      </c>
      <c r="NT32" s="106">
        <f t="shared" si="64"/>
        <v>0</v>
      </c>
      <c r="NU32" s="106">
        <f t="shared" ref="NU32:QF32" si="65">SUM(NU3:NU31)</f>
        <v>346000</v>
      </c>
      <c r="NV32" s="106">
        <f t="shared" si="65"/>
        <v>302000</v>
      </c>
      <c r="NW32" s="106">
        <f t="shared" si="65"/>
        <v>2000</v>
      </c>
      <c r="NX32" s="106">
        <f t="shared" si="65"/>
        <v>294980</v>
      </c>
      <c r="NY32" s="106">
        <f t="shared" si="65"/>
        <v>644000</v>
      </c>
      <c r="NZ32" s="106">
        <f t="shared" si="65"/>
        <v>5000</v>
      </c>
      <c r="OA32" s="106">
        <f t="shared" si="65"/>
        <v>376263</v>
      </c>
      <c r="OB32" s="106">
        <f t="shared" si="65"/>
        <v>4000</v>
      </c>
      <c r="OC32" s="106">
        <f t="shared" si="65"/>
        <v>298600</v>
      </c>
      <c r="OD32" s="106">
        <f t="shared" si="65"/>
        <v>279000</v>
      </c>
      <c r="OE32" s="106">
        <f t="shared" si="65"/>
        <v>138000</v>
      </c>
      <c r="OF32" s="106">
        <f t="shared" si="65"/>
        <v>151490</v>
      </c>
      <c r="OG32" s="106">
        <f t="shared" si="65"/>
        <v>74000</v>
      </c>
      <c r="OH32" s="106">
        <f t="shared" si="65"/>
        <v>0</v>
      </c>
      <c r="OI32" s="106">
        <f t="shared" si="65"/>
        <v>677516</v>
      </c>
      <c r="OJ32" s="106">
        <f t="shared" si="65"/>
        <v>0</v>
      </c>
      <c r="OK32" s="106">
        <f t="shared" si="65"/>
        <v>10000</v>
      </c>
      <c r="OL32" s="106">
        <f t="shared" si="65"/>
        <v>200000</v>
      </c>
      <c r="OM32" s="106">
        <f t="shared" si="65"/>
        <v>393000</v>
      </c>
      <c r="ON32" s="106">
        <f t="shared" si="65"/>
        <v>0</v>
      </c>
      <c r="OO32" s="106">
        <f t="shared" si="65"/>
        <v>0</v>
      </c>
      <c r="OP32" s="106">
        <f t="shared" si="65"/>
        <v>195000</v>
      </c>
      <c r="OQ32" s="106">
        <f t="shared" si="65"/>
        <v>862000</v>
      </c>
      <c r="OR32" s="106">
        <f t="shared" si="65"/>
        <v>151490</v>
      </c>
      <c r="OS32" s="106">
        <f t="shared" si="65"/>
        <v>94980</v>
      </c>
      <c r="OT32" s="106">
        <f t="shared" si="65"/>
        <v>1050000</v>
      </c>
      <c r="OU32" s="106">
        <f t="shared" si="65"/>
        <v>40000</v>
      </c>
      <c r="OV32" s="106">
        <f t="shared" si="65"/>
        <v>10155319</v>
      </c>
      <c r="OW32" s="106">
        <f t="shared" si="65"/>
        <v>200000</v>
      </c>
      <c r="OX32" s="106">
        <f t="shared" si="65"/>
        <v>2931000</v>
      </c>
      <c r="OY32" s="106">
        <f t="shared" si="65"/>
        <v>417800</v>
      </c>
      <c r="OZ32" s="106">
        <f t="shared" si="65"/>
        <v>303117</v>
      </c>
      <c r="PA32" s="106">
        <f t="shared" si="65"/>
        <v>200000</v>
      </c>
      <c r="PB32" s="106">
        <f t="shared" si="65"/>
        <v>1193000</v>
      </c>
      <c r="PC32" s="106">
        <f t="shared" si="65"/>
        <v>100000</v>
      </c>
      <c r="PD32" s="106">
        <f t="shared" si="65"/>
        <v>276000</v>
      </c>
      <c r="PE32" s="106">
        <f t="shared" si="65"/>
        <v>1624480</v>
      </c>
      <c r="PF32" s="106">
        <f t="shared" si="65"/>
        <v>1352000</v>
      </c>
      <c r="PG32" s="106">
        <f t="shared" si="65"/>
        <v>349960</v>
      </c>
      <c r="PH32" s="106">
        <f t="shared" si="65"/>
        <v>94980</v>
      </c>
      <c r="PI32" s="106">
        <f t="shared" si="65"/>
        <v>4000</v>
      </c>
      <c r="PJ32" s="106">
        <f t="shared" si="65"/>
        <v>6000</v>
      </c>
      <c r="PK32" s="106">
        <f t="shared" si="65"/>
        <v>120000</v>
      </c>
      <c r="PL32" s="106">
        <f t="shared" si="65"/>
        <v>174000</v>
      </c>
      <c r="PM32" s="106">
        <f t="shared" si="65"/>
        <v>0</v>
      </c>
      <c r="PN32" s="106">
        <f t="shared" si="65"/>
        <v>97000</v>
      </c>
      <c r="PO32" s="106">
        <f t="shared" si="65"/>
        <v>982500</v>
      </c>
      <c r="PP32" s="106">
        <f t="shared" si="65"/>
        <v>12800</v>
      </c>
      <c r="PQ32" s="106">
        <f t="shared" si="65"/>
        <v>166000</v>
      </c>
      <c r="PR32" s="106">
        <f t="shared" si="65"/>
        <v>0</v>
      </c>
      <c r="PS32" s="106">
        <f t="shared" si="65"/>
        <v>75235</v>
      </c>
      <c r="PT32" s="106">
        <f t="shared" si="65"/>
        <v>544400</v>
      </c>
      <c r="PU32" s="106">
        <f t="shared" si="65"/>
        <v>115000</v>
      </c>
      <c r="PV32" s="106">
        <f t="shared" si="65"/>
        <v>251000</v>
      </c>
      <c r="PW32" s="106">
        <f t="shared" si="65"/>
        <v>51490</v>
      </c>
      <c r="PX32" s="106">
        <f t="shared" si="65"/>
        <v>199648</v>
      </c>
      <c r="PY32" s="106">
        <f t="shared" si="65"/>
        <v>0</v>
      </c>
      <c r="PZ32" s="106">
        <f t="shared" si="65"/>
        <v>470980</v>
      </c>
      <c r="QA32" s="106">
        <f t="shared" si="65"/>
        <v>12312390</v>
      </c>
      <c r="QB32" s="106">
        <f t="shared" si="65"/>
        <v>20000</v>
      </c>
      <c r="QC32" s="106">
        <f t="shared" si="65"/>
        <v>2519470</v>
      </c>
      <c r="QD32" s="106">
        <f t="shared" si="65"/>
        <v>1200000</v>
      </c>
      <c r="QE32" s="106">
        <f t="shared" si="65"/>
        <v>4000</v>
      </c>
      <c r="QF32" s="106">
        <f t="shared" si="65"/>
        <v>0</v>
      </c>
      <c r="QG32" s="106">
        <f t="shared" ref="QG32:SR32" si="66">SUM(QG3:QG31)</f>
        <v>0</v>
      </c>
      <c r="QH32" s="106">
        <f t="shared" si="66"/>
        <v>10000</v>
      </c>
      <c r="QI32" s="106">
        <f t="shared" si="66"/>
        <v>0</v>
      </c>
      <c r="QJ32" s="106">
        <f t="shared" si="66"/>
        <v>198980</v>
      </c>
      <c r="QK32" s="106">
        <f t="shared" si="66"/>
        <v>20000</v>
      </c>
      <c r="QL32" s="106">
        <f t="shared" si="66"/>
        <v>104000</v>
      </c>
      <c r="QM32" s="106">
        <f t="shared" si="66"/>
        <v>20000</v>
      </c>
      <c r="QN32" s="106">
        <f t="shared" si="66"/>
        <v>201000</v>
      </c>
      <c r="QO32" s="106">
        <f t="shared" si="66"/>
        <v>104000</v>
      </c>
      <c r="QP32" s="106">
        <f t="shared" si="66"/>
        <v>0</v>
      </c>
      <c r="QQ32" s="106">
        <f t="shared" si="66"/>
        <v>173000</v>
      </c>
      <c r="QR32" s="106">
        <f t="shared" si="66"/>
        <v>100000</v>
      </c>
      <c r="QS32" s="106">
        <f t="shared" si="66"/>
        <v>4000</v>
      </c>
      <c r="QT32" s="106">
        <f t="shared" si="66"/>
        <v>90000</v>
      </c>
      <c r="QU32" s="106">
        <f t="shared" si="66"/>
        <v>191980</v>
      </c>
      <c r="QV32" s="106">
        <f t="shared" si="66"/>
        <v>208000</v>
      </c>
      <c r="QW32" s="106">
        <f t="shared" si="66"/>
        <v>45990</v>
      </c>
      <c r="QX32" s="106">
        <f t="shared" si="66"/>
        <v>8000</v>
      </c>
      <c r="QY32" s="106">
        <f t="shared" si="66"/>
        <v>7000</v>
      </c>
      <c r="QZ32" s="106">
        <f t="shared" si="66"/>
        <v>1815980</v>
      </c>
      <c r="RA32" s="106">
        <f t="shared" si="66"/>
        <v>277800</v>
      </c>
      <c r="RB32" s="106">
        <f t="shared" si="66"/>
        <v>200000</v>
      </c>
      <c r="RC32" s="106">
        <f t="shared" si="66"/>
        <v>95980</v>
      </c>
      <c r="RD32" s="106">
        <f t="shared" si="66"/>
        <v>0</v>
      </c>
      <c r="RE32" s="106">
        <f t="shared" si="66"/>
        <v>688811</v>
      </c>
      <c r="RF32" s="106">
        <f t="shared" si="66"/>
        <v>85000</v>
      </c>
      <c r="RG32" s="106">
        <f t="shared" si="66"/>
        <v>8372991</v>
      </c>
      <c r="RH32" s="106">
        <f t="shared" si="66"/>
        <v>9000</v>
      </c>
      <c r="RI32" s="106">
        <f t="shared" si="66"/>
        <v>2479000</v>
      </c>
      <c r="RJ32" s="106">
        <f t="shared" si="66"/>
        <v>323000</v>
      </c>
      <c r="RK32" s="106">
        <f t="shared" si="66"/>
        <v>244000</v>
      </c>
      <c r="RL32" s="106">
        <f t="shared" si="66"/>
        <v>336141</v>
      </c>
      <c r="RM32" s="106">
        <f t="shared" si="66"/>
        <v>62000</v>
      </c>
      <c r="RN32" s="106">
        <f t="shared" si="66"/>
        <v>1291980</v>
      </c>
      <c r="RO32" s="106">
        <f t="shared" si="66"/>
        <v>4000</v>
      </c>
      <c r="RP32" s="106">
        <f t="shared" si="66"/>
        <v>200000</v>
      </c>
      <c r="RQ32" s="106">
        <f t="shared" si="66"/>
        <v>0</v>
      </c>
      <c r="RR32" s="106">
        <f t="shared" si="66"/>
        <v>96400</v>
      </c>
      <c r="RS32" s="106">
        <f t="shared" si="66"/>
        <v>44700</v>
      </c>
      <c r="RT32" s="106">
        <f t="shared" si="66"/>
        <v>198700</v>
      </c>
      <c r="RU32" s="106">
        <f t="shared" si="66"/>
        <v>0</v>
      </c>
      <c r="RV32" s="106">
        <f t="shared" si="66"/>
        <v>374000</v>
      </c>
      <c r="RW32" s="106">
        <f t="shared" si="66"/>
        <v>213800</v>
      </c>
      <c r="RX32" s="106">
        <f t="shared" si="66"/>
        <v>0</v>
      </c>
      <c r="RY32" s="106">
        <f t="shared" si="66"/>
        <v>4000</v>
      </c>
      <c r="RZ32" s="106">
        <f t="shared" si="66"/>
        <v>412900</v>
      </c>
      <c r="SA32" s="106">
        <f t="shared" si="66"/>
        <v>2212900</v>
      </c>
      <c r="SB32" s="106">
        <f t="shared" si="66"/>
        <v>1407300</v>
      </c>
      <c r="SC32" s="106">
        <f t="shared" si="66"/>
        <v>4000</v>
      </c>
      <c r="SD32" s="106">
        <f t="shared" si="66"/>
        <v>0</v>
      </c>
      <c r="SE32" s="106">
        <f t="shared" si="66"/>
        <v>0</v>
      </c>
      <c r="SF32" s="106">
        <f t="shared" si="66"/>
        <v>1460540</v>
      </c>
      <c r="SG32" s="106">
        <f t="shared" si="66"/>
        <v>4000</v>
      </c>
      <c r="SH32" s="106">
        <f t="shared" si="66"/>
        <v>113000</v>
      </c>
      <c r="SI32" s="106">
        <f t="shared" si="66"/>
        <v>101000</v>
      </c>
      <c r="SJ32" s="106">
        <f t="shared" si="66"/>
        <v>2000</v>
      </c>
      <c r="SK32" s="106">
        <f t="shared" si="66"/>
        <v>20000</v>
      </c>
      <c r="SL32" s="106">
        <f t="shared" si="66"/>
        <v>0</v>
      </c>
      <c r="SM32" s="106">
        <f t="shared" si="66"/>
        <v>11439361</v>
      </c>
      <c r="SN32" s="106">
        <f t="shared" si="66"/>
        <v>6000</v>
      </c>
      <c r="SO32" s="106">
        <f t="shared" si="66"/>
        <v>993900</v>
      </c>
      <c r="SP32" s="106">
        <f t="shared" si="66"/>
        <v>9104900</v>
      </c>
      <c r="SQ32" s="106">
        <f t="shared" si="66"/>
        <v>2332500</v>
      </c>
      <c r="SR32" s="106">
        <f t="shared" si="66"/>
        <v>113000</v>
      </c>
      <c r="SS32" s="106">
        <f t="shared" ref="SS32:VD32" si="67">SUM(SS3:SS31)</f>
        <v>1246700</v>
      </c>
      <c r="ST32" s="106">
        <f t="shared" si="67"/>
        <v>0</v>
      </c>
      <c r="SU32" s="106">
        <f t="shared" si="67"/>
        <v>100000</v>
      </c>
      <c r="SV32" s="106">
        <f t="shared" si="67"/>
        <v>4000</v>
      </c>
      <c r="SW32" s="106">
        <f t="shared" si="67"/>
        <v>100000</v>
      </c>
      <c r="SX32" s="106">
        <f t="shared" si="67"/>
        <v>13000</v>
      </c>
      <c r="SY32" s="106">
        <f t="shared" si="67"/>
        <v>100000</v>
      </c>
      <c r="SZ32" s="106">
        <f t="shared" si="67"/>
        <v>113400</v>
      </c>
      <c r="TA32" s="106">
        <f t="shared" si="67"/>
        <v>0</v>
      </c>
      <c r="TB32" s="106">
        <f t="shared" si="67"/>
        <v>0</v>
      </c>
      <c r="TC32" s="106">
        <f t="shared" si="67"/>
        <v>6000</v>
      </c>
      <c r="TD32" s="106">
        <f t="shared" si="67"/>
        <v>3500</v>
      </c>
      <c r="TE32" s="106">
        <f t="shared" si="67"/>
        <v>84000</v>
      </c>
      <c r="TF32" s="106">
        <f t="shared" si="67"/>
        <v>992900</v>
      </c>
      <c r="TG32" s="106">
        <f t="shared" si="67"/>
        <v>0</v>
      </c>
      <c r="TH32" s="106">
        <f t="shared" si="67"/>
        <v>54000</v>
      </c>
      <c r="TI32" s="106">
        <f t="shared" si="67"/>
        <v>189400</v>
      </c>
      <c r="TJ32" s="106">
        <f t="shared" si="67"/>
        <v>8000</v>
      </c>
      <c r="TK32" s="106">
        <f t="shared" si="67"/>
        <v>250000</v>
      </c>
      <c r="TL32" s="106">
        <f t="shared" si="67"/>
        <v>4000</v>
      </c>
      <c r="TM32" s="106">
        <f t="shared" si="67"/>
        <v>0</v>
      </c>
      <c r="TN32" s="106">
        <f t="shared" si="67"/>
        <v>0</v>
      </c>
      <c r="TO32" s="106">
        <f t="shared" si="67"/>
        <v>1000</v>
      </c>
      <c r="TP32" s="106">
        <f t="shared" si="67"/>
        <v>139400</v>
      </c>
      <c r="TQ32" s="106">
        <f t="shared" si="67"/>
        <v>124000</v>
      </c>
      <c r="TR32" s="106">
        <f t="shared" si="67"/>
        <v>1600000</v>
      </c>
      <c r="TS32" s="106">
        <f t="shared" si="67"/>
        <v>17677600</v>
      </c>
      <c r="TT32" s="106">
        <f t="shared" si="67"/>
        <v>5009000</v>
      </c>
      <c r="TU32" s="106">
        <f t="shared" si="67"/>
        <v>224500</v>
      </c>
      <c r="TV32" s="106">
        <f t="shared" si="67"/>
        <v>2080600</v>
      </c>
      <c r="TW32" s="106">
        <f t="shared" si="67"/>
        <v>50000</v>
      </c>
      <c r="TX32" s="106">
        <f t="shared" si="67"/>
        <v>0</v>
      </c>
      <c r="TY32" s="106">
        <f t="shared" si="67"/>
        <v>104000</v>
      </c>
      <c r="TZ32" s="106">
        <f t="shared" si="67"/>
        <v>44700</v>
      </c>
      <c r="UA32" s="106">
        <f t="shared" si="67"/>
        <v>117000</v>
      </c>
      <c r="UB32" s="106">
        <f t="shared" si="67"/>
        <v>1000</v>
      </c>
      <c r="UC32" s="106">
        <f t="shared" si="67"/>
        <v>4000</v>
      </c>
      <c r="UD32" s="106">
        <f t="shared" si="67"/>
        <v>101500</v>
      </c>
      <c r="UE32" s="106">
        <f t="shared" si="67"/>
        <v>189400</v>
      </c>
      <c r="UF32" s="106">
        <f t="shared" si="67"/>
        <v>6000</v>
      </c>
      <c r="UG32" s="106">
        <f t="shared" si="67"/>
        <v>1308000</v>
      </c>
      <c r="UH32" s="106">
        <f t="shared" si="67"/>
        <v>220000</v>
      </c>
      <c r="UI32" s="106">
        <f t="shared" si="67"/>
        <v>120000</v>
      </c>
      <c r="UJ32" s="106">
        <f t="shared" si="67"/>
        <v>4000</v>
      </c>
      <c r="UK32" s="106">
        <f t="shared" si="67"/>
        <v>0</v>
      </c>
      <c r="UL32" s="106">
        <f t="shared" si="67"/>
        <v>44900</v>
      </c>
      <c r="UM32" s="106">
        <f t="shared" si="67"/>
        <v>221000</v>
      </c>
      <c r="UN32" s="106">
        <f t="shared" si="67"/>
        <v>304000</v>
      </c>
      <c r="UO32" s="106">
        <f t="shared" si="67"/>
        <v>23000</v>
      </c>
      <c r="UP32" s="106">
        <f t="shared" si="67"/>
        <v>117500</v>
      </c>
      <c r="UQ32" s="106">
        <f t="shared" si="67"/>
        <v>93800</v>
      </c>
      <c r="UR32" s="106">
        <f t="shared" si="67"/>
        <v>114000</v>
      </c>
      <c r="US32" s="106">
        <f t="shared" si="67"/>
        <v>0</v>
      </c>
      <c r="UT32" s="106">
        <f t="shared" si="67"/>
        <v>224000</v>
      </c>
      <c r="UU32" s="106">
        <f t="shared" si="67"/>
        <v>25000</v>
      </c>
      <c r="UV32" s="106">
        <f t="shared" si="67"/>
        <v>15000</v>
      </c>
      <c r="UW32" s="106">
        <f t="shared" si="67"/>
        <v>156000</v>
      </c>
      <c r="UX32" s="106">
        <f t="shared" si="67"/>
        <v>4000</v>
      </c>
      <c r="UY32" s="130">
        <f t="shared" si="67"/>
        <v>5901900</v>
      </c>
      <c r="UZ32" s="106">
        <f t="shared" si="67"/>
        <v>0</v>
      </c>
      <c r="VA32" s="106">
        <f t="shared" si="67"/>
        <v>3000</v>
      </c>
      <c r="VB32" s="106">
        <f t="shared" si="67"/>
        <v>2333000</v>
      </c>
      <c r="VC32" s="106">
        <f t="shared" si="67"/>
        <v>1205000</v>
      </c>
      <c r="VD32" s="106">
        <f t="shared" si="67"/>
        <v>178100</v>
      </c>
      <c r="VE32" s="106">
        <f t="shared" ref="VE32:XP32" si="68">SUM(VE3:VE31)</f>
        <v>12000</v>
      </c>
      <c r="VF32" s="106">
        <f t="shared" si="68"/>
        <v>164000</v>
      </c>
      <c r="VG32" s="106">
        <f t="shared" si="68"/>
        <v>225000</v>
      </c>
      <c r="VH32" s="106">
        <f t="shared" si="68"/>
        <v>10000</v>
      </c>
      <c r="VI32" s="106">
        <f t="shared" si="68"/>
        <v>2000</v>
      </c>
      <c r="VJ32" s="106">
        <f t="shared" si="68"/>
        <v>103000</v>
      </c>
      <c r="VK32" s="106">
        <f t="shared" si="68"/>
        <v>5000</v>
      </c>
      <c r="VL32" s="106">
        <f t="shared" si="68"/>
        <v>0</v>
      </c>
      <c r="VM32" s="106">
        <f t="shared" si="68"/>
        <v>117800</v>
      </c>
      <c r="VN32" s="106">
        <f t="shared" si="68"/>
        <v>0</v>
      </c>
      <c r="VO32" s="106">
        <f t="shared" si="68"/>
        <v>0</v>
      </c>
      <c r="VP32" s="106">
        <f t="shared" si="68"/>
        <v>52000</v>
      </c>
      <c r="VQ32" s="106">
        <f t="shared" si="68"/>
        <v>53000</v>
      </c>
      <c r="VR32" s="106">
        <f t="shared" si="68"/>
        <v>334500</v>
      </c>
      <c r="VS32" s="106">
        <f t="shared" si="68"/>
        <v>145500</v>
      </c>
      <c r="VT32" s="106">
        <f t="shared" si="68"/>
        <v>4000</v>
      </c>
      <c r="VU32" s="106">
        <f t="shared" si="68"/>
        <v>0</v>
      </c>
      <c r="VV32" s="106">
        <f t="shared" si="68"/>
        <v>0</v>
      </c>
      <c r="VW32" s="106">
        <f t="shared" si="68"/>
        <v>149500</v>
      </c>
      <c r="VX32" s="106">
        <f t="shared" si="68"/>
        <v>196000</v>
      </c>
      <c r="VY32" s="106">
        <f t="shared" si="68"/>
        <v>451778</v>
      </c>
      <c r="VZ32" s="106">
        <f t="shared" si="68"/>
        <v>135000</v>
      </c>
      <c r="WA32" s="106">
        <f t="shared" si="68"/>
        <v>129000</v>
      </c>
      <c r="WB32" s="130">
        <f t="shared" si="68"/>
        <v>6008178</v>
      </c>
      <c r="WC32" s="106">
        <f t="shared" si="68"/>
        <v>105000</v>
      </c>
      <c r="WD32" s="106">
        <f t="shared" si="68"/>
        <v>20000</v>
      </c>
      <c r="WE32" s="106">
        <f t="shared" si="68"/>
        <v>2279000</v>
      </c>
      <c r="WF32" s="106">
        <f t="shared" si="68"/>
        <v>1400000</v>
      </c>
      <c r="WG32" s="106">
        <f t="shared" si="68"/>
        <v>328900</v>
      </c>
      <c r="WH32" s="106">
        <f t="shared" si="68"/>
        <v>208500</v>
      </c>
      <c r="WI32" s="106">
        <f t="shared" si="68"/>
        <v>231290.90000000002</v>
      </c>
      <c r="WJ32" s="106">
        <f t="shared" si="68"/>
        <v>418000</v>
      </c>
      <c r="WK32" s="106">
        <f t="shared" si="68"/>
        <v>445000</v>
      </c>
      <c r="WL32" s="106">
        <f t="shared" si="68"/>
        <v>259250</v>
      </c>
      <c r="WM32" s="106">
        <f t="shared" si="68"/>
        <v>0</v>
      </c>
      <c r="WN32" s="106">
        <f t="shared" si="68"/>
        <v>536000</v>
      </c>
      <c r="WO32" s="106">
        <f t="shared" si="68"/>
        <v>0</v>
      </c>
      <c r="WP32" s="106">
        <f t="shared" si="68"/>
        <v>55000</v>
      </c>
      <c r="WQ32" s="106">
        <f t="shared" si="68"/>
        <v>10000</v>
      </c>
      <c r="WR32" s="106">
        <f t="shared" si="68"/>
        <v>101000</v>
      </c>
      <c r="WS32" s="106">
        <f t="shared" si="68"/>
        <v>29000</v>
      </c>
      <c r="WT32" s="106">
        <f t="shared" si="68"/>
        <v>10000</v>
      </c>
      <c r="WU32" s="106">
        <f t="shared" si="68"/>
        <v>532221</v>
      </c>
      <c r="WV32" s="106">
        <f t="shared" si="68"/>
        <v>200000</v>
      </c>
      <c r="WW32" s="106">
        <f t="shared" si="68"/>
        <v>63000</v>
      </c>
      <c r="WX32" s="106">
        <f t="shared" si="68"/>
        <v>374000</v>
      </c>
      <c r="WY32" s="106">
        <f t="shared" si="68"/>
        <v>0</v>
      </c>
      <c r="WZ32" s="106">
        <f t="shared" si="68"/>
        <v>104000</v>
      </c>
      <c r="XA32" s="106">
        <f t="shared" si="68"/>
        <v>1081507</v>
      </c>
      <c r="XB32" s="106">
        <f t="shared" si="68"/>
        <v>579800</v>
      </c>
      <c r="XC32" s="106">
        <f t="shared" si="68"/>
        <v>0</v>
      </c>
      <c r="XD32" s="106">
        <f t="shared" si="68"/>
        <v>200800</v>
      </c>
      <c r="XE32" s="106">
        <f t="shared" si="68"/>
        <v>440000</v>
      </c>
      <c r="XF32" s="106">
        <f t="shared" si="68"/>
        <v>50000</v>
      </c>
      <c r="XG32" s="106">
        <f t="shared" si="68"/>
        <v>91800</v>
      </c>
      <c r="XH32" s="130">
        <f t="shared" si="68"/>
        <v>7749068.9000000004</v>
      </c>
      <c r="XI32" s="106">
        <f t="shared" si="68"/>
        <v>331800</v>
      </c>
      <c r="XJ32" s="106">
        <f t="shared" si="68"/>
        <v>1480500</v>
      </c>
      <c r="XK32" s="106">
        <f t="shared" si="68"/>
        <v>0</v>
      </c>
      <c r="XL32" s="106">
        <f t="shared" si="68"/>
        <v>2105500</v>
      </c>
      <c r="XM32" s="106">
        <f t="shared" si="68"/>
        <v>114360</v>
      </c>
      <c r="XN32" s="106">
        <f t="shared" si="68"/>
        <v>283600</v>
      </c>
      <c r="XO32" s="106">
        <f t="shared" si="68"/>
        <v>14000</v>
      </c>
      <c r="XP32" s="106">
        <f t="shared" si="68"/>
        <v>0</v>
      </c>
      <c r="XQ32" s="106">
        <f t="shared" ref="XQ32:AAB32" si="69">SUM(XQ3:XQ31)</f>
        <v>37000</v>
      </c>
      <c r="XR32" s="106">
        <f t="shared" si="69"/>
        <v>17000</v>
      </c>
      <c r="XS32" s="106">
        <f t="shared" si="69"/>
        <v>38000</v>
      </c>
      <c r="XT32" s="106">
        <f t="shared" si="69"/>
        <v>350000</v>
      </c>
      <c r="XU32" s="106">
        <f t="shared" si="69"/>
        <v>0</v>
      </c>
      <c r="XV32" s="106">
        <f t="shared" si="69"/>
        <v>49000</v>
      </c>
      <c r="XW32" s="106">
        <f t="shared" si="69"/>
        <v>2000</v>
      </c>
      <c r="XX32" s="106">
        <f t="shared" si="69"/>
        <v>17000</v>
      </c>
      <c r="XY32" s="106">
        <f t="shared" si="69"/>
        <v>193000</v>
      </c>
      <c r="XZ32" s="106">
        <f t="shared" si="69"/>
        <v>104000</v>
      </c>
      <c r="YA32" s="106">
        <f t="shared" si="69"/>
        <v>120000</v>
      </c>
      <c r="YB32" s="106">
        <f t="shared" si="69"/>
        <v>4000</v>
      </c>
      <c r="YC32" s="106">
        <f t="shared" si="69"/>
        <v>0</v>
      </c>
      <c r="YD32" s="106">
        <f t="shared" si="69"/>
        <v>120000</v>
      </c>
      <c r="YE32" s="106">
        <f t="shared" si="69"/>
        <v>608000</v>
      </c>
      <c r="YF32" s="106">
        <f t="shared" si="69"/>
        <v>80000</v>
      </c>
      <c r="YG32" s="106">
        <f t="shared" si="69"/>
        <v>4000</v>
      </c>
      <c r="YH32" s="106">
        <f t="shared" si="69"/>
        <v>0</v>
      </c>
      <c r="YI32" s="106">
        <f t="shared" si="69"/>
        <v>660000</v>
      </c>
      <c r="YJ32" s="106">
        <f t="shared" si="69"/>
        <v>107000</v>
      </c>
      <c r="YK32" s="106">
        <f t="shared" si="69"/>
        <v>93000</v>
      </c>
      <c r="YL32" s="106">
        <f t="shared" si="69"/>
        <v>236000</v>
      </c>
      <c r="YM32" s="130">
        <f t="shared" si="69"/>
        <v>5356460</v>
      </c>
      <c r="YN32" s="106">
        <f t="shared" si="69"/>
        <v>0</v>
      </c>
      <c r="YO32" s="106">
        <f t="shared" si="69"/>
        <v>2237400</v>
      </c>
      <c r="YP32" s="106">
        <f t="shared" si="69"/>
        <v>993000</v>
      </c>
      <c r="YQ32" s="106">
        <f t="shared" si="69"/>
        <v>5000</v>
      </c>
      <c r="YR32" s="106">
        <f t="shared" si="69"/>
        <v>205000</v>
      </c>
      <c r="YS32" s="106">
        <f t="shared" si="69"/>
        <v>1219000</v>
      </c>
      <c r="YT32" s="106">
        <f t="shared" si="69"/>
        <v>101000</v>
      </c>
      <c r="YU32" s="106">
        <f t="shared" si="69"/>
        <v>4000</v>
      </c>
      <c r="YV32" s="106">
        <f t="shared" si="69"/>
        <v>458000</v>
      </c>
      <c r="YW32" s="106">
        <f t="shared" si="69"/>
        <v>32000</v>
      </c>
      <c r="YX32" s="106">
        <f t="shared" si="69"/>
        <v>0</v>
      </c>
      <c r="YY32" s="106">
        <f t="shared" si="69"/>
        <v>10000</v>
      </c>
      <c r="YZ32" s="106">
        <f t="shared" si="69"/>
        <v>213500</v>
      </c>
      <c r="ZA32" s="106">
        <f t="shared" si="69"/>
        <v>286000</v>
      </c>
      <c r="ZB32" s="106">
        <f t="shared" si="69"/>
        <v>162000</v>
      </c>
      <c r="ZC32" s="106">
        <f t="shared" si="69"/>
        <v>20000</v>
      </c>
      <c r="ZD32" s="106">
        <f t="shared" si="69"/>
        <v>128000</v>
      </c>
      <c r="ZE32" s="106">
        <f t="shared" si="69"/>
        <v>0</v>
      </c>
      <c r="ZF32" s="106">
        <f t="shared" si="69"/>
        <v>103000</v>
      </c>
      <c r="ZG32" s="106">
        <f t="shared" si="69"/>
        <v>0</v>
      </c>
      <c r="ZH32" s="106">
        <f t="shared" si="69"/>
        <v>167000</v>
      </c>
      <c r="ZI32" s="106">
        <f t="shared" si="69"/>
        <v>7000</v>
      </c>
      <c r="ZJ32" s="106">
        <f t="shared" si="69"/>
        <v>364000</v>
      </c>
      <c r="ZK32" s="106">
        <f t="shared" si="69"/>
        <v>200000</v>
      </c>
      <c r="ZL32" s="106">
        <f t="shared" si="69"/>
        <v>10000</v>
      </c>
      <c r="ZM32" s="106">
        <f t="shared" si="69"/>
        <v>104000</v>
      </c>
      <c r="ZN32" s="106">
        <f t="shared" si="69"/>
        <v>0</v>
      </c>
      <c r="ZO32" s="106">
        <f t="shared" si="69"/>
        <v>24000</v>
      </c>
      <c r="ZP32" s="106">
        <f t="shared" si="69"/>
        <v>7000</v>
      </c>
      <c r="ZQ32" s="106">
        <f t="shared" si="69"/>
        <v>441000</v>
      </c>
      <c r="ZR32" s="106">
        <f t="shared" si="69"/>
        <v>90000</v>
      </c>
      <c r="ZS32" s="130">
        <f t="shared" si="69"/>
        <v>7590900</v>
      </c>
      <c r="ZT32" s="106">
        <f t="shared" si="69"/>
        <v>4000</v>
      </c>
      <c r="ZU32" s="106">
        <f t="shared" si="69"/>
        <v>8000</v>
      </c>
      <c r="ZV32" s="106">
        <f t="shared" si="69"/>
        <v>2290000</v>
      </c>
      <c r="ZW32" s="106">
        <f t="shared" si="69"/>
        <v>1259000</v>
      </c>
      <c r="ZX32" s="106">
        <f t="shared" si="69"/>
        <v>96000</v>
      </c>
      <c r="ZY32" s="106">
        <f t="shared" si="69"/>
        <v>394000</v>
      </c>
      <c r="ZZ32" s="106">
        <f t="shared" si="69"/>
        <v>0</v>
      </c>
      <c r="AAA32" s="106">
        <f t="shared" si="69"/>
        <v>286000</v>
      </c>
      <c r="AAB32" s="106">
        <f t="shared" si="69"/>
        <v>29000</v>
      </c>
      <c r="AAC32" s="106">
        <f t="shared" ref="AAC32:ACN32" si="70">SUM(AAC3:AAC31)</f>
        <v>1304000</v>
      </c>
      <c r="AAD32" s="106">
        <f t="shared" si="70"/>
        <v>186000</v>
      </c>
      <c r="AAE32" s="106">
        <f t="shared" si="70"/>
        <v>7000</v>
      </c>
      <c r="AAF32" s="106">
        <f t="shared" si="70"/>
        <v>44000</v>
      </c>
      <c r="AAG32" s="106">
        <f t="shared" si="70"/>
        <v>46500</v>
      </c>
      <c r="AAH32" s="106">
        <f t="shared" si="70"/>
        <v>265920</v>
      </c>
      <c r="AAI32" s="106">
        <f t="shared" si="70"/>
        <v>4000</v>
      </c>
      <c r="AAJ32" s="106">
        <f t="shared" si="70"/>
        <v>100000</v>
      </c>
      <c r="AAK32" s="106">
        <f t="shared" si="70"/>
        <v>113000</v>
      </c>
      <c r="AAL32" s="106">
        <f t="shared" si="70"/>
        <v>720000</v>
      </c>
      <c r="AAM32" s="106">
        <f t="shared" si="70"/>
        <v>4000</v>
      </c>
      <c r="AAN32" s="106">
        <f t="shared" si="70"/>
        <v>100000</v>
      </c>
      <c r="AAO32" s="106">
        <f t="shared" si="70"/>
        <v>0</v>
      </c>
      <c r="AAP32" s="106">
        <f t="shared" si="70"/>
        <v>8000</v>
      </c>
      <c r="AAQ32" s="106">
        <f t="shared" si="70"/>
        <v>0</v>
      </c>
      <c r="AAR32" s="106">
        <f t="shared" si="70"/>
        <v>4000</v>
      </c>
      <c r="AAS32" s="106">
        <f t="shared" si="70"/>
        <v>100000</v>
      </c>
      <c r="AAT32" s="106">
        <f t="shared" si="70"/>
        <v>28000</v>
      </c>
      <c r="AAU32" s="106">
        <f t="shared" si="70"/>
        <v>0</v>
      </c>
      <c r="AAV32" s="106">
        <f t="shared" si="70"/>
        <v>10000</v>
      </c>
      <c r="AAW32" s="106">
        <f t="shared" si="70"/>
        <v>435000</v>
      </c>
      <c r="AAX32" s="130">
        <f t="shared" si="70"/>
        <v>7845420</v>
      </c>
      <c r="AAY32" s="106">
        <f t="shared" si="70"/>
        <v>1245000</v>
      </c>
      <c r="AAZ32" s="106">
        <f t="shared" si="70"/>
        <v>2166000</v>
      </c>
      <c r="ABA32" s="106">
        <f t="shared" si="70"/>
        <v>93000</v>
      </c>
      <c r="ABB32" s="106">
        <f t="shared" si="70"/>
        <v>6000</v>
      </c>
      <c r="ABC32" s="106">
        <f t="shared" si="70"/>
        <v>2000</v>
      </c>
      <c r="ABD32" s="106">
        <f t="shared" si="70"/>
        <v>100000</v>
      </c>
      <c r="ABE32" s="106">
        <f t="shared" si="70"/>
        <v>6000</v>
      </c>
      <c r="ABF32" s="106">
        <f t="shared" si="70"/>
        <v>288000</v>
      </c>
      <c r="ABG32" s="106">
        <f t="shared" si="70"/>
        <v>20500</v>
      </c>
      <c r="ABH32" s="106">
        <f t="shared" si="70"/>
        <v>100000</v>
      </c>
      <c r="ABI32" s="106">
        <f t="shared" si="70"/>
        <v>14600</v>
      </c>
      <c r="ABJ32" s="106">
        <f t="shared" si="70"/>
        <v>0</v>
      </c>
      <c r="ABK32" s="106">
        <f t="shared" si="70"/>
        <v>0</v>
      </c>
      <c r="ABL32" s="106">
        <f t="shared" si="70"/>
        <v>24000</v>
      </c>
      <c r="ABM32" s="106">
        <f t="shared" si="70"/>
        <v>132000</v>
      </c>
      <c r="ABN32" s="106">
        <f t="shared" si="70"/>
        <v>112000</v>
      </c>
      <c r="ABO32" s="106">
        <f t="shared" si="70"/>
        <v>186000</v>
      </c>
      <c r="ABP32" s="106">
        <f t="shared" si="70"/>
        <v>213000</v>
      </c>
      <c r="ABQ32" s="106">
        <f t="shared" si="70"/>
        <v>2000</v>
      </c>
      <c r="ABR32" s="106">
        <f t="shared" si="70"/>
        <v>25000</v>
      </c>
      <c r="ABS32" s="106">
        <f t="shared" si="70"/>
        <v>163000</v>
      </c>
      <c r="ABT32" s="106">
        <f t="shared" si="70"/>
        <v>422490</v>
      </c>
      <c r="ABU32" s="106">
        <f t="shared" si="70"/>
        <v>10000</v>
      </c>
      <c r="ABV32" s="106">
        <f t="shared" si="70"/>
        <v>2000</v>
      </c>
      <c r="ABW32" s="106">
        <f t="shared" si="70"/>
        <v>6000</v>
      </c>
      <c r="ABX32" s="106">
        <f t="shared" si="70"/>
        <v>2000</v>
      </c>
      <c r="ABY32" s="106">
        <f t="shared" si="70"/>
        <v>0</v>
      </c>
      <c r="ABZ32" s="106">
        <f t="shared" si="70"/>
        <v>104000</v>
      </c>
      <c r="ACA32" s="106">
        <f t="shared" si="70"/>
        <v>2000</v>
      </c>
      <c r="ACB32" s="106">
        <f t="shared" si="70"/>
        <v>398000</v>
      </c>
      <c r="ACC32" s="106">
        <f t="shared" si="70"/>
        <v>2000</v>
      </c>
      <c r="ACD32" s="130">
        <f t="shared" si="70"/>
        <v>5846590</v>
      </c>
      <c r="ACE32" s="106">
        <f t="shared" si="70"/>
        <v>6000</v>
      </c>
      <c r="ACF32" s="106">
        <f t="shared" si="70"/>
        <v>22000</v>
      </c>
      <c r="ACG32" s="106">
        <f t="shared" si="70"/>
        <v>41000</v>
      </c>
      <c r="ACH32" s="106">
        <f t="shared" si="70"/>
        <v>2153000</v>
      </c>
      <c r="ACI32" s="106">
        <f t="shared" si="70"/>
        <v>2000</v>
      </c>
      <c r="ACJ32" s="106">
        <f t="shared" si="70"/>
        <v>306000</v>
      </c>
      <c r="ACK32" s="106">
        <f t="shared" si="70"/>
        <v>190500</v>
      </c>
      <c r="ACL32" s="106">
        <f t="shared" si="70"/>
        <v>484000</v>
      </c>
      <c r="ACM32" s="106">
        <f t="shared" si="70"/>
        <v>97000</v>
      </c>
      <c r="ACN32" s="106">
        <f t="shared" si="70"/>
        <v>0</v>
      </c>
      <c r="ACO32" s="106">
        <f t="shared" ref="ACO32:AEZ32" si="71">SUM(ACO3:ACO31)</f>
        <v>0</v>
      </c>
      <c r="ACP32" s="106">
        <f t="shared" si="71"/>
        <v>150000</v>
      </c>
      <c r="ACQ32" s="106">
        <f t="shared" si="71"/>
        <v>2000</v>
      </c>
      <c r="ACR32" s="106">
        <f t="shared" si="71"/>
        <v>2000</v>
      </c>
      <c r="ACS32" s="106">
        <f t="shared" si="71"/>
        <v>6000</v>
      </c>
      <c r="ACT32" s="106">
        <f t="shared" si="71"/>
        <v>39000</v>
      </c>
      <c r="ACU32" s="106">
        <f t="shared" si="71"/>
        <v>0</v>
      </c>
      <c r="ACV32" s="106">
        <f t="shared" si="71"/>
        <v>108000</v>
      </c>
      <c r="ACW32" s="106">
        <f t="shared" si="71"/>
        <v>2000</v>
      </c>
      <c r="ACX32" s="106">
        <f t="shared" si="71"/>
        <v>36000</v>
      </c>
      <c r="ACY32" s="106">
        <f t="shared" si="71"/>
        <v>12000</v>
      </c>
      <c r="ACZ32" s="106">
        <f t="shared" si="71"/>
        <v>6000</v>
      </c>
      <c r="ADA32" s="106">
        <f t="shared" si="71"/>
        <v>2000</v>
      </c>
      <c r="ADB32" s="106">
        <f t="shared" si="71"/>
        <v>139500</v>
      </c>
      <c r="ADC32" s="106">
        <f t="shared" si="71"/>
        <v>388000</v>
      </c>
      <c r="ADD32" s="106">
        <f t="shared" si="71"/>
        <v>234500</v>
      </c>
      <c r="ADE32" s="106">
        <f t="shared" si="71"/>
        <v>26000</v>
      </c>
      <c r="ADF32" s="106">
        <f t="shared" si="71"/>
        <v>97000</v>
      </c>
      <c r="ADG32" s="106">
        <f t="shared" si="71"/>
        <v>6000</v>
      </c>
      <c r="ADH32" s="106">
        <f t="shared" si="71"/>
        <v>2000</v>
      </c>
      <c r="ADI32" s="106">
        <f t="shared" si="71"/>
        <v>0</v>
      </c>
      <c r="ADJ32" s="130">
        <f>SUM(ACE32:ADI32)</f>
        <v>4559500</v>
      </c>
      <c r="ADK32" s="106">
        <f t="shared" ref="ADK32:AEN32" si="72">SUM(ADK3:ADK31)</f>
        <v>28000</v>
      </c>
      <c r="ADL32" s="106">
        <f t="shared" si="72"/>
        <v>6000</v>
      </c>
      <c r="ADM32" s="106">
        <f t="shared" si="72"/>
        <v>2607900</v>
      </c>
      <c r="ADN32" s="106">
        <f t="shared" si="72"/>
        <v>325000</v>
      </c>
      <c r="ADO32" s="106">
        <f t="shared" si="72"/>
        <v>6000</v>
      </c>
      <c r="ADP32" s="106">
        <f t="shared" si="72"/>
        <v>2000</v>
      </c>
      <c r="ADQ32" s="106">
        <f t="shared" si="72"/>
        <v>0</v>
      </c>
      <c r="ADR32" s="106">
        <f t="shared" si="72"/>
        <v>18000</v>
      </c>
      <c r="ADS32" s="106">
        <f t="shared" si="72"/>
        <v>1000</v>
      </c>
      <c r="ADT32" s="106">
        <f t="shared" si="72"/>
        <v>6000</v>
      </c>
      <c r="ADU32" s="106">
        <f t="shared" si="72"/>
        <v>0</v>
      </c>
      <c r="ADV32" s="106">
        <f t="shared" si="72"/>
        <v>6000</v>
      </c>
      <c r="ADW32" s="106">
        <f t="shared" si="72"/>
        <v>152000</v>
      </c>
      <c r="ADX32" s="106">
        <f t="shared" si="72"/>
        <v>293000</v>
      </c>
      <c r="ADY32" s="106">
        <f t="shared" si="72"/>
        <v>11000</v>
      </c>
      <c r="ADZ32" s="106">
        <f t="shared" si="72"/>
        <v>139000</v>
      </c>
      <c r="AEA32" s="106">
        <f t="shared" si="72"/>
        <v>321000</v>
      </c>
      <c r="AEB32" s="106">
        <f t="shared" si="72"/>
        <v>166500</v>
      </c>
      <c r="AEC32" s="106">
        <f t="shared" si="72"/>
        <v>249000</v>
      </c>
      <c r="AED32" s="106">
        <f t="shared" si="72"/>
        <v>150000</v>
      </c>
      <c r="AEE32" s="106">
        <f t="shared" si="72"/>
        <v>0</v>
      </c>
      <c r="AEF32" s="106">
        <f t="shared" si="72"/>
        <v>105000</v>
      </c>
      <c r="AEG32" s="106">
        <f t="shared" si="72"/>
        <v>0</v>
      </c>
      <c r="AEH32" s="106">
        <f t="shared" si="72"/>
        <v>66000</v>
      </c>
      <c r="AEI32" s="106">
        <f t="shared" si="72"/>
        <v>1210000</v>
      </c>
      <c r="AEJ32" s="106">
        <f t="shared" si="72"/>
        <v>6000</v>
      </c>
      <c r="AEK32" s="106">
        <f t="shared" si="72"/>
        <v>17000</v>
      </c>
      <c r="AEL32" s="106">
        <f t="shared" si="72"/>
        <v>0</v>
      </c>
      <c r="AEM32" s="106">
        <f t="shared" si="72"/>
        <v>206000</v>
      </c>
      <c r="AEN32" s="106">
        <f t="shared" si="72"/>
        <v>210000</v>
      </c>
      <c r="AEO32" s="130">
        <f>SUM(ADK32:AEN32)</f>
        <v>6307400</v>
      </c>
      <c r="AEP32" s="106">
        <f t="shared" ref="AEP32:AFT32" si="73">SUM(AEP3:AEP31)</f>
        <v>226600</v>
      </c>
      <c r="AEQ32" s="106">
        <f t="shared" si="73"/>
        <v>7000</v>
      </c>
      <c r="AER32" s="106">
        <f t="shared" si="73"/>
        <v>40000</v>
      </c>
      <c r="AES32" s="106">
        <f t="shared" si="73"/>
        <v>2242000</v>
      </c>
      <c r="AET32" s="106">
        <f t="shared" si="73"/>
        <v>193000</v>
      </c>
      <c r="AEU32" s="106">
        <f t="shared" si="73"/>
        <v>15000</v>
      </c>
      <c r="AEV32" s="106">
        <f t="shared" si="73"/>
        <v>2000</v>
      </c>
      <c r="AEW32" s="106">
        <f t="shared" si="73"/>
        <v>195000</v>
      </c>
      <c r="AEX32" s="106">
        <f t="shared" si="73"/>
        <v>202000</v>
      </c>
      <c r="AEY32" s="106">
        <f t="shared" si="73"/>
        <v>10000</v>
      </c>
      <c r="AEZ32" s="106">
        <f t="shared" si="73"/>
        <v>2000</v>
      </c>
      <c r="AFA32" s="106">
        <f t="shared" si="73"/>
        <v>0</v>
      </c>
      <c r="AFB32" s="106">
        <f t="shared" si="73"/>
        <v>106000</v>
      </c>
      <c r="AFC32" s="106">
        <f t="shared" si="73"/>
        <v>6000</v>
      </c>
      <c r="AFD32" s="106">
        <f t="shared" si="73"/>
        <v>2000</v>
      </c>
      <c r="AFE32" s="106">
        <f t="shared" si="73"/>
        <v>36000</v>
      </c>
      <c r="AFF32" s="106">
        <f t="shared" si="73"/>
        <v>2000</v>
      </c>
      <c r="AFG32" s="106">
        <f t="shared" si="73"/>
        <v>95000</v>
      </c>
      <c r="AFH32" s="106">
        <f t="shared" si="73"/>
        <v>200000</v>
      </c>
      <c r="AFI32" s="106">
        <f t="shared" si="73"/>
        <v>238000</v>
      </c>
      <c r="AFJ32" s="106">
        <f t="shared" si="73"/>
        <v>2000</v>
      </c>
      <c r="AFK32" s="106">
        <f t="shared" si="73"/>
        <v>114000</v>
      </c>
      <c r="AFL32" s="106">
        <f t="shared" si="73"/>
        <v>88000</v>
      </c>
      <c r="AFM32" s="106">
        <f t="shared" si="73"/>
        <v>6000</v>
      </c>
      <c r="AFN32" s="106">
        <f t="shared" si="73"/>
        <v>2000</v>
      </c>
      <c r="AFO32" s="106">
        <f t="shared" si="73"/>
        <v>102500</v>
      </c>
      <c r="AFP32" s="106">
        <f t="shared" si="73"/>
        <v>156000</v>
      </c>
      <c r="AFQ32" s="106">
        <f t="shared" si="73"/>
        <v>238000</v>
      </c>
      <c r="AFR32" s="106">
        <f t="shared" si="73"/>
        <v>95000</v>
      </c>
      <c r="AFS32" s="106">
        <f t="shared" si="73"/>
        <v>2000</v>
      </c>
      <c r="AFT32" s="106">
        <f t="shared" si="73"/>
        <v>104000</v>
      </c>
      <c r="AFU32" s="130">
        <f>SUM(AEP32:AFT32)</f>
        <v>4729100</v>
      </c>
      <c r="AFV32" s="106">
        <f t="shared" ref="AFV32:AHA32" si="74">SUM(AFV3:AFV31)</f>
        <v>2324432</v>
      </c>
      <c r="AFW32" s="106">
        <f t="shared" si="74"/>
        <v>77000</v>
      </c>
      <c r="AFX32" s="106">
        <f t="shared" si="74"/>
        <v>0</v>
      </c>
      <c r="AFY32" s="106">
        <f t="shared" si="74"/>
        <v>97000</v>
      </c>
      <c r="AFZ32" s="106">
        <f t="shared" si="74"/>
        <v>2277800</v>
      </c>
      <c r="AGA32" s="106">
        <f t="shared" si="74"/>
        <v>2000</v>
      </c>
      <c r="AGB32" s="106">
        <f t="shared" si="74"/>
        <v>2000</v>
      </c>
      <c r="AGC32" s="106">
        <f t="shared" si="74"/>
        <v>262000</v>
      </c>
      <c r="AGD32" s="106">
        <f t="shared" si="74"/>
        <v>118500</v>
      </c>
      <c r="AGE32" s="106">
        <f t="shared" si="74"/>
        <v>204000</v>
      </c>
      <c r="AGF32" s="106">
        <f t="shared" si="74"/>
        <v>102000</v>
      </c>
      <c r="AGG32" s="106">
        <f t="shared" si="74"/>
        <v>32000</v>
      </c>
      <c r="AGH32" s="106">
        <f t="shared" si="74"/>
        <v>116000</v>
      </c>
      <c r="AGI32" s="106">
        <f t="shared" si="74"/>
        <v>6000</v>
      </c>
      <c r="AGJ32" s="106">
        <f t="shared" si="74"/>
        <v>92000</v>
      </c>
      <c r="AGK32" s="106">
        <f t="shared" si="74"/>
        <v>0</v>
      </c>
      <c r="AGL32" s="106">
        <f t="shared" si="74"/>
        <v>137000</v>
      </c>
      <c r="AGM32" s="106">
        <f t="shared" si="74"/>
        <v>2000</v>
      </c>
      <c r="AGN32" s="106">
        <f t="shared" si="74"/>
        <v>102000</v>
      </c>
      <c r="AGO32" s="106">
        <f t="shared" si="74"/>
        <v>129000</v>
      </c>
      <c r="AGP32" s="106">
        <f t="shared" si="74"/>
        <v>130000</v>
      </c>
      <c r="AGQ32" s="106">
        <f t="shared" si="74"/>
        <v>125000</v>
      </c>
      <c r="AGR32" s="106">
        <f t="shared" si="74"/>
        <v>163500</v>
      </c>
      <c r="AGS32" s="106">
        <f t="shared" si="74"/>
        <v>50000</v>
      </c>
      <c r="AGT32" s="106">
        <f t="shared" si="74"/>
        <v>106000</v>
      </c>
      <c r="AGU32" s="106">
        <f t="shared" si="74"/>
        <v>102000</v>
      </c>
      <c r="AGV32" s="106">
        <f t="shared" si="74"/>
        <v>224000</v>
      </c>
      <c r="AGW32" s="106">
        <f t="shared" si="74"/>
        <v>196980</v>
      </c>
      <c r="AGX32" s="106">
        <f t="shared" si="74"/>
        <v>12000</v>
      </c>
      <c r="AGY32" s="106">
        <f t="shared" si="74"/>
        <v>0</v>
      </c>
      <c r="AGZ32" s="133">
        <f t="shared" si="74"/>
        <v>7192212</v>
      </c>
      <c r="AHA32" s="106">
        <f t="shared" si="74"/>
        <v>126000</v>
      </c>
      <c r="AHB32" s="106">
        <f t="shared" ref="AHB32:AIG32" si="75">SUM(AHB3:AHB31)</f>
        <v>2000</v>
      </c>
      <c r="AHC32" s="106">
        <f t="shared" si="75"/>
        <v>2232000</v>
      </c>
      <c r="AHD32" s="106">
        <f t="shared" si="75"/>
        <v>12000</v>
      </c>
      <c r="AHE32" s="106">
        <f t="shared" si="75"/>
        <v>106000</v>
      </c>
      <c r="AHF32" s="106">
        <f t="shared" si="75"/>
        <v>456439</v>
      </c>
      <c r="AHG32" s="106">
        <f t="shared" si="75"/>
        <v>118000</v>
      </c>
      <c r="AHH32" s="106">
        <f t="shared" si="75"/>
        <v>20000</v>
      </c>
      <c r="AHI32" s="106">
        <f t="shared" si="75"/>
        <v>2000</v>
      </c>
      <c r="AHJ32" s="106">
        <f t="shared" si="75"/>
        <v>6000</v>
      </c>
      <c r="AHK32" s="106">
        <f t="shared" si="75"/>
        <v>106000</v>
      </c>
      <c r="AHL32" s="106">
        <f t="shared" si="75"/>
        <v>143780</v>
      </c>
      <c r="AHM32" s="106">
        <f t="shared" si="75"/>
        <v>22000</v>
      </c>
      <c r="AHN32" s="106">
        <f t="shared" si="75"/>
        <v>0</v>
      </c>
      <c r="AHO32" s="106">
        <f t="shared" si="75"/>
        <v>6000</v>
      </c>
      <c r="AHP32" s="106">
        <f t="shared" si="75"/>
        <v>2000</v>
      </c>
      <c r="AHQ32" s="106">
        <f t="shared" si="75"/>
        <v>200000</v>
      </c>
      <c r="AHR32" s="106">
        <f t="shared" si="75"/>
        <v>222000</v>
      </c>
      <c r="AHS32" s="106">
        <f t="shared" si="75"/>
        <v>11500</v>
      </c>
      <c r="AHT32" s="106">
        <f t="shared" si="75"/>
        <v>204000</v>
      </c>
      <c r="AHU32" s="106">
        <f t="shared" si="75"/>
        <v>220000</v>
      </c>
      <c r="AHV32" s="106">
        <f t="shared" si="75"/>
        <v>158000</v>
      </c>
      <c r="AHW32" s="106">
        <f t="shared" si="75"/>
        <v>103780</v>
      </c>
      <c r="AHX32" s="106">
        <f t="shared" si="75"/>
        <v>6000</v>
      </c>
      <c r="AHY32" s="106">
        <f t="shared" si="75"/>
        <v>0</v>
      </c>
      <c r="AHZ32" s="106">
        <f t="shared" si="75"/>
        <v>126000</v>
      </c>
      <c r="AIA32" s="106">
        <f t="shared" si="75"/>
        <v>17000</v>
      </c>
      <c r="AIB32" s="106">
        <f t="shared" si="75"/>
        <v>50000</v>
      </c>
      <c r="AIC32" s="106">
        <f t="shared" si="75"/>
        <v>10000</v>
      </c>
      <c r="AID32" s="106">
        <f t="shared" si="75"/>
        <v>222000</v>
      </c>
      <c r="AIE32" s="106">
        <f t="shared" si="75"/>
        <v>6000</v>
      </c>
      <c r="AIF32" s="112">
        <f t="shared" si="75"/>
        <v>4916499</v>
      </c>
      <c r="AIG32" s="106">
        <f t="shared" si="75"/>
        <v>0</v>
      </c>
      <c r="AIH32" s="106">
        <f t="shared" ref="AIH32:AJM32" si="76">SUM(AIH3:AIH31)</f>
        <v>0</v>
      </c>
      <c r="AII32" s="106">
        <f t="shared" si="76"/>
        <v>2000</v>
      </c>
      <c r="AIJ32" s="106">
        <f t="shared" si="76"/>
        <v>234000</v>
      </c>
      <c r="AIK32" s="106">
        <f t="shared" si="76"/>
        <v>20000</v>
      </c>
      <c r="AIL32" s="106">
        <f t="shared" si="76"/>
        <v>12000</v>
      </c>
      <c r="AIM32" s="106">
        <f t="shared" si="76"/>
        <v>2521560</v>
      </c>
      <c r="AIN32" s="106">
        <f t="shared" si="76"/>
        <v>3602000</v>
      </c>
      <c r="AIO32" s="106">
        <f t="shared" si="76"/>
        <v>106000</v>
      </c>
      <c r="AIP32" s="106">
        <f t="shared" si="76"/>
        <v>0</v>
      </c>
      <c r="AIQ32" s="106">
        <f t="shared" si="76"/>
        <v>191780</v>
      </c>
      <c r="AIR32" s="106">
        <f t="shared" si="76"/>
        <v>6000</v>
      </c>
      <c r="AIS32" s="106">
        <f t="shared" si="76"/>
        <v>6707000</v>
      </c>
      <c r="AIT32" s="106">
        <f t="shared" si="76"/>
        <v>2000</v>
      </c>
      <c r="AIU32" s="106">
        <f t="shared" si="76"/>
        <v>0</v>
      </c>
      <c r="AIV32" s="106">
        <f t="shared" si="76"/>
        <v>2000</v>
      </c>
      <c r="AIW32" s="106">
        <f t="shared" si="76"/>
        <v>30000</v>
      </c>
      <c r="AIX32" s="106">
        <f t="shared" si="76"/>
        <v>540000</v>
      </c>
      <c r="AIY32" s="106">
        <f t="shared" si="76"/>
        <v>54000</v>
      </c>
      <c r="AIZ32" s="106">
        <f t="shared" si="76"/>
        <v>56000</v>
      </c>
      <c r="AJA32" s="106">
        <f t="shared" si="76"/>
        <v>23000</v>
      </c>
      <c r="AJB32" s="106">
        <f t="shared" si="76"/>
        <v>70000</v>
      </c>
      <c r="AJC32" s="106">
        <f t="shared" si="76"/>
        <v>12000</v>
      </c>
      <c r="AJD32" s="106">
        <f t="shared" si="76"/>
        <v>22000</v>
      </c>
      <c r="AJE32" s="106">
        <f t="shared" si="76"/>
        <v>100000</v>
      </c>
      <c r="AJF32" s="106">
        <f t="shared" si="76"/>
        <v>104000</v>
      </c>
      <c r="AJG32" s="106">
        <f t="shared" si="76"/>
        <v>148000</v>
      </c>
      <c r="AJH32" s="106">
        <f t="shared" si="76"/>
        <v>6000</v>
      </c>
      <c r="AJI32" s="106">
        <f t="shared" si="76"/>
        <v>7000</v>
      </c>
      <c r="AJJ32" s="106">
        <f t="shared" si="76"/>
        <v>102980</v>
      </c>
      <c r="AJK32" s="106">
        <f t="shared" si="76"/>
        <v>10000</v>
      </c>
      <c r="AJL32" s="112">
        <f t="shared" si="76"/>
        <v>7901320</v>
      </c>
      <c r="AJM32" s="106">
        <f t="shared" si="76"/>
        <v>100000</v>
      </c>
      <c r="AJN32" s="106">
        <f t="shared" ref="AJN32:AKS32" si="77">SUM(AJN3:AJN31)</f>
        <v>6000</v>
      </c>
      <c r="AJO32" s="106">
        <f t="shared" si="77"/>
        <v>15500</v>
      </c>
      <c r="AJP32" s="106">
        <f t="shared" si="77"/>
        <v>2381500</v>
      </c>
      <c r="AJQ32" s="106">
        <f t="shared" si="77"/>
        <v>26000</v>
      </c>
      <c r="AJR32" s="106">
        <f t="shared" si="77"/>
        <v>6000</v>
      </c>
      <c r="AJS32" s="106">
        <f t="shared" si="77"/>
        <v>10000</v>
      </c>
      <c r="AJT32" s="106">
        <f t="shared" si="77"/>
        <v>0</v>
      </c>
      <c r="AJU32" s="106">
        <f t="shared" si="77"/>
        <v>2000</v>
      </c>
      <c r="AJV32" s="106">
        <f t="shared" si="77"/>
        <v>127480</v>
      </c>
      <c r="AJW32" s="106">
        <f t="shared" si="77"/>
        <v>6000</v>
      </c>
      <c r="AJX32" s="106">
        <f t="shared" si="77"/>
        <v>2000</v>
      </c>
      <c r="AJY32" s="106">
        <f t="shared" si="77"/>
        <v>106000</v>
      </c>
      <c r="AJZ32" s="106">
        <f t="shared" si="77"/>
        <v>10000</v>
      </c>
      <c r="AKA32" s="106">
        <f t="shared" si="77"/>
        <v>191980</v>
      </c>
      <c r="AKB32" s="106">
        <f t="shared" si="77"/>
        <v>6000</v>
      </c>
      <c r="AKC32" s="106">
        <f t="shared" si="77"/>
        <v>2000</v>
      </c>
      <c r="AKD32" s="106">
        <f t="shared" si="77"/>
        <v>6000</v>
      </c>
      <c r="AKE32" s="106">
        <f t="shared" si="77"/>
        <v>152000</v>
      </c>
      <c r="AKF32" s="106">
        <f t="shared" si="77"/>
        <v>12000</v>
      </c>
      <c r="AKG32" s="106">
        <f t="shared" si="77"/>
        <v>160000</v>
      </c>
      <c r="AKH32" s="106">
        <f t="shared" si="77"/>
        <v>100000</v>
      </c>
      <c r="AKI32" s="106">
        <f t="shared" si="77"/>
        <v>164600</v>
      </c>
      <c r="AKJ32" s="106">
        <f t="shared" si="77"/>
        <v>2000</v>
      </c>
      <c r="AKK32" s="106">
        <f t="shared" si="77"/>
        <v>12500</v>
      </c>
      <c r="AKL32" s="106">
        <f t="shared" si="77"/>
        <v>22000</v>
      </c>
      <c r="AKM32" s="106">
        <f t="shared" si="77"/>
        <v>311000</v>
      </c>
      <c r="AKN32" s="106">
        <f t="shared" si="77"/>
        <v>108000</v>
      </c>
      <c r="AKO32" s="145">
        <f t="shared" si="36"/>
        <v>4048560</v>
      </c>
      <c r="AKP32" s="106">
        <f t="shared" ref="AKP32:ALT32" si="78">SUM(AKP3:AKP31)</f>
        <v>5050000</v>
      </c>
      <c r="AKQ32" s="106">
        <f t="shared" si="78"/>
        <v>106000</v>
      </c>
      <c r="AKR32" s="106">
        <f t="shared" si="78"/>
        <v>25000</v>
      </c>
      <c r="AKS32" s="106">
        <f t="shared" si="78"/>
        <v>2841800</v>
      </c>
      <c r="AKT32" s="106">
        <f t="shared" si="78"/>
        <v>2000</v>
      </c>
      <c r="AKU32" s="106">
        <f t="shared" si="78"/>
        <v>96000</v>
      </c>
      <c r="AKV32" s="106">
        <f t="shared" si="78"/>
        <v>174000</v>
      </c>
      <c r="AKW32" s="106">
        <f t="shared" si="78"/>
        <v>0</v>
      </c>
      <c r="AKX32" s="106">
        <f t="shared" si="78"/>
        <v>6000</v>
      </c>
      <c r="AKY32" s="106">
        <f t="shared" si="78"/>
        <v>52990</v>
      </c>
      <c r="AKZ32" s="106">
        <f t="shared" si="78"/>
        <v>106000</v>
      </c>
      <c r="ALA32" s="106">
        <f t="shared" si="78"/>
        <v>2000</v>
      </c>
      <c r="ALB32" s="106">
        <f t="shared" si="78"/>
        <v>12000</v>
      </c>
      <c r="ALC32" s="106">
        <f t="shared" si="78"/>
        <v>378940</v>
      </c>
      <c r="ALD32" s="106">
        <f t="shared" si="78"/>
        <v>471920</v>
      </c>
      <c r="ALE32" s="106">
        <f t="shared" si="78"/>
        <v>592960</v>
      </c>
      <c r="ALF32" s="106">
        <f t="shared" si="78"/>
        <v>52000</v>
      </c>
      <c r="ALG32" s="106">
        <f t="shared" si="78"/>
        <v>392970</v>
      </c>
      <c r="ALH32" s="106">
        <f t="shared" si="78"/>
        <v>412000</v>
      </c>
      <c r="ALI32" s="106">
        <f t="shared" si="78"/>
        <v>0</v>
      </c>
      <c r="ALJ32" s="106">
        <f t="shared" si="78"/>
        <v>50000</v>
      </c>
      <c r="ALK32" s="106">
        <f t="shared" si="78"/>
        <v>0</v>
      </c>
      <c r="ALL32" s="106">
        <f t="shared" si="78"/>
        <v>22000</v>
      </c>
      <c r="ALM32" s="106">
        <f t="shared" si="78"/>
        <v>141000</v>
      </c>
      <c r="ALN32" s="106">
        <f t="shared" si="78"/>
        <v>74000</v>
      </c>
      <c r="ALO32" s="106">
        <f t="shared" si="78"/>
        <v>100000</v>
      </c>
      <c r="ALP32" s="106">
        <f t="shared" si="78"/>
        <v>389000</v>
      </c>
      <c r="ALQ32" s="106">
        <f t="shared" si="78"/>
        <v>587500</v>
      </c>
      <c r="ALR32" s="106">
        <f t="shared" si="78"/>
        <v>350000</v>
      </c>
      <c r="ALS32" s="106">
        <f t="shared" si="78"/>
        <v>316000</v>
      </c>
      <c r="ALT32" s="106">
        <f t="shared" si="78"/>
        <v>2000</v>
      </c>
      <c r="ALU32" s="145">
        <f t="shared" si="37"/>
        <v>7625080</v>
      </c>
      <c r="ALV32" s="106">
        <f t="shared" ref="ALV32:AMY32" si="79">SUM(ALV3:ALV31)</f>
        <v>6000</v>
      </c>
      <c r="ALW32" s="106">
        <f t="shared" si="79"/>
        <v>21000</v>
      </c>
      <c r="ALX32" s="106">
        <f t="shared" si="79"/>
        <v>2257000</v>
      </c>
      <c r="ALY32" s="106">
        <f t="shared" si="79"/>
        <v>4000</v>
      </c>
      <c r="ALZ32" s="106">
        <f t="shared" si="79"/>
        <v>120000</v>
      </c>
      <c r="AMA32" s="106">
        <f t="shared" si="79"/>
        <v>36000</v>
      </c>
      <c r="AMB32" s="106">
        <f t="shared" si="79"/>
        <v>2000</v>
      </c>
      <c r="AMC32" s="106">
        <f t="shared" si="79"/>
        <v>147000</v>
      </c>
      <c r="AMD32" s="106">
        <f t="shared" si="79"/>
        <v>70000</v>
      </c>
      <c r="AME32" s="106">
        <f t="shared" si="79"/>
        <v>6000</v>
      </c>
      <c r="AMF32" s="106">
        <f t="shared" si="79"/>
        <v>4000</v>
      </c>
      <c r="AMG32" s="106">
        <f t="shared" si="79"/>
        <v>102000</v>
      </c>
      <c r="AMH32" s="106">
        <f t="shared" si="79"/>
        <v>895300</v>
      </c>
      <c r="AMI32" s="106">
        <f t="shared" si="79"/>
        <v>313940</v>
      </c>
      <c r="AMJ32" s="106">
        <f t="shared" si="79"/>
        <v>6000</v>
      </c>
      <c r="AMK32" s="106">
        <f t="shared" si="79"/>
        <v>2000</v>
      </c>
      <c r="AML32" s="106">
        <f t="shared" si="79"/>
        <v>383450</v>
      </c>
      <c r="AMM32" s="106">
        <f t="shared" si="79"/>
        <v>367430</v>
      </c>
      <c r="AMN32" s="106">
        <f t="shared" si="79"/>
        <v>393675</v>
      </c>
      <c r="AMO32" s="106">
        <f t="shared" si="79"/>
        <v>569940</v>
      </c>
      <c r="AMP32" s="106">
        <f t="shared" si="79"/>
        <v>81000</v>
      </c>
      <c r="AMQ32" s="106">
        <f t="shared" si="79"/>
        <v>22000</v>
      </c>
      <c r="AMR32" s="106">
        <f t="shared" si="79"/>
        <v>265470</v>
      </c>
      <c r="AMS32" s="106">
        <f t="shared" si="79"/>
        <v>2000</v>
      </c>
      <c r="AMT32" s="106">
        <f t="shared" si="79"/>
        <v>183000</v>
      </c>
      <c r="AMU32" s="106">
        <f t="shared" si="79"/>
        <v>117000</v>
      </c>
      <c r="AMV32" s="106">
        <f t="shared" si="79"/>
        <v>202000</v>
      </c>
      <c r="AMW32" s="106">
        <f t="shared" si="79"/>
        <v>241499</v>
      </c>
      <c r="AMX32" s="106">
        <f t="shared" si="79"/>
        <v>102000</v>
      </c>
      <c r="AMY32" s="106">
        <f t="shared" si="79"/>
        <v>100000</v>
      </c>
      <c r="AMZ32" s="145">
        <f t="shared" si="38"/>
        <v>7022704</v>
      </c>
      <c r="ANA32" s="106">
        <f t="shared" ref="ANA32:AOD32" si="80">SUM(ANA3:ANA31)</f>
        <v>102000</v>
      </c>
      <c r="ANB32" s="106">
        <f t="shared" si="80"/>
        <v>83000</v>
      </c>
      <c r="ANC32" s="106">
        <f t="shared" si="80"/>
        <v>2000</v>
      </c>
      <c r="AND32" s="106">
        <f t="shared" si="80"/>
        <v>2622505</v>
      </c>
      <c r="ANE32" s="106">
        <f t="shared" si="80"/>
        <v>681450</v>
      </c>
      <c r="ANF32" s="106">
        <f t="shared" si="80"/>
        <v>32000</v>
      </c>
      <c r="ANG32" s="106">
        <f t="shared" si="80"/>
        <v>402000</v>
      </c>
      <c r="ANH32" s="106">
        <f t="shared" si="80"/>
        <v>106000</v>
      </c>
      <c r="ANI32" s="106">
        <f t="shared" si="80"/>
        <v>174000</v>
      </c>
      <c r="ANJ32" s="106">
        <f t="shared" si="80"/>
        <v>112580</v>
      </c>
      <c r="ANK32" s="106">
        <f t="shared" si="80"/>
        <v>28000</v>
      </c>
      <c r="ANL32" s="106">
        <f t="shared" si="80"/>
        <v>2000</v>
      </c>
      <c r="ANM32" s="106">
        <f t="shared" si="80"/>
        <v>136000</v>
      </c>
      <c r="ANN32" s="106">
        <f t="shared" si="80"/>
        <v>22000</v>
      </c>
      <c r="ANO32" s="106">
        <f t="shared" si="80"/>
        <v>82290</v>
      </c>
      <c r="ANP32" s="106">
        <f t="shared" si="80"/>
        <v>461000</v>
      </c>
      <c r="ANQ32" s="106">
        <f t="shared" si="80"/>
        <v>218000</v>
      </c>
      <c r="ANR32" s="106">
        <f t="shared" si="80"/>
        <v>31000</v>
      </c>
      <c r="ANS32" s="106">
        <f t="shared" si="80"/>
        <v>288000</v>
      </c>
      <c r="ANT32" s="106">
        <f t="shared" si="80"/>
        <v>548375</v>
      </c>
      <c r="ANU32" s="106">
        <f t="shared" si="80"/>
        <v>26000</v>
      </c>
      <c r="ANV32" s="106">
        <f t="shared" si="80"/>
        <v>18000</v>
      </c>
      <c r="ANW32" s="106">
        <f t="shared" si="80"/>
        <v>438980</v>
      </c>
      <c r="ANX32" s="106">
        <f t="shared" si="80"/>
        <v>530980</v>
      </c>
      <c r="ANY32" s="106">
        <f t="shared" si="80"/>
        <v>57000</v>
      </c>
      <c r="ANZ32" s="106">
        <f t="shared" si="80"/>
        <v>334980</v>
      </c>
      <c r="AOA32" s="106">
        <f t="shared" si="80"/>
        <v>0</v>
      </c>
      <c r="AOB32" s="106">
        <f t="shared" si="80"/>
        <v>206000</v>
      </c>
      <c r="AOC32" s="106">
        <f t="shared" si="80"/>
        <v>4000</v>
      </c>
      <c r="AOD32" s="106">
        <f t="shared" si="80"/>
        <v>0</v>
      </c>
    </row>
    <row r="33" spans="68:923" x14ac:dyDescent="0.2">
      <c r="CK33" s="28">
        <f>SUM(CK3:CK32)</f>
        <v>21000</v>
      </c>
      <c r="FD33" s="126"/>
      <c r="AFV33" s="147" t="s">
        <v>1372</v>
      </c>
    </row>
    <row r="34" spans="68:923" x14ac:dyDescent="0.2">
      <c r="FD34" s="126"/>
      <c r="AFV34" s="147">
        <v>2224432</v>
      </c>
    </row>
    <row r="35" spans="68:923" x14ac:dyDescent="0.2">
      <c r="FD35" s="126"/>
    </row>
    <row r="36" spans="68:923" x14ac:dyDescent="0.2">
      <c r="BP36">
        <v>1200000</v>
      </c>
      <c r="FD36" s="126"/>
      <c r="HR36">
        <f>224000+69000+2000</f>
        <v>295000</v>
      </c>
      <c r="AIM36" t="s">
        <v>1373</v>
      </c>
    </row>
    <row r="37" spans="68:923" x14ac:dyDescent="0.2">
      <c r="BP37">
        <v>2707000</v>
      </c>
      <c r="FD37" s="126"/>
      <c r="AIM37" t="s">
        <v>1374</v>
      </c>
    </row>
    <row r="38" spans="68:923" x14ac:dyDescent="0.2">
      <c r="BP38">
        <v>20000</v>
      </c>
      <c r="FD38" s="126"/>
      <c r="ADW38" t="s">
        <v>1375</v>
      </c>
      <c r="ADX38">
        <v>85000</v>
      </c>
      <c r="ADY38" t="s">
        <v>1376</v>
      </c>
    </row>
    <row r="39" spans="68:923" x14ac:dyDescent="0.2">
      <c r="BP39">
        <f>SUM(BP36:BP38)</f>
        <v>3927000</v>
      </c>
      <c r="FD39" s="126"/>
      <c r="ADX39">
        <v>110000</v>
      </c>
      <c r="ADY39" t="s">
        <v>1377</v>
      </c>
    </row>
    <row r="40" spans="68:923" x14ac:dyDescent="0.2">
      <c r="EG40">
        <v>100000</v>
      </c>
      <c r="FD40" s="126"/>
      <c r="ADX40">
        <v>70000</v>
      </c>
      <c r="ADY40" t="s">
        <v>1378</v>
      </c>
    </row>
    <row r="41" spans="68:923" x14ac:dyDescent="0.2">
      <c r="EG41">
        <v>10000</v>
      </c>
      <c r="FD41" s="126"/>
      <c r="ADX41">
        <v>50000</v>
      </c>
      <c r="ADY41" t="s">
        <v>1379</v>
      </c>
    </row>
    <row r="42" spans="68:923" x14ac:dyDescent="0.2">
      <c r="EG42">
        <v>100000</v>
      </c>
      <c r="FD42" s="126"/>
    </row>
    <row r="43" spans="68:923" x14ac:dyDescent="0.2">
      <c r="EG43">
        <v>2000</v>
      </c>
      <c r="FD43" s="126"/>
    </row>
    <row r="44" spans="68:923" x14ac:dyDescent="0.2">
      <c r="EG44">
        <v>35067</v>
      </c>
      <c r="FD44" s="126"/>
      <c r="UU44">
        <v>35000</v>
      </c>
    </row>
    <row r="45" spans="68:923" x14ac:dyDescent="0.2">
      <c r="EG45">
        <v>48500</v>
      </c>
      <c r="FD45" s="126"/>
    </row>
    <row r="46" spans="68:923" x14ac:dyDescent="0.2">
      <c r="EG46">
        <v>151900</v>
      </c>
      <c r="FD46" s="126"/>
    </row>
    <row r="47" spans="68:923" x14ac:dyDescent="0.2">
      <c r="EG47">
        <v>1200</v>
      </c>
      <c r="FD47" s="126"/>
      <c r="QY47">
        <v>7</v>
      </c>
    </row>
    <row r="48" spans="68:923" x14ac:dyDescent="0.2">
      <c r="EG48">
        <f>SUM(EG40:EG47)</f>
        <v>448667</v>
      </c>
    </row>
  </sheetData>
  <mergeCells count="1">
    <mergeCell ref="A3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AOF48"/>
  <sheetViews>
    <sheetView zoomScaleNormal="180" workbookViewId="0">
      <pane xSplit="3" ySplit="3" topLeftCell="AOF4" activePane="bottomRight" state="frozen"/>
      <selection pane="topRight" activeCell="D1" sqref="D1"/>
      <selection pane="bottomLeft" activeCell="A4" sqref="A4"/>
      <selection pane="bottomRight" activeCell="AOF25" sqref="AOF25"/>
    </sheetView>
  </sheetViews>
  <sheetFormatPr baseColWidth="10" defaultColWidth="8.83203125" defaultRowHeight="15" x14ac:dyDescent="0.2"/>
  <cols>
    <col min="2" max="2" width="19.83203125" customWidth="1"/>
    <col min="3" max="3" width="15.83203125" customWidth="1"/>
    <col min="4" max="4" width="12.1640625" customWidth="1"/>
    <col min="5" max="5" width="15" bestFit="1" customWidth="1"/>
    <col min="6" max="8" width="10.6640625" bestFit="1" customWidth="1"/>
    <col min="9" max="9" width="11.6640625" customWidth="1"/>
    <col min="10" max="11" width="10.6640625" bestFit="1" customWidth="1"/>
    <col min="12" max="12" width="11.6640625" customWidth="1"/>
    <col min="13" max="13" width="11.1640625" customWidth="1"/>
    <col min="14" max="16" width="10.83203125" customWidth="1"/>
    <col min="17" max="17" width="10.6640625" customWidth="1"/>
    <col min="18" max="18" width="11.1640625" customWidth="1"/>
    <col min="19" max="19" width="12" customWidth="1"/>
    <col min="20" max="21" width="12.1640625" customWidth="1"/>
    <col min="22" max="22" width="11.5" customWidth="1"/>
    <col min="23" max="23" width="13.1640625" customWidth="1"/>
    <col min="24" max="24" width="11.5" customWidth="1"/>
    <col min="25" max="25" width="11.1640625" bestFit="1" customWidth="1"/>
    <col min="26" max="26" width="12.1640625" customWidth="1"/>
    <col min="27" max="27" width="13.1640625" customWidth="1"/>
    <col min="28" max="28" width="12.1640625" customWidth="1"/>
    <col min="29" max="29" width="11.5" customWidth="1"/>
    <col min="30" max="31" width="12.5" customWidth="1"/>
    <col min="32" max="32" width="11.5" customWidth="1"/>
    <col min="33" max="33" width="10.6640625" customWidth="1"/>
    <col min="34" max="34" width="11" customWidth="1"/>
    <col min="35" max="35" width="16" customWidth="1"/>
    <col min="36" max="36" width="14.83203125" customWidth="1"/>
    <col min="37" max="39" width="11.83203125" bestFit="1" customWidth="1"/>
    <col min="40" max="40" width="13.1640625" customWidth="1"/>
    <col min="41" max="41" width="12.5" customWidth="1"/>
    <col min="42" max="42" width="13.1640625" customWidth="1"/>
    <col min="43" max="51" width="11.83203125" bestFit="1" customWidth="1"/>
    <col min="52" max="52" width="13.1640625" customWidth="1"/>
    <col min="53" max="53" width="13" customWidth="1"/>
    <col min="54" max="54" width="11.83203125" bestFit="1" customWidth="1"/>
    <col min="55" max="55" width="13.1640625" customWidth="1"/>
    <col min="56" max="57" width="11.83203125" bestFit="1" customWidth="1"/>
    <col min="58" max="58" width="14.6640625" customWidth="1"/>
    <col min="59" max="61" width="11.83203125" bestFit="1" customWidth="1"/>
    <col min="62" max="62" width="13.83203125" customWidth="1"/>
    <col min="63" max="65" width="11.83203125" bestFit="1" customWidth="1"/>
    <col min="66" max="66" width="12.5" customWidth="1"/>
    <col min="67" max="67" width="12.5" bestFit="1" customWidth="1"/>
    <col min="68" max="97" width="11.83203125" bestFit="1" customWidth="1"/>
    <col min="98" max="98" width="10.83203125" bestFit="1" customWidth="1"/>
    <col min="99" max="99" width="12.1640625" customWidth="1"/>
    <col min="100" max="100" width="11.83203125" bestFit="1" customWidth="1"/>
    <col min="101" max="101" width="12.5" customWidth="1"/>
    <col min="102" max="102" width="13" customWidth="1"/>
    <col min="103" max="103" width="13.5" customWidth="1"/>
    <col min="104" max="104" width="12.5" customWidth="1"/>
    <col min="105" max="105" width="13.5" customWidth="1"/>
    <col min="106" max="106" width="12.5" customWidth="1"/>
    <col min="107" max="107" width="12" customWidth="1"/>
    <col min="108" max="108" width="11.6640625" customWidth="1"/>
    <col min="109" max="109" width="12.5" customWidth="1"/>
    <col min="110" max="110" width="13.83203125" customWidth="1"/>
    <col min="111" max="111" width="15.1640625" customWidth="1"/>
    <col min="112" max="112" width="13.6640625" customWidth="1"/>
    <col min="113" max="113" width="14.1640625" customWidth="1"/>
    <col min="114" max="115" width="14.5" customWidth="1"/>
    <col min="116" max="116" width="15" customWidth="1"/>
    <col min="117" max="117" width="13.83203125" customWidth="1"/>
    <col min="118" max="118" width="13.1640625" customWidth="1"/>
    <col min="119" max="119" width="14.5" customWidth="1"/>
    <col min="120" max="120" width="14" customWidth="1"/>
    <col min="121" max="121" width="13.1640625" customWidth="1"/>
    <col min="122" max="122" width="13.83203125" customWidth="1"/>
    <col min="123" max="123" width="13.1640625" customWidth="1"/>
    <col min="124" max="124" width="14.1640625" customWidth="1"/>
    <col min="125" max="125" width="13.6640625" customWidth="1"/>
    <col min="126" max="126" width="14.1640625" customWidth="1"/>
    <col min="127" max="127" width="14.5" customWidth="1"/>
    <col min="128" max="128" width="14.6640625" customWidth="1"/>
    <col min="129" max="129" width="12.5" bestFit="1" customWidth="1"/>
    <col min="130" max="130" width="13.5" customWidth="1"/>
    <col min="131" max="131" width="13.1640625" bestFit="1" customWidth="1"/>
    <col min="132" max="132" width="14.83203125" customWidth="1"/>
    <col min="133" max="133" width="13.1640625" customWidth="1"/>
    <col min="134" max="135" width="15" customWidth="1"/>
    <col min="136" max="136" width="14.83203125" customWidth="1"/>
    <col min="137" max="137" width="15.1640625" customWidth="1"/>
    <col min="138" max="138" width="13.5" customWidth="1"/>
    <col min="139" max="139" width="13.1640625" customWidth="1"/>
    <col min="140" max="141" width="14.1640625" customWidth="1"/>
    <col min="142" max="142" width="13.83203125" customWidth="1"/>
    <col min="143" max="144" width="15.5" customWidth="1"/>
    <col min="145" max="145" width="14.1640625" customWidth="1"/>
    <col min="146" max="146" width="15.1640625" customWidth="1"/>
    <col min="147" max="147" width="14.1640625" customWidth="1"/>
    <col min="148" max="148" width="16.1640625" customWidth="1"/>
    <col min="149" max="149" width="15.83203125" customWidth="1"/>
    <col min="150" max="150" width="15" customWidth="1"/>
    <col min="151" max="151" width="16" customWidth="1"/>
    <col min="152" max="152" width="14.6640625" customWidth="1"/>
    <col min="153" max="153" width="14" customWidth="1"/>
    <col min="154" max="154" width="15.6640625" customWidth="1"/>
    <col min="155" max="155" width="15.1640625" customWidth="1"/>
    <col min="156" max="156" width="14.5" customWidth="1"/>
    <col min="157" max="157" width="14.83203125" customWidth="1"/>
    <col min="158" max="159" width="14.1640625" customWidth="1"/>
    <col min="160" max="160" width="13.6640625" customWidth="1"/>
    <col min="161" max="161" width="14.6640625" bestFit="1" customWidth="1"/>
    <col min="162" max="162" width="13.33203125" bestFit="1" customWidth="1"/>
    <col min="163" max="163" width="14.5" customWidth="1"/>
    <col min="164" max="164" width="13.5" customWidth="1"/>
    <col min="165" max="167" width="15.1640625" customWidth="1"/>
    <col min="168" max="168" width="14.83203125" customWidth="1"/>
    <col min="169" max="169" width="14" customWidth="1"/>
    <col min="170" max="170" width="14.5" customWidth="1"/>
    <col min="171" max="171" width="13.83203125" customWidth="1"/>
    <col min="172" max="172" width="14" customWidth="1"/>
    <col min="173" max="173" width="14.6640625" customWidth="1"/>
    <col min="174" max="174" width="13.5" customWidth="1"/>
    <col min="175" max="175" width="14" customWidth="1"/>
    <col min="176" max="176" width="14.5" customWidth="1"/>
    <col min="177" max="177" width="15" customWidth="1"/>
    <col min="178" max="178" width="13.83203125" customWidth="1"/>
    <col min="179" max="179" width="13.6640625" customWidth="1"/>
    <col min="180" max="180" width="15.1640625" customWidth="1"/>
    <col min="181" max="181" width="14.1640625" customWidth="1"/>
    <col min="182" max="182" width="15" customWidth="1"/>
    <col min="183" max="183" width="15.6640625" customWidth="1"/>
    <col min="184" max="184" width="14.83203125" customWidth="1"/>
    <col min="185" max="185" width="14" customWidth="1"/>
    <col min="186" max="186" width="13.6640625" customWidth="1"/>
    <col min="187" max="187" width="16" customWidth="1"/>
    <col min="188" max="188" width="15.1640625" customWidth="1"/>
    <col min="189" max="189" width="14.6640625" customWidth="1"/>
    <col min="190" max="190" width="14.5" customWidth="1"/>
    <col min="191" max="191" width="13.83203125" customWidth="1"/>
    <col min="192" max="192" width="14" customWidth="1"/>
    <col min="193" max="193" width="14.83203125" customWidth="1"/>
    <col min="194" max="194" width="13.33203125" bestFit="1" customWidth="1"/>
    <col min="195" max="196" width="13.6640625" customWidth="1"/>
    <col min="197" max="197" width="12.83203125" customWidth="1"/>
    <col min="198" max="198" width="13.6640625" customWidth="1"/>
    <col min="199" max="199" width="12.6640625" customWidth="1"/>
    <col min="200" max="200" width="13.1640625" customWidth="1"/>
    <col min="201" max="201" width="13.6640625" customWidth="1"/>
    <col min="202" max="202" width="13.1640625" customWidth="1"/>
    <col min="203" max="203" width="14.5" customWidth="1"/>
    <col min="204" max="204" width="13" customWidth="1"/>
    <col min="205" max="205" width="13.33203125" customWidth="1"/>
    <col min="206" max="206" width="13.83203125" customWidth="1"/>
    <col min="207" max="207" width="13.5" customWidth="1"/>
    <col min="208" max="208" width="12.6640625" bestFit="1" customWidth="1"/>
    <col min="209" max="209" width="14.5" customWidth="1"/>
    <col min="210" max="210" width="14.33203125" customWidth="1"/>
    <col min="211" max="211" width="12.6640625" customWidth="1"/>
    <col min="212" max="212" width="14" customWidth="1"/>
    <col min="213" max="214" width="13.1640625" customWidth="1"/>
    <col min="215" max="215" width="12.83203125" customWidth="1"/>
    <col min="216" max="216" width="14.1640625" customWidth="1"/>
    <col min="217" max="217" width="14.83203125" customWidth="1"/>
    <col min="218" max="218" width="12.83203125" customWidth="1"/>
    <col min="219" max="219" width="13.1640625" customWidth="1"/>
    <col min="220" max="220" width="12.83203125" customWidth="1"/>
    <col min="221" max="221" width="15.33203125" customWidth="1"/>
    <col min="222" max="222" width="12.83203125" customWidth="1"/>
    <col min="223" max="223" width="14.5" customWidth="1"/>
    <col min="224" max="232" width="13.33203125" bestFit="1" customWidth="1"/>
    <col min="233" max="233" width="13.83203125" customWidth="1"/>
    <col min="234" max="234" width="13.33203125" bestFit="1" customWidth="1"/>
    <col min="235" max="235" width="13.5" customWidth="1"/>
    <col min="236" max="243" width="13.33203125" bestFit="1" customWidth="1"/>
    <col min="244" max="244" width="13.83203125" customWidth="1"/>
    <col min="245" max="245" width="13.1640625" customWidth="1"/>
    <col min="246" max="246" width="13.33203125" bestFit="1" customWidth="1"/>
    <col min="247" max="249" width="13.5" customWidth="1"/>
    <col min="250" max="252" width="13.33203125" bestFit="1" customWidth="1"/>
    <col min="253" max="253" width="13.83203125" customWidth="1"/>
    <col min="254" max="254" width="13.1640625" customWidth="1"/>
    <col min="255" max="255" width="16.5" customWidth="1"/>
    <col min="256" max="256" width="15" customWidth="1"/>
    <col min="257" max="257" width="14.5" customWidth="1"/>
    <col min="258" max="258" width="13.6640625" customWidth="1"/>
    <col min="259" max="262" width="13.33203125" bestFit="1" customWidth="1"/>
    <col min="263" max="263" width="13.5" customWidth="1"/>
    <col min="264" max="267" width="13.33203125" bestFit="1" customWidth="1"/>
    <col min="268" max="268" width="13.1640625" customWidth="1"/>
    <col min="269" max="285" width="13.33203125" bestFit="1" customWidth="1"/>
    <col min="286" max="286" width="16" customWidth="1"/>
    <col min="287" max="287" width="13.1640625" customWidth="1"/>
    <col min="288" max="288" width="13.6640625" customWidth="1"/>
    <col min="289" max="289" width="13.33203125" bestFit="1" customWidth="1"/>
    <col min="290" max="290" width="14.5" customWidth="1"/>
    <col min="291" max="291" width="14.83203125" customWidth="1"/>
    <col min="292" max="292" width="14.1640625" customWidth="1"/>
    <col min="293" max="293" width="13.83203125" customWidth="1"/>
    <col min="294" max="294" width="14.5" customWidth="1"/>
    <col min="295" max="295" width="14.1640625" customWidth="1"/>
    <col min="296" max="296" width="13.5" customWidth="1"/>
    <col min="297" max="297" width="14.83203125" customWidth="1"/>
    <col min="298" max="298" width="13.5" customWidth="1"/>
    <col min="299" max="299" width="14.5" customWidth="1"/>
    <col min="300" max="300" width="14.83203125" customWidth="1"/>
    <col min="301" max="301" width="15" customWidth="1"/>
    <col min="302" max="302" width="14" customWidth="1"/>
    <col min="303" max="303" width="15.5" customWidth="1"/>
    <col min="304" max="305" width="14.5" customWidth="1"/>
    <col min="306" max="306" width="15.83203125" customWidth="1"/>
    <col min="307" max="308" width="13.5" customWidth="1"/>
    <col min="309" max="309" width="15" customWidth="1"/>
    <col min="310" max="310" width="14.33203125" customWidth="1"/>
    <col min="311" max="311" width="14" customWidth="1"/>
    <col min="312" max="312" width="13.83203125" customWidth="1"/>
    <col min="313" max="313" width="14.5" customWidth="1"/>
    <col min="314" max="315" width="13.83203125" customWidth="1"/>
    <col min="316" max="316" width="13.33203125" customWidth="1"/>
    <col min="317" max="317" width="14" customWidth="1"/>
    <col min="318" max="318" width="14.5" customWidth="1"/>
    <col min="319" max="321" width="13.83203125" customWidth="1"/>
    <col min="322" max="323" width="13.5" customWidth="1"/>
    <col min="324" max="324" width="15" customWidth="1"/>
    <col min="325" max="325" width="13.1640625" customWidth="1"/>
    <col min="326" max="326" width="14.33203125" customWidth="1"/>
    <col min="327" max="327" width="14.83203125" customWidth="1"/>
    <col min="328" max="328" width="14.5" customWidth="1"/>
    <col min="329" max="329" width="13.83203125" customWidth="1"/>
    <col min="330" max="330" width="16.33203125" customWidth="1"/>
    <col min="331" max="332" width="13.83203125" customWidth="1"/>
    <col min="333" max="333" width="14.83203125" customWidth="1"/>
    <col min="334" max="334" width="14" customWidth="1"/>
    <col min="335" max="335" width="16" customWidth="1"/>
    <col min="336" max="336" width="14.1640625" customWidth="1"/>
    <col min="337" max="337" width="13.33203125" customWidth="1"/>
    <col min="338" max="338" width="13.6640625" customWidth="1"/>
    <col min="339" max="339" width="14.1640625" customWidth="1"/>
    <col min="340" max="340" width="13.5" customWidth="1"/>
    <col min="341" max="341" width="14.5" customWidth="1"/>
    <col min="342" max="342" width="13.5" customWidth="1"/>
    <col min="343" max="343" width="14" customWidth="1"/>
    <col min="344" max="344" width="13.33203125" customWidth="1"/>
    <col min="345" max="345" width="15.33203125" customWidth="1"/>
    <col min="346" max="346" width="14.5" customWidth="1"/>
    <col min="347" max="347" width="13.83203125" customWidth="1"/>
    <col min="348" max="348" width="14" customWidth="1"/>
    <col min="349" max="349" width="11.6640625" customWidth="1"/>
    <col min="350" max="350" width="13.6640625" bestFit="1" customWidth="1"/>
    <col min="351" max="351" width="14.83203125" customWidth="1"/>
    <col min="352" max="352" width="15.1640625" customWidth="1"/>
    <col min="353" max="353" width="13.33203125" customWidth="1"/>
    <col min="354" max="354" width="16.1640625" customWidth="1"/>
    <col min="355" max="355" width="14.83203125" customWidth="1"/>
    <col min="356" max="356" width="15.83203125" customWidth="1"/>
    <col min="357" max="357" width="14.1640625" customWidth="1"/>
    <col min="358" max="358" width="15.5" customWidth="1"/>
    <col min="359" max="359" width="14.5" customWidth="1"/>
    <col min="360" max="360" width="15.5" customWidth="1"/>
    <col min="361" max="361" width="13.6640625" customWidth="1"/>
    <col min="362" max="362" width="14.5" customWidth="1"/>
    <col min="363" max="363" width="14.6640625" customWidth="1"/>
    <col min="364" max="364" width="16.5" customWidth="1"/>
    <col min="365" max="365" width="16.1640625" customWidth="1"/>
    <col min="366" max="366" width="15.33203125" customWidth="1"/>
    <col min="367" max="367" width="14.1640625" customWidth="1"/>
    <col min="368" max="368" width="15" customWidth="1"/>
    <col min="369" max="370" width="13.6640625" customWidth="1"/>
    <col min="371" max="371" width="13.83203125" customWidth="1"/>
    <col min="372" max="372" width="15" customWidth="1"/>
    <col min="373" max="373" width="14.83203125" customWidth="1"/>
    <col min="374" max="374" width="13.5" customWidth="1"/>
    <col min="375" max="375" width="14" customWidth="1"/>
    <col min="376" max="378" width="13.33203125" customWidth="1"/>
    <col min="379" max="379" width="16.1640625" customWidth="1"/>
    <col min="380" max="380" width="14.5" customWidth="1"/>
    <col min="381" max="381" width="11.5" customWidth="1"/>
    <col min="382" max="382" width="13.5" customWidth="1"/>
    <col min="383" max="383" width="14.5" customWidth="1"/>
    <col min="384" max="384" width="13.5" customWidth="1"/>
    <col min="385" max="385" width="14" customWidth="1"/>
    <col min="386" max="386" width="13.33203125" customWidth="1"/>
    <col min="387" max="387" width="14.1640625" customWidth="1"/>
    <col min="388" max="388" width="15" customWidth="1"/>
    <col min="389" max="389" width="13.1640625" customWidth="1"/>
    <col min="390" max="390" width="14.1640625" customWidth="1"/>
    <col min="391" max="391" width="13.83203125" customWidth="1"/>
    <col min="392" max="392" width="13.6640625" customWidth="1"/>
    <col min="393" max="393" width="13.5" customWidth="1"/>
    <col min="394" max="394" width="14.1640625" customWidth="1"/>
    <col min="395" max="395" width="14.83203125" customWidth="1"/>
    <col min="396" max="396" width="14.1640625" customWidth="1"/>
    <col min="397" max="397" width="13.6640625" customWidth="1"/>
    <col min="398" max="398" width="14.1640625" customWidth="1"/>
    <col min="399" max="399" width="14.6640625" customWidth="1"/>
    <col min="400" max="400" width="13.83203125" customWidth="1"/>
    <col min="401" max="401" width="14.6640625" customWidth="1"/>
    <col min="402" max="402" width="13.83203125" customWidth="1"/>
    <col min="403" max="403" width="14.5" customWidth="1"/>
    <col min="404" max="404" width="15.1640625" customWidth="1"/>
    <col min="405" max="405" width="14.5" customWidth="1"/>
    <col min="406" max="406" width="14.1640625" customWidth="1"/>
    <col min="407" max="407" width="13.5" customWidth="1"/>
    <col min="408" max="408" width="13.1640625" customWidth="1"/>
    <col min="409" max="409" width="13.5" customWidth="1"/>
    <col min="410" max="410" width="14" customWidth="1"/>
    <col min="411" max="411" width="14.33203125" customWidth="1"/>
    <col min="412" max="412" width="15.1640625" customWidth="1"/>
    <col min="413" max="413" width="12.5" customWidth="1"/>
    <col min="414" max="414" width="14.33203125" customWidth="1"/>
    <col min="415" max="415" width="14.6640625" customWidth="1"/>
    <col min="416" max="416" width="13.1640625" customWidth="1"/>
    <col min="417" max="417" width="13.5" customWidth="1"/>
    <col min="418" max="418" width="15.5" customWidth="1"/>
    <col min="419" max="419" width="13.5" customWidth="1"/>
    <col min="420" max="420" width="14.1640625" customWidth="1"/>
    <col min="421" max="421" width="13.1640625" customWidth="1"/>
    <col min="422" max="422" width="14.5" customWidth="1"/>
    <col min="423" max="423" width="15" customWidth="1"/>
    <col min="424" max="424" width="13.83203125" customWidth="1"/>
    <col min="425" max="425" width="14.83203125" customWidth="1"/>
    <col min="426" max="426" width="15" customWidth="1"/>
    <col min="427" max="427" width="14.83203125" customWidth="1"/>
    <col min="428" max="428" width="14.5" customWidth="1"/>
    <col min="429" max="429" width="14.83203125" customWidth="1"/>
    <col min="430" max="430" width="14.5" customWidth="1"/>
    <col min="431" max="431" width="15" customWidth="1"/>
    <col min="432" max="432" width="13.33203125" customWidth="1"/>
    <col min="433" max="433" width="13.5" customWidth="1"/>
    <col min="434" max="435" width="13.83203125" customWidth="1"/>
    <col min="436" max="436" width="13.5" customWidth="1"/>
    <col min="437" max="437" width="15" customWidth="1"/>
    <col min="438" max="438" width="14.1640625" customWidth="1"/>
    <col min="439" max="439" width="15.6640625" customWidth="1"/>
    <col min="440" max="440" width="14.6640625" customWidth="1"/>
    <col min="441" max="441" width="13.83203125" customWidth="1"/>
    <col min="442" max="442" width="14" customWidth="1"/>
    <col min="443" max="443" width="15" customWidth="1"/>
    <col min="444" max="444" width="12.6640625" customWidth="1"/>
    <col min="445" max="445" width="13.1640625" customWidth="1"/>
    <col min="446" max="447" width="13.83203125" customWidth="1"/>
    <col min="448" max="448" width="14" customWidth="1"/>
    <col min="449" max="449" width="15.6640625" customWidth="1"/>
    <col min="450" max="450" width="14.1640625" customWidth="1"/>
    <col min="451" max="451" width="15.33203125" customWidth="1"/>
    <col min="452" max="452" width="14.33203125" customWidth="1"/>
    <col min="453" max="453" width="14.1640625" customWidth="1"/>
    <col min="454" max="454" width="13.6640625" customWidth="1"/>
    <col min="455" max="455" width="14" customWidth="1"/>
    <col min="456" max="456" width="14.83203125" customWidth="1"/>
    <col min="457" max="457" width="14.5" customWidth="1"/>
    <col min="458" max="458" width="14.33203125" customWidth="1"/>
    <col min="459" max="459" width="14.5" customWidth="1"/>
    <col min="460" max="460" width="14.33203125" customWidth="1"/>
    <col min="461" max="461" width="13.6640625" customWidth="1"/>
    <col min="462" max="462" width="16.1640625" customWidth="1"/>
    <col min="463" max="463" width="14.1640625" customWidth="1"/>
    <col min="464" max="464" width="13.5" customWidth="1"/>
    <col min="465" max="465" width="14.5" customWidth="1"/>
    <col min="466" max="466" width="14.83203125" customWidth="1"/>
    <col min="467" max="467" width="14.6640625" customWidth="1"/>
    <col min="468" max="468" width="14.33203125" customWidth="1"/>
    <col min="469" max="469" width="15.33203125" customWidth="1"/>
    <col min="470" max="470" width="14" customWidth="1"/>
    <col min="471" max="471" width="13.33203125" customWidth="1"/>
    <col min="472" max="472" width="14.5" customWidth="1"/>
    <col min="473" max="473" width="13.83203125" customWidth="1"/>
    <col min="474" max="474" width="15.5" customWidth="1"/>
    <col min="475" max="475" width="16" customWidth="1"/>
    <col min="476" max="477" width="13.83203125" customWidth="1"/>
    <col min="478" max="478" width="14.1640625" customWidth="1"/>
    <col min="479" max="479" width="13.83203125" customWidth="1"/>
    <col min="480" max="480" width="14.1640625" customWidth="1"/>
    <col min="481" max="481" width="13.83203125" customWidth="1"/>
    <col min="482" max="482" width="15.5" customWidth="1"/>
    <col min="483" max="483" width="13.83203125" customWidth="1"/>
    <col min="484" max="484" width="14" customWidth="1"/>
    <col min="485" max="485" width="14.5" customWidth="1"/>
    <col min="486" max="486" width="13.33203125" customWidth="1"/>
    <col min="487" max="487" width="14" customWidth="1"/>
    <col min="488" max="489" width="13.83203125" customWidth="1"/>
    <col min="490" max="490" width="14.33203125" customWidth="1"/>
    <col min="491" max="491" width="14" customWidth="1"/>
    <col min="492" max="492" width="13.83203125" customWidth="1"/>
    <col min="493" max="493" width="14.1640625" customWidth="1"/>
    <col min="494" max="494" width="13.5" customWidth="1"/>
    <col min="495" max="495" width="15.5" customWidth="1"/>
    <col min="496" max="496" width="14.83203125" customWidth="1"/>
    <col min="497" max="497" width="15.5" customWidth="1"/>
    <col min="498" max="498" width="14.5" customWidth="1"/>
    <col min="499" max="499" width="15.6640625" customWidth="1"/>
    <col min="500" max="500" width="14.5" customWidth="1"/>
    <col min="501" max="501" width="14.33203125" customWidth="1"/>
    <col min="502" max="502" width="14.83203125" customWidth="1"/>
    <col min="503" max="503" width="13.5" customWidth="1"/>
    <col min="504" max="504" width="13.6640625" customWidth="1"/>
    <col min="505" max="505" width="13.83203125" customWidth="1"/>
    <col min="506" max="506" width="14.6640625" customWidth="1"/>
    <col min="507" max="507" width="12" customWidth="1"/>
    <col min="508" max="508" width="14.5" customWidth="1"/>
    <col min="509" max="509" width="13.6640625" customWidth="1"/>
    <col min="510" max="510" width="14.5" customWidth="1"/>
    <col min="511" max="511" width="15.33203125" customWidth="1"/>
    <col min="512" max="512" width="14.5" customWidth="1"/>
    <col min="513" max="513" width="14.6640625" customWidth="1"/>
    <col min="514" max="514" width="14" customWidth="1"/>
    <col min="515" max="515" width="15.1640625" customWidth="1"/>
    <col min="516" max="516" width="15" customWidth="1"/>
    <col min="517" max="517" width="14.5" customWidth="1"/>
    <col min="518" max="518" width="13.83203125" customWidth="1"/>
    <col min="519" max="519" width="15.33203125" customWidth="1"/>
    <col min="520" max="520" width="14.6640625" customWidth="1"/>
    <col min="521" max="521" width="14.33203125" customWidth="1"/>
    <col min="522" max="522" width="17.1640625" customWidth="1"/>
    <col min="523" max="524" width="14.1640625" customWidth="1"/>
    <col min="525" max="525" width="15.1640625" customWidth="1"/>
    <col min="526" max="526" width="14.6640625" customWidth="1"/>
    <col min="527" max="527" width="13.5" customWidth="1"/>
    <col min="528" max="528" width="14.5" customWidth="1"/>
    <col min="529" max="530" width="13.5" customWidth="1"/>
    <col min="531" max="531" width="14.5" customWidth="1"/>
    <col min="532" max="532" width="14" customWidth="1"/>
    <col min="533" max="533" width="13.83203125" customWidth="1"/>
    <col min="534" max="535" width="14" customWidth="1"/>
    <col min="536" max="536" width="13.1640625" customWidth="1"/>
    <col min="537" max="537" width="13.5" customWidth="1"/>
    <col min="538" max="538" width="13.83203125" customWidth="1"/>
    <col min="539" max="539" width="11.6640625" customWidth="1"/>
    <col min="540" max="540" width="16" customWidth="1"/>
    <col min="541" max="541" width="13.6640625" customWidth="1"/>
    <col min="542" max="542" width="14" customWidth="1"/>
    <col min="543" max="543" width="13.83203125" customWidth="1"/>
    <col min="544" max="544" width="13.1640625" customWidth="1"/>
    <col min="545" max="545" width="14.1640625" customWidth="1"/>
    <col min="546" max="546" width="13.83203125" customWidth="1"/>
    <col min="547" max="547" width="15.83203125" customWidth="1"/>
    <col min="548" max="548" width="13.33203125" customWidth="1"/>
    <col min="549" max="549" width="14.1640625" customWidth="1"/>
    <col min="550" max="550" width="13.83203125" customWidth="1"/>
    <col min="551" max="551" width="17" customWidth="1"/>
    <col min="552" max="552" width="14.6640625" customWidth="1"/>
    <col min="553" max="553" width="14" customWidth="1"/>
    <col min="554" max="554" width="14.5" customWidth="1"/>
    <col min="555" max="555" width="14.83203125" customWidth="1"/>
    <col min="556" max="556" width="14.6640625" customWidth="1"/>
    <col min="557" max="557" width="15.5" customWidth="1"/>
    <col min="558" max="559" width="14" customWidth="1"/>
    <col min="560" max="560" width="15.1640625" customWidth="1"/>
    <col min="561" max="561" width="13.5" customWidth="1"/>
    <col min="562" max="562" width="15.1640625" customWidth="1"/>
    <col min="563" max="563" width="14" customWidth="1"/>
    <col min="564" max="564" width="14.33203125" customWidth="1"/>
    <col min="565" max="565" width="16" customWidth="1"/>
    <col min="566" max="566" width="13.5" customWidth="1"/>
    <col min="567" max="567" width="14" customWidth="1"/>
    <col min="568" max="568" width="14.5" customWidth="1"/>
    <col min="569" max="569" width="13.1640625" customWidth="1"/>
    <col min="570" max="570" width="13.5" customWidth="1"/>
    <col min="571" max="571" width="13.1640625" customWidth="1"/>
    <col min="572" max="572" width="15.5" customWidth="1"/>
    <col min="573" max="573" width="14.33203125" customWidth="1"/>
    <col min="574" max="574" width="13.83203125" customWidth="1"/>
    <col min="575" max="577" width="13.33203125" customWidth="1"/>
    <col min="578" max="578" width="13.5" customWidth="1"/>
    <col min="579" max="579" width="13.33203125" customWidth="1"/>
    <col min="580" max="580" width="13.6640625" customWidth="1"/>
    <col min="581" max="581" width="15" customWidth="1"/>
    <col min="582" max="582" width="14.1640625" customWidth="1"/>
    <col min="583" max="583" width="15.33203125" customWidth="1"/>
    <col min="584" max="584" width="14" customWidth="1"/>
    <col min="585" max="585" width="15" customWidth="1"/>
    <col min="586" max="586" width="13.33203125" customWidth="1"/>
    <col min="587" max="587" width="15.1640625" customWidth="1"/>
    <col min="588" max="588" width="14.5" customWidth="1"/>
    <col min="589" max="589" width="14.1640625" customWidth="1"/>
    <col min="590" max="590" width="13.5" customWidth="1"/>
    <col min="591" max="591" width="14.1640625" customWidth="1"/>
    <col min="592" max="592" width="13.5" customWidth="1"/>
    <col min="593" max="593" width="13.83203125" customWidth="1"/>
    <col min="594" max="594" width="14" customWidth="1"/>
    <col min="595" max="595" width="13.1640625" customWidth="1"/>
    <col min="596" max="596" width="14.1640625" customWidth="1"/>
    <col min="597" max="598" width="13.83203125" customWidth="1"/>
    <col min="599" max="599" width="13.33203125" customWidth="1"/>
    <col min="600" max="600" width="11.83203125" customWidth="1"/>
    <col min="601" max="601" width="13.83203125" customWidth="1"/>
    <col min="602" max="602" width="14" customWidth="1"/>
    <col min="603" max="603" width="13.83203125" customWidth="1"/>
    <col min="604" max="604" width="13.1640625" customWidth="1"/>
    <col min="605" max="605" width="14.5" customWidth="1"/>
    <col min="606" max="606" width="14.6640625" customWidth="1"/>
    <col min="607" max="607" width="14.1640625" customWidth="1"/>
    <col min="608" max="608" width="13.1640625" customWidth="1"/>
    <col min="609" max="609" width="14" customWidth="1"/>
    <col min="610" max="611" width="13.1640625" customWidth="1"/>
    <col min="612" max="612" width="13.33203125" customWidth="1"/>
    <col min="613" max="613" width="14" customWidth="1"/>
    <col min="614" max="614" width="14.1640625" customWidth="1"/>
    <col min="615" max="615" width="13.1640625" customWidth="1"/>
    <col min="616" max="616" width="14" customWidth="1"/>
    <col min="617" max="617" width="14.33203125" customWidth="1"/>
    <col min="618" max="618" width="13.33203125" customWidth="1"/>
    <col min="619" max="620" width="13.83203125" customWidth="1"/>
    <col min="621" max="621" width="14.83203125" customWidth="1"/>
    <col min="622" max="622" width="13.5" customWidth="1"/>
    <col min="623" max="623" width="14" customWidth="1"/>
    <col min="624" max="624" width="15.5" customWidth="1"/>
    <col min="625" max="625" width="13.1640625" customWidth="1"/>
    <col min="626" max="626" width="14.5" customWidth="1"/>
    <col min="627" max="627" width="14.1640625" customWidth="1"/>
    <col min="628" max="628" width="13.5" customWidth="1"/>
    <col min="629" max="629" width="15.5" customWidth="1"/>
    <col min="630" max="630" width="13.5" customWidth="1"/>
    <col min="631" max="631" width="14.1640625" customWidth="1"/>
    <col min="632" max="632" width="11.83203125" customWidth="1"/>
    <col min="633" max="633" width="13.83203125" customWidth="1"/>
    <col min="634" max="634" width="13.5" customWidth="1"/>
    <col min="635" max="635" width="14.5" customWidth="1"/>
    <col min="636" max="636" width="15.83203125" customWidth="1"/>
    <col min="637" max="637" width="15.6640625" customWidth="1"/>
    <col min="638" max="638" width="16.1640625" customWidth="1"/>
    <col min="639" max="639" width="13.33203125" customWidth="1"/>
    <col min="640" max="640" width="13.83203125" customWidth="1"/>
    <col min="641" max="641" width="14" customWidth="1"/>
    <col min="642" max="642" width="13.33203125" customWidth="1"/>
    <col min="643" max="643" width="13.83203125" customWidth="1"/>
    <col min="644" max="644" width="13.5" customWidth="1"/>
    <col min="645" max="645" width="14.33203125" customWidth="1"/>
    <col min="646" max="646" width="14.5" customWidth="1"/>
    <col min="647" max="647" width="14.33203125" customWidth="1"/>
    <col min="648" max="648" width="14" customWidth="1"/>
    <col min="649" max="649" width="14.1640625" customWidth="1"/>
    <col min="650" max="650" width="14.33203125" customWidth="1"/>
    <col min="651" max="651" width="14.1640625" customWidth="1"/>
    <col min="652" max="652" width="14" customWidth="1"/>
    <col min="653" max="653" width="16.1640625" customWidth="1"/>
    <col min="654" max="654" width="13.1640625" customWidth="1"/>
    <col min="655" max="655" width="13.6640625" customWidth="1"/>
    <col min="656" max="656" width="13.1640625" customWidth="1"/>
    <col min="657" max="657" width="14.1640625" customWidth="1"/>
    <col min="658" max="658" width="13.83203125" customWidth="1"/>
    <col min="659" max="659" width="13.33203125" customWidth="1"/>
    <col min="660" max="660" width="14.1640625" customWidth="1"/>
    <col min="661" max="661" width="13.83203125" customWidth="1"/>
    <col min="662" max="662" width="14.83203125" customWidth="1"/>
    <col min="663" max="663" width="12.83203125" customWidth="1"/>
    <col min="664" max="664" width="14.1640625" customWidth="1"/>
    <col min="665" max="665" width="13.5" customWidth="1"/>
    <col min="666" max="666" width="14.83203125" customWidth="1"/>
    <col min="667" max="667" width="14.5" customWidth="1"/>
    <col min="668" max="668" width="14.1640625" customWidth="1"/>
    <col min="669" max="669" width="13.83203125" customWidth="1"/>
    <col min="670" max="670" width="14.1640625" customWidth="1"/>
    <col min="671" max="671" width="14.5" customWidth="1"/>
    <col min="672" max="672" width="13.5" customWidth="1"/>
    <col min="673" max="673" width="15" customWidth="1"/>
    <col min="674" max="674" width="13.83203125" customWidth="1"/>
    <col min="675" max="675" width="13.5" customWidth="1"/>
    <col min="676" max="676" width="13.1640625" customWidth="1"/>
    <col min="677" max="677" width="13.33203125" customWidth="1"/>
    <col min="678" max="678" width="15.1640625" customWidth="1"/>
    <col min="679" max="679" width="14.1640625" customWidth="1"/>
    <col min="680" max="680" width="13.1640625" customWidth="1"/>
    <col min="681" max="681" width="15.5" customWidth="1"/>
    <col min="682" max="682" width="14.83203125" customWidth="1"/>
    <col min="683" max="683" width="14.5" customWidth="1"/>
    <col min="684" max="684" width="15.83203125" customWidth="1"/>
    <col min="685" max="685" width="14.1640625" customWidth="1"/>
    <col min="686" max="686" width="16" customWidth="1"/>
    <col min="687" max="687" width="13.5" customWidth="1"/>
    <col min="688" max="688" width="15.1640625" customWidth="1"/>
    <col min="689" max="689" width="13.5" customWidth="1"/>
    <col min="690" max="690" width="13.33203125" bestFit="1" customWidth="1"/>
    <col min="691" max="692" width="13.83203125" customWidth="1"/>
    <col min="693" max="693" width="13.1640625" customWidth="1"/>
    <col min="694" max="694" width="14.6640625" customWidth="1"/>
    <col min="695" max="695" width="12.5" customWidth="1"/>
    <col min="696" max="696" width="13.83203125" customWidth="1"/>
    <col min="697" max="697" width="14.1640625" customWidth="1"/>
    <col min="698" max="698" width="13.33203125" customWidth="1"/>
    <col min="699" max="699" width="14.5" customWidth="1"/>
    <col min="700" max="700" width="14.33203125" customWidth="1"/>
    <col min="701" max="701" width="14" customWidth="1"/>
    <col min="702" max="702" width="14.1640625" customWidth="1"/>
    <col min="703" max="703" width="14" customWidth="1"/>
    <col min="704" max="704" width="13.6640625" customWidth="1"/>
    <col min="705" max="705" width="14.1640625" customWidth="1"/>
    <col min="706" max="706" width="15" customWidth="1"/>
    <col min="707" max="707" width="13.83203125" customWidth="1"/>
    <col min="708" max="708" width="13.6640625" customWidth="1"/>
    <col min="709" max="709" width="13.83203125" customWidth="1"/>
    <col min="710" max="710" width="13.1640625" customWidth="1"/>
    <col min="711" max="711" width="14.1640625" customWidth="1"/>
    <col min="712" max="712" width="13.6640625" customWidth="1"/>
    <col min="713" max="713" width="14.33203125" customWidth="1"/>
    <col min="714" max="714" width="13.6640625" customWidth="1"/>
    <col min="715" max="715" width="15.1640625" customWidth="1"/>
    <col min="716" max="717" width="13.83203125" customWidth="1"/>
    <col min="718" max="718" width="14.1640625" customWidth="1"/>
    <col min="719" max="719" width="14.33203125" customWidth="1"/>
    <col min="720" max="720" width="14.5" customWidth="1"/>
    <col min="721" max="721" width="13.5" customWidth="1"/>
    <col min="722" max="722" width="13.83203125" customWidth="1"/>
    <col min="723" max="723" width="14" customWidth="1"/>
    <col min="724" max="724" width="14.33203125" customWidth="1"/>
    <col min="725" max="725" width="17.1640625" customWidth="1"/>
    <col min="726" max="726" width="12.5" customWidth="1"/>
    <col min="727" max="727" width="13.83203125" customWidth="1"/>
    <col min="728" max="728" width="13.1640625" customWidth="1"/>
    <col min="729" max="729" width="14.1640625" customWidth="1"/>
    <col min="730" max="730" width="15" customWidth="1"/>
    <col min="731" max="731" width="14.1640625" customWidth="1"/>
    <col min="732" max="732" width="17.33203125" customWidth="1"/>
    <col min="733" max="733" width="13.5" customWidth="1"/>
    <col min="734" max="734" width="13.83203125" customWidth="1"/>
    <col min="735" max="736" width="14.83203125" customWidth="1"/>
    <col min="737" max="737" width="15" customWidth="1"/>
    <col min="738" max="738" width="13.5" customWidth="1"/>
    <col min="739" max="740" width="14.83203125" customWidth="1"/>
    <col min="741" max="741" width="13.33203125" customWidth="1"/>
    <col min="742" max="742" width="14.83203125" customWidth="1"/>
    <col min="743" max="743" width="14.6640625" customWidth="1"/>
    <col min="744" max="744" width="17" customWidth="1"/>
    <col min="745" max="745" width="14.33203125" customWidth="1"/>
    <col min="746" max="746" width="14.1640625" customWidth="1"/>
    <col min="747" max="747" width="14" customWidth="1"/>
    <col min="748" max="748" width="13.83203125" customWidth="1"/>
    <col min="749" max="749" width="13.33203125" customWidth="1"/>
    <col min="750" max="750" width="15.1640625" customWidth="1"/>
    <col min="751" max="751" width="14.5" customWidth="1"/>
    <col min="752" max="752" width="13.5" customWidth="1"/>
    <col min="753" max="753" width="15" customWidth="1"/>
    <col min="754" max="754" width="13.5" customWidth="1"/>
    <col min="755" max="755" width="13.6640625" customWidth="1"/>
    <col min="756" max="756" width="13.5" customWidth="1"/>
    <col min="757" max="757" width="15.1640625" customWidth="1"/>
    <col min="758" max="758" width="14" customWidth="1"/>
    <col min="759" max="759" width="13.83203125" customWidth="1"/>
    <col min="760" max="760" width="13.33203125" bestFit="1" customWidth="1"/>
    <col min="761" max="761" width="14.1640625" customWidth="1"/>
    <col min="762" max="762" width="14.5" customWidth="1"/>
    <col min="763" max="763" width="13.83203125" customWidth="1"/>
    <col min="764" max="764" width="13.5" customWidth="1"/>
    <col min="765" max="765" width="15" customWidth="1"/>
    <col min="766" max="766" width="13.1640625" customWidth="1"/>
    <col min="767" max="767" width="13.5" customWidth="1"/>
    <col min="768" max="768" width="14.1640625" customWidth="1"/>
    <col min="769" max="769" width="14.83203125" customWidth="1"/>
    <col min="770" max="770" width="13.83203125" customWidth="1"/>
    <col min="771" max="772" width="14.1640625" customWidth="1"/>
    <col min="773" max="773" width="15.33203125" customWidth="1"/>
    <col min="774" max="774" width="14.83203125" customWidth="1"/>
    <col min="775" max="775" width="13.6640625" customWidth="1"/>
    <col min="776" max="776" width="14" customWidth="1"/>
    <col min="777" max="777" width="14.83203125" customWidth="1"/>
    <col min="778" max="778" width="13.5" customWidth="1"/>
    <col min="779" max="779" width="14.5" customWidth="1"/>
    <col min="780" max="780" width="15.33203125" customWidth="1"/>
    <col min="781" max="781" width="14.6640625" customWidth="1"/>
    <col min="782" max="782" width="14.33203125" customWidth="1"/>
    <col min="783" max="783" width="14" customWidth="1"/>
    <col min="784" max="784" width="14.33203125" customWidth="1"/>
    <col min="785" max="785" width="13.5" customWidth="1"/>
    <col min="786" max="786" width="15.1640625" customWidth="1"/>
    <col min="787" max="787" width="14" customWidth="1"/>
    <col min="788" max="788" width="14.1640625" customWidth="1"/>
    <col min="789" max="789" width="15.5" customWidth="1"/>
    <col min="790" max="790" width="14.5" customWidth="1"/>
    <col min="791" max="791" width="16.1640625" customWidth="1"/>
    <col min="792" max="792" width="14.5" customWidth="1"/>
    <col min="793" max="794" width="14.1640625" customWidth="1"/>
    <col min="795" max="795" width="14.83203125" customWidth="1"/>
    <col min="796" max="796" width="13.83203125" customWidth="1"/>
    <col min="797" max="797" width="14.83203125" customWidth="1"/>
    <col min="798" max="798" width="14" customWidth="1"/>
    <col min="799" max="799" width="15" customWidth="1"/>
    <col min="800" max="800" width="13.1640625" customWidth="1"/>
    <col min="801" max="801" width="13.83203125" customWidth="1"/>
    <col min="802" max="802" width="14.83203125" customWidth="1"/>
    <col min="803" max="803" width="13.83203125" customWidth="1"/>
    <col min="804" max="805" width="13.5" customWidth="1"/>
    <col min="806" max="806" width="13.1640625" customWidth="1"/>
    <col min="807" max="807" width="15" customWidth="1"/>
    <col min="808" max="808" width="13.6640625" customWidth="1"/>
    <col min="809" max="809" width="13.33203125" customWidth="1"/>
    <col min="810" max="810" width="13.83203125" customWidth="1"/>
    <col min="811" max="811" width="14.33203125" customWidth="1"/>
    <col min="812" max="812" width="16.1640625" customWidth="1"/>
    <col min="813" max="813" width="13.5" customWidth="1"/>
    <col min="814" max="814" width="15.6640625" customWidth="1"/>
    <col min="815" max="815" width="13.33203125" customWidth="1"/>
    <col min="816" max="816" width="13.1640625" customWidth="1"/>
    <col min="817" max="817" width="14" customWidth="1"/>
    <col min="818" max="818" width="13.83203125" customWidth="1"/>
    <col min="819" max="819" width="13.5" customWidth="1"/>
    <col min="820" max="820" width="15.1640625" customWidth="1"/>
    <col min="821" max="821" width="18.83203125" customWidth="1"/>
    <col min="822" max="822" width="14.5" customWidth="1"/>
    <col min="823" max="823" width="13.83203125" customWidth="1"/>
    <col min="824" max="824" width="14.83203125" customWidth="1"/>
    <col min="825" max="825" width="15.5" customWidth="1"/>
    <col min="826" max="826" width="13.6640625" customWidth="1"/>
    <col min="827" max="827" width="14.6640625" customWidth="1"/>
    <col min="828" max="828" width="13.83203125" customWidth="1"/>
    <col min="829" max="829" width="14" customWidth="1"/>
    <col min="830" max="830" width="13.83203125" customWidth="1"/>
    <col min="831" max="831" width="13.5" customWidth="1"/>
    <col min="832" max="832" width="14" customWidth="1"/>
    <col min="833" max="833" width="13.33203125" customWidth="1"/>
    <col min="834" max="834" width="14.6640625" customWidth="1"/>
    <col min="835" max="836" width="14.5" customWidth="1"/>
    <col min="837" max="837" width="14.33203125" customWidth="1"/>
    <col min="838" max="838" width="13.1640625" customWidth="1"/>
    <col min="839" max="839" width="14.1640625" customWidth="1"/>
    <col min="840" max="840" width="13.6640625" customWidth="1"/>
    <col min="841" max="841" width="15.33203125" customWidth="1"/>
    <col min="842" max="842" width="15.83203125" customWidth="1"/>
    <col min="843" max="843" width="14" customWidth="1"/>
    <col min="844" max="844" width="13.1640625" customWidth="1"/>
    <col min="845" max="845" width="14.83203125" customWidth="1"/>
    <col min="846" max="846" width="15" customWidth="1"/>
    <col min="847" max="847" width="15.6640625" customWidth="1"/>
    <col min="848" max="848" width="14.83203125" customWidth="1"/>
    <col min="849" max="849" width="15.83203125" customWidth="1"/>
    <col min="850" max="850" width="14" customWidth="1"/>
    <col min="851" max="851" width="14.83203125" customWidth="1"/>
    <col min="852" max="852" width="13.83203125" customWidth="1"/>
    <col min="853" max="853" width="12.6640625" customWidth="1"/>
    <col min="854" max="854" width="13.83203125" customWidth="1"/>
    <col min="855" max="855" width="13.5" customWidth="1"/>
    <col min="856" max="857" width="13.33203125" customWidth="1"/>
    <col min="858" max="858" width="15" customWidth="1"/>
    <col min="859" max="859" width="14.6640625" customWidth="1"/>
    <col min="860" max="860" width="13.83203125" customWidth="1"/>
    <col min="861" max="861" width="15.33203125" customWidth="1"/>
    <col min="862" max="862" width="14" customWidth="1"/>
    <col min="863" max="864" width="14.5" customWidth="1"/>
    <col min="865" max="865" width="14" customWidth="1"/>
    <col min="866" max="866" width="13.1640625" customWidth="1"/>
    <col min="867" max="867" width="14.6640625" customWidth="1"/>
    <col min="868" max="868" width="14" customWidth="1"/>
    <col min="869" max="869" width="13.5" customWidth="1"/>
    <col min="870" max="870" width="14" customWidth="1"/>
    <col min="871" max="871" width="14.83203125" customWidth="1"/>
    <col min="872" max="872" width="14.6640625" customWidth="1"/>
    <col min="873" max="873" width="13.33203125" customWidth="1"/>
    <col min="874" max="874" width="15" customWidth="1"/>
    <col min="875" max="875" width="15.83203125" customWidth="1"/>
    <col min="876" max="876" width="13.6640625" customWidth="1"/>
    <col min="877" max="877" width="14.33203125" customWidth="1"/>
    <col min="878" max="878" width="13.5" customWidth="1"/>
    <col min="879" max="879" width="14.6640625" customWidth="1"/>
    <col min="880" max="880" width="15.5" customWidth="1"/>
    <col min="881" max="881" width="13.5" customWidth="1"/>
    <col min="882" max="882" width="14.33203125" customWidth="1"/>
    <col min="883" max="883" width="13.33203125" customWidth="1"/>
    <col min="884" max="884" width="14.1640625" customWidth="1"/>
    <col min="885" max="885" width="13.5" customWidth="1"/>
    <col min="886" max="886" width="13.33203125" customWidth="1"/>
    <col min="887" max="888" width="14.33203125" customWidth="1"/>
    <col min="889" max="889" width="15.6640625" customWidth="1"/>
    <col min="890" max="890" width="13.6640625" customWidth="1"/>
    <col min="891" max="891" width="13.5" customWidth="1"/>
    <col min="892" max="892" width="14.6640625" customWidth="1"/>
    <col min="893" max="893" width="15.5" customWidth="1"/>
    <col min="894" max="894" width="13.33203125" customWidth="1"/>
    <col min="895" max="895" width="14.83203125" customWidth="1"/>
    <col min="896" max="896" width="14.1640625" customWidth="1"/>
    <col min="897" max="897" width="15.1640625" customWidth="1"/>
    <col min="898" max="898" width="13.33203125" customWidth="1"/>
    <col min="899" max="900" width="13.83203125" customWidth="1"/>
    <col min="901" max="901" width="13.1640625" customWidth="1"/>
    <col min="902" max="902" width="13.83203125" customWidth="1"/>
    <col min="903" max="903" width="15.1640625" customWidth="1"/>
    <col min="904" max="904" width="13.83203125" customWidth="1"/>
    <col min="905" max="905" width="14.1640625" customWidth="1"/>
    <col min="906" max="906" width="16.33203125" customWidth="1"/>
    <col min="907" max="907" width="13.83203125" customWidth="1"/>
    <col min="908" max="908" width="14.33203125" customWidth="1"/>
    <col min="909" max="909" width="13.6640625" customWidth="1"/>
    <col min="910" max="910" width="13.83203125" customWidth="1"/>
    <col min="911" max="912" width="13.1640625" customWidth="1"/>
    <col min="913" max="913" width="14" customWidth="1"/>
    <col min="914" max="914" width="13.5" customWidth="1"/>
    <col min="915" max="915" width="13.33203125" customWidth="1"/>
    <col min="916" max="916" width="12.6640625" customWidth="1"/>
    <col min="917" max="917" width="14.5" customWidth="1"/>
    <col min="918" max="919" width="13.6640625" customWidth="1"/>
    <col min="920" max="920" width="14.33203125" customWidth="1"/>
    <col min="921" max="921" width="14.83203125" customWidth="1"/>
    <col min="922" max="922" width="13.33203125" bestFit="1" customWidth="1"/>
    <col min="923" max="923" width="14" customWidth="1"/>
    <col min="924" max="924" width="13.33203125" customWidth="1"/>
    <col min="925" max="925" width="13.5" customWidth="1"/>
    <col min="926" max="926" width="14" customWidth="1"/>
    <col min="927" max="927" width="14.33203125" customWidth="1"/>
    <col min="928" max="928" width="13.83203125" customWidth="1"/>
    <col min="929" max="929" width="13.1640625" customWidth="1"/>
    <col min="930" max="931" width="13.6640625" customWidth="1"/>
    <col min="932" max="932" width="14.83203125" customWidth="1"/>
    <col min="933" max="933" width="13.1640625" customWidth="1"/>
    <col min="934" max="934" width="14.33203125" customWidth="1"/>
    <col min="935" max="935" width="14.83203125" customWidth="1"/>
    <col min="936" max="936" width="13.6640625" customWidth="1"/>
    <col min="937" max="937" width="15.5" customWidth="1"/>
    <col min="938" max="938" width="13.83203125" customWidth="1"/>
    <col min="939" max="939" width="15.5" customWidth="1"/>
    <col min="940" max="940" width="13.33203125" customWidth="1"/>
    <col min="941" max="941" width="14.33203125" customWidth="1"/>
    <col min="942" max="942" width="14.5" customWidth="1"/>
    <col min="943" max="943" width="13.5" customWidth="1"/>
    <col min="944" max="944" width="13.6640625" customWidth="1"/>
    <col min="945" max="945" width="14.5" customWidth="1"/>
    <col min="946" max="946" width="13.33203125" customWidth="1"/>
    <col min="947" max="947" width="15.5" customWidth="1"/>
    <col min="948" max="949" width="13.5" customWidth="1"/>
    <col min="950" max="950" width="13.33203125" customWidth="1"/>
    <col min="951" max="951" width="13.5" customWidth="1"/>
    <col min="952" max="952" width="14" customWidth="1"/>
    <col min="953" max="953" width="13.33203125" customWidth="1"/>
    <col min="954" max="954" width="13.5" customWidth="1"/>
    <col min="955" max="955" width="13.1640625" customWidth="1"/>
    <col min="956" max="956" width="15.1640625" customWidth="1"/>
    <col min="957" max="957" width="13.5" customWidth="1"/>
    <col min="958" max="958" width="13.33203125" customWidth="1"/>
    <col min="959" max="959" width="14.33203125" customWidth="1"/>
    <col min="960" max="960" width="14.1640625" customWidth="1"/>
    <col min="961" max="961" width="14.6640625" customWidth="1"/>
    <col min="962" max="962" width="13.83203125" customWidth="1"/>
    <col min="963" max="963" width="13.33203125" customWidth="1"/>
    <col min="964" max="964" width="14" customWidth="1"/>
    <col min="965" max="965" width="14.1640625" customWidth="1"/>
    <col min="966" max="966" width="14.33203125" customWidth="1"/>
    <col min="967" max="968" width="13.1640625" customWidth="1"/>
    <col min="969" max="969" width="13.83203125" customWidth="1"/>
    <col min="970" max="970" width="13.5" customWidth="1"/>
    <col min="971" max="971" width="14.6640625" customWidth="1"/>
    <col min="972" max="972" width="14" customWidth="1"/>
    <col min="973" max="973" width="14.1640625" customWidth="1"/>
    <col min="974" max="974" width="14.6640625" customWidth="1"/>
    <col min="975" max="975" width="13.33203125" customWidth="1"/>
    <col min="976" max="976" width="14.5" customWidth="1"/>
    <col min="977" max="977" width="13.5" customWidth="1"/>
    <col min="978" max="978" width="14" customWidth="1"/>
    <col min="979" max="980" width="13.83203125" customWidth="1"/>
    <col min="981" max="981" width="13.5" customWidth="1"/>
    <col min="982" max="982" width="13.6640625" customWidth="1"/>
    <col min="983" max="983" width="14.83203125" customWidth="1"/>
    <col min="984" max="984" width="13.83203125" customWidth="1"/>
    <col min="985" max="985" width="15" customWidth="1"/>
    <col min="986" max="986" width="13.1640625" customWidth="1"/>
    <col min="987" max="987" width="14.5" customWidth="1"/>
    <col min="988" max="988" width="13.83203125" customWidth="1"/>
    <col min="989" max="989" width="13.5" customWidth="1"/>
    <col min="990" max="990" width="15.1640625" customWidth="1"/>
    <col min="991" max="991" width="13.83203125" customWidth="1"/>
    <col min="992" max="992" width="13.1640625" customWidth="1"/>
    <col min="993" max="993" width="13.83203125" customWidth="1"/>
    <col min="994" max="994" width="13.5" customWidth="1"/>
    <col min="995" max="996" width="13.6640625" customWidth="1"/>
    <col min="997" max="998" width="13.5" customWidth="1"/>
    <col min="999" max="999" width="14" customWidth="1"/>
    <col min="1000" max="1000" width="13.6640625" customWidth="1"/>
    <col min="1001" max="1001" width="14.83203125" customWidth="1"/>
    <col min="1002" max="1002" width="14.5" customWidth="1"/>
    <col min="1003" max="1003" width="13.6640625" customWidth="1"/>
    <col min="1004" max="1004" width="13.5" customWidth="1"/>
    <col min="1005" max="1005" width="14.1640625" customWidth="1"/>
    <col min="1006" max="1006" width="14.6640625" customWidth="1"/>
    <col min="1007" max="1007" width="13.1640625" customWidth="1"/>
    <col min="1008" max="1008" width="13.83203125" customWidth="1"/>
    <col min="1009" max="1009" width="12.6640625" customWidth="1"/>
    <col min="1010" max="1010" width="13.5" customWidth="1"/>
    <col min="1011" max="1011" width="13.6640625" customWidth="1"/>
    <col min="1012" max="1012" width="14.33203125" customWidth="1"/>
    <col min="1013" max="1013" width="13.33203125" customWidth="1"/>
    <col min="1014" max="1014" width="13.1640625" customWidth="1"/>
    <col min="1015" max="1015" width="14.33203125" customWidth="1"/>
    <col min="1016" max="1016" width="13.1640625" customWidth="1"/>
    <col min="1017" max="1017" width="13.83203125" customWidth="1"/>
    <col min="1018" max="1018" width="13.33203125" customWidth="1"/>
    <col min="1019" max="1019" width="13.5" customWidth="1"/>
    <col min="1020" max="1020" width="14.6640625" customWidth="1"/>
    <col min="1021" max="1021" width="14.1640625" customWidth="1"/>
    <col min="1022" max="1022" width="13.6640625" customWidth="1"/>
    <col min="1023" max="1023" width="13.1640625" customWidth="1"/>
    <col min="1024" max="1024" width="14.33203125" customWidth="1"/>
    <col min="1025" max="1025" width="13.5" customWidth="1"/>
    <col min="1026" max="1026" width="13.6640625" customWidth="1"/>
    <col min="1027" max="1028" width="13.5" customWidth="1"/>
    <col min="1029" max="1029" width="14.33203125" customWidth="1"/>
    <col min="1030" max="1030" width="13.5" customWidth="1"/>
    <col min="1031" max="1031" width="14" customWidth="1"/>
    <col min="1032" max="1032" width="13.83203125" customWidth="1"/>
    <col min="1033" max="1033" width="14.33203125" customWidth="1"/>
    <col min="1034" max="1034" width="13.1640625" customWidth="1"/>
    <col min="1035" max="1035" width="13.6640625" customWidth="1"/>
    <col min="1036" max="1036" width="17.33203125" customWidth="1"/>
    <col min="1037" max="1037" width="14.83203125" customWidth="1"/>
    <col min="1038" max="1038" width="14.1640625" customWidth="1"/>
    <col min="1039" max="1039" width="13.83203125" customWidth="1"/>
    <col min="1040" max="1040" width="14.83203125" customWidth="1"/>
    <col min="1041" max="1041" width="14.5" customWidth="1"/>
    <col min="1042" max="1042" width="14.83203125" customWidth="1"/>
    <col min="1043" max="1043" width="13.83203125" customWidth="1"/>
    <col min="1044" max="1044" width="14.6640625" customWidth="1"/>
    <col min="1045" max="1045" width="15.1640625" customWidth="1"/>
    <col min="1046" max="1046" width="14.6640625" customWidth="1"/>
    <col min="1047" max="1047" width="14.5" customWidth="1"/>
    <col min="1048" max="1048" width="13.5" customWidth="1"/>
    <col min="1049" max="1049" width="14.1640625" customWidth="1"/>
    <col min="1050" max="1050" width="13" customWidth="1"/>
    <col min="1051" max="1051" width="14.83203125" customWidth="1"/>
    <col min="1052" max="1052" width="12.83203125" customWidth="1"/>
    <col min="1053" max="1053" width="13.33203125" customWidth="1"/>
    <col min="1054" max="1054" width="13.5" customWidth="1"/>
    <col min="1055" max="1055" width="12.5" customWidth="1"/>
    <col min="1056" max="1056" width="13.1640625" customWidth="1"/>
    <col min="1057" max="1057" width="13" customWidth="1"/>
    <col min="1058" max="1058" width="13.6640625" customWidth="1"/>
    <col min="1059" max="1060" width="13.1640625" customWidth="1"/>
    <col min="1061" max="1061" width="13.5" customWidth="1"/>
    <col min="1062" max="1062" width="14.5" customWidth="1"/>
    <col min="1063" max="1063" width="12.5" customWidth="1"/>
    <col min="1064" max="1066" width="13" customWidth="1"/>
    <col min="1067" max="1067" width="13.5" customWidth="1"/>
    <col min="1068" max="1069" width="12.83203125" customWidth="1"/>
    <col min="1070" max="1070" width="12.5" customWidth="1"/>
  </cols>
  <sheetData>
    <row r="3" spans="1:1072" ht="16" customHeight="1" thickBot="1" x14ac:dyDescent="0.25">
      <c r="A3" s="2" t="s">
        <v>0</v>
      </c>
      <c r="B3" s="2" t="s">
        <v>1</v>
      </c>
      <c r="C3" s="2"/>
      <c r="D3" s="3">
        <v>44204</v>
      </c>
      <c r="E3" s="3">
        <v>44965</v>
      </c>
      <c r="F3" s="3">
        <v>44993</v>
      </c>
      <c r="G3" s="3">
        <v>45024</v>
      </c>
      <c r="H3" s="3">
        <v>45054</v>
      </c>
      <c r="I3" s="3">
        <v>45085</v>
      </c>
      <c r="J3" s="3">
        <v>45115</v>
      </c>
      <c r="K3" s="3">
        <v>45146</v>
      </c>
      <c r="L3" s="3">
        <v>45177</v>
      </c>
      <c r="M3" s="3">
        <v>45207</v>
      </c>
      <c r="N3" s="3">
        <v>45238</v>
      </c>
      <c r="O3" s="3">
        <v>45268</v>
      </c>
      <c r="P3" s="3" t="s">
        <v>2</v>
      </c>
      <c r="Q3" s="3" t="s">
        <v>3</v>
      </c>
      <c r="R3" s="3" t="s">
        <v>4</v>
      </c>
      <c r="S3" s="3" t="s">
        <v>5</v>
      </c>
      <c r="T3" s="3" t="s">
        <v>6</v>
      </c>
      <c r="U3" s="3" t="s">
        <v>7</v>
      </c>
      <c r="V3" s="3" t="s">
        <v>8</v>
      </c>
      <c r="W3" s="3" t="s">
        <v>9</v>
      </c>
      <c r="X3" s="3" t="s">
        <v>10</v>
      </c>
      <c r="Y3" s="3" t="s">
        <v>11</v>
      </c>
      <c r="Z3" s="3" t="s">
        <v>12</v>
      </c>
      <c r="AA3" s="3" t="s">
        <v>13</v>
      </c>
      <c r="AB3" s="3" t="s">
        <v>14</v>
      </c>
      <c r="AC3" s="3" t="s">
        <v>15</v>
      </c>
      <c r="AD3" s="3" t="s">
        <v>16</v>
      </c>
      <c r="AE3" s="3" t="s">
        <v>17</v>
      </c>
      <c r="AF3" s="3" t="s">
        <v>18</v>
      </c>
      <c r="AG3" s="3" t="s">
        <v>19</v>
      </c>
      <c r="AH3" s="3" t="s">
        <v>20</v>
      </c>
      <c r="AI3" s="2" t="s">
        <v>21</v>
      </c>
      <c r="AJ3" s="88">
        <v>45170</v>
      </c>
      <c r="AK3" s="88">
        <f t="shared" ref="AK3:BM3" si="0">AJ3+1</f>
        <v>45171</v>
      </c>
      <c r="AL3" s="88">
        <f t="shared" si="0"/>
        <v>45172</v>
      </c>
      <c r="AM3" s="88">
        <f t="shared" si="0"/>
        <v>45173</v>
      </c>
      <c r="AN3" s="88">
        <f t="shared" si="0"/>
        <v>45174</v>
      </c>
      <c r="AO3" s="88">
        <f t="shared" si="0"/>
        <v>45175</v>
      </c>
      <c r="AP3" s="88">
        <f t="shared" si="0"/>
        <v>45176</v>
      </c>
      <c r="AQ3" s="88">
        <f t="shared" si="0"/>
        <v>45177</v>
      </c>
      <c r="AR3" s="88">
        <f t="shared" si="0"/>
        <v>45178</v>
      </c>
      <c r="AS3" s="88">
        <f t="shared" si="0"/>
        <v>45179</v>
      </c>
      <c r="AT3" s="88">
        <f t="shared" si="0"/>
        <v>45180</v>
      </c>
      <c r="AU3" s="88">
        <f t="shared" si="0"/>
        <v>45181</v>
      </c>
      <c r="AV3" s="88">
        <f t="shared" si="0"/>
        <v>45182</v>
      </c>
      <c r="AW3" s="88">
        <f t="shared" si="0"/>
        <v>45183</v>
      </c>
      <c r="AX3" s="88">
        <f t="shared" si="0"/>
        <v>45184</v>
      </c>
      <c r="AY3" s="88">
        <f t="shared" si="0"/>
        <v>45185</v>
      </c>
      <c r="AZ3" s="88">
        <f t="shared" si="0"/>
        <v>45186</v>
      </c>
      <c r="BA3" s="88">
        <f t="shared" si="0"/>
        <v>45187</v>
      </c>
      <c r="BB3" s="88">
        <f t="shared" si="0"/>
        <v>45188</v>
      </c>
      <c r="BC3" s="88">
        <f t="shared" si="0"/>
        <v>45189</v>
      </c>
      <c r="BD3" s="88">
        <f t="shared" si="0"/>
        <v>45190</v>
      </c>
      <c r="BE3" s="88">
        <f t="shared" si="0"/>
        <v>45191</v>
      </c>
      <c r="BF3" s="88">
        <f t="shared" si="0"/>
        <v>45192</v>
      </c>
      <c r="BG3" s="88">
        <f t="shared" si="0"/>
        <v>45193</v>
      </c>
      <c r="BH3" s="88">
        <f t="shared" si="0"/>
        <v>45194</v>
      </c>
      <c r="BI3" s="88">
        <f t="shared" si="0"/>
        <v>45195</v>
      </c>
      <c r="BJ3" s="88">
        <f t="shared" si="0"/>
        <v>45196</v>
      </c>
      <c r="BK3" s="88">
        <f t="shared" si="0"/>
        <v>45197</v>
      </c>
      <c r="BL3" s="88">
        <f t="shared" si="0"/>
        <v>45198</v>
      </c>
      <c r="BM3" s="88">
        <f t="shared" si="0"/>
        <v>45199</v>
      </c>
      <c r="BN3" s="88" t="s">
        <v>22</v>
      </c>
      <c r="BO3" s="88">
        <f t="shared" ref="BO3:CR3" si="1">AJ3+30</f>
        <v>45200</v>
      </c>
      <c r="BP3" s="88">
        <f t="shared" si="1"/>
        <v>45201</v>
      </c>
      <c r="BQ3" s="88">
        <f t="shared" si="1"/>
        <v>45202</v>
      </c>
      <c r="BR3" s="88">
        <f t="shared" si="1"/>
        <v>45203</v>
      </c>
      <c r="BS3" s="88">
        <f t="shared" si="1"/>
        <v>45204</v>
      </c>
      <c r="BT3" s="88">
        <f t="shared" si="1"/>
        <v>45205</v>
      </c>
      <c r="BU3" s="88">
        <f t="shared" si="1"/>
        <v>45206</v>
      </c>
      <c r="BV3" s="88">
        <f t="shared" si="1"/>
        <v>45207</v>
      </c>
      <c r="BW3" s="88">
        <f t="shared" si="1"/>
        <v>45208</v>
      </c>
      <c r="BX3" s="88">
        <f t="shared" si="1"/>
        <v>45209</v>
      </c>
      <c r="BY3" s="88">
        <f t="shared" si="1"/>
        <v>45210</v>
      </c>
      <c r="BZ3" s="88">
        <f t="shared" si="1"/>
        <v>45211</v>
      </c>
      <c r="CA3" s="88">
        <f t="shared" si="1"/>
        <v>45212</v>
      </c>
      <c r="CB3" s="88">
        <f t="shared" si="1"/>
        <v>45213</v>
      </c>
      <c r="CC3" s="88">
        <f t="shared" si="1"/>
        <v>45214</v>
      </c>
      <c r="CD3" s="88">
        <f t="shared" si="1"/>
        <v>45215</v>
      </c>
      <c r="CE3" s="88">
        <f t="shared" si="1"/>
        <v>45216</v>
      </c>
      <c r="CF3" s="88">
        <f t="shared" si="1"/>
        <v>45217</v>
      </c>
      <c r="CG3" s="88">
        <f t="shared" si="1"/>
        <v>45218</v>
      </c>
      <c r="CH3" s="88">
        <f t="shared" si="1"/>
        <v>45219</v>
      </c>
      <c r="CI3" s="88">
        <f t="shared" si="1"/>
        <v>45220</v>
      </c>
      <c r="CJ3" s="88">
        <f t="shared" si="1"/>
        <v>45221</v>
      </c>
      <c r="CK3" s="88">
        <f t="shared" si="1"/>
        <v>45222</v>
      </c>
      <c r="CL3" s="88">
        <f t="shared" si="1"/>
        <v>45223</v>
      </c>
      <c r="CM3" s="88">
        <f t="shared" si="1"/>
        <v>45224</v>
      </c>
      <c r="CN3" s="88">
        <f t="shared" si="1"/>
        <v>45225</v>
      </c>
      <c r="CO3" s="88">
        <f t="shared" si="1"/>
        <v>45226</v>
      </c>
      <c r="CP3" s="88">
        <f t="shared" si="1"/>
        <v>45227</v>
      </c>
      <c r="CQ3" s="88">
        <f t="shared" si="1"/>
        <v>45228</v>
      </c>
      <c r="CR3" s="88">
        <f t="shared" si="1"/>
        <v>45229</v>
      </c>
      <c r="CS3" s="88">
        <f>BO3+30</f>
        <v>45230</v>
      </c>
      <c r="CT3" s="88" t="s">
        <v>22</v>
      </c>
      <c r="CU3" s="88">
        <f t="shared" ref="CU3:DX3" si="2">BP3+30</f>
        <v>45231</v>
      </c>
      <c r="CV3" s="88">
        <f t="shared" si="2"/>
        <v>45232</v>
      </c>
      <c r="CW3" s="88">
        <f t="shared" si="2"/>
        <v>45233</v>
      </c>
      <c r="CX3" s="88">
        <f t="shared" si="2"/>
        <v>45234</v>
      </c>
      <c r="CY3" s="88">
        <f t="shared" si="2"/>
        <v>45235</v>
      </c>
      <c r="CZ3" s="88">
        <f t="shared" si="2"/>
        <v>45236</v>
      </c>
      <c r="DA3" s="88">
        <f t="shared" si="2"/>
        <v>45237</v>
      </c>
      <c r="DB3" s="88">
        <f t="shared" si="2"/>
        <v>45238</v>
      </c>
      <c r="DC3" s="88">
        <f t="shared" si="2"/>
        <v>45239</v>
      </c>
      <c r="DD3" s="88">
        <f t="shared" si="2"/>
        <v>45240</v>
      </c>
      <c r="DE3" s="88">
        <f t="shared" si="2"/>
        <v>45241</v>
      </c>
      <c r="DF3" s="88">
        <f t="shared" si="2"/>
        <v>45242</v>
      </c>
      <c r="DG3" s="88">
        <f t="shared" si="2"/>
        <v>45243</v>
      </c>
      <c r="DH3" s="88">
        <f t="shared" si="2"/>
        <v>45244</v>
      </c>
      <c r="DI3" s="88">
        <f t="shared" si="2"/>
        <v>45245</v>
      </c>
      <c r="DJ3" s="88">
        <f t="shared" si="2"/>
        <v>45246</v>
      </c>
      <c r="DK3" s="88">
        <f t="shared" si="2"/>
        <v>45247</v>
      </c>
      <c r="DL3" s="88">
        <f t="shared" si="2"/>
        <v>45248</v>
      </c>
      <c r="DM3" s="88">
        <f t="shared" si="2"/>
        <v>45249</v>
      </c>
      <c r="DN3" s="88">
        <f t="shared" si="2"/>
        <v>45250</v>
      </c>
      <c r="DO3" s="88">
        <f t="shared" si="2"/>
        <v>45251</v>
      </c>
      <c r="DP3" s="88">
        <f t="shared" si="2"/>
        <v>45252</v>
      </c>
      <c r="DQ3" s="88">
        <f t="shared" si="2"/>
        <v>45253</v>
      </c>
      <c r="DR3" s="88">
        <f t="shared" si="2"/>
        <v>45254</v>
      </c>
      <c r="DS3" s="88">
        <f t="shared" si="2"/>
        <v>45255</v>
      </c>
      <c r="DT3" s="88">
        <f t="shared" si="2"/>
        <v>45256</v>
      </c>
      <c r="DU3" s="88">
        <f t="shared" si="2"/>
        <v>45257</v>
      </c>
      <c r="DV3" s="88">
        <f t="shared" si="2"/>
        <v>45258</v>
      </c>
      <c r="DW3" s="88">
        <f t="shared" si="2"/>
        <v>45259</v>
      </c>
      <c r="DX3" s="88">
        <f t="shared" si="2"/>
        <v>45260</v>
      </c>
      <c r="DY3" t="s">
        <v>21</v>
      </c>
      <c r="DZ3" s="115">
        <v>45261</v>
      </c>
      <c r="EA3" s="115">
        <f t="shared" ref="EA3:FD3" si="3">DZ3+1</f>
        <v>45262</v>
      </c>
      <c r="EB3" s="115">
        <f t="shared" si="3"/>
        <v>45263</v>
      </c>
      <c r="EC3" s="115">
        <f t="shared" si="3"/>
        <v>45264</v>
      </c>
      <c r="ED3" s="115">
        <f t="shared" si="3"/>
        <v>45265</v>
      </c>
      <c r="EE3" s="115">
        <f t="shared" si="3"/>
        <v>45266</v>
      </c>
      <c r="EF3" s="115">
        <f t="shared" si="3"/>
        <v>45267</v>
      </c>
      <c r="EG3" s="115">
        <f t="shared" si="3"/>
        <v>45268</v>
      </c>
      <c r="EH3" s="115">
        <f t="shared" si="3"/>
        <v>45269</v>
      </c>
      <c r="EI3" s="115">
        <f t="shared" si="3"/>
        <v>45270</v>
      </c>
      <c r="EJ3" s="115">
        <f t="shared" si="3"/>
        <v>45271</v>
      </c>
      <c r="EK3" s="115">
        <f t="shared" si="3"/>
        <v>45272</v>
      </c>
      <c r="EL3" s="115">
        <f t="shared" si="3"/>
        <v>45273</v>
      </c>
      <c r="EM3" s="115">
        <f t="shared" si="3"/>
        <v>45274</v>
      </c>
      <c r="EN3" s="115">
        <f t="shared" si="3"/>
        <v>45275</v>
      </c>
      <c r="EO3" s="115">
        <f t="shared" si="3"/>
        <v>45276</v>
      </c>
      <c r="EP3" s="115">
        <f t="shared" si="3"/>
        <v>45277</v>
      </c>
      <c r="EQ3" s="115">
        <f t="shared" si="3"/>
        <v>45278</v>
      </c>
      <c r="ER3" s="115">
        <f t="shared" si="3"/>
        <v>45279</v>
      </c>
      <c r="ES3" s="115">
        <f t="shared" si="3"/>
        <v>45280</v>
      </c>
      <c r="ET3" s="115">
        <f t="shared" si="3"/>
        <v>45281</v>
      </c>
      <c r="EU3" s="115">
        <f t="shared" si="3"/>
        <v>45282</v>
      </c>
      <c r="EV3" s="115">
        <f t="shared" si="3"/>
        <v>45283</v>
      </c>
      <c r="EW3" s="115">
        <f t="shared" si="3"/>
        <v>45284</v>
      </c>
      <c r="EX3" s="115">
        <f t="shared" si="3"/>
        <v>45285</v>
      </c>
      <c r="EY3" s="115">
        <f t="shared" si="3"/>
        <v>45286</v>
      </c>
      <c r="EZ3" s="115">
        <f t="shared" si="3"/>
        <v>45287</v>
      </c>
      <c r="FA3" s="115">
        <f t="shared" si="3"/>
        <v>45288</v>
      </c>
      <c r="FB3" s="115">
        <f t="shared" si="3"/>
        <v>45289</v>
      </c>
      <c r="FC3" s="115">
        <f t="shared" si="3"/>
        <v>45290</v>
      </c>
      <c r="FD3" s="115">
        <f t="shared" si="3"/>
        <v>45291</v>
      </c>
      <c r="FE3" s="125" t="s">
        <v>21</v>
      </c>
      <c r="FF3" s="115">
        <f>FD3+1</f>
        <v>45292</v>
      </c>
      <c r="FG3" s="115">
        <f t="shared" ref="FG3:GJ3" si="4">FF3+1</f>
        <v>45293</v>
      </c>
      <c r="FH3" s="115">
        <f t="shared" si="4"/>
        <v>45294</v>
      </c>
      <c r="FI3" s="115">
        <f t="shared" si="4"/>
        <v>45295</v>
      </c>
      <c r="FJ3" s="115">
        <f t="shared" si="4"/>
        <v>45296</v>
      </c>
      <c r="FK3" s="115">
        <f t="shared" si="4"/>
        <v>45297</v>
      </c>
      <c r="FL3" s="115">
        <f t="shared" si="4"/>
        <v>45298</v>
      </c>
      <c r="FM3" s="115">
        <f t="shared" si="4"/>
        <v>45299</v>
      </c>
      <c r="FN3" s="115">
        <f t="shared" si="4"/>
        <v>45300</v>
      </c>
      <c r="FO3" s="115">
        <f t="shared" si="4"/>
        <v>45301</v>
      </c>
      <c r="FP3" s="115">
        <f t="shared" si="4"/>
        <v>45302</v>
      </c>
      <c r="FQ3" s="115">
        <f t="shared" si="4"/>
        <v>45303</v>
      </c>
      <c r="FR3" s="115">
        <f t="shared" si="4"/>
        <v>45304</v>
      </c>
      <c r="FS3" s="115">
        <f t="shared" si="4"/>
        <v>45305</v>
      </c>
      <c r="FT3" s="115">
        <f t="shared" si="4"/>
        <v>45306</v>
      </c>
      <c r="FU3" s="115">
        <f t="shared" si="4"/>
        <v>45307</v>
      </c>
      <c r="FV3" s="115">
        <f t="shared" si="4"/>
        <v>45308</v>
      </c>
      <c r="FW3" s="115">
        <f t="shared" si="4"/>
        <v>45309</v>
      </c>
      <c r="FX3" s="115">
        <f t="shared" si="4"/>
        <v>45310</v>
      </c>
      <c r="FY3" s="115">
        <f t="shared" si="4"/>
        <v>45311</v>
      </c>
      <c r="FZ3" s="115">
        <f t="shared" si="4"/>
        <v>45312</v>
      </c>
      <c r="GA3" s="115">
        <f t="shared" si="4"/>
        <v>45313</v>
      </c>
      <c r="GB3" s="115">
        <f t="shared" si="4"/>
        <v>45314</v>
      </c>
      <c r="GC3" s="115">
        <f t="shared" si="4"/>
        <v>45315</v>
      </c>
      <c r="GD3" s="115">
        <f t="shared" si="4"/>
        <v>45316</v>
      </c>
      <c r="GE3" s="115">
        <f t="shared" si="4"/>
        <v>45317</v>
      </c>
      <c r="GF3" s="115">
        <f t="shared" si="4"/>
        <v>45318</v>
      </c>
      <c r="GG3" s="115">
        <f t="shared" si="4"/>
        <v>45319</v>
      </c>
      <c r="GH3" s="115">
        <f t="shared" si="4"/>
        <v>45320</v>
      </c>
      <c r="GI3" s="115">
        <f t="shared" si="4"/>
        <v>45321</v>
      </c>
      <c r="GJ3" s="115">
        <f t="shared" si="4"/>
        <v>45322</v>
      </c>
      <c r="GK3" s="125" t="s">
        <v>21</v>
      </c>
      <c r="GL3" s="115">
        <f>GJ3+1</f>
        <v>45323</v>
      </c>
      <c r="GM3" s="115">
        <f t="shared" ref="GM3:HN3" si="5">GL3+1</f>
        <v>45324</v>
      </c>
      <c r="GN3" s="115">
        <f t="shared" si="5"/>
        <v>45325</v>
      </c>
      <c r="GO3" s="115">
        <f t="shared" si="5"/>
        <v>45326</v>
      </c>
      <c r="GP3" s="115">
        <f t="shared" si="5"/>
        <v>45327</v>
      </c>
      <c r="GQ3" s="115">
        <f t="shared" si="5"/>
        <v>45328</v>
      </c>
      <c r="GR3" s="115">
        <f t="shared" si="5"/>
        <v>45329</v>
      </c>
      <c r="GS3" s="115">
        <f t="shared" si="5"/>
        <v>45330</v>
      </c>
      <c r="GT3" s="115">
        <f t="shared" si="5"/>
        <v>45331</v>
      </c>
      <c r="GU3" s="115">
        <f t="shared" si="5"/>
        <v>45332</v>
      </c>
      <c r="GV3" s="115">
        <f t="shared" si="5"/>
        <v>45333</v>
      </c>
      <c r="GW3" s="115">
        <f t="shared" si="5"/>
        <v>45334</v>
      </c>
      <c r="GX3" s="115">
        <f t="shared" si="5"/>
        <v>45335</v>
      </c>
      <c r="GY3" s="115">
        <f t="shared" si="5"/>
        <v>45336</v>
      </c>
      <c r="GZ3" s="115">
        <f t="shared" si="5"/>
        <v>45337</v>
      </c>
      <c r="HA3" s="115">
        <f t="shared" si="5"/>
        <v>45338</v>
      </c>
      <c r="HB3" s="115">
        <f t="shared" si="5"/>
        <v>45339</v>
      </c>
      <c r="HC3" s="115">
        <f t="shared" si="5"/>
        <v>45340</v>
      </c>
      <c r="HD3" s="115">
        <f t="shared" si="5"/>
        <v>45341</v>
      </c>
      <c r="HE3" s="115">
        <f t="shared" si="5"/>
        <v>45342</v>
      </c>
      <c r="HF3" s="115">
        <f t="shared" si="5"/>
        <v>45343</v>
      </c>
      <c r="HG3" s="115">
        <f t="shared" si="5"/>
        <v>45344</v>
      </c>
      <c r="HH3" s="115">
        <f t="shared" si="5"/>
        <v>45345</v>
      </c>
      <c r="HI3" s="115">
        <f t="shared" si="5"/>
        <v>45346</v>
      </c>
      <c r="HJ3" s="115">
        <f t="shared" si="5"/>
        <v>45347</v>
      </c>
      <c r="HK3" s="115">
        <f t="shared" si="5"/>
        <v>45348</v>
      </c>
      <c r="HL3" s="115">
        <f t="shared" si="5"/>
        <v>45349</v>
      </c>
      <c r="HM3" s="115">
        <f t="shared" si="5"/>
        <v>45350</v>
      </c>
      <c r="HN3" s="115">
        <f t="shared" si="5"/>
        <v>45351</v>
      </c>
      <c r="HO3" s="125" t="s">
        <v>21</v>
      </c>
      <c r="HP3" s="115">
        <f>HN3+1</f>
        <v>45352</v>
      </c>
      <c r="HQ3" s="115">
        <f t="shared" ref="HQ3:IT3" si="6">HP3+1</f>
        <v>45353</v>
      </c>
      <c r="HR3" s="115">
        <f t="shared" si="6"/>
        <v>45354</v>
      </c>
      <c r="HS3" s="115">
        <f t="shared" si="6"/>
        <v>45355</v>
      </c>
      <c r="HT3" s="115">
        <f t="shared" si="6"/>
        <v>45356</v>
      </c>
      <c r="HU3" s="115">
        <f t="shared" si="6"/>
        <v>45357</v>
      </c>
      <c r="HV3" s="115">
        <f t="shared" si="6"/>
        <v>45358</v>
      </c>
      <c r="HW3" s="115">
        <f t="shared" si="6"/>
        <v>45359</v>
      </c>
      <c r="HX3" s="115">
        <f t="shared" si="6"/>
        <v>45360</v>
      </c>
      <c r="HY3" s="115">
        <f t="shared" si="6"/>
        <v>45361</v>
      </c>
      <c r="HZ3" s="115">
        <f t="shared" si="6"/>
        <v>45362</v>
      </c>
      <c r="IA3" s="115">
        <f t="shared" si="6"/>
        <v>45363</v>
      </c>
      <c r="IB3" s="115">
        <f t="shared" si="6"/>
        <v>45364</v>
      </c>
      <c r="IC3" s="115">
        <f t="shared" si="6"/>
        <v>45365</v>
      </c>
      <c r="ID3" s="115">
        <f t="shared" si="6"/>
        <v>45366</v>
      </c>
      <c r="IE3" s="115">
        <f t="shared" si="6"/>
        <v>45367</v>
      </c>
      <c r="IF3" s="115">
        <f t="shared" si="6"/>
        <v>45368</v>
      </c>
      <c r="IG3" s="115">
        <f t="shared" si="6"/>
        <v>45369</v>
      </c>
      <c r="IH3" s="115">
        <f t="shared" si="6"/>
        <v>45370</v>
      </c>
      <c r="II3" s="115">
        <f t="shared" si="6"/>
        <v>45371</v>
      </c>
      <c r="IJ3" s="115">
        <f t="shared" si="6"/>
        <v>45372</v>
      </c>
      <c r="IK3" s="115">
        <f t="shared" si="6"/>
        <v>45373</v>
      </c>
      <c r="IL3" s="115">
        <f t="shared" si="6"/>
        <v>45374</v>
      </c>
      <c r="IM3" s="115">
        <f t="shared" si="6"/>
        <v>45375</v>
      </c>
      <c r="IN3" s="115">
        <f t="shared" si="6"/>
        <v>45376</v>
      </c>
      <c r="IO3" s="115">
        <f t="shared" si="6"/>
        <v>45377</v>
      </c>
      <c r="IP3" s="115">
        <f t="shared" si="6"/>
        <v>45378</v>
      </c>
      <c r="IQ3" s="115">
        <f t="shared" si="6"/>
        <v>45379</v>
      </c>
      <c r="IR3" s="115">
        <f t="shared" si="6"/>
        <v>45380</v>
      </c>
      <c r="IS3" s="115">
        <f t="shared" si="6"/>
        <v>45381</v>
      </c>
      <c r="IT3" s="115">
        <f t="shared" si="6"/>
        <v>45382</v>
      </c>
      <c r="IU3" s="125" t="s">
        <v>21</v>
      </c>
      <c r="IV3" s="115">
        <v>45383</v>
      </c>
      <c r="IW3" s="115">
        <f t="shared" ref="IW3:JY3" si="7">IV3+1</f>
        <v>45384</v>
      </c>
      <c r="IX3" s="115">
        <f t="shared" si="7"/>
        <v>45385</v>
      </c>
      <c r="IY3" s="115">
        <f t="shared" si="7"/>
        <v>45386</v>
      </c>
      <c r="IZ3" s="115">
        <f t="shared" si="7"/>
        <v>45387</v>
      </c>
      <c r="JA3" s="115">
        <f t="shared" si="7"/>
        <v>45388</v>
      </c>
      <c r="JB3" s="115">
        <f t="shared" si="7"/>
        <v>45389</v>
      </c>
      <c r="JC3" s="115">
        <f t="shared" si="7"/>
        <v>45390</v>
      </c>
      <c r="JD3" s="115">
        <f t="shared" si="7"/>
        <v>45391</v>
      </c>
      <c r="JE3" s="115">
        <f t="shared" si="7"/>
        <v>45392</v>
      </c>
      <c r="JF3" s="115">
        <f t="shared" si="7"/>
        <v>45393</v>
      </c>
      <c r="JG3" s="115">
        <f t="shared" si="7"/>
        <v>45394</v>
      </c>
      <c r="JH3" s="115">
        <f t="shared" si="7"/>
        <v>45395</v>
      </c>
      <c r="JI3" s="115">
        <f t="shared" si="7"/>
        <v>45396</v>
      </c>
      <c r="JJ3" s="115">
        <f t="shared" si="7"/>
        <v>45397</v>
      </c>
      <c r="JK3" s="115">
        <f t="shared" si="7"/>
        <v>45398</v>
      </c>
      <c r="JL3" s="115">
        <f t="shared" si="7"/>
        <v>45399</v>
      </c>
      <c r="JM3" s="115">
        <f t="shared" si="7"/>
        <v>45400</v>
      </c>
      <c r="JN3" s="115">
        <f t="shared" si="7"/>
        <v>45401</v>
      </c>
      <c r="JO3" s="115">
        <f t="shared" si="7"/>
        <v>45402</v>
      </c>
      <c r="JP3" s="115">
        <f t="shared" si="7"/>
        <v>45403</v>
      </c>
      <c r="JQ3" s="115">
        <f t="shared" si="7"/>
        <v>45404</v>
      </c>
      <c r="JR3" s="115">
        <f t="shared" si="7"/>
        <v>45405</v>
      </c>
      <c r="JS3" s="115">
        <f t="shared" si="7"/>
        <v>45406</v>
      </c>
      <c r="JT3" s="115">
        <f t="shared" si="7"/>
        <v>45407</v>
      </c>
      <c r="JU3" s="115">
        <f t="shared" si="7"/>
        <v>45408</v>
      </c>
      <c r="JV3" s="115">
        <f t="shared" si="7"/>
        <v>45409</v>
      </c>
      <c r="JW3" s="115">
        <f t="shared" si="7"/>
        <v>45410</v>
      </c>
      <c r="JX3" s="115">
        <f t="shared" si="7"/>
        <v>45411</v>
      </c>
      <c r="JY3" s="115">
        <f t="shared" si="7"/>
        <v>45412</v>
      </c>
      <c r="JZ3" s="125" t="s">
        <v>21</v>
      </c>
      <c r="KA3" s="115">
        <f>JY3+1</f>
        <v>45413</v>
      </c>
      <c r="KB3" s="115">
        <f t="shared" ref="KB3:LE3" si="8">KA3+1</f>
        <v>45414</v>
      </c>
      <c r="KC3" s="115">
        <f t="shared" si="8"/>
        <v>45415</v>
      </c>
      <c r="KD3" s="115">
        <f t="shared" si="8"/>
        <v>45416</v>
      </c>
      <c r="KE3" s="115">
        <f t="shared" si="8"/>
        <v>45417</v>
      </c>
      <c r="KF3" s="115">
        <f t="shared" si="8"/>
        <v>45418</v>
      </c>
      <c r="KG3" s="115">
        <f t="shared" si="8"/>
        <v>45419</v>
      </c>
      <c r="KH3" s="136">
        <f t="shared" si="8"/>
        <v>45420</v>
      </c>
      <c r="KI3" s="115">
        <f t="shared" si="8"/>
        <v>45421</v>
      </c>
      <c r="KJ3" s="115">
        <f t="shared" si="8"/>
        <v>45422</v>
      </c>
      <c r="KK3" s="115">
        <f t="shared" si="8"/>
        <v>45423</v>
      </c>
      <c r="KL3" s="115">
        <f t="shared" si="8"/>
        <v>45424</v>
      </c>
      <c r="KM3" s="115">
        <f t="shared" si="8"/>
        <v>45425</v>
      </c>
      <c r="KN3" s="115">
        <f t="shared" si="8"/>
        <v>45426</v>
      </c>
      <c r="KO3" s="115">
        <f t="shared" si="8"/>
        <v>45427</v>
      </c>
      <c r="KP3" s="115">
        <f t="shared" si="8"/>
        <v>45428</v>
      </c>
      <c r="KQ3" s="115">
        <f t="shared" si="8"/>
        <v>45429</v>
      </c>
      <c r="KR3" s="115">
        <f t="shared" si="8"/>
        <v>45430</v>
      </c>
      <c r="KS3" s="115">
        <f t="shared" si="8"/>
        <v>45431</v>
      </c>
      <c r="KT3" s="115">
        <f t="shared" si="8"/>
        <v>45432</v>
      </c>
      <c r="KU3" s="115">
        <f t="shared" si="8"/>
        <v>45433</v>
      </c>
      <c r="KV3" s="115">
        <f t="shared" si="8"/>
        <v>45434</v>
      </c>
      <c r="KW3" s="115">
        <f t="shared" si="8"/>
        <v>45435</v>
      </c>
      <c r="KX3" s="115">
        <f t="shared" si="8"/>
        <v>45436</v>
      </c>
      <c r="KY3" s="115">
        <f t="shared" si="8"/>
        <v>45437</v>
      </c>
      <c r="KZ3" s="115">
        <f t="shared" si="8"/>
        <v>45438</v>
      </c>
      <c r="LA3" s="115">
        <f t="shared" si="8"/>
        <v>45439</v>
      </c>
      <c r="LB3" s="115">
        <f t="shared" si="8"/>
        <v>45440</v>
      </c>
      <c r="LC3" s="115">
        <f t="shared" si="8"/>
        <v>45441</v>
      </c>
      <c r="LD3" s="115">
        <f t="shared" si="8"/>
        <v>45442</v>
      </c>
      <c r="LE3" s="115">
        <f t="shared" si="8"/>
        <v>45443</v>
      </c>
      <c r="LF3" s="125" t="s">
        <v>21</v>
      </c>
      <c r="LG3" s="115" t="s">
        <v>23</v>
      </c>
      <c r="LH3" s="115" t="s">
        <v>24</v>
      </c>
      <c r="LI3" s="115" t="s">
        <v>25</v>
      </c>
      <c r="LJ3" s="115" t="s">
        <v>26</v>
      </c>
      <c r="LK3" s="115" t="s">
        <v>27</v>
      </c>
      <c r="LL3" s="115" t="s">
        <v>28</v>
      </c>
      <c r="LM3" s="115" t="s">
        <v>29</v>
      </c>
      <c r="LN3" s="115" t="s">
        <v>30</v>
      </c>
      <c r="LO3" s="115" t="s">
        <v>31</v>
      </c>
      <c r="LP3" s="115" t="s">
        <v>32</v>
      </c>
      <c r="LQ3" s="115" t="s">
        <v>33</v>
      </c>
      <c r="LR3" s="115" t="s">
        <v>34</v>
      </c>
      <c r="LS3" s="115" t="s">
        <v>35</v>
      </c>
      <c r="LT3" s="115" t="s">
        <v>36</v>
      </c>
      <c r="LU3" s="115" t="s">
        <v>37</v>
      </c>
      <c r="LV3" s="115" t="s">
        <v>38</v>
      </c>
      <c r="LW3" s="115" t="s">
        <v>39</v>
      </c>
      <c r="LX3" s="115" t="s">
        <v>40</v>
      </c>
      <c r="LY3" s="115" t="s">
        <v>41</v>
      </c>
      <c r="LZ3" s="115" t="s">
        <v>42</v>
      </c>
      <c r="MA3" s="115" t="s">
        <v>43</v>
      </c>
      <c r="MB3" s="115" t="s">
        <v>44</v>
      </c>
      <c r="MC3" s="115" t="s">
        <v>45</v>
      </c>
      <c r="MD3" s="115" t="s">
        <v>46</v>
      </c>
      <c r="ME3" s="115" t="s">
        <v>47</v>
      </c>
      <c r="MF3" s="115" t="s">
        <v>48</v>
      </c>
      <c r="MG3" s="115" t="s">
        <v>49</v>
      </c>
      <c r="MH3" s="115" t="s">
        <v>50</v>
      </c>
      <c r="MI3" s="115" t="s">
        <v>51</v>
      </c>
      <c r="MJ3" s="115" t="s">
        <v>52</v>
      </c>
      <c r="MK3" s="125" t="s">
        <v>21</v>
      </c>
      <c r="ML3" s="137" t="s">
        <v>53</v>
      </c>
      <c r="MM3" s="137" t="s">
        <v>54</v>
      </c>
      <c r="MN3" s="137" t="s">
        <v>55</v>
      </c>
      <c r="MO3" s="137" t="s">
        <v>56</v>
      </c>
      <c r="MP3" s="137" t="s">
        <v>57</v>
      </c>
      <c r="MQ3" s="137" t="s">
        <v>58</v>
      </c>
      <c r="MR3" s="137" t="s">
        <v>59</v>
      </c>
      <c r="MS3" s="137" t="s">
        <v>60</v>
      </c>
      <c r="MT3" s="137" t="s">
        <v>61</v>
      </c>
      <c r="MU3" s="137" t="s">
        <v>62</v>
      </c>
      <c r="MV3" s="137" t="s">
        <v>63</v>
      </c>
      <c r="MW3" s="137" t="s">
        <v>64</v>
      </c>
      <c r="MX3" s="137" t="s">
        <v>65</v>
      </c>
      <c r="MY3" s="137" t="s">
        <v>66</v>
      </c>
      <c r="MZ3" s="137" t="s">
        <v>67</v>
      </c>
      <c r="NA3" s="137" t="s">
        <v>68</v>
      </c>
      <c r="NB3" s="137" t="s">
        <v>69</v>
      </c>
      <c r="NC3" s="137" t="s">
        <v>70</v>
      </c>
      <c r="ND3" s="137" t="s">
        <v>71</v>
      </c>
      <c r="NE3" s="137" t="s">
        <v>72</v>
      </c>
      <c r="NF3" s="137" t="s">
        <v>73</v>
      </c>
      <c r="NG3" s="137" t="s">
        <v>74</v>
      </c>
      <c r="NH3" s="137" t="s">
        <v>75</v>
      </c>
      <c r="NI3" s="137" t="s">
        <v>76</v>
      </c>
      <c r="NJ3" s="137" t="s">
        <v>77</v>
      </c>
      <c r="NK3" s="137" t="s">
        <v>78</v>
      </c>
      <c r="NL3" s="137" t="s">
        <v>79</v>
      </c>
      <c r="NM3" s="137" t="s">
        <v>80</v>
      </c>
      <c r="NN3" s="137" t="s">
        <v>81</v>
      </c>
      <c r="NO3" s="137" t="s">
        <v>82</v>
      </c>
      <c r="NP3" s="137" t="s">
        <v>83</v>
      </c>
      <c r="NQ3" s="125" t="s">
        <v>21</v>
      </c>
      <c r="NR3" s="137" t="s">
        <v>84</v>
      </c>
      <c r="NS3" s="137" t="s">
        <v>85</v>
      </c>
      <c r="NT3" s="137" t="s">
        <v>86</v>
      </c>
      <c r="NU3" s="137" t="s">
        <v>87</v>
      </c>
      <c r="NV3" s="137" t="s">
        <v>88</v>
      </c>
      <c r="NW3" s="137" t="s">
        <v>89</v>
      </c>
      <c r="NX3" s="137" t="s">
        <v>90</v>
      </c>
      <c r="NY3" s="137" t="s">
        <v>91</v>
      </c>
      <c r="NZ3" s="137" t="s">
        <v>92</v>
      </c>
      <c r="OA3" s="137" t="s">
        <v>93</v>
      </c>
      <c r="OB3" s="137" t="s">
        <v>94</v>
      </c>
      <c r="OC3" s="137" t="s">
        <v>95</v>
      </c>
      <c r="OD3" s="137" t="s">
        <v>96</v>
      </c>
      <c r="OE3" s="137" t="s">
        <v>97</v>
      </c>
      <c r="OF3" s="137" t="s">
        <v>98</v>
      </c>
      <c r="OG3" s="137" t="s">
        <v>99</v>
      </c>
      <c r="OH3" s="137" t="s">
        <v>100</v>
      </c>
      <c r="OI3" s="137" t="s">
        <v>101</v>
      </c>
      <c r="OJ3" s="137" t="s">
        <v>102</v>
      </c>
      <c r="OK3" s="137" t="s">
        <v>103</v>
      </c>
      <c r="OL3" s="137" t="s">
        <v>104</v>
      </c>
      <c r="OM3" s="137" t="s">
        <v>105</v>
      </c>
      <c r="ON3" s="137" t="s">
        <v>106</v>
      </c>
      <c r="OO3" s="137" t="s">
        <v>107</v>
      </c>
      <c r="OP3" s="137" t="s">
        <v>108</v>
      </c>
      <c r="OQ3" s="137" t="s">
        <v>109</v>
      </c>
      <c r="OR3" s="137" t="s">
        <v>110</v>
      </c>
      <c r="OS3" s="137" t="s">
        <v>111</v>
      </c>
      <c r="OT3" s="137" t="s">
        <v>112</v>
      </c>
      <c r="OU3" s="137" t="s">
        <v>113</v>
      </c>
      <c r="OV3" s="137" t="s">
        <v>114</v>
      </c>
      <c r="OW3" s="125" t="s">
        <v>21</v>
      </c>
      <c r="OX3" s="137" t="s">
        <v>115</v>
      </c>
      <c r="OY3" s="137" t="s">
        <v>116</v>
      </c>
      <c r="OZ3" s="137" t="s">
        <v>117</v>
      </c>
      <c r="PA3" s="137" t="s">
        <v>118</v>
      </c>
      <c r="PB3" s="137" t="s">
        <v>119</v>
      </c>
      <c r="PC3" s="137" t="s">
        <v>120</v>
      </c>
      <c r="PD3" s="137" t="s">
        <v>121</v>
      </c>
      <c r="PE3" s="137" t="s">
        <v>122</v>
      </c>
      <c r="PF3" s="137" t="s">
        <v>123</v>
      </c>
      <c r="PG3" s="137" t="s">
        <v>124</v>
      </c>
      <c r="PH3" s="137" t="s">
        <v>125</v>
      </c>
      <c r="PI3" s="137" t="s">
        <v>126</v>
      </c>
      <c r="PJ3" s="137" t="s">
        <v>127</v>
      </c>
      <c r="PK3" s="137" t="s">
        <v>128</v>
      </c>
      <c r="PL3" s="137" t="s">
        <v>129</v>
      </c>
      <c r="PM3" s="137" t="s">
        <v>130</v>
      </c>
      <c r="PN3" s="137" t="s">
        <v>131</v>
      </c>
      <c r="PO3" s="137" t="s">
        <v>132</v>
      </c>
      <c r="PP3" s="137" t="s">
        <v>133</v>
      </c>
      <c r="PQ3" s="137" t="s">
        <v>134</v>
      </c>
      <c r="PR3" s="137" t="s">
        <v>135</v>
      </c>
      <c r="PS3" s="137" t="s">
        <v>136</v>
      </c>
      <c r="PT3" s="137" t="s">
        <v>137</v>
      </c>
      <c r="PU3" s="137" t="s">
        <v>138</v>
      </c>
      <c r="PV3" s="137" t="s">
        <v>139</v>
      </c>
      <c r="PW3" s="137" t="s">
        <v>140</v>
      </c>
      <c r="PX3" s="137" t="s">
        <v>141</v>
      </c>
      <c r="PY3" s="137" t="s">
        <v>142</v>
      </c>
      <c r="PZ3" s="137" t="s">
        <v>143</v>
      </c>
      <c r="QA3" s="137" t="s">
        <v>144</v>
      </c>
      <c r="QB3" s="125" t="s">
        <v>21</v>
      </c>
      <c r="QC3" s="137" t="s">
        <v>145</v>
      </c>
      <c r="QD3" s="137" t="s">
        <v>146</v>
      </c>
      <c r="QE3" s="137" t="s">
        <v>147</v>
      </c>
      <c r="QF3" s="137" t="s">
        <v>148</v>
      </c>
      <c r="QG3" s="137" t="s">
        <v>149</v>
      </c>
      <c r="QH3" s="137" t="s">
        <v>150</v>
      </c>
      <c r="QI3" s="137" t="s">
        <v>151</v>
      </c>
      <c r="QJ3" s="137" t="s">
        <v>152</v>
      </c>
      <c r="QK3" s="137" t="s">
        <v>153</v>
      </c>
      <c r="QL3" s="137" t="s">
        <v>154</v>
      </c>
      <c r="QM3" s="137" t="s">
        <v>155</v>
      </c>
      <c r="QN3" s="137" t="s">
        <v>156</v>
      </c>
      <c r="QO3" s="137" t="s">
        <v>157</v>
      </c>
      <c r="QP3" s="137" t="s">
        <v>158</v>
      </c>
      <c r="QQ3" s="137" t="s">
        <v>159</v>
      </c>
      <c r="QR3" s="137" t="s">
        <v>160</v>
      </c>
      <c r="QS3" s="137" t="s">
        <v>161</v>
      </c>
      <c r="QT3" s="137" t="s">
        <v>162</v>
      </c>
      <c r="QU3" s="137" t="s">
        <v>163</v>
      </c>
      <c r="QV3" s="137" t="s">
        <v>164</v>
      </c>
      <c r="QW3" s="137" t="s">
        <v>165</v>
      </c>
      <c r="QX3" s="137" t="s">
        <v>166</v>
      </c>
      <c r="QY3" s="137" t="s">
        <v>167</v>
      </c>
      <c r="QZ3" s="137" t="s">
        <v>168</v>
      </c>
      <c r="RA3" s="137" t="s">
        <v>169</v>
      </c>
      <c r="RB3" s="137" t="s">
        <v>170</v>
      </c>
      <c r="RC3" s="137" t="s">
        <v>171</v>
      </c>
      <c r="RD3" s="137" t="s">
        <v>172</v>
      </c>
      <c r="RE3" s="137" t="s">
        <v>173</v>
      </c>
      <c r="RF3" s="137" t="s">
        <v>174</v>
      </c>
      <c r="RG3" s="137" t="s">
        <v>175</v>
      </c>
      <c r="RH3" s="125" t="s">
        <v>21</v>
      </c>
      <c r="RI3" s="137" t="s">
        <v>176</v>
      </c>
      <c r="RJ3" s="137" t="s">
        <v>177</v>
      </c>
      <c r="RK3" s="137" t="s">
        <v>178</v>
      </c>
      <c r="RL3" s="137" t="s">
        <v>179</v>
      </c>
      <c r="RM3" s="137" t="s">
        <v>180</v>
      </c>
      <c r="RN3" s="137" t="s">
        <v>181</v>
      </c>
      <c r="RO3" s="137" t="s">
        <v>182</v>
      </c>
      <c r="RP3" s="137" t="s">
        <v>183</v>
      </c>
      <c r="RQ3" s="137" t="s">
        <v>184</v>
      </c>
      <c r="RR3" s="137" t="s">
        <v>185</v>
      </c>
      <c r="RS3" s="137" t="s">
        <v>186</v>
      </c>
      <c r="RT3" s="137" t="s">
        <v>187</v>
      </c>
      <c r="RU3" s="137" t="s">
        <v>188</v>
      </c>
      <c r="RV3" s="137" t="s">
        <v>189</v>
      </c>
      <c r="RW3" s="137" t="s">
        <v>190</v>
      </c>
      <c r="RX3" s="137" t="s">
        <v>191</v>
      </c>
      <c r="RY3" s="137" t="s">
        <v>192</v>
      </c>
      <c r="RZ3" s="137" t="s">
        <v>193</v>
      </c>
      <c r="SA3" s="137" t="s">
        <v>194</v>
      </c>
      <c r="SB3" s="137" t="s">
        <v>195</v>
      </c>
      <c r="SC3" s="137" t="s">
        <v>196</v>
      </c>
      <c r="SD3" s="137" t="s">
        <v>197</v>
      </c>
      <c r="SE3" s="137" t="s">
        <v>198</v>
      </c>
      <c r="SF3" s="137" t="s">
        <v>199</v>
      </c>
      <c r="SG3" s="137" t="s">
        <v>200</v>
      </c>
      <c r="SH3" s="137" t="s">
        <v>201</v>
      </c>
      <c r="SI3" s="137" t="s">
        <v>202</v>
      </c>
      <c r="SJ3" s="137" t="s">
        <v>203</v>
      </c>
      <c r="SK3" s="137" t="s">
        <v>204</v>
      </c>
      <c r="SL3" s="137" t="s">
        <v>205</v>
      </c>
      <c r="SM3" s="125" t="s">
        <v>21</v>
      </c>
      <c r="SN3" s="137" t="s">
        <v>206</v>
      </c>
      <c r="SO3" s="137" t="s">
        <v>207</v>
      </c>
      <c r="SP3" s="137" t="s">
        <v>208</v>
      </c>
      <c r="SQ3" s="137" t="s">
        <v>209</v>
      </c>
      <c r="SR3" s="137" t="s">
        <v>210</v>
      </c>
      <c r="SS3" s="137" t="s">
        <v>211</v>
      </c>
      <c r="ST3" s="137" t="s">
        <v>212</v>
      </c>
      <c r="SU3" s="137" t="s">
        <v>213</v>
      </c>
      <c r="SV3" s="137" t="s">
        <v>214</v>
      </c>
      <c r="SW3" s="137" t="s">
        <v>215</v>
      </c>
      <c r="SX3" s="137" t="s">
        <v>216</v>
      </c>
      <c r="SY3" s="137" t="s">
        <v>217</v>
      </c>
      <c r="SZ3" s="137" t="s">
        <v>218</v>
      </c>
      <c r="TA3" s="137" t="s">
        <v>219</v>
      </c>
      <c r="TB3" s="137" t="s">
        <v>220</v>
      </c>
      <c r="TC3" s="137" t="s">
        <v>221</v>
      </c>
      <c r="TD3" s="137" t="s">
        <v>222</v>
      </c>
      <c r="TE3" s="137" t="s">
        <v>223</v>
      </c>
      <c r="TF3" s="137" t="s">
        <v>224</v>
      </c>
      <c r="TG3" s="137" t="s">
        <v>225</v>
      </c>
      <c r="TH3" s="137" t="s">
        <v>226</v>
      </c>
      <c r="TI3" s="137" t="s">
        <v>227</v>
      </c>
      <c r="TJ3" s="137" t="s">
        <v>228</v>
      </c>
      <c r="TK3" s="137" t="s">
        <v>229</v>
      </c>
      <c r="TL3" s="137" t="s">
        <v>230</v>
      </c>
      <c r="TM3" s="137" t="s">
        <v>231</v>
      </c>
      <c r="TN3" s="137" t="s">
        <v>232</v>
      </c>
      <c r="TO3" s="137" t="s">
        <v>233</v>
      </c>
      <c r="TP3" s="137" t="s">
        <v>234</v>
      </c>
      <c r="TQ3" s="137" t="s">
        <v>235</v>
      </c>
      <c r="TR3" s="137" t="s">
        <v>236</v>
      </c>
      <c r="TS3" s="125" t="s">
        <v>21</v>
      </c>
      <c r="TT3" s="137" t="s">
        <v>237</v>
      </c>
      <c r="TU3" s="137" t="s">
        <v>238</v>
      </c>
      <c r="TV3" s="137" t="s">
        <v>239</v>
      </c>
      <c r="TW3" s="137" t="s">
        <v>240</v>
      </c>
      <c r="TX3" s="137" t="s">
        <v>241</v>
      </c>
      <c r="TY3" s="137" t="s">
        <v>242</v>
      </c>
      <c r="TZ3" s="137" t="s">
        <v>243</v>
      </c>
      <c r="UA3" s="137" t="s">
        <v>244</v>
      </c>
      <c r="UB3" s="137" t="s">
        <v>245</v>
      </c>
      <c r="UC3" s="137" t="s">
        <v>246</v>
      </c>
      <c r="UD3" s="137" t="s">
        <v>247</v>
      </c>
      <c r="UE3" s="137" t="s">
        <v>248</v>
      </c>
      <c r="UF3" s="137" t="s">
        <v>249</v>
      </c>
      <c r="UG3" s="137" t="s">
        <v>250</v>
      </c>
      <c r="UH3" s="137" t="s">
        <v>251</v>
      </c>
      <c r="UI3" s="137" t="s">
        <v>252</v>
      </c>
      <c r="UJ3" s="137" t="s">
        <v>253</v>
      </c>
      <c r="UK3" s="137" t="s">
        <v>254</v>
      </c>
      <c r="UL3" s="137" t="s">
        <v>255</v>
      </c>
      <c r="UM3" s="137" t="s">
        <v>256</v>
      </c>
      <c r="UN3" s="137" t="s">
        <v>257</v>
      </c>
      <c r="UO3" s="137" t="s">
        <v>258</v>
      </c>
      <c r="UP3" s="137" t="s">
        <v>259</v>
      </c>
      <c r="UQ3" s="137" t="s">
        <v>260</v>
      </c>
      <c r="UR3" s="137" t="s">
        <v>261</v>
      </c>
      <c r="US3" s="137" t="s">
        <v>262</v>
      </c>
      <c r="UT3" s="137" t="s">
        <v>263</v>
      </c>
      <c r="UU3" s="137" t="s">
        <v>264</v>
      </c>
      <c r="UV3" s="137" t="s">
        <v>265</v>
      </c>
      <c r="UW3" s="137" t="s">
        <v>266</v>
      </c>
      <c r="UX3" s="137" t="s">
        <v>267</v>
      </c>
      <c r="UY3" s="125" t="s">
        <v>21</v>
      </c>
      <c r="UZ3" s="137" t="s">
        <v>268</v>
      </c>
      <c r="VA3" s="137" t="s">
        <v>269</v>
      </c>
      <c r="VB3" s="137" t="s">
        <v>270</v>
      </c>
      <c r="VC3" s="137" t="s">
        <v>271</v>
      </c>
      <c r="VD3" s="137" t="s">
        <v>272</v>
      </c>
      <c r="VE3" s="137" t="s">
        <v>273</v>
      </c>
      <c r="VF3" s="137" t="s">
        <v>274</v>
      </c>
      <c r="VG3" s="137" t="s">
        <v>275</v>
      </c>
      <c r="VH3" s="137" t="s">
        <v>276</v>
      </c>
      <c r="VI3" s="137" t="s">
        <v>277</v>
      </c>
      <c r="VJ3" s="137" t="s">
        <v>278</v>
      </c>
      <c r="VK3" s="137" t="s">
        <v>279</v>
      </c>
      <c r="VL3" s="137" t="s">
        <v>280</v>
      </c>
      <c r="VM3" s="137" t="s">
        <v>281</v>
      </c>
      <c r="VN3" s="137" t="s">
        <v>282</v>
      </c>
      <c r="VO3" s="137" t="s">
        <v>283</v>
      </c>
      <c r="VP3" s="137" t="s">
        <v>284</v>
      </c>
      <c r="VQ3" s="137" t="s">
        <v>285</v>
      </c>
      <c r="VR3" s="137" t="s">
        <v>286</v>
      </c>
      <c r="VS3" s="137" t="s">
        <v>287</v>
      </c>
      <c r="VT3" s="137" t="s">
        <v>288</v>
      </c>
      <c r="VU3" s="137" t="s">
        <v>289</v>
      </c>
      <c r="VV3" s="137" t="s">
        <v>290</v>
      </c>
      <c r="VW3" s="137" t="s">
        <v>291</v>
      </c>
      <c r="VX3" s="137" t="s">
        <v>292</v>
      </c>
      <c r="VY3" s="137" t="s">
        <v>293</v>
      </c>
      <c r="VZ3" s="137" t="s">
        <v>294</v>
      </c>
      <c r="WA3" s="137" t="s">
        <v>295</v>
      </c>
      <c r="WB3" s="125" t="s">
        <v>21</v>
      </c>
      <c r="WC3" s="137" t="s">
        <v>296</v>
      </c>
      <c r="WD3" s="137" t="s">
        <v>297</v>
      </c>
      <c r="WE3" s="137" t="s">
        <v>298</v>
      </c>
      <c r="WF3" s="137" t="s">
        <v>299</v>
      </c>
      <c r="WG3" s="137" t="s">
        <v>300</v>
      </c>
      <c r="WH3" s="137" t="s">
        <v>301</v>
      </c>
      <c r="WI3" s="137" t="s">
        <v>302</v>
      </c>
      <c r="WJ3" s="137" t="s">
        <v>303</v>
      </c>
      <c r="WK3" s="137" t="s">
        <v>304</v>
      </c>
      <c r="WL3" s="137" t="s">
        <v>305</v>
      </c>
      <c r="WM3" s="137" t="s">
        <v>306</v>
      </c>
      <c r="WN3" s="137" t="s">
        <v>307</v>
      </c>
      <c r="WO3" s="137" t="s">
        <v>308</v>
      </c>
      <c r="WP3" s="137" t="s">
        <v>309</v>
      </c>
      <c r="WQ3" s="137" t="s">
        <v>310</v>
      </c>
      <c r="WR3" s="137" t="s">
        <v>311</v>
      </c>
      <c r="WS3" s="137" t="s">
        <v>312</v>
      </c>
      <c r="WT3" s="137" t="s">
        <v>313</v>
      </c>
      <c r="WU3" s="137" t="s">
        <v>314</v>
      </c>
      <c r="WV3" s="137" t="s">
        <v>315</v>
      </c>
      <c r="WW3" s="137" t="s">
        <v>316</v>
      </c>
      <c r="WX3" s="137" t="s">
        <v>317</v>
      </c>
      <c r="WY3" s="137" t="s">
        <v>318</v>
      </c>
      <c r="WZ3" s="137" t="s">
        <v>319</v>
      </c>
      <c r="XA3" s="137" t="s">
        <v>320</v>
      </c>
      <c r="XB3" s="137" t="s">
        <v>321</v>
      </c>
      <c r="XC3" s="137" t="s">
        <v>322</v>
      </c>
      <c r="XD3" s="137" t="s">
        <v>323</v>
      </c>
      <c r="XE3" s="137" t="s">
        <v>324</v>
      </c>
      <c r="XF3" s="137" t="s">
        <v>325</v>
      </c>
      <c r="XG3" s="137" t="s">
        <v>326</v>
      </c>
      <c r="XH3" s="125" t="s">
        <v>21</v>
      </c>
      <c r="XI3" s="137" t="s">
        <v>327</v>
      </c>
      <c r="XJ3" s="137" t="s">
        <v>328</v>
      </c>
      <c r="XK3" s="137" t="s">
        <v>329</v>
      </c>
      <c r="XL3" s="137" t="s">
        <v>330</v>
      </c>
      <c r="XM3" s="137" t="s">
        <v>331</v>
      </c>
      <c r="XN3" s="137" t="s">
        <v>332</v>
      </c>
      <c r="XO3" s="137" t="s">
        <v>333</v>
      </c>
      <c r="XP3" s="137" t="s">
        <v>334</v>
      </c>
      <c r="XQ3" s="137" t="s">
        <v>335</v>
      </c>
      <c r="XR3" s="137" t="s">
        <v>336</v>
      </c>
      <c r="XS3" s="137" t="s">
        <v>337</v>
      </c>
      <c r="XT3" s="137" t="s">
        <v>338</v>
      </c>
      <c r="XU3" s="137" t="s">
        <v>339</v>
      </c>
      <c r="XV3" s="137" t="s">
        <v>340</v>
      </c>
      <c r="XW3" s="137" t="s">
        <v>341</v>
      </c>
      <c r="XX3" s="137" t="s">
        <v>342</v>
      </c>
      <c r="XY3" s="137" t="s">
        <v>343</v>
      </c>
      <c r="XZ3" s="137" t="s">
        <v>344</v>
      </c>
      <c r="YA3" s="137" t="s">
        <v>345</v>
      </c>
      <c r="YB3" s="137" t="s">
        <v>346</v>
      </c>
      <c r="YC3" s="137" t="s">
        <v>347</v>
      </c>
      <c r="YD3" s="137" t="s">
        <v>348</v>
      </c>
      <c r="YE3" s="137" t="s">
        <v>349</v>
      </c>
      <c r="YF3" s="137" t="s">
        <v>350</v>
      </c>
      <c r="YG3" s="137" t="s">
        <v>351</v>
      </c>
      <c r="YH3" s="137" t="s">
        <v>352</v>
      </c>
      <c r="YI3" s="137" t="s">
        <v>353</v>
      </c>
      <c r="YJ3" s="137" t="s">
        <v>354</v>
      </c>
      <c r="YK3" s="137" t="s">
        <v>355</v>
      </c>
      <c r="YL3" s="137" t="s">
        <v>356</v>
      </c>
      <c r="YM3" s="125" t="s">
        <v>21</v>
      </c>
      <c r="YN3" s="137" t="s">
        <v>357</v>
      </c>
      <c r="YO3" s="137" t="s">
        <v>358</v>
      </c>
      <c r="YP3" s="137" t="s">
        <v>359</v>
      </c>
      <c r="YQ3" s="137" t="s">
        <v>360</v>
      </c>
      <c r="YR3" s="137" t="s">
        <v>361</v>
      </c>
      <c r="YS3" s="137" t="s">
        <v>362</v>
      </c>
      <c r="YT3" s="137" t="s">
        <v>363</v>
      </c>
      <c r="YU3" s="137" t="s">
        <v>364</v>
      </c>
      <c r="YV3" s="137" t="s">
        <v>365</v>
      </c>
      <c r="YW3" s="137" t="s">
        <v>366</v>
      </c>
      <c r="YX3" s="137" t="s">
        <v>367</v>
      </c>
      <c r="YY3" s="137" t="s">
        <v>368</v>
      </c>
      <c r="YZ3" s="137" t="s">
        <v>369</v>
      </c>
      <c r="ZA3" s="137" t="s">
        <v>370</v>
      </c>
      <c r="ZB3" s="137" t="s">
        <v>371</v>
      </c>
      <c r="ZC3" s="137" t="s">
        <v>372</v>
      </c>
      <c r="ZD3" s="137" t="s">
        <v>373</v>
      </c>
      <c r="ZE3" s="137" t="s">
        <v>374</v>
      </c>
      <c r="ZF3" s="137" t="s">
        <v>375</v>
      </c>
      <c r="ZG3" s="137" t="s">
        <v>376</v>
      </c>
      <c r="ZH3" s="137" t="s">
        <v>377</v>
      </c>
      <c r="ZI3" s="137" t="s">
        <v>378</v>
      </c>
      <c r="ZJ3" s="137" t="s">
        <v>379</v>
      </c>
      <c r="ZK3" s="137" t="s">
        <v>380</v>
      </c>
      <c r="ZL3" s="137" t="s">
        <v>381</v>
      </c>
      <c r="ZM3" s="137" t="s">
        <v>382</v>
      </c>
      <c r="ZN3" s="137" t="s">
        <v>383</v>
      </c>
      <c r="ZO3" s="137" t="s">
        <v>384</v>
      </c>
      <c r="ZP3" s="137" t="s">
        <v>385</v>
      </c>
      <c r="ZQ3" s="137" t="s">
        <v>386</v>
      </c>
      <c r="ZR3" s="137" t="s">
        <v>387</v>
      </c>
      <c r="ZS3" s="125" t="s">
        <v>21</v>
      </c>
      <c r="ZT3" s="137" t="s">
        <v>388</v>
      </c>
      <c r="ZU3" s="137" t="s">
        <v>389</v>
      </c>
      <c r="ZV3" s="137" t="s">
        <v>390</v>
      </c>
      <c r="ZW3" s="137" t="s">
        <v>391</v>
      </c>
      <c r="ZX3" s="137" t="s">
        <v>392</v>
      </c>
      <c r="ZY3" s="137" t="s">
        <v>393</v>
      </c>
      <c r="ZZ3" s="137" t="s">
        <v>394</v>
      </c>
      <c r="AAA3" s="137" t="s">
        <v>395</v>
      </c>
      <c r="AAB3" s="137" t="s">
        <v>396</v>
      </c>
      <c r="AAC3" s="137" t="s">
        <v>397</v>
      </c>
      <c r="AAD3" s="137" t="s">
        <v>398</v>
      </c>
      <c r="AAE3" s="137" t="s">
        <v>399</v>
      </c>
      <c r="AAF3" s="137" t="s">
        <v>400</v>
      </c>
      <c r="AAG3" s="137" t="s">
        <v>401</v>
      </c>
      <c r="AAH3" s="137" t="s">
        <v>402</v>
      </c>
      <c r="AAI3" s="137" t="s">
        <v>403</v>
      </c>
      <c r="AAJ3" s="137" t="s">
        <v>404</v>
      </c>
      <c r="AAK3" s="137" t="s">
        <v>405</v>
      </c>
      <c r="AAL3" s="137" t="s">
        <v>406</v>
      </c>
      <c r="AAM3" s="137" t="s">
        <v>407</v>
      </c>
      <c r="AAN3" s="137" t="s">
        <v>408</v>
      </c>
      <c r="AAO3" s="137" t="s">
        <v>409</v>
      </c>
      <c r="AAP3" s="137" t="s">
        <v>410</v>
      </c>
      <c r="AAQ3" s="137" t="s">
        <v>411</v>
      </c>
      <c r="AAR3" s="137" t="s">
        <v>412</v>
      </c>
      <c r="AAS3" s="137" t="s">
        <v>413</v>
      </c>
      <c r="AAT3" s="137" t="s">
        <v>414</v>
      </c>
      <c r="AAU3" s="137" t="s">
        <v>415</v>
      </c>
      <c r="AAV3" s="137" t="s">
        <v>416</v>
      </c>
      <c r="AAW3" s="137" t="s">
        <v>417</v>
      </c>
      <c r="AAX3" s="125" t="s">
        <v>21</v>
      </c>
      <c r="AAY3" s="137" t="s">
        <v>418</v>
      </c>
      <c r="AAZ3" s="137" t="s">
        <v>419</v>
      </c>
      <c r="ABA3" s="137" t="s">
        <v>420</v>
      </c>
      <c r="ABB3" s="137" t="s">
        <v>421</v>
      </c>
      <c r="ABC3" s="137" t="s">
        <v>422</v>
      </c>
      <c r="ABD3" s="137" t="s">
        <v>423</v>
      </c>
      <c r="ABE3" s="137" t="s">
        <v>424</v>
      </c>
      <c r="ABF3" s="137" t="s">
        <v>425</v>
      </c>
      <c r="ABG3" s="137" t="s">
        <v>426</v>
      </c>
      <c r="ABH3" s="137" t="s">
        <v>427</v>
      </c>
      <c r="ABI3" s="137" t="s">
        <v>428</v>
      </c>
      <c r="ABJ3" s="137" t="s">
        <v>429</v>
      </c>
      <c r="ABK3" s="137" t="s">
        <v>430</v>
      </c>
      <c r="ABL3" s="137" t="s">
        <v>431</v>
      </c>
      <c r="ABM3" s="137" t="s">
        <v>432</v>
      </c>
      <c r="ABN3" s="137" t="s">
        <v>433</v>
      </c>
      <c r="ABO3" s="137" t="s">
        <v>434</v>
      </c>
      <c r="ABP3" s="137" t="s">
        <v>435</v>
      </c>
      <c r="ABQ3" s="137" t="s">
        <v>436</v>
      </c>
      <c r="ABR3" s="137" t="s">
        <v>437</v>
      </c>
      <c r="ABS3" s="137" t="s">
        <v>438</v>
      </c>
      <c r="ABT3" s="137" t="s">
        <v>439</v>
      </c>
      <c r="ABU3" s="137" t="s">
        <v>440</v>
      </c>
      <c r="ABV3" s="137" t="s">
        <v>441</v>
      </c>
      <c r="ABW3" s="137" t="s">
        <v>442</v>
      </c>
      <c r="ABX3" s="137" t="s">
        <v>443</v>
      </c>
      <c r="ABY3" s="137" t="s">
        <v>444</v>
      </c>
      <c r="ABZ3" s="137" t="s">
        <v>445</v>
      </c>
      <c r="ACA3" s="137" t="s">
        <v>446</v>
      </c>
      <c r="ACB3" s="137" t="s">
        <v>447</v>
      </c>
      <c r="ACC3" s="137" t="s">
        <v>448</v>
      </c>
      <c r="ACD3" s="125" t="s">
        <v>21</v>
      </c>
      <c r="ACE3" s="137" t="s">
        <v>449</v>
      </c>
      <c r="ACF3" s="137" t="s">
        <v>450</v>
      </c>
      <c r="ACG3" s="137" t="s">
        <v>451</v>
      </c>
      <c r="ACH3" s="137" t="s">
        <v>452</v>
      </c>
      <c r="ACI3" s="137" t="s">
        <v>453</v>
      </c>
      <c r="ACJ3" s="137" t="s">
        <v>454</v>
      </c>
      <c r="ACK3" s="137" t="s">
        <v>455</v>
      </c>
      <c r="ACL3" s="137" t="s">
        <v>456</v>
      </c>
      <c r="ACM3" s="137" t="s">
        <v>457</v>
      </c>
      <c r="ACN3" s="137" t="s">
        <v>458</v>
      </c>
      <c r="ACO3" s="137" t="s">
        <v>459</v>
      </c>
      <c r="ACP3" s="137" t="s">
        <v>460</v>
      </c>
      <c r="ACQ3" s="137" t="s">
        <v>461</v>
      </c>
      <c r="ACR3" s="137" t="s">
        <v>462</v>
      </c>
      <c r="ACS3" s="137" t="s">
        <v>463</v>
      </c>
      <c r="ACT3" s="137" t="s">
        <v>464</v>
      </c>
      <c r="ACU3" s="137" t="s">
        <v>465</v>
      </c>
      <c r="ACV3" s="137" t="s">
        <v>466</v>
      </c>
      <c r="ACW3" s="137" t="s">
        <v>467</v>
      </c>
      <c r="ACX3" s="137" t="s">
        <v>468</v>
      </c>
      <c r="ACY3" s="137" t="s">
        <v>469</v>
      </c>
      <c r="ACZ3" s="137" t="s">
        <v>470</v>
      </c>
      <c r="ADA3" s="137" t="s">
        <v>471</v>
      </c>
      <c r="ADB3" s="137" t="s">
        <v>472</v>
      </c>
      <c r="ADC3" s="137" t="s">
        <v>473</v>
      </c>
      <c r="ADD3" s="137" t="s">
        <v>474</v>
      </c>
      <c r="ADE3" s="137" t="s">
        <v>475</v>
      </c>
      <c r="ADF3" s="137" t="s">
        <v>476</v>
      </c>
      <c r="ADG3" s="137" t="s">
        <v>477</v>
      </c>
      <c r="ADH3" s="137" t="s">
        <v>478</v>
      </c>
      <c r="ADI3" s="137" t="s">
        <v>479</v>
      </c>
      <c r="ADJ3" s="125" t="s">
        <v>21</v>
      </c>
      <c r="ADK3" s="137" t="s">
        <v>480</v>
      </c>
      <c r="ADL3" s="137" t="s">
        <v>481</v>
      </c>
      <c r="ADM3" s="137" t="s">
        <v>482</v>
      </c>
      <c r="ADN3" s="137" t="s">
        <v>483</v>
      </c>
      <c r="ADO3" s="137" t="s">
        <v>484</v>
      </c>
      <c r="ADP3" s="137" t="s">
        <v>485</v>
      </c>
      <c r="ADQ3" s="137" t="s">
        <v>486</v>
      </c>
      <c r="ADR3" s="137" t="s">
        <v>487</v>
      </c>
      <c r="ADS3" s="137" t="s">
        <v>488</v>
      </c>
      <c r="ADT3" s="137" t="s">
        <v>489</v>
      </c>
      <c r="ADU3" s="137" t="s">
        <v>490</v>
      </c>
      <c r="ADV3" s="137" t="s">
        <v>491</v>
      </c>
      <c r="ADW3" s="137" t="s">
        <v>492</v>
      </c>
      <c r="ADX3" s="137" t="s">
        <v>493</v>
      </c>
      <c r="ADY3" s="137" t="s">
        <v>494</v>
      </c>
      <c r="ADZ3" s="137" t="s">
        <v>495</v>
      </c>
      <c r="AEA3" s="137" t="s">
        <v>496</v>
      </c>
      <c r="AEB3" s="137" t="s">
        <v>497</v>
      </c>
      <c r="AEC3" s="137" t="s">
        <v>498</v>
      </c>
      <c r="AED3" s="137" t="s">
        <v>499</v>
      </c>
      <c r="AEE3" s="137" t="s">
        <v>500</v>
      </c>
      <c r="AEF3" s="137" t="s">
        <v>501</v>
      </c>
      <c r="AEG3" s="137" t="s">
        <v>502</v>
      </c>
      <c r="AEH3" s="137" t="s">
        <v>503</v>
      </c>
      <c r="AEI3" s="137" t="s">
        <v>504</v>
      </c>
      <c r="AEJ3" s="137" t="s">
        <v>505</v>
      </c>
      <c r="AEK3" s="137" t="s">
        <v>506</v>
      </c>
      <c r="AEL3" s="137" t="s">
        <v>507</v>
      </c>
      <c r="AEM3" s="137" t="s">
        <v>508</v>
      </c>
      <c r="AEN3" s="137" t="s">
        <v>509</v>
      </c>
      <c r="AEO3" s="125" t="s">
        <v>21</v>
      </c>
      <c r="AEP3" s="137" t="s">
        <v>510</v>
      </c>
      <c r="AEQ3" s="137" t="s">
        <v>511</v>
      </c>
      <c r="AER3" s="137" t="s">
        <v>512</v>
      </c>
      <c r="AES3" s="137" t="s">
        <v>513</v>
      </c>
      <c r="AET3" s="137" t="s">
        <v>514</v>
      </c>
      <c r="AEU3" s="137" t="s">
        <v>515</v>
      </c>
      <c r="AEV3" s="137" t="s">
        <v>516</v>
      </c>
      <c r="AEW3" s="137" t="s">
        <v>517</v>
      </c>
      <c r="AEX3" s="137" t="s">
        <v>518</v>
      </c>
      <c r="AEY3" s="137" t="s">
        <v>519</v>
      </c>
      <c r="AEZ3" s="137" t="s">
        <v>520</v>
      </c>
      <c r="AFA3" s="137" t="s">
        <v>521</v>
      </c>
      <c r="AFB3" s="137" t="s">
        <v>522</v>
      </c>
      <c r="AFC3" s="137" t="s">
        <v>523</v>
      </c>
      <c r="AFD3" s="137" t="s">
        <v>524</v>
      </c>
      <c r="AFE3" s="137" t="s">
        <v>525</v>
      </c>
      <c r="AFF3" s="137" t="s">
        <v>526</v>
      </c>
      <c r="AFG3" s="137" t="s">
        <v>527</v>
      </c>
      <c r="AFH3" s="137" t="s">
        <v>528</v>
      </c>
      <c r="AFI3" s="137" t="s">
        <v>529</v>
      </c>
      <c r="AFJ3" s="137" t="s">
        <v>530</v>
      </c>
      <c r="AFK3" s="137" t="s">
        <v>531</v>
      </c>
      <c r="AFL3" s="137" t="s">
        <v>532</v>
      </c>
      <c r="AFM3" s="137" t="s">
        <v>533</v>
      </c>
      <c r="AFN3" s="137" t="s">
        <v>534</v>
      </c>
      <c r="AFO3" s="137" t="s">
        <v>535</v>
      </c>
      <c r="AFP3" s="137" t="s">
        <v>536</v>
      </c>
      <c r="AFQ3" s="137" t="s">
        <v>537</v>
      </c>
      <c r="AFR3" s="137" t="s">
        <v>538</v>
      </c>
      <c r="AFS3" s="137" t="s">
        <v>539</v>
      </c>
      <c r="AFT3" s="137" t="s">
        <v>540</v>
      </c>
      <c r="AFU3" s="125" t="s">
        <v>21</v>
      </c>
      <c r="AFV3" s="137" t="s">
        <v>541</v>
      </c>
      <c r="AFW3" s="137" t="s">
        <v>542</v>
      </c>
      <c r="AFX3" s="137" t="s">
        <v>543</v>
      </c>
      <c r="AFY3" s="137" t="s">
        <v>544</v>
      </c>
      <c r="AFZ3" s="137" t="s">
        <v>545</v>
      </c>
      <c r="AGA3" s="137" t="s">
        <v>546</v>
      </c>
      <c r="AGB3" s="137" t="s">
        <v>547</v>
      </c>
      <c r="AGC3" s="137" t="s">
        <v>548</v>
      </c>
      <c r="AGD3" s="137" t="s">
        <v>549</v>
      </c>
      <c r="AGE3" s="137" t="s">
        <v>550</v>
      </c>
      <c r="AGF3" s="137" t="s">
        <v>551</v>
      </c>
      <c r="AGG3" s="137" t="s">
        <v>552</v>
      </c>
      <c r="AGH3" s="137" t="s">
        <v>553</v>
      </c>
      <c r="AGI3" s="137" t="s">
        <v>554</v>
      </c>
      <c r="AGJ3" s="137" t="s">
        <v>555</v>
      </c>
      <c r="AGK3" s="137" t="s">
        <v>556</v>
      </c>
      <c r="AGL3" s="137" t="s">
        <v>557</v>
      </c>
      <c r="AGM3" s="137" t="s">
        <v>558</v>
      </c>
      <c r="AGN3" s="137" t="s">
        <v>559</v>
      </c>
      <c r="AGO3" s="137" t="s">
        <v>560</v>
      </c>
      <c r="AGP3" s="137" t="s">
        <v>561</v>
      </c>
      <c r="AGQ3" s="137" t="s">
        <v>562</v>
      </c>
      <c r="AGR3" s="137" t="s">
        <v>563</v>
      </c>
      <c r="AGS3" s="137" t="s">
        <v>564</v>
      </c>
      <c r="AGT3" s="137" t="s">
        <v>565</v>
      </c>
      <c r="AGU3" s="137" t="s">
        <v>566</v>
      </c>
      <c r="AGV3" s="137" t="s">
        <v>567</v>
      </c>
      <c r="AGW3" s="137" t="s">
        <v>568</v>
      </c>
      <c r="AGX3" s="137" t="s">
        <v>569</v>
      </c>
      <c r="AGY3" s="137" t="s">
        <v>570</v>
      </c>
      <c r="AGZ3" s="125" t="s">
        <v>21</v>
      </c>
      <c r="AHA3" s="137" t="s">
        <v>571</v>
      </c>
      <c r="AHB3" s="137" t="s">
        <v>572</v>
      </c>
      <c r="AHC3" s="137" t="s">
        <v>573</v>
      </c>
      <c r="AHD3" s="137" t="s">
        <v>574</v>
      </c>
      <c r="AHE3" s="137" t="s">
        <v>575</v>
      </c>
      <c r="AHF3" s="137" t="s">
        <v>576</v>
      </c>
      <c r="AHG3" s="137" t="s">
        <v>577</v>
      </c>
      <c r="AHH3" s="137" t="s">
        <v>578</v>
      </c>
      <c r="AHI3" s="137" t="s">
        <v>579</v>
      </c>
      <c r="AHJ3" s="137" t="s">
        <v>580</v>
      </c>
      <c r="AHK3" s="137" t="s">
        <v>581</v>
      </c>
      <c r="AHL3" s="137" t="s">
        <v>582</v>
      </c>
      <c r="AHM3" s="137" t="s">
        <v>583</v>
      </c>
      <c r="AHN3" s="137" t="s">
        <v>584</v>
      </c>
      <c r="AHO3" s="137" t="s">
        <v>585</v>
      </c>
      <c r="AHP3" s="137" t="s">
        <v>586</v>
      </c>
      <c r="AHQ3" s="137" t="s">
        <v>587</v>
      </c>
      <c r="AHR3" s="137" t="s">
        <v>588</v>
      </c>
      <c r="AHS3" s="137" t="s">
        <v>589</v>
      </c>
      <c r="AHT3" s="137" t="s">
        <v>590</v>
      </c>
      <c r="AHU3" s="137" t="s">
        <v>591</v>
      </c>
      <c r="AHV3" s="137" t="s">
        <v>592</v>
      </c>
      <c r="AHW3" s="137" t="s">
        <v>593</v>
      </c>
      <c r="AHX3" s="137" t="s">
        <v>594</v>
      </c>
      <c r="AHY3" s="137" t="s">
        <v>595</v>
      </c>
      <c r="AHZ3" s="137" t="s">
        <v>596</v>
      </c>
      <c r="AIA3" s="137" t="s">
        <v>597</v>
      </c>
      <c r="AIB3" s="137" t="s">
        <v>598</v>
      </c>
      <c r="AIC3" s="137" t="s">
        <v>599</v>
      </c>
      <c r="AID3" s="137" t="s">
        <v>600</v>
      </c>
      <c r="AIE3" s="137" t="s">
        <v>601</v>
      </c>
      <c r="AIF3" s="125" t="s">
        <v>21</v>
      </c>
      <c r="AIG3" s="137" t="s">
        <v>602</v>
      </c>
      <c r="AIH3" s="137" t="s">
        <v>603</v>
      </c>
      <c r="AII3" s="137" t="s">
        <v>604</v>
      </c>
      <c r="AIJ3" s="137" t="s">
        <v>605</v>
      </c>
      <c r="AIK3" s="137" t="s">
        <v>606</v>
      </c>
      <c r="AIL3" s="137" t="s">
        <v>607</v>
      </c>
      <c r="AIM3" s="137" t="s">
        <v>608</v>
      </c>
      <c r="AIN3" s="137" t="s">
        <v>609</v>
      </c>
      <c r="AIO3" s="137" t="s">
        <v>610</v>
      </c>
      <c r="AIP3" s="137" t="s">
        <v>611</v>
      </c>
      <c r="AIQ3" s="137" t="s">
        <v>612</v>
      </c>
      <c r="AIR3" s="137" t="s">
        <v>613</v>
      </c>
      <c r="AIS3" s="137" t="s">
        <v>614</v>
      </c>
      <c r="AIT3" s="137" t="s">
        <v>615</v>
      </c>
      <c r="AIU3" s="137" t="s">
        <v>616</v>
      </c>
      <c r="AIV3" s="137" t="s">
        <v>617</v>
      </c>
      <c r="AIW3" s="137" t="s">
        <v>618</v>
      </c>
      <c r="AIX3" s="137" t="s">
        <v>619</v>
      </c>
      <c r="AIY3" s="137" t="s">
        <v>620</v>
      </c>
      <c r="AIZ3" s="137" t="s">
        <v>621</v>
      </c>
      <c r="AJA3" s="137" t="s">
        <v>622</v>
      </c>
      <c r="AJB3" s="137" t="s">
        <v>623</v>
      </c>
      <c r="AJC3" s="137" t="s">
        <v>624</v>
      </c>
      <c r="AJD3" s="137" t="s">
        <v>625</v>
      </c>
      <c r="AJE3" s="137" t="s">
        <v>626</v>
      </c>
      <c r="AJF3" s="137" t="s">
        <v>627</v>
      </c>
      <c r="AJG3" s="137" t="s">
        <v>628</v>
      </c>
      <c r="AJH3" s="137" t="s">
        <v>629</v>
      </c>
      <c r="AJI3" s="137" t="s">
        <v>630</v>
      </c>
      <c r="AJJ3" s="137" t="s">
        <v>631</v>
      </c>
      <c r="AJK3" s="137" t="s">
        <v>632</v>
      </c>
      <c r="AJL3" s="125" t="s">
        <v>21</v>
      </c>
      <c r="AJM3" s="137" t="s">
        <v>633</v>
      </c>
      <c r="AJN3" s="137" t="s">
        <v>634</v>
      </c>
      <c r="AJO3" s="137" t="s">
        <v>635</v>
      </c>
      <c r="AJP3" s="137" t="s">
        <v>636</v>
      </c>
      <c r="AJQ3" s="137" t="s">
        <v>637</v>
      </c>
      <c r="AJR3" s="137" t="s">
        <v>638</v>
      </c>
      <c r="AJS3" s="137" t="s">
        <v>639</v>
      </c>
      <c r="AJT3" s="137" t="s">
        <v>640</v>
      </c>
      <c r="AJU3" s="137" t="s">
        <v>641</v>
      </c>
      <c r="AJV3" s="137" t="s">
        <v>642</v>
      </c>
      <c r="AJW3" s="137" t="s">
        <v>643</v>
      </c>
      <c r="AJX3" s="137" t="s">
        <v>644</v>
      </c>
      <c r="AJY3" s="137" t="s">
        <v>645</v>
      </c>
      <c r="AJZ3" s="137" t="s">
        <v>646</v>
      </c>
      <c r="AKA3" s="137" t="s">
        <v>647</v>
      </c>
      <c r="AKB3" s="137" t="s">
        <v>648</v>
      </c>
      <c r="AKC3" s="137" t="s">
        <v>649</v>
      </c>
      <c r="AKD3" s="137" t="s">
        <v>650</v>
      </c>
      <c r="AKE3" s="137" t="s">
        <v>651</v>
      </c>
      <c r="AKF3" s="137" t="s">
        <v>652</v>
      </c>
      <c r="AKG3" s="137" t="s">
        <v>653</v>
      </c>
      <c r="AKH3" s="137" t="s">
        <v>654</v>
      </c>
      <c r="AKI3" s="137" t="s">
        <v>655</v>
      </c>
      <c r="AKJ3" s="137" t="s">
        <v>656</v>
      </c>
      <c r="AKK3" s="137" t="s">
        <v>657</v>
      </c>
      <c r="AKL3" s="137" t="s">
        <v>658</v>
      </c>
      <c r="AKM3" s="137" t="s">
        <v>659</v>
      </c>
      <c r="AKN3" s="137" t="s">
        <v>660</v>
      </c>
      <c r="AKO3" s="125" t="s">
        <v>21</v>
      </c>
      <c r="AKP3" s="137" t="s">
        <v>661</v>
      </c>
      <c r="AKQ3" s="137" t="s">
        <v>662</v>
      </c>
      <c r="AKR3" s="137" t="s">
        <v>663</v>
      </c>
      <c r="AKS3" s="137" t="s">
        <v>664</v>
      </c>
      <c r="AKT3" s="137" t="s">
        <v>665</v>
      </c>
      <c r="AKU3" s="137" t="s">
        <v>666</v>
      </c>
      <c r="AKV3" s="137" t="s">
        <v>667</v>
      </c>
      <c r="AKW3" s="137" t="s">
        <v>668</v>
      </c>
      <c r="AKX3" s="137" t="s">
        <v>669</v>
      </c>
      <c r="AKY3" s="137" t="s">
        <v>670</v>
      </c>
      <c r="AKZ3" s="137" t="s">
        <v>671</v>
      </c>
      <c r="ALA3" s="137" t="s">
        <v>672</v>
      </c>
      <c r="ALB3" s="137" t="s">
        <v>673</v>
      </c>
      <c r="ALC3" s="137" t="s">
        <v>674</v>
      </c>
      <c r="ALD3" s="137" t="s">
        <v>675</v>
      </c>
      <c r="ALE3" s="137" t="s">
        <v>676</v>
      </c>
      <c r="ALF3" s="137" t="s">
        <v>677</v>
      </c>
      <c r="ALG3" s="137" t="s">
        <v>678</v>
      </c>
      <c r="ALH3" s="137" t="s">
        <v>679</v>
      </c>
      <c r="ALI3" s="137" t="s">
        <v>680</v>
      </c>
      <c r="ALJ3" s="137" t="s">
        <v>681</v>
      </c>
      <c r="ALK3" s="137" t="s">
        <v>682</v>
      </c>
      <c r="ALL3" s="137" t="s">
        <v>683</v>
      </c>
      <c r="ALM3" s="137" t="s">
        <v>684</v>
      </c>
      <c r="ALN3" s="137" t="s">
        <v>685</v>
      </c>
      <c r="ALO3" s="137" t="s">
        <v>686</v>
      </c>
      <c r="ALP3" s="137" t="s">
        <v>687</v>
      </c>
      <c r="ALQ3" s="137" t="s">
        <v>688</v>
      </c>
      <c r="ALR3" s="137" t="s">
        <v>689</v>
      </c>
      <c r="ALS3" s="137" t="s">
        <v>690</v>
      </c>
      <c r="ALT3" s="137" t="s">
        <v>691</v>
      </c>
      <c r="ALU3" s="125" t="s">
        <v>21</v>
      </c>
      <c r="ALV3" s="137" t="s">
        <v>692</v>
      </c>
      <c r="ALW3" s="137" t="s">
        <v>693</v>
      </c>
      <c r="ALX3" s="137" t="s">
        <v>694</v>
      </c>
      <c r="ALY3" s="137" t="s">
        <v>695</v>
      </c>
      <c r="ALZ3" s="137" t="s">
        <v>696</v>
      </c>
      <c r="AMA3" s="137" t="s">
        <v>697</v>
      </c>
      <c r="AMB3" s="137" t="s">
        <v>698</v>
      </c>
      <c r="AMC3" s="137" t="s">
        <v>699</v>
      </c>
      <c r="AMD3" s="137" t="s">
        <v>700</v>
      </c>
      <c r="AME3" s="137" t="s">
        <v>701</v>
      </c>
      <c r="AMF3" s="137" t="s">
        <v>702</v>
      </c>
      <c r="AMG3" s="137" t="s">
        <v>703</v>
      </c>
      <c r="AMH3" s="137" t="s">
        <v>704</v>
      </c>
      <c r="AMI3" s="137" t="s">
        <v>705</v>
      </c>
      <c r="AMJ3" s="137" t="s">
        <v>706</v>
      </c>
      <c r="AMK3" s="137" t="s">
        <v>707</v>
      </c>
      <c r="AML3" s="137" t="s">
        <v>708</v>
      </c>
      <c r="AMM3" s="137" t="s">
        <v>709</v>
      </c>
      <c r="AMN3" s="137" t="s">
        <v>710</v>
      </c>
      <c r="AMO3" s="137" t="s">
        <v>711</v>
      </c>
      <c r="AMP3" s="137" t="s">
        <v>712</v>
      </c>
      <c r="AMQ3" s="137" t="s">
        <v>713</v>
      </c>
      <c r="AMR3" s="137" t="s">
        <v>714</v>
      </c>
      <c r="AMS3" s="137" t="s">
        <v>715</v>
      </c>
      <c r="AMT3" s="137" t="s">
        <v>716</v>
      </c>
      <c r="AMU3" s="137" t="s">
        <v>717</v>
      </c>
      <c r="AMV3" s="137" t="s">
        <v>718</v>
      </c>
      <c r="AMW3" s="137" t="s">
        <v>719</v>
      </c>
      <c r="AMX3" s="137" t="s">
        <v>720</v>
      </c>
      <c r="AMY3" s="137" t="s">
        <v>721</v>
      </c>
      <c r="AMZ3" s="125" t="s">
        <v>21</v>
      </c>
      <c r="ANA3" s="137" t="s">
        <v>722</v>
      </c>
      <c r="ANB3" s="137" t="s">
        <v>723</v>
      </c>
      <c r="ANC3" s="137" t="s">
        <v>724</v>
      </c>
      <c r="AND3" s="137" t="s">
        <v>725</v>
      </c>
      <c r="ANE3" s="137" t="s">
        <v>726</v>
      </c>
      <c r="ANF3" s="137" t="s">
        <v>727</v>
      </c>
      <c r="ANG3" s="137" t="s">
        <v>728</v>
      </c>
      <c r="ANH3" s="137" t="s">
        <v>729</v>
      </c>
      <c r="ANI3" s="137" t="s">
        <v>730</v>
      </c>
      <c r="ANJ3" s="137" t="s">
        <v>731</v>
      </c>
      <c r="ANK3" s="137" t="s">
        <v>732</v>
      </c>
      <c r="ANL3" s="137" t="s">
        <v>733</v>
      </c>
      <c r="ANM3" s="137" t="s">
        <v>734</v>
      </c>
      <c r="ANN3" s="137" t="s">
        <v>735</v>
      </c>
      <c r="ANO3" s="137" t="s">
        <v>736</v>
      </c>
      <c r="ANP3" s="137" t="s">
        <v>737</v>
      </c>
      <c r="ANQ3" s="137" t="s">
        <v>738</v>
      </c>
      <c r="ANR3" s="137" t="s">
        <v>739</v>
      </c>
      <c r="ANS3" s="137" t="s">
        <v>740</v>
      </c>
      <c r="ANT3" s="137" t="s">
        <v>741</v>
      </c>
      <c r="ANU3" s="137" t="s">
        <v>742</v>
      </c>
      <c r="ANV3" s="137" t="s">
        <v>743</v>
      </c>
      <c r="ANW3" s="137" t="s">
        <v>744</v>
      </c>
      <c r="ANX3" s="137" t="s">
        <v>745</v>
      </c>
      <c r="ANY3" s="137" t="s">
        <v>746</v>
      </c>
      <c r="ANZ3" s="137" t="s">
        <v>747</v>
      </c>
      <c r="AOA3" s="137" t="s">
        <v>748</v>
      </c>
      <c r="AOB3" s="137" t="s">
        <v>749</v>
      </c>
      <c r="AOC3" s="137" t="s">
        <v>750</v>
      </c>
      <c r="AOD3" s="137" t="s">
        <v>751</v>
      </c>
      <c r="AOE3" t="s">
        <v>752</v>
      </c>
      <c r="AOF3" t="s">
        <v>753</v>
      </c>
    </row>
    <row r="4" spans="1:1072" ht="15" customHeight="1" thickBot="1" x14ac:dyDescent="0.25">
      <c r="A4" s="156" t="s">
        <v>754</v>
      </c>
      <c r="B4" s="161" t="s">
        <v>755</v>
      </c>
      <c r="C4" s="44" t="s">
        <v>756</v>
      </c>
      <c r="D4" s="45">
        <v>906274.00899999996</v>
      </c>
      <c r="E4" s="45">
        <f t="shared" ref="E4:AH4" si="9">D5</f>
        <v>907256.35699999996</v>
      </c>
      <c r="F4" s="45">
        <f t="shared" si="9"/>
        <v>908068.85199999996</v>
      </c>
      <c r="G4" s="45">
        <f t="shared" si="9"/>
        <v>909104.49399999995</v>
      </c>
      <c r="H4" s="45">
        <f t="shared" si="9"/>
        <v>910384.29099999997</v>
      </c>
      <c r="I4" s="45">
        <f t="shared" si="9"/>
        <v>911385.73600000003</v>
      </c>
      <c r="J4" s="45">
        <f t="shared" si="9"/>
        <v>912644.04099999997</v>
      </c>
      <c r="K4" s="45">
        <f t="shared" si="9"/>
        <v>913712.84400000004</v>
      </c>
      <c r="L4" s="45">
        <f t="shared" si="9"/>
        <v>914547.71</v>
      </c>
      <c r="M4" s="45">
        <f t="shared" si="9"/>
        <v>915395.76800000004</v>
      </c>
      <c r="N4" s="45">
        <f t="shared" si="9"/>
        <v>916317.00199999998</v>
      </c>
      <c r="O4" s="45">
        <f t="shared" si="9"/>
        <v>917302.66099999996</v>
      </c>
      <c r="P4" s="45">
        <f t="shared" si="9"/>
        <v>918492.755</v>
      </c>
      <c r="Q4" s="45">
        <f t="shared" si="9"/>
        <v>919546.20200000005</v>
      </c>
      <c r="R4" s="45">
        <f t="shared" si="9"/>
        <v>920620.87600000005</v>
      </c>
      <c r="S4" s="45">
        <f t="shared" si="9"/>
        <v>921685.27399999998</v>
      </c>
      <c r="T4" s="45">
        <f t="shared" si="9"/>
        <v>922665.66899999999</v>
      </c>
      <c r="U4" s="45">
        <f t="shared" si="9"/>
        <v>923703.77</v>
      </c>
      <c r="V4" s="45">
        <f t="shared" si="9"/>
        <v>924812.21299999999</v>
      </c>
      <c r="W4" s="45">
        <f t="shared" si="9"/>
        <v>925977.47199999995</v>
      </c>
      <c r="X4" s="45">
        <f t="shared" si="9"/>
        <v>926937.63699999999</v>
      </c>
      <c r="Y4" s="45">
        <f t="shared" si="9"/>
        <v>927664.69200000004</v>
      </c>
      <c r="Z4" s="45">
        <f t="shared" si="9"/>
        <v>928482.12600000005</v>
      </c>
      <c r="AA4" s="45">
        <f t="shared" si="9"/>
        <v>929366.71900000004</v>
      </c>
      <c r="AB4" s="45">
        <f t="shared" si="9"/>
        <v>930211.63300000003</v>
      </c>
      <c r="AC4" s="45">
        <f t="shared" si="9"/>
        <v>931558.71299999999</v>
      </c>
      <c r="AD4" s="45">
        <f t="shared" si="9"/>
        <v>932696.74</v>
      </c>
      <c r="AE4" s="45">
        <f t="shared" si="9"/>
        <v>933746.18799999997</v>
      </c>
      <c r="AF4" s="45">
        <f t="shared" si="9"/>
        <v>934596.99699999997</v>
      </c>
      <c r="AG4" s="45">
        <f t="shared" si="9"/>
        <v>935497.53599999996</v>
      </c>
      <c r="AH4" s="45">
        <f t="shared" si="9"/>
        <v>936535.77</v>
      </c>
      <c r="AI4" s="46"/>
      <c r="AJ4" s="89">
        <f>AH5</f>
        <v>937530.79299999995</v>
      </c>
      <c r="AK4" s="89">
        <f t="shared" ref="AK4:BM4" si="10">AJ5</f>
        <v>938749.91700000002</v>
      </c>
      <c r="AL4" s="89">
        <f t="shared" si="10"/>
        <v>939940.93900000001</v>
      </c>
      <c r="AM4" s="89">
        <f t="shared" si="10"/>
        <v>940865.647</v>
      </c>
      <c r="AN4" s="89">
        <f t="shared" si="10"/>
        <v>941852.24100000004</v>
      </c>
      <c r="AO4" s="89">
        <f t="shared" si="10"/>
        <v>942823.63699999999</v>
      </c>
      <c r="AP4" s="89">
        <f t="shared" si="10"/>
        <v>943615.38899999997</v>
      </c>
      <c r="AQ4" s="89">
        <f t="shared" si="10"/>
        <v>944808.951</v>
      </c>
      <c r="AR4" s="89">
        <f t="shared" si="10"/>
        <v>945946.39199999999</v>
      </c>
      <c r="AS4" s="89">
        <f t="shared" si="10"/>
        <v>947032.88</v>
      </c>
      <c r="AT4" s="89">
        <f t="shared" si="10"/>
        <v>947889.35800000001</v>
      </c>
      <c r="AU4" s="89">
        <f t="shared" si="10"/>
        <v>948715.19</v>
      </c>
      <c r="AV4" s="89">
        <f t="shared" si="10"/>
        <v>949408.49800000002</v>
      </c>
      <c r="AW4" s="89">
        <f t="shared" si="10"/>
        <v>950396.29799999995</v>
      </c>
      <c r="AX4" s="89">
        <f t="shared" si="10"/>
        <v>951221.41399999999</v>
      </c>
      <c r="AY4" s="89">
        <f t="shared" si="10"/>
        <v>952193.755</v>
      </c>
      <c r="AZ4" s="89">
        <f t="shared" si="10"/>
        <v>953175.647</v>
      </c>
      <c r="BA4" s="89">
        <f t="shared" si="10"/>
        <v>953900.05500000005</v>
      </c>
      <c r="BB4" s="89">
        <f t="shared" si="10"/>
        <v>954963.07200000004</v>
      </c>
      <c r="BC4" s="89">
        <f t="shared" si="10"/>
        <v>955684.42500000005</v>
      </c>
      <c r="BD4" s="89">
        <f t="shared" si="10"/>
        <v>956578.79799999995</v>
      </c>
      <c r="BE4" s="89">
        <f t="shared" si="10"/>
        <v>957498.77800000005</v>
      </c>
      <c r="BF4" s="89">
        <f t="shared" si="10"/>
        <v>958472.98600000003</v>
      </c>
      <c r="BG4" s="89">
        <f t="shared" si="10"/>
        <v>959458.23699999996</v>
      </c>
      <c r="BH4" s="89">
        <f t="shared" si="10"/>
        <v>960386.23699999996</v>
      </c>
      <c r="BI4" s="89">
        <f t="shared" si="10"/>
        <v>961264.40399999998</v>
      </c>
      <c r="BJ4" s="89">
        <f t="shared" si="10"/>
        <v>961985.71299999999</v>
      </c>
      <c r="BK4" s="89">
        <f t="shared" si="10"/>
        <v>962928.18</v>
      </c>
      <c r="BL4" s="89">
        <f t="shared" si="10"/>
        <v>963729.86</v>
      </c>
      <c r="BM4" s="89">
        <f t="shared" si="10"/>
        <v>964598.39800000004</v>
      </c>
      <c r="BO4" s="89">
        <f>BM5</f>
        <v>965561.071</v>
      </c>
      <c r="BP4" s="89">
        <f t="shared" ref="BP4:CS4" si="11">BO5</f>
        <v>966414.89500000002</v>
      </c>
      <c r="BQ4" s="89">
        <f t="shared" si="11"/>
        <v>967216.61899999995</v>
      </c>
      <c r="BR4" s="89">
        <f t="shared" si="11"/>
        <v>968053.15500000003</v>
      </c>
      <c r="BS4" s="89">
        <f t="shared" si="11"/>
        <v>968888.33200000005</v>
      </c>
      <c r="BT4" s="89">
        <f t="shared" si="11"/>
        <v>969744.60199999996</v>
      </c>
      <c r="BU4" s="89">
        <f t="shared" si="11"/>
        <v>970547.93500000006</v>
      </c>
      <c r="BV4" s="89">
        <f t="shared" si="11"/>
        <v>971309.59699999995</v>
      </c>
      <c r="BW4" s="89">
        <f t="shared" si="11"/>
        <v>972151.97400000005</v>
      </c>
      <c r="BX4" s="89">
        <f t="shared" si="11"/>
        <v>973006.64500000002</v>
      </c>
      <c r="BY4" s="89">
        <f t="shared" si="11"/>
        <v>973806.625</v>
      </c>
      <c r="BZ4" s="89">
        <f t="shared" si="11"/>
        <v>974519.41399999999</v>
      </c>
      <c r="CA4" s="89">
        <f t="shared" si="11"/>
        <v>975328.39500000002</v>
      </c>
      <c r="CB4" s="89">
        <f t="shared" si="11"/>
        <v>976268.45499999996</v>
      </c>
      <c r="CC4" s="89">
        <f t="shared" si="11"/>
        <v>977141.71799999999</v>
      </c>
      <c r="CD4" s="89">
        <f t="shared" si="11"/>
        <v>977953.80099999998</v>
      </c>
      <c r="CE4" s="89">
        <f t="shared" si="11"/>
        <v>978778.30700000003</v>
      </c>
      <c r="CF4" s="89">
        <f t="shared" si="11"/>
        <v>979609.00199999998</v>
      </c>
      <c r="CG4" s="89">
        <f t="shared" si="11"/>
        <v>980441.90800000005</v>
      </c>
      <c r="CH4" s="89">
        <f t="shared" si="11"/>
        <v>981197.13</v>
      </c>
      <c r="CI4" s="89">
        <f t="shared" si="11"/>
        <v>982081.86699999997</v>
      </c>
      <c r="CJ4" s="89">
        <f t="shared" si="11"/>
        <v>982774.49</v>
      </c>
      <c r="CK4" s="89">
        <f t="shared" si="11"/>
        <v>983699.74399999995</v>
      </c>
      <c r="CL4" s="89">
        <f t="shared" si="11"/>
        <v>984413.02300000004</v>
      </c>
      <c r="CM4" s="89">
        <f t="shared" si="11"/>
        <v>985173.34299999999</v>
      </c>
      <c r="CN4" s="89">
        <f t="shared" si="11"/>
        <v>985999.32700000005</v>
      </c>
      <c r="CO4" s="89">
        <f t="shared" si="11"/>
        <v>986811.29500000004</v>
      </c>
      <c r="CP4" s="89">
        <f t="shared" si="11"/>
        <v>987728.103</v>
      </c>
      <c r="CQ4" s="89">
        <f t="shared" si="11"/>
        <v>988561.49899999995</v>
      </c>
      <c r="CR4" s="89">
        <f t="shared" si="11"/>
        <v>989356.23300000001</v>
      </c>
      <c r="CS4" s="89">
        <f t="shared" si="11"/>
        <v>990199.63600000006</v>
      </c>
      <c r="CU4" s="89">
        <f>CS5</f>
        <v>990943.46100000001</v>
      </c>
      <c r="CV4" s="89">
        <f t="shared" ref="CV4:DX4" si="12">CU5</f>
        <v>991763.45299999998</v>
      </c>
      <c r="CW4" s="89">
        <f t="shared" si="12"/>
        <v>992569.99899999995</v>
      </c>
      <c r="CX4" s="89">
        <f t="shared" si="12"/>
        <v>993461.73</v>
      </c>
      <c r="CY4" s="89">
        <f t="shared" si="12"/>
        <v>994413.54500000004</v>
      </c>
      <c r="CZ4" s="89">
        <f t="shared" si="12"/>
        <v>995545.68500000006</v>
      </c>
      <c r="DA4" s="89">
        <f t="shared" si="12"/>
        <v>996445.18700000003</v>
      </c>
      <c r="DB4" s="89">
        <f t="shared" si="12"/>
        <v>997250.35</v>
      </c>
      <c r="DC4" s="89">
        <f t="shared" si="12"/>
        <v>997900.30200000003</v>
      </c>
      <c r="DD4" s="89">
        <f t="shared" si="12"/>
        <v>998724.30099999998</v>
      </c>
      <c r="DE4" s="89">
        <f t="shared" si="12"/>
        <v>999632.37899999996</v>
      </c>
      <c r="DF4" s="89">
        <f t="shared" si="12"/>
        <v>1000484.0820000001</v>
      </c>
      <c r="DG4" s="89">
        <f t="shared" si="12"/>
        <v>1001218.152</v>
      </c>
      <c r="DH4" s="89">
        <f t="shared" si="12"/>
        <v>1002006.125</v>
      </c>
      <c r="DI4" s="89">
        <f t="shared" si="12"/>
        <v>1002903.426</v>
      </c>
      <c r="DJ4" s="89">
        <f t="shared" si="12"/>
        <v>1003651.395</v>
      </c>
      <c r="DK4" s="89">
        <f t="shared" si="12"/>
        <v>1004201.931</v>
      </c>
      <c r="DL4" s="89">
        <f t="shared" si="12"/>
        <v>1004779.577</v>
      </c>
      <c r="DM4" s="89">
        <f t="shared" si="12"/>
        <v>1005571.502</v>
      </c>
      <c r="DN4" s="89">
        <f t="shared" si="12"/>
        <v>1006285.3149999999</v>
      </c>
      <c r="DO4" s="89">
        <f t="shared" si="12"/>
        <v>1007109.2659999999</v>
      </c>
      <c r="DP4" s="89">
        <f t="shared" si="12"/>
        <v>1007750.379</v>
      </c>
      <c r="DQ4" s="89">
        <f t="shared" si="12"/>
        <v>1008548.073</v>
      </c>
      <c r="DR4" s="89">
        <f t="shared" si="12"/>
        <v>1009432.628</v>
      </c>
      <c r="DS4" s="89">
        <f t="shared" si="12"/>
        <v>1010248.95</v>
      </c>
      <c r="DT4" s="89">
        <f t="shared" si="12"/>
        <v>1011114.785</v>
      </c>
      <c r="DU4" s="89">
        <f t="shared" si="12"/>
        <v>1011886.388</v>
      </c>
      <c r="DV4" s="89">
        <f t="shared" si="12"/>
        <v>1012487.221</v>
      </c>
      <c r="DW4" s="89">
        <f t="shared" si="12"/>
        <v>1013147.0110000001</v>
      </c>
      <c r="DX4" s="89">
        <f t="shared" si="12"/>
        <v>1013670.719</v>
      </c>
      <c r="DZ4" s="89">
        <f>DX5</f>
        <v>1014373.531</v>
      </c>
      <c r="EA4" s="89">
        <f t="shared" ref="EA4:FD4" si="13">DZ5</f>
        <v>1015286.605</v>
      </c>
      <c r="EB4" s="89">
        <f t="shared" si="13"/>
        <v>1015993.58</v>
      </c>
      <c r="EC4" s="89">
        <f t="shared" si="13"/>
        <v>1016633.034</v>
      </c>
      <c r="ED4" s="89">
        <f t="shared" si="13"/>
        <v>1017254.9129999999</v>
      </c>
      <c r="EE4" s="89">
        <f t="shared" si="13"/>
        <v>1017940.745</v>
      </c>
      <c r="EF4" s="89">
        <f t="shared" si="13"/>
        <v>1018636.455</v>
      </c>
      <c r="EG4" s="89">
        <f t="shared" si="13"/>
        <v>1019346.776</v>
      </c>
      <c r="EH4" s="89">
        <f t="shared" si="13"/>
        <v>1020246.419</v>
      </c>
      <c r="EI4" s="89">
        <f t="shared" si="13"/>
        <v>1021152.947</v>
      </c>
      <c r="EJ4" s="89">
        <f t="shared" si="13"/>
        <v>1021981.735</v>
      </c>
      <c r="EK4" s="89">
        <f t="shared" si="13"/>
        <v>1022719.053</v>
      </c>
      <c r="EL4" s="89">
        <f t="shared" si="13"/>
        <v>1023452.278</v>
      </c>
      <c r="EM4" s="89">
        <f t="shared" si="13"/>
        <v>1024253.572</v>
      </c>
      <c r="EN4" s="89">
        <f t="shared" si="13"/>
        <v>1025036.028</v>
      </c>
      <c r="EO4" s="89">
        <f t="shared" si="13"/>
        <v>1025877.363</v>
      </c>
      <c r="EP4" s="89">
        <f t="shared" si="13"/>
        <v>1026926.9889999999</v>
      </c>
      <c r="EQ4" s="89">
        <f t="shared" si="13"/>
        <v>1027799.241</v>
      </c>
      <c r="ER4" s="89">
        <f t="shared" si="13"/>
        <v>1028704.432</v>
      </c>
      <c r="ES4" s="89">
        <f t="shared" si="13"/>
        <v>1029392.03</v>
      </c>
      <c r="ET4" s="89">
        <f t="shared" si="13"/>
        <v>1030225.193</v>
      </c>
      <c r="EU4" s="89">
        <f t="shared" si="13"/>
        <v>1031150.268</v>
      </c>
      <c r="EV4" s="89">
        <f t="shared" si="13"/>
        <v>1032270.289</v>
      </c>
      <c r="EW4" s="89">
        <f t="shared" si="13"/>
        <v>1033341.525</v>
      </c>
      <c r="EX4" s="89">
        <f t="shared" si="13"/>
        <v>1034436.272</v>
      </c>
      <c r="EY4" s="89">
        <f t="shared" si="13"/>
        <v>1035201.971</v>
      </c>
      <c r="EZ4" s="89">
        <f t="shared" si="13"/>
        <v>1035857.051</v>
      </c>
      <c r="FA4" s="89">
        <f t="shared" si="13"/>
        <v>1036542.071</v>
      </c>
      <c r="FB4" s="89">
        <f t="shared" si="13"/>
        <v>1037187.388</v>
      </c>
      <c r="FC4" s="89">
        <f t="shared" si="13"/>
        <v>1038025.235</v>
      </c>
      <c r="FD4" s="89">
        <f t="shared" si="13"/>
        <v>1038820.4350000001</v>
      </c>
      <c r="FE4" s="126"/>
      <c r="FF4" s="89">
        <f>FD5</f>
        <v>1039685.752</v>
      </c>
      <c r="FG4" s="89">
        <f t="shared" ref="FG4:GJ4" si="14">FF5</f>
        <v>1040471.764</v>
      </c>
      <c r="FH4" s="89">
        <f t="shared" si="14"/>
        <v>1041268.44</v>
      </c>
      <c r="FI4" s="89">
        <f t="shared" si="14"/>
        <v>1041960.088</v>
      </c>
      <c r="FJ4" s="89">
        <f t="shared" si="14"/>
        <v>1042907.4449999999</v>
      </c>
      <c r="FK4" s="89">
        <f t="shared" si="14"/>
        <v>1043692.031</v>
      </c>
      <c r="FL4" s="89">
        <f t="shared" si="14"/>
        <v>1044553.08</v>
      </c>
      <c r="FM4" s="89">
        <f t="shared" si="14"/>
        <v>1045334.774</v>
      </c>
      <c r="FN4" s="89">
        <f t="shared" si="14"/>
        <v>1046130.528</v>
      </c>
      <c r="FO4" s="89">
        <f t="shared" si="14"/>
        <v>1046883.013</v>
      </c>
      <c r="FP4" s="89">
        <f t="shared" si="14"/>
        <v>1047657.148</v>
      </c>
      <c r="FQ4" s="89">
        <f t="shared" si="14"/>
        <v>1048497.27</v>
      </c>
      <c r="FR4" s="89">
        <f t="shared" si="14"/>
        <v>1049375.4709999999</v>
      </c>
      <c r="FS4" s="89">
        <f t="shared" si="14"/>
        <v>1050201.9010000001</v>
      </c>
      <c r="FT4" s="89">
        <f t="shared" si="14"/>
        <v>1050855.6410000001</v>
      </c>
      <c r="FU4" s="89">
        <f t="shared" si="14"/>
        <v>1051523.905</v>
      </c>
      <c r="FV4" s="89">
        <f t="shared" si="14"/>
        <v>1052298.1370000001</v>
      </c>
      <c r="FW4" s="89">
        <f t="shared" si="14"/>
        <v>1052866.548</v>
      </c>
      <c r="FX4" s="89">
        <f t="shared" si="14"/>
        <v>1053619.3740000001</v>
      </c>
      <c r="FY4" s="89">
        <f t="shared" si="14"/>
        <v>1054374.4040000001</v>
      </c>
      <c r="FZ4" s="89">
        <f t="shared" si="14"/>
        <v>1055272.101</v>
      </c>
      <c r="GA4" s="89">
        <f t="shared" si="14"/>
        <v>1056022.7849999999</v>
      </c>
      <c r="GB4" s="89">
        <f t="shared" si="14"/>
        <v>1056686.3600000001</v>
      </c>
      <c r="GC4" s="89">
        <f t="shared" si="14"/>
        <v>1057540.602</v>
      </c>
      <c r="GD4" s="89">
        <f t="shared" si="14"/>
        <v>1058279.8400000001</v>
      </c>
      <c r="GE4" s="89">
        <f t="shared" si="14"/>
        <v>1059208.794</v>
      </c>
      <c r="GF4" s="89">
        <f t="shared" si="14"/>
        <v>1060048.926</v>
      </c>
      <c r="GG4" s="89">
        <f t="shared" si="14"/>
        <v>1060633.3640000001</v>
      </c>
      <c r="GH4" s="89">
        <f t="shared" si="14"/>
        <v>1061350.92</v>
      </c>
      <c r="GI4" s="89">
        <f t="shared" si="14"/>
        <v>1062225.0260000001</v>
      </c>
      <c r="GJ4" s="89">
        <f t="shared" si="14"/>
        <v>1062933.3430000001</v>
      </c>
      <c r="GK4" s="125" t="s">
        <v>21</v>
      </c>
      <c r="GL4" s="89">
        <f>GJ5</f>
        <v>1063622.8840000001</v>
      </c>
      <c r="GM4">
        <f t="shared" ref="GM4:HN4" si="15">GL5</f>
        <v>1064470.5009999999</v>
      </c>
      <c r="GN4">
        <f t="shared" si="15"/>
        <v>1065333.577</v>
      </c>
      <c r="GO4">
        <f t="shared" si="15"/>
        <v>1066493.436</v>
      </c>
      <c r="GP4">
        <f t="shared" si="15"/>
        <v>1067357.6969999999</v>
      </c>
      <c r="GQ4">
        <f t="shared" si="15"/>
        <v>1068212.621</v>
      </c>
      <c r="GR4">
        <f t="shared" si="15"/>
        <v>1069183.4979999999</v>
      </c>
      <c r="GS4">
        <f t="shared" si="15"/>
        <v>1070099.1270000001</v>
      </c>
      <c r="GT4">
        <f t="shared" si="15"/>
        <v>1070819.118</v>
      </c>
      <c r="GU4">
        <f t="shared" si="15"/>
        <v>1071860.2039999999</v>
      </c>
      <c r="GV4">
        <f t="shared" si="15"/>
        <v>1072555.6569999999</v>
      </c>
      <c r="GW4">
        <f t="shared" si="15"/>
        <v>1073302.9620000001</v>
      </c>
      <c r="GX4">
        <f t="shared" si="15"/>
        <v>1074294.923</v>
      </c>
      <c r="GY4">
        <f t="shared" si="15"/>
        <v>1075239.6170000001</v>
      </c>
      <c r="GZ4">
        <f t="shared" si="15"/>
        <v>1076027.0959999999</v>
      </c>
      <c r="HA4">
        <f t="shared" si="15"/>
        <v>1076861.767</v>
      </c>
      <c r="HB4">
        <f t="shared" si="15"/>
        <v>1077642.848</v>
      </c>
      <c r="HC4">
        <f t="shared" si="15"/>
        <v>1078578.3959999999</v>
      </c>
      <c r="HD4">
        <f t="shared" si="15"/>
        <v>1079419.308</v>
      </c>
      <c r="HE4">
        <f t="shared" si="15"/>
        <v>1080168.8659999999</v>
      </c>
      <c r="HF4">
        <f t="shared" si="15"/>
        <v>1080963.834</v>
      </c>
      <c r="HG4">
        <f t="shared" si="15"/>
        <v>1081845.5819999999</v>
      </c>
      <c r="HH4">
        <f t="shared" si="15"/>
        <v>1082533.361</v>
      </c>
      <c r="HI4">
        <f t="shared" si="15"/>
        <v>1083134.9620000001</v>
      </c>
      <c r="HJ4">
        <f t="shared" si="15"/>
        <v>1083935.58</v>
      </c>
      <c r="HK4">
        <f t="shared" si="15"/>
        <v>1084604.057</v>
      </c>
      <c r="HL4">
        <f t="shared" si="15"/>
        <v>1085550.7590000001</v>
      </c>
      <c r="HM4">
        <f t="shared" si="15"/>
        <v>1086216.452</v>
      </c>
      <c r="HN4">
        <f t="shared" si="15"/>
        <v>1087072.9140000001</v>
      </c>
      <c r="HO4" s="125" t="s">
        <v>21</v>
      </c>
      <c r="HP4" s="89">
        <f>HN5</f>
        <v>1087999.8659999999</v>
      </c>
      <c r="HQ4" s="89">
        <f t="shared" ref="HQ4:IT4" si="16">HP5</f>
        <v>1088958.264</v>
      </c>
      <c r="HR4" s="89">
        <f t="shared" si="16"/>
        <v>1089891.2169999999</v>
      </c>
      <c r="HS4" s="89">
        <f t="shared" si="16"/>
        <v>1090865.3489999999</v>
      </c>
      <c r="HT4" s="89">
        <f t="shared" si="16"/>
        <v>1091850.1240000001</v>
      </c>
      <c r="HU4" s="89">
        <f t="shared" si="16"/>
        <v>1092757.5220000001</v>
      </c>
      <c r="HV4" s="89">
        <f t="shared" si="16"/>
        <v>1093542.5190000001</v>
      </c>
      <c r="HW4" s="89">
        <f t="shared" si="16"/>
        <v>1094532.763</v>
      </c>
      <c r="HX4" s="89">
        <f t="shared" si="16"/>
        <v>1095466.642</v>
      </c>
      <c r="HY4" s="89">
        <f t="shared" si="16"/>
        <v>1096218.4040000001</v>
      </c>
      <c r="HZ4" s="89">
        <f t="shared" si="16"/>
        <v>1097041.852</v>
      </c>
      <c r="IA4" s="89">
        <f t="shared" si="16"/>
        <v>1097858.575</v>
      </c>
      <c r="IB4" s="89">
        <f t="shared" si="16"/>
        <v>1098508.7490000001</v>
      </c>
      <c r="IC4" s="89">
        <f t="shared" si="16"/>
        <v>1099263.2080000001</v>
      </c>
      <c r="ID4" s="89">
        <f t="shared" si="16"/>
        <v>1099863.031</v>
      </c>
      <c r="IE4" s="89">
        <f t="shared" si="16"/>
        <v>1100659.77</v>
      </c>
      <c r="IF4" s="89">
        <f t="shared" si="16"/>
        <v>1101431.05</v>
      </c>
      <c r="IG4" s="89">
        <f t="shared" si="16"/>
        <v>1102136.1569999999</v>
      </c>
      <c r="IH4" s="89">
        <f t="shared" si="16"/>
        <v>1102947.0049999999</v>
      </c>
      <c r="II4" s="89">
        <f t="shared" si="16"/>
        <v>1103765.02</v>
      </c>
      <c r="IJ4" s="89">
        <f t="shared" si="16"/>
        <v>1104565.254</v>
      </c>
      <c r="IK4" s="89">
        <f t="shared" si="16"/>
        <v>1105217.1440000001</v>
      </c>
      <c r="IL4" s="89">
        <f t="shared" si="16"/>
        <v>1106084.621</v>
      </c>
      <c r="IM4" s="89">
        <f t="shared" si="16"/>
        <v>1106812.2790000001</v>
      </c>
      <c r="IN4" s="89">
        <f t="shared" si="16"/>
        <v>1107615.3</v>
      </c>
      <c r="IO4" s="89">
        <f t="shared" si="16"/>
        <v>1108498.8189999999</v>
      </c>
      <c r="IP4" s="89">
        <f t="shared" si="16"/>
        <v>1109221.9029999999</v>
      </c>
      <c r="IQ4" s="89">
        <f t="shared" si="16"/>
        <v>1110050.5460000001</v>
      </c>
      <c r="IR4" s="89">
        <f t="shared" si="16"/>
        <v>1110924.031</v>
      </c>
      <c r="IS4" s="89">
        <f t="shared" si="16"/>
        <v>1111642.1640000001</v>
      </c>
      <c r="IT4" s="89">
        <f t="shared" si="16"/>
        <v>1112550.598</v>
      </c>
      <c r="IU4" s="125" t="s">
        <v>21</v>
      </c>
      <c r="IV4" s="89">
        <f>IT5</f>
        <v>1113166.75</v>
      </c>
      <c r="IW4" s="89">
        <f t="shared" ref="IW4:JY4" si="17">IV5</f>
        <v>1113854.433</v>
      </c>
      <c r="IX4" s="89">
        <f t="shared" si="17"/>
        <v>1114684.328</v>
      </c>
      <c r="IY4" s="89">
        <f t="shared" si="17"/>
        <v>1115334.817</v>
      </c>
      <c r="IZ4" s="89">
        <f t="shared" si="17"/>
        <v>1115999.3689999999</v>
      </c>
      <c r="JA4" s="89">
        <f t="shared" si="17"/>
        <v>1116784.818</v>
      </c>
      <c r="JB4" s="89">
        <f t="shared" si="17"/>
        <v>1117750.328</v>
      </c>
      <c r="JC4" s="89">
        <f t="shared" si="17"/>
        <v>1118519.7039999999</v>
      </c>
      <c r="JD4" s="89">
        <f t="shared" si="17"/>
        <v>1119326.3049999999</v>
      </c>
      <c r="JE4" s="89">
        <f t="shared" si="17"/>
        <v>1120046.274</v>
      </c>
      <c r="JF4" s="89">
        <f t="shared" si="17"/>
        <v>1120713.888</v>
      </c>
      <c r="JG4" s="89">
        <f t="shared" si="17"/>
        <v>1121295.27</v>
      </c>
      <c r="JH4" s="89">
        <f t="shared" si="17"/>
        <v>1122093.1470000001</v>
      </c>
      <c r="JI4" s="89">
        <f t="shared" si="17"/>
        <v>1122866.139</v>
      </c>
      <c r="JJ4" s="89">
        <f t="shared" si="17"/>
        <v>1123422.4380000001</v>
      </c>
      <c r="JK4" s="89">
        <f t="shared" si="17"/>
        <v>1124277.6599999999</v>
      </c>
      <c r="JL4" s="89">
        <f t="shared" si="17"/>
        <v>1124903.993</v>
      </c>
      <c r="JM4" s="89">
        <f t="shared" si="17"/>
        <v>1125543.817</v>
      </c>
      <c r="JN4" s="89">
        <f t="shared" si="17"/>
        <v>1126076.8060000001</v>
      </c>
      <c r="JO4" s="89">
        <f t="shared" si="17"/>
        <v>1126772.774</v>
      </c>
      <c r="JP4" s="89">
        <f t="shared" si="17"/>
        <v>1127383.3430000001</v>
      </c>
      <c r="JQ4" s="89">
        <f t="shared" si="17"/>
        <v>1128083.8640000001</v>
      </c>
      <c r="JR4" s="89">
        <f t="shared" si="17"/>
        <v>1128891.726</v>
      </c>
      <c r="JS4" s="89">
        <f t="shared" si="17"/>
        <v>1129548.811</v>
      </c>
      <c r="JT4" s="89">
        <f t="shared" si="17"/>
        <v>1130314.4240000001</v>
      </c>
      <c r="JU4" s="89">
        <f t="shared" si="17"/>
        <v>1131000.9750000001</v>
      </c>
      <c r="JV4" s="89">
        <f t="shared" si="17"/>
        <v>1131783.159</v>
      </c>
      <c r="JW4" s="89">
        <f t="shared" si="17"/>
        <v>1132805.5049999999</v>
      </c>
      <c r="JX4" s="89">
        <f t="shared" si="17"/>
        <v>1133628.8419999999</v>
      </c>
      <c r="JY4" s="89">
        <f t="shared" si="17"/>
        <v>1134444.7709999999</v>
      </c>
      <c r="JZ4" s="125"/>
      <c r="KA4" s="89">
        <f>JY5</f>
        <v>1135056.666</v>
      </c>
      <c r="KB4" s="89">
        <f t="shared" ref="KB4:LE4" si="18">KA5</f>
        <v>1135956.9669999999</v>
      </c>
      <c r="KC4" s="89">
        <f t="shared" si="18"/>
        <v>1136654.4790000001</v>
      </c>
      <c r="KD4" s="89">
        <f t="shared" si="18"/>
        <v>1137375.6499999999</v>
      </c>
      <c r="KE4" s="89">
        <f t="shared" si="18"/>
        <v>1138282.5149999999</v>
      </c>
      <c r="KF4" s="89">
        <f t="shared" si="18"/>
        <v>1139070.514</v>
      </c>
      <c r="KG4" s="89">
        <f t="shared" si="18"/>
        <v>1139844.6100000001</v>
      </c>
      <c r="KH4" s="89">
        <f t="shared" si="18"/>
        <v>1140620.4680000001</v>
      </c>
      <c r="KI4" s="89">
        <f t="shared" si="18"/>
        <v>1141220.179</v>
      </c>
      <c r="KJ4" s="89">
        <f t="shared" si="18"/>
        <v>1141917.706</v>
      </c>
      <c r="KK4" s="89">
        <f t="shared" si="18"/>
        <v>1142739.223</v>
      </c>
      <c r="KL4" s="89">
        <f t="shared" si="18"/>
        <v>1143631.46</v>
      </c>
      <c r="KM4" s="89">
        <f t="shared" si="18"/>
        <v>1144320.93</v>
      </c>
      <c r="KN4" s="89">
        <f t="shared" si="18"/>
        <v>1145191.3459999999</v>
      </c>
      <c r="KO4" s="89">
        <f t="shared" si="18"/>
        <v>1145868.2990000001</v>
      </c>
      <c r="KP4" s="89">
        <f t="shared" si="18"/>
        <v>1146452.496</v>
      </c>
      <c r="KQ4" s="89">
        <f t="shared" si="18"/>
        <v>1147303.246</v>
      </c>
      <c r="KR4" s="89">
        <f t="shared" si="18"/>
        <v>1148055.3049999999</v>
      </c>
      <c r="KS4" s="89">
        <f t="shared" si="18"/>
        <v>1148915.615</v>
      </c>
      <c r="KT4" s="89">
        <f t="shared" si="18"/>
        <v>1149693.1459999999</v>
      </c>
      <c r="KU4" s="89">
        <f t="shared" si="18"/>
        <v>1150529.5090000001</v>
      </c>
      <c r="KV4" s="89">
        <f t="shared" si="18"/>
        <v>1151155.8670000001</v>
      </c>
      <c r="KW4" s="89">
        <f t="shared" si="18"/>
        <v>1151854.9809999999</v>
      </c>
      <c r="KX4" s="89">
        <f t="shared" si="18"/>
        <v>1152639.5</v>
      </c>
      <c r="KY4" s="89">
        <f t="shared" si="18"/>
        <v>1153464.051</v>
      </c>
      <c r="KZ4" s="89">
        <f t="shared" si="18"/>
        <v>1154279.7309999999</v>
      </c>
      <c r="LA4" s="89">
        <f t="shared" si="18"/>
        <v>1155010.32</v>
      </c>
      <c r="LB4" s="89">
        <f t="shared" si="18"/>
        <v>1155724.139</v>
      </c>
      <c r="LC4" s="89">
        <f t="shared" si="18"/>
        <v>1156535.365</v>
      </c>
      <c r="LD4" s="89">
        <f t="shared" si="18"/>
        <v>1157259.811</v>
      </c>
      <c r="LE4" s="89">
        <f t="shared" si="18"/>
        <v>1158024.1029999999</v>
      </c>
      <c r="LF4" s="125"/>
      <c r="LG4" s="89">
        <f>LE5</f>
        <v>1158991.973</v>
      </c>
      <c r="LH4" s="89">
        <f t="shared" ref="LH4:MJ4" si="19">LG5</f>
        <v>1159784.4129999999</v>
      </c>
      <c r="LI4" s="89">
        <f t="shared" si="19"/>
        <v>1160364.875</v>
      </c>
      <c r="LJ4" s="89">
        <f t="shared" si="19"/>
        <v>1161248.675</v>
      </c>
      <c r="LK4" s="89">
        <f t="shared" si="19"/>
        <v>1162145.9180000001</v>
      </c>
      <c r="LL4" s="89">
        <f t="shared" si="19"/>
        <v>1162876.8259999999</v>
      </c>
      <c r="LM4" s="89">
        <f t="shared" si="19"/>
        <v>1163637.3529999999</v>
      </c>
      <c r="LN4" s="89">
        <f t="shared" si="19"/>
        <v>1164406.871</v>
      </c>
      <c r="LO4" s="89">
        <f t="shared" si="19"/>
        <v>1165439.47</v>
      </c>
      <c r="LP4" s="89">
        <f t="shared" si="19"/>
        <v>1166463.0630000001</v>
      </c>
      <c r="LQ4" s="89">
        <f t="shared" si="19"/>
        <v>1167341.8500000001</v>
      </c>
      <c r="LR4" s="89">
        <f t="shared" si="19"/>
        <v>1168165.3289999999</v>
      </c>
      <c r="LS4" s="89">
        <f t="shared" si="19"/>
        <v>1168962.422</v>
      </c>
      <c r="LT4" s="89">
        <f t="shared" si="19"/>
        <v>1169906.9269999999</v>
      </c>
      <c r="LU4" s="89">
        <f t="shared" si="19"/>
        <v>1170668.8540000001</v>
      </c>
      <c r="LV4" s="89">
        <f t="shared" si="19"/>
        <v>1171691.405</v>
      </c>
      <c r="LW4" s="89">
        <f t="shared" si="19"/>
        <v>1172506.5109999999</v>
      </c>
      <c r="LX4" s="89">
        <f t="shared" si="19"/>
        <v>1173335.5109999999</v>
      </c>
      <c r="LY4" s="89">
        <f t="shared" si="19"/>
        <v>1174088.5870000001</v>
      </c>
      <c r="LZ4" s="89">
        <f t="shared" si="19"/>
        <v>1174841.1710000001</v>
      </c>
      <c r="MA4" s="89">
        <f t="shared" si="19"/>
        <v>1175577.93</v>
      </c>
      <c r="MB4" s="89">
        <f t="shared" si="19"/>
        <v>1176399.2960000001</v>
      </c>
      <c r="MC4" s="89">
        <f t="shared" si="19"/>
        <v>1177122.9879999999</v>
      </c>
      <c r="MD4" s="89">
        <f t="shared" si="19"/>
        <v>1177921.743</v>
      </c>
      <c r="ME4" s="89">
        <f t="shared" si="19"/>
        <v>1178945.2080000001</v>
      </c>
      <c r="MF4" s="89">
        <f t="shared" si="19"/>
        <v>1179649.1470000001</v>
      </c>
      <c r="MG4" s="89">
        <f t="shared" si="19"/>
        <v>1180494.2069999999</v>
      </c>
      <c r="MH4" s="89">
        <f t="shared" si="19"/>
        <v>1181070.95</v>
      </c>
      <c r="MI4" s="89">
        <f t="shared" si="19"/>
        <v>1181947.4480000001</v>
      </c>
      <c r="MJ4" s="89">
        <f t="shared" si="19"/>
        <v>1182762.3230000001</v>
      </c>
      <c r="MK4" s="125"/>
      <c r="ML4" s="89">
        <f>MJ5</f>
        <v>1183692.226</v>
      </c>
      <c r="MM4" s="89">
        <f t="shared" ref="MM4:NP4" si="20">ML5</f>
        <v>1184703.2590000001</v>
      </c>
      <c r="MN4" s="89">
        <f t="shared" si="20"/>
        <v>1185513.872</v>
      </c>
      <c r="MO4" s="89">
        <f t="shared" si="20"/>
        <v>1186268.1740000001</v>
      </c>
      <c r="MP4" s="89">
        <f t="shared" si="20"/>
        <v>1186915.1170000001</v>
      </c>
      <c r="MQ4" s="89">
        <f t="shared" si="20"/>
        <v>1187869.561</v>
      </c>
      <c r="MR4" s="89">
        <f t="shared" si="20"/>
        <v>1188770.7860000001</v>
      </c>
      <c r="MS4" s="89">
        <f t="shared" si="20"/>
        <v>1189546.6159999999</v>
      </c>
      <c r="MT4" s="89">
        <f t="shared" si="20"/>
        <v>1190400.827</v>
      </c>
      <c r="MU4" s="89">
        <f t="shared" si="20"/>
        <v>1191200.189</v>
      </c>
      <c r="MV4" s="89">
        <f t="shared" si="20"/>
        <v>1191923.7409999999</v>
      </c>
      <c r="MW4" s="89">
        <f t="shared" si="20"/>
        <v>1192703.2320000001</v>
      </c>
      <c r="MX4" s="89">
        <f t="shared" si="20"/>
        <v>1193429.53</v>
      </c>
      <c r="MY4" s="89">
        <f t="shared" si="20"/>
        <v>1194323.72</v>
      </c>
      <c r="MZ4" s="89">
        <f t="shared" si="20"/>
        <v>1195022.8999999999</v>
      </c>
      <c r="NA4" s="89">
        <f t="shared" si="20"/>
        <v>1195785.7560000001</v>
      </c>
      <c r="NB4" s="89">
        <f t="shared" si="20"/>
        <v>1196536.17</v>
      </c>
      <c r="NC4" s="89">
        <f t="shared" si="20"/>
        <v>1197228.78</v>
      </c>
      <c r="ND4" s="89">
        <f t="shared" si="20"/>
        <v>1198071.8829999999</v>
      </c>
      <c r="NE4" s="89">
        <f t="shared" si="20"/>
        <v>1198870.3870000001</v>
      </c>
      <c r="NF4" s="89">
        <f t="shared" si="20"/>
        <v>1199777.548</v>
      </c>
      <c r="NG4" s="89">
        <f t="shared" si="20"/>
        <v>1200622.7169999999</v>
      </c>
      <c r="NH4" s="89">
        <f t="shared" si="20"/>
        <v>1201405.977</v>
      </c>
      <c r="NI4" s="89">
        <f t="shared" si="20"/>
        <v>1202087.1370000001</v>
      </c>
      <c r="NJ4" s="89">
        <f t="shared" si="20"/>
        <v>1202752.024</v>
      </c>
      <c r="NK4" s="89">
        <f t="shared" si="20"/>
        <v>1203555.219</v>
      </c>
      <c r="NL4" s="89">
        <f t="shared" si="20"/>
        <v>1204310.5449999999</v>
      </c>
      <c r="NM4" s="89">
        <f t="shared" si="20"/>
        <v>1205358.264</v>
      </c>
      <c r="NN4" s="89">
        <f t="shared" si="20"/>
        <v>1205998.7050000001</v>
      </c>
      <c r="NO4" s="89">
        <f t="shared" si="20"/>
        <v>1206942.7039999999</v>
      </c>
      <c r="NP4" s="89">
        <f t="shared" si="20"/>
        <v>1207754.8970000001</v>
      </c>
      <c r="NQ4" s="125"/>
      <c r="NR4" s="89">
        <f>NP5</f>
        <v>1208405.574</v>
      </c>
      <c r="NS4" s="89">
        <f t="shared" ref="NS4:OV4" si="21">NR5</f>
        <v>1209225.5859999999</v>
      </c>
      <c r="NT4" s="89">
        <f t="shared" si="21"/>
        <v>1210007.5090000001</v>
      </c>
      <c r="NU4" s="89">
        <f t="shared" si="21"/>
        <v>1210931.8840000001</v>
      </c>
      <c r="NV4" s="89">
        <f t="shared" si="21"/>
        <v>1211765.9920000001</v>
      </c>
      <c r="NW4" s="89">
        <f t="shared" si="21"/>
        <v>1212528.622</v>
      </c>
      <c r="NX4" s="89">
        <f t="shared" si="21"/>
        <v>1213449.9509999999</v>
      </c>
      <c r="NY4" s="89">
        <f t="shared" si="21"/>
        <v>1214213.9350000001</v>
      </c>
      <c r="NZ4" s="89">
        <f t="shared" si="21"/>
        <v>1215050.3589999999</v>
      </c>
      <c r="OA4" s="89">
        <f t="shared" si="21"/>
        <v>1215970.368</v>
      </c>
      <c r="OB4" s="89">
        <f t="shared" si="21"/>
        <v>1216910.291</v>
      </c>
      <c r="OC4" s="89">
        <f t="shared" si="21"/>
        <v>1217508.73</v>
      </c>
      <c r="OD4" s="89">
        <f t="shared" si="21"/>
        <v>1218349.706</v>
      </c>
      <c r="OE4" s="89">
        <f t="shared" si="21"/>
        <v>1219155.341</v>
      </c>
      <c r="OF4" s="89">
        <f t="shared" si="21"/>
        <v>1220009.5390000001</v>
      </c>
      <c r="OG4" s="89">
        <f t="shared" si="21"/>
        <v>1220729.9469999999</v>
      </c>
      <c r="OH4" s="89">
        <f t="shared" si="21"/>
        <v>1221501.925</v>
      </c>
      <c r="OI4" s="89">
        <f t="shared" si="21"/>
        <v>1222466.4790000001</v>
      </c>
      <c r="OJ4" s="89">
        <f t="shared" si="21"/>
        <v>1223269.7309999999</v>
      </c>
      <c r="OK4" s="89">
        <f t="shared" si="21"/>
        <v>1224060.7590000001</v>
      </c>
      <c r="OL4" s="89">
        <f t="shared" si="21"/>
        <v>1224798.4140000001</v>
      </c>
      <c r="OM4" s="89">
        <f t="shared" si="21"/>
        <v>1225496.9639999999</v>
      </c>
      <c r="ON4" s="89">
        <f t="shared" si="21"/>
        <v>1226345.7690000001</v>
      </c>
      <c r="OO4" s="89">
        <f t="shared" si="21"/>
        <v>1227074.1140000001</v>
      </c>
      <c r="OP4" s="89">
        <f t="shared" si="21"/>
        <v>1227967.264</v>
      </c>
      <c r="OQ4" s="89">
        <f t="shared" si="21"/>
        <v>1228549.9979999999</v>
      </c>
      <c r="OR4" s="89">
        <f t="shared" si="21"/>
        <v>1229261.1299999999</v>
      </c>
      <c r="OS4" s="89">
        <f t="shared" si="21"/>
        <v>1230047.3370000001</v>
      </c>
      <c r="OT4" s="89">
        <f t="shared" si="21"/>
        <v>1230704.456</v>
      </c>
      <c r="OU4" s="89">
        <f t="shared" si="21"/>
        <v>1231529.419</v>
      </c>
      <c r="OV4" s="89">
        <f t="shared" si="21"/>
        <v>1232313.52</v>
      </c>
      <c r="OW4" s="125"/>
      <c r="OX4" s="89">
        <f>OV5</f>
        <v>1233154.5379999999</v>
      </c>
      <c r="OY4" s="89">
        <f t="shared" ref="OY4:QA4" si="22">OX5</f>
        <v>1233865.27</v>
      </c>
      <c r="OZ4" s="89">
        <f t="shared" si="22"/>
        <v>1234672.649</v>
      </c>
      <c r="PA4" s="89">
        <f t="shared" si="22"/>
        <v>1235408.915</v>
      </c>
      <c r="PB4" s="89">
        <f t="shared" si="22"/>
        <v>1236157.9269999999</v>
      </c>
      <c r="PC4" s="89">
        <f t="shared" si="22"/>
        <v>1236827.189</v>
      </c>
      <c r="PD4" s="89">
        <f t="shared" si="22"/>
        <v>1237607.3</v>
      </c>
      <c r="PE4" s="89">
        <f t="shared" si="22"/>
        <v>1238300.2679999999</v>
      </c>
      <c r="PF4" s="89">
        <f t="shared" si="22"/>
        <v>1239057.1440000001</v>
      </c>
      <c r="PG4" s="89">
        <f t="shared" si="22"/>
        <v>1240000.254</v>
      </c>
      <c r="PH4" s="89">
        <f t="shared" si="22"/>
        <v>1240858.9990000001</v>
      </c>
      <c r="PI4" s="89">
        <f t="shared" si="22"/>
        <v>1241560.415</v>
      </c>
      <c r="PJ4" s="89">
        <f t="shared" si="22"/>
        <v>1242236.311</v>
      </c>
      <c r="PK4" s="89">
        <f t="shared" si="22"/>
        <v>1243133.82</v>
      </c>
      <c r="PL4" s="89">
        <f t="shared" si="22"/>
        <v>1243925.2830000001</v>
      </c>
      <c r="PM4" s="89">
        <f t="shared" si="22"/>
        <v>1244549.003</v>
      </c>
      <c r="PN4" s="89">
        <f t="shared" si="22"/>
        <v>1245454.861</v>
      </c>
      <c r="PO4" s="89">
        <f t="shared" si="22"/>
        <v>1246331.274</v>
      </c>
      <c r="PP4" s="89">
        <f t="shared" si="22"/>
        <v>1247000.327</v>
      </c>
      <c r="PQ4" s="89">
        <f t="shared" si="22"/>
        <v>1247549.213</v>
      </c>
      <c r="PR4" s="89">
        <f t="shared" si="22"/>
        <v>1248268.078</v>
      </c>
      <c r="PS4" s="89">
        <f t="shared" si="22"/>
        <v>1248879.9979999999</v>
      </c>
      <c r="PT4" s="89">
        <f t="shared" si="22"/>
        <v>1249497.07</v>
      </c>
      <c r="PU4" s="89">
        <f t="shared" si="22"/>
        <v>1250214.4879999999</v>
      </c>
      <c r="PV4" s="89">
        <f t="shared" si="22"/>
        <v>1250943.0379999999</v>
      </c>
      <c r="PW4" s="89">
        <f t="shared" si="22"/>
        <v>1251623.128</v>
      </c>
      <c r="PX4" s="89">
        <f t="shared" si="22"/>
        <v>1252194.227</v>
      </c>
      <c r="PY4" s="89">
        <f t="shared" si="22"/>
        <v>1252915.2679999999</v>
      </c>
      <c r="PZ4" s="89">
        <f t="shared" si="22"/>
        <v>1253595</v>
      </c>
      <c r="QA4" s="89">
        <f t="shared" si="22"/>
        <v>1253947.0970000001</v>
      </c>
      <c r="QB4" s="125"/>
      <c r="QC4" s="89">
        <f>QA5</f>
        <v>1254683.629</v>
      </c>
      <c r="QD4" s="89">
        <f t="shared" ref="QD4:RG4" si="23">QC5</f>
        <v>1255375.112</v>
      </c>
      <c r="QE4" s="89">
        <f t="shared" si="23"/>
        <v>1255971.3899999999</v>
      </c>
      <c r="QF4" s="89">
        <f t="shared" si="23"/>
        <v>1256654.7790000001</v>
      </c>
      <c r="QG4" s="89">
        <f t="shared" si="23"/>
        <v>1257470.966</v>
      </c>
      <c r="QH4" s="89">
        <f t="shared" si="23"/>
        <v>1258315</v>
      </c>
      <c r="QI4" s="89">
        <f t="shared" si="23"/>
        <v>1258980.746</v>
      </c>
      <c r="QJ4" s="89">
        <f t="shared" si="23"/>
        <v>1259907.8160000001</v>
      </c>
      <c r="QK4" s="89">
        <f t="shared" si="23"/>
        <v>1260625.0160000001</v>
      </c>
      <c r="QL4" s="89">
        <f t="shared" si="23"/>
        <v>1261369.878</v>
      </c>
      <c r="QM4" s="89">
        <f t="shared" si="23"/>
        <v>1262063.078</v>
      </c>
      <c r="QN4" s="89">
        <f t="shared" si="23"/>
        <v>1262985.3149999999</v>
      </c>
      <c r="QO4" s="89">
        <f t="shared" si="23"/>
        <v>1263852.8400000001</v>
      </c>
      <c r="QP4" s="89">
        <f t="shared" si="23"/>
        <v>1264640.78</v>
      </c>
      <c r="QQ4" s="89">
        <f t="shared" si="23"/>
        <v>1265550.0619999999</v>
      </c>
      <c r="QR4" s="89">
        <f t="shared" si="23"/>
        <v>1266235.879</v>
      </c>
      <c r="QS4" s="89">
        <f t="shared" si="23"/>
        <v>1266871.686</v>
      </c>
      <c r="QT4" s="89">
        <f t="shared" si="23"/>
        <v>1267623.9110000001</v>
      </c>
      <c r="QU4" s="89">
        <f t="shared" si="23"/>
        <v>1268521.6599999999</v>
      </c>
      <c r="QV4" s="89">
        <f t="shared" si="23"/>
        <v>1269212.2590000001</v>
      </c>
      <c r="QW4" s="89">
        <f t="shared" si="23"/>
        <v>1270014.24</v>
      </c>
      <c r="QX4" s="89">
        <f t="shared" si="23"/>
        <v>1270658.922</v>
      </c>
      <c r="QY4" s="89">
        <f t="shared" si="23"/>
        <v>1271340.8289999999</v>
      </c>
      <c r="QZ4" s="89">
        <f t="shared" si="23"/>
        <v>1272058.0290000001</v>
      </c>
      <c r="RA4" s="89">
        <f t="shared" si="23"/>
        <v>1272718.838</v>
      </c>
      <c r="RB4" s="89">
        <f t="shared" si="23"/>
        <v>1273533.8899999999</v>
      </c>
      <c r="RC4" s="89">
        <f t="shared" si="23"/>
        <v>1274327.267</v>
      </c>
      <c r="RD4" s="89">
        <f t="shared" si="23"/>
        <v>1274947.3670000001</v>
      </c>
      <c r="RE4" s="89">
        <f t="shared" si="23"/>
        <v>1275628.6669999999</v>
      </c>
      <c r="RF4" s="89">
        <f t="shared" si="23"/>
        <v>1276246.5889999999</v>
      </c>
      <c r="RG4" s="89">
        <f t="shared" si="23"/>
        <v>1276794.048</v>
      </c>
      <c r="RH4" s="125"/>
      <c r="RI4" s="89">
        <f>RG5</f>
        <v>1277512.355</v>
      </c>
      <c r="RJ4" s="89">
        <f t="shared" ref="RJ4:SL4" si="24">RI5</f>
        <v>1278303.0830000001</v>
      </c>
      <c r="RK4" s="89">
        <f t="shared" si="24"/>
        <v>1279124.013</v>
      </c>
      <c r="RL4" s="89">
        <f t="shared" si="24"/>
        <v>1279829.9180000001</v>
      </c>
      <c r="RM4" s="89">
        <f t="shared" si="24"/>
        <v>1280602.8119999999</v>
      </c>
      <c r="RN4" s="89">
        <f t="shared" si="24"/>
        <v>1281259.4080000001</v>
      </c>
      <c r="RO4" s="89">
        <f t="shared" si="24"/>
        <v>1281853.6580000001</v>
      </c>
      <c r="RP4" s="89">
        <f t="shared" si="24"/>
        <v>1282393.6429999999</v>
      </c>
      <c r="RQ4" s="89">
        <f t="shared" si="24"/>
        <v>1283191.632</v>
      </c>
      <c r="RR4" s="89">
        <f t="shared" si="24"/>
        <v>1283844.068</v>
      </c>
      <c r="RS4" s="89">
        <f t="shared" si="24"/>
        <v>1284639.068</v>
      </c>
      <c r="RT4" s="89">
        <f t="shared" si="24"/>
        <v>1285336.8759999999</v>
      </c>
      <c r="RU4" s="89">
        <f t="shared" si="24"/>
        <v>1285988.57</v>
      </c>
      <c r="RV4" s="89">
        <f t="shared" si="24"/>
        <v>1286675.55</v>
      </c>
      <c r="RW4" s="89">
        <f t="shared" si="24"/>
        <v>1287192.915</v>
      </c>
      <c r="RX4" s="89">
        <f t="shared" si="24"/>
        <v>1287834.6140000001</v>
      </c>
      <c r="RY4" s="89">
        <f t="shared" si="24"/>
        <v>1288546.662</v>
      </c>
      <c r="RZ4" s="89">
        <f t="shared" si="24"/>
        <v>1289170.0279999999</v>
      </c>
      <c r="SA4" s="89">
        <f t="shared" si="24"/>
        <v>1289784.746</v>
      </c>
      <c r="SB4" s="89">
        <f t="shared" si="24"/>
        <v>1290602.0349999999</v>
      </c>
      <c r="SC4" s="89">
        <f t="shared" si="24"/>
        <v>1291283.2679999999</v>
      </c>
      <c r="SD4" s="89">
        <f t="shared" si="24"/>
        <v>1291876.314</v>
      </c>
      <c r="SE4" s="89">
        <f t="shared" si="24"/>
        <v>1292653.5009999999</v>
      </c>
      <c r="SF4" s="89">
        <f t="shared" si="24"/>
        <v>1293472.077</v>
      </c>
      <c r="SG4" s="89">
        <f t="shared" si="24"/>
        <v>1294163.615</v>
      </c>
      <c r="SH4" s="89">
        <f t="shared" si="24"/>
        <v>1294981.8500000001</v>
      </c>
      <c r="SI4" s="89">
        <f t="shared" si="24"/>
        <v>1295633.923</v>
      </c>
      <c r="SJ4" s="89">
        <f t="shared" si="24"/>
        <v>1296390.2139999999</v>
      </c>
      <c r="SK4" s="89">
        <f t="shared" si="24"/>
        <v>1297111.2879999999</v>
      </c>
      <c r="SL4" s="89">
        <f t="shared" si="24"/>
        <v>1297818.2439999999</v>
      </c>
      <c r="SM4" s="125"/>
      <c r="SN4" s="89">
        <f>SL5</f>
        <v>1298686.344</v>
      </c>
      <c r="SO4" s="89">
        <f t="shared" ref="SO4:TR4" si="25">SN5</f>
        <v>1299350.7720000001</v>
      </c>
      <c r="SP4" s="89">
        <f t="shared" si="25"/>
        <v>1300230.078</v>
      </c>
      <c r="SQ4" s="89">
        <f t="shared" si="25"/>
        <v>1300920.442</v>
      </c>
      <c r="SR4" s="89">
        <f t="shared" si="25"/>
        <v>1301688.977</v>
      </c>
      <c r="SS4" s="89">
        <f t="shared" si="25"/>
        <v>1302337.085</v>
      </c>
      <c r="ST4" s="89">
        <f t="shared" si="25"/>
        <v>1303089.0630000001</v>
      </c>
      <c r="SU4" s="89">
        <f t="shared" si="25"/>
        <v>1304173.8489999999</v>
      </c>
      <c r="SV4" s="89">
        <f t="shared" si="25"/>
        <v>1304926.476</v>
      </c>
      <c r="SW4" s="89">
        <f t="shared" si="25"/>
        <v>1305695.7949999999</v>
      </c>
      <c r="SX4" s="89">
        <f t="shared" si="25"/>
        <v>1306365.192</v>
      </c>
      <c r="SY4" s="89">
        <f t="shared" si="25"/>
        <v>1307127.781</v>
      </c>
      <c r="SZ4" s="89">
        <f t="shared" si="25"/>
        <v>1307873.351</v>
      </c>
      <c r="TA4" s="89">
        <f t="shared" si="25"/>
        <v>1308749.94</v>
      </c>
      <c r="TB4" s="89">
        <f t="shared" si="25"/>
        <v>1309575.5290000001</v>
      </c>
      <c r="TC4" s="89">
        <f t="shared" si="25"/>
        <v>1310259.7620000001</v>
      </c>
      <c r="TD4" s="89">
        <f t="shared" si="25"/>
        <v>1311034.3019999999</v>
      </c>
      <c r="TE4" s="89">
        <f t="shared" si="25"/>
        <v>1311861.419</v>
      </c>
      <c r="TF4" s="89">
        <f t="shared" si="25"/>
        <v>1312676.1129999999</v>
      </c>
      <c r="TG4" s="89">
        <f t="shared" si="25"/>
        <v>1313483.4069999999</v>
      </c>
      <c r="TH4" s="89">
        <f t="shared" si="25"/>
        <v>1314309.33</v>
      </c>
      <c r="TI4" s="89">
        <f t="shared" si="25"/>
        <v>1315269.649</v>
      </c>
      <c r="TJ4" s="89">
        <f t="shared" si="25"/>
        <v>1316228.1459999999</v>
      </c>
      <c r="TK4" s="89">
        <f t="shared" si="25"/>
        <v>1317170.817</v>
      </c>
      <c r="TL4" s="89">
        <f t="shared" si="25"/>
        <v>1318031.9809999999</v>
      </c>
      <c r="TM4" s="89">
        <f t="shared" si="25"/>
        <v>1318707</v>
      </c>
      <c r="TN4" s="89">
        <f t="shared" si="25"/>
        <v>1319283.51</v>
      </c>
      <c r="TO4" s="89">
        <f t="shared" si="25"/>
        <v>1319912.2339999999</v>
      </c>
      <c r="TP4" s="89">
        <f t="shared" si="25"/>
        <v>1320706.716</v>
      </c>
      <c r="TQ4" s="89">
        <f t="shared" si="25"/>
        <v>1321225.9080000001</v>
      </c>
      <c r="TR4" s="89">
        <f t="shared" si="25"/>
        <v>1321839.317</v>
      </c>
      <c r="TS4" s="125"/>
      <c r="TT4" s="89">
        <f>TR5</f>
        <v>1322665.5079999999</v>
      </c>
      <c r="TU4" s="89">
        <f t="shared" ref="TU4:UX4" si="26">TT5</f>
        <v>1323334.7930000001</v>
      </c>
      <c r="TV4" s="89">
        <f t="shared" si="26"/>
        <v>1324006.719</v>
      </c>
      <c r="TW4" s="89">
        <f t="shared" si="26"/>
        <v>1324676.8770000001</v>
      </c>
      <c r="TX4" s="89">
        <f t="shared" si="26"/>
        <v>1325347.7379999999</v>
      </c>
      <c r="TY4" s="89">
        <f t="shared" si="26"/>
        <v>1325977.8319999999</v>
      </c>
      <c r="TZ4" s="89">
        <f t="shared" si="26"/>
        <v>1326741.3319999999</v>
      </c>
      <c r="UA4" s="89">
        <f t="shared" si="26"/>
        <v>1327531.753</v>
      </c>
      <c r="UB4" s="89">
        <f t="shared" si="26"/>
        <v>1328215.7069999999</v>
      </c>
      <c r="UC4" s="89">
        <f t="shared" si="26"/>
        <v>1328861.2890000001</v>
      </c>
      <c r="UD4" s="89">
        <f t="shared" si="26"/>
        <v>1329520.25</v>
      </c>
      <c r="UE4" s="89">
        <f t="shared" si="26"/>
        <v>1330290.2960000001</v>
      </c>
      <c r="UF4" s="89">
        <f t="shared" si="26"/>
        <v>1330902.9950000001</v>
      </c>
      <c r="UG4" s="89">
        <f t="shared" si="26"/>
        <v>1331630.389</v>
      </c>
      <c r="UH4" s="89">
        <f t="shared" si="26"/>
        <v>1332449.825</v>
      </c>
      <c r="UI4" s="89">
        <f t="shared" si="26"/>
        <v>1333280.8089999999</v>
      </c>
      <c r="UJ4" s="89">
        <f t="shared" si="26"/>
        <v>1334095.652</v>
      </c>
      <c r="UK4" s="89">
        <f t="shared" si="26"/>
        <v>1334924.4879999999</v>
      </c>
      <c r="UL4" s="89">
        <f t="shared" si="26"/>
        <v>1335639.9480000001</v>
      </c>
      <c r="UM4" s="89">
        <f t="shared" si="26"/>
        <v>1336267.9939999999</v>
      </c>
      <c r="UN4" s="89">
        <f t="shared" si="26"/>
        <v>1337003.73</v>
      </c>
      <c r="UO4" s="89">
        <f t="shared" si="26"/>
        <v>1337646.703</v>
      </c>
      <c r="UP4" s="89">
        <f t="shared" si="26"/>
        <v>1338441.1850000001</v>
      </c>
      <c r="UQ4" s="89">
        <f t="shared" si="26"/>
        <v>1339194.5449999999</v>
      </c>
      <c r="UR4" s="89">
        <f t="shared" si="26"/>
        <v>1340118.5630000001</v>
      </c>
      <c r="US4" s="89">
        <f t="shared" si="26"/>
        <v>1340800.7039999999</v>
      </c>
      <c r="UT4" s="89">
        <f t="shared" si="26"/>
        <v>1341451.531</v>
      </c>
      <c r="UU4" s="89">
        <f t="shared" si="26"/>
        <v>1342182.442</v>
      </c>
      <c r="UV4" s="89">
        <f t="shared" si="26"/>
        <v>1342900.8330000001</v>
      </c>
      <c r="UW4" s="89">
        <f t="shared" si="26"/>
        <v>1343606.243</v>
      </c>
      <c r="UX4" s="89">
        <f t="shared" si="26"/>
        <v>1344387.078</v>
      </c>
      <c r="UY4" s="125"/>
      <c r="UZ4" s="89">
        <f>UX5</f>
        <v>1345274.7220000001</v>
      </c>
      <c r="VA4" s="89">
        <f t="shared" ref="VA4:WA4" si="27">UZ5</f>
        <v>1346036.56</v>
      </c>
      <c r="VB4" s="89">
        <f t="shared" si="27"/>
        <v>1346776.716</v>
      </c>
      <c r="VC4" s="89">
        <f t="shared" si="27"/>
        <v>1347697.246</v>
      </c>
      <c r="VD4" s="89">
        <f t="shared" si="27"/>
        <v>1348404.034</v>
      </c>
      <c r="VE4" s="89">
        <f t="shared" si="27"/>
        <v>1349113.673</v>
      </c>
      <c r="VF4" s="89">
        <f t="shared" si="27"/>
        <v>1349840.0319999999</v>
      </c>
      <c r="VG4" s="89">
        <f t="shared" si="27"/>
        <v>1350607.5179999999</v>
      </c>
      <c r="VH4" s="89">
        <f t="shared" si="27"/>
        <v>1351328.5919999999</v>
      </c>
      <c r="VI4" s="89">
        <f t="shared" si="27"/>
        <v>1352018.4809999999</v>
      </c>
      <c r="VJ4" s="89">
        <f t="shared" si="27"/>
        <v>1352826.764</v>
      </c>
      <c r="VK4" s="89">
        <f t="shared" si="27"/>
        <v>1353455.909</v>
      </c>
      <c r="VL4" s="89">
        <f t="shared" si="27"/>
        <v>1354080.203</v>
      </c>
      <c r="VM4" s="89">
        <f t="shared" si="27"/>
        <v>1354896.095</v>
      </c>
      <c r="VN4" s="89">
        <f t="shared" si="27"/>
        <v>1355913.551</v>
      </c>
      <c r="VO4" s="89">
        <f t="shared" si="27"/>
        <v>1356532.7290000001</v>
      </c>
      <c r="VP4" s="89">
        <f t="shared" si="27"/>
        <v>1357296.1059999999</v>
      </c>
      <c r="VQ4" s="89">
        <f t="shared" si="27"/>
        <v>1358106.8759999999</v>
      </c>
      <c r="VR4" s="89">
        <f t="shared" si="27"/>
        <v>1358838.486</v>
      </c>
      <c r="VS4" s="89">
        <f t="shared" si="27"/>
        <v>1359521.348</v>
      </c>
      <c r="VT4" s="89">
        <f t="shared" si="27"/>
        <v>1360277.1710000001</v>
      </c>
      <c r="VU4" s="89">
        <f t="shared" si="27"/>
        <v>1360955.297</v>
      </c>
      <c r="VV4" s="89">
        <f t="shared" si="27"/>
        <v>1361720.8289999999</v>
      </c>
      <c r="VW4" s="89">
        <f t="shared" si="27"/>
        <v>1362360.068</v>
      </c>
      <c r="VX4" s="89">
        <f t="shared" si="27"/>
        <v>1363138.4720000001</v>
      </c>
      <c r="VY4" s="89">
        <f t="shared" si="27"/>
        <v>1363869.767</v>
      </c>
      <c r="VZ4" s="89">
        <f t="shared" si="27"/>
        <v>1364535.0419999999</v>
      </c>
      <c r="WA4" s="89">
        <f t="shared" si="27"/>
        <v>1365348.3929999999</v>
      </c>
      <c r="WB4" s="125"/>
      <c r="WC4" s="89">
        <f>WA5</f>
        <v>1366016.9609999999</v>
      </c>
      <c r="WD4" s="89">
        <f t="shared" ref="WD4:XG4" si="28">WC5</f>
        <v>1366691.936</v>
      </c>
      <c r="WE4" s="89">
        <f t="shared" si="28"/>
        <v>1367289.2579999999</v>
      </c>
      <c r="WF4" s="89">
        <f t="shared" si="28"/>
        <v>1367981.392</v>
      </c>
      <c r="WG4" s="89">
        <f t="shared" si="28"/>
        <v>1368591.5530000001</v>
      </c>
      <c r="WH4" s="89">
        <f t="shared" si="28"/>
        <v>1369087.037</v>
      </c>
      <c r="WI4" s="89">
        <f t="shared" si="28"/>
        <v>1369829.871</v>
      </c>
      <c r="WJ4" s="89">
        <f t="shared" si="28"/>
        <v>1370582.8359999999</v>
      </c>
      <c r="WK4" s="89">
        <f t="shared" si="28"/>
        <v>1371279.5589999999</v>
      </c>
      <c r="WL4" s="89">
        <f t="shared" si="28"/>
        <v>1371959.446</v>
      </c>
      <c r="WM4" s="89">
        <f t="shared" si="28"/>
        <v>1372625.442</v>
      </c>
      <c r="WN4" s="89">
        <f t="shared" si="28"/>
        <v>1373269.9140000001</v>
      </c>
      <c r="WO4" s="89">
        <f t="shared" si="28"/>
        <v>1373863.7720000001</v>
      </c>
      <c r="WP4" s="89">
        <f t="shared" si="28"/>
        <v>1374513.3160000001</v>
      </c>
      <c r="WQ4" s="89">
        <f t="shared" si="28"/>
        <v>1375166.294</v>
      </c>
      <c r="WR4" s="89">
        <f t="shared" si="28"/>
        <v>1375859.156</v>
      </c>
      <c r="WS4" s="89">
        <f t="shared" si="28"/>
        <v>1376563.6629999999</v>
      </c>
      <c r="WT4" s="89">
        <f t="shared" si="28"/>
        <v>1377205.94</v>
      </c>
      <c r="WU4" s="89">
        <f t="shared" si="28"/>
        <v>1377836.0959999999</v>
      </c>
      <c r="WV4" s="89">
        <f t="shared" si="28"/>
        <v>1378431.9920000001</v>
      </c>
      <c r="WW4" s="89">
        <f t="shared" si="28"/>
        <v>1379136.9639999999</v>
      </c>
      <c r="WX4" s="89">
        <f t="shared" si="28"/>
        <v>1379784.649</v>
      </c>
      <c r="WY4" s="89">
        <f t="shared" si="28"/>
        <v>1380529.25</v>
      </c>
      <c r="WZ4" s="89">
        <f t="shared" si="28"/>
        <v>1381188.9509999999</v>
      </c>
      <c r="XA4" s="89">
        <f t="shared" si="28"/>
        <v>1382032.9410000001</v>
      </c>
      <c r="XB4" s="89">
        <f t="shared" si="28"/>
        <v>1382725.9210000001</v>
      </c>
      <c r="XC4" s="89">
        <f t="shared" si="28"/>
        <v>1383408.932</v>
      </c>
      <c r="XD4" s="89">
        <f t="shared" si="28"/>
        <v>1384075.679</v>
      </c>
      <c r="XE4" s="89">
        <f t="shared" si="28"/>
        <v>1384843.5649999999</v>
      </c>
      <c r="XF4" s="89">
        <f t="shared" si="28"/>
        <v>1385633.429</v>
      </c>
      <c r="XG4" s="89">
        <f t="shared" si="28"/>
        <v>1386289.7450000001</v>
      </c>
      <c r="XH4" s="125"/>
      <c r="XI4" s="89">
        <f>XG5</f>
        <v>1386795.673</v>
      </c>
      <c r="XJ4" s="89">
        <f t="shared" ref="XJ4:YL4" si="29">XI5</f>
        <v>1387560.389</v>
      </c>
      <c r="XK4" s="89">
        <f t="shared" si="29"/>
        <v>1388268.456</v>
      </c>
      <c r="XL4" s="89">
        <f t="shared" si="29"/>
        <v>1389031.7009999999</v>
      </c>
      <c r="XM4" s="89">
        <f t="shared" si="29"/>
        <v>1389832.753</v>
      </c>
      <c r="XN4" s="89">
        <f t="shared" si="29"/>
        <v>1390554.6950000001</v>
      </c>
      <c r="XO4" s="89">
        <f t="shared" si="29"/>
        <v>1391234.598</v>
      </c>
      <c r="XP4" s="89">
        <f t="shared" si="29"/>
        <v>1392056.811</v>
      </c>
      <c r="XQ4" s="89">
        <f t="shared" si="29"/>
        <v>1392724.4069999999</v>
      </c>
      <c r="XR4" s="89">
        <f t="shared" si="29"/>
        <v>1393399.3359999999</v>
      </c>
      <c r="XS4" s="89">
        <f t="shared" si="29"/>
        <v>1394136.608</v>
      </c>
      <c r="XT4" s="89">
        <f t="shared" si="29"/>
        <v>1395019.5649999999</v>
      </c>
      <c r="XU4" s="89">
        <f t="shared" si="29"/>
        <v>1395749.9790000001</v>
      </c>
      <c r="XV4" s="89">
        <f t="shared" si="29"/>
        <v>1396514.476</v>
      </c>
      <c r="XW4" s="89">
        <f t="shared" si="29"/>
        <v>1397208.4779999999</v>
      </c>
      <c r="XX4" s="89">
        <f t="shared" si="29"/>
        <v>1397904.696</v>
      </c>
      <c r="XY4" s="89">
        <f t="shared" si="29"/>
        <v>1398685.4369999999</v>
      </c>
      <c r="XZ4" s="89">
        <f t="shared" si="29"/>
        <v>1399426.2520000001</v>
      </c>
      <c r="YA4" s="89">
        <f t="shared" si="29"/>
        <v>1400144.6089999999</v>
      </c>
      <c r="YB4" s="89">
        <f t="shared" si="29"/>
        <v>1400915.777</v>
      </c>
      <c r="YC4" s="89">
        <f t="shared" si="29"/>
        <v>1401563.142</v>
      </c>
      <c r="YD4" s="89">
        <f t="shared" si="29"/>
        <v>1402214.669</v>
      </c>
      <c r="YE4" s="89">
        <f t="shared" si="29"/>
        <v>1402830.8629999999</v>
      </c>
      <c r="YF4" s="89">
        <f t="shared" si="29"/>
        <v>1403451.8640000001</v>
      </c>
      <c r="YG4" s="89">
        <f t="shared" si="29"/>
        <v>1404255.9580000001</v>
      </c>
      <c r="YH4" s="89">
        <f t="shared" si="29"/>
        <v>1405060.818</v>
      </c>
      <c r="YI4" s="89">
        <f t="shared" si="29"/>
        <v>1405830.298</v>
      </c>
      <c r="YJ4" s="89">
        <f t="shared" si="29"/>
        <v>1406494.3489999999</v>
      </c>
      <c r="YK4" s="89">
        <f t="shared" si="29"/>
        <v>1407093.943</v>
      </c>
      <c r="YL4" s="89">
        <f t="shared" si="29"/>
        <v>1407764.3389999999</v>
      </c>
      <c r="YM4" s="125"/>
      <c r="YN4" s="89">
        <f>YL5</f>
        <v>1408376.4129999999</v>
      </c>
      <c r="YO4" s="89">
        <f t="shared" ref="YO4:ZR4" si="30">YN5</f>
        <v>1409096.98</v>
      </c>
      <c r="YP4" s="89">
        <f t="shared" si="30"/>
        <v>1409944.9469999999</v>
      </c>
      <c r="YQ4" s="89">
        <f t="shared" si="30"/>
        <v>1410539.351</v>
      </c>
      <c r="YR4" s="89">
        <f t="shared" si="30"/>
        <v>1411330.9790000001</v>
      </c>
      <c r="YS4" s="89">
        <f t="shared" si="30"/>
        <v>1412144.9779999999</v>
      </c>
      <c r="YT4" s="89">
        <f t="shared" si="30"/>
        <v>1412837.97</v>
      </c>
      <c r="YU4" s="89">
        <f t="shared" si="30"/>
        <v>1413481.733</v>
      </c>
      <c r="YV4" s="89">
        <f t="shared" si="30"/>
        <v>1413481.733</v>
      </c>
      <c r="YW4" s="89">
        <f t="shared" si="30"/>
        <v>1413885.612</v>
      </c>
      <c r="YX4" s="89">
        <f t="shared" si="30"/>
        <v>1414572.892</v>
      </c>
      <c r="YY4" s="89">
        <f t="shared" si="30"/>
        <v>1415085.3370000001</v>
      </c>
      <c r="YZ4" s="89">
        <f t="shared" si="30"/>
        <v>1415862.807</v>
      </c>
      <c r="ZA4" s="89">
        <f t="shared" si="30"/>
        <v>1416462.527</v>
      </c>
      <c r="ZB4" s="89">
        <f t="shared" si="30"/>
        <v>1417130.5179999999</v>
      </c>
      <c r="ZC4" s="89">
        <f t="shared" si="30"/>
        <v>1417850.1329999999</v>
      </c>
      <c r="ZD4" s="89">
        <f t="shared" si="30"/>
        <v>1418469.5689999999</v>
      </c>
      <c r="ZE4" s="89">
        <f t="shared" si="30"/>
        <v>1419277.9739999999</v>
      </c>
      <c r="ZF4" s="89">
        <f t="shared" si="30"/>
        <v>1419922.6070000001</v>
      </c>
      <c r="ZG4" s="89">
        <f t="shared" si="30"/>
        <v>1420691.4010000001</v>
      </c>
      <c r="ZH4" s="89">
        <f t="shared" si="30"/>
        <v>1421345.145</v>
      </c>
      <c r="ZI4" s="89">
        <f t="shared" si="30"/>
        <v>1422006.3219999999</v>
      </c>
      <c r="ZJ4" s="89">
        <f t="shared" si="30"/>
        <v>1422734.88</v>
      </c>
      <c r="ZK4" s="89">
        <f t="shared" si="30"/>
        <v>1423707.4509999999</v>
      </c>
      <c r="ZL4" s="89">
        <f t="shared" si="30"/>
        <v>1424685.193</v>
      </c>
      <c r="ZM4" s="89">
        <f t="shared" si="30"/>
        <v>1425657.5319999999</v>
      </c>
      <c r="ZN4" s="89">
        <f t="shared" si="30"/>
        <v>1426507.477</v>
      </c>
      <c r="ZO4" s="89">
        <f t="shared" si="30"/>
        <v>1427290.4040000001</v>
      </c>
      <c r="ZP4" s="89">
        <f t="shared" si="30"/>
        <v>1428210.27</v>
      </c>
      <c r="ZQ4" s="89">
        <f t="shared" si="30"/>
        <v>1428996.07</v>
      </c>
      <c r="ZR4" s="89">
        <f t="shared" si="30"/>
        <v>1429777.094</v>
      </c>
      <c r="ZS4" s="125"/>
      <c r="ZT4" s="89">
        <f>ZR5</f>
        <v>1430522.2220000001</v>
      </c>
      <c r="ZU4" s="89">
        <f t="shared" ref="ZU4:AAW4" si="31">ZT5</f>
        <v>1431254.4580000001</v>
      </c>
      <c r="ZV4" s="89">
        <f t="shared" si="31"/>
        <v>1432056.5589999999</v>
      </c>
      <c r="ZW4" s="89">
        <f t="shared" si="31"/>
        <v>1432857.318</v>
      </c>
      <c r="ZX4" s="89">
        <f t="shared" si="31"/>
        <v>1433645.831</v>
      </c>
      <c r="ZY4" s="89">
        <f t="shared" si="31"/>
        <v>1434568.2180000001</v>
      </c>
      <c r="ZZ4" s="89">
        <f t="shared" si="31"/>
        <v>1435292.115</v>
      </c>
      <c r="AAA4" s="89">
        <f t="shared" si="31"/>
        <v>1436011.91</v>
      </c>
      <c r="AAB4" s="89">
        <f t="shared" si="31"/>
        <v>1436597.4410000001</v>
      </c>
      <c r="AAC4" s="89">
        <f t="shared" si="31"/>
        <v>1437267.554</v>
      </c>
      <c r="AAD4" s="89">
        <f t="shared" si="31"/>
        <v>1438048.963</v>
      </c>
      <c r="AAE4" s="89">
        <f t="shared" si="31"/>
        <v>1438778.4809999999</v>
      </c>
      <c r="AAF4" s="89">
        <f t="shared" si="31"/>
        <v>1439455.1470000001</v>
      </c>
      <c r="AAG4" s="89">
        <f t="shared" si="31"/>
        <v>1440306.5209999999</v>
      </c>
      <c r="AAH4" s="89">
        <f t="shared" si="31"/>
        <v>1441114.9080000001</v>
      </c>
      <c r="AAI4" s="89">
        <f t="shared" si="31"/>
        <v>1441999.7339999999</v>
      </c>
      <c r="AAJ4" s="89">
        <f t="shared" si="31"/>
        <v>1442701.7720000001</v>
      </c>
      <c r="AAK4" s="89">
        <f t="shared" si="31"/>
        <v>1443425.7109999999</v>
      </c>
      <c r="AAL4" s="89">
        <f t="shared" si="31"/>
        <v>1444241.8540000001</v>
      </c>
      <c r="AAM4" s="89">
        <f t="shared" si="31"/>
        <v>1445053.4979999999</v>
      </c>
      <c r="AAN4" s="89">
        <f t="shared" si="31"/>
        <v>1445804.983</v>
      </c>
      <c r="AAO4" s="89">
        <f t="shared" si="31"/>
        <v>1446582.054</v>
      </c>
      <c r="AAP4" s="89">
        <f t="shared" si="31"/>
        <v>1447273.0379999999</v>
      </c>
      <c r="AAQ4" s="89">
        <f t="shared" si="31"/>
        <v>1448070.2549999999</v>
      </c>
      <c r="AAR4" s="89">
        <f t="shared" si="31"/>
        <v>1448768.852</v>
      </c>
      <c r="AAS4" s="89">
        <f t="shared" si="31"/>
        <v>1449614.7109999999</v>
      </c>
      <c r="AAT4" s="89">
        <f t="shared" si="31"/>
        <v>1450357.6240000001</v>
      </c>
      <c r="AAU4" s="89">
        <f t="shared" si="31"/>
        <v>1451128.581</v>
      </c>
      <c r="AAV4" s="89">
        <f t="shared" si="31"/>
        <v>1452077.0619999999</v>
      </c>
      <c r="AAW4" s="89">
        <f t="shared" si="31"/>
        <v>1452826.5490000001</v>
      </c>
      <c r="AAX4" s="125"/>
      <c r="AAY4" s="89">
        <f>AAW5</f>
        <v>1453525.351</v>
      </c>
      <c r="AAZ4" s="89">
        <f t="shared" ref="AAZ4:ACC4" si="32">AAY5</f>
        <v>1454357.2050000001</v>
      </c>
      <c r="ABA4" s="89">
        <f t="shared" si="32"/>
        <v>1455080.094</v>
      </c>
      <c r="ABB4" s="89">
        <f t="shared" si="32"/>
        <v>1455873.5819999999</v>
      </c>
      <c r="ABC4" s="89">
        <f t="shared" si="32"/>
        <v>1456715.27</v>
      </c>
      <c r="ABD4" s="89">
        <f t="shared" si="32"/>
        <v>1457662.5260000001</v>
      </c>
      <c r="ABE4" s="89">
        <f t="shared" si="32"/>
        <v>1458602.9709999999</v>
      </c>
      <c r="ABF4" s="89">
        <f t="shared" si="32"/>
        <v>1459407.933</v>
      </c>
      <c r="ABG4" s="89">
        <f t="shared" si="32"/>
        <v>1460370.9680000001</v>
      </c>
      <c r="ABH4" s="89">
        <f t="shared" si="32"/>
        <v>1461188.9939999999</v>
      </c>
      <c r="ABI4" s="89">
        <f t="shared" si="32"/>
        <v>1462018.6510000001</v>
      </c>
      <c r="ABJ4" s="89">
        <f t="shared" si="32"/>
        <v>1462726.2339999999</v>
      </c>
      <c r="ABK4" s="89">
        <f t="shared" si="32"/>
        <v>1463087.514</v>
      </c>
      <c r="ABL4" s="89">
        <f t="shared" si="32"/>
        <v>1463829.8929999999</v>
      </c>
      <c r="ABM4" s="89">
        <f t="shared" si="32"/>
        <v>1464533.1159999999</v>
      </c>
      <c r="ABN4" s="89">
        <f t="shared" si="32"/>
        <v>1465249.1610000001</v>
      </c>
      <c r="ABO4" s="89">
        <f t="shared" si="32"/>
        <v>1465950.4469999999</v>
      </c>
      <c r="ABP4" s="89">
        <f t="shared" si="32"/>
        <v>1466715.9129999999</v>
      </c>
      <c r="ABQ4" s="89">
        <f t="shared" si="32"/>
        <v>1467604.6240000001</v>
      </c>
      <c r="ABR4" s="89">
        <f t="shared" si="32"/>
        <v>1468366.253</v>
      </c>
      <c r="ABS4" s="89">
        <f t="shared" si="32"/>
        <v>1469063.959</v>
      </c>
      <c r="ABT4" s="89">
        <f t="shared" si="32"/>
        <v>1469717.6850000001</v>
      </c>
      <c r="ABU4" s="89">
        <f t="shared" si="32"/>
        <v>1470415.314</v>
      </c>
      <c r="ABV4" s="89">
        <f t="shared" si="32"/>
        <v>1471218.027</v>
      </c>
      <c r="ABW4" s="89">
        <f t="shared" si="32"/>
        <v>1472105.7139999999</v>
      </c>
      <c r="ABX4" s="89">
        <f t="shared" si="32"/>
        <v>1472978.0819999999</v>
      </c>
      <c r="ABY4" s="89">
        <f t="shared" si="32"/>
        <v>1473759.6540000001</v>
      </c>
      <c r="ABZ4" s="89">
        <f t="shared" si="32"/>
        <v>1474514.46</v>
      </c>
      <c r="ACA4" s="89">
        <f t="shared" si="32"/>
        <v>1475337.0759999999</v>
      </c>
      <c r="ACB4" s="89">
        <f t="shared" si="32"/>
        <v>1476051.7579999999</v>
      </c>
      <c r="ACC4" s="89">
        <f t="shared" si="32"/>
        <v>1476775.7409999999</v>
      </c>
      <c r="ACD4" s="125"/>
      <c r="ACE4" s="89">
        <f>ACC5</f>
        <v>1477572.047</v>
      </c>
      <c r="ACF4" s="89">
        <f t="shared" ref="ACF4:ADI4" si="33">ACE5</f>
        <v>1478348.6780000001</v>
      </c>
      <c r="ACG4" s="89">
        <f t="shared" si="33"/>
        <v>1479494.905</v>
      </c>
      <c r="ACH4" s="89">
        <f t="shared" si="33"/>
        <v>1480379.7760000001</v>
      </c>
      <c r="ACI4" s="89">
        <f t="shared" si="33"/>
        <v>1481297.4450000001</v>
      </c>
      <c r="ACJ4" s="89">
        <f t="shared" si="33"/>
        <v>1482206.2069999999</v>
      </c>
      <c r="ACK4" s="89">
        <f t="shared" si="33"/>
        <v>1482843.5930000001</v>
      </c>
      <c r="ACL4" s="89">
        <f t="shared" si="33"/>
        <v>1483651.0830000001</v>
      </c>
      <c r="ACM4" s="89">
        <f t="shared" si="33"/>
        <v>1484514.987</v>
      </c>
      <c r="ACN4" s="89">
        <f t="shared" si="33"/>
        <v>1485400.9790000001</v>
      </c>
      <c r="ACO4" s="89">
        <f t="shared" si="33"/>
        <v>1486074.811</v>
      </c>
      <c r="ACP4" s="89">
        <f t="shared" si="33"/>
        <v>1486970.325</v>
      </c>
      <c r="ACQ4" s="89">
        <f t="shared" si="33"/>
        <v>1487644.28</v>
      </c>
      <c r="ACR4" s="89">
        <f t="shared" si="33"/>
        <v>1488244.473</v>
      </c>
      <c r="ACS4" s="89">
        <f t="shared" si="33"/>
        <v>1489031.523</v>
      </c>
      <c r="ACT4" s="89">
        <f t="shared" si="33"/>
        <v>1489990.977</v>
      </c>
      <c r="ACU4" s="89">
        <f t="shared" si="33"/>
        <v>1490653.8219999999</v>
      </c>
      <c r="ACV4" s="89">
        <f t="shared" si="33"/>
        <v>1491301.6810000001</v>
      </c>
      <c r="ACW4" s="89">
        <f t="shared" si="33"/>
        <v>1492071.41</v>
      </c>
      <c r="ACX4" s="89">
        <f t="shared" si="33"/>
        <v>1492549.0190000001</v>
      </c>
      <c r="ACY4" s="89">
        <f t="shared" si="33"/>
        <v>1493209.7439999999</v>
      </c>
      <c r="ACZ4" s="89">
        <f t="shared" si="33"/>
        <v>1493954.281</v>
      </c>
      <c r="ADA4" s="89">
        <f t="shared" si="33"/>
        <v>1494903.3359999999</v>
      </c>
      <c r="ADB4" s="89">
        <f t="shared" si="33"/>
        <v>1495642.1580000001</v>
      </c>
      <c r="ADC4" s="89">
        <f t="shared" si="33"/>
        <v>1496393.811</v>
      </c>
      <c r="ADD4" s="89">
        <f t="shared" si="33"/>
        <v>1496982.7180000001</v>
      </c>
      <c r="ADE4" s="89">
        <f t="shared" si="33"/>
        <v>1497752.895</v>
      </c>
      <c r="ADF4" s="89">
        <f t="shared" si="33"/>
        <v>1498435.2150000001</v>
      </c>
      <c r="ADG4" s="89">
        <f t="shared" si="33"/>
        <v>1498987.7420000001</v>
      </c>
      <c r="ADH4" s="89">
        <f t="shared" si="33"/>
        <v>1499783.405</v>
      </c>
      <c r="ADI4" s="89">
        <f t="shared" si="33"/>
        <v>1500481.22</v>
      </c>
      <c r="ADJ4" s="125"/>
      <c r="ADK4" s="89">
        <f>ADI5</f>
        <v>1501146.594</v>
      </c>
      <c r="ADL4" s="89">
        <f t="shared" ref="ADL4:AEN4" si="34">ADK5</f>
        <v>1501902.5449999999</v>
      </c>
      <c r="ADM4" s="89">
        <f t="shared" si="34"/>
        <v>1502490.2949999999</v>
      </c>
      <c r="ADN4" s="89">
        <f t="shared" si="34"/>
        <v>1503031.226</v>
      </c>
      <c r="ADO4" s="89">
        <f t="shared" si="34"/>
        <v>1503799.254</v>
      </c>
      <c r="ADP4" s="89">
        <f t="shared" si="34"/>
        <v>1504637.24</v>
      </c>
      <c r="ADQ4" s="89">
        <f t="shared" si="34"/>
        <v>1505361.8060000001</v>
      </c>
      <c r="ADR4" s="89">
        <f t="shared" si="34"/>
        <v>1506052.2890000001</v>
      </c>
      <c r="ADS4" s="89">
        <f t="shared" si="34"/>
        <v>1506811.173</v>
      </c>
      <c r="ADT4" s="89">
        <f t="shared" si="34"/>
        <v>1507386.152</v>
      </c>
      <c r="ADU4" s="89">
        <f t="shared" si="34"/>
        <v>1507915.936</v>
      </c>
      <c r="ADV4" s="89">
        <f t="shared" si="34"/>
        <v>1508537.5560000001</v>
      </c>
      <c r="ADW4" s="89">
        <f t="shared" si="34"/>
        <v>1509220.2660000001</v>
      </c>
      <c r="ADX4" s="89">
        <f t="shared" si="34"/>
        <v>1509927.189</v>
      </c>
      <c r="ADY4" s="89">
        <f t="shared" si="34"/>
        <v>1510551.7279999999</v>
      </c>
      <c r="ADZ4" s="89">
        <f t="shared" si="34"/>
        <v>1511329.4269999999</v>
      </c>
      <c r="AEA4" s="89">
        <f t="shared" si="34"/>
        <v>1511896.9350000001</v>
      </c>
      <c r="AEB4" s="89">
        <f t="shared" si="34"/>
        <v>1512444.3030000001</v>
      </c>
      <c r="AEC4" s="89">
        <f t="shared" si="34"/>
        <v>1513003.406</v>
      </c>
      <c r="AED4" s="89">
        <f t="shared" si="34"/>
        <v>1513711.7169999999</v>
      </c>
      <c r="AEE4" s="89">
        <f t="shared" si="34"/>
        <v>1514251.541</v>
      </c>
      <c r="AEF4" s="89">
        <f t="shared" si="34"/>
        <v>1514888.8049999999</v>
      </c>
      <c r="AEG4" s="89">
        <f t="shared" si="34"/>
        <v>1515462.304</v>
      </c>
      <c r="AEH4" s="89">
        <f t="shared" si="34"/>
        <v>1516069.291</v>
      </c>
      <c r="AEI4" s="89">
        <f t="shared" si="34"/>
        <v>1516691.534</v>
      </c>
      <c r="AEJ4" s="89">
        <f t="shared" si="34"/>
        <v>1517343.192</v>
      </c>
      <c r="AEK4" s="89">
        <f t="shared" si="34"/>
        <v>1517989.442</v>
      </c>
      <c r="AEL4" s="89">
        <f t="shared" si="34"/>
        <v>1518628.527</v>
      </c>
      <c r="AEM4" s="89">
        <f t="shared" si="34"/>
        <v>1519209.74</v>
      </c>
      <c r="AEN4" s="89">
        <f t="shared" si="34"/>
        <v>1520095.3540000001</v>
      </c>
      <c r="AEO4" s="125"/>
      <c r="AEP4" s="89">
        <f>AEN5</f>
        <v>1520612.784</v>
      </c>
      <c r="AEQ4" s="89">
        <f t="shared" ref="AEQ4:AFT4" si="35">AEP5</f>
        <v>1521078.8589999999</v>
      </c>
      <c r="AER4" s="89">
        <f t="shared" si="35"/>
        <v>1521637.99</v>
      </c>
      <c r="AES4" s="89">
        <f t="shared" si="35"/>
        <v>1522269.139</v>
      </c>
      <c r="AET4" s="89">
        <f t="shared" si="35"/>
        <v>1522961.7180000001</v>
      </c>
      <c r="AEU4" s="89">
        <f t="shared" si="35"/>
        <v>1523614.5190000001</v>
      </c>
      <c r="AEV4" s="89">
        <f t="shared" si="35"/>
        <v>1524430.047</v>
      </c>
      <c r="AEW4" s="89">
        <f t="shared" si="35"/>
        <v>1525041.7760000001</v>
      </c>
      <c r="AEX4" s="89">
        <f t="shared" si="35"/>
        <v>1525692.017</v>
      </c>
      <c r="AEY4" s="89">
        <f t="shared" si="35"/>
        <v>1526443.1189999999</v>
      </c>
      <c r="AEZ4" s="89">
        <f t="shared" si="35"/>
        <v>1527280.362</v>
      </c>
      <c r="AFA4" s="89">
        <f t="shared" si="35"/>
        <v>1527969.2690000001</v>
      </c>
      <c r="AFB4" s="89">
        <f t="shared" si="35"/>
        <v>1528785.2919999999</v>
      </c>
      <c r="AFC4" s="89">
        <f t="shared" si="35"/>
        <v>1529414.328</v>
      </c>
      <c r="AFD4" s="89">
        <f t="shared" si="35"/>
        <v>1529987.01</v>
      </c>
      <c r="AFE4" s="89">
        <f t="shared" si="35"/>
        <v>1530597.85</v>
      </c>
      <c r="AFF4" s="89">
        <f t="shared" si="35"/>
        <v>1531239.31</v>
      </c>
      <c r="AFG4" s="89">
        <f t="shared" si="35"/>
        <v>1531883.5449999999</v>
      </c>
      <c r="AFH4" s="89">
        <f t="shared" si="35"/>
        <v>1532629.6040000001</v>
      </c>
      <c r="AFI4" s="89">
        <f t="shared" si="35"/>
        <v>1533149.7720000001</v>
      </c>
      <c r="AFJ4" s="89">
        <f t="shared" si="35"/>
        <v>1533815.601</v>
      </c>
      <c r="AFK4" s="89">
        <f t="shared" si="35"/>
        <v>1534532.2860000001</v>
      </c>
      <c r="AFL4" s="89">
        <f t="shared" si="35"/>
        <v>1535045.65</v>
      </c>
      <c r="AFM4" s="89">
        <f t="shared" si="35"/>
        <v>1535618.175</v>
      </c>
      <c r="AFN4" s="89">
        <f t="shared" si="35"/>
        <v>1536275.4180000001</v>
      </c>
      <c r="AFO4" s="89">
        <f t="shared" si="35"/>
        <v>1537112.3030000001</v>
      </c>
      <c r="AFP4" s="89">
        <f t="shared" si="35"/>
        <v>1537768.4</v>
      </c>
      <c r="AFQ4" s="89">
        <f t="shared" si="35"/>
        <v>1538333.8629999999</v>
      </c>
      <c r="AFR4" s="89">
        <f t="shared" si="35"/>
        <v>1538963.679</v>
      </c>
      <c r="AFS4" s="89">
        <f t="shared" si="35"/>
        <v>1539534.1329999999</v>
      </c>
      <c r="AFT4" s="89">
        <f t="shared" si="35"/>
        <v>1540108.6470000001</v>
      </c>
      <c r="AFU4" s="125"/>
      <c r="AFV4" s="89">
        <f>AFT5</f>
        <v>1540753.1540000001</v>
      </c>
      <c r="AFW4" s="89">
        <f t="shared" ref="AFW4:AGY4" si="36">AFV5</f>
        <v>1541493.41</v>
      </c>
      <c r="AFX4" s="89">
        <f t="shared" si="36"/>
        <v>1542152.79</v>
      </c>
      <c r="AFY4" s="89">
        <f t="shared" si="36"/>
        <v>1542838.9890000001</v>
      </c>
      <c r="AFZ4" s="89">
        <f t="shared" si="36"/>
        <v>1543473.5109999999</v>
      </c>
      <c r="AGA4" s="89">
        <f t="shared" si="36"/>
        <v>1544231.8829999999</v>
      </c>
      <c r="AGB4" s="89">
        <f t="shared" si="36"/>
        <v>1544926.01</v>
      </c>
      <c r="AGC4" s="89">
        <f t="shared" si="36"/>
        <v>1545676.115</v>
      </c>
      <c r="AGD4" s="89">
        <f t="shared" si="36"/>
        <v>1546239.7120000001</v>
      </c>
      <c r="AGE4" s="89">
        <f t="shared" si="36"/>
        <v>1547040.0319999999</v>
      </c>
      <c r="AGF4" s="89">
        <f t="shared" si="36"/>
        <v>1547722.23</v>
      </c>
      <c r="AGG4" s="89">
        <f t="shared" si="36"/>
        <v>1548410.7549999999</v>
      </c>
      <c r="AGH4" s="89">
        <f t="shared" si="36"/>
        <v>1548887.9820000001</v>
      </c>
      <c r="AGI4" s="89">
        <f t="shared" si="36"/>
        <v>1549531.997</v>
      </c>
      <c r="AGJ4" s="89">
        <f t="shared" si="36"/>
        <v>1550223.1310000001</v>
      </c>
      <c r="AGK4" s="89">
        <f t="shared" si="36"/>
        <v>1550815.946</v>
      </c>
      <c r="AGL4" s="89">
        <f t="shared" si="36"/>
        <v>1551441.169</v>
      </c>
      <c r="AGM4" s="89">
        <f t="shared" si="36"/>
        <v>1552275.064</v>
      </c>
      <c r="AGN4" s="89">
        <f t="shared" si="36"/>
        <v>1552912.6880000001</v>
      </c>
      <c r="AGO4" s="89">
        <f t="shared" si="36"/>
        <v>1553488.014</v>
      </c>
      <c r="AGP4" s="89">
        <f t="shared" si="36"/>
        <v>1554175.8359999999</v>
      </c>
      <c r="AGQ4" s="89">
        <f t="shared" si="36"/>
        <v>1554928.081</v>
      </c>
      <c r="AGR4" s="89">
        <f t="shared" si="36"/>
        <v>1555577.9639999999</v>
      </c>
      <c r="AGS4" s="89">
        <f t="shared" si="36"/>
        <v>1556220.5859999999</v>
      </c>
      <c r="AGT4" s="89">
        <f t="shared" si="36"/>
        <v>1556606.6470000001</v>
      </c>
      <c r="AGU4" s="89">
        <f t="shared" si="36"/>
        <v>1557305.5919999999</v>
      </c>
      <c r="AGV4" s="89">
        <f t="shared" si="36"/>
        <v>1557974.8119999999</v>
      </c>
      <c r="AGW4" s="89">
        <f t="shared" si="36"/>
        <v>1558728.351</v>
      </c>
      <c r="AGX4" s="89">
        <f t="shared" si="36"/>
        <v>1559639.5530000001</v>
      </c>
      <c r="AGY4" s="89">
        <f t="shared" si="36"/>
        <v>1560462.8019999999</v>
      </c>
      <c r="AGZ4" s="125"/>
      <c r="AHA4" s="89">
        <f>AGY5</f>
        <v>1561177.3489999999</v>
      </c>
      <c r="AHB4" s="89">
        <f t="shared" ref="AHB4:AIE4" si="37">AHA5</f>
        <v>1561844.2139999999</v>
      </c>
      <c r="AHC4" s="89">
        <f t="shared" si="37"/>
        <v>1562422.8189999999</v>
      </c>
      <c r="AHD4" s="89">
        <f t="shared" si="37"/>
        <v>1563014.642</v>
      </c>
      <c r="AHE4" s="89">
        <f t="shared" si="37"/>
        <v>1563781.5959999999</v>
      </c>
      <c r="AHF4" s="89">
        <f t="shared" si="37"/>
        <v>1564571.6189999999</v>
      </c>
      <c r="AHG4" s="89">
        <f t="shared" si="37"/>
        <v>1565265.209</v>
      </c>
      <c r="AHH4" s="89">
        <f t="shared" si="37"/>
        <v>1565900.9650000001</v>
      </c>
      <c r="AHI4" s="89">
        <f t="shared" si="37"/>
        <v>1566610.0759999999</v>
      </c>
      <c r="AHJ4" s="89">
        <f t="shared" si="37"/>
        <v>1567212.8810000001</v>
      </c>
      <c r="AHK4" s="89">
        <f t="shared" si="37"/>
        <v>1567946.2930000001</v>
      </c>
      <c r="AHL4" s="89">
        <f t="shared" si="37"/>
        <v>1568751.4439999999</v>
      </c>
      <c r="AHM4" s="89">
        <f t="shared" si="37"/>
        <v>1569570.0279999999</v>
      </c>
      <c r="AHN4" s="89">
        <f t="shared" si="37"/>
        <v>1570509.2209999999</v>
      </c>
      <c r="AHO4" s="89">
        <f t="shared" si="37"/>
        <v>1571306.902</v>
      </c>
      <c r="AHP4" s="89">
        <f t="shared" si="37"/>
        <v>1571979.726</v>
      </c>
      <c r="AHQ4" s="89">
        <f t="shared" si="37"/>
        <v>1572663.291</v>
      </c>
      <c r="AHR4" s="89">
        <f t="shared" si="37"/>
        <v>1573177.7239999999</v>
      </c>
      <c r="AHS4" s="89">
        <f t="shared" si="37"/>
        <v>1574060.845</v>
      </c>
      <c r="AHT4" s="89">
        <f t="shared" si="37"/>
        <v>1575002.9839999999</v>
      </c>
      <c r="AHU4" s="89">
        <f t="shared" si="37"/>
        <v>1575729.814</v>
      </c>
      <c r="AHV4" s="89">
        <f t="shared" si="37"/>
        <v>1576434.1470000001</v>
      </c>
      <c r="AHW4" s="89">
        <f t="shared" si="37"/>
        <v>1577177.6240000001</v>
      </c>
      <c r="AHX4" s="89">
        <f t="shared" si="37"/>
        <v>1578046.064</v>
      </c>
      <c r="AHY4" s="89">
        <f t="shared" si="37"/>
        <v>1579070.338</v>
      </c>
      <c r="AHZ4" s="89">
        <f t="shared" si="37"/>
        <v>1579771.1410000001</v>
      </c>
      <c r="AIA4" s="89">
        <f t="shared" si="37"/>
        <v>1580446.1540000001</v>
      </c>
      <c r="AIB4" s="89">
        <f t="shared" si="37"/>
        <v>1581083.4369999999</v>
      </c>
      <c r="AIC4" s="89">
        <f t="shared" si="37"/>
        <v>1581636.8940000001</v>
      </c>
      <c r="AID4" s="89">
        <f t="shared" si="37"/>
        <v>1582228.193</v>
      </c>
      <c r="AIE4" s="89">
        <f t="shared" si="37"/>
        <v>1582863.696</v>
      </c>
      <c r="AIF4" s="125"/>
      <c r="AIG4" s="89">
        <f>AIE5</f>
        <v>1583823.625</v>
      </c>
      <c r="AIH4" s="89">
        <f t="shared" ref="AIH4:AJK4" si="38">AIG5</f>
        <v>1584351.4939999999</v>
      </c>
      <c r="AII4" s="89">
        <f t="shared" si="38"/>
        <v>1584950.43</v>
      </c>
      <c r="AIJ4" s="89">
        <f t="shared" si="38"/>
        <v>1585624.4720000001</v>
      </c>
      <c r="AIK4" s="89">
        <f t="shared" si="38"/>
        <v>1586234.0220000001</v>
      </c>
      <c r="AIL4" s="89">
        <f t="shared" si="38"/>
        <v>1587002.6939999999</v>
      </c>
      <c r="AIM4" s="89">
        <f t="shared" si="38"/>
        <v>1587739.611</v>
      </c>
      <c r="AIN4" s="89">
        <f t="shared" si="38"/>
        <v>1588450.827</v>
      </c>
      <c r="AIO4" s="89">
        <f t="shared" si="38"/>
        <v>1589155.4450000001</v>
      </c>
      <c r="AIP4" s="89">
        <f t="shared" si="38"/>
        <v>1589942.861</v>
      </c>
      <c r="AIQ4" s="89">
        <f t="shared" si="38"/>
        <v>1590889.8259999999</v>
      </c>
      <c r="AIR4" s="89">
        <f t="shared" si="38"/>
        <v>1591627.5930000001</v>
      </c>
      <c r="AIS4" s="89">
        <f t="shared" si="38"/>
        <v>1592257.9480000001</v>
      </c>
      <c r="AIT4" s="89">
        <f t="shared" si="38"/>
        <v>1593047.4790000001</v>
      </c>
      <c r="AIU4" s="89">
        <f t="shared" si="38"/>
        <v>1593789.335</v>
      </c>
      <c r="AIV4" s="89">
        <f t="shared" si="38"/>
        <v>1594074.054</v>
      </c>
      <c r="AIW4" s="89">
        <f t="shared" si="38"/>
        <v>1594824.1040000001</v>
      </c>
      <c r="AIX4" s="89">
        <f t="shared" si="38"/>
        <v>1595178.12</v>
      </c>
      <c r="AIY4" s="89">
        <f t="shared" si="38"/>
        <v>1595609.743</v>
      </c>
      <c r="AIZ4" s="89">
        <f t="shared" si="38"/>
        <v>1596233.2720000001</v>
      </c>
      <c r="AJA4" s="89">
        <f t="shared" si="38"/>
        <v>1596855.9129999999</v>
      </c>
      <c r="AJB4" s="89">
        <f t="shared" si="38"/>
        <v>1597576.456</v>
      </c>
      <c r="AJC4" s="89">
        <f t="shared" si="38"/>
        <v>1598104.1669999999</v>
      </c>
      <c r="AJD4" s="89">
        <f t="shared" si="38"/>
        <v>1598931.432</v>
      </c>
      <c r="AJE4" s="89">
        <f t="shared" si="38"/>
        <v>1599658.68</v>
      </c>
      <c r="AJF4" s="89">
        <f t="shared" si="38"/>
        <v>1600384.149</v>
      </c>
      <c r="AJG4" s="89">
        <f t="shared" si="38"/>
        <v>1600998.15</v>
      </c>
      <c r="AJH4" s="89">
        <f t="shared" si="38"/>
        <v>1602093.061</v>
      </c>
      <c r="AJI4" s="89">
        <f t="shared" si="38"/>
        <v>1602941.7479999999</v>
      </c>
      <c r="AJJ4" s="89">
        <f t="shared" si="38"/>
        <v>1603632.2509999999</v>
      </c>
      <c r="AJK4" s="89">
        <f t="shared" si="38"/>
        <v>1604322.274</v>
      </c>
      <c r="AJL4" s="125"/>
      <c r="AJM4" s="89">
        <f>AJK5</f>
        <v>1605051.105</v>
      </c>
      <c r="AJN4" s="89">
        <f t="shared" ref="AJN4:AKN4" si="39">AJM5</f>
        <v>1605645.716</v>
      </c>
      <c r="AJO4" s="89">
        <f t="shared" si="39"/>
        <v>1606257.31</v>
      </c>
      <c r="AJP4" s="89">
        <f t="shared" si="39"/>
        <v>1607036.6140000001</v>
      </c>
      <c r="AJQ4" s="89">
        <f t="shared" si="39"/>
        <v>1607864.6640000001</v>
      </c>
      <c r="AJR4" s="89">
        <f t="shared" si="39"/>
        <v>1608354.743</v>
      </c>
      <c r="AJS4" s="89">
        <f t="shared" si="39"/>
        <v>1608935.331</v>
      </c>
      <c r="AJT4" s="89">
        <f t="shared" si="39"/>
        <v>1609775.02</v>
      </c>
      <c r="AJU4" s="89">
        <f t="shared" si="39"/>
        <v>1610411.213</v>
      </c>
      <c r="AJV4" s="89">
        <f t="shared" si="39"/>
        <v>1611179.67</v>
      </c>
      <c r="AJW4" s="89">
        <f t="shared" si="39"/>
        <v>1611940.209</v>
      </c>
      <c r="AJX4" s="89">
        <f t="shared" si="39"/>
        <v>1612553.8689999999</v>
      </c>
      <c r="AJY4" s="89">
        <f t="shared" si="39"/>
        <v>1613280.308</v>
      </c>
      <c r="AJZ4" s="89">
        <f t="shared" si="39"/>
        <v>1614009.4609999999</v>
      </c>
      <c r="AKA4" s="89">
        <f t="shared" si="39"/>
        <v>1614633.42</v>
      </c>
      <c r="AKB4" s="89">
        <f t="shared" si="39"/>
        <v>1615155.4210000001</v>
      </c>
      <c r="AKC4" s="89">
        <f t="shared" si="39"/>
        <v>1615803.0390000001</v>
      </c>
      <c r="AKD4" s="89">
        <f t="shared" si="39"/>
        <v>1616486.7919999999</v>
      </c>
      <c r="AKE4" s="89">
        <f t="shared" si="39"/>
        <v>1617132.0379999999</v>
      </c>
      <c r="AKF4" s="89">
        <f t="shared" si="39"/>
        <v>1617648.1980000001</v>
      </c>
      <c r="AKG4" s="89">
        <f t="shared" si="39"/>
        <v>1618195.8970000001</v>
      </c>
      <c r="AKH4" s="89">
        <f t="shared" si="39"/>
        <v>1618916.743</v>
      </c>
      <c r="AKI4" s="89">
        <f t="shared" si="39"/>
        <v>1619477.4790000001</v>
      </c>
      <c r="AKJ4" s="89">
        <f t="shared" si="39"/>
        <v>1620200.398</v>
      </c>
      <c r="AKK4" s="89">
        <f t="shared" si="39"/>
        <v>1620741.74</v>
      </c>
      <c r="AKL4" s="89">
        <f t="shared" si="39"/>
        <v>1621380.753</v>
      </c>
      <c r="AKM4" s="89">
        <f t="shared" si="39"/>
        <v>1622032.3419999999</v>
      </c>
      <c r="AKN4" s="89">
        <f t="shared" si="39"/>
        <v>1622720</v>
      </c>
      <c r="AKO4" s="125"/>
      <c r="AKP4" s="89">
        <f>AKN5</f>
        <v>1623242.92</v>
      </c>
      <c r="AKQ4" s="89">
        <f t="shared" ref="AKQ4:ALT4" si="40">AKP5</f>
        <v>1623762.69</v>
      </c>
      <c r="AKR4" s="89">
        <f t="shared" si="40"/>
        <v>1624312.2579999999</v>
      </c>
      <c r="AKS4" s="89">
        <f t="shared" si="40"/>
        <v>1624997.0090000001</v>
      </c>
      <c r="AKT4" s="89">
        <f t="shared" si="40"/>
        <v>1625685.9920000001</v>
      </c>
      <c r="AKU4" s="89">
        <f t="shared" si="40"/>
        <v>1626236.8689999999</v>
      </c>
      <c r="AKV4" s="89">
        <f t="shared" si="40"/>
        <v>1626830.986</v>
      </c>
      <c r="AKW4" s="89">
        <f t="shared" si="40"/>
        <v>1627533.352</v>
      </c>
      <c r="AKX4" s="89">
        <f t="shared" si="40"/>
        <v>1628186.8119999999</v>
      </c>
      <c r="AKY4" s="89">
        <f t="shared" si="40"/>
        <v>1628659.3330000001</v>
      </c>
      <c r="AKZ4" s="89">
        <f t="shared" si="40"/>
        <v>1629313.851</v>
      </c>
      <c r="ALA4" s="89">
        <f t="shared" si="40"/>
        <v>1629969.9909999999</v>
      </c>
      <c r="ALB4" s="89">
        <f t="shared" si="40"/>
        <v>1630536.287</v>
      </c>
      <c r="ALC4" s="89">
        <f t="shared" si="40"/>
        <v>1631255.4140000001</v>
      </c>
      <c r="ALD4" s="89">
        <f t="shared" si="40"/>
        <v>1632018.314</v>
      </c>
      <c r="ALE4" s="89">
        <f t="shared" si="40"/>
        <v>1632750.598</v>
      </c>
      <c r="ALF4" s="89">
        <f t="shared" si="40"/>
        <v>1633654.5390000001</v>
      </c>
      <c r="ALG4" s="89">
        <f t="shared" si="40"/>
        <v>1634331.159</v>
      </c>
      <c r="ALH4" s="89">
        <f t="shared" si="40"/>
        <v>1634933.3489999999</v>
      </c>
      <c r="ALI4" s="89">
        <f t="shared" si="40"/>
        <v>1635726.5349999999</v>
      </c>
      <c r="ALJ4" s="89">
        <f t="shared" si="40"/>
        <v>1636390.051</v>
      </c>
      <c r="ALK4" s="89">
        <f t="shared" si="40"/>
        <v>1637136.7209999999</v>
      </c>
      <c r="ALL4" s="89">
        <f t="shared" si="40"/>
        <v>1637668.5919999999</v>
      </c>
      <c r="ALM4" s="89">
        <f t="shared" si="40"/>
        <v>1638317.933</v>
      </c>
      <c r="ALN4" s="89">
        <f t="shared" si="40"/>
        <v>1639130.4890000001</v>
      </c>
      <c r="ALO4" s="89">
        <f t="shared" si="40"/>
        <v>1639834.01</v>
      </c>
      <c r="ALP4" s="89">
        <f t="shared" si="40"/>
        <v>1640522.517</v>
      </c>
      <c r="ALQ4" s="89">
        <f t="shared" si="40"/>
        <v>1641299.3670000001</v>
      </c>
      <c r="ALR4" s="89">
        <f t="shared" si="40"/>
        <v>1642180.078</v>
      </c>
      <c r="ALS4" s="89">
        <f t="shared" si="40"/>
        <v>1643084.7450000001</v>
      </c>
      <c r="ALT4" s="89">
        <f t="shared" si="40"/>
        <v>1643986.483</v>
      </c>
      <c r="ALU4" s="125"/>
      <c r="ALV4" s="89">
        <f>ALT5</f>
        <v>1644822.811</v>
      </c>
      <c r="ALW4" s="89">
        <f t="shared" ref="ALW4:AMY4" si="41">ALV5</f>
        <v>1645682.8319999999</v>
      </c>
      <c r="ALX4" s="89">
        <f t="shared" si="41"/>
        <v>1646381.9879999999</v>
      </c>
      <c r="ALY4" s="89">
        <f t="shared" si="41"/>
        <v>1647065.95</v>
      </c>
      <c r="ALZ4" s="89">
        <f t="shared" si="41"/>
        <v>1647846.5789999999</v>
      </c>
      <c r="AMA4" s="89">
        <f t="shared" si="41"/>
        <v>1648235.4850000001</v>
      </c>
      <c r="AMB4" s="89">
        <f t="shared" si="41"/>
        <v>1648787.702</v>
      </c>
      <c r="AMC4" s="89">
        <f t="shared" si="41"/>
        <v>1649730.3970000001</v>
      </c>
      <c r="AMD4" s="89">
        <f t="shared" si="41"/>
        <v>1650418.811</v>
      </c>
      <c r="AME4" s="89">
        <f t="shared" si="41"/>
        <v>1651320.4669999999</v>
      </c>
      <c r="AMF4" s="89">
        <f t="shared" si="41"/>
        <v>1652314.4029999999</v>
      </c>
      <c r="AMG4" s="89">
        <f t="shared" si="41"/>
        <v>1653112.75</v>
      </c>
      <c r="AMH4" s="89">
        <f t="shared" si="41"/>
        <v>1654053.4480000001</v>
      </c>
      <c r="AMI4" s="89">
        <f t="shared" si="41"/>
        <v>1654898.9339999999</v>
      </c>
      <c r="AMJ4" s="89">
        <f t="shared" si="41"/>
        <v>1655525.2</v>
      </c>
      <c r="AMK4" s="89">
        <f t="shared" si="41"/>
        <v>1656324.0379999999</v>
      </c>
      <c r="AML4" s="89">
        <f t="shared" si="41"/>
        <v>1657024.5989999999</v>
      </c>
      <c r="AMM4" s="89">
        <f t="shared" si="41"/>
        <v>1657886.7320000001</v>
      </c>
      <c r="AMN4" s="89">
        <f t="shared" si="41"/>
        <v>1658829.0530000001</v>
      </c>
      <c r="AMO4" s="89">
        <f t="shared" si="41"/>
        <v>1659709.986</v>
      </c>
      <c r="AMP4" s="89">
        <f t="shared" si="41"/>
        <v>1660801.0260000001</v>
      </c>
      <c r="AMQ4" s="89">
        <f t="shared" si="41"/>
        <v>1661783.0290000001</v>
      </c>
      <c r="AMR4" s="89">
        <f t="shared" si="41"/>
        <v>1662834.3370000001</v>
      </c>
      <c r="AMS4" s="89">
        <f t="shared" si="41"/>
        <v>1664055.1159999999</v>
      </c>
      <c r="AMT4" s="89">
        <f t="shared" si="41"/>
        <v>1665405.449</v>
      </c>
      <c r="AMU4" s="89">
        <f t="shared" si="41"/>
        <v>1666845.3640000001</v>
      </c>
      <c r="AMV4" s="89">
        <f t="shared" si="41"/>
        <v>1668029.5449999999</v>
      </c>
      <c r="AMW4" s="89">
        <f t="shared" si="41"/>
        <v>1668724.625</v>
      </c>
      <c r="AMX4" s="89">
        <f t="shared" si="41"/>
        <v>1669280.56</v>
      </c>
      <c r="AMY4" s="89">
        <f t="shared" si="41"/>
        <v>1670024.389</v>
      </c>
      <c r="AMZ4" s="125"/>
      <c r="ANA4" s="89">
        <f>AMY5</f>
        <v>1670874.6869999999</v>
      </c>
      <c r="ANB4" s="89">
        <f t="shared" ref="ANB4:AOC4" si="42">ANA5</f>
        <v>1671562.0819999999</v>
      </c>
      <c r="ANC4" s="89">
        <f t="shared" si="42"/>
        <v>1672385.74</v>
      </c>
      <c r="AND4" s="89">
        <f t="shared" si="42"/>
        <v>1672970.139</v>
      </c>
      <c r="ANE4" s="89">
        <f t="shared" si="42"/>
        <v>1674020.8149999999</v>
      </c>
      <c r="ANF4" s="89">
        <f t="shared" si="42"/>
        <v>1674757.834</v>
      </c>
      <c r="ANG4" s="89">
        <f t="shared" si="42"/>
        <v>1675665.8259999999</v>
      </c>
      <c r="ANH4" s="89">
        <f t="shared" si="42"/>
        <v>1676506.2549999999</v>
      </c>
      <c r="ANI4" s="89">
        <f t="shared" si="42"/>
        <v>1677349.872</v>
      </c>
      <c r="ANJ4" s="89">
        <f t="shared" si="42"/>
        <v>1678231.395</v>
      </c>
      <c r="ANK4" s="89">
        <f t="shared" si="42"/>
        <v>1678983.578</v>
      </c>
      <c r="ANL4" s="89">
        <f t="shared" si="42"/>
        <v>1679888.594</v>
      </c>
      <c r="ANM4" s="89">
        <f t="shared" si="42"/>
        <v>1680728.868</v>
      </c>
      <c r="ANN4" s="89">
        <f t="shared" si="42"/>
        <v>1681577.44</v>
      </c>
      <c r="ANO4" s="89">
        <f t="shared" si="42"/>
        <v>1682504.5830000001</v>
      </c>
      <c r="ANP4" s="89">
        <f t="shared" si="42"/>
        <v>1683599.132</v>
      </c>
      <c r="ANQ4" s="89">
        <f t="shared" si="42"/>
        <v>1684396.2320000001</v>
      </c>
      <c r="ANR4" s="89">
        <f t="shared" si="42"/>
        <v>1684829.392</v>
      </c>
      <c r="ANS4" s="89">
        <f t="shared" si="42"/>
        <v>1685359.3119999999</v>
      </c>
      <c r="ANT4" s="89">
        <f t="shared" si="42"/>
        <v>1685898.8470000001</v>
      </c>
      <c r="ANU4" s="89">
        <f t="shared" si="42"/>
        <v>1686382.8689999999</v>
      </c>
      <c r="ANV4" s="89">
        <f t="shared" si="42"/>
        <v>1686951.763</v>
      </c>
      <c r="ANW4" s="89">
        <f t="shared" si="42"/>
        <v>1687823.209</v>
      </c>
      <c r="ANX4" s="89">
        <f t="shared" si="42"/>
        <v>1688431.8259999999</v>
      </c>
      <c r="ANY4" s="89">
        <f t="shared" si="42"/>
        <v>1689052.1980000001</v>
      </c>
      <c r="ANZ4" s="89">
        <f t="shared" si="42"/>
        <v>1689718.4850000001</v>
      </c>
      <c r="AOA4" s="89">
        <f t="shared" si="42"/>
        <v>1690493.4469999999</v>
      </c>
      <c r="AOB4" s="89">
        <f t="shared" si="42"/>
        <v>1691134.8970000001</v>
      </c>
      <c r="AOC4" s="89">
        <f t="shared" si="42"/>
        <v>1691705.7290000001</v>
      </c>
      <c r="AOD4" s="89">
        <v>1692332.2</v>
      </c>
      <c r="AOE4">
        <v>1692332.2</v>
      </c>
      <c r="AOF4">
        <v>1696506.2409999999</v>
      </c>
    </row>
    <row r="5" spans="1:1072" x14ac:dyDescent="0.2">
      <c r="A5" s="157"/>
      <c r="B5" s="160"/>
      <c r="C5" s="47" t="s">
        <v>757</v>
      </c>
      <c r="D5" s="48">
        <v>907256.35699999996</v>
      </c>
      <c r="E5" s="48">
        <v>908068.85199999996</v>
      </c>
      <c r="F5" s="48">
        <v>909104.49399999995</v>
      </c>
      <c r="G5" s="48">
        <v>910384.29099999997</v>
      </c>
      <c r="H5" s="48">
        <v>911385.73600000003</v>
      </c>
      <c r="I5" s="48">
        <v>912644.04099999997</v>
      </c>
      <c r="J5" s="48">
        <v>913712.84400000004</v>
      </c>
      <c r="K5" s="48">
        <v>914547.71</v>
      </c>
      <c r="L5" s="48">
        <v>915395.76800000004</v>
      </c>
      <c r="M5" s="48">
        <v>916317.00199999998</v>
      </c>
      <c r="N5" s="48">
        <v>917302.66099999996</v>
      </c>
      <c r="O5" s="48">
        <v>918492.755</v>
      </c>
      <c r="P5" s="48">
        <v>919546.20200000005</v>
      </c>
      <c r="Q5" s="48">
        <v>920620.87600000005</v>
      </c>
      <c r="R5" s="48">
        <v>921685.27399999998</v>
      </c>
      <c r="S5" s="48">
        <v>922665.66899999999</v>
      </c>
      <c r="T5" s="48">
        <v>923703.77</v>
      </c>
      <c r="U5" s="48">
        <v>924812.21299999999</v>
      </c>
      <c r="V5" s="48">
        <v>925977.47199999995</v>
      </c>
      <c r="W5" s="48">
        <v>926937.63699999999</v>
      </c>
      <c r="X5" s="48">
        <v>927664.69200000004</v>
      </c>
      <c r="Y5" s="48">
        <v>928482.12600000005</v>
      </c>
      <c r="Z5" s="48">
        <v>929366.71900000004</v>
      </c>
      <c r="AA5" s="48">
        <v>930211.63300000003</v>
      </c>
      <c r="AB5" s="48">
        <v>931558.71299999999</v>
      </c>
      <c r="AC5" s="48">
        <v>932696.74</v>
      </c>
      <c r="AD5" s="48">
        <v>933746.18799999997</v>
      </c>
      <c r="AE5" s="48">
        <v>934596.99699999997</v>
      </c>
      <c r="AF5" s="48">
        <v>935497.53599999996</v>
      </c>
      <c r="AG5" s="48">
        <v>936535.77</v>
      </c>
      <c r="AH5" s="48">
        <v>937530.79299999995</v>
      </c>
      <c r="AI5" s="49"/>
      <c r="AJ5" s="48">
        <v>938749.91700000002</v>
      </c>
      <c r="AK5" s="48">
        <v>939940.93900000001</v>
      </c>
      <c r="AL5" s="48">
        <v>940865.647</v>
      </c>
      <c r="AM5" s="48">
        <v>941852.24100000004</v>
      </c>
      <c r="AN5" s="48">
        <v>942823.63699999999</v>
      </c>
      <c r="AO5" s="48">
        <v>943615.38899999997</v>
      </c>
      <c r="AP5" s="48">
        <v>944808.951</v>
      </c>
      <c r="AQ5" s="48">
        <v>945946.39199999999</v>
      </c>
      <c r="AR5" s="48">
        <v>947032.88</v>
      </c>
      <c r="AS5" s="48">
        <v>947889.35800000001</v>
      </c>
      <c r="AT5" s="48">
        <v>948715.19</v>
      </c>
      <c r="AU5" s="48">
        <v>949408.49800000002</v>
      </c>
      <c r="AV5" s="48">
        <v>950396.29799999995</v>
      </c>
      <c r="AW5" s="48">
        <v>951221.41399999999</v>
      </c>
      <c r="AX5" s="48">
        <v>952193.755</v>
      </c>
      <c r="AY5" s="48">
        <v>953175.647</v>
      </c>
      <c r="AZ5" s="48">
        <v>953900.05500000005</v>
      </c>
      <c r="BA5" s="48">
        <v>954963.07200000004</v>
      </c>
      <c r="BB5" s="48">
        <v>955684.42500000005</v>
      </c>
      <c r="BC5" s="48">
        <v>956578.79799999995</v>
      </c>
      <c r="BD5" s="48">
        <v>957498.77800000005</v>
      </c>
      <c r="BE5" s="48">
        <v>958472.98600000003</v>
      </c>
      <c r="BF5" s="48">
        <v>959458.23699999996</v>
      </c>
      <c r="BG5" s="48">
        <v>960386.23699999996</v>
      </c>
      <c r="BH5" s="48">
        <v>961264.40399999998</v>
      </c>
      <c r="BI5" s="48">
        <v>961985.71299999999</v>
      </c>
      <c r="BJ5" s="48">
        <v>962928.18</v>
      </c>
      <c r="BK5" s="48">
        <v>963729.86</v>
      </c>
      <c r="BL5" s="48">
        <v>964598.39800000004</v>
      </c>
      <c r="BM5" s="48">
        <v>965561.071</v>
      </c>
      <c r="BO5" s="48">
        <v>966414.89500000002</v>
      </c>
      <c r="BP5" s="48">
        <v>967216.61899999995</v>
      </c>
      <c r="BQ5" s="48">
        <v>968053.15500000003</v>
      </c>
      <c r="BR5" s="48">
        <v>968888.33200000005</v>
      </c>
      <c r="BS5" s="48">
        <v>969744.60199999996</v>
      </c>
      <c r="BT5" s="48">
        <v>970547.93500000006</v>
      </c>
      <c r="BU5" s="48">
        <v>971309.59699999995</v>
      </c>
      <c r="BV5" s="48">
        <v>972151.97400000005</v>
      </c>
      <c r="BW5" s="48">
        <v>973006.64500000002</v>
      </c>
      <c r="BX5" s="48">
        <v>973806.625</v>
      </c>
      <c r="BY5" s="48">
        <v>974519.41399999999</v>
      </c>
      <c r="BZ5" s="48">
        <v>975328.39500000002</v>
      </c>
      <c r="CA5" s="48">
        <v>976268.45499999996</v>
      </c>
      <c r="CB5" s="48">
        <v>977141.71799999999</v>
      </c>
      <c r="CC5" s="48">
        <v>977953.80099999998</v>
      </c>
      <c r="CD5" s="48">
        <v>978778.30700000003</v>
      </c>
      <c r="CE5" s="48">
        <v>979609.00199999998</v>
      </c>
      <c r="CF5" s="48">
        <v>980441.90800000005</v>
      </c>
      <c r="CG5" s="48">
        <v>981197.13</v>
      </c>
      <c r="CH5" s="48">
        <v>982081.86699999997</v>
      </c>
      <c r="CI5" s="48">
        <v>982774.49</v>
      </c>
      <c r="CJ5" s="48">
        <v>983699.74399999995</v>
      </c>
      <c r="CK5" s="48">
        <v>984413.02300000004</v>
      </c>
      <c r="CL5" s="48">
        <v>985173.34299999999</v>
      </c>
      <c r="CM5" s="48">
        <v>985999.32700000005</v>
      </c>
      <c r="CN5" s="48">
        <v>986811.29500000004</v>
      </c>
      <c r="CO5" s="48">
        <v>987728.103</v>
      </c>
      <c r="CP5" s="48">
        <v>988561.49899999995</v>
      </c>
      <c r="CQ5" s="48">
        <v>989356.23300000001</v>
      </c>
      <c r="CR5" s="48">
        <v>990199.63600000006</v>
      </c>
      <c r="CS5" s="48">
        <v>990943.46100000001</v>
      </c>
      <c r="CU5" s="48">
        <v>991763.45299999998</v>
      </c>
      <c r="CV5" s="48">
        <v>992569.99899999995</v>
      </c>
      <c r="CW5" s="48">
        <v>993461.73</v>
      </c>
      <c r="CX5" s="48">
        <v>994413.54500000004</v>
      </c>
      <c r="CY5" s="48">
        <v>995545.68500000006</v>
      </c>
      <c r="CZ5" s="48">
        <v>996445.18700000003</v>
      </c>
      <c r="DA5" s="48">
        <v>997250.35</v>
      </c>
      <c r="DB5" s="48">
        <v>997900.30200000003</v>
      </c>
      <c r="DC5" s="48">
        <v>998724.30099999998</v>
      </c>
      <c r="DD5" s="48">
        <v>999632.37899999996</v>
      </c>
      <c r="DE5" s="48">
        <v>1000484.0820000001</v>
      </c>
      <c r="DF5" s="48">
        <v>1001218.152</v>
      </c>
      <c r="DG5" s="48">
        <v>1002006.125</v>
      </c>
      <c r="DH5" s="48">
        <v>1002903.426</v>
      </c>
      <c r="DI5" s="48">
        <v>1003651.395</v>
      </c>
      <c r="DJ5" s="48">
        <v>1004201.931</v>
      </c>
      <c r="DK5" s="48">
        <v>1004779.577</v>
      </c>
      <c r="DL5" s="48">
        <v>1005571.502</v>
      </c>
      <c r="DM5" s="48">
        <v>1006285.3149999999</v>
      </c>
      <c r="DN5" s="48">
        <v>1007109.2659999999</v>
      </c>
      <c r="DO5" s="48">
        <v>1007750.379</v>
      </c>
      <c r="DP5" s="48">
        <v>1008548.073</v>
      </c>
      <c r="DQ5" s="48">
        <v>1009432.628</v>
      </c>
      <c r="DR5" s="48">
        <v>1010248.95</v>
      </c>
      <c r="DS5" s="48">
        <v>1011114.785</v>
      </c>
      <c r="DT5" s="48">
        <v>1011886.388</v>
      </c>
      <c r="DU5" s="48">
        <v>1012487.221</v>
      </c>
      <c r="DV5" s="48">
        <v>1013147.0110000001</v>
      </c>
      <c r="DW5" s="48">
        <v>1013670.719</v>
      </c>
      <c r="DX5" s="48">
        <v>1014373.531</v>
      </c>
      <c r="DZ5" s="48">
        <v>1015286.605</v>
      </c>
      <c r="EA5" s="48">
        <v>1015993.58</v>
      </c>
      <c r="EB5" s="48">
        <v>1016633.034</v>
      </c>
      <c r="EC5" s="48">
        <v>1017254.9129999999</v>
      </c>
      <c r="ED5" s="48">
        <v>1017940.745</v>
      </c>
      <c r="EE5" s="48">
        <v>1018636.455</v>
      </c>
      <c r="EF5" s="48">
        <v>1019346.776</v>
      </c>
      <c r="EG5" s="48">
        <v>1020246.419</v>
      </c>
      <c r="EH5" s="48">
        <v>1021152.947</v>
      </c>
      <c r="EI5" s="48">
        <v>1021981.735</v>
      </c>
      <c r="EJ5" s="48">
        <v>1022719.053</v>
      </c>
      <c r="EK5" s="48">
        <v>1023452.278</v>
      </c>
      <c r="EL5" s="48">
        <v>1024253.572</v>
      </c>
      <c r="EM5" s="48">
        <v>1025036.028</v>
      </c>
      <c r="EN5" s="48">
        <v>1025877.363</v>
      </c>
      <c r="EO5" s="48">
        <v>1026926.9889999999</v>
      </c>
      <c r="EP5" s="48">
        <v>1027799.241</v>
      </c>
      <c r="EQ5" s="48">
        <v>1028704.432</v>
      </c>
      <c r="ER5" s="48">
        <v>1029392.03</v>
      </c>
      <c r="ES5" s="48">
        <v>1030225.193</v>
      </c>
      <c r="ET5" s="48">
        <v>1031150.268</v>
      </c>
      <c r="EU5" s="48">
        <v>1032270.289</v>
      </c>
      <c r="EV5" s="48">
        <v>1033341.525</v>
      </c>
      <c r="EW5" s="48">
        <v>1034436.272</v>
      </c>
      <c r="EX5" s="48">
        <v>1035201.971</v>
      </c>
      <c r="EY5" s="48">
        <v>1035857.051</v>
      </c>
      <c r="EZ5" s="48">
        <v>1036542.071</v>
      </c>
      <c r="FA5" s="48">
        <v>1037187.388</v>
      </c>
      <c r="FB5" s="48">
        <v>1038025.235</v>
      </c>
      <c r="FC5" s="48">
        <v>1038820.4350000001</v>
      </c>
      <c r="FD5" s="48">
        <v>1039685.752</v>
      </c>
      <c r="FE5" s="126"/>
      <c r="FF5" s="48">
        <v>1040471.764</v>
      </c>
      <c r="FG5" s="48">
        <v>1041268.44</v>
      </c>
      <c r="FH5" s="48">
        <v>1041960.088</v>
      </c>
      <c r="FI5" s="48">
        <v>1042907.4449999999</v>
      </c>
      <c r="FJ5" s="48">
        <v>1043692.031</v>
      </c>
      <c r="FK5" s="48">
        <v>1044553.08</v>
      </c>
      <c r="FL5" s="48">
        <v>1045334.774</v>
      </c>
      <c r="FM5" s="48">
        <v>1046130.528</v>
      </c>
      <c r="FN5" s="48">
        <v>1046883.013</v>
      </c>
      <c r="FO5" s="48">
        <v>1047657.148</v>
      </c>
      <c r="FP5" s="48">
        <v>1048497.27</v>
      </c>
      <c r="FQ5" s="48">
        <v>1049375.4709999999</v>
      </c>
      <c r="FR5" s="48">
        <v>1050201.9010000001</v>
      </c>
      <c r="FS5" s="48">
        <v>1050855.6410000001</v>
      </c>
      <c r="FT5" s="48">
        <v>1051523.905</v>
      </c>
      <c r="FU5" s="48">
        <v>1052298.1370000001</v>
      </c>
      <c r="FV5" s="48">
        <v>1052866.548</v>
      </c>
      <c r="FW5" s="48">
        <v>1053619.3740000001</v>
      </c>
      <c r="FX5" s="48">
        <v>1054374.4040000001</v>
      </c>
      <c r="FY5" s="48">
        <v>1055272.101</v>
      </c>
      <c r="FZ5" s="48">
        <v>1056022.7849999999</v>
      </c>
      <c r="GA5" s="48">
        <v>1056686.3600000001</v>
      </c>
      <c r="GB5" s="48">
        <v>1057540.602</v>
      </c>
      <c r="GC5" s="48">
        <v>1058279.8400000001</v>
      </c>
      <c r="GD5" s="48">
        <v>1059208.794</v>
      </c>
      <c r="GE5" s="48">
        <v>1060048.926</v>
      </c>
      <c r="GF5" s="48">
        <v>1060633.3640000001</v>
      </c>
      <c r="GG5" s="48">
        <v>1061350.92</v>
      </c>
      <c r="GH5" s="48">
        <v>1062225.0260000001</v>
      </c>
      <c r="GI5" s="48">
        <v>1062933.3430000001</v>
      </c>
      <c r="GJ5" s="48">
        <v>1063622.8840000001</v>
      </c>
      <c r="GK5" s="126"/>
      <c r="GL5" s="48">
        <v>1064470.5009999999</v>
      </c>
      <c r="GM5" s="48">
        <v>1065333.577</v>
      </c>
      <c r="GN5" s="48">
        <v>1066493.436</v>
      </c>
      <c r="GO5" s="48">
        <v>1067357.6969999999</v>
      </c>
      <c r="GP5" s="48">
        <v>1068212.621</v>
      </c>
      <c r="GQ5" s="48">
        <v>1069183.4979999999</v>
      </c>
      <c r="GR5" s="48">
        <v>1070099.1270000001</v>
      </c>
      <c r="GS5" s="48">
        <v>1070819.118</v>
      </c>
      <c r="GT5" s="48">
        <v>1071860.2039999999</v>
      </c>
      <c r="GU5" s="48">
        <v>1072555.6569999999</v>
      </c>
      <c r="GV5" s="48">
        <v>1073302.9620000001</v>
      </c>
      <c r="GW5" s="48">
        <v>1074294.923</v>
      </c>
      <c r="GX5" s="48">
        <v>1075239.6170000001</v>
      </c>
      <c r="GY5" s="48">
        <v>1076027.0959999999</v>
      </c>
      <c r="GZ5" s="48">
        <v>1076861.767</v>
      </c>
      <c r="HA5" s="48">
        <v>1077642.848</v>
      </c>
      <c r="HB5" s="48">
        <v>1078578.3959999999</v>
      </c>
      <c r="HC5" s="48">
        <v>1079419.308</v>
      </c>
      <c r="HD5" s="48">
        <v>1080168.8659999999</v>
      </c>
      <c r="HE5" s="48">
        <v>1080963.834</v>
      </c>
      <c r="HF5" s="48">
        <v>1081845.5819999999</v>
      </c>
      <c r="HG5" s="48">
        <v>1082533.361</v>
      </c>
      <c r="HH5" s="48">
        <v>1083134.9620000001</v>
      </c>
      <c r="HI5" s="48">
        <v>1083935.58</v>
      </c>
      <c r="HJ5" s="48">
        <v>1084604.057</v>
      </c>
      <c r="HK5" s="48">
        <v>1085550.7590000001</v>
      </c>
      <c r="HL5" s="48">
        <v>1086216.452</v>
      </c>
      <c r="HM5" s="48">
        <v>1087072.9140000001</v>
      </c>
      <c r="HN5" s="48">
        <v>1087999.8659999999</v>
      </c>
      <c r="HO5" s="126"/>
      <c r="HP5" s="48">
        <v>1088958.264</v>
      </c>
      <c r="HQ5" s="48">
        <v>1089891.2169999999</v>
      </c>
      <c r="HR5" s="48">
        <v>1090865.3489999999</v>
      </c>
      <c r="HS5" s="48">
        <v>1091850.1240000001</v>
      </c>
      <c r="HT5" s="48">
        <v>1092757.5220000001</v>
      </c>
      <c r="HU5" s="48">
        <v>1093542.5190000001</v>
      </c>
      <c r="HV5" s="48">
        <v>1094532.763</v>
      </c>
      <c r="HW5" s="48">
        <v>1095466.642</v>
      </c>
      <c r="HX5" s="48">
        <v>1096218.4040000001</v>
      </c>
      <c r="HY5" s="48">
        <v>1097041.852</v>
      </c>
      <c r="HZ5" s="48">
        <v>1097858.575</v>
      </c>
      <c r="IA5" s="48">
        <v>1098508.7490000001</v>
      </c>
      <c r="IB5" s="48">
        <v>1099263.2080000001</v>
      </c>
      <c r="IC5" s="48">
        <v>1099863.031</v>
      </c>
      <c r="ID5" s="48">
        <v>1100659.77</v>
      </c>
      <c r="IE5" s="48">
        <v>1101431.05</v>
      </c>
      <c r="IF5" s="48">
        <v>1102136.1569999999</v>
      </c>
      <c r="IG5" s="48">
        <v>1102947.0049999999</v>
      </c>
      <c r="IH5" s="48">
        <v>1103765.02</v>
      </c>
      <c r="II5" s="48">
        <v>1104565.254</v>
      </c>
      <c r="IJ5" s="48">
        <v>1105217.1440000001</v>
      </c>
      <c r="IK5" s="48">
        <v>1106084.621</v>
      </c>
      <c r="IL5" s="48">
        <v>1106812.2790000001</v>
      </c>
      <c r="IM5" s="48">
        <v>1107615.3</v>
      </c>
      <c r="IN5" s="48">
        <v>1108498.8189999999</v>
      </c>
      <c r="IO5" s="48">
        <v>1109221.9029999999</v>
      </c>
      <c r="IP5" s="48">
        <v>1110050.5460000001</v>
      </c>
      <c r="IQ5" s="48">
        <v>1110924.031</v>
      </c>
      <c r="IR5" s="48">
        <v>1111642.1640000001</v>
      </c>
      <c r="IS5" s="48">
        <v>1112550.598</v>
      </c>
      <c r="IT5" s="48">
        <v>1113166.75</v>
      </c>
      <c r="IU5" s="126"/>
      <c r="IV5" s="48">
        <v>1113854.433</v>
      </c>
      <c r="IW5" s="48">
        <v>1114684.328</v>
      </c>
      <c r="IX5" s="48">
        <v>1115334.817</v>
      </c>
      <c r="IY5" s="48">
        <v>1115999.3689999999</v>
      </c>
      <c r="IZ5" s="48">
        <v>1116784.818</v>
      </c>
      <c r="JA5" s="48">
        <v>1117750.328</v>
      </c>
      <c r="JB5" s="48">
        <v>1118519.7039999999</v>
      </c>
      <c r="JC5" s="48">
        <v>1119326.3049999999</v>
      </c>
      <c r="JD5" s="48">
        <v>1120046.274</v>
      </c>
      <c r="JE5" s="48">
        <v>1120713.888</v>
      </c>
      <c r="JF5" s="48">
        <v>1121295.27</v>
      </c>
      <c r="JG5" s="48">
        <v>1122093.1470000001</v>
      </c>
      <c r="JH5" s="48">
        <v>1122866.139</v>
      </c>
      <c r="JI5" s="48">
        <v>1123422.4380000001</v>
      </c>
      <c r="JJ5" s="48">
        <v>1124277.6599999999</v>
      </c>
      <c r="JK5" s="48">
        <v>1124903.993</v>
      </c>
      <c r="JL5" s="48">
        <v>1125543.817</v>
      </c>
      <c r="JM5" s="48">
        <v>1126076.8060000001</v>
      </c>
      <c r="JN5" s="48">
        <v>1126772.774</v>
      </c>
      <c r="JO5" s="48">
        <v>1127383.3430000001</v>
      </c>
      <c r="JP5" s="48">
        <v>1128083.8640000001</v>
      </c>
      <c r="JQ5" s="48">
        <v>1128891.726</v>
      </c>
      <c r="JR5" s="48">
        <v>1129548.811</v>
      </c>
      <c r="JS5" s="48">
        <v>1130314.4240000001</v>
      </c>
      <c r="JT5" s="48">
        <v>1131000.9750000001</v>
      </c>
      <c r="JU5" s="48">
        <v>1131783.159</v>
      </c>
      <c r="JV5" s="48">
        <v>1132805.5049999999</v>
      </c>
      <c r="JW5" s="48">
        <v>1133628.8419999999</v>
      </c>
      <c r="JX5" s="48">
        <v>1134444.7709999999</v>
      </c>
      <c r="JY5" s="48">
        <v>1135056.666</v>
      </c>
      <c r="JZ5" s="126"/>
      <c r="KA5" s="48">
        <v>1135956.9669999999</v>
      </c>
      <c r="KB5" s="48">
        <v>1136654.4790000001</v>
      </c>
      <c r="KC5" s="48">
        <v>1137375.6499999999</v>
      </c>
      <c r="KD5" s="48">
        <v>1138282.5149999999</v>
      </c>
      <c r="KE5" s="48">
        <v>1139070.514</v>
      </c>
      <c r="KF5" s="48">
        <v>1139844.6100000001</v>
      </c>
      <c r="KG5" s="48">
        <v>1140620.4680000001</v>
      </c>
      <c r="KH5" s="48">
        <v>1141220.179</v>
      </c>
      <c r="KI5" s="48">
        <v>1141917.706</v>
      </c>
      <c r="KJ5" s="48">
        <v>1142739.223</v>
      </c>
      <c r="KK5" s="48">
        <v>1143631.46</v>
      </c>
      <c r="KL5" s="48">
        <v>1144320.93</v>
      </c>
      <c r="KM5" s="48">
        <v>1145191.3459999999</v>
      </c>
      <c r="KN5" s="48">
        <v>1145868.2990000001</v>
      </c>
      <c r="KO5" s="48">
        <v>1146452.496</v>
      </c>
      <c r="KP5" s="48">
        <v>1147303.246</v>
      </c>
      <c r="KQ5" s="48">
        <v>1148055.3049999999</v>
      </c>
      <c r="KR5" s="48">
        <v>1148915.615</v>
      </c>
      <c r="KS5" s="48">
        <v>1149693.1459999999</v>
      </c>
      <c r="KT5" s="48">
        <v>1150529.5090000001</v>
      </c>
      <c r="KU5" s="48">
        <v>1151155.8670000001</v>
      </c>
      <c r="KV5" s="48">
        <v>1151854.9809999999</v>
      </c>
      <c r="KW5" s="48">
        <v>1152639.5</v>
      </c>
      <c r="KX5" s="48">
        <v>1153464.051</v>
      </c>
      <c r="KY5" s="48">
        <v>1154279.7309999999</v>
      </c>
      <c r="KZ5" s="48">
        <v>1155010.32</v>
      </c>
      <c r="LA5" s="48">
        <v>1155724.139</v>
      </c>
      <c r="LB5" s="48">
        <v>1156535.365</v>
      </c>
      <c r="LC5" s="48">
        <v>1157259.811</v>
      </c>
      <c r="LD5" s="48">
        <v>1158024.1029999999</v>
      </c>
      <c r="LE5" s="48">
        <v>1158991.973</v>
      </c>
      <c r="LF5" s="126"/>
      <c r="LG5" s="48">
        <v>1159784.4129999999</v>
      </c>
      <c r="LH5" s="48">
        <v>1160364.875</v>
      </c>
      <c r="LI5" s="48">
        <v>1161248.675</v>
      </c>
      <c r="LJ5" s="48">
        <v>1162145.9180000001</v>
      </c>
      <c r="LK5" s="48">
        <v>1162876.8259999999</v>
      </c>
      <c r="LL5" s="48">
        <v>1163637.3529999999</v>
      </c>
      <c r="LM5" s="48">
        <v>1164406.871</v>
      </c>
      <c r="LN5" s="48">
        <v>1165439.47</v>
      </c>
      <c r="LO5" s="48">
        <v>1166463.0630000001</v>
      </c>
      <c r="LP5" s="48">
        <v>1167341.8500000001</v>
      </c>
      <c r="LQ5" s="48">
        <v>1168165.3289999999</v>
      </c>
      <c r="LR5" s="48">
        <v>1168962.422</v>
      </c>
      <c r="LS5" s="48">
        <v>1169906.9269999999</v>
      </c>
      <c r="LT5" s="48">
        <v>1170668.8540000001</v>
      </c>
      <c r="LU5" s="48">
        <v>1171691.405</v>
      </c>
      <c r="LV5" s="48">
        <v>1172506.5109999999</v>
      </c>
      <c r="LW5" s="48">
        <v>1173335.5109999999</v>
      </c>
      <c r="LX5" s="48">
        <v>1174088.5870000001</v>
      </c>
      <c r="LY5" s="48">
        <v>1174841.1710000001</v>
      </c>
      <c r="LZ5" s="48">
        <v>1175577.93</v>
      </c>
      <c r="MA5" s="48">
        <v>1176399.2960000001</v>
      </c>
      <c r="MB5" s="48">
        <v>1177122.9879999999</v>
      </c>
      <c r="MC5" s="48">
        <v>1177921.743</v>
      </c>
      <c r="MD5" s="48">
        <v>1178945.2080000001</v>
      </c>
      <c r="ME5" s="48">
        <v>1179649.1470000001</v>
      </c>
      <c r="MF5" s="48">
        <v>1180494.2069999999</v>
      </c>
      <c r="MG5" s="48">
        <v>1181070.95</v>
      </c>
      <c r="MH5" s="48">
        <v>1181947.4480000001</v>
      </c>
      <c r="MI5" s="48">
        <v>1182762.3230000001</v>
      </c>
      <c r="MJ5" s="48">
        <v>1183692.226</v>
      </c>
      <c r="MK5" s="126"/>
      <c r="ML5" s="48">
        <v>1184703.2590000001</v>
      </c>
      <c r="MM5" s="48">
        <v>1185513.872</v>
      </c>
      <c r="MN5" s="48">
        <v>1186268.1740000001</v>
      </c>
      <c r="MO5" s="48">
        <v>1186915.1170000001</v>
      </c>
      <c r="MP5" s="48">
        <v>1187869.561</v>
      </c>
      <c r="MQ5" s="48">
        <v>1188770.7860000001</v>
      </c>
      <c r="MR5" s="48">
        <v>1189546.6159999999</v>
      </c>
      <c r="MS5" s="48">
        <v>1190400.827</v>
      </c>
      <c r="MT5" s="48">
        <v>1191200.189</v>
      </c>
      <c r="MU5" s="48">
        <v>1191923.7409999999</v>
      </c>
      <c r="MV5" s="48">
        <v>1192703.2320000001</v>
      </c>
      <c r="MW5" s="48">
        <v>1193429.53</v>
      </c>
      <c r="MX5" s="48">
        <v>1194323.72</v>
      </c>
      <c r="MY5" s="48">
        <v>1195022.8999999999</v>
      </c>
      <c r="MZ5" s="48">
        <v>1195785.7560000001</v>
      </c>
      <c r="NA5" s="48">
        <v>1196536.17</v>
      </c>
      <c r="NB5" s="48">
        <v>1197228.78</v>
      </c>
      <c r="NC5" s="48">
        <v>1198071.8829999999</v>
      </c>
      <c r="ND5" s="48">
        <v>1198870.3870000001</v>
      </c>
      <c r="NE5" s="48">
        <v>1199777.548</v>
      </c>
      <c r="NF5" s="48">
        <v>1200622.7169999999</v>
      </c>
      <c r="NG5" s="48">
        <v>1201405.977</v>
      </c>
      <c r="NH5" s="48">
        <v>1202087.1370000001</v>
      </c>
      <c r="NI5" s="48">
        <v>1202752.024</v>
      </c>
      <c r="NJ5" s="48">
        <v>1203555.219</v>
      </c>
      <c r="NK5" s="48">
        <v>1204310.5449999999</v>
      </c>
      <c r="NL5" s="48">
        <v>1205358.264</v>
      </c>
      <c r="NM5" s="48">
        <v>1205998.7050000001</v>
      </c>
      <c r="NN5" s="48">
        <v>1206942.7039999999</v>
      </c>
      <c r="NO5" s="48">
        <v>1207754.8970000001</v>
      </c>
      <c r="NP5" s="48">
        <v>1208405.574</v>
      </c>
      <c r="NQ5" s="126"/>
      <c r="NR5" s="48">
        <v>1209225.5859999999</v>
      </c>
      <c r="NS5" s="48">
        <v>1210007.5090000001</v>
      </c>
      <c r="NT5" s="48">
        <v>1210931.8840000001</v>
      </c>
      <c r="NU5" s="48">
        <v>1211765.9920000001</v>
      </c>
      <c r="NV5" s="48">
        <v>1212528.622</v>
      </c>
      <c r="NW5" s="48">
        <v>1213449.9509999999</v>
      </c>
      <c r="NX5" s="48">
        <v>1214213.9350000001</v>
      </c>
      <c r="NY5" s="48">
        <v>1215050.3589999999</v>
      </c>
      <c r="NZ5" s="48">
        <v>1215970.368</v>
      </c>
      <c r="OA5" s="48">
        <v>1216910.291</v>
      </c>
      <c r="OB5" s="48">
        <v>1217508.73</v>
      </c>
      <c r="OC5" s="48">
        <v>1218349.706</v>
      </c>
      <c r="OD5" s="48">
        <v>1219155.341</v>
      </c>
      <c r="OE5" s="48">
        <v>1220009.5390000001</v>
      </c>
      <c r="OF5" s="48">
        <v>1220729.9469999999</v>
      </c>
      <c r="OG5" s="48">
        <v>1221501.925</v>
      </c>
      <c r="OH5" s="48">
        <v>1222466.4790000001</v>
      </c>
      <c r="OI5" s="48">
        <v>1223269.7309999999</v>
      </c>
      <c r="OJ5" s="48">
        <v>1224060.7590000001</v>
      </c>
      <c r="OK5" s="48">
        <v>1224798.4140000001</v>
      </c>
      <c r="OL5" s="48">
        <v>1225496.9639999999</v>
      </c>
      <c r="OM5" s="48">
        <v>1226345.7690000001</v>
      </c>
      <c r="ON5" s="48">
        <v>1227074.1140000001</v>
      </c>
      <c r="OO5" s="48">
        <v>1227967.264</v>
      </c>
      <c r="OP5" s="48">
        <v>1228549.9979999999</v>
      </c>
      <c r="OQ5" s="48">
        <v>1229261.1299999999</v>
      </c>
      <c r="OR5" s="48">
        <v>1230047.3370000001</v>
      </c>
      <c r="OS5" s="48">
        <v>1230704.456</v>
      </c>
      <c r="OT5" s="48">
        <v>1231529.419</v>
      </c>
      <c r="OU5" s="48">
        <v>1232313.52</v>
      </c>
      <c r="OV5" s="48">
        <v>1233154.5379999999</v>
      </c>
      <c r="OW5" s="126"/>
      <c r="OX5" s="48">
        <v>1233865.27</v>
      </c>
      <c r="OY5" s="48">
        <v>1234672.649</v>
      </c>
      <c r="OZ5" s="48">
        <v>1235408.915</v>
      </c>
      <c r="PA5" s="48">
        <v>1236157.9269999999</v>
      </c>
      <c r="PB5" s="48">
        <v>1236827.189</v>
      </c>
      <c r="PC5" s="48">
        <v>1237607.3</v>
      </c>
      <c r="PD5" s="48">
        <v>1238300.2679999999</v>
      </c>
      <c r="PE5" s="48">
        <v>1239057.1440000001</v>
      </c>
      <c r="PF5" s="48">
        <v>1240000.254</v>
      </c>
      <c r="PG5" s="48">
        <v>1240858.9990000001</v>
      </c>
      <c r="PH5" s="48">
        <v>1241560.415</v>
      </c>
      <c r="PI5" s="48">
        <v>1242236.311</v>
      </c>
      <c r="PJ5" s="48">
        <v>1243133.82</v>
      </c>
      <c r="PK5" s="48">
        <v>1243925.2830000001</v>
      </c>
      <c r="PL5" s="48">
        <v>1244549.003</v>
      </c>
      <c r="PM5" s="48">
        <v>1245454.861</v>
      </c>
      <c r="PN5" s="48">
        <v>1246331.274</v>
      </c>
      <c r="PO5" s="48">
        <v>1247000.327</v>
      </c>
      <c r="PP5" s="48">
        <v>1247549.213</v>
      </c>
      <c r="PQ5" s="48">
        <v>1248268.078</v>
      </c>
      <c r="PR5" s="48">
        <v>1248879.9979999999</v>
      </c>
      <c r="PS5" s="48">
        <v>1249497.07</v>
      </c>
      <c r="PT5" s="48">
        <v>1250214.4879999999</v>
      </c>
      <c r="PU5" s="48">
        <v>1250943.0379999999</v>
      </c>
      <c r="PV5" s="48">
        <v>1251623.128</v>
      </c>
      <c r="PW5" s="48">
        <v>1252194.227</v>
      </c>
      <c r="PX5" s="48">
        <v>1252915.2679999999</v>
      </c>
      <c r="PY5" s="48">
        <v>1253595</v>
      </c>
      <c r="PZ5" s="48">
        <v>1253947.0970000001</v>
      </c>
      <c r="QA5" s="48">
        <v>1254683.629</v>
      </c>
      <c r="QB5" s="126"/>
      <c r="QC5" s="48">
        <v>1255375.112</v>
      </c>
      <c r="QD5" s="48">
        <v>1255971.3899999999</v>
      </c>
      <c r="QE5" s="48">
        <v>1256654.7790000001</v>
      </c>
      <c r="QF5" s="48">
        <v>1257470.966</v>
      </c>
      <c r="QG5" s="48">
        <v>1258315</v>
      </c>
      <c r="QH5" s="48">
        <v>1258980.746</v>
      </c>
      <c r="QI5" s="48">
        <v>1259907.8160000001</v>
      </c>
      <c r="QJ5" s="48">
        <v>1260625.0160000001</v>
      </c>
      <c r="QK5" s="48">
        <v>1261369.878</v>
      </c>
      <c r="QL5" s="48">
        <v>1262063.078</v>
      </c>
      <c r="QM5" s="48">
        <v>1262985.3149999999</v>
      </c>
      <c r="QN5" s="48">
        <v>1263852.8400000001</v>
      </c>
      <c r="QO5" s="48">
        <v>1264640.78</v>
      </c>
      <c r="QP5" s="48">
        <v>1265550.0619999999</v>
      </c>
      <c r="QQ5" s="48">
        <v>1266235.879</v>
      </c>
      <c r="QR5" s="48">
        <v>1266871.686</v>
      </c>
      <c r="QS5" s="48">
        <v>1267623.9110000001</v>
      </c>
      <c r="QT5" s="48">
        <v>1268521.6599999999</v>
      </c>
      <c r="QU5" s="48">
        <v>1269212.2590000001</v>
      </c>
      <c r="QV5" s="48">
        <v>1270014.24</v>
      </c>
      <c r="QW5" s="48">
        <v>1270658.922</v>
      </c>
      <c r="QX5" s="48">
        <v>1271340.8289999999</v>
      </c>
      <c r="QY5" s="48">
        <v>1272058.0290000001</v>
      </c>
      <c r="QZ5" s="48">
        <v>1272718.838</v>
      </c>
      <c r="RA5" s="48">
        <v>1273533.8899999999</v>
      </c>
      <c r="RB5" s="48">
        <v>1274327.267</v>
      </c>
      <c r="RC5" s="48">
        <v>1274947.3670000001</v>
      </c>
      <c r="RD5" s="48">
        <v>1275628.6669999999</v>
      </c>
      <c r="RE5" s="48">
        <v>1276246.5889999999</v>
      </c>
      <c r="RF5" s="48">
        <v>1276794.048</v>
      </c>
      <c r="RG5" s="48">
        <v>1277512.355</v>
      </c>
      <c r="RH5" s="126"/>
      <c r="RI5" s="48">
        <v>1278303.0830000001</v>
      </c>
      <c r="RJ5" s="48">
        <v>1279124.013</v>
      </c>
      <c r="RK5" s="48">
        <v>1279829.9180000001</v>
      </c>
      <c r="RL5" s="48">
        <v>1280602.8119999999</v>
      </c>
      <c r="RM5" s="48">
        <v>1281259.4080000001</v>
      </c>
      <c r="RN5" s="48">
        <v>1281853.6580000001</v>
      </c>
      <c r="RO5" s="48">
        <v>1282393.6429999999</v>
      </c>
      <c r="RP5" s="48">
        <v>1283191.632</v>
      </c>
      <c r="RQ5" s="48">
        <v>1283844.068</v>
      </c>
      <c r="RR5" s="48">
        <v>1284639.068</v>
      </c>
      <c r="RS5" s="48">
        <v>1285336.8759999999</v>
      </c>
      <c r="RT5" s="48">
        <v>1285988.57</v>
      </c>
      <c r="RU5" s="48">
        <v>1286675.55</v>
      </c>
      <c r="RV5" s="48">
        <v>1287192.915</v>
      </c>
      <c r="RW5" s="48">
        <v>1287834.6140000001</v>
      </c>
      <c r="RX5" s="48">
        <v>1288546.662</v>
      </c>
      <c r="RY5" s="48">
        <v>1289170.0279999999</v>
      </c>
      <c r="RZ5" s="48">
        <v>1289784.746</v>
      </c>
      <c r="SA5" s="48">
        <v>1290602.0349999999</v>
      </c>
      <c r="SB5" s="48">
        <v>1291283.2679999999</v>
      </c>
      <c r="SC5" s="48">
        <v>1291876.314</v>
      </c>
      <c r="SD5" s="48">
        <v>1292653.5009999999</v>
      </c>
      <c r="SE5" s="48">
        <v>1293472.077</v>
      </c>
      <c r="SF5" s="48">
        <v>1294163.615</v>
      </c>
      <c r="SG5" s="48">
        <v>1294981.8500000001</v>
      </c>
      <c r="SH5" s="48">
        <v>1295633.923</v>
      </c>
      <c r="SI5" s="48">
        <v>1296390.2139999999</v>
      </c>
      <c r="SJ5" s="48">
        <v>1297111.2879999999</v>
      </c>
      <c r="SK5" s="48">
        <v>1297818.2439999999</v>
      </c>
      <c r="SL5" s="48">
        <v>1298686.344</v>
      </c>
      <c r="SM5" s="126"/>
      <c r="SN5" s="48">
        <v>1299350.7720000001</v>
      </c>
      <c r="SO5" s="48">
        <v>1300230.078</v>
      </c>
      <c r="SP5" s="48">
        <v>1300920.442</v>
      </c>
      <c r="SQ5" s="48">
        <v>1301688.977</v>
      </c>
      <c r="SR5" s="48">
        <v>1302337.085</v>
      </c>
      <c r="SS5" s="48">
        <v>1303089.0630000001</v>
      </c>
      <c r="ST5" s="48">
        <v>1304173.8489999999</v>
      </c>
      <c r="SU5" s="48">
        <v>1304926.476</v>
      </c>
      <c r="SV5" s="48">
        <v>1305695.7949999999</v>
      </c>
      <c r="SW5" s="48">
        <v>1306365.192</v>
      </c>
      <c r="SX5" s="48">
        <v>1307127.781</v>
      </c>
      <c r="SY5" s="48">
        <v>1307873.351</v>
      </c>
      <c r="SZ5" s="48">
        <v>1308749.94</v>
      </c>
      <c r="TA5" s="48">
        <v>1309575.5290000001</v>
      </c>
      <c r="TB5" s="48">
        <v>1310259.7620000001</v>
      </c>
      <c r="TC5" s="48">
        <v>1311034.3019999999</v>
      </c>
      <c r="TD5" s="48">
        <v>1311861.419</v>
      </c>
      <c r="TE5" s="48">
        <v>1312676.1129999999</v>
      </c>
      <c r="TF5" s="48">
        <v>1313483.4069999999</v>
      </c>
      <c r="TG5" s="48">
        <v>1314309.33</v>
      </c>
      <c r="TH5" s="48">
        <v>1315269.649</v>
      </c>
      <c r="TI5" s="48">
        <v>1316228.1459999999</v>
      </c>
      <c r="TJ5" s="48">
        <v>1317170.817</v>
      </c>
      <c r="TK5" s="48">
        <v>1318031.9809999999</v>
      </c>
      <c r="TL5" s="48">
        <v>1318707</v>
      </c>
      <c r="TM5" s="48">
        <v>1319283.51</v>
      </c>
      <c r="TN5" s="48">
        <v>1319912.2339999999</v>
      </c>
      <c r="TO5" s="48">
        <v>1320706.716</v>
      </c>
      <c r="TP5" s="48">
        <v>1321225.9080000001</v>
      </c>
      <c r="TQ5" s="48">
        <v>1321839.317</v>
      </c>
      <c r="TR5" s="48">
        <v>1322665.5079999999</v>
      </c>
      <c r="TS5" s="126"/>
      <c r="TT5" s="48">
        <v>1323334.7930000001</v>
      </c>
      <c r="TU5" s="48">
        <v>1324006.719</v>
      </c>
      <c r="TV5" s="48">
        <v>1324676.8770000001</v>
      </c>
      <c r="TW5" s="48">
        <v>1325347.7379999999</v>
      </c>
      <c r="TX5" s="48">
        <v>1325977.8319999999</v>
      </c>
      <c r="TY5" s="48">
        <v>1326741.3319999999</v>
      </c>
      <c r="TZ5" s="48">
        <v>1327531.753</v>
      </c>
      <c r="UA5" s="48">
        <v>1328215.7069999999</v>
      </c>
      <c r="UB5" s="48">
        <v>1328861.2890000001</v>
      </c>
      <c r="UC5" s="48">
        <v>1329520.25</v>
      </c>
      <c r="UD5" s="48">
        <v>1330290.2960000001</v>
      </c>
      <c r="UE5" s="48">
        <v>1330902.9950000001</v>
      </c>
      <c r="UF5" s="48">
        <v>1331630.389</v>
      </c>
      <c r="UG5" s="48">
        <v>1332449.825</v>
      </c>
      <c r="UH5" s="48">
        <v>1333280.8089999999</v>
      </c>
      <c r="UI5" s="48">
        <v>1334095.652</v>
      </c>
      <c r="UJ5" s="48">
        <v>1334924.4879999999</v>
      </c>
      <c r="UK5" s="48">
        <v>1335639.9480000001</v>
      </c>
      <c r="UL5" s="48">
        <v>1336267.9939999999</v>
      </c>
      <c r="UM5" s="48">
        <v>1337003.73</v>
      </c>
      <c r="UN5" s="48">
        <v>1337646.703</v>
      </c>
      <c r="UO5" s="48">
        <v>1338441.1850000001</v>
      </c>
      <c r="UP5" s="48">
        <v>1339194.5449999999</v>
      </c>
      <c r="UQ5" s="48">
        <v>1340118.5630000001</v>
      </c>
      <c r="UR5" s="48">
        <v>1340800.7039999999</v>
      </c>
      <c r="US5" s="48">
        <v>1341451.531</v>
      </c>
      <c r="UT5" s="48">
        <v>1342182.442</v>
      </c>
      <c r="UU5" s="48">
        <v>1342900.8330000001</v>
      </c>
      <c r="UV5" s="48">
        <v>1343606.243</v>
      </c>
      <c r="UW5" s="48">
        <v>1344387.078</v>
      </c>
      <c r="UX5" s="48">
        <v>1345274.7220000001</v>
      </c>
      <c r="UY5" s="126"/>
      <c r="UZ5" s="48">
        <v>1346036.56</v>
      </c>
      <c r="VA5" s="48">
        <v>1346776.716</v>
      </c>
      <c r="VB5" s="48">
        <v>1347697.246</v>
      </c>
      <c r="VC5" s="48">
        <v>1348404.034</v>
      </c>
      <c r="VD5" s="48">
        <v>1349113.673</v>
      </c>
      <c r="VE5" s="48">
        <v>1349840.0319999999</v>
      </c>
      <c r="VF5" s="48">
        <v>1350607.5179999999</v>
      </c>
      <c r="VG5" s="48">
        <v>1351328.5919999999</v>
      </c>
      <c r="VH5" s="48">
        <v>1352018.4809999999</v>
      </c>
      <c r="VI5" s="48">
        <v>1352826.764</v>
      </c>
      <c r="VJ5" s="48">
        <v>1353455.909</v>
      </c>
      <c r="VK5" s="48">
        <v>1354080.203</v>
      </c>
      <c r="VL5" s="48">
        <v>1354896.095</v>
      </c>
      <c r="VM5" s="48">
        <v>1355913.551</v>
      </c>
      <c r="VN5" s="48">
        <v>1356532.7290000001</v>
      </c>
      <c r="VO5" s="48">
        <v>1357296.1059999999</v>
      </c>
      <c r="VP5" s="48">
        <v>1358106.8759999999</v>
      </c>
      <c r="VQ5" s="48">
        <v>1358838.486</v>
      </c>
      <c r="VR5" s="48">
        <v>1359521.348</v>
      </c>
      <c r="VS5" s="48">
        <v>1360277.1710000001</v>
      </c>
      <c r="VT5" s="48">
        <v>1360955.297</v>
      </c>
      <c r="VU5" s="48">
        <v>1361720.8289999999</v>
      </c>
      <c r="VV5" s="48">
        <v>1362360.068</v>
      </c>
      <c r="VW5" s="48">
        <v>1363138.4720000001</v>
      </c>
      <c r="VX5" s="48">
        <v>1363869.767</v>
      </c>
      <c r="VY5" s="48">
        <v>1364535.0419999999</v>
      </c>
      <c r="VZ5" s="48">
        <v>1365348.3929999999</v>
      </c>
      <c r="WA5" s="48">
        <v>1366016.9609999999</v>
      </c>
      <c r="WB5" s="126"/>
      <c r="WC5" s="48">
        <v>1366691.936</v>
      </c>
      <c r="WD5" s="48">
        <v>1367289.2579999999</v>
      </c>
      <c r="WE5" s="48">
        <v>1367981.392</v>
      </c>
      <c r="WF5" s="48">
        <v>1368591.5530000001</v>
      </c>
      <c r="WG5" s="48">
        <v>1369087.037</v>
      </c>
      <c r="WH5" s="48">
        <v>1369829.871</v>
      </c>
      <c r="WI5" s="48">
        <v>1370582.8359999999</v>
      </c>
      <c r="WJ5" s="48">
        <v>1371279.5589999999</v>
      </c>
      <c r="WK5" s="48">
        <v>1371959.446</v>
      </c>
      <c r="WL5" s="48">
        <v>1372625.442</v>
      </c>
      <c r="WM5" s="48">
        <v>1373269.9140000001</v>
      </c>
      <c r="WN5" s="48">
        <v>1373863.7720000001</v>
      </c>
      <c r="WO5" s="48">
        <v>1374513.3160000001</v>
      </c>
      <c r="WP5" s="48">
        <v>1375166.294</v>
      </c>
      <c r="WQ5" s="48">
        <v>1375859.156</v>
      </c>
      <c r="WR5" s="48">
        <v>1376563.6629999999</v>
      </c>
      <c r="WS5" s="48">
        <v>1377205.94</v>
      </c>
      <c r="WT5" s="48">
        <v>1377836.0959999999</v>
      </c>
      <c r="WU5" s="48">
        <v>1378431.9920000001</v>
      </c>
      <c r="WV5" s="48">
        <v>1379136.9639999999</v>
      </c>
      <c r="WW5" s="48">
        <v>1379784.649</v>
      </c>
      <c r="WX5" s="48">
        <v>1380529.25</v>
      </c>
      <c r="WY5" s="48">
        <v>1381188.9509999999</v>
      </c>
      <c r="WZ5" s="48">
        <v>1382032.9410000001</v>
      </c>
      <c r="XA5" s="48">
        <v>1382725.9210000001</v>
      </c>
      <c r="XB5" s="48">
        <v>1383408.932</v>
      </c>
      <c r="XC5" s="48">
        <v>1384075.679</v>
      </c>
      <c r="XD5" s="48">
        <v>1384843.5649999999</v>
      </c>
      <c r="XE5" s="48">
        <v>1385633.429</v>
      </c>
      <c r="XF5" s="48">
        <v>1386289.7450000001</v>
      </c>
      <c r="XG5" s="48">
        <v>1386795.673</v>
      </c>
      <c r="XH5" s="126"/>
      <c r="XI5" s="48">
        <v>1387560.389</v>
      </c>
      <c r="XJ5" s="48">
        <v>1388268.456</v>
      </c>
      <c r="XK5" s="48">
        <v>1389031.7009999999</v>
      </c>
      <c r="XL5" s="48">
        <v>1389832.753</v>
      </c>
      <c r="XM5" s="48">
        <v>1390554.6950000001</v>
      </c>
      <c r="XN5" s="48">
        <v>1391234.598</v>
      </c>
      <c r="XO5" s="48">
        <v>1392056.811</v>
      </c>
      <c r="XP5" s="48">
        <v>1392724.4069999999</v>
      </c>
      <c r="XQ5" s="48">
        <v>1393399.3359999999</v>
      </c>
      <c r="XR5" s="48">
        <v>1394136.608</v>
      </c>
      <c r="XS5" s="48">
        <v>1395019.5649999999</v>
      </c>
      <c r="XT5" s="48">
        <v>1395749.9790000001</v>
      </c>
      <c r="XU5" s="48">
        <v>1396514.476</v>
      </c>
      <c r="XV5" s="48">
        <v>1397208.4779999999</v>
      </c>
      <c r="XW5" s="48">
        <v>1397904.696</v>
      </c>
      <c r="XX5" s="48">
        <v>1398685.4369999999</v>
      </c>
      <c r="XY5" s="48">
        <v>1399426.2520000001</v>
      </c>
      <c r="XZ5" s="48">
        <v>1400144.6089999999</v>
      </c>
      <c r="YA5" s="48">
        <v>1400915.777</v>
      </c>
      <c r="YB5" s="48">
        <v>1401563.142</v>
      </c>
      <c r="YC5" s="48">
        <v>1402214.669</v>
      </c>
      <c r="YD5" s="48">
        <v>1402830.8629999999</v>
      </c>
      <c r="YE5" s="48">
        <v>1403451.8640000001</v>
      </c>
      <c r="YF5" s="48">
        <v>1404255.9580000001</v>
      </c>
      <c r="YG5" s="48">
        <v>1405060.818</v>
      </c>
      <c r="YH5" s="48">
        <v>1405830.298</v>
      </c>
      <c r="YI5" s="48">
        <v>1406494.3489999999</v>
      </c>
      <c r="YJ5" s="48">
        <v>1407093.943</v>
      </c>
      <c r="YK5" s="48">
        <v>1407764.3389999999</v>
      </c>
      <c r="YL5" s="48">
        <v>1408376.4129999999</v>
      </c>
      <c r="YM5" s="126"/>
      <c r="YN5" s="48">
        <v>1409096.98</v>
      </c>
      <c r="YO5" s="48">
        <v>1409944.9469999999</v>
      </c>
      <c r="YP5" s="48">
        <v>1410539.351</v>
      </c>
      <c r="YQ5" s="48">
        <v>1411330.9790000001</v>
      </c>
      <c r="YR5" s="48">
        <v>1412144.9779999999</v>
      </c>
      <c r="YS5" s="48">
        <v>1412837.97</v>
      </c>
      <c r="YT5" s="48">
        <v>1413481.733</v>
      </c>
      <c r="YU5" s="48">
        <v>1413481.733</v>
      </c>
      <c r="YV5" s="48">
        <v>1413885.612</v>
      </c>
      <c r="YW5" s="48">
        <v>1414572.892</v>
      </c>
      <c r="YX5" s="48">
        <v>1415085.3370000001</v>
      </c>
      <c r="YY5" s="48">
        <v>1415862.807</v>
      </c>
      <c r="YZ5" s="48">
        <v>1416462.527</v>
      </c>
      <c r="ZA5" s="48">
        <v>1417130.5179999999</v>
      </c>
      <c r="ZB5" s="48">
        <v>1417850.1329999999</v>
      </c>
      <c r="ZC5" s="48">
        <v>1418469.5689999999</v>
      </c>
      <c r="ZD5" s="48">
        <v>1419277.9739999999</v>
      </c>
      <c r="ZE5" s="48">
        <v>1419922.6070000001</v>
      </c>
      <c r="ZF5" s="48">
        <v>1420691.4010000001</v>
      </c>
      <c r="ZG5" s="48">
        <v>1421345.145</v>
      </c>
      <c r="ZH5" s="48">
        <v>1422006.3219999999</v>
      </c>
      <c r="ZI5" s="48">
        <v>1422734.88</v>
      </c>
      <c r="ZJ5" s="48">
        <v>1423707.4509999999</v>
      </c>
      <c r="ZK5" s="48">
        <v>1424685.193</v>
      </c>
      <c r="ZL5" s="48">
        <v>1425657.5319999999</v>
      </c>
      <c r="ZM5" s="48">
        <v>1426507.477</v>
      </c>
      <c r="ZN5" s="48">
        <v>1427290.4040000001</v>
      </c>
      <c r="ZO5" s="48">
        <v>1428210.27</v>
      </c>
      <c r="ZP5" s="48">
        <v>1428996.07</v>
      </c>
      <c r="ZQ5" s="48">
        <v>1429777.094</v>
      </c>
      <c r="ZR5" s="48">
        <v>1430522.2220000001</v>
      </c>
      <c r="ZS5" s="126"/>
      <c r="ZT5" s="48">
        <v>1431254.4580000001</v>
      </c>
      <c r="ZU5" s="48">
        <v>1432056.5589999999</v>
      </c>
      <c r="ZV5" s="48">
        <v>1432857.318</v>
      </c>
      <c r="ZW5" s="48">
        <v>1433645.831</v>
      </c>
      <c r="ZX5" s="48">
        <v>1434568.2180000001</v>
      </c>
      <c r="ZY5" s="48">
        <v>1435292.115</v>
      </c>
      <c r="ZZ5" s="48">
        <v>1436011.91</v>
      </c>
      <c r="AAA5" s="48">
        <v>1436597.4410000001</v>
      </c>
      <c r="AAB5" s="48">
        <v>1437267.554</v>
      </c>
      <c r="AAC5" s="48">
        <v>1438048.963</v>
      </c>
      <c r="AAD5" s="48">
        <v>1438778.4809999999</v>
      </c>
      <c r="AAE5" s="48">
        <v>1439455.1470000001</v>
      </c>
      <c r="AAF5" s="48">
        <v>1440306.5209999999</v>
      </c>
      <c r="AAG5" s="48">
        <v>1441114.9080000001</v>
      </c>
      <c r="AAH5" s="48">
        <v>1441999.7339999999</v>
      </c>
      <c r="AAI5" s="48">
        <v>1442701.7720000001</v>
      </c>
      <c r="AAJ5" s="48">
        <v>1443425.7109999999</v>
      </c>
      <c r="AAK5" s="48">
        <v>1444241.8540000001</v>
      </c>
      <c r="AAL5" s="48">
        <v>1445053.4979999999</v>
      </c>
      <c r="AAM5" s="48">
        <v>1445804.983</v>
      </c>
      <c r="AAN5" s="48">
        <v>1446582.054</v>
      </c>
      <c r="AAO5" s="48">
        <v>1447273.0379999999</v>
      </c>
      <c r="AAP5" s="48">
        <v>1448070.2549999999</v>
      </c>
      <c r="AAQ5" s="48">
        <v>1448768.852</v>
      </c>
      <c r="AAR5" s="48">
        <v>1449614.7109999999</v>
      </c>
      <c r="AAS5" s="48">
        <v>1450357.6240000001</v>
      </c>
      <c r="AAT5" s="48">
        <v>1451128.581</v>
      </c>
      <c r="AAU5" s="48">
        <v>1452077.0619999999</v>
      </c>
      <c r="AAV5" s="48">
        <v>1452826.5490000001</v>
      </c>
      <c r="AAW5" s="48">
        <v>1453525.351</v>
      </c>
      <c r="AAX5" s="126"/>
      <c r="AAY5" s="48">
        <v>1454357.2050000001</v>
      </c>
      <c r="AAZ5" s="48">
        <v>1455080.094</v>
      </c>
      <c r="ABA5" s="48">
        <v>1455873.5819999999</v>
      </c>
      <c r="ABB5" s="48">
        <v>1456715.27</v>
      </c>
      <c r="ABC5" s="48">
        <v>1457662.5260000001</v>
      </c>
      <c r="ABD5" s="48">
        <v>1458602.9709999999</v>
      </c>
      <c r="ABE5" s="48">
        <v>1459407.933</v>
      </c>
      <c r="ABF5" s="48">
        <v>1460370.9680000001</v>
      </c>
      <c r="ABG5" s="48">
        <v>1461188.9939999999</v>
      </c>
      <c r="ABH5" s="48">
        <v>1462018.6510000001</v>
      </c>
      <c r="ABI5" s="48">
        <v>1462726.2339999999</v>
      </c>
      <c r="ABJ5" s="48">
        <v>1463087.514</v>
      </c>
      <c r="ABK5" s="48">
        <v>1463829.8929999999</v>
      </c>
      <c r="ABL5" s="48">
        <v>1464533.1159999999</v>
      </c>
      <c r="ABM5" s="48">
        <v>1465249.1610000001</v>
      </c>
      <c r="ABN5" s="48">
        <v>1465950.4469999999</v>
      </c>
      <c r="ABO5" s="48">
        <v>1466715.9129999999</v>
      </c>
      <c r="ABP5" s="48">
        <v>1467604.6240000001</v>
      </c>
      <c r="ABQ5" s="48">
        <v>1468366.253</v>
      </c>
      <c r="ABR5" s="48">
        <v>1469063.959</v>
      </c>
      <c r="ABS5" s="48">
        <v>1469717.6850000001</v>
      </c>
      <c r="ABT5" s="48">
        <v>1470415.314</v>
      </c>
      <c r="ABU5" s="48">
        <v>1471218.027</v>
      </c>
      <c r="ABV5" s="48">
        <v>1472105.7139999999</v>
      </c>
      <c r="ABW5" s="48">
        <v>1472978.0819999999</v>
      </c>
      <c r="ABX5" s="48">
        <v>1473759.6540000001</v>
      </c>
      <c r="ABY5" s="48">
        <v>1474514.46</v>
      </c>
      <c r="ABZ5" s="48">
        <v>1475337.0759999999</v>
      </c>
      <c r="ACA5" s="48">
        <v>1476051.7579999999</v>
      </c>
      <c r="ACB5" s="48">
        <v>1476775.7409999999</v>
      </c>
      <c r="ACC5" s="48">
        <v>1477572.047</v>
      </c>
      <c r="ACD5" s="126"/>
      <c r="ACE5" s="48">
        <v>1478348.6780000001</v>
      </c>
      <c r="ACF5" s="48">
        <v>1479494.905</v>
      </c>
      <c r="ACG5" s="48">
        <v>1480379.7760000001</v>
      </c>
      <c r="ACH5" s="48">
        <v>1481297.4450000001</v>
      </c>
      <c r="ACI5" s="48">
        <v>1482206.2069999999</v>
      </c>
      <c r="ACJ5" s="48">
        <v>1482843.5930000001</v>
      </c>
      <c r="ACK5" s="48">
        <v>1483651.0830000001</v>
      </c>
      <c r="ACL5" s="48">
        <v>1484514.987</v>
      </c>
      <c r="ACM5" s="48">
        <v>1485400.9790000001</v>
      </c>
      <c r="ACN5" s="48">
        <v>1486074.811</v>
      </c>
      <c r="ACO5" s="48">
        <v>1486970.325</v>
      </c>
      <c r="ACP5" s="48">
        <v>1487644.28</v>
      </c>
      <c r="ACQ5" s="48">
        <v>1488244.473</v>
      </c>
      <c r="ACR5" s="48">
        <v>1489031.523</v>
      </c>
      <c r="ACS5" s="48">
        <v>1489990.977</v>
      </c>
      <c r="ACT5" s="48">
        <v>1490653.8219999999</v>
      </c>
      <c r="ACU5" s="48">
        <v>1491301.6810000001</v>
      </c>
      <c r="ACV5" s="48">
        <v>1492071.41</v>
      </c>
      <c r="ACW5" s="48">
        <v>1492549.0190000001</v>
      </c>
      <c r="ACX5" s="48">
        <v>1493209.7439999999</v>
      </c>
      <c r="ACY5" s="48">
        <v>1493954.281</v>
      </c>
      <c r="ACZ5" s="48">
        <v>1494903.3359999999</v>
      </c>
      <c r="ADA5" s="48">
        <v>1495642.1580000001</v>
      </c>
      <c r="ADB5" s="48">
        <v>1496393.811</v>
      </c>
      <c r="ADC5" s="48">
        <v>1496982.7180000001</v>
      </c>
      <c r="ADD5" s="48">
        <v>1497752.895</v>
      </c>
      <c r="ADE5" s="48">
        <v>1498435.2150000001</v>
      </c>
      <c r="ADF5" s="48">
        <v>1498987.7420000001</v>
      </c>
      <c r="ADG5" s="48">
        <v>1499783.405</v>
      </c>
      <c r="ADH5" s="48">
        <v>1500481.22</v>
      </c>
      <c r="ADI5" s="48">
        <v>1501146.594</v>
      </c>
      <c r="ADJ5" s="126"/>
      <c r="ADK5" s="48">
        <v>1501902.5449999999</v>
      </c>
      <c r="ADL5" s="48">
        <v>1502490.2949999999</v>
      </c>
      <c r="ADM5" s="48">
        <v>1503031.226</v>
      </c>
      <c r="ADN5" s="48">
        <v>1503799.254</v>
      </c>
      <c r="ADO5" s="48">
        <v>1504637.24</v>
      </c>
      <c r="ADP5" s="48">
        <v>1505361.8060000001</v>
      </c>
      <c r="ADQ5" s="48">
        <v>1506052.2890000001</v>
      </c>
      <c r="ADR5" s="48">
        <v>1506811.173</v>
      </c>
      <c r="ADS5" s="48">
        <v>1507386.152</v>
      </c>
      <c r="ADT5" s="48">
        <v>1507915.936</v>
      </c>
      <c r="ADU5" s="48">
        <v>1508537.5560000001</v>
      </c>
      <c r="ADV5" s="48">
        <v>1509220.2660000001</v>
      </c>
      <c r="ADW5" s="48">
        <v>1509927.189</v>
      </c>
      <c r="ADX5" s="48">
        <v>1510551.7279999999</v>
      </c>
      <c r="ADY5" s="48">
        <v>1511329.4269999999</v>
      </c>
      <c r="ADZ5" s="48">
        <v>1511896.9350000001</v>
      </c>
      <c r="AEA5" s="48">
        <v>1512444.3030000001</v>
      </c>
      <c r="AEB5" s="48">
        <v>1513003.406</v>
      </c>
      <c r="AEC5" s="48">
        <v>1513711.7169999999</v>
      </c>
      <c r="AED5" s="48">
        <v>1514251.541</v>
      </c>
      <c r="AEE5" s="48">
        <v>1514888.8049999999</v>
      </c>
      <c r="AEF5" s="48">
        <v>1515462.304</v>
      </c>
      <c r="AEG5" s="48">
        <v>1516069.291</v>
      </c>
      <c r="AEH5" s="48">
        <v>1516691.534</v>
      </c>
      <c r="AEI5" s="48">
        <v>1517343.192</v>
      </c>
      <c r="AEJ5" s="48">
        <v>1517989.442</v>
      </c>
      <c r="AEK5" s="48">
        <v>1518628.527</v>
      </c>
      <c r="AEL5" s="48">
        <v>1519209.74</v>
      </c>
      <c r="AEM5" s="48">
        <v>1520095.3540000001</v>
      </c>
      <c r="AEN5" s="48">
        <v>1520612.784</v>
      </c>
      <c r="AEO5" s="126"/>
      <c r="AEP5" s="48">
        <v>1521078.8589999999</v>
      </c>
      <c r="AEQ5" s="48">
        <v>1521637.99</v>
      </c>
      <c r="AER5" s="48">
        <v>1522269.139</v>
      </c>
      <c r="AES5" s="48">
        <v>1522961.7180000001</v>
      </c>
      <c r="AET5" s="48">
        <v>1523614.5190000001</v>
      </c>
      <c r="AEU5" s="48">
        <v>1524430.047</v>
      </c>
      <c r="AEV5" s="48">
        <v>1525041.7760000001</v>
      </c>
      <c r="AEW5" s="48">
        <v>1525692.017</v>
      </c>
      <c r="AEX5" s="48">
        <v>1526443.1189999999</v>
      </c>
      <c r="AEY5" s="48">
        <v>1527280.362</v>
      </c>
      <c r="AEZ5" s="48">
        <v>1527969.2690000001</v>
      </c>
      <c r="AFA5" s="48">
        <v>1528785.2919999999</v>
      </c>
      <c r="AFB5" s="48">
        <v>1529414.328</v>
      </c>
      <c r="AFC5" s="48">
        <v>1529987.01</v>
      </c>
      <c r="AFD5" s="48">
        <v>1530597.85</v>
      </c>
      <c r="AFE5" s="48">
        <v>1531239.31</v>
      </c>
      <c r="AFF5" s="48">
        <v>1531883.5449999999</v>
      </c>
      <c r="AFG5" s="48">
        <v>1532629.6040000001</v>
      </c>
      <c r="AFH5" s="48">
        <v>1533149.7720000001</v>
      </c>
      <c r="AFI5" s="48">
        <v>1533815.601</v>
      </c>
      <c r="AFJ5" s="48">
        <v>1534532.2860000001</v>
      </c>
      <c r="AFK5" s="48">
        <v>1535045.65</v>
      </c>
      <c r="AFL5" s="48">
        <v>1535618.175</v>
      </c>
      <c r="AFM5" s="48">
        <v>1536275.4180000001</v>
      </c>
      <c r="AFN5" s="48">
        <v>1537112.3030000001</v>
      </c>
      <c r="AFO5" s="48">
        <v>1537768.4</v>
      </c>
      <c r="AFP5" s="48">
        <v>1538333.8629999999</v>
      </c>
      <c r="AFQ5" s="48">
        <v>1538963.679</v>
      </c>
      <c r="AFR5" s="48">
        <v>1539534.1329999999</v>
      </c>
      <c r="AFS5" s="48">
        <v>1540108.6470000001</v>
      </c>
      <c r="AFT5" s="48">
        <v>1540753.1540000001</v>
      </c>
      <c r="AFU5" s="126"/>
      <c r="AFV5" s="48">
        <v>1541493.41</v>
      </c>
      <c r="AFW5" s="48">
        <v>1542152.79</v>
      </c>
      <c r="AFX5" s="48">
        <v>1542838.9890000001</v>
      </c>
      <c r="AFY5" s="48">
        <v>1543473.5109999999</v>
      </c>
      <c r="AFZ5" s="48">
        <v>1544231.8829999999</v>
      </c>
      <c r="AGA5" s="48">
        <v>1544926.01</v>
      </c>
      <c r="AGB5" s="48">
        <v>1545676.115</v>
      </c>
      <c r="AGC5" s="48">
        <v>1546239.7120000001</v>
      </c>
      <c r="AGD5" s="48">
        <v>1547040.0319999999</v>
      </c>
      <c r="AGE5" s="48">
        <v>1547722.23</v>
      </c>
      <c r="AGF5" s="48">
        <v>1548410.7549999999</v>
      </c>
      <c r="AGG5" s="48">
        <v>1548887.9820000001</v>
      </c>
      <c r="AGH5" s="48">
        <v>1549531.997</v>
      </c>
      <c r="AGI5" s="48">
        <v>1550223.1310000001</v>
      </c>
      <c r="AGJ5" s="48">
        <v>1550815.946</v>
      </c>
      <c r="AGK5" s="48">
        <v>1551441.169</v>
      </c>
      <c r="AGL5" s="48">
        <v>1552275.064</v>
      </c>
      <c r="AGM5" s="48">
        <v>1552912.6880000001</v>
      </c>
      <c r="AGN5" s="48">
        <v>1553488.014</v>
      </c>
      <c r="AGO5" s="48">
        <v>1554175.8359999999</v>
      </c>
      <c r="AGP5" s="48">
        <v>1554928.081</v>
      </c>
      <c r="AGQ5" s="48">
        <v>1555577.9639999999</v>
      </c>
      <c r="AGR5" s="48">
        <v>1556220.5859999999</v>
      </c>
      <c r="AGS5" s="48">
        <v>1556606.6470000001</v>
      </c>
      <c r="AGT5" s="48">
        <v>1557305.5919999999</v>
      </c>
      <c r="AGU5" s="48">
        <v>1557974.8119999999</v>
      </c>
      <c r="AGV5" s="48">
        <v>1558728.351</v>
      </c>
      <c r="AGW5" s="48">
        <v>1559639.5530000001</v>
      </c>
      <c r="AGX5" s="48">
        <v>1560462.8019999999</v>
      </c>
      <c r="AGY5" s="48">
        <v>1561177.3489999999</v>
      </c>
      <c r="AGZ5" s="126"/>
      <c r="AHA5" s="48">
        <v>1561844.2139999999</v>
      </c>
      <c r="AHB5" s="48">
        <v>1562422.8189999999</v>
      </c>
      <c r="AHC5" s="48">
        <v>1563014.642</v>
      </c>
      <c r="AHD5" s="48">
        <v>1563781.5959999999</v>
      </c>
      <c r="AHE5" s="48">
        <v>1564571.6189999999</v>
      </c>
      <c r="AHF5" s="48">
        <v>1565265.209</v>
      </c>
      <c r="AHG5" s="48">
        <v>1565900.9650000001</v>
      </c>
      <c r="AHH5" s="48">
        <v>1566610.0759999999</v>
      </c>
      <c r="AHI5" s="48">
        <v>1567212.8810000001</v>
      </c>
      <c r="AHJ5" s="48">
        <v>1567946.2930000001</v>
      </c>
      <c r="AHK5" s="48">
        <v>1568751.4439999999</v>
      </c>
      <c r="AHL5" s="48">
        <v>1569570.0279999999</v>
      </c>
      <c r="AHM5" s="48">
        <v>1570509.2209999999</v>
      </c>
      <c r="AHN5" s="48">
        <v>1571306.902</v>
      </c>
      <c r="AHO5" s="48">
        <v>1571979.726</v>
      </c>
      <c r="AHP5" s="48">
        <v>1572663.291</v>
      </c>
      <c r="AHQ5" s="48">
        <v>1573177.7239999999</v>
      </c>
      <c r="AHR5" s="48">
        <v>1574060.845</v>
      </c>
      <c r="AHS5" s="48">
        <v>1575002.9839999999</v>
      </c>
      <c r="AHT5" s="48">
        <v>1575729.814</v>
      </c>
      <c r="AHU5" s="48">
        <v>1576434.1470000001</v>
      </c>
      <c r="AHV5" s="48">
        <v>1577177.6240000001</v>
      </c>
      <c r="AHW5" s="48">
        <v>1578046.064</v>
      </c>
      <c r="AHX5" s="48">
        <v>1579070.338</v>
      </c>
      <c r="AHY5" s="48">
        <v>1579771.1410000001</v>
      </c>
      <c r="AHZ5" s="48">
        <v>1580446.1540000001</v>
      </c>
      <c r="AIA5" s="48">
        <v>1581083.4369999999</v>
      </c>
      <c r="AIB5" s="48">
        <v>1581636.8940000001</v>
      </c>
      <c r="AIC5" s="48">
        <v>1582228.193</v>
      </c>
      <c r="AID5" s="48">
        <v>1582863.696</v>
      </c>
      <c r="AIE5" s="48">
        <v>1583823.625</v>
      </c>
      <c r="AIF5" s="126"/>
      <c r="AIG5" s="48">
        <v>1584351.4939999999</v>
      </c>
      <c r="AIH5" s="48">
        <v>1584950.43</v>
      </c>
      <c r="AII5" s="48">
        <v>1585624.4720000001</v>
      </c>
      <c r="AIJ5" s="48">
        <v>1586234.0220000001</v>
      </c>
      <c r="AIK5" s="48">
        <v>1587002.6939999999</v>
      </c>
      <c r="AIL5" s="48">
        <v>1587739.611</v>
      </c>
      <c r="AIM5" s="48">
        <v>1588450.827</v>
      </c>
      <c r="AIN5" s="48">
        <v>1589155.4450000001</v>
      </c>
      <c r="AIO5" s="48">
        <v>1589942.861</v>
      </c>
      <c r="AIP5" s="48">
        <v>1590889.8259999999</v>
      </c>
      <c r="AIQ5" s="48">
        <v>1591627.5930000001</v>
      </c>
      <c r="AIR5" s="48">
        <v>1592257.9480000001</v>
      </c>
      <c r="AIS5" s="48">
        <v>1593047.4790000001</v>
      </c>
      <c r="AIT5" s="48">
        <v>1593789.335</v>
      </c>
      <c r="AIU5" s="48">
        <v>1594074.054</v>
      </c>
      <c r="AIV5" s="48">
        <v>1594824.1040000001</v>
      </c>
      <c r="AIW5" s="48">
        <v>1595178.12</v>
      </c>
      <c r="AIX5" s="48">
        <v>1595609.743</v>
      </c>
      <c r="AIY5" s="48">
        <v>1596233.2720000001</v>
      </c>
      <c r="AIZ5" s="48">
        <v>1596855.9129999999</v>
      </c>
      <c r="AJA5" s="48">
        <v>1597576.456</v>
      </c>
      <c r="AJB5" s="48">
        <v>1598104.1669999999</v>
      </c>
      <c r="AJC5" s="48">
        <v>1598931.432</v>
      </c>
      <c r="AJD5" s="48">
        <v>1599658.68</v>
      </c>
      <c r="AJE5" s="48">
        <v>1600384.149</v>
      </c>
      <c r="AJF5" s="48">
        <v>1600998.15</v>
      </c>
      <c r="AJG5" s="48">
        <v>1602093.061</v>
      </c>
      <c r="AJH5" s="48">
        <v>1602941.7479999999</v>
      </c>
      <c r="AJI5" s="48">
        <v>1603632.2509999999</v>
      </c>
      <c r="AJJ5" s="48">
        <v>1604322.274</v>
      </c>
      <c r="AJK5" s="48">
        <v>1605051.105</v>
      </c>
      <c r="AJL5" s="126"/>
      <c r="AJM5" s="48">
        <v>1605645.716</v>
      </c>
      <c r="AJN5" s="48">
        <v>1606257.31</v>
      </c>
      <c r="AJO5" s="48">
        <v>1607036.6140000001</v>
      </c>
      <c r="AJP5" s="48">
        <v>1607864.6640000001</v>
      </c>
      <c r="AJQ5" s="48">
        <v>1608354.743</v>
      </c>
      <c r="AJR5" s="48">
        <v>1608935.331</v>
      </c>
      <c r="AJS5" s="48">
        <v>1609775.02</v>
      </c>
      <c r="AJT5" s="48">
        <v>1610411.213</v>
      </c>
      <c r="AJU5" s="48">
        <v>1611179.67</v>
      </c>
      <c r="AJV5" s="48">
        <v>1611940.209</v>
      </c>
      <c r="AJW5" s="48">
        <v>1612553.8689999999</v>
      </c>
      <c r="AJX5" s="48">
        <v>1613280.308</v>
      </c>
      <c r="AJY5" s="48">
        <v>1614009.4609999999</v>
      </c>
      <c r="AJZ5" s="48">
        <v>1614633.42</v>
      </c>
      <c r="AKA5" s="48">
        <v>1615155.4210000001</v>
      </c>
      <c r="AKB5" s="48">
        <v>1615803.0390000001</v>
      </c>
      <c r="AKC5" s="48">
        <v>1616486.7919999999</v>
      </c>
      <c r="AKD5" s="48">
        <v>1617132.0379999999</v>
      </c>
      <c r="AKE5" s="48">
        <v>1617648.1980000001</v>
      </c>
      <c r="AKF5" s="48">
        <v>1618195.8970000001</v>
      </c>
      <c r="AKG5" s="48">
        <v>1618916.743</v>
      </c>
      <c r="AKH5" s="48">
        <v>1619477.4790000001</v>
      </c>
      <c r="AKI5" s="48">
        <v>1620200.398</v>
      </c>
      <c r="AKJ5" s="48">
        <v>1620741.74</v>
      </c>
      <c r="AKK5" s="48">
        <v>1621380.753</v>
      </c>
      <c r="AKL5" s="48">
        <v>1622032.3419999999</v>
      </c>
      <c r="AKM5" s="48">
        <v>1622720</v>
      </c>
      <c r="AKN5" s="48">
        <v>1623242.92</v>
      </c>
      <c r="AKO5" s="126"/>
      <c r="AKP5" s="48">
        <v>1623762.69</v>
      </c>
      <c r="AKQ5" s="48">
        <v>1624312.2579999999</v>
      </c>
      <c r="AKR5" s="48">
        <v>1624997.0090000001</v>
      </c>
      <c r="AKS5" s="48">
        <v>1625685.9920000001</v>
      </c>
      <c r="AKT5" s="48">
        <v>1626236.8689999999</v>
      </c>
      <c r="AKU5" s="48">
        <v>1626830.986</v>
      </c>
      <c r="AKV5" s="48">
        <v>1627533.352</v>
      </c>
      <c r="AKW5" s="48">
        <v>1628186.8119999999</v>
      </c>
      <c r="AKX5" s="48">
        <v>1628659.3330000001</v>
      </c>
      <c r="AKY5" s="48">
        <v>1629313.851</v>
      </c>
      <c r="AKZ5" s="48">
        <v>1629969.9909999999</v>
      </c>
      <c r="ALA5" s="48">
        <v>1630536.287</v>
      </c>
      <c r="ALB5" s="48">
        <v>1631255.4140000001</v>
      </c>
      <c r="ALC5" s="48">
        <v>1632018.314</v>
      </c>
      <c r="ALD5" s="48">
        <v>1632750.598</v>
      </c>
      <c r="ALE5" s="48">
        <v>1633654.5390000001</v>
      </c>
      <c r="ALF5" s="48">
        <v>1634331.159</v>
      </c>
      <c r="ALG5" s="48">
        <v>1634933.3489999999</v>
      </c>
      <c r="ALH5" s="48">
        <v>1635726.5349999999</v>
      </c>
      <c r="ALI5" s="48">
        <v>1636390.051</v>
      </c>
      <c r="ALJ5" s="48">
        <v>1637136.7209999999</v>
      </c>
      <c r="ALK5" s="48">
        <v>1637668.5919999999</v>
      </c>
      <c r="ALL5" s="48">
        <v>1638317.933</v>
      </c>
      <c r="ALM5" s="48">
        <v>1639130.4890000001</v>
      </c>
      <c r="ALN5" s="48">
        <v>1639834.01</v>
      </c>
      <c r="ALO5" s="48">
        <v>1640522.517</v>
      </c>
      <c r="ALP5" s="48">
        <v>1641299.3670000001</v>
      </c>
      <c r="ALQ5" s="48">
        <v>1642180.078</v>
      </c>
      <c r="ALR5" s="48">
        <v>1643084.7450000001</v>
      </c>
      <c r="ALS5" s="48">
        <v>1643986.483</v>
      </c>
      <c r="ALT5" s="48">
        <v>1644822.811</v>
      </c>
      <c r="ALU5" s="126"/>
      <c r="ALV5" s="48">
        <v>1645682.8319999999</v>
      </c>
      <c r="ALW5" s="48">
        <v>1646381.9879999999</v>
      </c>
      <c r="ALX5" s="48">
        <v>1647065.95</v>
      </c>
      <c r="ALY5" s="48">
        <v>1647846.5789999999</v>
      </c>
      <c r="ALZ5" s="48">
        <v>1648235.4850000001</v>
      </c>
      <c r="AMA5" s="48">
        <v>1648787.702</v>
      </c>
      <c r="AMB5" s="48">
        <v>1649730.3970000001</v>
      </c>
      <c r="AMC5" s="48">
        <v>1650418.811</v>
      </c>
      <c r="AMD5" s="48">
        <v>1651320.4669999999</v>
      </c>
      <c r="AME5" s="48">
        <v>1652314.4029999999</v>
      </c>
      <c r="AMF5" s="48">
        <v>1653112.75</v>
      </c>
      <c r="AMG5" s="48">
        <v>1654053.4480000001</v>
      </c>
      <c r="AMH5" s="48">
        <v>1654898.9339999999</v>
      </c>
      <c r="AMI5" s="48">
        <v>1655525.2</v>
      </c>
      <c r="AMJ5" s="48">
        <v>1656324.0379999999</v>
      </c>
      <c r="AMK5" s="48">
        <v>1657024.5989999999</v>
      </c>
      <c r="AML5" s="48">
        <v>1657886.7320000001</v>
      </c>
      <c r="AMM5" s="48">
        <v>1658829.0530000001</v>
      </c>
      <c r="AMN5" s="48">
        <v>1659709.986</v>
      </c>
      <c r="AMO5" s="48">
        <v>1660801.0260000001</v>
      </c>
      <c r="AMP5" s="48">
        <v>1661783.0290000001</v>
      </c>
      <c r="AMQ5" s="48">
        <v>1662834.3370000001</v>
      </c>
      <c r="AMR5" s="48">
        <v>1664055.1159999999</v>
      </c>
      <c r="AMS5" s="48">
        <v>1665405.449</v>
      </c>
      <c r="AMT5" s="48">
        <v>1666845.3640000001</v>
      </c>
      <c r="AMU5" s="48">
        <v>1668029.5449999999</v>
      </c>
      <c r="AMV5" s="48">
        <v>1668724.625</v>
      </c>
      <c r="AMW5" s="48">
        <v>1669280.56</v>
      </c>
      <c r="AMX5" s="48">
        <v>1670024.389</v>
      </c>
      <c r="AMY5" s="48">
        <v>1670874.6869999999</v>
      </c>
      <c r="AMZ5" s="126"/>
      <c r="ANA5" s="48">
        <v>1671562.0819999999</v>
      </c>
      <c r="ANB5" s="48">
        <v>1672385.74</v>
      </c>
      <c r="ANC5" s="48">
        <v>1672970.139</v>
      </c>
      <c r="AND5" s="48">
        <v>1674020.8149999999</v>
      </c>
      <c r="ANE5" s="48">
        <v>1674757.834</v>
      </c>
      <c r="ANF5" s="48">
        <v>1675665.8259999999</v>
      </c>
      <c r="ANG5" s="48">
        <v>1676506.2549999999</v>
      </c>
      <c r="ANH5" s="48">
        <v>1677349.872</v>
      </c>
      <c r="ANI5" s="48">
        <v>1678231.395</v>
      </c>
      <c r="ANJ5" s="48">
        <v>1678983.578</v>
      </c>
      <c r="ANK5" s="48">
        <v>1679888.594</v>
      </c>
      <c r="ANL5" s="48">
        <v>1680728.868</v>
      </c>
      <c r="ANM5" s="48">
        <v>1681577.44</v>
      </c>
      <c r="ANN5" s="48">
        <v>1682504.5830000001</v>
      </c>
      <c r="ANO5" s="48">
        <v>1683599.132</v>
      </c>
      <c r="ANP5" s="48">
        <v>1684396.2320000001</v>
      </c>
      <c r="ANQ5" s="48">
        <v>1684829.392</v>
      </c>
      <c r="ANR5" s="48">
        <v>1685359.3119999999</v>
      </c>
      <c r="ANS5" s="48">
        <v>1685898.8470000001</v>
      </c>
      <c r="ANT5" s="48">
        <v>1686382.8689999999</v>
      </c>
      <c r="ANU5" s="48">
        <v>1686951.763</v>
      </c>
      <c r="ANV5" s="48">
        <v>1687823.209</v>
      </c>
      <c r="ANW5" s="48">
        <v>1688431.8259999999</v>
      </c>
      <c r="ANX5" s="48">
        <v>1689052.1980000001</v>
      </c>
      <c r="ANY5" s="48">
        <v>1689718.4850000001</v>
      </c>
      <c r="ANZ5" s="48">
        <v>1690493.4469999999</v>
      </c>
      <c r="AOA5" s="48">
        <v>1691134.8970000001</v>
      </c>
      <c r="AOB5" s="48">
        <v>1691705.7290000001</v>
      </c>
      <c r="AOC5" s="48">
        <v>1692332.2</v>
      </c>
      <c r="AOD5" s="48">
        <v>1693160.057</v>
      </c>
      <c r="AOE5">
        <v>1693160.057</v>
      </c>
      <c r="AOF5">
        <v>674346.47400000005</v>
      </c>
    </row>
    <row r="6" spans="1:1072" x14ac:dyDescent="0.2">
      <c r="A6" s="157"/>
      <c r="B6" s="160"/>
      <c r="C6" s="6" t="s">
        <v>758</v>
      </c>
      <c r="D6" s="16">
        <f t="shared" ref="D6:AH6" si="43">D5-D4</f>
        <v>982.34799999999814</v>
      </c>
      <c r="E6" s="16">
        <f t="shared" si="43"/>
        <v>812.49499999999534</v>
      </c>
      <c r="F6" s="16">
        <f t="shared" si="43"/>
        <v>1035.6419999999925</v>
      </c>
      <c r="G6" s="16">
        <f t="shared" si="43"/>
        <v>1279.7970000000205</v>
      </c>
      <c r="H6" s="16">
        <f t="shared" si="43"/>
        <v>1001.4450000000652</v>
      </c>
      <c r="I6" s="16">
        <f t="shared" si="43"/>
        <v>1258.3049999999348</v>
      </c>
      <c r="J6" s="16">
        <f t="shared" si="43"/>
        <v>1068.8030000000726</v>
      </c>
      <c r="K6" s="16">
        <f t="shared" si="43"/>
        <v>834.86599999992177</v>
      </c>
      <c r="L6" s="16">
        <f t="shared" si="43"/>
        <v>848.0580000000773</v>
      </c>
      <c r="M6" s="16">
        <f t="shared" si="43"/>
        <v>921.23399999993853</v>
      </c>
      <c r="N6" s="16">
        <f t="shared" si="43"/>
        <v>985.6589999999851</v>
      </c>
      <c r="O6" s="16">
        <f t="shared" si="43"/>
        <v>1190.094000000041</v>
      </c>
      <c r="P6" s="16">
        <f t="shared" si="43"/>
        <v>1053.4470000000438</v>
      </c>
      <c r="Q6" s="16">
        <f t="shared" si="43"/>
        <v>1074.6739999999991</v>
      </c>
      <c r="R6" s="16">
        <f t="shared" si="43"/>
        <v>1064.3979999999283</v>
      </c>
      <c r="S6" s="16">
        <f t="shared" si="43"/>
        <v>980.39500000001863</v>
      </c>
      <c r="T6" s="16">
        <f t="shared" si="43"/>
        <v>1038.1010000000242</v>
      </c>
      <c r="U6" s="16">
        <f t="shared" si="43"/>
        <v>1108.4429999999702</v>
      </c>
      <c r="V6" s="16">
        <f t="shared" si="43"/>
        <v>1165.2589999999618</v>
      </c>
      <c r="W6" s="16">
        <f t="shared" si="43"/>
        <v>960.16500000003725</v>
      </c>
      <c r="X6" s="16">
        <f t="shared" si="43"/>
        <v>727.05500000005122</v>
      </c>
      <c r="Y6" s="16">
        <f t="shared" si="43"/>
        <v>817.43400000000838</v>
      </c>
      <c r="Z6" s="16">
        <f t="shared" si="43"/>
        <v>884.59299999999348</v>
      </c>
      <c r="AA6" s="16">
        <f t="shared" si="43"/>
        <v>844.91399999998976</v>
      </c>
      <c r="AB6" s="16">
        <f t="shared" si="43"/>
        <v>1347.0799999999581</v>
      </c>
      <c r="AC6" s="16">
        <f t="shared" si="43"/>
        <v>1138.0270000000019</v>
      </c>
      <c r="AD6" s="16">
        <f t="shared" si="43"/>
        <v>1049.4479999999749</v>
      </c>
      <c r="AE6" s="16">
        <f t="shared" si="43"/>
        <v>850.80900000000838</v>
      </c>
      <c r="AF6" s="16">
        <f t="shared" si="43"/>
        <v>900.53899999998976</v>
      </c>
      <c r="AG6" s="16">
        <f t="shared" si="43"/>
        <v>1038.2340000000549</v>
      </c>
      <c r="AH6" s="16">
        <f t="shared" si="43"/>
        <v>995.02299999992829</v>
      </c>
      <c r="AI6" s="17">
        <f>SUM(D6:AH6)</f>
        <v>31256.783999999985</v>
      </c>
      <c r="AJ6" s="16">
        <f t="shared" ref="AJ6:BM6" si="44">AJ5-AJ4</f>
        <v>1219.1240000000689</v>
      </c>
      <c r="AK6" s="16">
        <f t="shared" si="44"/>
        <v>1191.0219999999972</v>
      </c>
      <c r="AL6" s="16">
        <f t="shared" si="44"/>
        <v>924.70799999998417</v>
      </c>
      <c r="AM6" s="16">
        <f t="shared" si="44"/>
        <v>986.59400000004098</v>
      </c>
      <c r="AN6" s="16">
        <f t="shared" si="44"/>
        <v>971.39599999994971</v>
      </c>
      <c r="AO6" s="16">
        <f t="shared" si="44"/>
        <v>791.75199999997858</v>
      </c>
      <c r="AP6" s="16">
        <f t="shared" si="44"/>
        <v>1193.5620000000345</v>
      </c>
      <c r="AQ6" s="16">
        <f t="shared" si="44"/>
        <v>1137.4409999999916</v>
      </c>
      <c r="AR6" s="16">
        <f t="shared" si="44"/>
        <v>1086.4880000000121</v>
      </c>
      <c r="AS6" s="16">
        <f t="shared" si="44"/>
        <v>856.47800000000279</v>
      </c>
      <c r="AT6" s="16">
        <f t="shared" si="44"/>
        <v>825.83199999993667</v>
      </c>
      <c r="AU6" s="16">
        <f t="shared" si="44"/>
        <v>693.3080000000773</v>
      </c>
      <c r="AV6" s="16">
        <f t="shared" si="44"/>
        <v>987.79999999993015</v>
      </c>
      <c r="AW6" s="16">
        <f t="shared" si="44"/>
        <v>825.11600000003818</v>
      </c>
      <c r="AX6" s="16">
        <f t="shared" si="44"/>
        <v>972.3410000000149</v>
      </c>
      <c r="AY6" s="16">
        <f t="shared" si="44"/>
        <v>981.89199999999255</v>
      </c>
      <c r="AZ6" s="16">
        <f t="shared" si="44"/>
        <v>724.40800000005402</v>
      </c>
      <c r="BA6" s="16">
        <f t="shared" si="44"/>
        <v>1063.0169999999925</v>
      </c>
      <c r="BB6" s="16">
        <f t="shared" si="44"/>
        <v>721.35300000000279</v>
      </c>
      <c r="BC6" s="16">
        <f t="shared" si="44"/>
        <v>894.37299999990501</v>
      </c>
      <c r="BD6" s="16">
        <f t="shared" si="44"/>
        <v>919.98000000009779</v>
      </c>
      <c r="BE6" s="16">
        <f t="shared" si="44"/>
        <v>974.20799999998417</v>
      </c>
      <c r="BF6" s="16">
        <f t="shared" si="44"/>
        <v>985.25099999993108</v>
      </c>
      <c r="BG6" s="16">
        <f t="shared" si="44"/>
        <v>928</v>
      </c>
      <c r="BH6" s="16">
        <f t="shared" si="44"/>
        <v>878.16700000001583</v>
      </c>
      <c r="BI6" s="16">
        <f t="shared" si="44"/>
        <v>721.30900000000838</v>
      </c>
      <c r="BJ6" s="16">
        <f t="shared" si="44"/>
        <v>942.4670000000624</v>
      </c>
      <c r="BK6" s="16">
        <f t="shared" si="44"/>
        <v>801.67999999993481</v>
      </c>
      <c r="BL6" s="16">
        <f t="shared" si="44"/>
        <v>868.53800000005867</v>
      </c>
      <c r="BM6" s="16">
        <f t="shared" si="44"/>
        <v>962.67299999995157</v>
      </c>
      <c r="BN6" s="89">
        <f>SUM(AJ6:BM6)</f>
        <v>28030.278000000049</v>
      </c>
      <c r="BO6" s="16">
        <f t="shared" ref="BO6:CS6" si="45">BO5-BO4</f>
        <v>853.82400000002235</v>
      </c>
      <c r="BP6" s="16">
        <f t="shared" si="45"/>
        <v>801.72399999992922</v>
      </c>
      <c r="BQ6" s="16">
        <f t="shared" si="45"/>
        <v>836.53600000008009</v>
      </c>
      <c r="BR6" s="16">
        <f t="shared" si="45"/>
        <v>835.17700000002515</v>
      </c>
      <c r="BS6" s="16">
        <f t="shared" si="45"/>
        <v>856.26999999990221</v>
      </c>
      <c r="BT6" s="16">
        <f t="shared" si="45"/>
        <v>803.33300000010058</v>
      </c>
      <c r="BU6" s="16">
        <f t="shared" si="45"/>
        <v>761.66199999989476</v>
      </c>
      <c r="BV6" s="16">
        <f t="shared" si="45"/>
        <v>842.37700000009499</v>
      </c>
      <c r="BW6" s="16">
        <f t="shared" si="45"/>
        <v>854.67099999997299</v>
      </c>
      <c r="BX6" s="16">
        <f t="shared" si="45"/>
        <v>799.97999999998137</v>
      </c>
      <c r="BY6" s="16">
        <f t="shared" si="45"/>
        <v>712.78899999998976</v>
      </c>
      <c r="BZ6" s="16">
        <f t="shared" si="45"/>
        <v>808.98100000002887</v>
      </c>
      <c r="CA6" s="16">
        <f t="shared" si="45"/>
        <v>940.05999999993946</v>
      </c>
      <c r="CB6" s="16">
        <f t="shared" si="45"/>
        <v>873.26300000003539</v>
      </c>
      <c r="CC6" s="16">
        <f t="shared" si="45"/>
        <v>812.08299999998417</v>
      </c>
      <c r="CD6" s="16">
        <f t="shared" si="45"/>
        <v>824.50600000005215</v>
      </c>
      <c r="CE6" s="16">
        <f t="shared" si="45"/>
        <v>830.69499999994878</v>
      </c>
      <c r="CF6" s="16">
        <f t="shared" si="45"/>
        <v>832.90600000007544</v>
      </c>
      <c r="CG6" s="16">
        <f t="shared" si="45"/>
        <v>755.22199999995064</v>
      </c>
      <c r="CH6" s="16">
        <f t="shared" si="45"/>
        <v>884.73699999996461</v>
      </c>
      <c r="CI6" s="16">
        <f t="shared" si="45"/>
        <v>692.62300000002142</v>
      </c>
      <c r="CJ6" s="16">
        <f t="shared" si="45"/>
        <v>925.25399999995716</v>
      </c>
      <c r="CK6" s="16">
        <f t="shared" si="45"/>
        <v>713.27900000009686</v>
      </c>
      <c r="CL6" s="16">
        <f t="shared" si="45"/>
        <v>760.31999999994878</v>
      </c>
      <c r="CM6" s="16">
        <f t="shared" si="45"/>
        <v>825.98400000005495</v>
      </c>
      <c r="CN6" s="16">
        <f t="shared" si="45"/>
        <v>811.96799999999348</v>
      </c>
      <c r="CO6" s="16">
        <f t="shared" si="45"/>
        <v>916.80799999996088</v>
      </c>
      <c r="CP6" s="16">
        <f t="shared" si="45"/>
        <v>833.39599999994971</v>
      </c>
      <c r="CQ6" s="16">
        <f t="shared" si="45"/>
        <v>794.73400000005495</v>
      </c>
      <c r="CR6" s="16">
        <f t="shared" si="45"/>
        <v>843.40300000004936</v>
      </c>
      <c r="CS6" s="16">
        <f t="shared" si="45"/>
        <v>743.82499999995343</v>
      </c>
      <c r="CT6" s="89">
        <f>SUM(BO6:CS6)</f>
        <v>25382.390000000014</v>
      </c>
      <c r="CU6" s="16">
        <f t="shared" ref="CU6:DX6" si="46">CU5-CU4</f>
        <v>819.99199999996927</v>
      </c>
      <c r="CV6" s="16">
        <f t="shared" si="46"/>
        <v>806.54599999997299</v>
      </c>
      <c r="CW6" s="16">
        <f t="shared" si="46"/>
        <v>891.73100000002887</v>
      </c>
      <c r="CX6" s="16">
        <f t="shared" si="46"/>
        <v>951.81500000006054</v>
      </c>
      <c r="CY6" s="16">
        <f t="shared" si="46"/>
        <v>1132.140000000014</v>
      </c>
      <c r="CZ6" s="16">
        <f t="shared" si="46"/>
        <v>899.50199999997858</v>
      </c>
      <c r="DA6" s="16">
        <f t="shared" si="46"/>
        <v>805.16299999994226</v>
      </c>
      <c r="DB6" s="16">
        <f t="shared" si="46"/>
        <v>649.95200000004843</v>
      </c>
      <c r="DC6" s="16">
        <f t="shared" si="46"/>
        <v>823.9989999999525</v>
      </c>
      <c r="DD6" s="16">
        <f t="shared" si="46"/>
        <v>908.07799999997951</v>
      </c>
      <c r="DE6" s="16">
        <f t="shared" si="46"/>
        <v>851.70300000009593</v>
      </c>
      <c r="DF6" s="16">
        <f t="shared" si="46"/>
        <v>734.06999999994878</v>
      </c>
      <c r="DG6" s="16">
        <f t="shared" si="46"/>
        <v>787.97299999999814</v>
      </c>
      <c r="DH6" s="16">
        <f t="shared" si="46"/>
        <v>897.30099999997765</v>
      </c>
      <c r="DI6" s="16">
        <f t="shared" si="46"/>
        <v>747.96900000004098</v>
      </c>
      <c r="DJ6" s="16">
        <f t="shared" si="46"/>
        <v>550.53599999996368</v>
      </c>
      <c r="DK6" s="16">
        <f t="shared" si="46"/>
        <v>577.64600000006612</v>
      </c>
      <c r="DL6" s="16">
        <f t="shared" si="46"/>
        <v>791.92499999993015</v>
      </c>
      <c r="DM6" s="16">
        <f t="shared" si="46"/>
        <v>713.81299999996554</v>
      </c>
      <c r="DN6" s="16">
        <f t="shared" si="46"/>
        <v>823.95100000000093</v>
      </c>
      <c r="DO6" s="16">
        <f t="shared" si="46"/>
        <v>641.11300000001211</v>
      </c>
      <c r="DP6" s="16">
        <f t="shared" si="46"/>
        <v>797.6940000000177</v>
      </c>
      <c r="DQ6" s="16">
        <f t="shared" si="46"/>
        <v>884.55500000005122</v>
      </c>
      <c r="DR6" s="16">
        <f t="shared" si="46"/>
        <v>816.32199999992736</v>
      </c>
      <c r="DS6" s="16">
        <f t="shared" si="46"/>
        <v>865.83500000007916</v>
      </c>
      <c r="DT6" s="16">
        <f t="shared" si="46"/>
        <v>771.60300000000279</v>
      </c>
      <c r="DU6" s="16">
        <f t="shared" si="46"/>
        <v>600.83299999998417</v>
      </c>
      <c r="DV6" s="16">
        <f t="shared" si="46"/>
        <v>659.79000000003725</v>
      </c>
      <c r="DW6" s="16">
        <f t="shared" si="46"/>
        <v>523.70799999998417</v>
      </c>
      <c r="DX6" s="16">
        <f t="shared" si="46"/>
        <v>702.81199999991804</v>
      </c>
      <c r="DY6" s="116">
        <f>SUM(CU6:DX6)</f>
        <v>23430.069999999949</v>
      </c>
      <c r="DZ6" s="16">
        <f t="shared" ref="DZ6:FD6" si="47">DZ5-DZ4</f>
        <v>913.07400000002235</v>
      </c>
      <c r="EA6" s="16">
        <f t="shared" si="47"/>
        <v>706.97499999997672</v>
      </c>
      <c r="EB6" s="16">
        <f t="shared" si="47"/>
        <v>639.45400000002701</v>
      </c>
      <c r="EC6" s="16">
        <f t="shared" si="47"/>
        <v>621.87899999995716</v>
      </c>
      <c r="ED6" s="16">
        <f t="shared" si="47"/>
        <v>685.83200000005309</v>
      </c>
      <c r="EE6" s="16">
        <f t="shared" si="47"/>
        <v>695.70999999996275</v>
      </c>
      <c r="EF6" s="16">
        <f t="shared" si="47"/>
        <v>710.32099999999627</v>
      </c>
      <c r="EG6" s="16">
        <f t="shared" si="47"/>
        <v>899.64300000004005</v>
      </c>
      <c r="EH6" s="16">
        <f t="shared" si="47"/>
        <v>906.52800000004936</v>
      </c>
      <c r="EI6" s="16">
        <f t="shared" si="47"/>
        <v>828.78799999994226</v>
      </c>
      <c r="EJ6" s="16">
        <f t="shared" si="47"/>
        <v>737.3179999999702</v>
      </c>
      <c r="EK6" s="16">
        <f t="shared" si="47"/>
        <v>733.22500000009313</v>
      </c>
      <c r="EL6" s="16">
        <f t="shared" si="47"/>
        <v>801.29399999999441</v>
      </c>
      <c r="EM6" s="16">
        <f t="shared" si="47"/>
        <v>782.45600000000559</v>
      </c>
      <c r="EN6" s="16">
        <f t="shared" si="47"/>
        <v>841.33499999996275</v>
      </c>
      <c r="EO6" s="16">
        <f t="shared" si="47"/>
        <v>1049.6259999999311</v>
      </c>
      <c r="EP6" s="16">
        <f t="shared" si="47"/>
        <v>872.25200000009499</v>
      </c>
      <c r="EQ6" s="16">
        <f t="shared" si="47"/>
        <v>905.19099999999162</v>
      </c>
      <c r="ER6" s="16">
        <f t="shared" si="47"/>
        <v>687.59799999999814</v>
      </c>
      <c r="ES6" s="16">
        <f t="shared" si="47"/>
        <v>833.16299999994226</v>
      </c>
      <c r="ET6" s="16">
        <f t="shared" si="47"/>
        <v>925.07500000006985</v>
      </c>
      <c r="EU6" s="16">
        <f t="shared" si="47"/>
        <v>1120.0209999999497</v>
      </c>
      <c r="EV6" s="16">
        <f t="shared" si="47"/>
        <v>1071.2360000000335</v>
      </c>
      <c r="EW6" s="16">
        <f t="shared" si="47"/>
        <v>1094.7469999999739</v>
      </c>
      <c r="EX6" s="16">
        <f t="shared" si="47"/>
        <v>765.69900000002235</v>
      </c>
      <c r="EY6" s="16">
        <f t="shared" si="47"/>
        <v>655.07999999995809</v>
      </c>
      <c r="EZ6" s="16">
        <f t="shared" si="47"/>
        <v>685.02000000001863</v>
      </c>
      <c r="FA6" s="16">
        <f t="shared" si="47"/>
        <v>645.31700000003912</v>
      </c>
      <c r="FB6" s="16">
        <f t="shared" si="47"/>
        <v>837.84699999995064</v>
      </c>
      <c r="FC6" s="16">
        <f t="shared" si="47"/>
        <v>795.20000000006985</v>
      </c>
      <c r="FD6" s="16">
        <f t="shared" si="47"/>
        <v>865.3169999999227</v>
      </c>
      <c r="FE6" s="127">
        <f>SUM(DZ6:FD6)</f>
        <v>25312.22100000002</v>
      </c>
      <c r="FF6" s="16">
        <f t="shared" ref="FF6:GJ6" si="48">FF5-FF4</f>
        <v>786.01199999998789</v>
      </c>
      <c r="FG6" s="16">
        <f t="shared" si="48"/>
        <v>796.67599999997765</v>
      </c>
      <c r="FH6" s="16">
        <f t="shared" si="48"/>
        <v>691.6480000000447</v>
      </c>
      <c r="FI6" s="16">
        <f t="shared" si="48"/>
        <v>947.35699999995995</v>
      </c>
      <c r="FJ6" s="16">
        <f t="shared" si="48"/>
        <v>784.58600000001024</v>
      </c>
      <c r="FK6" s="16">
        <f t="shared" si="48"/>
        <v>861.04899999999907</v>
      </c>
      <c r="FL6" s="16">
        <f t="shared" si="48"/>
        <v>781.6940000000177</v>
      </c>
      <c r="FM6" s="16">
        <f t="shared" si="48"/>
        <v>795.75400000007357</v>
      </c>
      <c r="FN6" s="16">
        <f t="shared" si="48"/>
        <v>752.48499999998603</v>
      </c>
      <c r="FO6" s="16">
        <f t="shared" si="48"/>
        <v>774.13500000000931</v>
      </c>
      <c r="FP6" s="16">
        <f t="shared" si="48"/>
        <v>840.12199999997392</v>
      </c>
      <c r="FQ6" s="16">
        <f t="shared" si="48"/>
        <v>878.20099999988452</v>
      </c>
      <c r="FR6" s="16">
        <f t="shared" si="48"/>
        <v>826.43000000016764</v>
      </c>
      <c r="FS6" s="16">
        <f t="shared" si="48"/>
        <v>653.73999999999069</v>
      </c>
      <c r="FT6" s="16">
        <f t="shared" si="48"/>
        <v>668.26399999996647</v>
      </c>
      <c r="FU6" s="16">
        <f t="shared" si="48"/>
        <v>774.23200000007637</v>
      </c>
      <c r="FV6" s="16">
        <f t="shared" si="48"/>
        <v>568.41099999984726</v>
      </c>
      <c r="FW6" s="16">
        <f t="shared" si="48"/>
        <v>752.82600000011735</v>
      </c>
      <c r="FX6" s="16">
        <f t="shared" si="48"/>
        <v>755.03000000002794</v>
      </c>
      <c r="FY6" s="16">
        <f t="shared" si="48"/>
        <v>897.69699999992736</v>
      </c>
      <c r="FZ6" s="16">
        <f t="shared" si="48"/>
        <v>750.68399999989197</v>
      </c>
      <c r="GA6" s="16">
        <f t="shared" si="48"/>
        <v>663.57500000018626</v>
      </c>
      <c r="GB6" s="16">
        <f t="shared" si="48"/>
        <v>854.24199999985285</v>
      </c>
      <c r="GC6" s="16">
        <f t="shared" si="48"/>
        <v>739.23800000012852</v>
      </c>
      <c r="GD6" s="16">
        <f t="shared" si="48"/>
        <v>928.95399999991059</v>
      </c>
      <c r="GE6" s="16">
        <f t="shared" si="48"/>
        <v>840.13199999998324</v>
      </c>
      <c r="GF6" s="16">
        <f t="shared" si="48"/>
        <v>584.43800000008196</v>
      </c>
      <c r="GG6" s="16">
        <f t="shared" si="48"/>
        <v>717.55599999986589</v>
      </c>
      <c r="GH6" s="16">
        <f t="shared" si="48"/>
        <v>874.10600000014529</v>
      </c>
      <c r="GI6" s="16">
        <f t="shared" si="48"/>
        <v>708.31700000003912</v>
      </c>
      <c r="GJ6" s="16">
        <f t="shared" si="48"/>
        <v>689.54099999996834</v>
      </c>
      <c r="GK6" s="126"/>
      <c r="GL6" s="16">
        <f t="shared" ref="GL6:HN6" si="49">GL5-GL4</f>
        <v>847.61699999985285</v>
      </c>
      <c r="GM6" s="16">
        <f t="shared" si="49"/>
        <v>863.07600000011735</v>
      </c>
      <c r="GN6" s="16">
        <f t="shared" si="49"/>
        <v>1159.8589999999385</v>
      </c>
      <c r="GO6" s="16">
        <f t="shared" si="49"/>
        <v>864.2609999999404</v>
      </c>
      <c r="GP6" s="16">
        <f t="shared" si="49"/>
        <v>854.92400000011548</v>
      </c>
      <c r="GQ6" s="16">
        <f t="shared" si="49"/>
        <v>970.87699999986216</v>
      </c>
      <c r="GR6" s="16">
        <f t="shared" si="49"/>
        <v>915.62900000018999</v>
      </c>
      <c r="GS6" s="16">
        <f t="shared" si="49"/>
        <v>719.99099999992177</v>
      </c>
      <c r="GT6" s="16">
        <f t="shared" si="49"/>
        <v>1041.0859999998938</v>
      </c>
      <c r="GU6" s="16">
        <f t="shared" si="49"/>
        <v>695.45299999997951</v>
      </c>
      <c r="GV6" s="16">
        <f t="shared" si="49"/>
        <v>747.30500000016764</v>
      </c>
      <c r="GW6" s="16">
        <f t="shared" si="49"/>
        <v>991.96099999989383</v>
      </c>
      <c r="GX6" s="16">
        <f t="shared" si="49"/>
        <v>944.69400000013411</v>
      </c>
      <c r="GY6" s="16">
        <f t="shared" si="49"/>
        <v>787.47899999981746</v>
      </c>
      <c r="GZ6" s="16">
        <f t="shared" si="49"/>
        <v>834.67100000008941</v>
      </c>
      <c r="HA6" s="16">
        <f t="shared" si="49"/>
        <v>781.08100000000559</v>
      </c>
      <c r="HB6" s="16">
        <f t="shared" si="49"/>
        <v>935.54799999995157</v>
      </c>
      <c r="HC6" s="16">
        <f t="shared" si="49"/>
        <v>840.91200000001118</v>
      </c>
      <c r="HD6" s="16">
        <f t="shared" si="49"/>
        <v>749.55799999996088</v>
      </c>
      <c r="HE6" s="16">
        <f t="shared" si="49"/>
        <v>794.9680000001099</v>
      </c>
      <c r="HF6" s="16">
        <f t="shared" si="49"/>
        <v>881.74799999990501</v>
      </c>
      <c r="HG6" s="16">
        <f t="shared" si="49"/>
        <v>687.77900000009686</v>
      </c>
      <c r="HH6" s="16">
        <f t="shared" si="49"/>
        <v>601.60100000002421</v>
      </c>
      <c r="HI6" s="16">
        <f t="shared" si="49"/>
        <v>800.61800000001676</v>
      </c>
      <c r="HJ6" s="16">
        <f t="shared" si="49"/>
        <v>668.4769999999553</v>
      </c>
      <c r="HK6" s="16">
        <f t="shared" si="49"/>
        <v>946.70200000004843</v>
      </c>
      <c r="HL6" s="16">
        <f t="shared" si="49"/>
        <v>665.6929999999702</v>
      </c>
      <c r="HM6" s="16">
        <f t="shared" si="49"/>
        <v>856.46200000005774</v>
      </c>
      <c r="HN6" s="16">
        <f t="shared" si="49"/>
        <v>926.9519999998156</v>
      </c>
      <c r="HO6" s="126"/>
      <c r="HP6" s="16">
        <f t="shared" ref="HP6:IT6" si="50">HP5-HP4</f>
        <v>958.3980000000447</v>
      </c>
      <c r="HQ6" s="16">
        <f t="shared" si="50"/>
        <v>932.95299999997951</v>
      </c>
      <c r="HR6" s="16">
        <f t="shared" si="50"/>
        <v>974.13199999998324</v>
      </c>
      <c r="HS6" s="16">
        <f t="shared" si="50"/>
        <v>984.7750000001397</v>
      </c>
      <c r="HT6" s="16">
        <f t="shared" si="50"/>
        <v>907.3980000000447</v>
      </c>
      <c r="HU6" s="16">
        <f t="shared" si="50"/>
        <v>784.99699999997392</v>
      </c>
      <c r="HV6" s="16">
        <f t="shared" si="50"/>
        <v>990.24399999994785</v>
      </c>
      <c r="HW6" s="16">
        <f t="shared" si="50"/>
        <v>933.87899999995716</v>
      </c>
      <c r="HX6" s="16">
        <f t="shared" si="50"/>
        <v>751.76200000010431</v>
      </c>
      <c r="HY6" s="16">
        <f t="shared" si="50"/>
        <v>823.44799999985844</v>
      </c>
      <c r="HZ6" s="16">
        <f t="shared" si="50"/>
        <v>816.72299999999814</v>
      </c>
      <c r="IA6" s="16">
        <f t="shared" si="50"/>
        <v>650.17400000011548</v>
      </c>
      <c r="IB6" s="16">
        <f t="shared" si="50"/>
        <v>754.45900000003166</v>
      </c>
      <c r="IC6" s="16">
        <f t="shared" si="50"/>
        <v>599.82299999985844</v>
      </c>
      <c r="ID6" s="16">
        <f t="shared" si="50"/>
        <v>796.7390000000596</v>
      </c>
      <c r="IE6" s="16">
        <f t="shared" si="50"/>
        <v>771.28000000002794</v>
      </c>
      <c r="IF6" s="16">
        <f t="shared" si="50"/>
        <v>705.10699999984354</v>
      </c>
      <c r="IG6" s="16">
        <f t="shared" si="50"/>
        <v>810.84799999999814</v>
      </c>
      <c r="IH6" s="16">
        <f t="shared" si="50"/>
        <v>818.01500000013039</v>
      </c>
      <c r="II6" s="16">
        <f t="shared" si="50"/>
        <v>800.23399999993853</v>
      </c>
      <c r="IJ6" s="16">
        <f t="shared" si="50"/>
        <v>651.89000000013039</v>
      </c>
      <c r="IK6" s="16">
        <f t="shared" si="50"/>
        <v>867.4769999999553</v>
      </c>
      <c r="IL6" s="16">
        <f t="shared" si="50"/>
        <v>727.65800000005402</v>
      </c>
      <c r="IM6" s="16">
        <f t="shared" si="50"/>
        <v>803.02099999994971</v>
      </c>
      <c r="IN6" s="16">
        <f t="shared" si="50"/>
        <v>883.51899999985471</v>
      </c>
      <c r="IO6" s="16">
        <f t="shared" si="50"/>
        <v>723.08400000003166</v>
      </c>
      <c r="IP6" s="16">
        <f t="shared" si="50"/>
        <v>828.64300000015646</v>
      </c>
      <c r="IQ6" s="16">
        <f t="shared" si="50"/>
        <v>873.48499999986961</v>
      </c>
      <c r="IR6" s="16">
        <f t="shared" si="50"/>
        <v>718.13300000014715</v>
      </c>
      <c r="IS6" s="16">
        <f t="shared" si="50"/>
        <v>908.43399999989197</v>
      </c>
      <c r="IT6" s="16">
        <f t="shared" si="50"/>
        <v>616.15200000000186</v>
      </c>
      <c r="IU6" s="126"/>
      <c r="IV6" s="16">
        <f t="shared" ref="IV6:JY6" si="51">IV5-IV4</f>
        <v>687.68299999996088</v>
      </c>
      <c r="IW6" s="16">
        <f t="shared" si="51"/>
        <v>829.89500000001863</v>
      </c>
      <c r="IX6" s="16">
        <f t="shared" si="51"/>
        <v>650.4890000000596</v>
      </c>
      <c r="IY6" s="16">
        <f t="shared" si="51"/>
        <v>664.55199999990873</v>
      </c>
      <c r="IZ6" s="16">
        <f t="shared" si="51"/>
        <v>785.44900000002235</v>
      </c>
      <c r="JA6" s="16">
        <f t="shared" si="51"/>
        <v>965.51000000000931</v>
      </c>
      <c r="JB6" s="16">
        <f t="shared" si="51"/>
        <v>769.37599999993108</v>
      </c>
      <c r="JC6" s="16">
        <f t="shared" si="51"/>
        <v>806.60100000002421</v>
      </c>
      <c r="JD6" s="16">
        <f t="shared" si="51"/>
        <v>719.96900000004098</v>
      </c>
      <c r="JE6" s="16">
        <f t="shared" si="51"/>
        <v>667.6140000000596</v>
      </c>
      <c r="JF6" s="16">
        <f t="shared" si="51"/>
        <v>581.38199999998324</v>
      </c>
      <c r="JG6" s="16">
        <f t="shared" si="51"/>
        <v>797.87700000009499</v>
      </c>
      <c r="JH6" s="16">
        <f t="shared" si="51"/>
        <v>772.99199999985285</v>
      </c>
      <c r="JI6" s="16">
        <f t="shared" si="51"/>
        <v>556.29900000011548</v>
      </c>
      <c r="JJ6" s="16">
        <f t="shared" si="51"/>
        <v>855.22199999983422</v>
      </c>
      <c r="JK6" s="16">
        <f t="shared" si="51"/>
        <v>626.33300000010058</v>
      </c>
      <c r="JL6" s="16">
        <f t="shared" si="51"/>
        <v>639.82400000002235</v>
      </c>
      <c r="JM6" s="16">
        <f t="shared" si="51"/>
        <v>532.9890000000596</v>
      </c>
      <c r="JN6" s="16">
        <f t="shared" si="51"/>
        <v>695.96799999987707</v>
      </c>
      <c r="JO6" s="16">
        <f t="shared" si="51"/>
        <v>610.56900000013411</v>
      </c>
      <c r="JP6" s="16">
        <f t="shared" si="51"/>
        <v>700.52099999994971</v>
      </c>
      <c r="JQ6" s="16">
        <f t="shared" si="51"/>
        <v>807.86199999996461</v>
      </c>
      <c r="JR6" s="16">
        <f t="shared" si="51"/>
        <v>657.08499999996275</v>
      </c>
      <c r="JS6" s="16">
        <f t="shared" si="51"/>
        <v>765.61300000012852</v>
      </c>
      <c r="JT6" s="16">
        <f t="shared" si="51"/>
        <v>686.55099999997765</v>
      </c>
      <c r="JU6" s="16">
        <f t="shared" si="51"/>
        <v>782.18399999989197</v>
      </c>
      <c r="JV6" s="16">
        <f t="shared" si="51"/>
        <v>1022.3459999999031</v>
      </c>
      <c r="JW6" s="16">
        <f t="shared" si="51"/>
        <v>823.33700000005774</v>
      </c>
      <c r="JX6" s="16">
        <f t="shared" si="51"/>
        <v>815.92900000000373</v>
      </c>
      <c r="JY6" s="16">
        <f t="shared" si="51"/>
        <v>611.89500000001863</v>
      </c>
      <c r="JZ6" s="127">
        <f>SUM(IV6:JY6)</f>
        <v>21889.915999999968</v>
      </c>
      <c r="KA6" s="16">
        <f t="shared" ref="KA6:LE6" si="52">KA5-KA4</f>
        <v>900.30099999997765</v>
      </c>
      <c r="KB6" s="16">
        <f t="shared" si="52"/>
        <v>697.51200000010431</v>
      </c>
      <c r="KC6" s="16">
        <f t="shared" si="52"/>
        <v>721.17099999985658</v>
      </c>
      <c r="KD6" s="16">
        <f t="shared" si="52"/>
        <v>906.86499999999069</v>
      </c>
      <c r="KE6" s="16">
        <f t="shared" si="52"/>
        <v>787.99900000006892</v>
      </c>
      <c r="KF6" s="16">
        <f t="shared" si="52"/>
        <v>774.09600000013597</v>
      </c>
      <c r="KG6" s="16">
        <f t="shared" si="52"/>
        <v>775.85800000000745</v>
      </c>
      <c r="KH6" s="16">
        <f t="shared" si="52"/>
        <v>599.71099999989383</v>
      </c>
      <c r="KI6" s="16">
        <f t="shared" si="52"/>
        <v>697.52700000000186</v>
      </c>
      <c r="KJ6" s="16">
        <f t="shared" si="52"/>
        <v>821.51699999999255</v>
      </c>
      <c r="KK6" s="16">
        <f t="shared" si="52"/>
        <v>892.23699999996461</v>
      </c>
      <c r="KL6" s="16">
        <f t="shared" si="52"/>
        <v>689.46999999997206</v>
      </c>
      <c r="KM6" s="16">
        <f t="shared" si="52"/>
        <v>870.41599999996834</v>
      </c>
      <c r="KN6" s="16">
        <f t="shared" si="52"/>
        <v>676.95300000021234</v>
      </c>
      <c r="KO6" s="16">
        <f t="shared" si="52"/>
        <v>584.19699999992736</v>
      </c>
      <c r="KP6" s="16">
        <f t="shared" si="52"/>
        <v>850.75</v>
      </c>
      <c r="KQ6" s="16">
        <f t="shared" si="52"/>
        <v>752.05899999989197</v>
      </c>
      <c r="KR6" s="16">
        <f t="shared" si="52"/>
        <v>860.31000000005588</v>
      </c>
      <c r="KS6" s="16">
        <f t="shared" si="52"/>
        <v>777.53099999995902</v>
      </c>
      <c r="KT6" s="16">
        <f t="shared" si="52"/>
        <v>836.36300000012852</v>
      </c>
      <c r="KU6" s="16">
        <f t="shared" si="52"/>
        <v>626.35800000000745</v>
      </c>
      <c r="KV6" s="16">
        <f t="shared" si="52"/>
        <v>699.11399999982677</v>
      </c>
      <c r="KW6" s="16">
        <f t="shared" si="52"/>
        <v>784.51900000008754</v>
      </c>
      <c r="KX6" s="16">
        <f t="shared" si="52"/>
        <v>824.55099999997765</v>
      </c>
      <c r="KY6" s="16">
        <f t="shared" si="52"/>
        <v>815.67999999993481</v>
      </c>
      <c r="KZ6" s="16">
        <f t="shared" si="52"/>
        <v>730.58900000015274</v>
      </c>
      <c r="LA6" s="16">
        <f t="shared" si="52"/>
        <v>713.81899999990128</v>
      </c>
      <c r="LB6" s="16">
        <f t="shared" si="52"/>
        <v>811.22600000002421</v>
      </c>
      <c r="LC6" s="16">
        <f t="shared" si="52"/>
        <v>724.44599999999627</v>
      </c>
      <c r="LD6" s="16">
        <f t="shared" si="52"/>
        <v>764.29199999989942</v>
      </c>
      <c r="LE6" s="16">
        <f t="shared" si="52"/>
        <v>967.87000000011176</v>
      </c>
      <c r="LF6" s="127">
        <f>SUM(KA6:LE6)</f>
        <v>23935.30700000003</v>
      </c>
      <c r="LG6" s="16">
        <f t="shared" ref="LG6:MJ6" si="53">LG5-LG4</f>
        <v>792.43999999994412</v>
      </c>
      <c r="LH6" s="16">
        <f t="shared" si="53"/>
        <v>580.46200000005774</v>
      </c>
      <c r="LI6" s="16">
        <f t="shared" si="53"/>
        <v>883.80000000004657</v>
      </c>
      <c r="LJ6" s="16">
        <f t="shared" si="53"/>
        <v>897.24300000001676</v>
      </c>
      <c r="LK6" s="16">
        <f t="shared" si="53"/>
        <v>730.90799999982119</v>
      </c>
      <c r="LL6" s="16">
        <f t="shared" si="53"/>
        <v>760.52700000000186</v>
      </c>
      <c r="LM6" s="16">
        <f t="shared" si="53"/>
        <v>769.51800000015646</v>
      </c>
      <c r="LN6" s="16">
        <f t="shared" si="53"/>
        <v>1032.5989999999292</v>
      </c>
      <c r="LO6" s="16">
        <f t="shared" si="53"/>
        <v>1023.5930000001099</v>
      </c>
      <c r="LP6" s="16">
        <f t="shared" si="53"/>
        <v>878.78700000001118</v>
      </c>
      <c r="LQ6" s="16">
        <f t="shared" si="53"/>
        <v>823.47899999981746</v>
      </c>
      <c r="LR6" s="16">
        <f t="shared" si="53"/>
        <v>797.0930000001099</v>
      </c>
      <c r="LS6" s="16">
        <f t="shared" si="53"/>
        <v>944.50499999988824</v>
      </c>
      <c r="LT6" s="16">
        <f t="shared" si="53"/>
        <v>761.92700000014156</v>
      </c>
      <c r="LU6" s="16">
        <f t="shared" si="53"/>
        <v>1022.5509999999776</v>
      </c>
      <c r="LV6" s="16">
        <f t="shared" si="53"/>
        <v>815.10599999991246</v>
      </c>
      <c r="LW6" s="16">
        <f t="shared" si="53"/>
        <v>829</v>
      </c>
      <c r="LX6" s="16">
        <f t="shared" si="53"/>
        <v>753.07600000011735</v>
      </c>
      <c r="LY6" s="16">
        <f t="shared" si="53"/>
        <v>752.58400000003166</v>
      </c>
      <c r="LZ6" s="16">
        <f t="shared" si="53"/>
        <v>736.7589999998454</v>
      </c>
      <c r="MA6" s="16">
        <f t="shared" si="53"/>
        <v>821.3660000001546</v>
      </c>
      <c r="MB6" s="16">
        <f t="shared" si="53"/>
        <v>723.69199999980628</v>
      </c>
      <c r="MC6" s="16">
        <f t="shared" si="53"/>
        <v>798.75500000012107</v>
      </c>
      <c r="MD6" s="16">
        <f t="shared" si="53"/>
        <v>1023.4650000000838</v>
      </c>
      <c r="ME6" s="16">
        <f t="shared" si="53"/>
        <v>703.93900000001304</v>
      </c>
      <c r="MF6" s="16">
        <f t="shared" si="53"/>
        <v>845.05999999982305</v>
      </c>
      <c r="MG6" s="16">
        <f t="shared" si="53"/>
        <v>576.74300000001676</v>
      </c>
      <c r="MH6" s="16">
        <f t="shared" si="53"/>
        <v>876.49800000013784</v>
      </c>
      <c r="MI6" s="16">
        <f t="shared" si="53"/>
        <v>814.875</v>
      </c>
      <c r="MJ6" s="16">
        <f t="shared" si="53"/>
        <v>929.90299999993294</v>
      </c>
      <c r="MK6" s="127">
        <f>SUM(LF6:MJ6)</f>
        <v>48635.560000000056</v>
      </c>
      <c r="ML6" s="16">
        <f t="shared" ref="ML6:NP6" si="54">ML5-ML4</f>
        <v>1011.033000000054</v>
      </c>
      <c r="MM6" s="16">
        <f t="shared" si="54"/>
        <v>810.61299999989569</v>
      </c>
      <c r="MN6" s="16">
        <f t="shared" si="54"/>
        <v>754.30200000014156</v>
      </c>
      <c r="MO6" s="16">
        <f t="shared" si="54"/>
        <v>646.9429999999702</v>
      </c>
      <c r="MP6" s="16">
        <f t="shared" si="54"/>
        <v>954.44399999990128</v>
      </c>
      <c r="MQ6" s="16">
        <f t="shared" si="54"/>
        <v>901.22500000009313</v>
      </c>
      <c r="MR6" s="16">
        <f t="shared" si="54"/>
        <v>775.82999999984168</v>
      </c>
      <c r="MS6" s="16">
        <f t="shared" si="54"/>
        <v>854.21100000012666</v>
      </c>
      <c r="MT6" s="16">
        <f t="shared" si="54"/>
        <v>799.36199999996461</v>
      </c>
      <c r="MU6" s="16">
        <f t="shared" si="54"/>
        <v>723.55199999990873</v>
      </c>
      <c r="MV6" s="16">
        <f t="shared" si="54"/>
        <v>779.4910000001546</v>
      </c>
      <c r="MW6" s="16">
        <f t="shared" si="54"/>
        <v>726.29799999995157</v>
      </c>
      <c r="MX6" s="16">
        <f t="shared" si="54"/>
        <v>894.18999999994412</v>
      </c>
      <c r="MY6" s="16">
        <f t="shared" si="54"/>
        <v>699.17999999993481</v>
      </c>
      <c r="MZ6" s="16">
        <f t="shared" si="54"/>
        <v>762.85600000014529</v>
      </c>
      <c r="NA6" s="16">
        <f t="shared" si="54"/>
        <v>750.41399999987334</v>
      </c>
      <c r="NB6" s="16">
        <f t="shared" si="54"/>
        <v>692.61000000010245</v>
      </c>
      <c r="NC6" s="16">
        <f t="shared" si="54"/>
        <v>843.10299999988638</v>
      </c>
      <c r="ND6" s="16">
        <f t="shared" si="54"/>
        <v>798.50400000018999</v>
      </c>
      <c r="NE6" s="16">
        <f t="shared" si="54"/>
        <v>907.16099999984726</v>
      </c>
      <c r="NF6" s="16">
        <f t="shared" si="54"/>
        <v>845.16899999999441</v>
      </c>
      <c r="NG6" s="16">
        <f t="shared" si="54"/>
        <v>783.26000000000931</v>
      </c>
      <c r="NH6" s="16">
        <f t="shared" si="54"/>
        <v>681.16000000014901</v>
      </c>
      <c r="NI6" s="16">
        <f t="shared" si="54"/>
        <v>664.88699999987148</v>
      </c>
      <c r="NJ6" s="16">
        <f t="shared" si="54"/>
        <v>803.19500000006519</v>
      </c>
      <c r="NK6" s="16">
        <f t="shared" si="54"/>
        <v>755.32599999988452</v>
      </c>
      <c r="NL6" s="16">
        <f t="shared" si="54"/>
        <v>1047.719000000041</v>
      </c>
      <c r="NM6" s="16">
        <f t="shared" si="54"/>
        <v>640.44100000010803</v>
      </c>
      <c r="NN6" s="16">
        <f t="shared" si="54"/>
        <v>943.99899999983609</v>
      </c>
      <c r="NO6" s="16">
        <f t="shared" si="54"/>
        <v>812.19300000020303</v>
      </c>
      <c r="NP6" s="16">
        <f t="shared" si="54"/>
        <v>650.67699999990873</v>
      </c>
      <c r="NQ6" s="127">
        <f>SUM(ML6:NP6)</f>
        <v>24713.347999999998</v>
      </c>
      <c r="NR6" s="16">
        <f t="shared" ref="NR6:OV6" si="55">NR5-NR4</f>
        <v>820.01199999987148</v>
      </c>
      <c r="NS6" s="16">
        <f t="shared" si="55"/>
        <v>781.9230000001844</v>
      </c>
      <c r="NT6" s="16">
        <f t="shared" si="55"/>
        <v>924.375</v>
      </c>
      <c r="NU6" s="16">
        <f t="shared" si="55"/>
        <v>834.10800000000745</v>
      </c>
      <c r="NV6" s="16">
        <f t="shared" si="55"/>
        <v>762.62999999988824</v>
      </c>
      <c r="NW6" s="16">
        <f t="shared" si="55"/>
        <v>921.32899999991059</v>
      </c>
      <c r="NX6" s="16">
        <f t="shared" si="55"/>
        <v>763.98400000017136</v>
      </c>
      <c r="NY6" s="16">
        <f t="shared" si="55"/>
        <v>836.42399999988265</v>
      </c>
      <c r="NZ6" s="16">
        <f t="shared" si="55"/>
        <v>920.00900000007823</v>
      </c>
      <c r="OA6" s="16">
        <f t="shared" si="55"/>
        <v>939.92299999995157</v>
      </c>
      <c r="OB6" s="16">
        <f t="shared" si="55"/>
        <v>598.43900000001304</v>
      </c>
      <c r="OC6" s="16">
        <f t="shared" si="55"/>
        <v>840.97600000002421</v>
      </c>
      <c r="OD6" s="16">
        <f t="shared" si="55"/>
        <v>805.63500000000931</v>
      </c>
      <c r="OE6" s="16">
        <f t="shared" si="55"/>
        <v>854.19800000009127</v>
      </c>
      <c r="OF6" s="16">
        <f t="shared" si="55"/>
        <v>720.40799999982119</v>
      </c>
      <c r="OG6" s="16">
        <f t="shared" si="55"/>
        <v>771.97800000011921</v>
      </c>
      <c r="OH6" s="16">
        <f t="shared" si="55"/>
        <v>964.55400000000373</v>
      </c>
      <c r="OI6" s="16">
        <f t="shared" si="55"/>
        <v>803.25199999986216</v>
      </c>
      <c r="OJ6" s="16">
        <f t="shared" si="55"/>
        <v>791.02800000016578</v>
      </c>
      <c r="OK6" s="16">
        <f t="shared" si="55"/>
        <v>737.65500000002794</v>
      </c>
      <c r="OL6" s="16">
        <f t="shared" si="55"/>
        <v>698.54999999981374</v>
      </c>
      <c r="OM6" s="16">
        <f t="shared" si="55"/>
        <v>848.80500000016764</v>
      </c>
      <c r="ON6" s="16">
        <f t="shared" si="55"/>
        <v>728.34499999997206</v>
      </c>
      <c r="OO6" s="16">
        <f t="shared" si="55"/>
        <v>893.14999999990687</v>
      </c>
      <c r="OP6" s="16">
        <f t="shared" si="55"/>
        <v>582.73399999993853</v>
      </c>
      <c r="OQ6" s="16">
        <f t="shared" si="55"/>
        <v>711.13199999998324</v>
      </c>
      <c r="OR6" s="16">
        <f t="shared" si="55"/>
        <v>786.2070000001695</v>
      </c>
      <c r="OS6" s="16">
        <f t="shared" si="55"/>
        <v>657.11899999994785</v>
      </c>
      <c r="OT6" s="16">
        <f t="shared" si="55"/>
        <v>824.96299999998882</v>
      </c>
      <c r="OU6" s="16">
        <f t="shared" si="55"/>
        <v>784.10100000002421</v>
      </c>
      <c r="OV6" s="16">
        <f t="shared" si="55"/>
        <v>841.01799999992363</v>
      </c>
      <c r="OW6" s="127">
        <f>SUM(NR6:OV6)</f>
        <v>24748.96399999992</v>
      </c>
      <c r="OX6" s="16">
        <f t="shared" ref="OX6:QA6" si="56">OX5-OX4</f>
        <v>710.73200000007637</v>
      </c>
      <c r="OY6" s="16">
        <f t="shared" si="56"/>
        <v>807.37899999995716</v>
      </c>
      <c r="OZ6" s="16">
        <f t="shared" si="56"/>
        <v>736.26600000006147</v>
      </c>
      <c r="PA6" s="16">
        <f t="shared" si="56"/>
        <v>749.01199999987148</v>
      </c>
      <c r="PB6" s="16">
        <f t="shared" si="56"/>
        <v>669.26200000010431</v>
      </c>
      <c r="PC6" s="16">
        <f t="shared" si="56"/>
        <v>780.11100000003353</v>
      </c>
      <c r="PD6" s="16">
        <f t="shared" si="56"/>
        <v>692.96799999987707</v>
      </c>
      <c r="PE6" s="16">
        <f t="shared" si="56"/>
        <v>756.87600000016391</v>
      </c>
      <c r="PF6" s="16">
        <f t="shared" si="56"/>
        <v>943.10999999986961</v>
      </c>
      <c r="PG6" s="16">
        <f t="shared" si="56"/>
        <v>858.74500000011176</v>
      </c>
      <c r="PH6" s="16">
        <f t="shared" si="56"/>
        <v>701.41599999996834</v>
      </c>
      <c r="PI6" s="16">
        <f t="shared" si="56"/>
        <v>675.89599999994971</v>
      </c>
      <c r="PJ6" s="16">
        <f t="shared" si="56"/>
        <v>897.50900000007823</v>
      </c>
      <c r="PK6" s="16">
        <f t="shared" si="56"/>
        <v>791.46299999998882</v>
      </c>
      <c r="PL6" s="16">
        <f t="shared" si="56"/>
        <v>623.71999999997206</v>
      </c>
      <c r="PM6" s="16">
        <f t="shared" si="56"/>
        <v>905.85800000000745</v>
      </c>
      <c r="PN6" s="16">
        <f t="shared" si="56"/>
        <v>876.41299999994226</v>
      </c>
      <c r="PO6" s="16">
        <f t="shared" si="56"/>
        <v>669.05300000007264</v>
      </c>
      <c r="PP6" s="16">
        <f t="shared" si="56"/>
        <v>548.8859999999404</v>
      </c>
      <c r="PQ6" s="16">
        <f t="shared" si="56"/>
        <v>718.86499999999069</v>
      </c>
      <c r="PR6" s="16">
        <f t="shared" si="56"/>
        <v>611.91999999992549</v>
      </c>
      <c r="PS6" s="16">
        <f t="shared" si="56"/>
        <v>617.07200000016019</v>
      </c>
      <c r="PT6" s="16">
        <f t="shared" si="56"/>
        <v>717.4179999998305</v>
      </c>
      <c r="PU6" s="16">
        <f t="shared" si="56"/>
        <v>728.55000000004657</v>
      </c>
      <c r="PV6" s="16">
        <f t="shared" si="56"/>
        <v>680.09000000008382</v>
      </c>
      <c r="PW6" s="16">
        <f t="shared" si="56"/>
        <v>571.09899999992922</v>
      </c>
      <c r="PX6" s="16">
        <f t="shared" si="56"/>
        <v>721.04099999996834</v>
      </c>
      <c r="PY6" s="16">
        <f t="shared" si="56"/>
        <v>679.73200000007637</v>
      </c>
      <c r="PZ6" s="16">
        <f t="shared" si="56"/>
        <v>352.09700000006706</v>
      </c>
      <c r="QA6" s="16">
        <f t="shared" si="56"/>
        <v>736.5319999998901</v>
      </c>
      <c r="QB6" s="127">
        <f>SUM(OX6:QA6)</f>
        <v>21529.091000000015</v>
      </c>
      <c r="QC6" s="16">
        <f t="shared" ref="QC6:RG6" si="57">QC5-QC4</f>
        <v>691.48300000000745</v>
      </c>
      <c r="QD6" s="16">
        <f t="shared" si="57"/>
        <v>596.27799999993294</v>
      </c>
      <c r="QE6" s="16">
        <f t="shared" si="57"/>
        <v>683.3890000001993</v>
      </c>
      <c r="QF6" s="16">
        <f t="shared" si="57"/>
        <v>816.18699999991804</v>
      </c>
      <c r="QG6" s="16">
        <f t="shared" si="57"/>
        <v>844.0339999999851</v>
      </c>
      <c r="QH6" s="16">
        <f t="shared" si="57"/>
        <v>665.74600000004284</v>
      </c>
      <c r="QI6" s="16">
        <f t="shared" si="57"/>
        <v>927.07000000006519</v>
      </c>
      <c r="QJ6" s="16">
        <f t="shared" si="57"/>
        <v>717.19999999995343</v>
      </c>
      <c r="QK6" s="16">
        <f t="shared" si="57"/>
        <v>744.86199999996461</v>
      </c>
      <c r="QL6" s="16">
        <f t="shared" si="57"/>
        <v>693.19999999995343</v>
      </c>
      <c r="QM6" s="16">
        <f t="shared" si="57"/>
        <v>922.23699999996461</v>
      </c>
      <c r="QN6" s="16">
        <f t="shared" si="57"/>
        <v>867.5250000001397</v>
      </c>
      <c r="QO6" s="16">
        <f t="shared" si="57"/>
        <v>787.93999999994412</v>
      </c>
      <c r="QP6" s="16">
        <f t="shared" si="57"/>
        <v>909.2819999998901</v>
      </c>
      <c r="QQ6" s="16">
        <f t="shared" si="57"/>
        <v>685.81700000003912</v>
      </c>
      <c r="QR6" s="16">
        <f t="shared" si="57"/>
        <v>635.8070000000298</v>
      </c>
      <c r="QS6" s="16">
        <f t="shared" si="57"/>
        <v>752.22500000009313</v>
      </c>
      <c r="QT6" s="16">
        <f t="shared" si="57"/>
        <v>897.74899999983609</v>
      </c>
      <c r="QU6" s="16">
        <f t="shared" si="57"/>
        <v>690.59900000016205</v>
      </c>
      <c r="QV6" s="16">
        <f t="shared" si="57"/>
        <v>801.98099999991246</v>
      </c>
      <c r="QW6" s="16">
        <f t="shared" si="57"/>
        <v>644.6820000000298</v>
      </c>
      <c r="QX6" s="16">
        <f t="shared" si="57"/>
        <v>681.9069999998901</v>
      </c>
      <c r="QY6" s="16">
        <f t="shared" si="57"/>
        <v>717.20000000018626</v>
      </c>
      <c r="QZ6" s="16">
        <f t="shared" si="57"/>
        <v>660.80899999989197</v>
      </c>
      <c r="RA6" s="16">
        <f t="shared" si="57"/>
        <v>815.05199999990873</v>
      </c>
      <c r="RB6" s="16">
        <f t="shared" si="57"/>
        <v>793.37700000009499</v>
      </c>
      <c r="RC6" s="16">
        <f t="shared" si="57"/>
        <v>620.10000000009313</v>
      </c>
      <c r="RD6" s="16">
        <f t="shared" si="57"/>
        <v>681.29999999981374</v>
      </c>
      <c r="RE6" s="16">
        <f t="shared" si="57"/>
        <v>617.92200000002049</v>
      </c>
      <c r="RF6" s="16">
        <f t="shared" si="57"/>
        <v>547.45900000003166</v>
      </c>
      <c r="RG6" s="16">
        <f t="shared" si="57"/>
        <v>718.3070000000298</v>
      </c>
      <c r="RH6" s="127">
        <f>SUM(QC6:RG6)</f>
        <v>22828.726000000024</v>
      </c>
      <c r="RI6" s="16">
        <f t="shared" ref="RI6:SL6" si="58">RI5-RI4</f>
        <v>790.72800000011921</v>
      </c>
      <c r="RJ6" s="16">
        <f t="shared" si="58"/>
        <v>820.92999999993481</v>
      </c>
      <c r="RK6" s="16">
        <f t="shared" si="58"/>
        <v>705.90500000002794</v>
      </c>
      <c r="RL6" s="16">
        <f t="shared" si="58"/>
        <v>772.89399999985471</v>
      </c>
      <c r="RM6" s="16">
        <f t="shared" si="58"/>
        <v>656.59600000013597</v>
      </c>
      <c r="RN6" s="16">
        <f t="shared" si="58"/>
        <v>594.25</v>
      </c>
      <c r="RO6" s="16">
        <f t="shared" si="58"/>
        <v>539.98499999986961</v>
      </c>
      <c r="RP6" s="16">
        <f t="shared" si="58"/>
        <v>797.9890000000596</v>
      </c>
      <c r="RQ6" s="16">
        <f t="shared" si="58"/>
        <v>652.43599999998696</v>
      </c>
      <c r="RR6" s="16">
        <f t="shared" si="58"/>
        <v>795</v>
      </c>
      <c r="RS6" s="16">
        <f t="shared" si="58"/>
        <v>697.80799999996088</v>
      </c>
      <c r="RT6" s="16">
        <f t="shared" si="58"/>
        <v>651.69400000013411</v>
      </c>
      <c r="RU6" s="16">
        <f t="shared" si="58"/>
        <v>686.97999999998137</v>
      </c>
      <c r="RV6" s="16">
        <f t="shared" si="58"/>
        <v>517.36499999999069</v>
      </c>
      <c r="RW6" s="16">
        <f t="shared" si="58"/>
        <v>641.69900000002235</v>
      </c>
      <c r="RX6" s="16">
        <f t="shared" si="58"/>
        <v>712.04799999995157</v>
      </c>
      <c r="RY6" s="16">
        <f t="shared" si="58"/>
        <v>623.36599999992177</v>
      </c>
      <c r="RZ6" s="16">
        <f t="shared" si="58"/>
        <v>614.7180000001099</v>
      </c>
      <c r="SA6" s="16">
        <f t="shared" si="58"/>
        <v>817.28899999987334</v>
      </c>
      <c r="SB6" s="16">
        <f t="shared" si="58"/>
        <v>681.23300000000745</v>
      </c>
      <c r="SC6" s="16">
        <f t="shared" si="58"/>
        <v>593.04600000008941</v>
      </c>
      <c r="SD6" s="16">
        <f t="shared" si="58"/>
        <v>777.18699999991804</v>
      </c>
      <c r="SE6" s="16">
        <f t="shared" si="58"/>
        <v>818.57600000011735</v>
      </c>
      <c r="SF6" s="16">
        <f t="shared" si="58"/>
        <v>691.53799999994226</v>
      </c>
      <c r="SG6" s="16">
        <f t="shared" si="58"/>
        <v>818.23500000010245</v>
      </c>
      <c r="SH6" s="16">
        <f t="shared" si="58"/>
        <v>652.07299999985844</v>
      </c>
      <c r="SI6" s="16">
        <f t="shared" si="58"/>
        <v>756.29099999996834</v>
      </c>
      <c r="SJ6" s="16">
        <f t="shared" si="58"/>
        <v>721.07400000002235</v>
      </c>
      <c r="SK6" s="16">
        <f t="shared" si="58"/>
        <v>706.95600000000559</v>
      </c>
      <c r="SL6" s="16">
        <f t="shared" si="58"/>
        <v>868.10000000009313</v>
      </c>
      <c r="SM6" s="127">
        <f>SUM(RI6:SL6)</f>
        <v>21173.98900000006</v>
      </c>
      <c r="SN6" s="16">
        <f t="shared" ref="SN6:TR6" si="59">SN5-SN4</f>
        <v>664.42800000007264</v>
      </c>
      <c r="SO6" s="16">
        <f t="shared" si="59"/>
        <v>879.30599999986589</v>
      </c>
      <c r="SP6" s="16">
        <f t="shared" si="59"/>
        <v>690.3640000000596</v>
      </c>
      <c r="SQ6" s="16">
        <f t="shared" si="59"/>
        <v>768.53499999991618</v>
      </c>
      <c r="SR6" s="16">
        <f t="shared" si="59"/>
        <v>648.10800000000745</v>
      </c>
      <c r="SS6" s="16">
        <f t="shared" si="59"/>
        <v>751.97800000011921</v>
      </c>
      <c r="ST6" s="16">
        <f t="shared" si="59"/>
        <v>1084.7859999998473</v>
      </c>
      <c r="SU6" s="16">
        <f t="shared" si="59"/>
        <v>752.62700000009499</v>
      </c>
      <c r="SV6" s="16">
        <f t="shared" si="59"/>
        <v>769.31899999990128</v>
      </c>
      <c r="SW6" s="16">
        <f t="shared" si="59"/>
        <v>669.39700000011362</v>
      </c>
      <c r="SX6" s="16">
        <f t="shared" si="59"/>
        <v>762.58899999991991</v>
      </c>
      <c r="SY6" s="16">
        <f t="shared" si="59"/>
        <v>745.57000000006519</v>
      </c>
      <c r="SZ6" s="16">
        <f t="shared" si="59"/>
        <v>876.58899999991991</v>
      </c>
      <c r="TA6" s="16">
        <f t="shared" si="59"/>
        <v>825.58900000015274</v>
      </c>
      <c r="TB6" s="16">
        <f t="shared" si="59"/>
        <v>684.23300000000745</v>
      </c>
      <c r="TC6" s="16">
        <f t="shared" si="59"/>
        <v>774.53999999980442</v>
      </c>
      <c r="TD6" s="16">
        <f t="shared" si="59"/>
        <v>827.11700000008568</v>
      </c>
      <c r="TE6" s="16">
        <f t="shared" si="59"/>
        <v>814.69399999990128</v>
      </c>
      <c r="TF6" s="16">
        <f t="shared" si="59"/>
        <v>807.29399999999441</v>
      </c>
      <c r="TG6" s="16">
        <f t="shared" si="59"/>
        <v>825.9230000001844</v>
      </c>
      <c r="TH6" s="16">
        <f t="shared" si="59"/>
        <v>960.31899999990128</v>
      </c>
      <c r="TI6" s="16">
        <f t="shared" si="59"/>
        <v>958.49699999997392</v>
      </c>
      <c r="TJ6" s="16">
        <f t="shared" si="59"/>
        <v>942.67100000008941</v>
      </c>
      <c r="TK6" s="16">
        <f t="shared" si="59"/>
        <v>861.16399999987334</v>
      </c>
      <c r="TL6" s="16">
        <f t="shared" si="59"/>
        <v>675.01900000008754</v>
      </c>
      <c r="TM6" s="16">
        <f t="shared" si="59"/>
        <v>576.51000000000931</v>
      </c>
      <c r="TN6" s="16">
        <f t="shared" si="59"/>
        <v>628.72399999992922</v>
      </c>
      <c r="TO6" s="16">
        <f t="shared" si="59"/>
        <v>794.48200000007637</v>
      </c>
      <c r="TP6" s="16">
        <f t="shared" si="59"/>
        <v>519.19200000003912</v>
      </c>
      <c r="TQ6" s="16">
        <f t="shared" si="59"/>
        <v>613.4089999999851</v>
      </c>
      <c r="TR6" s="16">
        <f t="shared" si="59"/>
        <v>826.1909999998752</v>
      </c>
      <c r="TS6" s="127">
        <f>SUM(SO6:TR6)</f>
        <v>23314.735999999801</v>
      </c>
      <c r="TT6" s="16">
        <f t="shared" ref="TT6:UX6" si="60">TT5-TT4</f>
        <v>669.28500000014901</v>
      </c>
      <c r="TU6" s="16">
        <f t="shared" si="60"/>
        <v>671.92599999997765</v>
      </c>
      <c r="TV6" s="16">
        <f t="shared" si="60"/>
        <v>670.15800000005402</v>
      </c>
      <c r="TW6" s="16">
        <f t="shared" si="60"/>
        <v>670.8609999998007</v>
      </c>
      <c r="TX6" s="16">
        <f t="shared" si="60"/>
        <v>630.09400000004098</v>
      </c>
      <c r="TY6" s="16">
        <f t="shared" si="60"/>
        <v>763.5</v>
      </c>
      <c r="TZ6" s="16">
        <f t="shared" si="60"/>
        <v>790.42100000008941</v>
      </c>
      <c r="UA6" s="16">
        <f t="shared" si="60"/>
        <v>683.95399999991059</v>
      </c>
      <c r="UB6" s="16">
        <f t="shared" si="60"/>
        <v>645.5820000001695</v>
      </c>
      <c r="UC6" s="16">
        <f t="shared" si="60"/>
        <v>658.96099999989383</v>
      </c>
      <c r="UD6" s="16">
        <f t="shared" si="60"/>
        <v>770.04600000008941</v>
      </c>
      <c r="UE6" s="16">
        <f t="shared" si="60"/>
        <v>612.69900000002235</v>
      </c>
      <c r="UF6" s="16">
        <f t="shared" si="60"/>
        <v>727.39399999985471</v>
      </c>
      <c r="UG6" s="16">
        <f t="shared" si="60"/>
        <v>819.43599999998696</v>
      </c>
      <c r="UH6" s="16">
        <f t="shared" si="60"/>
        <v>830.98399999993853</v>
      </c>
      <c r="UI6" s="16">
        <f t="shared" si="60"/>
        <v>814.8430000001099</v>
      </c>
      <c r="UJ6" s="16">
        <f t="shared" si="60"/>
        <v>828.83599999989383</v>
      </c>
      <c r="UK6" s="16">
        <f t="shared" si="60"/>
        <v>715.46000000019558</v>
      </c>
      <c r="UL6" s="16">
        <f t="shared" si="60"/>
        <v>628.04599999985658</v>
      </c>
      <c r="UM6" s="16">
        <f t="shared" si="60"/>
        <v>735.73600000003353</v>
      </c>
      <c r="UN6" s="16">
        <f t="shared" si="60"/>
        <v>642.97299999999814</v>
      </c>
      <c r="UO6" s="16">
        <f t="shared" si="60"/>
        <v>794.48200000007637</v>
      </c>
      <c r="UP6" s="16">
        <f t="shared" si="60"/>
        <v>753.35999999986961</v>
      </c>
      <c r="UQ6" s="16">
        <f t="shared" si="60"/>
        <v>924.01800000015646</v>
      </c>
      <c r="UR6" s="16">
        <f t="shared" si="60"/>
        <v>682.14099999982864</v>
      </c>
      <c r="US6" s="16">
        <f t="shared" si="60"/>
        <v>650.82700000004843</v>
      </c>
      <c r="UT6" s="16">
        <f t="shared" si="60"/>
        <v>730.91100000008009</v>
      </c>
      <c r="UU6" s="16">
        <f t="shared" si="60"/>
        <v>718.39100000006147</v>
      </c>
      <c r="UV6" s="16">
        <f t="shared" si="60"/>
        <v>705.40999999991618</v>
      </c>
      <c r="UW6" s="16">
        <f t="shared" si="60"/>
        <v>780.83499999996275</v>
      </c>
      <c r="UX6" s="16">
        <f t="shared" si="60"/>
        <v>887.64400000008754</v>
      </c>
      <c r="UY6" s="127">
        <f>SUM(TT6:UX6)</f>
        <v>22609.214000000153</v>
      </c>
      <c r="UZ6" s="16">
        <f t="shared" ref="UZ6:WA6" si="61">UZ5-UZ4</f>
        <v>761.83799999998882</v>
      </c>
      <c r="VA6" s="16">
        <f t="shared" si="61"/>
        <v>740.15599999995902</v>
      </c>
      <c r="VB6" s="16">
        <f t="shared" si="61"/>
        <v>920.53000000002794</v>
      </c>
      <c r="VC6" s="16">
        <f t="shared" si="61"/>
        <v>706.78799999994226</v>
      </c>
      <c r="VD6" s="16">
        <f t="shared" si="61"/>
        <v>709.63899999996647</v>
      </c>
      <c r="VE6" s="16">
        <f t="shared" si="61"/>
        <v>726.35899999993853</v>
      </c>
      <c r="VF6" s="16">
        <f t="shared" si="61"/>
        <v>767.48600000003353</v>
      </c>
      <c r="VG6" s="16">
        <f t="shared" si="61"/>
        <v>721.07400000002235</v>
      </c>
      <c r="VH6" s="16">
        <f t="shared" si="61"/>
        <v>689.88899999996647</v>
      </c>
      <c r="VI6" s="16">
        <f t="shared" si="61"/>
        <v>808.28300000005402</v>
      </c>
      <c r="VJ6" s="16">
        <f t="shared" si="61"/>
        <v>629.14500000001863</v>
      </c>
      <c r="VK6" s="16">
        <f t="shared" si="61"/>
        <v>624.29399999999441</v>
      </c>
      <c r="VL6" s="16">
        <f t="shared" si="61"/>
        <v>815.89199999999255</v>
      </c>
      <c r="VM6" s="16">
        <f t="shared" si="61"/>
        <v>1017.4560000000056</v>
      </c>
      <c r="VN6" s="16">
        <f t="shared" si="61"/>
        <v>619.17800000007264</v>
      </c>
      <c r="VO6" s="16">
        <f t="shared" si="61"/>
        <v>763.37699999986216</v>
      </c>
      <c r="VP6" s="16">
        <f t="shared" si="61"/>
        <v>810.77000000001863</v>
      </c>
      <c r="VQ6" s="16">
        <f t="shared" si="61"/>
        <v>731.61000000010245</v>
      </c>
      <c r="VR6" s="16">
        <f t="shared" si="61"/>
        <v>682.86199999996461</v>
      </c>
      <c r="VS6" s="16">
        <f t="shared" si="61"/>
        <v>755.82300000009127</v>
      </c>
      <c r="VT6" s="16">
        <f t="shared" si="61"/>
        <v>678.12599999993108</v>
      </c>
      <c r="VU6" s="16">
        <f t="shared" si="61"/>
        <v>765.5319999998901</v>
      </c>
      <c r="VV6" s="16">
        <f t="shared" si="61"/>
        <v>639.2390000000596</v>
      </c>
      <c r="VW6" s="16">
        <f t="shared" si="61"/>
        <v>778.40400000009686</v>
      </c>
      <c r="VX6" s="16">
        <f t="shared" si="61"/>
        <v>731.29499999992549</v>
      </c>
      <c r="VY6" s="16">
        <f t="shared" si="61"/>
        <v>665.27499999990687</v>
      </c>
      <c r="VZ6" s="16">
        <f t="shared" si="61"/>
        <v>813.35100000002421</v>
      </c>
      <c r="WA6" s="16">
        <f t="shared" si="61"/>
        <v>668.5679999999702</v>
      </c>
      <c r="WB6" s="127">
        <f>SUM(UZ6:WA6)</f>
        <v>20742.238999999827</v>
      </c>
      <c r="WC6" s="16">
        <f t="shared" ref="WC6:XG6" si="62">WC5-WC4</f>
        <v>674.97500000009313</v>
      </c>
      <c r="WD6" s="16">
        <f t="shared" si="62"/>
        <v>597.32199999992736</v>
      </c>
      <c r="WE6" s="16">
        <f t="shared" si="62"/>
        <v>692.13400000007823</v>
      </c>
      <c r="WF6" s="16">
        <f t="shared" si="62"/>
        <v>610.16100000008009</v>
      </c>
      <c r="WG6" s="16">
        <f t="shared" si="62"/>
        <v>495.48399999993853</v>
      </c>
      <c r="WH6" s="16">
        <f t="shared" si="62"/>
        <v>742.83400000003166</v>
      </c>
      <c r="WI6" s="16">
        <f t="shared" si="62"/>
        <v>752.96499999985099</v>
      </c>
      <c r="WJ6" s="16">
        <f t="shared" si="62"/>
        <v>696.72299999999814</v>
      </c>
      <c r="WK6" s="16">
        <f t="shared" si="62"/>
        <v>679.88700000010431</v>
      </c>
      <c r="WL6" s="16">
        <f t="shared" si="62"/>
        <v>665.99600000004284</v>
      </c>
      <c r="WM6" s="16">
        <f t="shared" si="62"/>
        <v>644.47200000006706</v>
      </c>
      <c r="WN6" s="16">
        <f t="shared" si="62"/>
        <v>593.85800000000745</v>
      </c>
      <c r="WO6" s="16">
        <f t="shared" si="62"/>
        <v>649.54399999999441</v>
      </c>
      <c r="WP6" s="16">
        <f t="shared" si="62"/>
        <v>652.97799999988638</v>
      </c>
      <c r="WQ6" s="16">
        <f t="shared" si="62"/>
        <v>692.86199999996461</v>
      </c>
      <c r="WR6" s="16">
        <f t="shared" si="62"/>
        <v>704.50699999998324</v>
      </c>
      <c r="WS6" s="16">
        <f t="shared" si="62"/>
        <v>642.27700000000186</v>
      </c>
      <c r="WT6" s="16">
        <f t="shared" si="62"/>
        <v>630.15599999995902</v>
      </c>
      <c r="WU6" s="16">
        <f t="shared" si="62"/>
        <v>595.89600000018254</v>
      </c>
      <c r="WV6" s="16">
        <f t="shared" si="62"/>
        <v>704.97199999983422</v>
      </c>
      <c r="WW6" s="16">
        <f t="shared" si="62"/>
        <v>647.68500000005588</v>
      </c>
      <c r="WX6" s="16">
        <f t="shared" si="62"/>
        <v>744.60100000002421</v>
      </c>
      <c r="WY6" s="16">
        <f t="shared" si="62"/>
        <v>659.70099999988452</v>
      </c>
      <c r="WZ6" s="16">
        <f t="shared" si="62"/>
        <v>843.99000000022352</v>
      </c>
      <c r="XA6" s="16">
        <f t="shared" si="62"/>
        <v>692.97999999998137</v>
      </c>
      <c r="XB6" s="16">
        <f t="shared" si="62"/>
        <v>683.0109999999404</v>
      </c>
      <c r="XC6" s="16">
        <f t="shared" si="62"/>
        <v>666.74699999997392</v>
      </c>
      <c r="XD6" s="16">
        <f t="shared" si="62"/>
        <v>767.8859999999404</v>
      </c>
      <c r="XE6" s="16">
        <f t="shared" si="62"/>
        <v>789.8640000000596</v>
      </c>
      <c r="XF6" s="16">
        <f t="shared" si="62"/>
        <v>656.31600000010803</v>
      </c>
      <c r="XG6" s="16">
        <f t="shared" si="62"/>
        <v>505.92799999983981</v>
      </c>
      <c r="XH6" s="127">
        <f>SUM(WC6:XG6)</f>
        <v>20778.712000000058</v>
      </c>
      <c r="XI6" s="16">
        <f t="shared" ref="XI6:YL6" si="63">XI5-XI4</f>
        <v>764.7160000000149</v>
      </c>
      <c r="XJ6" s="16">
        <f t="shared" si="63"/>
        <v>708.06700000003912</v>
      </c>
      <c r="XK6" s="16">
        <f t="shared" si="63"/>
        <v>763.24499999987893</v>
      </c>
      <c r="XL6" s="16">
        <f t="shared" si="63"/>
        <v>801.05200000014156</v>
      </c>
      <c r="XM6" s="16">
        <f t="shared" si="63"/>
        <v>721.94200000003912</v>
      </c>
      <c r="XN6" s="16">
        <f t="shared" si="63"/>
        <v>679.90299999993294</v>
      </c>
      <c r="XO6" s="16">
        <f t="shared" si="63"/>
        <v>822.21299999998882</v>
      </c>
      <c r="XP6" s="16">
        <f t="shared" si="63"/>
        <v>667.59599999990314</v>
      </c>
      <c r="XQ6" s="16">
        <f t="shared" si="63"/>
        <v>674.92900000000373</v>
      </c>
      <c r="XR6" s="16">
        <f t="shared" si="63"/>
        <v>737.27200000011362</v>
      </c>
      <c r="XS6" s="16">
        <f t="shared" si="63"/>
        <v>882.95699999993667</v>
      </c>
      <c r="XT6" s="16">
        <f t="shared" si="63"/>
        <v>730.41400000010617</v>
      </c>
      <c r="XU6" s="16">
        <f t="shared" si="63"/>
        <v>764.49699999997392</v>
      </c>
      <c r="XV6" s="16">
        <f t="shared" si="63"/>
        <v>694.00199999986216</v>
      </c>
      <c r="XW6" s="16">
        <f t="shared" si="63"/>
        <v>696.2180000001099</v>
      </c>
      <c r="XX6" s="16">
        <f t="shared" si="63"/>
        <v>780.74099999992177</v>
      </c>
      <c r="XY6" s="16">
        <f t="shared" si="63"/>
        <v>740.81500000017695</v>
      </c>
      <c r="XZ6" s="16">
        <f t="shared" si="63"/>
        <v>718.35699999984354</v>
      </c>
      <c r="YA6" s="16">
        <f t="shared" si="63"/>
        <v>771.16800000006333</v>
      </c>
      <c r="YB6" s="16">
        <f t="shared" si="63"/>
        <v>647.36499999999069</v>
      </c>
      <c r="YC6" s="16">
        <f t="shared" si="63"/>
        <v>651.52700000000186</v>
      </c>
      <c r="YD6" s="16">
        <f t="shared" si="63"/>
        <v>616.19399999990128</v>
      </c>
      <c r="YE6" s="16">
        <f t="shared" si="63"/>
        <v>621.00100000016391</v>
      </c>
      <c r="YF6" s="16">
        <f t="shared" si="63"/>
        <v>804.09400000004098</v>
      </c>
      <c r="YG6" s="16">
        <f t="shared" si="63"/>
        <v>804.85999999986961</v>
      </c>
      <c r="YH6" s="16">
        <f t="shared" si="63"/>
        <v>769.47999999998137</v>
      </c>
      <c r="YI6" s="16">
        <f t="shared" si="63"/>
        <v>664.05099999997765</v>
      </c>
      <c r="YJ6" s="16">
        <f t="shared" si="63"/>
        <v>599.59400000004098</v>
      </c>
      <c r="YK6" s="16">
        <f t="shared" si="63"/>
        <v>670.39599999994971</v>
      </c>
      <c r="YL6" s="16">
        <f t="shared" si="63"/>
        <v>612.07400000002235</v>
      </c>
      <c r="YM6" s="127">
        <f>SUM(XH6:YL6)</f>
        <v>42359.452000000048</v>
      </c>
      <c r="YN6" s="16">
        <f t="shared" ref="YN6:ZR6" si="64">YN5-YN4</f>
        <v>720.56700000003912</v>
      </c>
      <c r="YO6" s="16">
        <f t="shared" si="64"/>
        <v>847.96699999994598</v>
      </c>
      <c r="YP6" s="16">
        <f t="shared" si="64"/>
        <v>594.40400000009686</v>
      </c>
      <c r="YQ6" s="16">
        <f t="shared" si="64"/>
        <v>791.62800000002608</v>
      </c>
      <c r="YR6" s="16">
        <f t="shared" si="64"/>
        <v>813.99899999983609</v>
      </c>
      <c r="YS6" s="16">
        <f t="shared" si="64"/>
        <v>692.99200000008568</v>
      </c>
      <c r="YT6" s="16">
        <f t="shared" si="64"/>
        <v>643.76300000003539</v>
      </c>
      <c r="YU6" s="16">
        <f t="shared" si="64"/>
        <v>0</v>
      </c>
      <c r="YV6" s="16">
        <f t="shared" si="64"/>
        <v>403.87899999995716</v>
      </c>
      <c r="YW6" s="16">
        <f t="shared" si="64"/>
        <v>687.28000000002794</v>
      </c>
      <c r="YX6" s="16">
        <f t="shared" si="64"/>
        <v>512.44500000006519</v>
      </c>
      <c r="YY6" s="16">
        <f t="shared" si="64"/>
        <v>777.46999999997206</v>
      </c>
      <c r="YZ6" s="16">
        <f t="shared" si="64"/>
        <v>599.71999999997206</v>
      </c>
      <c r="ZA6" s="16">
        <f t="shared" si="64"/>
        <v>667.99099999992177</v>
      </c>
      <c r="ZB6" s="16">
        <f t="shared" si="64"/>
        <v>719.61499999999069</v>
      </c>
      <c r="ZC6" s="16">
        <f t="shared" si="64"/>
        <v>619.43599999998696</v>
      </c>
      <c r="ZD6" s="16">
        <f t="shared" si="64"/>
        <v>808.40500000002794</v>
      </c>
      <c r="ZE6" s="16">
        <f t="shared" si="64"/>
        <v>644.63300000014715</v>
      </c>
      <c r="ZF6" s="16">
        <f t="shared" si="64"/>
        <v>768.79399999999441</v>
      </c>
      <c r="ZG6" s="16">
        <f t="shared" si="64"/>
        <v>653.74399999994785</v>
      </c>
      <c r="ZH6" s="16">
        <f t="shared" si="64"/>
        <v>661.17699999990873</v>
      </c>
      <c r="ZI6" s="16">
        <f t="shared" si="64"/>
        <v>728.55799999996088</v>
      </c>
      <c r="ZJ6" s="16">
        <f t="shared" si="64"/>
        <v>972.57099999999627</v>
      </c>
      <c r="ZK6" s="16">
        <f t="shared" si="64"/>
        <v>977.74200000008568</v>
      </c>
      <c r="ZL6" s="16">
        <f t="shared" si="64"/>
        <v>972.33899999991991</v>
      </c>
      <c r="ZM6" s="16">
        <f t="shared" si="64"/>
        <v>849.94500000006519</v>
      </c>
      <c r="ZN6" s="16">
        <f t="shared" si="64"/>
        <v>782.92700000014156</v>
      </c>
      <c r="ZO6" s="16">
        <f t="shared" si="64"/>
        <v>919.86599999992177</v>
      </c>
      <c r="ZP6" s="16">
        <f t="shared" si="64"/>
        <v>785.80000000004657</v>
      </c>
      <c r="ZQ6" s="16">
        <f t="shared" si="64"/>
        <v>781.02399999997579</v>
      </c>
      <c r="ZR6" s="16">
        <f t="shared" si="64"/>
        <v>745.12800000002608</v>
      </c>
      <c r="ZS6" s="127">
        <f>SUM(YN6:ZR6)</f>
        <v>22145.809000000125</v>
      </c>
      <c r="ZT6" s="16">
        <f t="shared" ref="ZT6:AAW6" si="65">ZT5-ZT4</f>
        <v>732.23600000003353</v>
      </c>
      <c r="ZU6" s="16">
        <f t="shared" si="65"/>
        <v>802.10099999979138</v>
      </c>
      <c r="ZV6" s="16">
        <f t="shared" si="65"/>
        <v>800.75900000007823</v>
      </c>
      <c r="ZW6" s="16">
        <f t="shared" si="65"/>
        <v>788.51300000003539</v>
      </c>
      <c r="ZX6" s="16">
        <f t="shared" si="65"/>
        <v>922.38700000010431</v>
      </c>
      <c r="ZY6" s="16">
        <f t="shared" si="65"/>
        <v>723.89699999988079</v>
      </c>
      <c r="ZZ6" s="16">
        <f t="shared" si="65"/>
        <v>719.79499999992549</v>
      </c>
      <c r="AAA6" s="16">
        <f t="shared" si="65"/>
        <v>585.53100000019185</v>
      </c>
      <c r="AAB6" s="16">
        <f t="shared" si="65"/>
        <v>670.11299999989569</v>
      </c>
      <c r="AAC6" s="16">
        <f t="shared" si="65"/>
        <v>781.4089999999851</v>
      </c>
      <c r="AAD6" s="16">
        <f t="shared" si="65"/>
        <v>729.51799999992363</v>
      </c>
      <c r="AAE6" s="16">
        <f t="shared" si="65"/>
        <v>676.66600000020117</v>
      </c>
      <c r="AAF6" s="16">
        <f t="shared" si="65"/>
        <v>851.37399999983609</v>
      </c>
      <c r="AAG6" s="16">
        <f t="shared" si="65"/>
        <v>808.38700000010431</v>
      </c>
      <c r="AAH6" s="16">
        <f t="shared" si="65"/>
        <v>884.82599999988452</v>
      </c>
      <c r="AAI6" s="16">
        <f t="shared" si="65"/>
        <v>702.03800000017509</v>
      </c>
      <c r="AAJ6" s="16">
        <f t="shared" si="65"/>
        <v>723.93899999978021</v>
      </c>
      <c r="AAK6" s="16">
        <f t="shared" si="65"/>
        <v>816.14300000015646</v>
      </c>
      <c r="AAL6" s="16">
        <f t="shared" si="65"/>
        <v>811.64399999985471</v>
      </c>
      <c r="AAM6" s="16">
        <f t="shared" si="65"/>
        <v>751.48500000010245</v>
      </c>
      <c r="AAN6" s="16">
        <f t="shared" si="65"/>
        <v>777.07099999999627</v>
      </c>
      <c r="AAO6" s="16">
        <f t="shared" si="65"/>
        <v>690.98399999993853</v>
      </c>
      <c r="AAP6" s="16">
        <f t="shared" si="65"/>
        <v>797.21699999994598</v>
      </c>
      <c r="AAQ6" s="16">
        <f t="shared" si="65"/>
        <v>698.59700000006706</v>
      </c>
      <c r="AAR6" s="16">
        <f t="shared" si="65"/>
        <v>845.85899999993853</v>
      </c>
      <c r="AAS6" s="16">
        <f t="shared" si="65"/>
        <v>742.91300000017509</v>
      </c>
      <c r="AAT6" s="16">
        <f t="shared" si="65"/>
        <v>770.95699999993667</v>
      </c>
      <c r="AAU6" s="16">
        <f t="shared" si="65"/>
        <v>948.48099999991246</v>
      </c>
      <c r="AAV6" s="16">
        <f t="shared" si="65"/>
        <v>749.48700000019744</v>
      </c>
      <c r="AAW6" s="16">
        <f t="shared" si="65"/>
        <v>698.80199999990873</v>
      </c>
      <c r="AAX6" s="127">
        <f>SUM(ZT6:AAW6)</f>
        <v>23003.128999999957</v>
      </c>
      <c r="AAY6" s="16">
        <f t="shared" ref="AAY6:ACC6" si="66">AAY5-AAY4</f>
        <v>831.85400000005029</v>
      </c>
      <c r="AAZ6" s="16">
        <f t="shared" si="66"/>
        <v>722.88899999996647</v>
      </c>
      <c r="ABA6" s="16">
        <f t="shared" si="66"/>
        <v>793.48799999989569</v>
      </c>
      <c r="ABB6" s="16">
        <f t="shared" si="66"/>
        <v>841.68800000008196</v>
      </c>
      <c r="ABC6" s="16">
        <f t="shared" si="66"/>
        <v>947.25600000005215</v>
      </c>
      <c r="ABD6" s="16">
        <f t="shared" si="66"/>
        <v>940.44499999983236</v>
      </c>
      <c r="ABE6" s="16">
        <f t="shared" si="66"/>
        <v>804.96200000005774</v>
      </c>
      <c r="ABF6" s="16">
        <f t="shared" si="66"/>
        <v>963.03500000014901</v>
      </c>
      <c r="ABG6" s="16">
        <f t="shared" si="66"/>
        <v>818.02599999983795</v>
      </c>
      <c r="ABH6" s="16">
        <f t="shared" si="66"/>
        <v>829.65700000012293</v>
      </c>
      <c r="ABI6" s="16">
        <f t="shared" si="66"/>
        <v>707.58299999986775</v>
      </c>
      <c r="ABJ6" s="16">
        <f t="shared" si="66"/>
        <v>361.28000000002794</v>
      </c>
      <c r="ABK6" s="16">
        <f t="shared" si="66"/>
        <v>742.37899999995716</v>
      </c>
      <c r="ABL6" s="16">
        <f t="shared" si="66"/>
        <v>703.22299999999814</v>
      </c>
      <c r="ABM6" s="16">
        <f t="shared" si="66"/>
        <v>716.04500000015832</v>
      </c>
      <c r="ABN6" s="16">
        <f t="shared" si="66"/>
        <v>701.28599999984726</v>
      </c>
      <c r="ABO6" s="16">
        <f t="shared" si="66"/>
        <v>765.4660000000149</v>
      </c>
      <c r="ABP6" s="16">
        <f t="shared" si="66"/>
        <v>888.71100000012666</v>
      </c>
      <c r="ABQ6" s="16">
        <f t="shared" si="66"/>
        <v>761.62899999995716</v>
      </c>
      <c r="ABR6" s="16">
        <f t="shared" si="66"/>
        <v>697.70600000000559</v>
      </c>
      <c r="ABS6" s="16">
        <f t="shared" si="66"/>
        <v>653.72600000002421</v>
      </c>
      <c r="ABT6" s="16">
        <f t="shared" si="66"/>
        <v>697.62899999995716</v>
      </c>
      <c r="ABU6" s="16">
        <f t="shared" si="66"/>
        <v>802.71299999998882</v>
      </c>
      <c r="ABV6" s="16">
        <f t="shared" si="66"/>
        <v>887.68699999991804</v>
      </c>
      <c r="ABW6" s="16">
        <f t="shared" si="66"/>
        <v>872.36800000001676</v>
      </c>
      <c r="ABX6" s="16">
        <f t="shared" si="66"/>
        <v>781.57200000016019</v>
      </c>
      <c r="ABY6" s="16">
        <f t="shared" si="66"/>
        <v>754.80599999986589</v>
      </c>
      <c r="ABZ6" s="16">
        <f t="shared" si="66"/>
        <v>822.61599999992177</v>
      </c>
      <c r="ACA6" s="16">
        <f t="shared" si="66"/>
        <v>714.6820000000298</v>
      </c>
      <c r="ACB6" s="16">
        <f t="shared" si="66"/>
        <v>723.98300000000745</v>
      </c>
      <c r="ACC6" s="16">
        <f t="shared" si="66"/>
        <v>796.30600000009872</v>
      </c>
      <c r="ACD6" s="127">
        <f>SUM(AAY6:ACC6)</f>
        <v>24046.695999999996</v>
      </c>
      <c r="ACE6" s="16">
        <f t="shared" ref="ACE6:ADI6" si="67">ACE5-ACE4</f>
        <v>776.63100000005215</v>
      </c>
      <c r="ACF6" s="16">
        <f t="shared" si="67"/>
        <v>1146.2269999999553</v>
      </c>
      <c r="ACG6" s="16">
        <f t="shared" si="67"/>
        <v>884.87100000004284</v>
      </c>
      <c r="ACH6" s="16">
        <f t="shared" si="67"/>
        <v>917.66899999999441</v>
      </c>
      <c r="ACI6" s="16">
        <f t="shared" si="67"/>
        <v>908.76199999987148</v>
      </c>
      <c r="ACJ6" s="16">
        <f t="shared" si="67"/>
        <v>637.38600000017323</v>
      </c>
      <c r="ACK6" s="16">
        <f t="shared" si="67"/>
        <v>807.48999999999069</v>
      </c>
      <c r="ACL6" s="16">
        <f t="shared" si="67"/>
        <v>863.90399999986403</v>
      </c>
      <c r="ACM6" s="16">
        <f t="shared" si="67"/>
        <v>885.99200000008568</v>
      </c>
      <c r="ACN6" s="16">
        <f t="shared" si="67"/>
        <v>673.83199999993667</v>
      </c>
      <c r="ACO6" s="16">
        <f t="shared" si="67"/>
        <v>895.51399999996647</v>
      </c>
      <c r="ACP6" s="16">
        <f t="shared" si="67"/>
        <v>673.95500000007451</v>
      </c>
      <c r="ACQ6" s="16">
        <f t="shared" si="67"/>
        <v>600.1929999999702</v>
      </c>
      <c r="ACR6" s="16">
        <f t="shared" si="67"/>
        <v>787.05000000004657</v>
      </c>
      <c r="ACS6" s="16">
        <f t="shared" si="67"/>
        <v>959.45399999991059</v>
      </c>
      <c r="ACT6" s="16">
        <f t="shared" si="67"/>
        <v>662.84499999997206</v>
      </c>
      <c r="ACU6" s="16">
        <f t="shared" si="67"/>
        <v>647.85900000017136</v>
      </c>
      <c r="ACV6" s="16">
        <f t="shared" si="67"/>
        <v>769.72899999981746</v>
      </c>
      <c r="ACW6" s="16">
        <f t="shared" si="67"/>
        <v>477.60900000017136</v>
      </c>
      <c r="ACX6" s="16">
        <f t="shared" si="67"/>
        <v>660.7249999998603</v>
      </c>
      <c r="ACY6" s="16">
        <f t="shared" si="67"/>
        <v>744.53700000001118</v>
      </c>
      <c r="ACZ6" s="16">
        <f t="shared" si="67"/>
        <v>949.05499999993481</v>
      </c>
      <c r="ADA6" s="16">
        <f t="shared" si="67"/>
        <v>738.82200000016019</v>
      </c>
      <c r="ADB6" s="16">
        <f t="shared" si="67"/>
        <v>751.65299999993294</v>
      </c>
      <c r="ADC6" s="16">
        <f t="shared" si="67"/>
        <v>588.90700000012293</v>
      </c>
      <c r="ADD6" s="16">
        <f t="shared" si="67"/>
        <v>770.17699999990873</v>
      </c>
      <c r="ADE6" s="16">
        <f t="shared" si="67"/>
        <v>682.32000000006519</v>
      </c>
      <c r="ADF6" s="16">
        <f t="shared" si="67"/>
        <v>552.52700000000186</v>
      </c>
      <c r="ADG6" s="16">
        <f t="shared" si="67"/>
        <v>795.66299999994226</v>
      </c>
      <c r="ADH6" s="16">
        <f t="shared" si="67"/>
        <v>697.81499999994412</v>
      </c>
      <c r="ADI6" s="16">
        <f t="shared" si="67"/>
        <v>665.37400000006892</v>
      </c>
      <c r="ADJ6" s="127">
        <f>SUM(ACE6:ADI6)</f>
        <v>23574.54700000002</v>
      </c>
      <c r="ADK6" s="16">
        <f t="shared" ref="ADK6:AEN6" si="68">ADK5-ADK4</f>
        <v>755.95099999988452</v>
      </c>
      <c r="ADL6" s="16">
        <f t="shared" si="68"/>
        <v>587.75</v>
      </c>
      <c r="ADM6" s="16">
        <f t="shared" si="68"/>
        <v>540.93100000009872</v>
      </c>
      <c r="ADN6" s="16">
        <f t="shared" si="68"/>
        <v>768.02799999993294</v>
      </c>
      <c r="ADO6" s="16">
        <f t="shared" si="68"/>
        <v>837.98600000003353</v>
      </c>
      <c r="ADP6" s="16">
        <f t="shared" si="68"/>
        <v>724.56600000010803</v>
      </c>
      <c r="ADQ6" s="16">
        <f t="shared" si="68"/>
        <v>690.48300000000745</v>
      </c>
      <c r="ADR6" s="16">
        <f t="shared" si="68"/>
        <v>758.8839999998454</v>
      </c>
      <c r="ADS6" s="16">
        <f t="shared" si="68"/>
        <v>574.97900000005029</v>
      </c>
      <c r="ADT6" s="16">
        <f t="shared" si="68"/>
        <v>529.7839999999851</v>
      </c>
      <c r="ADU6" s="16">
        <f t="shared" si="68"/>
        <v>621.62000000011176</v>
      </c>
      <c r="ADV6" s="16">
        <f t="shared" si="68"/>
        <v>682.70999999996275</v>
      </c>
      <c r="ADW6" s="16">
        <f t="shared" si="68"/>
        <v>706.92299999995157</v>
      </c>
      <c r="ADX6" s="16">
        <f t="shared" si="68"/>
        <v>624.53899999987334</v>
      </c>
      <c r="ADY6" s="16">
        <f t="shared" si="68"/>
        <v>777.69900000002235</v>
      </c>
      <c r="ADZ6" s="16">
        <f t="shared" si="68"/>
        <v>567.50800000014715</v>
      </c>
      <c r="AEA6" s="16">
        <f t="shared" si="68"/>
        <v>547.36800000001676</v>
      </c>
      <c r="AEB6" s="16">
        <f t="shared" si="68"/>
        <v>559.10299999988638</v>
      </c>
      <c r="AEC6" s="16">
        <f t="shared" si="68"/>
        <v>708.31099999998696</v>
      </c>
      <c r="AED6" s="16">
        <f t="shared" si="68"/>
        <v>539.82400000002235</v>
      </c>
      <c r="AEE6" s="16">
        <f t="shared" si="68"/>
        <v>637.26399999996647</v>
      </c>
      <c r="AEF6" s="16">
        <f t="shared" si="68"/>
        <v>573.49900000006892</v>
      </c>
      <c r="AEG6" s="16">
        <f t="shared" si="68"/>
        <v>606.98699999996461</v>
      </c>
      <c r="AEH6" s="16">
        <f t="shared" si="68"/>
        <v>622.24300000001676</v>
      </c>
      <c r="AEI6" s="16">
        <f t="shared" si="68"/>
        <v>651.65800000005402</v>
      </c>
      <c r="AEJ6" s="16">
        <f t="shared" si="68"/>
        <v>646.25</v>
      </c>
      <c r="AEK6" s="16">
        <f t="shared" si="68"/>
        <v>639.08499999996275</v>
      </c>
      <c r="AEL6" s="16">
        <f t="shared" si="68"/>
        <v>581.21299999998882</v>
      </c>
      <c r="AEM6" s="16">
        <f t="shared" si="68"/>
        <v>885.6140000000596</v>
      </c>
      <c r="AEN6" s="16">
        <f t="shared" si="68"/>
        <v>517.42999999993481</v>
      </c>
      <c r="AEO6" s="127">
        <f>SUM(ADK6:AEN6)</f>
        <v>19466.189999999944</v>
      </c>
      <c r="AEP6" s="16">
        <f t="shared" ref="AEP6:AFT6" si="69">AEP5-AEP4</f>
        <v>466.07499999995343</v>
      </c>
      <c r="AEQ6" s="16">
        <f t="shared" si="69"/>
        <v>559.13100000005215</v>
      </c>
      <c r="AER6" s="16">
        <f t="shared" si="69"/>
        <v>631.14899999997579</v>
      </c>
      <c r="AES6" s="16">
        <f t="shared" si="69"/>
        <v>692.57900000014342</v>
      </c>
      <c r="AET6" s="16">
        <f t="shared" si="69"/>
        <v>652.80099999997765</v>
      </c>
      <c r="AEU6" s="16">
        <f t="shared" si="69"/>
        <v>815.52799999993294</v>
      </c>
      <c r="AEV6" s="16">
        <f t="shared" si="69"/>
        <v>611.72900000005029</v>
      </c>
      <c r="AEW6" s="16">
        <f t="shared" si="69"/>
        <v>650.24099999992177</v>
      </c>
      <c r="AEX6" s="16">
        <f t="shared" si="69"/>
        <v>751.1019999999553</v>
      </c>
      <c r="AEY6" s="16">
        <f t="shared" si="69"/>
        <v>837.24300000001676</v>
      </c>
      <c r="AEZ6" s="16">
        <f t="shared" si="69"/>
        <v>688.90700000012293</v>
      </c>
      <c r="AFA6" s="16">
        <f t="shared" si="69"/>
        <v>816.02299999981187</v>
      </c>
      <c r="AFB6" s="16">
        <f t="shared" si="69"/>
        <v>629.03600000008009</v>
      </c>
      <c r="AFC6" s="16">
        <f t="shared" si="69"/>
        <v>572.6820000000298</v>
      </c>
      <c r="AFD6" s="16">
        <f t="shared" si="69"/>
        <v>610.84000000008382</v>
      </c>
      <c r="AFE6" s="16">
        <f t="shared" si="69"/>
        <v>641.45999999996275</v>
      </c>
      <c r="AFF6" s="16">
        <f t="shared" si="69"/>
        <v>644.23499999986961</v>
      </c>
      <c r="AFG6" s="16">
        <f t="shared" si="69"/>
        <v>746.0590000001248</v>
      </c>
      <c r="AFH6" s="16">
        <f t="shared" si="69"/>
        <v>520.16800000006333</v>
      </c>
      <c r="AFI6" s="16">
        <f t="shared" si="69"/>
        <v>665.82899999991059</v>
      </c>
      <c r="AFJ6" s="16">
        <f t="shared" si="69"/>
        <v>716.68500000005588</v>
      </c>
      <c r="AFK6" s="16">
        <f t="shared" si="69"/>
        <v>513.36399999982677</v>
      </c>
      <c r="AFL6" s="16">
        <f t="shared" si="69"/>
        <v>572.5250000001397</v>
      </c>
      <c r="AFM6" s="16">
        <f t="shared" si="69"/>
        <v>657.24300000001676</v>
      </c>
      <c r="AFN6" s="16">
        <f t="shared" si="69"/>
        <v>836.88500000000931</v>
      </c>
      <c r="AFO6" s="16">
        <f t="shared" si="69"/>
        <v>656.09699999983422</v>
      </c>
      <c r="AFP6" s="16">
        <f t="shared" si="69"/>
        <v>565.46299999998882</v>
      </c>
      <c r="AFQ6" s="16">
        <f t="shared" si="69"/>
        <v>629.81600000010803</v>
      </c>
      <c r="AFR6" s="16">
        <f t="shared" si="69"/>
        <v>570.45399999991059</v>
      </c>
      <c r="AFS6" s="16">
        <f t="shared" si="69"/>
        <v>574.5140000001993</v>
      </c>
      <c r="AFT6" s="16">
        <f t="shared" si="69"/>
        <v>644.50699999998324</v>
      </c>
      <c r="AFU6" s="127">
        <f>SUM(AEP6:AFT6)</f>
        <v>20140.370000000112</v>
      </c>
      <c r="AFV6" s="16">
        <f t="shared" ref="AFV6:AGY6" si="70">AFV5-AFV4</f>
        <v>740.25599999981932</v>
      </c>
      <c r="AFW6" s="16">
        <f t="shared" si="70"/>
        <v>659.38000000012107</v>
      </c>
      <c r="AFX6" s="16">
        <f t="shared" si="70"/>
        <v>686.19900000002235</v>
      </c>
      <c r="AFY6" s="16">
        <f t="shared" si="70"/>
        <v>634.52199999988079</v>
      </c>
      <c r="AFZ6" s="16">
        <f t="shared" si="70"/>
        <v>758.37199999997392</v>
      </c>
      <c r="AGA6" s="16">
        <f t="shared" si="70"/>
        <v>694.12700000009499</v>
      </c>
      <c r="AGB6" s="16">
        <f t="shared" si="70"/>
        <v>750.10499999998137</v>
      </c>
      <c r="AGC6" s="16">
        <f t="shared" si="70"/>
        <v>563.59700000006706</v>
      </c>
      <c r="AGD6" s="16">
        <f t="shared" si="70"/>
        <v>800.31999999983236</v>
      </c>
      <c r="AGE6" s="16">
        <f t="shared" si="70"/>
        <v>682.19800000009127</v>
      </c>
      <c r="AGF6" s="16">
        <f t="shared" si="70"/>
        <v>688.52499999990687</v>
      </c>
      <c r="AGG6" s="16">
        <f t="shared" si="70"/>
        <v>477.22700000018813</v>
      </c>
      <c r="AGH6" s="16">
        <f t="shared" si="70"/>
        <v>644.01499999989755</v>
      </c>
      <c r="AGI6" s="16">
        <f t="shared" si="70"/>
        <v>691.13400000007823</v>
      </c>
      <c r="AGJ6" s="16">
        <f t="shared" si="70"/>
        <v>592.81499999994412</v>
      </c>
      <c r="AGK6" s="16">
        <f t="shared" si="70"/>
        <v>625.22299999999814</v>
      </c>
      <c r="AGL6" s="16">
        <f t="shared" si="70"/>
        <v>833.89500000001863</v>
      </c>
      <c r="AGM6" s="16">
        <f t="shared" si="70"/>
        <v>637.62400000006892</v>
      </c>
      <c r="AGN6" s="16">
        <f t="shared" si="70"/>
        <v>575.32599999988452</v>
      </c>
      <c r="AGO6" s="16">
        <f t="shared" si="70"/>
        <v>687.82199999992736</v>
      </c>
      <c r="AGP6" s="16">
        <f t="shared" si="70"/>
        <v>752.24500000011176</v>
      </c>
      <c r="AGQ6" s="16">
        <f t="shared" si="70"/>
        <v>649.88299999991432</v>
      </c>
      <c r="AGR6" s="16">
        <f t="shared" si="70"/>
        <v>642.62199999997392</v>
      </c>
      <c r="AGS6" s="16">
        <f t="shared" si="70"/>
        <v>386.06100000021979</v>
      </c>
      <c r="AGT6" s="16">
        <f t="shared" si="70"/>
        <v>698.94499999983236</v>
      </c>
      <c r="AGU6" s="16">
        <f t="shared" si="70"/>
        <v>669.21999999997206</v>
      </c>
      <c r="AGV6" s="16">
        <f t="shared" si="70"/>
        <v>753.53900000010617</v>
      </c>
      <c r="AGW6" s="16">
        <f t="shared" si="70"/>
        <v>911.20200000004843</v>
      </c>
      <c r="AGX6" s="16">
        <f t="shared" si="70"/>
        <v>823.24899999983609</v>
      </c>
      <c r="AGY6" s="16">
        <f t="shared" si="70"/>
        <v>714.54700000002049</v>
      </c>
      <c r="AGZ6" s="127">
        <f>SUM(AFV6:AGY6)</f>
        <v>20424.194999999832</v>
      </c>
      <c r="AHA6" s="16">
        <f t="shared" ref="AHA6:AIE6" si="71">AHA5-AHA4</f>
        <v>666.86499999999069</v>
      </c>
      <c r="AHB6" s="16">
        <f t="shared" si="71"/>
        <v>578.60499999998137</v>
      </c>
      <c r="AHC6" s="16">
        <f t="shared" si="71"/>
        <v>591.82300000009127</v>
      </c>
      <c r="AHD6" s="16">
        <f t="shared" si="71"/>
        <v>766.95399999991059</v>
      </c>
      <c r="AHE6" s="16">
        <f t="shared" si="71"/>
        <v>790.0230000000447</v>
      </c>
      <c r="AHF6" s="16">
        <f t="shared" si="71"/>
        <v>693.59000000008382</v>
      </c>
      <c r="AHG6" s="16">
        <f t="shared" si="71"/>
        <v>635.75600000005215</v>
      </c>
      <c r="AHH6" s="16">
        <f t="shared" si="71"/>
        <v>709.1109999998007</v>
      </c>
      <c r="AHI6" s="16">
        <f t="shared" si="71"/>
        <v>602.80500000016764</v>
      </c>
      <c r="AHJ6" s="16">
        <f t="shared" si="71"/>
        <v>733.41200000001118</v>
      </c>
      <c r="AHK6" s="16">
        <f t="shared" si="71"/>
        <v>805.15099999983795</v>
      </c>
      <c r="AHL6" s="16">
        <f t="shared" si="71"/>
        <v>818.58400000003166</v>
      </c>
      <c r="AHM6" s="16">
        <f t="shared" si="71"/>
        <v>939.1929999999702</v>
      </c>
      <c r="AHN6" s="16">
        <f t="shared" si="71"/>
        <v>797.68100000009872</v>
      </c>
      <c r="AHO6" s="16">
        <f t="shared" si="71"/>
        <v>672.82400000002235</v>
      </c>
      <c r="AHP6" s="16">
        <f t="shared" si="71"/>
        <v>683.56499999994412</v>
      </c>
      <c r="AHQ6" s="16">
        <f t="shared" si="71"/>
        <v>514.43299999996088</v>
      </c>
      <c r="AHR6" s="16">
        <f t="shared" si="71"/>
        <v>883.12100000004284</v>
      </c>
      <c r="AHS6" s="16">
        <f t="shared" si="71"/>
        <v>942.13899999996647</v>
      </c>
      <c r="AHT6" s="16">
        <f t="shared" si="71"/>
        <v>726.83000000007451</v>
      </c>
      <c r="AHU6" s="16">
        <f t="shared" si="71"/>
        <v>704.33300000010058</v>
      </c>
      <c r="AHV6" s="16">
        <f t="shared" si="71"/>
        <v>743.4769999999553</v>
      </c>
      <c r="AHW6" s="16">
        <f t="shared" si="71"/>
        <v>868.43999999994412</v>
      </c>
      <c r="AHX6" s="16">
        <f t="shared" si="71"/>
        <v>1024.2739999999758</v>
      </c>
      <c r="AHY6" s="16">
        <f t="shared" si="71"/>
        <v>700.80300000007264</v>
      </c>
      <c r="AHZ6" s="16">
        <f t="shared" si="71"/>
        <v>675.01300000003539</v>
      </c>
      <c r="AIA6" s="16">
        <f t="shared" si="71"/>
        <v>637.28299999982119</v>
      </c>
      <c r="AIB6" s="16">
        <f t="shared" si="71"/>
        <v>553.4570000001695</v>
      </c>
      <c r="AIC6" s="16">
        <f t="shared" si="71"/>
        <v>591.29899999988265</v>
      </c>
      <c r="AID6" s="16">
        <f t="shared" si="71"/>
        <v>635.50300000002608</v>
      </c>
      <c r="AIE6" s="16">
        <f t="shared" si="71"/>
        <v>959.92900000000373</v>
      </c>
      <c r="AIF6" s="127">
        <f>SUM(AHA6:AIE6)</f>
        <v>22646.276000000071</v>
      </c>
      <c r="AIG6" s="16">
        <f t="shared" ref="AIG6:AJK6" si="72">AIG5-AIG4</f>
        <v>527.86899999994785</v>
      </c>
      <c r="AIH6" s="16">
        <f t="shared" si="72"/>
        <v>598.93599999998696</v>
      </c>
      <c r="AII6" s="16">
        <f t="shared" si="72"/>
        <v>674.04200000013225</v>
      </c>
      <c r="AIJ6" s="16">
        <f t="shared" si="72"/>
        <v>609.55000000004657</v>
      </c>
      <c r="AIK6" s="16">
        <f t="shared" si="72"/>
        <v>768.67199999978766</v>
      </c>
      <c r="AIL6" s="16">
        <f t="shared" si="72"/>
        <v>736.91700000013225</v>
      </c>
      <c r="AIM6" s="16">
        <f t="shared" si="72"/>
        <v>711.2160000000149</v>
      </c>
      <c r="AIN6" s="16">
        <f t="shared" si="72"/>
        <v>704.61800000001676</v>
      </c>
      <c r="AIO6" s="16">
        <f t="shared" si="72"/>
        <v>787.41599999996834</v>
      </c>
      <c r="AIP6" s="16">
        <f t="shared" si="72"/>
        <v>946.96499999985099</v>
      </c>
      <c r="AIQ6" s="16">
        <f t="shared" si="72"/>
        <v>737.76700000022538</v>
      </c>
      <c r="AIR6" s="16">
        <f t="shared" si="72"/>
        <v>630.35499999998137</v>
      </c>
      <c r="AIS6" s="16">
        <f t="shared" si="72"/>
        <v>789.53099999995902</v>
      </c>
      <c r="AIT6" s="16">
        <f t="shared" si="72"/>
        <v>741.85599999991246</v>
      </c>
      <c r="AIU6" s="16">
        <f t="shared" si="72"/>
        <v>284.71900000004098</v>
      </c>
      <c r="AIV6" s="16">
        <f t="shared" si="72"/>
        <v>750.05000000004657</v>
      </c>
      <c r="AIW6" s="16">
        <f t="shared" si="72"/>
        <v>354.01600000006147</v>
      </c>
      <c r="AIX6" s="16">
        <f t="shared" si="72"/>
        <v>431.62299999990501</v>
      </c>
      <c r="AIY6" s="16">
        <f t="shared" si="72"/>
        <v>623.52900000009686</v>
      </c>
      <c r="AIZ6" s="16">
        <f t="shared" si="72"/>
        <v>622.64099999982864</v>
      </c>
      <c r="AJA6" s="16">
        <f t="shared" si="72"/>
        <v>720.54300000006333</v>
      </c>
      <c r="AJB6" s="16">
        <f t="shared" si="72"/>
        <v>527.71099999989383</v>
      </c>
      <c r="AJC6" s="16">
        <f t="shared" si="72"/>
        <v>827.26500000013039</v>
      </c>
      <c r="AJD6" s="16">
        <f t="shared" si="72"/>
        <v>727.24799999990501</v>
      </c>
      <c r="AJE6" s="16">
        <f t="shared" si="72"/>
        <v>725.46900000004098</v>
      </c>
      <c r="AJF6" s="16">
        <f t="shared" si="72"/>
        <v>614.00099999993108</v>
      </c>
      <c r="AJG6" s="16">
        <f t="shared" si="72"/>
        <v>1094.9110000000801</v>
      </c>
      <c r="AJH6" s="16">
        <f t="shared" si="72"/>
        <v>848.68699999991804</v>
      </c>
      <c r="AJI6" s="16">
        <f t="shared" si="72"/>
        <v>690.50300000002608</v>
      </c>
      <c r="AJJ6" s="16">
        <f t="shared" si="72"/>
        <v>690.0230000000447</v>
      </c>
      <c r="AJK6" s="16">
        <f t="shared" si="72"/>
        <v>728.83100000000559</v>
      </c>
      <c r="AJL6" s="127">
        <f>SUM(AIG6:AJK6)</f>
        <v>21227.479999999981</v>
      </c>
      <c r="AJM6" s="16">
        <f t="shared" ref="AJM6:AKN6" si="73">AJM5-AJM4</f>
        <v>594.61100000003353</v>
      </c>
      <c r="AJN6" s="16">
        <f t="shared" si="73"/>
        <v>611.59400000004098</v>
      </c>
      <c r="AJO6" s="16">
        <f t="shared" si="73"/>
        <v>779.30400000000373</v>
      </c>
      <c r="AJP6" s="16">
        <f t="shared" si="73"/>
        <v>828.05000000004657</v>
      </c>
      <c r="AJQ6" s="16">
        <f t="shared" si="73"/>
        <v>490.07899999991059</v>
      </c>
      <c r="AJR6" s="16">
        <f t="shared" si="73"/>
        <v>580.58799999998882</v>
      </c>
      <c r="AJS6" s="16">
        <f t="shared" si="73"/>
        <v>839.68900000001304</v>
      </c>
      <c r="AJT6" s="16">
        <f t="shared" si="73"/>
        <v>636.1929999999702</v>
      </c>
      <c r="AJU6" s="16">
        <f t="shared" si="73"/>
        <v>768.45699999993667</v>
      </c>
      <c r="AJV6" s="16">
        <f t="shared" si="73"/>
        <v>760.53900000010617</v>
      </c>
      <c r="AJW6" s="16">
        <f t="shared" si="73"/>
        <v>613.65999999991618</v>
      </c>
      <c r="AJX6" s="16">
        <f t="shared" si="73"/>
        <v>726.43900000001304</v>
      </c>
      <c r="AJY6" s="16">
        <f t="shared" si="73"/>
        <v>729.15299999993294</v>
      </c>
      <c r="AJZ6" s="16">
        <f t="shared" si="73"/>
        <v>623.95900000003166</v>
      </c>
      <c r="AKA6" s="16">
        <f t="shared" si="73"/>
        <v>522.00100000016391</v>
      </c>
      <c r="AKB6" s="16">
        <f t="shared" si="73"/>
        <v>647.61800000001676</v>
      </c>
      <c r="AKC6" s="16">
        <f t="shared" si="73"/>
        <v>683.75299999979325</v>
      </c>
      <c r="AKD6" s="16">
        <f t="shared" si="73"/>
        <v>645.24600000004284</v>
      </c>
      <c r="AKE6" s="16">
        <f t="shared" si="73"/>
        <v>516.16000000014901</v>
      </c>
      <c r="AKF6" s="16">
        <f t="shared" si="73"/>
        <v>547.69900000002235</v>
      </c>
      <c r="AKG6" s="16">
        <f t="shared" si="73"/>
        <v>720.84599999990314</v>
      </c>
      <c r="AKH6" s="16">
        <f t="shared" si="73"/>
        <v>560.73600000003353</v>
      </c>
      <c r="AKI6" s="16">
        <f t="shared" si="73"/>
        <v>722.91899999999441</v>
      </c>
      <c r="AKJ6" s="16">
        <f t="shared" si="73"/>
        <v>541.34199999994598</v>
      </c>
      <c r="AKK6" s="16">
        <f t="shared" si="73"/>
        <v>639.01300000003539</v>
      </c>
      <c r="AKL6" s="16">
        <f t="shared" si="73"/>
        <v>651.58899999991991</v>
      </c>
      <c r="AKM6" s="16">
        <f t="shared" si="73"/>
        <v>687.65800000005402</v>
      </c>
      <c r="AKN6" s="16">
        <f t="shared" si="73"/>
        <v>522.91999999992549</v>
      </c>
      <c r="AKO6" s="127">
        <f>SUM(AJM6:AKN6)</f>
        <v>18191.814999999944</v>
      </c>
      <c r="AKP6" s="16">
        <f t="shared" ref="AKP6:ALT6" si="74">AKP5-AKP4</f>
        <v>519.77000000001863</v>
      </c>
      <c r="AKQ6" s="16">
        <f t="shared" si="74"/>
        <v>549.5679999999702</v>
      </c>
      <c r="AKR6" s="16">
        <f t="shared" si="74"/>
        <v>684.75100000016391</v>
      </c>
      <c r="AKS6" s="16">
        <f t="shared" si="74"/>
        <v>688.98300000000745</v>
      </c>
      <c r="AKT6" s="16">
        <f t="shared" si="74"/>
        <v>550.87699999986216</v>
      </c>
      <c r="AKU6" s="16">
        <f t="shared" si="74"/>
        <v>594.11700000008568</v>
      </c>
      <c r="AKV6" s="16">
        <f t="shared" si="74"/>
        <v>702.36599999992177</v>
      </c>
      <c r="AKW6" s="16">
        <f t="shared" si="74"/>
        <v>653.45999999996275</v>
      </c>
      <c r="AKX6" s="16">
        <f t="shared" si="74"/>
        <v>472.52100000018254</v>
      </c>
      <c r="AKY6" s="16">
        <f t="shared" si="74"/>
        <v>654.51799999992363</v>
      </c>
      <c r="AKZ6" s="16">
        <f t="shared" si="74"/>
        <v>656.13999999989755</v>
      </c>
      <c r="ALA6" s="16">
        <f t="shared" si="74"/>
        <v>566.29600000008941</v>
      </c>
      <c r="ALB6" s="16">
        <f t="shared" si="74"/>
        <v>719.12700000009499</v>
      </c>
      <c r="ALC6" s="16">
        <f t="shared" si="74"/>
        <v>762.89999999990687</v>
      </c>
      <c r="ALD6" s="16">
        <f t="shared" si="74"/>
        <v>732.2839999999851</v>
      </c>
      <c r="ALE6" s="16">
        <f t="shared" si="74"/>
        <v>903.94100000010803</v>
      </c>
      <c r="ALF6" s="16">
        <f t="shared" si="74"/>
        <v>676.61999999987893</v>
      </c>
      <c r="ALG6" s="16">
        <f t="shared" si="74"/>
        <v>602.18999999994412</v>
      </c>
      <c r="ALH6" s="16">
        <f t="shared" si="74"/>
        <v>793.18599999998696</v>
      </c>
      <c r="ALI6" s="16">
        <f t="shared" si="74"/>
        <v>663.51600000006147</v>
      </c>
      <c r="ALJ6" s="16">
        <f t="shared" si="74"/>
        <v>746.66999999992549</v>
      </c>
      <c r="ALK6" s="16">
        <f t="shared" si="74"/>
        <v>531.87100000004284</v>
      </c>
      <c r="ALL6" s="16">
        <f t="shared" si="74"/>
        <v>649.3410000000149</v>
      </c>
      <c r="ALM6" s="16">
        <f t="shared" si="74"/>
        <v>812.55600000009872</v>
      </c>
      <c r="ALN6" s="16">
        <f t="shared" si="74"/>
        <v>703.52099999994971</v>
      </c>
      <c r="ALO6" s="16">
        <f t="shared" si="74"/>
        <v>688.50699999998324</v>
      </c>
      <c r="ALP6" s="16">
        <f t="shared" si="74"/>
        <v>776.85000000009313</v>
      </c>
      <c r="ALQ6" s="16">
        <f t="shared" si="74"/>
        <v>880.71099999989383</v>
      </c>
      <c r="ALR6" s="16">
        <f t="shared" si="74"/>
        <v>904.66700000013225</v>
      </c>
      <c r="ALS6" s="16">
        <f t="shared" si="74"/>
        <v>901.73799999989569</v>
      </c>
      <c r="ALT6" s="16">
        <f t="shared" si="74"/>
        <v>836.32799999997951</v>
      </c>
      <c r="ALU6" s="127">
        <f>SUM(AKP6:ALT6)</f>
        <v>21579.891000000061</v>
      </c>
      <c r="ALV6" s="16">
        <f t="shared" ref="ALV6:AMY6" si="75">ALV5-ALV4</f>
        <v>860.02099999994971</v>
      </c>
      <c r="ALW6" s="16">
        <f t="shared" si="75"/>
        <v>699.15599999995902</v>
      </c>
      <c r="ALX6" s="16">
        <f t="shared" si="75"/>
        <v>683.96200000005774</v>
      </c>
      <c r="ALY6" s="16">
        <f t="shared" si="75"/>
        <v>780.62899999995716</v>
      </c>
      <c r="ALZ6" s="16">
        <f t="shared" si="75"/>
        <v>388.90600000019185</v>
      </c>
      <c r="AMA6" s="16">
        <f t="shared" si="75"/>
        <v>552.21699999994598</v>
      </c>
      <c r="AMB6" s="16">
        <f t="shared" si="75"/>
        <v>942.69500000006519</v>
      </c>
      <c r="AMC6" s="16">
        <f t="shared" si="75"/>
        <v>688.41399999987334</v>
      </c>
      <c r="AMD6" s="16">
        <f t="shared" si="75"/>
        <v>901.65599999995902</v>
      </c>
      <c r="AME6" s="16">
        <f t="shared" si="75"/>
        <v>993.93599999998696</v>
      </c>
      <c r="AMF6" s="16">
        <f t="shared" si="75"/>
        <v>798.34700000006706</v>
      </c>
      <c r="AMG6" s="16">
        <f t="shared" si="75"/>
        <v>940.69800000009127</v>
      </c>
      <c r="AMH6" s="16">
        <f t="shared" si="75"/>
        <v>845.4859999998007</v>
      </c>
      <c r="AMI6" s="16">
        <f t="shared" si="75"/>
        <v>626.26600000006147</v>
      </c>
      <c r="AMJ6" s="16">
        <f t="shared" si="75"/>
        <v>798.83799999998882</v>
      </c>
      <c r="AMK6" s="16">
        <f t="shared" si="75"/>
        <v>700.56099999998696</v>
      </c>
      <c r="AML6" s="16">
        <f t="shared" si="75"/>
        <v>862.13300000014715</v>
      </c>
      <c r="AMM6" s="16">
        <f t="shared" si="75"/>
        <v>942.32099999999627</v>
      </c>
      <c r="AMN6" s="16">
        <f t="shared" si="75"/>
        <v>880.93299999996088</v>
      </c>
      <c r="AMO6" s="16">
        <f t="shared" si="75"/>
        <v>1091.0400000000373</v>
      </c>
      <c r="AMP6" s="16">
        <f t="shared" si="75"/>
        <v>982.00300000002608</v>
      </c>
      <c r="AMQ6" s="16">
        <f t="shared" si="75"/>
        <v>1051.3079999999609</v>
      </c>
      <c r="AMR6" s="16">
        <f t="shared" si="75"/>
        <v>1220.778999999864</v>
      </c>
      <c r="AMS6" s="16">
        <f t="shared" si="75"/>
        <v>1350.3330000001006</v>
      </c>
      <c r="AMT6" s="16">
        <f t="shared" si="75"/>
        <v>1439.9150000000373</v>
      </c>
      <c r="AMU6" s="16">
        <f t="shared" si="75"/>
        <v>1184.1809999998659</v>
      </c>
      <c r="AMV6" s="16">
        <f t="shared" si="75"/>
        <v>695.08000000007451</v>
      </c>
      <c r="AMW6" s="16">
        <f t="shared" si="75"/>
        <v>555.93500000005588</v>
      </c>
      <c r="AMX6" s="16">
        <f t="shared" si="75"/>
        <v>743.82899999991059</v>
      </c>
      <c r="AMY6" s="16">
        <f t="shared" si="75"/>
        <v>850.29799999995157</v>
      </c>
      <c r="AMZ6" s="127">
        <f>SUM(ALV6:AMY6)</f>
        <v>26051.875999999931</v>
      </c>
      <c r="ANA6" s="16">
        <f t="shared" ref="ANA6:AOF6" si="76">ANA5-ANA4</f>
        <v>687.39500000001863</v>
      </c>
      <c r="ANB6" s="16">
        <f t="shared" si="76"/>
        <v>823.65800000005402</v>
      </c>
      <c r="ANC6" s="16">
        <f t="shared" si="76"/>
        <v>584.39899999997579</v>
      </c>
      <c r="AND6" s="16">
        <f t="shared" si="76"/>
        <v>1050.6759999999776</v>
      </c>
      <c r="ANE6" s="16">
        <f t="shared" si="76"/>
        <v>737.01900000008754</v>
      </c>
      <c r="ANF6" s="16">
        <f t="shared" si="76"/>
        <v>907.99199999985285</v>
      </c>
      <c r="ANG6" s="16">
        <f t="shared" si="76"/>
        <v>840.42900000000373</v>
      </c>
      <c r="ANH6" s="16">
        <f t="shared" si="76"/>
        <v>843.61700000008568</v>
      </c>
      <c r="ANI6" s="16">
        <f t="shared" si="76"/>
        <v>881.5230000000447</v>
      </c>
      <c r="ANJ6" s="16">
        <f t="shared" si="76"/>
        <v>752.18299999996088</v>
      </c>
      <c r="ANK6" s="16">
        <f t="shared" si="76"/>
        <v>905.01600000006147</v>
      </c>
      <c r="ANL6" s="16">
        <f t="shared" si="76"/>
        <v>840.27399999997579</v>
      </c>
      <c r="ANM6" s="16">
        <f t="shared" si="76"/>
        <v>848.57199999992736</v>
      </c>
      <c r="ANN6" s="16">
        <f t="shared" si="76"/>
        <v>927.14300000015646</v>
      </c>
      <c r="ANO6" s="16">
        <f t="shared" si="76"/>
        <v>1094.5489999998827</v>
      </c>
      <c r="ANP6" s="16">
        <f t="shared" si="76"/>
        <v>797.10000000009313</v>
      </c>
      <c r="ANQ6" s="16">
        <f t="shared" si="76"/>
        <v>433.15999999991618</v>
      </c>
      <c r="ANR6" s="16">
        <f t="shared" si="76"/>
        <v>529.91999999992549</v>
      </c>
      <c r="ANS6" s="16">
        <f t="shared" si="76"/>
        <v>539.53500000014901</v>
      </c>
      <c r="ANT6" s="16">
        <f t="shared" si="76"/>
        <v>484.02199999988079</v>
      </c>
      <c r="ANU6" s="16">
        <f t="shared" si="76"/>
        <v>568.89400000008754</v>
      </c>
      <c r="ANV6" s="16">
        <f t="shared" si="76"/>
        <v>871.44599999999627</v>
      </c>
      <c r="ANW6" s="16">
        <f t="shared" si="76"/>
        <v>608.61699999985285</v>
      </c>
      <c r="ANX6" s="16">
        <f t="shared" si="76"/>
        <v>620.37200000020675</v>
      </c>
      <c r="ANY6" s="16">
        <f t="shared" si="76"/>
        <v>666.28700000001118</v>
      </c>
      <c r="ANZ6" s="16">
        <f t="shared" si="76"/>
        <v>774.96199999982491</v>
      </c>
      <c r="AOA6" s="16">
        <f t="shared" si="76"/>
        <v>641.45000000018626</v>
      </c>
      <c r="AOB6" s="16">
        <f t="shared" si="76"/>
        <v>570.83199999993667</v>
      </c>
      <c r="AOC6" s="16">
        <f t="shared" si="76"/>
        <v>626.47099999990314</v>
      </c>
      <c r="AOD6" s="16">
        <f t="shared" si="76"/>
        <v>827.85700000007637</v>
      </c>
      <c r="AOE6">
        <f t="shared" si="76"/>
        <v>827.85700000007637</v>
      </c>
      <c r="AOF6">
        <f t="shared" si="76"/>
        <v>-1022159.7669999999</v>
      </c>
    </row>
    <row r="7" spans="1:1072" x14ac:dyDescent="0.2">
      <c r="A7" s="157"/>
      <c r="B7" s="159" t="s">
        <v>759</v>
      </c>
      <c r="C7" s="47" t="s">
        <v>756</v>
      </c>
      <c r="D7" s="48">
        <v>350641.91399999999</v>
      </c>
      <c r="E7" s="48">
        <f t="shared" ref="E7:AH7" si="77">D8</f>
        <v>351082.516</v>
      </c>
      <c r="F7" s="48">
        <f t="shared" si="77"/>
        <v>351769.2</v>
      </c>
      <c r="G7" s="48">
        <f t="shared" si="77"/>
        <v>352147.78</v>
      </c>
      <c r="H7" s="48">
        <f t="shared" si="77"/>
        <v>352541.29100000003</v>
      </c>
      <c r="I7" s="48">
        <f t="shared" si="77"/>
        <v>352991.32299999997</v>
      </c>
      <c r="J7" s="48">
        <f t="shared" si="77"/>
        <v>353383.14600000001</v>
      </c>
      <c r="K7" s="48">
        <f t="shared" si="77"/>
        <v>353793.28200000001</v>
      </c>
      <c r="L7" s="48">
        <f t="shared" si="77"/>
        <v>354167.717</v>
      </c>
      <c r="M7" s="48">
        <f t="shared" si="77"/>
        <v>354520.76899999997</v>
      </c>
      <c r="N7" s="48">
        <f t="shared" si="77"/>
        <v>354935.64</v>
      </c>
      <c r="O7" s="48">
        <f t="shared" si="77"/>
        <v>355435.79399999999</v>
      </c>
      <c r="P7" s="48">
        <f t="shared" si="77"/>
        <v>355949.33600000001</v>
      </c>
      <c r="Q7" s="48">
        <f t="shared" si="77"/>
        <v>356377.42499999999</v>
      </c>
      <c r="R7" s="48">
        <f t="shared" si="77"/>
        <v>356791.45400000003</v>
      </c>
      <c r="S7" s="48">
        <f t="shared" si="77"/>
        <v>357174.34</v>
      </c>
      <c r="T7" s="48">
        <f t="shared" si="77"/>
        <v>357601.641</v>
      </c>
      <c r="U7" s="48">
        <f t="shared" si="77"/>
        <v>357972.34600000002</v>
      </c>
      <c r="V7" s="48">
        <f t="shared" si="77"/>
        <v>358552.59399999998</v>
      </c>
      <c r="W7" s="48">
        <f t="shared" si="77"/>
        <v>358849.76</v>
      </c>
      <c r="X7" s="48">
        <f t="shared" si="77"/>
        <v>359225.64799999999</v>
      </c>
      <c r="Y7" s="48">
        <f t="shared" si="77"/>
        <v>359591.37699999998</v>
      </c>
      <c r="Z7" s="48">
        <f t="shared" si="77"/>
        <v>359968.76899999997</v>
      </c>
      <c r="AA7" s="48">
        <f t="shared" si="77"/>
        <v>360372.92200000002</v>
      </c>
      <c r="AB7" s="48">
        <f t="shared" si="77"/>
        <v>360801.07400000002</v>
      </c>
      <c r="AC7" s="48">
        <f t="shared" si="77"/>
        <v>361133.27299999999</v>
      </c>
      <c r="AD7" s="48">
        <f t="shared" si="77"/>
        <v>361654.24800000002</v>
      </c>
      <c r="AE7" s="48">
        <f t="shared" si="77"/>
        <v>362163.103</v>
      </c>
      <c r="AF7" s="48">
        <f t="shared" si="77"/>
        <v>362462.04100000003</v>
      </c>
      <c r="AG7" s="48">
        <f t="shared" si="77"/>
        <v>362750.87</v>
      </c>
      <c r="AH7" s="48">
        <f t="shared" si="77"/>
        <v>363079.58299999998</v>
      </c>
      <c r="AI7" s="49"/>
      <c r="AJ7" s="89">
        <f>AH8</f>
        <v>363368.01699999999</v>
      </c>
      <c r="AK7" s="89">
        <f t="shared" ref="AK7:BM7" si="78">AJ8</f>
        <v>363831.98</v>
      </c>
      <c r="AL7" s="89">
        <f t="shared" si="78"/>
        <v>364212.91600000003</v>
      </c>
      <c r="AM7" s="89">
        <f t="shared" si="78"/>
        <v>364682.68</v>
      </c>
      <c r="AN7" s="89">
        <f t="shared" si="78"/>
        <v>365090.15100000001</v>
      </c>
      <c r="AO7" s="89">
        <f t="shared" si="78"/>
        <v>365436.41200000001</v>
      </c>
      <c r="AP7" s="89">
        <f t="shared" si="78"/>
        <v>365725.717</v>
      </c>
      <c r="AQ7" s="89">
        <f t="shared" si="78"/>
        <v>366199.47</v>
      </c>
      <c r="AR7" s="89">
        <f t="shared" si="78"/>
        <v>366658.52799999999</v>
      </c>
      <c r="AS7" s="89">
        <f t="shared" si="78"/>
        <v>367024.11499999999</v>
      </c>
      <c r="AT7" s="89">
        <f t="shared" si="78"/>
        <v>367430.21299999999</v>
      </c>
      <c r="AU7" s="89">
        <f t="shared" si="78"/>
        <v>367739.72700000001</v>
      </c>
      <c r="AV7" s="89">
        <f t="shared" si="78"/>
        <v>368053.30900000001</v>
      </c>
      <c r="AW7" s="89">
        <f t="shared" si="78"/>
        <v>368391.66800000001</v>
      </c>
      <c r="AX7" s="89">
        <f t="shared" si="78"/>
        <v>368725.59700000001</v>
      </c>
      <c r="AY7" s="89">
        <f t="shared" si="78"/>
        <v>369038.685</v>
      </c>
      <c r="AZ7" s="89">
        <f t="shared" si="78"/>
        <v>369367.962</v>
      </c>
      <c r="BA7" s="89">
        <f t="shared" si="78"/>
        <v>369684.92300000001</v>
      </c>
      <c r="BB7" s="89">
        <f t="shared" si="78"/>
        <v>370045.598</v>
      </c>
      <c r="BC7" s="89">
        <f t="shared" si="78"/>
        <v>370471.82199999999</v>
      </c>
      <c r="BD7" s="89">
        <f t="shared" si="78"/>
        <v>370727.89899999998</v>
      </c>
      <c r="BE7" s="89">
        <f t="shared" si="78"/>
        <v>371003.73499999999</v>
      </c>
      <c r="BF7" s="89">
        <f t="shared" si="78"/>
        <v>371443.93099999998</v>
      </c>
      <c r="BG7" s="89">
        <f t="shared" si="78"/>
        <v>371804.36599999998</v>
      </c>
      <c r="BH7" s="89">
        <f t="shared" si="78"/>
        <v>372084.38400000002</v>
      </c>
      <c r="BI7" s="89">
        <f t="shared" si="78"/>
        <v>372412.86300000001</v>
      </c>
      <c r="BJ7" s="89">
        <f t="shared" si="78"/>
        <v>372760.19500000001</v>
      </c>
      <c r="BK7" s="89">
        <f t="shared" si="78"/>
        <v>373045.87699999998</v>
      </c>
      <c r="BL7" s="89">
        <f t="shared" si="78"/>
        <v>373361.52500000002</v>
      </c>
      <c r="BM7" s="89">
        <f t="shared" si="78"/>
        <v>373708.28499999997</v>
      </c>
      <c r="BO7" s="89">
        <f>BM8</f>
        <v>374023.44099999999</v>
      </c>
      <c r="BP7" s="89">
        <f t="shared" ref="BP7:CS7" si="79">BO8</f>
        <v>374318.72</v>
      </c>
      <c r="BQ7" s="89">
        <f t="shared" si="79"/>
        <v>374710.65500000003</v>
      </c>
      <c r="BR7" s="89">
        <f t="shared" si="79"/>
        <v>375055.48499999999</v>
      </c>
      <c r="BS7" s="89">
        <f t="shared" si="79"/>
        <v>375342.446</v>
      </c>
      <c r="BT7" s="89">
        <f t="shared" si="79"/>
        <v>375636.81599999999</v>
      </c>
      <c r="BU7" s="89">
        <f t="shared" si="79"/>
        <v>376033.25900000002</v>
      </c>
      <c r="BV7" s="89">
        <f t="shared" si="79"/>
        <v>376399.80800000002</v>
      </c>
      <c r="BW7" s="89">
        <f t="shared" si="79"/>
        <v>376733.82900000003</v>
      </c>
      <c r="BX7" s="89">
        <f t="shared" si="79"/>
        <v>377044.79100000003</v>
      </c>
      <c r="BY7" s="89">
        <f t="shared" si="79"/>
        <v>377275.80900000001</v>
      </c>
      <c r="BZ7" s="89">
        <f t="shared" si="79"/>
        <v>377558.93300000002</v>
      </c>
      <c r="CA7" s="89">
        <f t="shared" si="79"/>
        <v>377817.44099999999</v>
      </c>
      <c r="CB7" s="89">
        <f t="shared" si="79"/>
        <v>378164.11800000002</v>
      </c>
      <c r="CC7" s="89">
        <f t="shared" si="79"/>
        <v>378506.103</v>
      </c>
      <c r="CD7" s="89">
        <f t="shared" si="79"/>
        <v>378796.77899999998</v>
      </c>
      <c r="CE7" s="89">
        <f t="shared" si="79"/>
        <v>379058.05900000001</v>
      </c>
      <c r="CF7" s="89">
        <f t="shared" si="79"/>
        <v>379407.49699999997</v>
      </c>
      <c r="CG7" s="89">
        <f t="shared" si="79"/>
        <v>379600.94099999999</v>
      </c>
      <c r="CH7" s="89">
        <f t="shared" si="79"/>
        <v>379907.38199999998</v>
      </c>
      <c r="CI7" s="89">
        <f t="shared" si="79"/>
        <v>380224.505</v>
      </c>
      <c r="CJ7" s="89">
        <f t="shared" si="79"/>
        <v>380445.33199999999</v>
      </c>
      <c r="CK7" s="89">
        <f t="shared" si="79"/>
        <v>380736.06599999999</v>
      </c>
      <c r="CL7" s="89">
        <f t="shared" si="79"/>
        <v>381080.97100000002</v>
      </c>
      <c r="CM7" s="89">
        <f t="shared" si="79"/>
        <v>381468.62800000003</v>
      </c>
      <c r="CN7" s="89">
        <f t="shared" si="79"/>
        <v>381757.99900000001</v>
      </c>
      <c r="CO7" s="89">
        <f t="shared" si="79"/>
        <v>382089.18099999998</v>
      </c>
      <c r="CP7" s="89">
        <f t="shared" si="79"/>
        <v>382404.255</v>
      </c>
      <c r="CQ7" s="89">
        <f t="shared" si="79"/>
        <v>382702.59499999997</v>
      </c>
      <c r="CR7" s="89">
        <f t="shared" si="79"/>
        <v>382969.88</v>
      </c>
      <c r="CS7" s="89">
        <f t="shared" si="79"/>
        <v>383309.04499999998</v>
      </c>
      <c r="CU7" s="89">
        <f>CS8</f>
        <v>383593.84899999999</v>
      </c>
      <c r="CV7" s="89">
        <f t="shared" ref="CV7:DX7" si="80">CU8</f>
        <v>383813.47600000002</v>
      </c>
      <c r="CW7" s="89">
        <f t="shared" si="80"/>
        <v>384152.55300000001</v>
      </c>
      <c r="CX7" s="89">
        <f t="shared" si="80"/>
        <v>384468.092</v>
      </c>
      <c r="CY7" s="89">
        <f t="shared" si="80"/>
        <v>384960.08299999998</v>
      </c>
      <c r="CZ7" s="89">
        <f t="shared" si="80"/>
        <v>385264.54399999999</v>
      </c>
      <c r="DA7" s="89">
        <f t="shared" si="80"/>
        <v>385573.82</v>
      </c>
      <c r="DB7" s="89">
        <f t="shared" si="80"/>
        <v>385882.49900000001</v>
      </c>
      <c r="DC7" s="89">
        <f t="shared" si="80"/>
        <v>386187.50099999999</v>
      </c>
      <c r="DD7" s="89">
        <f t="shared" si="80"/>
        <v>386495.70799999998</v>
      </c>
      <c r="DE7" s="89">
        <f t="shared" si="80"/>
        <v>386842.69300000003</v>
      </c>
      <c r="DF7" s="89">
        <f t="shared" si="80"/>
        <v>387182.26199999999</v>
      </c>
      <c r="DG7" s="89">
        <f t="shared" si="80"/>
        <v>387518.14399999997</v>
      </c>
      <c r="DH7" s="89">
        <f t="shared" si="80"/>
        <v>387800.125</v>
      </c>
      <c r="DI7" s="89">
        <f t="shared" si="80"/>
        <v>388193.42499999999</v>
      </c>
      <c r="DJ7" s="89">
        <f t="shared" si="80"/>
        <v>388515.01400000002</v>
      </c>
      <c r="DK7" s="89">
        <f t="shared" si="80"/>
        <v>388687.82900000003</v>
      </c>
      <c r="DL7" s="89">
        <f t="shared" si="80"/>
        <v>388889.56599999999</v>
      </c>
      <c r="DM7" s="89">
        <f t="shared" si="80"/>
        <v>389193.06599999999</v>
      </c>
      <c r="DN7" s="89">
        <f t="shared" si="80"/>
        <v>389443.29</v>
      </c>
      <c r="DO7" s="89">
        <f t="shared" si="80"/>
        <v>389768.79599999997</v>
      </c>
      <c r="DP7" s="89">
        <f t="shared" si="80"/>
        <v>390024.67599999998</v>
      </c>
      <c r="DQ7" s="89">
        <f t="shared" si="80"/>
        <v>390233.114</v>
      </c>
      <c r="DR7" s="89">
        <f t="shared" si="80"/>
        <v>390534.94900000002</v>
      </c>
      <c r="DS7" s="89">
        <f t="shared" si="80"/>
        <v>390835.071</v>
      </c>
      <c r="DT7" s="89">
        <f t="shared" si="80"/>
        <v>391183.478</v>
      </c>
      <c r="DU7" s="89">
        <f t="shared" si="80"/>
        <v>391582.05599999998</v>
      </c>
      <c r="DV7" s="89">
        <f t="shared" si="80"/>
        <v>391900.11599999998</v>
      </c>
      <c r="DW7" s="89">
        <f t="shared" si="80"/>
        <v>392101.81099999999</v>
      </c>
      <c r="DX7" s="89">
        <f t="shared" si="80"/>
        <v>392334.99599999998</v>
      </c>
      <c r="DY7" s="117"/>
      <c r="DZ7" s="89">
        <f>DX8</f>
        <v>392713.49300000002</v>
      </c>
      <c r="EA7" s="89">
        <f t="shared" ref="EA7:FD7" si="81">DZ8</f>
        <v>393020.57400000002</v>
      </c>
      <c r="EB7" s="89">
        <f t="shared" si="81"/>
        <v>393255.527</v>
      </c>
      <c r="EC7" s="89">
        <f t="shared" si="81"/>
        <v>393458.141</v>
      </c>
      <c r="ED7" s="89">
        <f t="shared" si="81"/>
        <v>393720.592</v>
      </c>
      <c r="EE7" s="89">
        <f t="shared" si="81"/>
        <v>393976.76699999999</v>
      </c>
      <c r="EF7" s="89">
        <f t="shared" si="81"/>
        <v>394269.17499999999</v>
      </c>
      <c r="EG7" s="89">
        <f t="shared" si="81"/>
        <v>394560.484</v>
      </c>
      <c r="EH7" s="89">
        <f t="shared" si="81"/>
        <v>394815.04</v>
      </c>
      <c r="EI7" s="89">
        <f t="shared" si="81"/>
        <v>395264.22</v>
      </c>
      <c r="EJ7" s="89">
        <f t="shared" si="81"/>
        <v>395613.51400000002</v>
      </c>
      <c r="EK7" s="89">
        <f t="shared" si="81"/>
        <v>395937.44500000001</v>
      </c>
      <c r="EL7" s="89">
        <f t="shared" si="81"/>
        <v>396428.84</v>
      </c>
      <c r="EM7" s="89">
        <f t="shared" si="81"/>
        <v>396715.375</v>
      </c>
      <c r="EN7" s="89">
        <f t="shared" si="81"/>
        <v>397076.516</v>
      </c>
      <c r="EO7" s="89">
        <f t="shared" si="81"/>
        <v>397569.78200000001</v>
      </c>
      <c r="EP7" s="89">
        <f t="shared" si="81"/>
        <v>398019.79700000002</v>
      </c>
      <c r="EQ7" s="89">
        <f t="shared" si="81"/>
        <v>398284.56300000002</v>
      </c>
      <c r="ER7" s="89">
        <f t="shared" si="81"/>
        <v>398600.13500000001</v>
      </c>
      <c r="ES7" s="89">
        <f t="shared" si="81"/>
        <v>398943.163</v>
      </c>
      <c r="ET7" s="89">
        <f t="shared" si="81"/>
        <v>399355.21399999998</v>
      </c>
      <c r="EU7" s="89">
        <f t="shared" si="81"/>
        <v>399794.20899999997</v>
      </c>
      <c r="EV7" s="89">
        <f t="shared" si="81"/>
        <v>400218.908</v>
      </c>
      <c r="EW7" s="89">
        <f t="shared" si="81"/>
        <v>400706.38900000002</v>
      </c>
      <c r="EX7" s="89">
        <f t="shared" si="81"/>
        <v>401117.20899999997</v>
      </c>
      <c r="EY7" s="89">
        <f t="shared" si="81"/>
        <v>401565.62599999999</v>
      </c>
      <c r="EZ7" s="89">
        <f t="shared" si="81"/>
        <v>401837.15</v>
      </c>
      <c r="FA7" s="89">
        <f t="shared" si="81"/>
        <v>402118.09100000001</v>
      </c>
      <c r="FB7" s="89">
        <f t="shared" si="81"/>
        <v>402409.359</v>
      </c>
      <c r="FC7" s="89">
        <f t="shared" si="81"/>
        <v>402762.386</v>
      </c>
      <c r="FD7" s="89">
        <f t="shared" si="81"/>
        <v>403034.55300000001</v>
      </c>
      <c r="FE7" s="126"/>
      <c r="FF7" s="89">
        <f>FD8</f>
        <v>403354.04599999997</v>
      </c>
      <c r="FG7" s="89">
        <f t="shared" ref="FG7:GJ7" si="82">FF8</f>
        <v>403709.13900000002</v>
      </c>
      <c r="FH7" s="89">
        <f t="shared" si="82"/>
        <v>404014.81400000001</v>
      </c>
      <c r="FI7" s="89">
        <f t="shared" si="82"/>
        <v>404350.81</v>
      </c>
      <c r="FJ7" s="89">
        <f t="shared" si="82"/>
        <v>404580.66</v>
      </c>
      <c r="FK7" s="89">
        <f t="shared" si="82"/>
        <v>404981.598</v>
      </c>
      <c r="FL7" s="89">
        <f t="shared" si="82"/>
        <v>405289.05599999998</v>
      </c>
      <c r="FM7" s="89">
        <f t="shared" si="82"/>
        <v>405554.83199999999</v>
      </c>
      <c r="FN7" s="89">
        <f t="shared" si="82"/>
        <v>405773.136</v>
      </c>
      <c r="FO7" s="89">
        <f t="shared" si="82"/>
        <v>406179.75300000003</v>
      </c>
      <c r="FP7" s="89">
        <f t="shared" si="82"/>
        <v>406493.86800000002</v>
      </c>
      <c r="FQ7" s="89">
        <f t="shared" si="82"/>
        <v>406792.16800000001</v>
      </c>
      <c r="FR7" s="89">
        <f t="shared" si="82"/>
        <v>407088.22200000001</v>
      </c>
      <c r="FS7" s="89">
        <f t="shared" si="82"/>
        <v>407458.337</v>
      </c>
      <c r="FT7" s="89">
        <f t="shared" si="82"/>
        <v>407736.99400000001</v>
      </c>
      <c r="FU7" s="89">
        <f t="shared" si="82"/>
        <v>407994.42800000001</v>
      </c>
      <c r="FV7" s="89">
        <f t="shared" si="82"/>
        <v>408325.57400000002</v>
      </c>
      <c r="FW7" s="89">
        <f t="shared" si="82"/>
        <v>408578.30699999997</v>
      </c>
      <c r="FX7" s="89">
        <f t="shared" si="82"/>
        <v>408873.68099999998</v>
      </c>
      <c r="FY7" s="89">
        <f t="shared" si="82"/>
        <v>409212.75300000003</v>
      </c>
      <c r="FZ7" s="89">
        <f t="shared" si="82"/>
        <v>409622.87599999999</v>
      </c>
      <c r="GA7" s="89">
        <f t="shared" si="82"/>
        <v>409907.50099999999</v>
      </c>
      <c r="GB7" s="89">
        <f t="shared" si="82"/>
        <v>410189.63099999999</v>
      </c>
      <c r="GC7" s="89">
        <f t="shared" si="82"/>
        <v>410467.141</v>
      </c>
      <c r="GD7" s="89">
        <f t="shared" si="82"/>
        <v>410654.37099999998</v>
      </c>
      <c r="GE7" s="89">
        <f t="shared" si="82"/>
        <v>410937.41899999999</v>
      </c>
      <c r="GF7" s="89">
        <f t="shared" si="82"/>
        <v>411256.84299999999</v>
      </c>
      <c r="GG7" s="89">
        <f t="shared" si="82"/>
        <v>411560.55800000002</v>
      </c>
      <c r="GH7" s="89">
        <f t="shared" si="82"/>
        <v>411839.52100000001</v>
      </c>
      <c r="GI7" s="89">
        <f t="shared" si="82"/>
        <v>412117.88400000002</v>
      </c>
      <c r="GJ7" s="89">
        <f t="shared" si="82"/>
        <v>412333.5</v>
      </c>
      <c r="GK7" s="127">
        <f>SUM(FF7:GJ7)</f>
        <v>12647229.420999998</v>
      </c>
      <c r="GL7" s="89">
        <f>GJ8</f>
        <v>412603.89500000002</v>
      </c>
      <c r="GM7">
        <f t="shared" ref="GM7:HN7" si="83">GL8</f>
        <v>412943.14199999999</v>
      </c>
      <c r="GN7">
        <f t="shared" si="83"/>
        <v>413243.37099999998</v>
      </c>
      <c r="GO7">
        <f t="shared" si="83"/>
        <v>413745.22100000002</v>
      </c>
      <c r="GP7">
        <f t="shared" si="83"/>
        <v>414083.50599999999</v>
      </c>
      <c r="GQ7">
        <f t="shared" si="83"/>
        <v>414433.98</v>
      </c>
      <c r="GR7">
        <f t="shared" si="83"/>
        <v>414866.02500000002</v>
      </c>
      <c r="GS7">
        <f t="shared" si="83"/>
        <v>415189.07199999999</v>
      </c>
      <c r="GT7">
        <f t="shared" si="83"/>
        <v>415541.25699999998</v>
      </c>
      <c r="GU7">
        <f t="shared" si="83"/>
        <v>415804.66100000002</v>
      </c>
      <c r="GV7">
        <f t="shared" si="83"/>
        <v>416192.81900000002</v>
      </c>
      <c r="GW7">
        <f t="shared" si="83"/>
        <v>416607.28</v>
      </c>
      <c r="GX7">
        <f t="shared" si="83"/>
        <v>416870.11599999998</v>
      </c>
      <c r="GY7">
        <f t="shared" si="83"/>
        <v>417222.90100000001</v>
      </c>
      <c r="GZ7">
        <f t="shared" si="83"/>
        <v>417565.01799999998</v>
      </c>
      <c r="HA7">
        <f t="shared" si="83"/>
        <v>417867.90399999998</v>
      </c>
      <c r="HB7">
        <f t="shared" si="83"/>
        <v>418164.62699999998</v>
      </c>
      <c r="HC7">
        <f t="shared" si="83"/>
        <v>418501.72499999998</v>
      </c>
      <c r="HD7">
        <f t="shared" si="83"/>
        <v>418722.46899999998</v>
      </c>
      <c r="HE7">
        <f t="shared" si="83"/>
        <v>418989.83500000002</v>
      </c>
      <c r="HF7">
        <f t="shared" si="83"/>
        <v>419304.022</v>
      </c>
      <c r="HG7">
        <f t="shared" si="83"/>
        <v>419600.17099999997</v>
      </c>
      <c r="HH7">
        <f t="shared" si="83"/>
        <v>419892.73200000002</v>
      </c>
      <c r="HI7">
        <f t="shared" si="83"/>
        <v>420188.424</v>
      </c>
      <c r="HJ7">
        <f t="shared" si="83"/>
        <v>420550.67800000001</v>
      </c>
      <c r="HK7">
        <f t="shared" si="83"/>
        <v>420728.435</v>
      </c>
      <c r="HL7">
        <f t="shared" si="83"/>
        <v>421073.50099999999</v>
      </c>
      <c r="HM7">
        <f t="shared" si="83"/>
        <v>421329.61300000001</v>
      </c>
      <c r="HN7">
        <f t="shared" si="83"/>
        <v>421566.97100000002</v>
      </c>
      <c r="HO7" s="127">
        <f>SUM(GL7:HN7)</f>
        <v>12103393.371000003</v>
      </c>
      <c r="HP7" s="89">
        <f>HN8</f>
        <v>421904.85200000001</v>
      </c>
      <c r="HQ7" s="89">
        <f t="shared" ref="HQ7:IT7" si="84">HP8</f>
        <v>422320.83</v>
      </c>
      <c r="HR7" s="89">
        <f t="shared" si="84"/>
        <v>422627.60600000003</v>
      </c>
      <c r="HS7" s="89">
        <f t="shared" si="84"/>
        <v>423032.53499999997</v>
      </c>
      <c r="HT7" s="89">
        <f t="shared" si="84"/>
        <v>423310.304</v>
      </c>
      <c r="HU7" s="89">
        <f t="shared" si="84"/>
        <v>423596.93300000002</v>
      </c>
      <c r="HV7" s="89">
        <f t="shared" si="84"/>
        <v>424015.04100000003</v>
      </c>
      <c r="HW7" s="89">
        <f t="shared" si="84"/>
        <v>424381.99400000001</v>
      </c>
      <c r="HX7" s="89">
        <f t="shared" si="84"/>
        <v>424681.72100000002</v>
      </c>
      <c r="HY7" s="89">
        <f t="shared" si="84"/>
        <v>424958.64600000001</v>
      </c>
      <c r="HZ7" s="89">
        <f t="shared" si="84"/>
        <v>425222.88400000002</v>
      </c>
      <c r="IA7" s="89">
        <f t="shared" si="84"/>
        <v>425518.201</v>
      </c>
      <c r="IB7" s="89">
        <f t="shared" si="84"/>
        <v>425753.141</v>
      </c>
      <c r="IC7" s="89">
        <f t="shared" si="84"/>
        <v>425974.57799999998</v>
      </c>
      <c r="ID7" s="89">
        <f t="shared" si="84"/>
        <v>426240.90600000002</v>
      </c>
      <c r="IE7" s="89">
        <f t="shared" si="84"/>
        <v>426506.34299999999</v>
      </c>
      <c r="IF7" s="89">
        <f t="shared" si="84"/>
        <v>426903.12300000002</v>
      </c>
      <c r="IG7" s="89">
        <f t="shared" si="84"/>
        <v>427164.46399999998</v>
      </c>
      <c r="IH7" s="89">
        <f t="shared" si="84"/>
        <v>427421.32</v>
      </c>
      <c r="II7" s="89">
        <f t="shared" si="84"/>
        <v>427679.62</v>
      </c>
      <c r="IJ7" s="89">
        <f t="shared" si="84"/>
        <v>428025.68</v>
      </c>
      <c r="IK7" s="89">
        <f t="shared" si="84"/>
        <v>428369.02399999998</v>
      </c>
      <c r="IL7" s="89">
        <f t="shared" si="84"/>
        <v>428662.54</v>
      </c>
      <c r="IM7" s="89">
        <f t="shared" si="84"/>
        <v>429052.87099999998</v>
      </c>
      <c r="IN7" s="89">
        <f t="shared" si="84"/>
        <v>429333.402</v>
      </c>
      <c r="IO7" s="89">
        <f t="shared" si="84"/>
        <v>429629.31599999999</v>
      </c>
      <c r="IP7" s="89">
        <f t="shared" si="84"/>
        <v>429878.72</v>
      </c>
      <c r="IQ7" s="89">
        <f t="shared" si="84"/>
        <v>430150.54599999997</v>
      </c>
      <c r="IR7" s="89">
        <f t="shared" si="84"/>
        <v>430593.87800000003</v>
      </c>
      <c r="IS7" s="89">
        <f t="shared" si="84"/>
        <v>430851.29</v>
      </c>
      <c r="IT7" s="89">
        <f t="shared" si="84"/>
        <v>431172.90399999998</v>
      </c>
      <c r="IU7" s="127">
        <f>SUM(HP7:IT7)</f>
        <v>13224935.212999998</v>
      </c>
      <c r="IV7" s="89">
        <f>IT8</f>
        <v>431491.74</v>
      </c>
      <c r="IW7" s="89">
        <f t="shared" ref="IW7:JY7" si="85">IV8</f>
        <v>431682.09499999997</v>
      </c>
      <c r="IX7" s="89">
        <f t="shared" si="85"/>
        <v>431929.17499999999</v>
      </c>
      <c r="IY7" s="89">
        <f t="shared" si="85"/>
        <v>432228.022</v>
      </c>
      <c r="IZ7" s="89">
        <f t="shared" si="85"/>
        <v>432494.625</v>
      </c>
      <c r="JA7" s="89">
        <f t="shared" si="85"/>
        <v>432720.01799999998</v>
      </c>
      <c r="JB7" s="89">
        <f t="shared" si="85"/>
        <v>433119.98800000001</v>
      </c>
      <c r="JC7" s="89">
        <f t="shared" si="85"/>
        <v>433345.14</v>
      </c>
      <c r="JD7" s="89">
        <f t="shared" si="85"/>
        <v>433722.43900000001</v>
      </c>
      <c r="JE7" s="89">
        <f t="shared" si="85"/>
        <v>433955.41800000001</v>
      </c>
      <c r="JF7" s="89">
        <f t="shared" si="85"/>
        <v>434273.81199999998</v>
      </c>
      <c r="JG7" s="89">
        <f t="shared" si="85"/>
        <v>434553.15899999999</v>
      </c>
      <c r="JH7" s="89">
        <f t="shared" si="85"/>
        <v>434865.48100000003</v>
      </c>
      <c r="JI7" s="89">
        <f t="shared" si="85"/>
        <v>435166.63900000002</v>
      </c>
      <c r="JJ7" s="89">
        <f t="shared" si="85"/>
        <v>435422.701</v>
      </c>
      <c r="JK7" s="89">
        <f t="shared" si="85"/>
        <v>435750.52</v>
      </c>
      <c r="JL7" s="89">
        <f t="shared" si="85"/>
        <v>436012.55</v>
      </c>
      <c r="JM7" s="89">
        <f t="shared" si="85"/>
        <v>436277.43699999998</v>
      </c>
      <c r="JN7" s="89">
        <f t="shared" si="85"/>
        <v>436469.75300000003</v>
      </c>
      <c r="JO7" s="89">
        <f t="shared" si="85"/>
        <v>436814.49</v>
      </c>
      <c r="JP7" s="89">
        <f t="shared" si="85"/>
        <v>437118.83899999998</v>
      </c>
      <c r="JQ7" s="89">
        <f t="shared" si="85"/>
        <v>437360.58899999998</v>
      </c>
      <c r="JR7" s="89">
        <f t="shared" si="85"/>
        <v>437702.05599999998</v>
      </c>
      <c r="JS7" s="89">
        <f t="shared" si="85"/>
        <v>437952.68300000002</v>
      </c>
      <c r="JT7" s="89">
        <f t="shared" si="85"/>
        <v>438195.74800000002</v>
      </c>
      <c r="JU7" s="89">
        <f t="shared" si="85"/>
        <v>438595.81699999998</v>
      </c>
      <c r="JV7" s="89">
        <f t="shared" si="85"/>
        <v>438874.48300000001</v>
      </c>
      <c r="JW7" s="89">
        <f t="shared" si="85"/>
        <v>439261.89500000002</v>
      </c>
      <c r="JX7" s="89">
        <f t="shared" si="85"/>
        <v>439628.228</v>
      </c>
      <c r="JY7" s="89">
        <f t="shared" si="85"/>
        <v>439830.26</v>
      </c>
      <c r="JZ7" s="127"/>
      <c r="KA7" s="89">
        <f>JY8</f>
        <v>440117.14299999998</v>
      </c>
      <c r="KB7" s="89">
        <f t="shared" ref="KB7:LE7" si="86">KA8</f>
        <v>440365.61499999999</v>
      </c>
      <c r="KC7" s="89">
        <f t="shared" si="86"/>
        <v>440570.08899999998</v>
      </c>
      <c r="KD7" s="89">
        <f t="shared" si="86"/>
        <v>440891.64600000001</v>
      </c>
      <c r="KE7" s="89">
        <f t="shared" si="86"/>
        <v>441169.424</v>
      </c>
      <c r="KF7" s="89">
        <f t="shared" si="86"/>
        <v>441470.022</v>
      </c>
      <c r="KG7" s="89">
        <f t="shared" si="86"/>
        <v>441835.87900000002</v>
      </c>
      <c r="KH7" s="89">
        <f t="shared" si="86"/>
        <v>442107.43599999999</v>
      </c>
      <c r="KI7" s="89">
        <f t="shared" si="86"/>
        <v>442471.62</v>
      </c>
      <c r="KJ7" s="89">
        <f t="shared" si="86"/>
        <v>442693.37199999997</v>
      </c>
      <c r="KK7" s="89">
        <f t="shared" si="86"/>
        <v>443015.86300000001</v>
      </c>
      <c r="KL7" s="89">
        <f t="shared" si="86"/>
        <v>443299.88900000002</v>
      </c>
      <c r="KM7" s="89">
        <f t="shared" si="86"/>
        <v>443685.88799999998</v>
      </c>
      <c r="KN7" s="89">
        <f t="shared" si="86"/>
        <v>443988.02399999998</v>
      </c>
      <c r="KO7" s="89">
        <f t="shared" si="86"/>
        <v>444315.489</v>
      </c>
      <c r="KP7" s="89">
        <f t="shared" si="86"/>
        <v>444503.51400000002</v>
      </c>
      <c r="KQ7" s="89">
        <f t="shared" si="86"/>
        <v>444782.83100000001</v>
      </c>
      <c r="KR7" s="89">
        <f t="shared" si="86"/>
        <v>444990.83100000001</v>
      </c>
      <c r="KS7" s="89">
        <f t="shared" si="86"/>
        <v>445233.04399999999</v>
      </c>
      <c r="KT7" s="89">
        <f t="shared" si="86"/>
        <v>445450.87400000001</v>
      </c>
      <c r="KU7" s="89">
        <f t="shared" si="86"/>
        <v>445783.29300000001</v>
      </c>
      <c r="KV7" s="89">
        <f t="shared" si="86"/>
        <v>445986.43199999997</v>
      </c>
      <c r="KW7" s="89">
        <f t="shared" si="86"/>
        <v>446254.62400000001</v>
      </c>
      <c r="KX7" s="89">
        <f t="shared" si="86"/>
        <v>446522.06800000003</v>
      </c>
      <c r="KY7" s="89">
        <f t="shared" si="86"/>
        <v>446826.36700000003</v>
      </c>
      <c r="KZ7" s="89">
        <f t="shared" si="86"/>
        <v>447065.386</v>
      </c>
      <c r="LA7" s="89">
        <f t="shared" si="86"/>
        <v>447357.68599999999</v>
      </c>
      <c r="LB7" s="89">
        <f t="shared" si="86"/>
        <v>447715.43900000001</v>
      </c>
      <c r="LC7" s="89">
        <f t="shared" si="86"/>
        <v>447902.61900000001</v>
      </c>
      <c r="LD7" s="89">
        <f t="shared" si="86"/>
        <v>448191.728</v>
      </c>
      <c r="LE7" s="89">
        <f t="shared" si="86"/>
        <v>448543.10800000001</v>
      </c>
      <c r="LF7" s="127"/>
      <c r="LG7" s="89">
        <f>LE8</f>
        <v>448926.891</v>
      </c>
      <c r="LH7" s="89">
        <f t="shared" ref="LH7:MJ7" si="87">LG8</f>
        <v>449376.38</v>
      </c>
      <c r="LI7" s="89">
        <f t="shared" si="87"/>
        <v>449784.75</v>
      </c>
      <c r="LJ7" s="89">
        <f t="shared" si="87"/>
        <v>450174.85600000003</v>
      </c>
      <c r="LK7" s="89">
        <f t="shared" si="87"/>
        <v>450490.96799999999</v>
      </c>
      <c r="LL7" s="89">
        <f t="shared" si="87"/>
        <v>450769.19199999998</v>
      </c>
      <c r="LM7" s="89">
        <f t="shared" si="87"/>
        <v>451120.43099999998</v>
      </c>
      <c r="LN7" s="89">
        <f t="shared" si="87"/>
        <v>451480.005</v>
      </c>
      <c r="LO7" s="89">
        <f t="shared" si="87"/>
        <v>451873.24300000002</v>
      </c>
      <c r="LP7" s="89">
        <f t="shared" si="87"/>
        <v>452138.99200000003</v>
      </c>
      <c r="LQ7" s="89">
        <f t="shared" si="87"/>
        <v>452531.20899999997</v>
      </c>
      <c r="LR7" s="89">
        <f t="shared" si="87"/>
        <v>452837.52899999998</v>
      </c>
      <c r="LS7" s="89">
        <f t="shared" si="87"/>
        <v>453188.55900000001</v>
      </c>
      <c r="LT7" s="89">
        <f t="shared" si="87"/>
        <v>453499.91</v>
      </c>
      <c r="LU7" s="89">
        <f t="shared" si="87"/>
        <v>453983.82699999999</v>
      </c>
      <c r="LV7" s="89">
        <f t="shared" si="87"/>
        <v>454342.96799999999</v>
      </c>
      <c r="LW7" s="89">
        <f t="shared" si="87"/>
        <v>454809.99099999998</v>
      </c>
      <c r="LX7" s="89">
        <f t="shared" si="87"/>
        <v>455069.23599999998</v>
      </c>
      <c r="LY7" s="89">
        <f t="shared" si="87"/>
        <v>455491.212</v>
      </c>
      <c r="LZ7" s="89">
        <f t="shared" si="87"/>
        <v>455808.82500000001</v>
      </c>
      <c r="MA7" s="89">
        <f t="shared" si="87"/>
        <v>456209.266</v>
      </c>
      <c r="MB7" s="89">
        <f t="shared" si="87"/>
        <v>456482.837</v>
      </c>
      <c r="MC7" s="89">
        <f t="shared" si="87"/>
        <v>456823.12</v>
      </c>
      <c r="MD7" s="89">
        <f t="shared" si="87"/>
        <v>457191.114</v>
      </c>
      <c r="ME7" s="89">
        <f t="shared" si="87"/>
        <v>457541.23300000001</v>
      </c>
      <c r="MF7" s="89">
        <f t="shared" si="87"/>
        <v>457781.10399999999</v>
      </c>
      <c r="MG7" s="89">
        <f t="shared" si="87"/>
        <v>458125.78600000002</v>
      </c>
      <c r="MH7" s="89">
        <f t="shared" si="87"/>
        <v>458405.109</v>
      </c>
      <c r="MI7" s="89">
        <f t="shared" si="87"/>
        <v>458697.46399999998</v>
      </c>
      <c r="MJ7" s="89">
        <f t="shared" si="87"/>
        <v>459035.81099999999</v>
      </c>
      <c r="MK7" s="127"/>
      <c r="ML7" s="89">
        <f>MJ8</f>
        <v>459266.31699999998</v>
      </c>
      <c r="MM7" s="89">
        <f t="shared" ref="MM7:NP7" si="88">ML8</f>
        <v>459627.99699999997</v>
      </c>
      <c r="MN7" s="89">
        <f t="shared" si="88"/>
        <v>459974.2</v>
      </c>
      <c r="MO7" s="89">
        <f t="shared" si="88"/>
        <v>460223.53499999997</v>
      </c>
      <c r="MP7" s="89">
        <f t="shared" si="88"/>
        <v>460548.28</v>
      </c>
      <c r="MQ7" s="89">
        <f t="shared" si="88"/>
        <v>460929.74099999998</v>
      </c>
      <c r="MR7" s="89">
        <f t="shared" si="88"/>
        <v>461255.89199999999</v>
      </c>
      <c r="MS7" s="89">
        <f t="shared" si="88"/>
        <v>461554.35700000002</v>
      </c>
      <c r="MT7" s="89">
        <f t="shared" si="88"/>
        <v>461847.978</v>
      </c>
      <c r="MU7" s="89">
        <f t="shared" si="88"/>
        <v>462273.23599999998</v>
      </c>
      <c r="MV7" s="89">
        <f t="shared" si="88"/>
        <v>462546.52600000001</v>
      </c>
      <c r="MW7" s="89">
        <f t="shared" si="88"/>
        <v>462851.17300000001</v>
      </c>
      <c r="MX7" s="89">
        <f t="shared" si="88"/>
        <v>463240.897</v>
      </c>
      <c r="MY7" s="89">
        <f t="shared" si="88"/>
        <v>463577.10100000002</v>
      </c>
      <c r="MZ7" s="89">
        <f t="shared" si="88"/>
        <v>463765.59399999998</v>
      </c>
      <c r="NA7" s="89">
        <f t="shared" si="88"/>
        <v>464033.18099999998</v>
      </c>
      <c r="NB7" s="89">
        <f t="shared" si="88"/>
        <v>464368.13</v>
      </c>
      <c r="NC7" s="89">
        <f t="shared" si="88"/>
        <v>464603.04300000001</v>
      </c>
      <c r="ND7" s="89">
        <f t="shared" si="88"/>
        <v>464905.66600000003</v>
      </c>
      <c r="NE7" s="89">
        <f t="shared" si="88"/>
        <v>465206.52299999999</v>
      </c>
      <c r="NF7" s="89">
        <f t="shared" si="88"/>
        <v>465518.69500000001</v>
      </c>
      <c r="NG7" s="89">
        <f t="shared" si="88"/>
        <v>465738.43599999999</v>
      </c>
      <c r="NH7" s="89">
        <f t="shared" si="88"/>
        <v>466004.38299999997</v>
      </c>
      <c r="NI7" s="89">
        <f t="shared" si="88"/>
        <v>466300.10499999998</v>
      </c>
      <c r="NJ7" s="89">
        <f t="shared" si="88"/>
        <v>466544.05900000001</v>
      </c>
      <c r="NK7" s="89">
        <f t="shared" si="88"/>
        <v>466823.47399999999</v>
      </c>
      <c r="NL7" s="89">
        <f t="shared" si="88"/>
        <v>467168.24099999998</v>
      </c>
      <c r="NM7" s="89">
        <f t="shared" si="88"/>
        <v>467471.79200000002</v>
      </c>
      <c r="NN7" s="89">
        <f t="shared" si="88"/>
        <v>467706.65</v>
      </c>
      <c r="NO7" s="89">
        <f t="shared" si="88"/>
        <v>468008.70400000003</v>
      </c>
      <c r="NP7" s="89">
        <f t="shared" si="88"/>
        <v>468221.99</v>
      </c>
      <c r="NQ7" s="127"/>
      <c r="NR7" s="89">
        <f>NP8</f>
        <v>468393.80499999999</v>
      </c>
      <c r="NS7" s="89">
        <f t="shared" ref="NS7:OV7" si="89">NR8</f>
        <v>468634.00900000002</v>
      </c>
      <c r="NT7" s="89">
        <f t="shared" si="89"/>
        <v>468922.141</v>
      </c>
      <c r="NU7" s="89">
        <f t="shared" si="89"/>
        <v>469298.46399999998</v>
      </c>
      <c r="NV7" s="89">
        <f t="shared" si="89"/>
        <v>469546.359</v>
      </c>
      <c r="NW7" s="89">
        <f t="shared" si="89"/>
        <v>469876.93400000001</v>
      </c>
      <c r="NX7" s="89">
        <f t="shared" si="89"/>
        <v>470218.27600000001</v>
      </c>
      <c r="NY7" s="89">
        <f t="shared" si="89"/>
        <v>470514.77399999998</v>
      </c>
      <c r="NZ7" s="89">
        <f t="shared" si="89"/>
        <v>470757.07299999997</v>
      </c>
      <c r="OA7" s="89">
        <f t="shared" si="89"/>
        <v>471091.38</v>
      </c>
      <c r="OB7" s="89">
        <f t="shared" si="89"/>
        <v>471425.90399999998</v>
      </c>
      <c r="OC7" s="89">
        <f t="shared" si="89"/>
        <v>471758.30499999999</v>
      </c>
      <c r="OD7" s="89">
        <f t="shared" si="89"/>
        <v>471991.663</v>
      </c>
      <c r="OE7" s="89">
        <f t="shared" si="89"/>
        <v>472404.97200000001</v>
      </c>
      <c r="OF7" s="89">
        <f t="shared" si="89"/>
        <v>472771.21799999999</v>
      </c>
      <c r="OG7" s="89">
        <f t="shared" si="89"/>
        <v>473142.59499999997</v>
      </c>
      <c r="OH7" s="89">
        <f t="shared" si="89"/>
        <v>473526.35399999999</v>
      </c>
      <c r="OI7" s="89">
        <f t="shared" si="89"/>
        <v>473830.86800000002</v>
      </c>
      <c r="OJ7" s="89">
        <f t="shared" si="89"/>
        <v>474068.04100000003</v>
      </c>
      <c r="OK7" s="89">
        <f t="shared" si="89"/>
        <v>474445.36</v>
      </c>
      <c r="OL7" s="89">
        <f t="shared" si="89"/>
        <v>474777.11800000002</v>
      </c>
      <c r="OM7" s="89">
        <f t="shared" si="89"/>
        <v>475050.99200000003</v>
      </c>
      <c r="ON7" s="89">
        <f t="shared" si="89"/>
        <v>475375.95799999998</v>
      </c>
      <c r="OO7" s="89">
        <f t="shared" si="89"/>
        <v>475657.44900000002</v>
      </c>
      <c r="OP7" s="89">
        <f t="shared" si="89"/>
        <v>475976.85</v>
      </c>
      <c r="OQ7" s="89">
        <f t="shared" si="89"/>
        <v>476167.15600000002</v>
      </c>
      <c r="OR7" s="89">
        <f t="shared" si="89"/>
        <v>476497.18199999997</v>
      </c>
      <c r="OS7" s="89">
        <f t="shared" si="89"/>
        <v>476758.011</v>
      </c>
      <c r="OT7" s="89">
        <f t="shared" si="89"/>
        <v>477005.821</v>
      </c>
      <c r="OU7" s="89">
        <f t="shared" si="89"/>
        <v>477369.85600000003</v>
      </c>
      <c r="OV7" s="89">
        <f t="shared" si="89"/>
        <v>477715.60200000001</v>
      </c>
      <c r="OW7" s="127"/>
      <c r="OX7" s="89">
        <f>OV8</f>
        <v>478028.55699999997</v>
      </c>
      <c r="OY7" s="89">
        <f t="shared" ref="OY7:QA7" si="90">OX8</f>
        <v>478284.21799999999</v>
      </c>
      <c r="OZ7" s="89">
        <f t="shared" si="90"/>
        <v>478525.15899999999</v>
      </c>
      <c r="PA7" s="89">
        <f t="shared" si="90"/>
        <v>478834.73499999999</v>
      </c>
      <c r="PB7" s="89">
        <f t="shared" si="90"/>
        <v>479093.46500000003</v>
      </c>
      <c r="PC7" s="89">
        <f t="shared" si="90"/>
        <v>479441.85800000001</v>
      </c>
      <c r="PD7" s="89">
        <f t="shared" si="90"/>
        <v>479734.03200000001</v>
      </c>
      <c r="PE7" s="89">
        <f t="shared" si="90"/>
        <v>480126.38900000002</v>
      </c>
      <c r="PF7" s="89">
        <f t="shared" si="90"/>
        <v>480402.61599999998</v>
      </c>
      <c r="PG7" s="89">
        <f t="shared" si="90"/>
        <v>480784.93800000002</v>
      </c>
      <c r="PH7" s="89">
        <f t="shared" si="90"/>
        <v>481035.81400000001</v>
      </c>
      <c r="PI7" s="89">
        <f t="shared" si="90"/>
        <v>481227.74</v>
      </c>
      <c r="PJ7" s="89">
        <f t="shared" si="90"/>
        <v>481467.63500000001</v>
      </c>
      <c r="PK7" s="89">
        <f t="shared" si="90"/>
        <v>481821.19799999997</v>
      </c>
      <c r="PL7" s="89">
        <f t="shared" si="90"/>
        <v>482113.45699999999</v>
      </c>
      <c r="PM7" s="89">
        <f t="shared" si="90"/>
        <v>482327.636</v>
      </c>
      <c r="PN7" s="89">
        <f t="shared" si="90"/>
        <v>482695.49</v>
      </c>
      <c r="PO7" s="89">
        <f t="shared" si="90"/>
        <v>482982.50599999999</v>
      </c>
      <c r="PP7" s="89">
        <f t="shared" si="90"/>
        <v>483210.15700000001</v>
      </c>
      <c r="PQ7" s="89">
        <f t="shared" si="90"/>
        <v>483488.10399999999</v>
      </c>
      <c r="PR7" s="89">
        <f t="shared" si="90"/>
        <v>483696.77100000001</v>
      </c>
      <c r="PS7" s="89">
        <f t="shared" si="90"/>
        <v>483943.19199999998</v>
      </c>
      <c r="PT7" s="89">
        <f t="shared" si="90"/>
        <v>484096.98200000002</v>
      </c>
      <c r="PU7" s="89">
        <f t="shared" si="90"/>
        <v>484294.80800000002</v>
      </c>
      <c r="PV7" s="89">
        <f t="shared" si="90"/>
        <v>484603.022</v>
      </c>
      <c r="PW7" s="89">
        <f t="shared" si="90"/>
        <v>484734.924</v>
      </c>
      <c r="PX7" s="89">
        <f t="shared" si="90"/>
        <v>484914.38099999999</v>
      </c>
      <c r="PY7" s="89">
        <f t="shared" si="90"/>
        <v>485186.65399999998</v>
      </c>
      <c r="PZ7" s="89">
        <f t="shared" si="90"/>
        <v>485371.75</v>
      </c>
      <c r="QA7" s="89">
        <f t="shared" si="90"/>
        <v>485537.65899999999</v>
      </c>
      <c r="QB7" s="127"/>
      <c r="QC7" s="89">
        <f>QA8</f>
        <v>485830.967</v>
      </c>
      <c r="QD7" s="89">
        <f t="shared" ref="QD7:RG7" si="91">QC8</f>
        <v>486017.89899999998</v>
      </c>
      <c r="QE7" s="89">
        <f t="shared" si="91"/>
        <v>486228.28100000002</v>
      </c>
      <c r="QF7" s="89">
        <f t="shared" si="91"/>
        <v>486461.08100000001</v>
      </c>
      <c r="QG7" s="89">
        <f t="shared" si="91"/>
        <v>486782.08100000001</v>
      </c>
      <c r="QH7" s="89">
        <f t="shared" si="91"/>
        <v>487231.99300000002</v>
      </c>
      <c r="QI7" s="89">
        <f t="shared" si="91"/>
        <v>487455.19300000003</v>
      </c>
      <c r="QJ7" s="89">
        <f t="shared" si="91"/>
        <v>487760.49300000002</v>
      </c>
      <c r="QK7" s="89">
        <f t="shared" si="91"/>
        <v>488154.348</v>
      </c>
      <c r="QL7" s="89">
        <f t="shared" si="91"/>
        <v>488386.125</v>
      </c>
      <c r="QM7" s="89">
        <f t="shared" si="91"/>
        <v>488641.10499999998</v>
      </c>
      <c r="QN7" s="89">
        <f t="shared" si="91"/>
        <v>489001.27500000002</v>
      </c>
      <c r="QO7" s="89">
        <f t="shared" si="91"/>
        <v>489272.07500000001</v>
      </c>
      <c r="QP7" s="89">
        <f t="shared" si="91"/>
        <v>489565.95500000002</v>
      </c>
      <c r="QQ7" s="89">
        <f t="shared" si="91"/>
        <v>489877.45500000002</v>
      </c>
      <c r="QR7" s="89">
        <f t="shared" si="91"/>
        <v>490170.837</v>
      </c>
      <c r="QS7" s="89">
        <f t="shared" si="91"/>
        <v>490396.23700000002</v>
      </c>
      <c r="QT7" s="89">
        <f t="shared" si="91"/>
        <v>490622.13699999999</v>
      </c>
      <c r="QU7" s="89">
        <f t="shared" si="91"/>
        <v>490948.74200000003</v>
      </c>
      <c r="QV7" s="89">
        <f t="shared" si="91"/>
        <v>491255.63699999999</v>
      </c>
      <c r="QW7" s="89">
        <f t="shared" si="91"/>
        <v>491417.837</v>
      </c>
      <c r="QX7" s="89">
        <f t="shared" si="91"/>
        <v>491696.03700000001</v>
      </c>
      <c r="QY7" s="89">
        <f t="shared" si="91"/>
        <v>491869.337</v>
      </c>
      <c r="QZ7" s="89">
        <f t="shared" si="91"/>
        <v>492126.23700000002</v>
      </c>
      <c r="RA7" s="89">
        <f t="shared" si="91"/>
        <v>492468.54700000002</v>
      </c>
      <c r="RB7" s="89">
        <f t="shared" si="91"/>
        <v>492998.55900000001</v>
      </c>
      <c r="RC7" s="89">
        <f t="shared" si="91"/>
        <v>493271.25900000002</v>
      </c>
      <c r="RD7" s="89">
        <f t="shared" si="91"/>
        <v>493540.22899999999</v>
      </c>
      <c r="RE7" s="89">
        <f t="shared" si="91"/>
        <v>493796.92599999998</v>
      </c>
      <c r="RF7" s="89">
        <f t="shared" si="91"/>
        <v>494033.62599999999</v>
      </c>
      <c r="RG7" s="89">
        <f t="shared" si="91"/>
        <v>494283.95299999998</v>
      </c>
      <c r="RH7" s="127"/>
      <c r="RI7" s="89">
        <f>RG8</f>
        <v>494608.65299999999</v>
      </c>
      <c r="RJ7" s="89">
        <f t="shared" ref="RJ7:SL7" si="92">RI8</f>
        <v>494888.26199999999</v>
      </c>
      <c r="RK7" s="89">
        <f t="shared" si="92"/>
        <v>495198.55499999999</v>
      </c>
      <c r="RL7" s="89">
        <f t="shared" si="92"/>
        <v>495492.01</v>
      </c>
      <c r="RM7" s="89">
        <f t="shared" si="92"/>
        <v>495778.73499999999</v>
      </c>
      <c r="RN7" s="89">
        <f t="shared" si="92"/>
        <v>496023.408</v>
      </c>
      <c r="RO7" s="89">
        <f t="shared" si="92"/>
        <v>496338.65600000002</v>
      </c>
      <c r="RP7" s="89">
        <f t="shared" si="92"/>
        <v>496543.99900000001</v>
      </c>
      <c r="RQ7" s="89">
        <f t="shared" si="92"/>
        <v>496808.67599999998</v>
      </c>
      <c r="RR7" s="89">
        <f t="shared" si="92"/>
        <v>497150.83100000001</v>
      </c>
      <c r="RS7" s="89">
        <f t="shared" si="92"/>
        <v>497406.30099999998</v>
      </c>
      <c r="RT7" s="89">
        <f t="shared" si="92"/>
        <v>497703.85499999998</v>
      </c>
      <c r="RU7" s="89">
        <f t="shared" si="92"/>
        <v>497996.696</v>
      </c>
      <c r="RV7" s="89">
        <f t="shared" si="92"/>
        <v>498249.86099999998</v>
      </c>
      <c r="RW7" s="89">
        <f t="shared" si="92"/>
        <v>498413.83600000001</v>
      </c>
      <c r="RX7" s="89">
        <f t="shared" si="92"/>
        <v>498661.78700000001</v>
      </c>
      <c r="RY7" s="89">
        <f t="shared" si="92"/>
        <v>498890.484</v>
      </c>
      <c r="RZ7" s="89">
        <f t="shared" si="92"/>
        <v>499080.20600000001</v>
      </c>
      <c r="SA7" s="89">
        <f t="shared" si="92"/>
        <v>499320.9</v>
      </c>
      <c r="SB7" s="89">
        <f t="shared" si="92"/>
        <v>499622.59600000002</v>
      </c>
      <c r="SC7" s="89">
        <f t="shared" si="92"/>
        <v>499850.46500000003</v>
      </c>
      <c r="SD7" s="89">
        <f t="shared" si="92"/>
        <v>500082.73</v>
      </c>
      <c r="SE7" s="89">
        <f t="shared" si="92"/>
        <v>500485.70400000003</v>
      </c>
      <c r="SF7" s="89">
        <f t="shared" si="92"/>
        <v>500782.98499999999</v>
      </c>
      <c r="SG7" s="89">
        <f t="shared" si="92"/>
        <v>500999.27</v>
      </c>
      <c r="SH7" s="89">
        <f t="shared" si="92"/>
        <v>501309.66899999999</v>
      </c>
      <c r="SI7" s="89">
        <f t="shared" si="92"/>
        <v>501641.10100000002</v>
      </c>
      <c r="SJ7" s="89">
        <f t="shared" si="92"/>
        <v>501901.29200000002</v>
      </c>
      <c r="SK7" s="89">
        <f t="shared" si="92"/>
        <v>502231.03600000002</v>
      </c>
      <c r="SL7" s="89">
        <f t="shared" si="92"/>
        <v>502575.25799999997</v>
      </c>
      <c r="SM7" s="127"/>
      <c r="SN7" s="89">
        <f>SL8</f>
        <v>502911.853</v>
      </c>
      <c r="SO7" s="89">
        <f t="shared" ref="SO7:TR7" si="93">SN8</f>
        <v>503177.266</v>
      </c>
      <c r="SP7" s="89">
        <f t="shared" si="93"/>
        <v>503373.32900000003</v>
      </c>
      <c r="SQ7" s="89">
        <f t="shared" si="93"/>
        <v>503623.69</v>
      </c>
      <c r="SR7" s="89">
        <f t="shared" si="93"/>
        <v>503836.31</v>
      </c>
      <c r="SS7" s="89">
        <f t="shared" si="93"/>
        <v>504116.83500000002</v>
      </c>
      <c r="ST7" s="89">
        <f t="shared" si="93"/>
        <v>504419.91899999999</v>
      </c>
      <c r="SU7" s="89">
        <f t="shared" si="93"/>
        <v>504724.58299999998</v>
      </c>
      <c r="SV7" s="89">
        <f t="shared" si="93"/>
        <v>505008.59100000001</v>
      </c>
      <c r="SW7" s="89">
        <f t="shared" si="93"/>
        <v>505321.01199999999</v>
      </c>
      <c r="SX7" s="89">
        <f t="shared" si="93"/>
        <v>505572.38400000002</v>
      </c>
      <c r="SY7" s="89">
        <f t="shared" si="93"/>
        <v>505797.201</v>
      </c>
      <c r="SZ7" s="89">
        <f t="shared" si="93"/>
        <v>506065.78200000001</v>
      </c>
      <c r="TA7" s="89">
        <f t="shared" si="93"/>
        <v>506386.891</v>
      </c>
      <c r="TB7" s="89">
        <f t="shared" si="93"/>
        <v>506698.842</v>
      </c>
      <c r="TC7" s="89">
        <f t="shared" si="93"/>
        <v>507015.788</v>
      </c>
      <c r="TD7" s="89">
        <f t="shared" si="93"/>
        <v>507290.13900000002</v>
      </c>
      <c r="TE7" s="89">
        <f t="shared" si="93"/>
        <v>507606.098</v>
      </c>
      <c r="TF7" s="89">
        <f t="shared" si="93"/>
        <v>507935.68800000002</v>
      </c>
      <c r="TG7" s="89">
        <f t="shared" si="93"/>
        <v>508213.22100000002</v>
      </c>
      <c r="TH7" s="89">
        <f t="shared" si="93"/>
        <v>508549.87400000001</v>
      </c>
      <c r="TI7" s="89">
        <f t="shared" si="93"/>
        <v>508877.85100000002</v>
      </c>
      <c r="TJ7" s="89">
        <f t="shared" si="93"/>
        <v>509103.24800000002</v>
      </c>
      <c r="TK7" s="89">
        <f t="shared" si="93"/>
        <v>509413.761</v>
      </c>
      <c r="TL7" s="89">
        <f t="shared" si="93"/>
        <v>509689.902</v>
      </c>
      <c r="TM7" s="89">
        <f t="shared" si="93"/>
        <v>509920.79499999998</v>
      </c>
      <c r="TN7" s="89">
        <f t="shared" si="93"/>
        <v>510175.674</v>
      </c>
      <c r="TO7" s="89">
        <f t="shared" si="93"/>
        <v>510478.09399999998</v>
      </c>
      <c r="TP7" s="89">
        <f t="shared" si="93"/>
        <v>510662.326</v>
      </c>
      <c r="TQ7" s="89">
        <f t="shared" si="93"/>
        <v>510870.68099999998</v>
      </c>
      <c r="TR7" s="89">
        <f t="shared" si="93"/>
        <v>511118.80300000001</v>
      </c>
      <c r="TS7" s="127"/>
      <c r="TT7" s="89">
        <f>TR8</f>
        <v>511375.315</v>
      </c>
      <c r="TU7" s="89">
        <f t="shared" ref="TU7:UX7" si="94">TT8</f>
        <v>511624.36800000002</v>
      </c>
      <c r="TV7" s="89">
        <f t="shared" si="94"/>
        <v>511870.03499999997</v>
      </c>
      <c r="TW7" s="89">
        <f t="shared" si="94"/>
        <v>512142.18699999998</v>
      </c>
      <c r="TX7" s="89">
        <f t="shared" si="94"/>
        <v>512485.098</v>
      </c>
      <c r="TY7" s="89">
        <f t="shared" si="94"/>
        <v>512658.07299999997</v>
      </c>
      <c r="TZ7" s="89">
        <f t="shared" si="94"/>
        <v>512918.97100000002</v>
      </c>
      <c r="UA7" s="89">
        <f t="shared" si="94"/>
        <v>513220.02</v>
      </c>
      <c r="UB7" s="89">
        <f t="shared" si="94"/>
        <v>513543.80099999998</v>
      </c>
      <c r="UC7" s="89">
        <f t="shared" si="94"/>
        <v>513844.984</v>
      </c>
      <c r="UD7" s="89">
        <f t="shared" si="94"/>
        <v>514130.788</v>
      </c>
      <c r="UE7" s="89">
        <f t="shared" si="94"/>
        <v>514473.29499999998</v>
      </c>
      <c r="UF7" s="89">
        <f t="shared" si="94"/>
        <v>514706.09</v>
      </c>
      <c r="UG7" s="89">
        <f t="shared" si="94"/>
        <v>515016.386</v>
      </c>
      <c r="UH7" s="89">
        <f t="shared" si="94"/>
        <v>515308.576</v>
      </c>
      <c r="UI7" s="89">
        <f t="shared" si="94"/>
        <v>515635.73300000001</v>
      </c>
      <c r="UJ7" s="89">
        <f t="shared" si="94"/>
        <v>515940.70199999999</v>
      </c>
      <c r="UK7" s="89">
        <f t="shared" si="94"/>
        <v>516304.44699999999</v>
      </c>
      <c r="UL7" s="89">
        <f t="shared" si="94"/>
        <v>516736.29300000001</v>
      </c>
      <c r="UM7" s="89">
        <f t="shared" si="94"/>
        <v>517178.94300000003</v>
      </c>
      <c r="UN7" s="89">
        <f t="shared" si="94"/>
        <v>517431.64199999999</v>
      </c>
      <c r="UO7" s="89">
        <f t="shared" si="94"/>
        <v>517759.13900000002</v>
      </c>
      <c r="UP7" s="89">
        <f t="shared" si="94"/>
        <v>518041.70600000001</v>
      </c>
      <c r="UQ7" s="89">
        <f t="shared" si="94"/>
        <v>518347.598</v>
      </c>
      <c r="UR7" s="89">
        <f t="shared" si="94"/>
        <v>518595.42099999997</v>
      </c>
      <c r="US7" s="89">
        <f t="shared" si="94"/>
        <v>518929.80599999998</v>
      </c>
      <c r="UT7" s="89">
        <f t="shared" si="94"/>
        <v>519221.99099999998</v>
      </c>
      <c r="UU7" s="89">
        <f t="shared" si="94"/>
        <v>519530.01400000002</v>
      </c>
      <c r="UV7" s="89">
        <f t="shared" si="94"/>
        <v>519737.02600000001</v>
      </c>
      <c r="UW7" s="89">
        <f t="shared" si="94"/>
        <v>520010.2</v>
      </c>
      <c r="UX7" s="89">
        <f t="shared" si="94"/>
        <v>520336.73300000001</v>
      </c>
      <c r="UY7" s="127"/>
      <c r="UZ7" s="89">
        <f>UX8</f>
        <v>520554.79200000002</v>
      </c>
      <c r="VA7" s="89">
        <f t="shared" ref="VA7:WA7" si="95">UZ8</f>
        <v>520867.522</v>
      </c>
      <c r="VB7" s="89">
        <f t="shared" si="95"/>
        <v>521158.234</v>
      </c>
      <c r="VC7" s="89">
        <f t="shared" si="95"/>
        <v>521464.14299999998</v>
      </c>
      <c r="VD7" s="89">
        <f t="shared" si="95"/>
        <v>521679.84100000001</v>
      </c>
      <c r="VE7" s="89">
        <f t="shared" si="95"/>
        <v>521962.20500000002</v>
      </c>
      <c r="VF7" s="89">
        <f t="shared" si="95"/>
        <v>522243.33199999999</v>
      </c>
      <c r="VG7" s="89">
        <f t="shared" si="95"/>
        <v>522441.891</v>
      </c>
      <c r="VH7" s="89">
        <f t="shared" si="95"/>
        <v>522780.28399999999</v>
      </c>
      <c r="VI7" s="89">
        <f t="shared" si="95"/>
        <v>523053.68699999998</v>
      </c>
      <c r="VJ7" s="89">
        <f t="shared" si="95"/>
        <v>523316.935</v>
      </c>
      <c r="VK7" s="89">
        <f t="shared" si="95"/>
        <v>523630.82299999997</v>
      </c>
      <c r="VL7" s="89">
        <f t="shared" si="95"/>
        <v>523966.40899999999</v>
      </c>
      <c r="VM7" s="89">
        <f t="shared" si="95"/>
        <v>524283.91800000001</v>
      </c>
      <c r="VN7" s="89">
        <f t="shared" si="95"/>
        <v>524669.52099999995</v>
      </c>
      <c r="VO7" s="89">
        <f t="shared" si="95"/>
        <v>524883.48300000001</v>
      </c>
      <c r="VP7" s="89">
        <f t="shared" si="95"/>
        <v>525216.36399999994</v>
      </c>
      <c r="VQ7" s="89">
        <f t="shared" si="95"/>
        <v>525556.28099999996</v>
      </c>
      <c r="VR7" s="89">
        <f t="shared" si="95"/>
        <v>525877.88899999997</v>
      </c>
      <c r="VS7" s="89">
        <f t="shared" si="95"/>
        <v>526131.05099999998</v>
      </c>
      <c r="VT7" s="89">
        <f t="shared" si="95"/>
        <v>526374.72699999996</v>
      </c>
      <c r="VU7" s="89">
        <f t="shared" si="95"/>
        <v>526656.16299999994</v>
      </c>
      <c r="VV7" s="89">
        <f t="shared" si="95"/>
        <v>526950.85900000005</v>
      </c>
      <c r="VW7" s="89">
        <f t="shared" si="95"/>
        <v>527139.92299999995</v>
      </c>
      <c r="VX7" s="89">
        <f t="shared" si="95"/>
        <v>527446.93099999998</v>
      </c>
      <c r="VY7" s="89">
        <f t="shared" si="95"/>
        <v>527679.30900000001</v>
      </c>
      <c r="VZ7" s="89">
        <f t="shared" si="95"/>
        <v>527976.05000000005</v>
      </c>
      <c r="WA7" s="89">
        <f t="shared" si="95"/>
        <v>528217.10400000005</v>
      </c>
      <c r="WB7" s="127"/>
      <c r="WC7" s="89">
        <f>WA8</f>
        <v>528512.93000000005</v>
      </c>
      <c r="WD7" s="89">
        <f t="shared" ref="WD7:XG7" si="96">WC8</f>
        <v>528802.12800000003</v>
      </c>
      <c r="WE7" s="89">
        <f t="shared" si="96"/>
        <v>529035.03899999999</v>
      </c>
      <c r="WF7" s="89">
        <f t="shared" si="96"/>
        <v>529287.48199999996</v>
      </c>
      <c r="WG7" s="89">
        <f t="shared" si="96"/>
        <v>529563.83600000001</v>
      </c>
      <c r="WH7" s="89">
        <f t="shared" si="96"/>
        <v>529867.74199999997</v>
      </c>
      <c r="WI7" s="89">
        <f t="shared" si="96"/>
        <v>530177.728</v>
      </c>
      <c r="WJ7" s="89">
        <f t="shared" si="96"/>
        <v>530550.49199999997</v>
      </c>
      <c r="WK7" s="89">
        <f t="shared" si="96"/>
        <v>530773.527</v>
      </c>
      <c r="WL7" s="89">
        <f t="shared" si="96"/>
        <v>531076.33299999998</v>
      </c>
      <c r="WM7" s="89">
        <f t="shared" si="96"/>
        <v>531400.32200000004</v>
      </c>
      <c r="WN7" s="89">
        <f t="shared" si="96"/>
        <v>531709.91500000004</v>
      </c>
      <c r="WO7" s="89">
        <f t="shared" si="96"/>
        <v>531999.45200000005</v>
      </c>
      <c r="WP7" s="89">
        <f t="shared" si="96"/>
        <v>532200.67000000004</v>
      </c>
      <c r="WQ7" s="89">
        <f t="shared" si="96"/>
        <v>532532.08499999996</v>
      </c>
      <c r="WR7" s="89">
        <f t="shared" si="96"/>
        <v>532890.87</v>
      </c>
      <c r="WS7" s="89">
        <f t="shared" si="96"/>
        <v>533118.94799999997</v>
      </c>
      <c r="WT7" s="89">
        <f t="shared" si="96"/>
        <v>533401.99</v>
      </c>
      <c r="WU7" s="89">
        <f t="shared" si="96"/>
        <v>533609.84</v>
      </c>
      <c r="WV7" s="89">
        <f t="shared" si="96"/>
        <v>533938.04599999997</v>
      </c>
      <c r="WW7" s="89">
        <f t="shared" si="96"/>
        <v>534186.01100000006</v>
      </c>
      <c r="WX7" s="89">
        <f t="shared" si="96"/>
        <v>534493.89800000004</v>
      </c>
      <c r="WY7" s="89">
        <f t="shared" si="96"/>
        <v>534774.20600000001</v>
      </c>
      <c r="WZ7" s="89">
        <f t="shared" si="96"/>
        <v>535084.26500000001</v>
      </c>
      <c r="XA7" s="89">
        <f t="shared" si="96"/>
        <v>535378.02500000002</v>
      </c>
      <c r="XB7" s="89">
        <f t="shared" si="96"/>
        <v>535651.68400000001</v>
      </c>
      <c r="XC7" s="89">
        <f t="shared" si="96"/>
        <v>535863.31999999995</v>
      </c>
      <c r="XD7" s="89">
        <f t="shared" si="96"/>
        <v>536179.72400000005</v>
      </c>
      <c r="XE7" s="89">
        <f t="shared" si="96"/>
        <v>536738.75600000005</v>
      </c>
      <c r="XF7" s="89">
        <f t="shared" si="96"/>
        <v>537117.12800000003</v>
      </c>
      <c r="XG7" s="89">
        <f t="shared" si="96"/>
        <v>537440.85</v>
      </c>
      <c r="XH7" s="127"/>
      <c r="XI7" s="89">
        <f>XG8</f>
        <v>537743.29500000004</v>
      </c>
      <c r="XJ7" s="89">
        <f t="shared" ref="XJ7:YL7" si="97">XI8</f>
        <v>538075.946</v>
      </c>
      <c r="XK7" s="89">
        <f t="shared" si="97"/>
        <v>538346.74899999995</v>
      </c>
      <c r="XL7" s="89">
        <f t="shared" si="97"/>
        <v>538635.603</v>
      </c>
      <c r="XM7" s="89">
        <f t="shared" si="97"/>
        <v>538898.89199999999</v>
      </c>
      <c r="XN7" s="89">
        <f t="shared" si="97"/>
        <v>539290.21799999999</v>
      </c>
      <c r="XO7" s="89">
        <f t="shared" si="97"/>
        <v>539631.59900000005</v>
      </c>
      <c r="XP7" s="89">
        <f t="shared" si="97"/>
        <v>540022.11399999994</v>
      </c>
      <c r="XQ7" s="89">
        <f t="shared" si="97"/>
        <v>540318.54</v>
      </c>
      <c r="XR7" s="89">
        <f t="shared" si="97"/>
        <v>540626.33400000003</v>
      </c>
      <c r="XS7" s="89">
        <f t="shared" si="97"/>
        <v>540850.99300000002</v>
      </c>
      <c r="XT7" s="89">
        <f t="shared" si="97"/>
        <v>541196.13600000006</v>
      </c>
      <c r="XU7" s="89">
        <f t="shared" si="97"/>
        <v>541482.98199999996</v>
      </c>
      <c r="XV7" s="89">
        <f t="shared" si="97"/>
        <v>541758.84499999997</v>
      </c>
      <c r="XW7" s="89">
        <f t="shared" si="97"/>
        <v>542043.69999999995</v>
      </c>
      <c r="XX7" s="89">
        <f t="shared" si="97"/>
        <v>542333.39</v>
      </c>
      <c r="XY7" s="89">
        <f t="shared" si="97"/>
        <v>542690.55599999998</v>
      </c>
      <c r="XZ7" s="89">
        <f t="shared" si="97"/>
        <v>542969.11199999996</v>
      </c>
      <c r="YA7" s="89">
        <f t="shared" si="97"/>
        <v>543264.10600000003</v>
      </c>
      <c r="YB7" s="89">
        <f t="shared" si="97"/>
        <v>543664.58299999998</v>
      </c>
      <c r="YC7" s="89">
        <f t="shared" si="97"/>
        <v>543890.27800000005</v>
      </c>
      <c r="YD7" s="89">
        <f t="shared" si="97"/>
        <v>544244.54099999997</v>
      </c>
      <c r="YE7" s="89">
        <f t="shared" si="97"/>
        <v>544465.321</v>
      </c>
      <c r="YF7" s="89">
        <f t="shared" si="97"/>
        <v>544757.40899999999</v>
      </c>
      <c r="YG7" s="89">
        <f t="shared" si="97"/>
        <v>545102.61399999994</v>
      </c>
      <c r="YH7" s="89">
        <f t="shared" si="97"/>
        <v>545547.25600000005</v>
      </c>
      <c r="YI7" s="89">
        <f t="shared" si="97"/>
        <v>545866.69999999995</v>
      </c>
      <c r="YJ7" s="89">
        <f t="shared" si="97"/>
        <v>546182.03200000001</v>
      </c>
      <c r="YK7" s="89">
        <f t="shared" si="97"/>
        <v>546466.62399999995</v>
      </c>
      <c r="YL7" s="89">
        <f t="shared" si="97"/>
        <v>546770.04799999995</v>
      </c>
      <c r="YM7" s="127"/>
      <c r="YN7" s="89">
        <f>YL8</f>
        <v>547081.92500000005</v>
      </c>
      <c r="YO7" s="89">
        <f t="shared" ref="YO7:ZR7" si="98">YN8</f>
        <v>547381.04799999995</v>
      </c>
      <c r="YP7" s="89">
        <f t="shared" si="98"/>
        <v>547727.96600000001</v>
      </c>
      <c r="YQ7" s="89">
        <f t="shared" si="98"/>
        <v>548061.54700000002</v>
      </c>
      <c r="YR7" s="89">
        <f t="shared" si="98"/>
        <v>548450.26699999999</v>
      </c>
      <c r="YS7" s="89">
        <f t="shared" si="98"/>
        <v>548823.08900000004</v>
      </c>
      <c r="YT7" s="89">
        <f t="shared" si="98"/>
        <v>549205.777</v>
      </c>
      <c r="YU7" s="89">
        <f t="shared" si="98"/>
        <v>549457.30000000005</v>
      </c>
      <c r="YV7" s="89">
        <f t="shared" si="98"/>
        <v>549457.30000000005</v>
      </c>
      <c r="YW7" s="89">
        <f t="shared" si="98"/>
        <v>549677.06900000002</v>
      </c>
      <c r="YX7" s="89">
        <f t="shared" si="98"/>
        <v>550070.07700000005</v>
      </c>
      <c r="YY7" s="89">
        <f t="shared" si="98"/>
        <v>550233.902</v>
      </c>
      <c r="YZ7" s="89">
        <f t="shared" si="98"/>
        <v>550639.41700000002</v>
      </c>
      <c r="ZA7" s="89">
        <f t="shared" si="98"/>
        <v>550897.76699999999</v>
      </c>
      <c r="ZB7" s="89">
        <f t="shared" si="98"/>
        <v>551207.80200000003</v>
      </c>
      <c r="ZC7" s="89">
        <f t="shared" si="98"/>
        <v>551493.32400000002</v>
      </c>
      <c r="ZD7" s="89">
        <f t="shared" si="98"/>
        <v>551885.67500000005</v>
      </c>
      <c r="ZE7" s="89">
        <f t="shared" si="98"/>
        <v>552100.79299999995</v>
      </c>
      <c r="ZF7" s="89">
        <f t="shared" si="98"/>
        <v>552379.68500000006</v>
      </c>
      <c r="ZG7" s="89">
        <f t="shared" si="98"/>
        <v>552657.02</v>
      </c>
      <c r="ZH7" s="89">
        <f t="shared" si="98"/>
        <v>552981.41299999994</v>
      </c>
      <c r="ZI7" s="89">
        <f t="shared" si="98"/>
        <v>553283.28399999999</v>
      </c>
      <c r="ZJ7" s="89">
        <f t="shared" si="98"/>
        <v>553644.58299999998</v>
      </c>
      <c r="ZK7" s="89">
        <f t="shared" si="98"/>
        <v>554059.27599999995</v>
      </c>
      <c r="ZL7" s="89">
        <f t="shared" si="98"/>
        <v>554545.16299999994</v>
      </c>
      <c r="ZM7" s="89">
        <f t="shared" si="98"/>
        <v>554863.40099999995</v>
      </c>
      <c r="ZN7" s="89">
        <f t="shared" si="98"/>
        <v>555256.02500000002</v>
      </c>
      <c r="ZO7" s="89">
        <f t="shared" si="98"/>
        <v>555532.42299999995</v>
      </c>
      <c r="ZP7" s="89">
        <f t="shared" si="98"/>
        <v>555930.22</v>
      </c>
      <c r="ZQ7" s="89">
        <f t="shared" si="98"/>
        <v>556183.64800000004</v>
      </c>
      <c r="ZR7" s="89">
        <f t="shared" si="98"/>
        <v>556587.45700000005</v>
      </c>
      <c r="ZS7" s="127"/>
      <c r="ZT7" s="89">
        <f>ZR8</f>
        <v>556994.67500000005</v>
      </c>
      <c r="ZU7" s="89">
        <f t="shared" ref="ZU7:AAW7" si="99">ZT8</f>
        <v>557259.00100000005</v>
      </c>
      <c r="ZV7" s="89">
        <f t="shared" si="99"/>
        <v>557544.76599999995</v>
      </c>
      <c r="ZW7" s="89">
        <f t="shared" si="99"/>
        <v>557839.26800000004</v>
      </c>
      <c r="ZX7" s="89">
        <f t="shared" si="99"/>
        <v>558174.34299999999</v>
      </c>
      <c r="ZY7" s="89">
        <f t="shared" si="99"/>
        <v>558506.00699999998</v>
      </c>
      <c r="ZZ7" s="89">
        <f t="shared" si="99"/>
        <v>558856.52500000002</v>
      </c>
      <c r="AAA7" s="89">
        <f t="shared" si="99"/>
        <v>559222.65399999998</v>
      </c>
      <c r="AAB7" s="89">
        <f t="shared" si="99"/>
        <v>559599.81700000004</v>
      </c>
      <c r="AAC7" s="89">
        <f t="shared" si="99"/>
        <v>559938.68400000001</v>
      </c>
      <c r="AAD7" s="89">
        <f t="shared" si="99"/>
        <v>560264.44400000002</v>
      </c>
      <c r="AAE7" s="89">
        <f t="shared" si="99"/>
        <v>560513.41200000001</v>
      </c>
      <c r="AAF7" s="89">
        <f t="shared" si="99"/>
        <v>560780.43200000003</v>
      </c>
      <c r="AAG7" s="89">
        <f t="shared" si="99"/>
        <v>561245.77099999995</v>
      </c>
      <c r="AAH7" s="89">
        <f t="shared" si="99"/>
        <v>561708.97199999995</v>
      </c>
      <c r="AAI7" s="89">
        <f t="shared" si="99"/>
        <v>562056.47100000002</v>
      </c>
      <c r="AAJ7" s="89">
        <f t="shared" si="99"/>
        <v>562353.554</v>
      </c>
      <c r="AAK7" s="89">
        <f t="shared" si="99"/>
        <v>562751.96900000004</v>
      </c>
      <c r="AAL7" s="89">
        <f t="shared" si="99"/>
        <v>563030.62699999998</v>
      </c>
      <c r="AAM7" s="89">
        <f t="shared" si="99"/>
        <v>563417.21100000001</v>
      </c>
      <c r="AAN7" s="89">
        <f t="shared" si="99"/>
        <v>563761.68000000005</v>
      </c>
      <c r="AAO7" s="89">
        <f t="shared" si="99"/>
        <v>564155.59100000001</v>
      </c>
      <c r="AAP7" s="89">
        <f t="shared" si="99"/>
        <v>564420.63600000006</v>
      </c>
      <c r="AAQ7" s="89">
        <f t="shared" si="99"/>
        <v>564753.81599999999</v>
      </c>
      <c r="AAR7" s="89">
        <f t="shared" si="99"/>
        <v>565105.77899999998</v>
      </c>
      <c r="AAS7" s="89">
        <f t="shared" si="99"/>
        <v>565511.02399999998</v>
      </c>
      <c r="AAT7" s="89">
        <f t="shared" si="99"/>
        <v>565860.924</v>
      </c>
      <c r="AAU7" s="89">
        <f t="shared" si="99"/>
        <v>566188.63800000004</v>
      </c>
      <c r="AAV7" s="89">
        <f t="shared" si="99"/>
        <v>566542.37300000002</v>
      </c>
      <c r="AAW7" s="89">
        <f t="shared" si="99"/>
        <v>566994.40300000005</v>
      </c>
      <c r="AAX7" s="127"/>
      <c r="AAY7" s="89">
        <f>AAW8</f>
        <v>567290.87800000003</v>
      </c>
      <c r="AAZ7" s="89">
        <f t="shared" ref="AAZ7:ACC7" si="100">AAY8</f>
        <v>567684.30700000003</v>
      </c>
      <c r="ABA7" s="89">
        <f t="shared" si="100"/>
        <v>567947.34100000001</v>
      </c>
      <c r="ABB7" s="89">
        <f t="shared" si="100"/>
        <v>568229.08400000003</v>
      </c>
      <c r="ABC7" s="89">
        <f t="shared" si="100"/>
        <v>568501.82700000005</v>
      </c>
      <c r="ABD7" s="89">
        <f t="shared" si="100"/>
        <v>568886.70200000005</v>
      </c>
      <c r="ABE7" s="89">
        <f t="shared" si="100"/>
        <v>569390.19099999999</v>
      </c>
      <c r="ABF7" s="89">
        <f t="shared" si="100"/>
        <v>569722.75399999996</v>
      </c>
      <c r="ABG7" s="89">
        <f t="shared" si="100"/>
        <v>570049.76</v>
      </c>
      <c r="ABH7" s="89">
        <f t="shared" si="100"/>
        <v>570374.41700000002</v>
      </c>
      <c r="ABI7" s="89">
        <f t="shared" si="100"/>
        <v>570651.37899999996</v>
      </c>
      <c r="ABJ7" s="89">
        <f t="shared" si="100"/>
        <v>571058.79500000004</v>
      </c>
      <c r="ABK7" s="89">
        <f t="shared" si="100"/>
        <v>571364.31999999995</v>
      </c>
      <c r="ABL7" s="89">
        <f t="shared" si="100"/>
        <v>571670.95200000005</v>
      </c>
      <c r="ABM7" s="89">
        <f t="shared" si="100"/>
        <v>572002.05000000005</v>
      </c>
      <c r="ABN7" s="89">
        <f t="shared" si="100"/>
        <v>572328.63100000005</v>
      </c>
      <c r="ABO7" s="89">
        <f t="shared" si="100"/>
        <v>572675.83600000001</v>
      </c>
      <c r="ABP7" s="89">
        <f t="shared" si="100"/>
        <v>573036.25699999998</v>
      </c>
      <c r="ABQ7" s="89">
        <f t="shared" si="100"/>
        <v>573408.77300000004</v>
      </c>
      <c r="ABR7" s="89">
        <f t="shared" si="100"/>
        <v>573715.57700000005</v>
      </c>
      <c r="ABS7" s="89">
        <f t="shared" si="100"/>
        <v>574135.92599999998</v>
      </c>
      <c r="ABT7" s="89">
        <f t="shared" si="100"/>
        <v>574545.88100000005</v>
      </c>
      <c r="ABU7" s="89">
        <f t="shared" si="100"/>
        <v>574807.91299999994</v>
      </c>
      <c r="ABV7" s="89">
        <f t="shared" si="100"/>
        <v>575146.19400000002</v>
      </c>
      <c r="ABW7" s="89">
        <f t="shared" si="100"/>
        <v>575479.46100000001</v>
      </c>
      <c r="ABX7" s="89">
        <f t="shared" si="100"/>
        <v>575893.28399999999</v>
      </c>
      <c r="ABY7" s="89">
        <f t="shared" si="100"/>
        <v>576288.16899999999</v>
      </c>
      <c r="ABZ7" s="89">
        <f t="shared" si="100"/>
        <v>576674.81599999999</v>
      </c>
      <c r="ACA7" s="89">
        <f t="shared" si="100"/>
        <v>577072.61399999994</v>
      </c>
      <c r="ACB7" s="89">
        <f t="shared" si="100"/>
        <v>577357.51300000004</v>
      </c>
      <c r="ACC7" s="89">
        <f t="shared" si="100"/>
        <v>577694.29200000002</v>
      </c>
      <c r="ACD7" s="127"/>
      <c r="ACE7" s="89">
        <f>ACC8</f>
        <v>578045.20299999998</v>
      </c>
      <c r="ACF7" s="89">
        <f t="shared" ref="ACF7:ADI7" si="101">ACE8</f>
        <v>578445.60400000005</v>
      </c>
      <c r="ACG7" s="89">
        <f t="shared" si="101"/>
        <v>578809.245</v>
      </c>
      <c r="ACH7" s="89">
        <f t="shared" si="101"/>
        <v>579076.43200000003</v>
      </c>
      <c r="ACI7" s="89">
        <f t="shared" si="101"/>
        <v>579334.25800000003</v>
      </c>
      <c r="ACJ7" s="89">
        <f t="shared" si="101"/>
        <v>579756.723</v>
      </c>
      <c r="ACK7" s="89">
        <f t="shared" si="101"/>
        <v>579988.26699999999</v>
      </c>
      <c r="ACL7" s="89">
        <f t="shared" si="101"/>
        <v>580232.59199999995</v>
      </c>
      <c r="ACM7" s="89">
        <f t="shared" si="101"/>
        <v>580602.91200000001</v>
      </c>
      <c r="ACN7" s="89">
        <f t="shared" si="101"/>
        <v>580850.04500000004</v>
      </c>
      <c r="ACO7" s="89">
        <f t="shared" si="101"/>
        <v>581184.20499999996</v>
      </c>
      <c r="ACP7" s="89">
        <f t="shared" si="101"/>
        <v>581522.45799999998</v>
      </c>
      <c r="ACQ7" s="89">
        <f t="shared" si="101"/>
        <v>581790.228</v>
      </c>
      <c r="ACR7" s="89">
        <f t="shared" si="101"/>
        <v>582141.821</v>
      </c>
      <c r="ACS7" s="89">
        <f t="shared" si="101"/>
        <v>582443.11600000004</v>
      </c>
      <c r="ACT7" s="89">
        <f t="shared" si="101"/>
        <v>582757.00100000005</v>
      </c>
      <c r="ACU7" s="89">
        <f t="shared" si="101"/>
        <v>583114.97400000005</v>
      </c>
      <c r="ACV7" s="89">
        <f t="shared" si="101"/>
        <v>583568.96299999999</v>
      </c>
      <c r="ACW7" s="89">
        <f t="shared" si="101"/>
        <v>583789.71100000001</v>
      </c>
      <c r="ACX7" s="89">
        <f t="shared" si="101"/>
        <v>583945.67799999996</v>
      </c>
      <c r="ACY7" s="89">
        <f t="shared" si="101"/>
        <v>584208.20299999998</v>
      </c>
      <c r="ACZ7" s="89">
        <f t="shared" si="101"/>
        <v>584466.36199999996</v>
      </c>
      <c r="ADA7" s="89">
        <f t="shared" si="101"/>
        <v>584754.84499999997</v>
      </c>
      <c r="ADB7" s="89">
        <f t="shared" si="101"/>
        <v>585071.09299999999</v>
      </c>
      <c r="ADC7" s="89">
        <f t="shared" si="101"/>
        <v>585233.35400000005</v>
      </c>
      <c r="ADD7" s="89">
        <f t="shared" si="101"/>
        <v>585496.31099999999</v>
      </c>
      <c r="ADE7" s="89">
        <f t="shared" si="101"/>
        <v>585763.27</v>
      </c>
      <c r="ADF7" s="89">
        <f t="shared" si="101"/>
        <v>586026.61199999996</v>
      </c>
      <c r="ADG7" s="89">
        <f t="shared" si="101"/>
        <v>586272.95700000005</v>
      </c>
      <c r="ADH7" s="89">
        <f t="shared" si="101"/>
        <v>586563.79299999995</v>
      </c>
      <c r="ADI7" s="89">
        <f t="shared" si="101"/>
        <v>586890.07799999998</v>
      </c>
      <c r="ADJ7" s="127"/>
      <c r="ADK7" s="89">
        <f>ADI8</f>
        <v>587207.25300000003</v>
      </c>
      <c r="ADL7" s="89">
        <f t="shared" ref="ADL7:AEN7" si="102">ADK8</f>
        <v>587395.04500000004</v>
      </c>
      <c r="ADM7" s="89">
        <f t="shared" si="102"/>
        <v>587627.46600000001</v>
      </c>
      <c r="ADN7" s="89">
        <f t="shared" si="102"/>
        <v>587877.67200000002</v>
      </c>
      <c r="ADO7" s="89">
        <f t="shared" si="102"/>
        <v>588129.59400000004</v>
      </c>
      <c r="ADP7" s="89">
        <f t="shared" si="102"/>
        <v>588379.64199999999</v>
      </c>
      <c r="ADQ7" s="89">
        <f t="shared" si="102"/>
        <v>588739.16299999994</v>
      </c>
      <c r="ADR7" s="89">
        <f t="shared" si="102"/>
        <v>589106.54500000004</v>
      </c>
      <c r="ADS7" s="89">
        <f t="shared" si="102"/>
        <v>589388.13199999998</v>
      </c>
      <c r="ADT7" s="89">
        <f t="shared" si="102"/>
        <v>589626.46</v>
      </c>
      <c r="ADU7" s="89">
        <f t="shared" si="102"/>
        <v>589908.77099999995</v>
      </c>
      <c r="ADV7" s="89">
        <f t="shared" si="102"/>
        <v>590177.40099999995</v>
      </c>
      <c r="ADW7" s="89">
        <f t="shared" si="102"/>
        <v>590482.68000000005</v>
      </c>
      <c r="ADX7" s="89">
        <f t="shared" si="102"/>
        <v>590783.51699999999</v>
      </c>
      <c r="ADY7" s="89">
        <f t="shared" si="102"/>
        <v>591051.38199999998</v>
      </c>
      <c r="ADZ7" s="89">
        <f t="shared" si="102"/>
        <v>591314.32900000003</v>
      </c>
      <c r="AEA7" s="89">
        <f t="shared" si="102"/>
        <v>591564.625</v>
      </c>
      <c r="AEB7" s="89">
        <f t="shared" si="102"/>
        <v>591871.33600000001</v>
      </c>
      <c r="AEC7" s="89">
        <f t="shared" si="102"/>
        <v>592223.53799999994</v>
      </c>
      <c r="AED7" s="89">
        <f t="shared" si="102"/>
        <v>592513.17500000005</v>
      </c>
      <c r="AEE7" s="89">
        <f t="shared" si="102"/>
        <v>592916.42700000003</v>
      </c>
      <c r="AEF7" s="89">
        <f t="shared" si="102"/>
        <v>593118.87899999996</v>
      </c>
      <c r="AEG7" s="89">
        <f t="shared" si="102"/>
        <v>593468.32999999996</v>
      </c>
      <c r="AEH7" s="89">
        <f t="shared" si="102"/>
        <v>593722.745</v>
      </c>
      <c r="AEI7" s="89">
        <f t="shared" si="102"/>
        <v>593952.75300000003</v>
      </c>
      <c r="AEJ7" s="89">
        <f t="shared" si="102"/>
        <v>594157.16200000001</v>
      </c>
      <c r="AEK7" s="89">
        <f t="shared" si="102"/>
        <v>594453.745</v>
      </c>
      <c r="AEL7" s="89">
        <f t="shared" si="102"/>
        <v>594727.18400000001</v>
      </c>
      <c r="AEM7" s="89">
        <f t="shared" si="102"/>
        <v>595036.43099999998</v>
      </c>
      <c r="AEN7" s="89">
        <f t="shared" si="102"/>
        <v>595265.84600000002</v>
      </c>
      <c r="AEO7" s="127"/>
      <c r="AEP7" s="89">
        <f>AEN8</f>
        <v>595501.65700000001</v>
      </c>
      <c r="AEQ7" s="89">
        <f t="shared" ref="AEQ7:AFT7" si="103">AEP8</f>
        <v>595874.03200000001</v>
      </c>
      <c r="AER7" s="89">
        <f t="shared" si="103"/>
        <v>596196.29299999995</v>
      </c>
      <c r="AES7" s="89">
        <f t="shared" si="103"/>
        <v>596439.51</v>
      </c>
      <c r="AET7" s="89">
        <f t="shared" si="103"/>
        <v>596780.13699999999</v>
      </c>
      <c r="AEU7" s="89">
        <f t="shared" si="103"/>
        <v>597010.87199999997</v>
      </c>
      <c r="AEV7" s="89">
        <f t="shared" si="103"/>
        <v>597240.68599999999</v>
      </c>
      <c r="AEW7" s="89">
        <f t="shared" si="103"/>
        <v>597460.13199999998</v>
      </c>
      <c r="AEX7" s="89">
        <f t="shared" si="103"/>
        <v>597747.94900000002</v>
      </c>
      <c r="AEY7" s="89">
        <f t="shared" si="103"/>
        <v>598053.99800000002</v>
      </c>
      <c r="AEZ7" s="89">
        <f t="shared" si="103"/>
        <v>598422.14099999995</v>
      </c>
      <c r="AFA7" s="89">
        <f t="shared" si="103"/>
        <v>598697.95799999998</v>
      </c>
      <c r="AFB7" s="89">
        <f t="shared" si="103"/>
        <v>599012.82900000003</v>
      </c>
      <c r="AFC7" s="89">
        <f t="shared" si="103"/>
        <v>599316.04599999997</v>
      </c>
      <c r="AFD7" s="89">
        <f t="shared" si="103"/>
        <v>599633.38500000001</v>
      </c>
      <c r="AFE7" s="89">
        <f t="shared" si="103"/>
        <v>599989.245</v>
      </c>
      <c r="AFF7" s="89">
        <f t="shared" si="103"/>
        <v>600249.65800000005</v>
      </c>
      <c r="AFG7" s="89">
        <f t="shared" si="103"/>
        <v>600548.20200000005</v>
      </c>
      <c r="AFH7" s="89">
        <f t="shared" si="103"/>
        <v>600803.22900000005</v>
      </c>
      <c r="AFI7" s="89">
        <f t="shared" si="103"/>
        <v>601015.84400000004</v>
      </c>
      <c r="AFJ7" s="89">
        <f t="shared" si="103"/>
        <v>601308.07299999997</v>
      </c>
      <c r="AFK7" s="89">
        <f t="shared" si="103"/>
        <v>601577.60600000003</v>
      </c>
      <c r="AFL7" s="89">
        <f t="shared" si="103"/>
        <v>601764.11499999999</v>
      </c>
      <c r="AFM7" s="89">
        <f t="shared" si="103"/>
        <v>602003.63800000004</v>
      </c>
      <c r="AFN7" s="89">
        <f t="shared" si="103"/>
        <v>602254.55200000003</v>
      </c>
      <c r="AFO7" s="89">
        <f t="shared" si="103"/>
        <v>602704.79700000002</v>
      </c>
      <c r="AFP7" s="89">
        <f t="shared" si="103"/>
        <v>602949.054</v>
      </c>
      <c r="AFQ7" s="89">
        <f t="shared" si="103"/>
        <v>603274.67700000003</v>
      </c>
      <c r="AFR7" s="89">
        <f t="shared" si="103"/>
        <v>603528.58900000004</v>
      </c>
      <c r="AFS7" s="89">
        <f t="shared" si="103"/>
        <v>603738.28599999996</v>
      </c>
      <c r="AFT7" s="89">
        <f t="shared" si="103"/>
        <v>603964.86399999994</v>
      </c>
      <c r="AFU7" s="127"/>
      <c r="AFV7" s="89">
        <f>AFT8</f>
        <v>604331.53</v>
      </c>
      <c r="AFW7" s="89">
        <f t="shared" ref="AFW7:AGY7" si="104">AFV8</f>
        <v>604617.70499999996</v>
      </c>
      <c r="AFX7" s="89">
        <f t="shared" si="104"/>
        <v>604984.25699999998</v>
      </c>
      <c r="AFY7" s="89">
        <f t="shared" si="104"/>
        <v>605196.06000000006</v>
      </c>
      <c r="AFZ7" s="89">
        <f t="shared" si="104"/>
        <v>605563.12199999997</v>
      </c>
      <c r="AGA7" s="89">
        <f t="shared" si="104"/>
        <v>605821.29799999995</v>
      </c>
      <c r="AGB7" s="89">
        <f t="shared" si="104"/>
        <v>606075.14</v>
      </c>
      <c r="AGC7" s="89">
        <f t="shared" si="104"/>
        <v>606346.24399999995</v>
      </c>
      <c r="AGD7" s="89">
        <f t="shared" si="104"/>
        <v>606567.24699999997</v>
      </c>
      <c r="AGE7" s="89">
        <f t="shared" si="104"/>
        <v>606892.63100000005</v>
      </c>
      <c r="AGF7" s="89">
        <f t="shared" si="104"/>
        <v>607163.446</v>
      </c>
      <c r="AGG7" s="89">
        <f t="shared" si="104"/>
        <v>607421.02</v>
      </c>
      <c r="AGH7" s="89">
        <f t="shared" si="104"/>
        <v>607660.01300000004</v>
      </c>
      <c r="AGI7" s="89">
        <f t="shared" si="104"/>
        <v>607807.41399999999</v>
      </c>
      <c r="AGJ7" s="89">
        <f t="shared" si="104"/>
        <v>608087.16700000002</v>
      </c>
      <c r="AGK7" s="89">
        <f t="shared" si="104"/>
        <v>608341.30200000003</v>
      </c>
      <c r="AGL7" s="89">
        <f t="shared" si="104"/>
        <v>608541.61899999995</v>
      </c>
      <c r="AGM7" s="89">
        <f t="shared" si="104"/>
        <v>608713.54</v>
      </c>
      <c r="AGN7" s="89">
        <f t="shared" si="104"/>
        <v>608931.495</v>
      </c>
      <c r="AGO7" s="89">
        <f t="shared" si="104"/>
        <v>609297.76300000004</v>
      </c>
      <c r="AGP7" s="89">
        <f t="shared" si="104"/>
        <v>609577.31200000003</v>
      </c>
      <c r="AGQ7" s="89">
        <f t="shared" si="104"/>
        <v>609886.93400000001</v>
      </c>
      <c r="AGR7" s="89">
        <f t="shared" si="104"/>
        <v>610228.14099999995</v>
      </c>
      <c r="AGS7" s="89">
        <f t="shared" si="104"/>
        <v>610567.50699999998</v>
      </c>
      <c r="AGT7" s="89">
        <f t="shared" si="104"/>
        <v>610788.66799999995</v>
      </c>
      <c r="AGU7" s="89">
        <f t="shared" si="104"/>
        <v>611177.55900000001</v>
      </c>
      <c r="AGV7" s="89">
        <f t="shared" si="104"/>
        <v>611486.44799999997</v>
      </c>
      <c r="AGW7" s="89">
        <f t="shared" si="104"/>
        <v>611777.44099999999</v>
      </c>
      <c r="AGX7" s="89">
        <f t="shared" si="104"/>
        <v>612080.26100000006</v>
      </c>
      <c r="AGY7" s="89">
        <f t="shared" si="104"/>
        <v>612473.69200000004</v>
      </c>
      <c r="AGZ7" s="127"/>
      <c r="AHA7" s="89">
        <f>AGY8</f>
        <v>612813.59199999995</v>
      </c>
      <c r="AHB7" s="89">
        <f t="shared" ref="AHB7:AIE7" si="105">AHA8</f>
        <v>613110.40700000001</v>
      </c>
      <c r="AHC7" s="89">
        <f t="shared" si="105"/>
        <v>613450.67299999995</v>
      </c>
      <c r="AHD7" s="89">
        <f t="shared" si="105"/>
        <v>613744.19999999995</v>
      </c>
      <c r="AHE7" s="89">
        <f t="shared" si="105"/>
        <v>614036.31999999995</v>
      </c>
      <c r="AHF7" s="89">
        <f t="shared" si="105"/>
        <v>614419.14300000004</v>
      </c>
      <c r="AHG7" s="89">
        <f t="shared" si="105"/>
        <v>614768.93900000001</v>
      </c>
      <c r="AHH7" s="89">
        <f t="shared" si="105"/>
        <v>615072.97900000005</v>
      </c>
      <c r="AHI7" s="89">
        <f t="shared" si="105"/>
        <v>615349.73600000003</v>
      </c>
      <c r="AHJ7" s="89">
        <f t="shared" si="105"/>
        <v>615619.41899999999</v>
      </c>
      <c r="AHK7" s="89">
        <f t="shared" si="105"/>
        <v>615940.93000000005</v>
      </c>
      <c r="AHL7" s="89">
        <f t="shared" si="105"/>
        <v>616305.46699999995</v>
      </c>
      <c r="AHM7" s="89">
        <f t="shared" si="105"/>
        <v>616717.30000000005</v>
      </c>
      <c r="AHN7" s="89">
        <f t="shared" si="105"/>
        <v>616995.25100000005</v>
      </c>
      <c r="AHO7" s="89">
        <f t="shared" si="105"/>
        <v>617254.31000000006</v>
      </c>
      <c r="AHP7" s="89">
        <f t="shared" si="105"/>
        <v>617474.098</v>
      </c>
      <c r="AHQ7" s="89">
        <f t="shared" si="105"/>
        <v>617765.21499999997</v>
      </c>
      <c r="AHR7" s="89">
        <f t="shared" si="105"/>
        <v>618013.49600000004</v>
      </c>
      <c r="AHS7" s="89">
        <f t="shared" si="105"/>
        <v>618274.19400000002</v>
      </c>
      <c r="AHT7" s="89">
        <f t="shared" si="105"/>
        <v>618620.23100000003</v>
      </c>
      <c r="AHU7" s="89">
        <f t="shared" si="105"/>
        <v>619067.272</v>
      </c>
      <c r="AHV7" s="89">
        <f t="shared" si="105"/>
        <v>619328.35400000005</v>
      </c>
      <c r="AHW7" s="89">
        <f t="shared" si="105"/>
        <v>619699.076</v>
      </c>
      <c r="AHX7" s="89">
        <f t="shared" si="105"/>
        <v>620113.63300000003</v>
      </c>
      <c r="AHY7" s="89">
        <f t="shared" si="105"/>
        <v>620538.21799999999</v>
      </c>
      <c r="AHZ7" s="89">
        <f t="shared" si="105"/>
        <v>620802.76899999997</v>
      </c>
      <c r="AIA7" s="89">
        <f t="shared" si="105"/>
        <v>621000.478</v>
      </c>
      <c r="AIB7" s="89">
        <f t="shared" si="105"/>
        <v>621206.11199999996</v>
      </c>
      <c r="AIC7" s="89">
        <f t="shared" si="105"/>
        <v>621487.90300000005</v>
      </c>
      <c r="AID7" s="89">
        <f t="shared" si="105"/>
        <v>621700.62399999995</v>
      </c>
      <c r="AIE7" s="89">
        <f t="shared" si="105"/>
        <v>621999.81999999995</v>
      </c>
      <c r="AIF7" s="127"/>
      <c r="AIG7" s="89">
        <f>AIE8</f>
        <v>622288.69900000002</v>
      </c>
      <c r="AIH7" s="89">
        <f t="shared" ref="AIH7:AJK7" si="106">AIG8</f>
        <v>622561.41</v>
      </c>
      <c r="AII7" s="89">
        <f t="shared" si="106"/>
        <v>622762.00800000003</v>
      </c>
      <c r="AIJ7" s="89">
        <f t="shared" si="106"/>
        <v>622987.25600000005</v>
      </c>
      <c r="AIK7" s="89">
        <f t="shared" si="106"/>
        <v>623331.31099999999</v>
      </c>
      <c r="AIL7" s="89">
        <f t="shared" si="106"/>
        <v>623622.74899999995</v>
      </c>
      <c r="AIM7" s="89">
        <f t="shared" si="106"/>
        <v>623982.15800000005</v>
      </c>
      <c r="AIN7" s="89">
        <f t="shared" si="106"/>
        <v>624351.30200000003</v>
      </c>
      <c r="AIO7" s="89">
        <f t="shared" si="106"/>
        <v>624717.66500000004</v>
      </c>
      <c r="AIP7" s="89">
        <f t="shared" si="106"/>
        <v>624970.48899999994</v>
      </c>
      <c r="AIQ7" s="89">
        <f t="shared" si="106"/>
        <v>625448.88500000001</v>
      </c>
      <c r="AIR7" s="89">
        <f t="shared" si="106"/>
        <v>625811.72499999998</v>
      </c>
      <c r="AIS7" s="89">
        <f t="shared" si="106"/>
        <v>626119.38899999997</v>
      </c>
      <c r="AIT7" s="89">
        <f t="shared" si="106"/>
        <v>626429.29799999995</v>
      </c>
      <c r="AIU7" s="89">
        <f t="shared" si="106"/>
        <v>626785.84900000005</v>
      </c>
      <c r="AIV7" s="89">
        <f t="shared" si="106"/>
        <v>627022.277</v>
      </c>
      <c r="AIW7" s="89">
        <f t="shared" si="106"/>
        <v>627513.08900000004</v>
      </c>
      <c r="AIX7" s="89">
        <f t="shared" si="106"/>
        <v>627667.902</v>
      </c>
      <c r="AIY7" s="89">
        <f t="shared" si="106"/>
        <v>627837.01199999999</v>
      </c>
      <c r="AIZ7" s="89">
        <f t="shared" si="106"/>
        <v>628146.64500000002</v>
      </c>
      <c r="AJA7" s="89">
        <f t="shared" si="106"/>
        <v>628400.26699999999</v>
      </c>
      <c r="AJB7" s="89">
        <f t="shared" si="106"/>
        <v>628805.20299999998</v>
      </c>
      <c r="AJC7" s="89">
        <f t="shared" si="106"/>
        <v>629087.43000000005</v>
      </c>
      <c r="AJD7" s="89">
        <f t="shared" si="106"/>
        <v>629316.39199999999</v>
      </c>
      <c r="AJE7" s="89">
        <f t="shared" si="106"/>
        <v>629642.46299999999</v>
      </c>
      <c r="AJF7" s="89">
        <f t="shared" si="106"/>
        <v>629906.48199999996</v>
      </c>
      <c r="AJG7" s="89">
        <f t="shared" si="106"/>
        <v>630200.09299999999</v>
      </c>
      <c r="AJH7" s="89">
        <f t="shared" si="106"/>
        <v>630615.39800000004</v>
      </c>
      <c r="AJI7" s="89">
        <f t="shared" si="106"/>
        <v>630897.78899999999</v>
      </c>
      <c r="AJJ7" s="89">
        <f t="shared" si="106"/>
        <v>631185.66700000002</v>
      </c>
      <c r="AJK7" s="89">
        <f t="shared" si="106"/>
        <v>631488.75199999998</v>
      </c>
      <c r="AJL7" s="127"/>
      <c r="AJM7" s="89">
        <f>AJK8</f>
        <v>631758.07299999997</v>
      </c>
      <c r="AJN7" s="89">
        <f t="shared" ref="AJN7:AKN7" si="107">AJM8</f>
        <v>631961.97400000005</v>
      </c>
      <c r="AJO7" s="89">
        <f t="shared" si="107"/>
        <v>632338.15500000003</v>
      </c>
      <c r="AJP7" s="89">
        <f t="shared" si="107"/>
        <v>632712.40599999996</v>
      </c>
      <c r="AJQ7" s="89">
        <f t="shared" si="107"/>
        <v>633035.26100000006</v>
      </c>
      <c r="AJR7" s="89">
        <f t="shared" si="107"/>
        <v>633370.55000000005</v>
      </c>
      <c r="AJS7" s="89">
        <f t="shared" si="107"/>
        <v>633623.52399999998</v>
      </c>
      <c r="AJT7" s="89">
        <f t="shared" si="107"/>
        <v>633873.45799999998</v>
      </c>
      <c r="AJU7" s="89">
        <f t="shared" si="107"/>
        <v>634136.52899999998</v>
      </c>
      <c r="AJV7" s="89">
        <f t="shared" si="107"/>
        <v>634359.87600000005</v>
      </c>
      <c r="AJW7" s="89">
        <f t="shared" si="107"/>
        <v>634610.94999999995</v>
      </c>
      <c r="AJX7" s="89">
        <f t="shared" si="107"/>
        <v>634832.13500000001</v>
      </c>
      <c r="AJY7" s="89">
        <f t="shared" si="107"/>
        <v>635107.62800000003</v>
      </c>
      <c r="AJZ7" s="89">
        <f t="shared" si="107"/>
        <v>635428.61100000003</v>
      </c>
      <c r="AKA7" s="89">
        <f t="shared" si="107"/>
        <v>635730.42700000003</v>
      </c>
      <c r="AKB7" s="89">
        <f t="shared" si="107"/>
        <v>636055.30200000003</v>
      </c>
      <c r="AKC7" s="89">
        <f t="shared" si="107"/>
        <v>636224.603</v>
      </c>
      <c r="AKD7" s="89">
        <f t="shared" si="107"/>
        <v>636535.75300000003</v>
      </c>
      <c r="AKE7" s="89">
        <f t="shared" si="107"/>
        <v>636799.03200000001</v>
      </c>
      <c r="AKF7" s="89">
        <f t="shared" si="107"/>
        <v>637007.85800000001</v>
      </c>
      <c r="AKG7" s="89">
        <f t="shared" si="107"/>
        <v>637321.71100000001</v>
      </c>
      <c r="AKH7" s="89">
        <f t="shared" si="107"/>
        <v>637629.81799999997</v>
      </c>
      <c r="AKI7" s="89">
        <f t="shared" si="107"/>
        <v>637745.603</v>
      </c>
      <c r="AKJ7" s="89">
        <f t="shared" si="107"/>
        <v>637983.35400000005</v>
      </c>
      <c r="AKK7" s="89">
        <f t="shared" si="107"/>
        <v>638287.47</v>
      </c>
      <c r="AKL7" s="89">
        <f t="shared" si="107"/>
        <v>638560.14500000002</v>
      </c>
      <c r="AKM7" s="89">
        <f t="shared" si="107"/>
        <v>638787.48400000005</v>
      </c>
      <c r="AKN7" s="89">
        <f t="shared" si="107"/>
        <v>639092.005</v>
      </c>
      <c r="AKO7" s="127"/>
      <c r="AKP7" s="89">
        <f>AKN8</f>
        <v>639267.23</v>
      </c>
      <c r="AKQ7" s="89">
        <f t="shared" ref="AKQ7:ALT7" si="108">AKP8</f>
        <v>639489.37699999998</v>
      </c>
      <c r="AKR7" s="89">
        <f t="shared" si="108"/>
        <v>639782.022</v>
      </c>
      <c r="AKS7" s="89">
        <f t="shared" si="108"/>
        <v>640052.40700000001</v>
      </c>
      <c r="AKT7" s="89">
        <f t="shared" si="108"/>
        <v>640254.429</v>
      </c>
      <c r="AKU7" s="89">
        <f t="shared" si="108"/>
        <v>640506.821</v>
      </c>
      <c r="AKV7" s="89">
        <f t="shared" si="108"/>
        <v>640734.36100000003</v>
      </c>
      <c r="AKW7" s="89">
        <f t="shared" si="108"/>
        <v>640956.57499999995</v>
      </c>
      <c r="AKX7" s="89">
        <f t="shared" si="108"/>
        <v>641128.40700000001</v>
      </c>
      <c r="AKY7" s="89">
        <f t="shared" si="108"/>
        <v>641470.54700000002</v>
      </c>
      <c r="AKZ7" s="89">
        <f t="shared" si="108"/>
        <v>641620.84900000005</v>
      </c>
      <c r="ALA7" s="89">
        <f t="shared" si="108"/>
        <v>641769.74699999997</v>
      </c>
      <c r="ALB7" s="89">
        <f t="shared" si="108"/>
        <v>642042.03399999999</v>
      </c>
      <c r="ALC7" s="89">
        <f t="shared" si="108"/>
        <v>642272.02099999995</v>
      </c>
      <c r="ALD7" s="89">
        <f t="shared" si="108"/>
        <v>642575.45700000005</v>
      </c>
      <c r="ALE7" s="89">
        <f t="shared" si="108"/>
        <v>642831.53700000001</v>
      </c>
      <c r="ALF7" s="89">
        <f t="shared" si="108"/>
        <v>643279.9</v>
      </c>
      <c r="ALG7" s="89">
        <f t="shared" si="108"/>
        <v>643674.70600000001</v>
      </c>
      <c r="ALH7" s="89">
        <f t="shared" si="108"/>
        <v>643902.29500000004</v>
      </c>
      <c r="ALI7" s="89">
        <f t="shared" si="108"/>
        <v>644340.70799999998</v>
      </c>
      <c r="ALJ7" s="89">
        <f t="shared" si="108"/>
        <v>644688.80099999998</v>
      </c>
      <c r="ALK7" s="89">
        <f t="shared" si="108"/>
        <v>644946.66700000002</v>
      </c>
      <c r="ALL7" s="89">
        <f t="shared" si="108"/>
        <v>645153.57299999997</v>
      </c>
      <c r="ALM7" s="89">
        <f t="shared" si="108"/>
        <v>645443.30799999996</v>
      </c>
      <c r="ALN7" s="89">
        <f t="shared" si="108"/>
        <v>645765.31400000001</v>
      </c>
      <c r="ALO7" s="89">
        <f t="shared" si="108"/>
        <v>646101.69799999997</v>
      </c>
      <c r="ALP7" s="89">
        <f t="shared" si="108"/>
        <v>646392.91500000004</v>
      </c>
      <c r="ALQ7" s="89">
        <f t="shared" si="108"/>
        <v>646691.06700000004</v>
      </c>
      <c r="ALR7" s="89">
        <f t="shared" si="108"/>
        <v>647119.70600000001</v>
      </c>
      <c r="ALS7" s="89">
        <f t="shared" si="108"/>
        <v>647525.56299999997</v>
      </c>
      <c r="ALT7" s="89">
        <f t="shared" si="108"/>
        <v>647975.30799999996</v>
      </c>
      <c r="ALU7" s="127"/>
      <c r="ALV7" s="89">
        <f>ALT8</f>
        <v>648213.37199999997</v>
      </c>
      <c r="ALW7" s="89">
        <f t="shared" ref="ALW7:AMY7" si="109">ALV8</f>
        <v>648701.86199999996</v>
      </c>
      <c r="ALX7" s="89">
        <f t="shared" si="109"/>
        <v>649048.04200000002</v>
      </c>
      <c r="ALY7" s="89">
        <f t="shared" si="109"/>
        <v>649362.42700000003</v>
      </c>
      <c r="ALZ7" s="89">
        <f t="shared" si="109"/>
        <v>649727.59400000004</v>
      </c>
      <c r="AMA7" s="89">
        <f t="shared" si="109"/>
        <v>649976.46499999997</v>
      </c>
      <c r="AMB7" s="89">
        <f t="shared" si="109"/>
        <v>650159.42500000005</v>
      </c>
      <c r="AMC7" s="89">
        <f t="shared" si="109"/>
        <v>650588.95600000001</v>
      </c>
      <c r="AMD7" s="89">
        <f t="shared" si="109"/>
        <v>650901.64399999997</v>
      </c>
      <c r="AME7" s="89">
        <f t="shared" si="109"/>
        <v>651266.51599999995</v>
      </c>
      <c r="AMF7" s="89">
        <f t="shared" si="109"/>
        <v>651764.755</v>
      </c>
      <c r="AMG7" s="89">
        <f t="shared" si="109"/>
        <v>652372.49600000004</v>
      </c>
      <c r="AMH7" s="89">
        <f t="shared" si="109"/>
        <v>652726.35800000001</v>
      </c>
      <c r="AMI7" s="89">
        <f t="shared" si="109"/>
        <v>653087.10199999996</v>
      </c>
      <c r="AMJ7" s="89">
        <f t="shared" si="109"/>
        <v>653337.12600000005</v>
      </c>
      <c r="AMK7" s="89">
        <f t="shared" si="109"/>
        <v>653635.44700000004</v>
      </c>
      <c r="AML7" s="89">
        <f t="shared" si="109"/>
        <v>653926.67799999996</v>
      </c>
      <c r="AMM7" s="89">
        <f t="shared" si="109"/>
        <v>654208.89599999995</v>
      </c>
      <c r="AMN7" s="89">
        <f t="shared" si="109"/>
        <v>654597.62899999996</v>
      </c>
      <c r="AMO7" s="89">
        <f t="shared" si="109"/>
        <v>654992.82299999997</v>
      </c>
      <c r="AMP7" s="89">
        <f t="shared" si="109"/>
        <v>655635.42799999996</v>
      </c>
      <c r="AMQ7" s="89">
        <f t="shared" si="109"/>
        <v>656239.33600000001</v>
      </c>
      <c r="AMR7" s="89">
        <f t="shared" si="109"/>
        <v>656794.875</v>
      </c>
      <c r="AMS7" s="89">
        <f t="shared" si="109"/>
        <v>657716.97499999998</v>
      </c>
      <c r="AMT7" s="89">
        <f t="shared" si="109"/>
        <v>658790.16299999994</v>
      </c>
      <c r="AMU7" s="89">
        <f t="shared" si="109"/>
        <v>659910.54799999995</v>
      </c>
      <c r="AMV7" s="89">
        <f t="shared" si="109"/>
        <v>661395.56000000006</v>
      </c>
      <c r="AMW7" s="89">
        <f t="shared" si="109"/>
        <v>661653.39399999997</v>
      </c>
      <c r="AMX7" s="89">
        <f t="shared" si="109"/>
        <v>662042.34299999999</v>
      </c>
      <c r="AMY7" s="89">
        <f t="shared" si="109"/>
        <v>663382.28300000005</v>
      </c>
      <c r="AMZ7" s="127"/>
      <c r="ANA7" s="89">
        <f>AMY8</f>
        <v>663860.93400000001</v>
      </c>
      <c r="ANB7" s="89">
        <f t="shared" ref="ANB7:AOC7" si="110">ANA8</f>
        <v>664193.51599999995</v>
      </c>
      <c r="ANC7" s="89">
        <f t="shared" si="110"/>
        <v>664516.86399999994</v>
      </c>
      <c r="AND7" s="89">
        <f t="shared" si="110"/>
        <v>664810.73199999996</v>
      </c>
      <c r="ANE7" s="89">
        <f t="shared" si="110"/>
        <v>665281.01399999997</v>
      </c>
      <c r="ANF7" s="89">
        <f t="shared" si="110"/>
        <v>665654.15599999996</v>
      </c>
      <c r="ANG7" s="89">
        <f t="shared" si="110"/>
        <v>666021.34900000005</v>
      </c>
      <c r="ANH7" s="89">
        <f t="shared" si="110"/>
        <v>666297.07900000003</v>
      </c>
      <c r="ANI7" s="89">
        <f t="shared" si="110"/>
        <v>666685.69400000002</v>
      </c>
      <c r="ANJ7" s="89">
        <f t="shared" si="110"/>
        <v>667050.09199999995</v>
      </c>
      <c r="ANK7" s="89">
        <f t="shared" si="110"/>
        <v>667346.67299999995</v>
      </c>
      <c r="ANL7" s="89">
        <f t="shared" si="110"/>
        <v>667609.11899999995</v>
      </c>
      <c r="ANM7" s="89">
        <f t="shared" si="110"/>
        <v>667992.13600000006</v>
      </c>
      <c r="ANN7" s="89">
        <f t="shared" si="110"/>
        <v>668321.63</v>
      </c>
      <c r="ANO7" s="89">
        <f t="shared" si="110"/>
        <v>668791.04000000004</v>
      </c>
      <c r="ANP7" s="89">
        <f t="shared" si="110"/>
        <v>669193.06099999999</v>
      </c>
      <c r="ANQ7" s="89">
        <f t="shared" si="110"/>
        <v>669427.83400000003</v>
      </c>
      <c r="ANR7" s="89">
        <f t="shared" si="110"/>
        <v>669641.64599999995</v>
      </c>
      <c r="ANS7" s="89">
        <f t="shared" si="110"/>
        <v>669933.48600000003</v>
      </c>
      <c r="ANT7" s="89">
        <f t="shared" si="110"/>
        <v>670201.93000000005</v>
      </c>
      <c r="ANU7" s="89">
        <f t="shared" si="110"/>
        <v>670421.04200000002</v>
      </c>
      <c r="ANV7" s="89">
        <f t="shared" si="110"/>
        <v>670590.08200000005</v>
      </c>
      <c r="ANW7" s="89">
        <f t="shared" si="110"/>
        <v>670883.321</v>
      </c>
      <c r="ANX7" s="89">
        <f t="shared" si="110"/>
        <v>671137.02300000004</v>
      </c>
      <c r="ANY7" s="89">
        <f t="shared" si="110"/>
        <v>671397.26300000004</v>
      </c>
      <c r="ANZ7" s="89">
        <f t="shared" si="110"/>
        <v>671660.39</v>
      </c>
      <c r="AOA7" s="89">
        <f t="shared" si="110"/>
        <v>671965.15700000001</v>
      </c>
      <c r="AOB7" s="89">
        <f t="shared" si="110"/>
        <v>672135.51699999999</v>
      </c>
      <c r="AOC7" s="89">
        <f t="shared" si="110"/>
        <v>672355.95299999998</v>
      </c>
      <c r="AOD7" s="89">
        <v>672625.90800000005</v>
      </c>
      <c r="AOE7">
        <v>672625.90800000005</v>
      </c>
      <c r="AOF7">
        <v>1387009.9909999999</v>
      </c>
    </row>
    <row r="8" spans="1:1072" x14ac:dyDescent="0.2">
      <c r="A8" s="157"/>
      <c r="B8" s="160"/>
      <c r="C8" s="47" t="s">
        <v>757</v>
      </c>
      <c r="D8" s="48">
        <v>351082.516</v>
      </c>
      <c r="E8" s="48">
        <v>351769.2</v>
      </c>
      <c r="F8" s="48">
        <v>352147.78</v>
      </c>
      <c r="G8" s="48">
        <v>352541.29100000003</v>
      </c>
      <c r="H8" s="48">
        <v>352991.32299999997</v>
      </c>
      <c r="I8" s="48">
        <v>353383.14600000001</v>
      </c>
      <c r="J8" s="48">
        <v>353793.28200000001</v>
      </c>
      <c r="K8" s="48">
        <v>354167.717</v>
      </c>
      <c r="L8" s="48">
        <v>354520.76899999997</v>
      </c>
      <c r="M8" s="48">
        <v>354935.64</v>
      </c>
      <c r="N8" s="48">
        <v>355435.79399999999</v>
      </c>
      <c r="O8" s="48">
        <v>355949.33600000001</v>
      </c>
      <c r="P8" s="48">
        <v>356377.42499999999</v>
      </c>
      <c r="Q8" s="48">
        <v>356791.45400000003</v>
      </c>
      <c r="R8" s="48">
        <v>357174.34</v>
      </c>
      <c r="S8" s="48">
        <v>357601.641</v>
      </c>
      <c r="T8" s="48">
        <v>357972.34600000002</v>
      </c>
      <c r="U8" s="48">
        <v>358552.59399999998</v>
      </c>
      <c r="V8" s="48">
        <v>358849.76</v>
      </c>
      <c r="W8" s="48">
        <v>359225.64799999999</v>
      </c>
      <c r="X8" s="48">
        <v>359591.37699999998</v>
      </c>
      <c r="Y8" s="48">
        <v>359968.76899999997</v>
      </c>
      <c r="Z8" s="48">
        <v>360372.92200000002</v>
      </c>
      <c r="AA8" s="48">
        <v>360801.07400000002</v>
      </c>
      <c r="AB8" s="48">
        <v>361133.27299999999</v>
      </c>
      <c r="AC8" s="48">
        <v>361654.24800000002</v>
      </c>
      <c r="AD8" s="48">
        <v>362163.103</v>
      </c>
      <c r="AE8" s="48">
        <v>362462.04100000003</v>
      </c>
      <c r="AF8" s="48">
        <v>362750.87</v>
      </c>
      <c r="AG8" s="48">
        <v>363079.58299999998</v>
      </c>
      <c r="AH8" s="48">
        <v>363368.01699999999</v>
      </c>
      <c r="AI8" s="49"/>
      <c r="AJ8" s="48">
        <v>363831.98</v>
      </c>
      <c r="AK8" s="48">
        <v>364212.91600000003</v>
      </c>
      <c r="AL8" s="48">
        <v>364682.68</v>
      </c>
      <c r="AM8" s="48">
        <v>365090.15100000001</v>
      </c>
      <c r="AN8" s="48">
        <v>365436.41200000001</v>
      </c>
      <c r="AO8" s="48">
        <v>365725.717</v>
      </c>
      <c r="AP8" s="48">
        <v>366199.47</v>
      </c>
      <c r="AQ8" s="48">
        <v>366658.52799999999</v>
      </c>
      <c r="AR8" s="48">
        <v>367024.11499999999</v>
      </c>
      <c r="AS8" s="48">
        <v>367430.21299999999</v>
      </c>
      <c r="AT8" s="48">
        <v>367739.72700000001</v>
      </c>
      <c r="AU8" s="48">
        <v>368053.30900000001</v>
      </c>
      <c r="AV8" s="48">
        <v>368391.66800000001</v>
      </c>
      <c r="AW8" s="48">
        <v>368725.59700000001</v>
      </c>
      <c r="AX8" s="48">
        <v>369038.685</v>
      </c>
      <c r="AY8" s="48">
        <v>369367.962</v>
      </c>
      <c r="AZ8" s="48">
        <v>369684.92300000001</v>
      </c>
      <c r="BA8" s="48">
        <v>370045.598</v>
      </c>
      <c r="BB8" s="48">
        <v>370471.82199999999</v>
      </c>
      <c r="BC8" s="48">
        <v>370727.89899999998</v>
      </c>
      <c r="BD8" s="48">
        <v>371003.73499999999</v>
      </c>
      <c r="BE8" s="48">
        <v>371443.93099999998</v>
      </c>
      <c r="BF8" s="48">
        <v>371804.36599999998</v>
      </c>
      <c r="BG8" s="48">
        <v>372084.38400000002</v>
      </c>
      <c r="BH8" s="48">
        <v>372412.86300000001</v>
      </c>
      <c r="BI8" s="48">
        <v>372760.19500000001</v>
      </c>
      <c r="BJ8" s="48">
        <v>373045.87699999998</v>
      </c>
      <c r="BK8" s="48">
        <v>373361.52500000002</v>
      </c>
      <c r="BL8" s="48">
        <v>373708.28499999997</v>
      </c>
      <c r="BM8" s="48">
        <v>374023.44099999999</v>
      </c>
      <c r="BO8" s="48">
        <v>374318.72</v>
      </c>
      <c r="BP8" s="48">
        <v>374710.65500000003</v>
      </c>
      <c r="BQ8" s="48">
        <v>375055.48499999999</v>
      </c>
      <c r="BR8" s="48">
        <v>375342.446</v>
      </c>
      <c r="BS8" s="48">
        <v>375636.81599999999</v>
      </c>
      <c r="BT8" s="48">
        <v>376033.25900000002</v>
      </c>
      <c r="BU8" s="48">
        <v>376399.80800000002</v>
      </c>
      <c r="BV8" s="48">
        <v>376733.82900000003</v>
      </c>
      <c r="BW8" s="48">
        <v>377044.79100000003</v>
      </c>
      <c r="BX8" s="48">
        <v>377275.80900000001</v>
      </c>
      <c r="BY8" s="48">
        <v>377558.93300000002</v>
      </c>
      <c r="BZ8" s="48">
        <v>377817.44099999999</v>
      </c>
      <c r="CA8" s="48">
        <v>378164.11800000002</v>
      </c>
      <c r="CB8" s="48">
        <v>378506.103</v>
      </c>
      <c r="CC8" s="48">
        <v>378796.77899999998</v>
      </c>
      <c r="CD8" s="48">
        <v>379058.05900000001</v>
      </c>
      <c r="CE8" s="48">
        <v>379407.49699999997</v>
      </c>
      <c r="CF8" s="48">
        <v>379600.94099999999</v>
      </c>
      <c r="CG8" s="48">
        <v>379907.38199999998</v>
      </c>
      <c r="CH8" s="48">
        <v>380224.505</v>
      </c>
      <c r="CI8" s="48">
        <v>380445.33199999999</v>
      </c>
      <c r="CJ8" s="48">
        <v>380736.06599999999</v>
      </c>
      <c r="CK8" s="48">
        <v>381080.97100000002</v>
      </c>
      <c r="CL8" s="48">
        <v>381468.62800000003</v>
      </c>
      <c r="CM8" s="48">
        <v>381757.99900000001</v>
      </c>
      <c r="CN8" s="48">
        <v>382089.18099999998</v>
      </c>
      <c r="CO8" s="48">
        <v>382404.255</v>
      </c>
      <c r="CP8" s="48">
        <v>382702.59499999997</v>
      </c>
      <c r="CQ8" s="48">
        <v>382969.88</v>
      </c>
      <c r="CR8" s="48">
        <v>383309.04499999998</v>
      </c>
      <c r="CS8" s="48">
        <v>383593.84899999999</v>
      </c>
      <c r="CU8" s="48">
        <v>383813.47600000002</v>
      </c>
      <c r="CV8" s="48">
        <v>384152.55300000001</v>
      </c>
      <c r="CW8" s="48">
        <v>384468.092</v>
      </c>
      <c r="CX8" s="48">
        <v>384960.08299999998</v>
      </c>
      <c r="CY8" s="48">
        <v>385264.54399999999</v>
      </c>
      <c r="CZ8" s="48">
        <v>385573.82</v>
      </c>
      <c r="DA8" s="48">
        <v>385882.49900000001</v>
      </c>
      <c r="DB8" s="48">
        <v>386187.50099999999</v>
      </c>
      <c r="DC8" s="48">
        <v>386495.70799999998</v>
      </c>
      <c r="DD8" s="48">
        <v>386842.69300000003</v>
      </c>
      <c r="DE8" s="48">
        <v>387182.26199999999</v>
      </c>
      <c r="DF8" s="48">
        <v>387518.14399999997</v>
      </c>
      <c r="DG8" s="48">
        <v>387800.125</v>
      </c>
      <c r="DH8" s="48">
        <v>388193.42499999999</v>
      </c>
      <c r="DI8" s="48">
        <v>388515.01400000002</v>
      </c>
      <c r="DJ8" s="48">
        <v>388687.82900000003</v>
      </c>
      <c r="DK8" s="48">
        <v>388889.56599999999</v>
      </c>
      <c r="DL8" s="48">
        <v>389193.06599999999</v>
      </c>
      <c r="DM8" s="48">
        <v>389443.29</v>
      </c>
      <c r="DN8" s="48">
        <v>389768.79599999997</v>
      </c>
      <c r="DO8" s="48">
        <v>390024.67599999998</v>
      </c>
      <c r="DP8" s="48">
        <v>390233.114</v>
      </c>
      <c r="DQ8" s="48">
        <v>390534.94900000002</v>
      </c>
      <c r="DR8" s="48">
        <v>390835.071</v>
      </c>
      <c r="DS8" s="48">
        <v>391183.478</v>
      </c>
      <c r="DT8" s="48">
        <v>391582.05599999998</v>
      </c>
      <c r="DU8" s="48">
        <v>391900.11599999998</v>
      </c>
      <c r="DV8" s="48">
        <v>392101.81099999999</v>
      </c>
      <c r="DW8" s="48">
        <v>392334.99599999998</v>
      </c>
      <c r="DX8" s="48">
        <v>392713.49300000002</v>
      </c>
      <c r="DY8" s="117"/>
      <c r="DZ8" s="48">
        <v>393020.57400000002</v>
      </c>
      <c r="EA8" s="48">
        <v>393255.527</v>
      </c>
      <c r="EB8" s="48">
        <v>393458.141</v>
      </c>
      <c r="EC8" s="48">
        <v>393720.592</v>
      </c>
      <c r="ED8" s="48">
        <v>393976.76699999999</v>
      </c>
      <c r="EE8" s="48">
        <v>394269.17499999999</v>
      </c>
      <c r="EF8" s="48">
        <v>394560.484</v>
      </c>
      <c r="EG8" s="48">
        <v>394815.04</v>
      </c>
      <c r="EH8" s="48">
        <v>395264.22</v>
      </c>
      <c r="EI8" s="48">
        <v>395613.51400000002</v>
      </c>
      <c r="EJ8" s="48">
        <v>395937.44500000001</v>
      </c>
      <c r="EK8" s="48">
        <v>396428.84</v>
      </c>
      <c r="EL8" s="48">
        <v>396715.375</v>
      </c>
      <c r="EM8" s="48">
        <v>397076.516</v>
      </c>
      <c r="EN8" s="48">
        <v>397569.78200000001</v>
      </c>
      <c r="EO8" s="48">
        <v>398019.79700000002</v>
      </c>
      <c r="EP8" s="48">
        <v>398284.56300000002</v>
      </c>
      <c r="EQ8" s="48">
        <v>398600.13500000001</v>
      </c>
      <c r="ER8" s="48">
        <v>398943.163</v>
      </c>
      <c r="ES8" s="48">
        <v>399355.21399999998</v>
      </c>
      <c r="ET8" s="48">
        <v>399794.20899999997</v>
      </c>
      <c r="EU8" s="48">
        <v>400218.908</v>
      </c>
      <c r="EV8" s="48">
        <v>400706.38900000002</v>
      </c>
      <c r="EW8" s="48">
        <v>401117.20899999997</v>
      </c>
      <c r="EX8" s="48">
        <v>401565.62599999999</v>
      </c>
      <c r="EY8" s="48">
        <v>401837.15</v>
      </c>
      <c r="EZ8" s="48">
        <v>402118.09100000001</v>
      </c>
      <c r="FA8" s="48">
        <v>402409.359</v>
      </c>
      <c r="FB8" s="48">
        <v>402762.386</v>
      </c>
      <c r="FC8" s="48">
        <v>403034.55300000001</v>
      </c>
      <c r="FD8" s="48">
        <v>403354.04599999997</v>
      </c>
      <c r="FE8" s="126"/>
      <c r="FF8" s="48">
        <v>403709.13900000002</v>
      </c>
      <c r="FG8" s="48">
        <v>404014.81400000001</v>
      </c>
      <c r="FH8" s="48">
        <v>404350.81</v>
      </c>
      <c r="FI8" s="48">
        <v>404580.66</v>
      </c>
      <c r="FJ8" s="48">
        <v>404981.598</v>
      </c>
      <c r="FK8" s="48">
        <v>405289.05599999998</v>
      </c>
      <c r="FL8" s="48">
        <v>405554.83199999999</v>
      </c>
      <c r="FM8" s="48">
        <v>405773.136</v>
      </c>
      <c r="FN8" s="48">
        <v>406179.75300000003</v>
      </c>
      <c r="FO8" s="48">
        <v>406493.86800000002</v>
      </c>
      <c r="FP8" s="48">
        <v>406792.16800000001</v>
      </c>
      <c r="FQ8" s="48">
        <v>407088.22200000001</v>
      </c>
      <c r="FR8" s="48">
        <v>407458.337</v>
      </c>
      <c r="FS8" s="48">
        <v>407736.99400000001</v>
      </c>
      <c r="FT8" s="48">
        <v>407994.42800000001</v>
      </c>
      <c r="FU8" s="48">
        <v>408325.57400000002</v>
      </c>
      <c r="FV8" s="48">
        <v>408578.30699999997</v>
      </c>
      <c r="FW8" s="48">
        <v>408873.68099999998</v>
      </c>
      <c r="FX8" s="48">
        <v>409212.75300000003</v>
      </c>
      <c r="FY8" s="48">
        <v>409622.87599999999</v>
      </c>
      <c r="FZ8" s="48">
        <v>409907.50099999999</v>
      </c>
      <c r="GA8" s="48">
        <v>410189.63099999999</v>
      </c>
      <c r="GB8" s="48">
        <v>410467.141</v>
      </c>
      <c r="GC8" s="48">
        <v>410654.37099999998</v>
      </c>
      <c r="GD8" s="48">
        <v>410937.41899999999</v>
      </c>
      <c r="GE8" s="48">
        <v>411256.84299999999</v>
      </c>
      <c r="GF8" s="48">
        <v>411560.55800000002</v>
      </c>
      <c r="GG8" s="48">
        <v>411839.52100000001</v>
      </c>
      <c r="GH8" s="48">
        <v>412117.88400000002</v>
      </c>
      <c r="GI8" s="48">
        <v>412333.5</v>
      </c>
      <c r="GJ8" s="48">
        <v>412603.89500000002</v>
      </c>
      <c r="GK8" s="126"/>
      <c r="GL8" s="48">
        <v>412943.14199999999</v>
      </c>
      <c r="GM8" s="48">
        <v>413243.37099999998</v>
      </c>
      <c r="GN8" s="48">
        <v>413745.22100000002</v>
      </c>
      <c r="GO8" s="48">
        <v>414083.50599999999</v>
      </c>
      <c r="GP8" s="48">
        <v>414433.98</v>
      </c>
      <c r="GQ8" s="48">
        <v>414866.02500000002</v>
      </c>
      <c r="GR8" s="48">
        <v>415189.07199999999</v>
      </c>
      <c r="GS8" s="48">
        <v>415541.25699999998</v>
      </c>
      <c r="GT8" s="48">
        <v>415804.66100000002</v>
      </c>
      <c r="GU8" s="48">
        <v>416192.81900000002</v>
      </c>
      <c r="GV8" s="48">
        <v>416607.28</v>
      </c>
      <c r="GW8" s="48">
        <v>416870.11599999998</v>
      </c>
      <c r="GX8" s="48">
        <v>417222.90100000001</v>
      </c>
      <c r="GY8" s="48">
        <v>417565.01799999998</v>
      </c>
      <c r="GZ8" s="48">
        <v>417867.90399999998</v>
      </c>
      <c r="HA8" s="48">
        <v>418164.62699999998</v>
      </c>
      <c r="HB8" s="48">
        <v>418501.72499999998</v>
      </c>
      <c r="HC8" s="48">
        <v>418722.46899999998</v>
      </c>
      <c r="HD8" s="48">
        <v>418989.83500000002</v>
      </c>
      <c r="HE8" s="48">
        <v>419304.022</v>
      </c>
      <c r="HF8" s="48">
        <v>419600.17099999997</v>
      </c>
      <c r="HG8" s="48">
        <v>419892.73200000002</v>
      </c>
      <c r="HH8" s="48">
        <v>420188.424</v>
      </c>
      <c r="HI8" s="48">
        <v>420550.67800000001</v>
      </c>
      <c r="HJ8" s="48">
        <v>420728.435</v>
      </c>
      <c r="HK8" s="48">
        <v>421073.50099999999</v>
      </c>
      <c r="HL8" s="48">
        <v>421329.61300000001</v>
      </c>
      <c r="HM8" s="48">
        <v>421566.97100000002</v>
      </c>
      <c r="HN8" s="48">
        <v>421904.85200000001</v>
      </c>
      <c r="HO8" s="126"/>
      <c r="HP8" s="48">
        <v>422320.83</v>
      </c>
      <c r="HQ8" s="48">
        <v>422627.60600000003</v>
      </c>
      <c r="HR8" s="48">
        <v>423032.53499999997</v>
      </c>
      <c r="HS8" s="48">
        <v>423310.304</v>
      </c>
      <c r="HT8" s="48">
        <v>423596.93300000002</v>
      </c>
      <c r="HU8" s="48">
        <v>424015.04100000003</v>
      </c>
      <c r="HV8" s="48">
        <v>424381.99400000001</v>
      </c>
      <c r="HW8" s="48">
        <v>424681.72100000002</v>
      </c>
      <c r="HX8" s="48">
        <v>424958.64600000001</v>
      </c>
      <c r="HY8" s="48">
        <v>425222.88400000002</v>
      </c>
      <c r="HZ8" s="48">
        <v>425518.201</v>
      </c>
      <c r="IA8" s="48">
        <v>425753.141</v>
      </c>
      <c r="IB8" s="48">
        <v>425974.57799999998</v>
      </c>
      <c r="IC8" s="48">
        <v>426240.90600000002</v>
      </c>
      <c r="ID8" s="48">
        <v>426506.34299999999</v>
      </c>
      <c r="IE8" s="48">
        <v>426903.12300000002</v>
      </c>
      <c r="IF8" s="48">
        <v>427164.46399999998</v>
      </c>
      <c r="IG8" s="48">
        <v>427421.32</v>
      </c>
      <c r="IH8" s="48">
        <v>427679.62</v>
      </c>
      <c r="II8" s="48">
        <v>428025.68</v>
      </c>
      <c r="IJ8" s="48">
        <v>428369.02399999998</v>
      </c>
      <c r="IK8" s="48">
        <v>428662.54</v>
      </c>
      <c r="IL8" s="48">
        <v>429052.87099999998</v>
      </c>
      <c r="IM8" s="48">
        <v>429333.402</v>
      </c>
      <c r="IN8" s="48">
        <v>429629.31599999999</v>
      </c>
      <c r="IO8" s="48">
        <v>429878.72</v>
      </c>
      <c r="IP8" s="48">
        <v>430150.54599999997</v>
      </c>
      <c r="IQ8" s="48">
        <v>430593.87800000003</v>
      </c>
      <c r="IR8" s="48">
        <v>430851.29</v>
      </c>
      <c r="IS8" s="48">
        <v>431172.90399999998</v>
      </c>
      <c r="IT8" s="48">
        <v>431491.74</v>
      </c>
      <c r="IU8" s="126"/>
      <c r="IV8" s="48">
        <v>431682.09499999997</v>
      </c>
      <c r="IW8" s="48">
        <v>431929.17499999999</v>
      </c>
      <c r="IX8" s="48">
        <v>432228.022</v>
      </c>
      <c r="IY8" s="48">
        <v>432494.625</v>
      </c>
      <c r="IZ8" s="48">
        <v>432720.01799999998</v>
      </c>
      <c r="JA8">
        <v>433119.98800000001</v>
      </c>
      <c r="JB8" s="48">
        <v>433345.14</v>
      </c>
      <c r="JC8" s="48">
        <v>433722.43900000001</v>
      </c>
      <c r="JD8" s="48">
        <v>433955.41800000001</v>
      </c>
      <c r="JE8" s="48">
        <v>434273.81199999998</v>
      </c>
      <c r="JF8" s="48">
        <v>434553.15899999999</v>
      </c>
      <c r="JG8" s="48">
        <v>434865.48100000003</v>
      </c>
      <c r="JH8" s="48">
        <v>435166.63900000002</v>
      </c>
      <c r="JI8" s="48">
        <v>435422.701</v>
      </c>
      <c r="JJ8" s="48">
        <v>435750.52</v>
      </c>
      <c r="JK8" s="48">
        <v>436012.55</v>
      </c>
      <c r="JL8" s="48">
        <v>436277.43699999998</v>
      </c>
      <c r="JM8" s="48">
        <v>436469.75300000003</v>
      </c>
      <c r="JN8" s="48">
        <v>436814.49</v>
      </c>
      <c r="JO8" s="48">
        <v>437118.83899999998</v>
      </c>
      <c r="JP8" s="48">
        <v>437360.58899999998</v>
      </c>
      <c r="JQ8" s="48">
        <v>437702.05599999998</v>
      </c>
      <c r="JR8" s="48">
        <v>437952.68300000002</v>
      </c>
      <c r="JS8" s="48">
        <v>438195.74800000002</v>
      </c>
      <c r="JT8" s="48">
        <v>438595.81699999998</v>
      </c>
      <c r="JU8" s="48">
        <v>438874.48300000001</v>
      </c>
      <c r="JV8" s="48">
        <v>439261.89500000002</v>
      </c>
      <c r="JW8" s="48">
        <v>439628.228</v>
      </c>
      <c r="JX8" s="48">
        <v>439830.26</v>
      </c>
      <c r="JY8" s="48">
        <v>440117.14299999998</v>
      </c>
      <c r="JZ8" s="126"/>
      <c r="KA8" s="48">
        <v>440365.61499999999</v>
      </c>
      <c r="KB8" s="48">
        <v>440570.08899999998</v>
      </c>
      <c r="KC8" s="48">
        <v>440891.64600000001</v>
      </c>
      <c r="KD8" s="48">
        <v>441169.424</v>
      </c>
      <c r="KE8" s="48">
        <v>441470.022</v>
      </c>
      <c r="KF8" s="48">
        <v>441835.87900000002</v>
      </c>
      <c r="KG8" s="48">
        <v>442107.43599999999</v>
      </c>
      <c r="KH8" s="48">
        <v>442471.62</v>
      </c>
      <c r="KI8" s="48">
        <v>442693.37199999997</v>
      </c>
      <c r="KJ8" s="48">
        <v>443015.86300000001</v>
      </c>
      <c r="KK8" s="48">
        <v>443299.88900000002</v>
      </c>
      <c r="KL8" s="48">
        <v>443685.88799999998</v>
      </c>
      <c r="KM8" s="48">
        <v>443988.02399999998</v>
      </c>
      <c r="KN8" s="48">
        <v>444315.489</v>
      </c>
      <c r="KO8" s="48">
        <v>444503.51400000002</v>
      </c>
      <c r="KP8" s="48">
        <v>444782.83100000001</v>
      </c>
      <c r="KQ8" s="48">
        <v>444990.83100000001</v>
      </c>
      <c r="KR8" s="48">
        <v>445233.04399999999</v>
      </c>
      <c r="KS8" s="48">
        <v>445450.87400000001</v>
      </c>
      <c r="KT8" s="48">
        <v>445783.29300000001</v>
      </c>
      <c r="KU8" s="48">
        <v>445986.43199999997</v>
      </c>
      <c r="KV8" s="48">
        <v>446254.62400000001</v>
      </c>
      <c r="KW8" s="48">
        <v>446522.06800000003</v>
      </c>
      <c r="KX8" s="48">
        <v>446826.36700000003</v>
      </c>
      <c r="KY8" s="48">
        <v>447065.386</v>
      </c>
      <c r="KZ8" s="48">
        <v>447357.68599999999</v>
      </c>
      <c r="LA8" s="48">
        <v>447715.43900000001</v>
      </c>
      <c r="LB8" s="48">
        <v>447902.61900000001</v>
      </c>
      <c r="LC8" s="48">
        <v>448191.728</v>
      </c>
      <c r="LD8" s="48">
        <v>448543.10800000001</v>
      </c>
      <c r="LE8" s="48">
        <v>448926.891</v>
      </c>
      <c r="LF8" s="126"/>
      <c r="LG8" s="48">
        <v>449376.38</v>
      </c>
      <c r="LH8" s="48">
        <v>449784.75</v>
      </c>
      <c r="LI8" s="48">
        <v>450174.85600000003</v>
      </c>
      <c r="LJ8" s="48">
        <v>450490.96799999999</v>
      </c>
      <c r="LK8" s="48">
        <v>450769.19199999998</v>
      </c>
      <c r="LL8" s="48">
        <v>451120.43099999998</v>
      </c>
      <c r="LM8" s="48">
        <v>451480.005</v>
      </c>
      <c r="LN8" s="48">
        <v>451873.24300000002</v>
      </c>
      <c r="LO8" s="48">
        <v>452138.99200000003</v>
      </c>
      <c r="LP8" s="48">
        <v>452531.20899999997</v>
      </c>
      <c r="LQ8" s="48">
        <v>452837.52899999998</v>
      </c>
      <c r="LR8" s="48">
        <v>453188.55900000001</v>
      </c>
      <c r="LS8" s="48">
        <v>453499.91</v>
      </c>
      <c r="LT8" s="48">
        <v>453983.82699999999</v>
      </c>
      <c r="LU8" s="48">
        <v>454342.96799999999</v>
      </c>
      <c r="LV8" s="48">
        <v>454809.99099999998</v>
      </c>
      <c r="LW8" s="48">
        <v>455069.23599999998</v>
      </c>
      <c r="LX8" s="48">
        <v>455491.212</v>
      </c>
      <c r="LY8" s="48">
        <v>455808.82500000001</v>
      </c>
      <c r="LZ8" s="48">
        <v>456209.266</v>
      </c>
      <c r="MA8" s="48">
        <v>456482.837</v>
      </c>
      <c r="MB8" s="48">
        <v>456823.12</v>
      </c>
      <c r="MC8" s="48">
        <v>457191.114</v>
      </c>
      <c r="MD8" s="48">
        <v>457541.23300000001</v>
      </c>
      <c r="ME8" s="48">
        <v>457781.10399999999</v>
      </c>
      <c r="MF8" s="48">
        <v>458125.78600000002</v>
      </c>
      <c r="MG8" s="48">
        <v>458405.109</v>
      </c>
      <c r="MH8" s="48">
        <v>458697.46399999998</v>
      </c>
      <c r="MI8" s="48">
        <v>459035.81099999999</v>
      </c>
      <c r="MJ8" s="48">
        <v>459266.31699999998</v>
      </c>
      <c r="MK8" s="126"/>
      <c r="ML8" s="48">
        <v>459627.99699999997</v>
      </c>
      <c r="MM8" s="48">
        <v>459974.2</v>
      </c>
      <c r="MN8" s="48">
        <v>460223.53499999997</v>
      </c>
      <c r="MO8" s="48">
        <v>460548.28</v>
      </c>
      <c r="MP8" s="48">
        <v>460929.74099999998</v>
      </c>
      <c r="MQ8" s="48">
        <v>461255.89199999999</v>
      </c>
      <c r="MR8" s="48">
        <v>461554.35700000002</v>
      </c>
      <c r="MS8" s="48">
        <v>461847.978</v>
      </c>
      <c r="MT8" s="48">
        <v>462273.23599999998</v>
      </c>
      <c r="MU8" s="48">
        <v>462546.52600000001</v>
      </c>
      <c r="MV8" s="48">
        <v>462851.17300000001</v>
      </c>
      <c r="MW8" s="48">
        <v>463240.897</v>
      </c>
      <c r="MX8" s="48">
        <v>463577.10100000002</v>
      </c>
      <c r="MY8" s="48">
        <v>463765.59399999998</v>
      </c>
      <c r="MZ8" s="48">
        <v>464033.18099999998</v>
      </c>
      <c r="NA8" s="48">
        <v>464368.13</v>
      </c>
      <c r="NB8" s="48">
        <v>464603.04300000001</v>
      </c>
      <c r="NC8" s="48">
        <v>464905.66600000003</v>
      </c>
      <c r="ND8" s="48">
        <v>465206.52299999999</v>
      </c>
      <c r="NE8" s="48">
        <v>465518.69500000001</v>
      </c>
      <c r="NF8" s="48">
        <v>465738.43599999999</v>
      </c>
      <c r="NG8" s="48">
        <v>466004.38299999997</v>
      </c>
      <c r="NH8" s="48">
        <v>466300.10499999998</v>
      </c>
      <c r="NI8" s="48">
        <v>466544.05900000001</v>
      </c>
      <c r="NJ8" s="48">
        <v>466823.47399999999</v>
      </c>
      <c r="NK8" s="48">
        <v>467168.24099999998</v>
      </c>
      <c r="NL8" s="48">
        <v>467471.79200000002</v>
      </c>
      <c r="NM8" s="48">
        <v>467706.65</v>
      </c>
      <c r="NN8" s="48">
        <v>468008.70400000003</v>
      </c>
      <c r="NO8" s="48">
        <v>468221.99</v>
      </c>
      <c r="NP8" s="48">
        <v>468393.80499999999</v>
      </c>
      <c r="NQ8" s="126"/>
      <c r="NR8" s="48">
        <v>468634.00900000002</v>
      </c>
      <c r="NS8" s="48">
        <v>468922.141</v>
      </c>
      <c r="NT8" s="48">
        <v>469298.46399999998</v>
      </c>
      <c r="NU8" s="48">
        <v>469546.359</v>
      </c>
      <c r="NV8" s="48">
        <v>469876.93400000001</v>
      </c>
      <c r="NW8" s="48">
        <v>470218.27600000001</v>
      </c>
      <c r="NX8" s="48">
        <v>470514.77399999998</v>
      </c>
      <c r="NY8" s="48">
        <v>470757.07299999997</v>
      </c>
      <c r="NZ8" s="48">
        <v>471091.38</v>
      </c>
      <c r="OA8" s="48">
        <v>471425.90399999998</v>
      </c>
      <c r="OB8" s="48">
        <v>471758.30499999999</v>
      </c>
      <c r="OC8" s="48">
        <v>471991.663</v>
      </c>
      <c r="OD8" s="48">
        <v>472404.97200000001</v>
      </c>
      <c r="OE8" s="48">
        <v>472771.21799999999</v>
      </c>
      <c r="OF8" s="48">
        <v>473142.59499999997</v>
      </c>
      <c r="OG8" s="48">
        <v>473526.35399999999</v>
      </c>
      <c r="OH8" s="48">
        <v>473830.86800000002</v>
      </c>
      <c r="OI8" s="48">
        <v>474068.04100000003</v>
      </c>
      <c r="OJ8" s="48">
        <v>474445.36</v>
      </c>
      <c r="OK8" s="48">
        <v>474777.11800000002</v>
      </c>
      <c r="OL8" s="48">
        <v>475050.99200000003</v>
      </c>
      <c r="OM8" s="48">
        <v>475375.95799999998</v>
      </c>
      <c r="ON8" s="48">
        <v>475657.44900000002</v>
      </c>
      <c r="OO8" s="48">
        <v>475976.85</v>
      </c>
      <c r="OP8" s="48">
        <v>476167.15600000002</v>
      </c>
      <c r="OQ8" s="48">
        <v>476497.18199999997</v>
      </c>
      <c r="OR8" s="48">
        <v>476758.011</v>
      </c>
      <c r="OS8" s="48">
        <v>477005.821</v>
      </c>
      <c r="OT8" s="48">
        <v>477369.85600000003</v>
      </c>
      <c r="OU8" s="48">
        <v>477715.60200000001</v>
      </c>
      <c r="OV8" s="48">
        <v>478028.55699999997</v>
      </c>
      <c r="OW8" s="126"/>
      <c r="OX8" s="48">
        <v>478284.21799999999</v>
      </c>
      <c r="OY8" s="48">
        <v>478525.15899999999</v>
      </c>
      <c r="OZ8" s="48">
        <v>478834.73499999999</v>
      </c>
      <c r="PA8" s="48">
        <v>479093.46500000003</v>
      </c>
      <c r="PB8" s="48">
        <v>479441.85800000001</v>
      </c>
      <c r="PC8" s="48">
        <v>479734.03200000001</v>
      </c>
      <c r="PD8" s="48">
        <v>480126.38900000002</v>
      </c>
      <c r="PE8" s="48">
        <v>480402.61599999998</v>
      </c>
      <c r="PF8" s="48">
        <v>480784.93800000002</v>
      </c>
      <c r="PG8" s="48">
        <v>481035.81400000001</v>
      </c>
      <c r="PH8" s="48">
        <v>481227.74</v>
      </c>
      <c r="PI8" s="48">
        <v>481467.63500000001</v>
      </c>
      <c r="PJ8" s="48">
        <v>481821.19799999997</v>
      </c>
      <c r="PK8" s="48">
        <v>482113.45699999999</v>
      </c>
      <c r="PL8" s="48">
        <v>482327.636</v>
      </c>
      <c r="PM8" s="48">
        <v>482695.49</v>
      </c>
      <c r="PN8" s="48">
        <v>482982.50599999999</v>
      </c>
      <c r="PO8" s="48">
        <v>483210.15700000001</v>
      </c>
      <c r="PP8" s="48">
        <v>483488.10399999999</v>
      </c>
      <c r="PQ8" s="48">
        <v>483696.77100000001</v>
      </c>
      <c r="PR8" s="48">
        <v>483943.19199999998</v>
      </c>
      <c r="PS8" s="48">
        <v>484096.98200000002</v>
      </c>
      <c r="PT8" s="48">
        <v>484294.80800000002</v>
      </c>
      <c r="PU8" s="48">
        <v>484603.022</v>
      </c>
      <c r="PV8" s="48">
        <v>484734.924</v>
      </c>
      <c r="PW8" s="48">
        <v>484914.38099999999</v>
      </c>
      <c r="PX8" s="48">
        <v>485186.65399999998</v>
      </c>
      <c r="PY8" s="48">
        <v>485371.75</v>
      </c>
      <c r="PZ8" s="48">
        <v>485537.65899999999</v>
      </c>
      <c r="QA8" s="48">
        <v>485830.967</v>
      </c>
      <c r="QB8" s="126"/>
      <c r="QC8" s="48">
        <v>486017.89899999998</v>
      </c>
      <c r="QD8" s="48">
        <v>486228.28100000002</v>
      </c>
      <c r="QE8" s="48">
        <v>486461.08100000001</v>
      </c>
      <c r="QF8" s="48">
        <v>486782.08100000001</v>
      </c>
      <c r="QG8" s="48">
        <v>487231.99300000002</v>
      </c>
      <c r="QH8" s="48">
        <v>487455.19300000003</v>
      </c>
      <c r="QI8" s="48">
        <v>487760.49300000002</v>
      </c>
      <c r="QJ8" s="48">
        <v>488154.348</v>
      </c>
      <c r="QK8" s="48">
        <v>488386.125</v>
      </c>
      <c r="QL8" s="48">
        <v>488641.10499999998</v>
      </c>
      <c r="QM8" s="48">
        <v>489001.27500000002</v>
      </c>
      <c r="QN8" s="48">
        <v>489272.07500000001</v>
      </c>
      <c r="QO8" s="48">
        <v>489565.95500000002</v>
      </c>
      <c r="QP8" s="48">
        <v>489877.45500000002</v>
      </c>
      <c r="QQ8" s="48">
        <v>490170.837</v>
      </c>
      <c r="QR8" s="48">
        <v>490396.23700000002</v>
      </c>
      <c r="QS8" s="48">
        <v>490622.13699999999</v>
      </c>
      <c r="QT8" s="48">
        <v>490948.74200000003</v>
      </c>
      <c r="QU8" s="48">
        <v>491255.63699999999</v>
      </c>
      <c r="QV8" s="48">
        <v>491417.837</v>
      </c>
      <c r="QW8" s="48">
        <v>491696.03700000001</v>
      </c>
      <c r="QX8" s="48">
        <v>491869.337</v>
      </c>
      <c r="QY8" s="48">
        <v>492126.23700000002</v>
      </c>
      <c r="QZ8" s="48">
        <v>492468.54700000002</v>
      </c>
      <c r="RA8" s="48">
        <v>492998.55900000001</v>
      </c>
      <c r="RB8" s="48">
        <v>493271.25900000002</v>
      </c>
      <c r="RC8" s="48">
        <v>493540.22899999999</v>
      </c>
      <c r="RD8" s="48">
        <v>493796.92599999998</v>
      </c>
      <c r="RE8" s="48">
        <v>494033.62599999999</v>
      </c>
      <c r="RF8" s="48">
        <v>494283.95299999998</v>
      </c>
      <c r="RG8" s="48">
        <v>494608.65299999999</v>
      </c>
      <c r="RH8" s="126"/>
      <c r="RI8" s="48">
        <v>494888.26199999999</v>
      </c>
      <c r="RJ8" s="48">
        <v>495198.55499999999</v>
      </c>
      <c r="RK8" s="48">
        <v>495492.01</v>
      </c>
      <c r="RL8" s="48">
        <v>495778.73499999999</v>
      </c>
      <c r="RM8" s="48">
        <v>496023.408</v>
      </c>
      <c r="RN8" s="48">
        <v>496338.65600000002</v>
      </c>
      <c r="RO8" s="48">
        <v>496543.99900000001</v>
      </c>
      <c r="RP8" s="48">
        <v>496808.67599999998</v>
      </c>
      <c r="RQ8" s="48">
        <v>497150.83100000001</v>
      </c>
      <c r="RR8" s="48">
        <v>497406.30099999998</v>
      </c>
      <c r="RS8" s="48">
        <v>497703.85499999998</v>
      </c>
      <c r="RT8" s="48">
        <v>497996.696</v>
      </c>
      <c r="RU8" s="48">
        <v>498249.86099999998</v>
      </c>
      <c r="RV8" s="48">
        <v>498413.83600000001</v>
      </c>
      <c r="RW8" s="48">
        <v>498661.78700000001</v>
      </c>
      <c r="RX8" s="48">
        <v>498890.484</v>
      </c>
      <c r="RY8" s="48">
        <v>499080.20600000001</v>
      </c>
      <c r="RZ8" s="48">
        <v>499320.9</v>
      </c>
      <c r="SA8" s="48">
        <v>499622.59600000002</v>
      </c>
      <c r="SB8" s="48">
        <v>499850.46500000003</v>
      </c>
      <c r="SC8" s="48">
        <v>500082.73</v>
      </c>
      <c r="SD8" s="48">
        <v>500485.70400000003</v>
      </c>
      <c r="SE8" s="48">
        <v>500782.98499999999</v>
      </c>
      <c r="SF8" s="48">
        <v>500999.27</v>
      </c>
      <c r="SG8" s="48">
        <v>501309.66899999999</v>
      </c>
      <c r="SH8" s="48">
        <v>501641.10100000002</v>
      </c>
      <c r="SI8" s="48">
        <v>501901.29200000002</v>
      </c>
      <c r="SJ8" s="48">
        <v>502231.03600000002</v>
      </c>
      <c r="SK8" s="48">
        <v>502575.25799999997</v>
      </c>
      <c r="SL8" s="48">
        <v>502911.853</v>
      </c>
      <c r="SM8" s="126"/>
      <c r="SN8" s="48">
        <v>503177.266</v>
      </c>
      <c r="SO8" s="48">
        <v>503373.32900000003</v>
      </c>
      <c r="SP8" s="48">
        <v>503623.69</v>
      </c>
      <c r="SQ8" s="48">
        <v>503836.31</v>
      </c>
      <c r="SR8" s="48">
        <v>504116.83500000002</v>
      </c>
      <c r="SS8" s="48">
        <v>504419.91899999999</v>
      </c>
      <c r="ST8" s="48">
        <v>504724.58299999998</v>
      </c>
      <c r="SU8" s="48">
        <v>505008.59100000001</v>
      </c>
      <c r="SV8" s="48">
        <v>505321.01199999999</v>
      </c>
      <c r="SW8" s="48">
        <v>505572.38400000002</v>
      </c>
      <c r="SX8" s="48">
        <v>505797.201</v>
      </c>
      <c r="SY8" s="48">
        <v>506065.78200000001</v>
      </c>
      <c r="SZ8" s="48">
        <v>506386.891</v>
      </c>
      <c r="TA8" s="48">
        <v>506698.842</v>
      </c>
      <c r="TB8" s="48">
        <v>507015.788</v>
      </c>
      <c r="TC8" s="48">
        <v>507290.13900000002</v>
      </c>
      <c r="TD8" s="48">
        <v>507606.098</v>
      </c>
      <c r="TE8" s="48">
        <v>507935.68800000002</v>
      </c>
      <c r="TF8" s="48">
        <v>508213.22100000002</v>
      </c>
      <c r="TG8" s="48">
        <v>508549.87400000001</v>
      </c>
      <c r="TH8" s="48">
        <v>508877.85100000002</v>
      </c>
      <c r="TI8" s="48">
        <v>509103.24800000002</v>
      </c>
      <c r="TJ8" s="48">
        <v>509413.761</v>
      </c>
      <c r="TK8" s="48">
        <v>509689.902</v>
      </c>
      <c r="TL8" s="48">
        <v>509920.79499999998</v>
      </c>
      <c r="TM8" s="48">
        <v>510175.674</v>
      </c>
      <c r="TN8" s="48">
        <v>510478.09399999998</v>
      </c>
      <c r="TO8" s="48">
        <v>510662.326</v>
      </c>
      <c r="TP8" s="48">
        <v>510870.68099999998</v>
      </c>
      <c r="TQ8" s="48">
        <v>511118.80300000001</v>
      </c>
      <c r="TR8" s="48">
        <v>511375.315</v>
      </c>
      <c r="TS8" s="126"/>
      <c r="TT8" s="48">
        <v>511624.36800000002</v>
      </c>
      <c r="TU8" s="48">
        <v>511870.03499999997</v>
      </c>
      <c r="TV8" s="48">
        <v>512142.18699999998</v>
      </c>
      <c r="TW8" s="48">
        <v>512485.098</v>
      </c>
      <c r="TX8" s="48">
        <v>512658.07299999997</v>
      </c>
      <c r="TY8" s="48">
        <v>512918.97100000002</v>
      </c>
      <c r="TZ8" s="48">
        <v>513220.02</v>
      </c>
      <c r="UA8" s="48">
        <v>513543.80099999998</v>
      </c>
      <c r="UB8" s="48">
        <v>513844.984</v>
      </c>
      <c r="UC8" s="48">
        <v>514130.788</v>
      </c>
      <c r="UD8" s="48">
        <v>514473.29499999998</v>
      </c>
      <c r="UE8" s="48">
        <v>514706.09</v>
      </c>
      <c r="UF8" s="48">
        <v>515016.386</v>
      </c>
      <c r="UG8" s="48">
        <v>515308.576</v>
      </c>
      <c r="UH8" s="48">
        <v>515635.73300000001</v>
      </c>
      <c r="UI8" s="48">
        <v>515940.70199999999</v>
      </c>
      <c r="UJ8" s="48">
        <v>516304.44699999999</v>
      </c>
      <c r="UK8" s="48">
        <v>516736.29300000001</v>
      </c>
      <c r="UL8" s="48">
        <v>517178.94300000003</v>
      </c>
      <c r="UM8" s="48">
        <v>517431.64199999999</v>
      </c>
      <c r="UN8" s="48">
        <v>517759.13900000002</v>
      </c>
      <c r="UO8" s="48">
        <v>518041.70600000001</v>
      </c>
      <c r="UP8" s="48">
        <v>518347.598</v>
      </c>
      <c r="UQ8" s="48">
        <v>518595.42099999997</v>
      </c>
      <c r="UR8" s="48">
        <v>518929.80599999998</v>
      </c>
      <c r="US8" s="48">
        <v>519221.99099999998</v>
      </c>
      <c r="UT8" s="48">
        <v>519530.01400000002</v>
      </c>
      <c r="UU8" s="48">
        <v>519737.02600000001</v>
      </c>
      <c r="UV8" s="48">
        <v>520010.2</v>
      </c>
      <c r="UW8" s="48">
        <v>520336.73300000001</v>
      </c>
      <c r="UX8" s="48">
        <v>520554.79200000002</v>
      </c>
      <c r="UY8" s="126"/>
      <c r="UZ8" s="48">
        <v>520867.522</v>
      </c>
      <c r="VA8" s="48">
        <v>521158.234</v>
      </c>
      <c r="VB8" s="48">
        <v>521464.14299999998</v>
      </c>
      <c r="VC8" s="48">
        <v>521679.84100000001</v>
      </c>
      <c r="VD8" s="48">
        <v>521962.20500000002</v>
      </c>
      <c r="VE8" s="48">
        <v>522243.33199999999</v>
      </c>
      <c r="VF8" s="48">
        <v>522441.891</v>
      </c>
      <c r="VG8" s="48">
        <v>522780.28399999999</v>
      </c>
      <c r="VH8" s="48">
        <v>523053.68699999998</v>
      </c>
      <c r="VI8" s="48">
        <v>523316.935</v>
      </c>
      <c r="VJ8" s="48">
        <v>523630.82299999997</v>
      </c>
      <c r="VK8" s="48">
        <v>523966.40899999999</v>
      </c>
      <c r="VL8" s="48">
        <v>524283.91800000001</v>
      </c>
      <c r="VM8" s="48">
        <v>524669.52099999995</v>
      </c>
      <c r="VN8" s="48">
        <v>524883.48300000001</v>
      </c>
      <c r="VO8" s="48">
        <v>525216.36399999994</v>
      </c>
      <c r="VP8" s="48">
        <v>525556.28099999996</v>
      </c>
      <c r="VQ8" s="48">
        <v>525877.88899999997</v>
      </c>
      <c r="VR8" s="48">
        <v>526131.05099999998</v>
      </c>
      <c r="VS8" s="48">
        <v>526374.72699999996</v>
      </c>
      <c r="VT8" s="48">
        <v>526656.16299999994</v>
      </c>
      <c r="VU8" s="48">
        <v>526950.85900000005</v>
      </c>
      <c r="VV8" s="48">
        <v>527139.92299999995</v>
      </c>
      <c r="VW8" s="48">
        <v>527446.93099999998</v>
      </c>
      <c r="VX8" s="48">
        <v>527679.30900000001</v>
      </c>
      <c r="VY8" s="48">
        <v>527976.05000000005</v>
      </c>
      <c r="VZ8" s="48">
        <v>528217.10400000005</v>
      </c>
      <c r="WA8" s="48">
        <v>528512.93000000005</v>
      </c>
      <c r="WB8" s="126"/>
      <c r="WC8" s="48">
        <v>528802.12800000003</v>
      </c>
      <c r="WD8" s="48">
        <v>529035.03899999999</v>
      </c>
      <c r="WE8" s="48">
        <v>529287.48199999996</v>
      </c>
      <c r="WF8" s="48">
        <v>529563.83600000001</v>
      </c>
      <c r="WG8" s="48">
        <v>529867.74199999997</v>
      </c>
      <c r="WH8" s="48">
        <v>530177.728</v>
      </c>
      <c r="WI8" s="48">
        <v>530550.49199999997</v>
      </c>
      <c r="WJ8" s="48">
        <v>530773.527</v>
      </c>
      <c r="WK8" s="48">
        <v>531076.33299999998</v>
      </c>
      <c r="WL8" s="48">
        <v>531400.32200000004</v>
      </c>
      <c r="WM8" s="48">
        <v>531709.91500000004</v>
      </c>
      <c r="WN8" s="48">
        <v>531999.45200000005</v>
      </c>
      <c r="WO8" s="48">
        <v>532200.67000000004</v>
      </c>
      <c r="WP8" s="48">
        <v>532532.08499999996</v>
      </c>
      <c r="WQ8" s="48">
        <v>532890.87</v>
      </c>
      <c r="WR8" s="48">
        <v>533118.94799999997</v>
      </c>
      <c r="WS8" s="48">
        <v>533401.99</v>
      </c>
      <c r="WT8" s="48">
        <v>533609.84</v>
      </c>
      <c r="WU8" s="48">
        <v>533938.04599999997</v>
      </c>
      <c r="WV8" s="48">
        <v>534186.01100000006</v>
      </c>
      <c r="WW8" s="48">
        <v>534493.89800000004</v>
      </c>
      <c r="WX8" s="48">
        <v>534774.20600000001</v>
      </c>
      <c r="WY8" s="48">
        <v>535084.26500000001</v>
      </c>
      <c r="WZ8" s="48">
        <v>535378.02500000002</v>
      </c>
      <c r="XA8" s="48">
        <v>535651.68400000001</v>
      </c>
      <c r="XB8" s="48">
        <v>535863.31999999995</v>
      </c>
      <c r="XC8" s="48">
        <v>536179.72400000005</v>
      </c>
      <c r="XD8" s="48">
        <v>536738.75600000005</v>
      </c>
      <c r="XE8" s="48">
        <v>537117.12800000003</v>
      </c>
      <c r="XF8" s="48">
        <v>537440.85</v>
      </c>
      <c r="XG8" s="48">
        <v>537743.29500000004</v>
      </c>
      <c r="XH8" s="126"/>
      <c r="XI8" s="48">
        <v>538075.946</v>
      </c>
      <c r="XJ8" s="48">
        <v>538346.74899999995</v>
      </c>
      <c r="XK8" s="48">
        <v>538635.603</v>
      </c>
      <c r="XL8" s="48">
        <v>538898.89199999999</v>
      </c>
      <c r="XM8" s="48">
        <v>539290.21799999999</v>
      </c>
      <c r="XN8" s="48">
        <v>539631.59900000005</v>
      </c>
      <c r="XO8" s="48">
        <v>540022.11399999994</v>
      </c>
      <c r="XP8" s="48">
        <v>540318.54</v>
      </c>
      <c r="XQ8" s="48">
        <v>540626.33400000003</v>
      </c>
      <c r="XR8" s="48">
        <v>540850.99300000002</v>
      </c>
      <c r="XS8" s="48">
        <v>541196.13600000006</v>
      </c>
      <c r="XT8" s="48">
        <v>541482.98199999996</v>
      </c>
      <c r="XU8" s="48">
        <v>541758.84499999997</v>
      </c>
      <c r="XV8" s="48">
        <v>542043.69999999995</v>
      </c>
      <c r="XW8" s="48">
        <v>542333.39</v>
      </c>
      <c r="XX8" s="48">
        <v>542690.55599999998</v>
      </c>
      <c r="XY8" s="48">
        <v>542969.11199999996</v>
      </c>
      <c r="XZ8" s="48">
        <v>543264.10600000003</v>
      </c>
      <c r="YA8" s="48">
        <v>543664.58299999998</v>
      </c>
      <c r="YB8" s="48">
        <v>543890.27800000005</v>
      </c>
      <c r="YC8" s="48">
        <v>544244.54099999997</v>
      </c>
      <c r="YD8" s="48">
        <v>544465.321</v>
      </c>
      <c r="YE8" s="48">
        <v>544757.40899999999</v>
      </c>
      <c r="YF8" s="48">
        <v>545102.61399999994</v>
      </c>
      <c r="YG8" s="48">
        <v>545547.25600000005</v>
      </c>
      <c r="YH8" s="48">
        <v>545866.69999999995</v>
      </c>
      <c r="YI8" s="48">
        <v>546182.03200000001</v>
      </c>
      <c r="YJ8" s="48">
        <v>546466.62399999995</v>
      </c>
      <c r="YK8" s="48">
        <v>546770.04799999995</v>
      </c>
      <c r="YL8" s="48">
        <v>547081.92500000005</v>
      </c>
      <c r="YM8" s="126"/>
      <c r="YN8" s="48">
        <v>547381.04799999995</v>
      </c>
      <c r="YO8" s="48">
        <v>547727.96600000001</v>
      </c>
      <c r="YP8" s="48">
        <v>548061.54700000002</v>
      </c>
      <c r="YQ8" s="48">
        <v>548450.26699999999</v>
      </c>
      <c r="YR8" s="48">
        <v>548823.08900000004</v>
      </c>
      <c r="YS8" s="48">
        <v>549205.777</v>
      </c>
      <c r="YT8" s="48">
        <v>549457.30000000005</v>
      </c>
      <c r="YU8" s="48">
        <v>549457.30000000005</v>
      </c>
      <c r="YV8" s="48">
        <v>549677.06900000002</v>
      </c>
      <c r="YW8" s="48">
        <v>550070.07700000005</v>
      </c>
      <c r="YX8" s="48">
        <v>550233.902</v>
      </c>
      <c r="YY8" s="48">
        <v>550639.41700000002</v>
      </c>
      <c r="YZ8" s="48">
        <v>550897.76699999999</v>
      </c>
      <c r="ZA8" s="48">
        <v>551207.80200000003</v>
      </c>
      <c r="ZB8" s="48">
        <v>551493.32400000002</v>
      </c>
      <c r="ZC8" s="48">
        <v>551885.67500000005</v>
      </c>
      <c r="ZD8" s="48">
        <v>552100.79299999995</v>
      </c>
      <c r="ZE8" s="48">
        <v>552379.68500000006</v>
      </c>
      <c r="ZF8" s="48">
        <v>552657.02</v>
      </c>
      <c r="ZG8" s="48">
        <v>552981.41299999994</v>
      </c>
      <c r="ZH8" s="48">
        <v>553283.28399999999</v>
      </c>
      <c r="ZI8" s="48">
        <v>553644.58299999998</v>
      </c>
      <c r="ZJ8" s="48">
        <v>554059.27599999995</v>
      </c>
      <c r="ZK8" s="48">
        <v>554545.16299999994</v>
      </c>
      <c r="ZL8" s="48">
        <v>554863.40099999995</v>
      </c>
      <c r="ZM8" s="48">
        <v>555256.02500000002</v>
      </c>
      <c r="ZN8" s="48">
        <v>555532.42299999995</v>
      </c>
      <c r="ZO8" s="48">
        <v>555930.22</v>
      </c>
      <c r="ZP8" s="48">
        <v>556183.64800000004</v>
      </c>
      <c r="ZQ8" s="48">
        <v>556587.45700000005</v>
      </c>
      <c r="ZR8" s="48">
        <v>556994.67500000005</v>
      </c>
      <c r="ZS8" s="126"/>
      <c r="ZT8" s="48">
        <v>557259.00100000005</v>
      </c>
      <c r="ZU8" s="48">
        <v>557544.76599999995</v>
      </c>
      <c r="ZV8" s="48">
        <v>557839.26800000004</v>
      </c>
      <c r="ZW8" s="48">
        <v>558174.34299999999</v>
      </c>
      <c r="ZX8" s="48">
        <v>558506.00699999998</v>
      </c>
      <c r="ZY8" s="48">
        <v>558856.52500000002</v>
      </c>
      <c r="ZZ8" s="48">
        <v>559222.65399999998</v>
      </c>
      <c r="AAA8" s="48">
        <v>559599.81700000004</v>
      </c>
      <c r="AAB8" s="48">
        <v>559938.68400000001</v>
      </c>
      <c r="AAC8" s="48">
        <v>560264.44400000002</v>
      </c>
      <c r="AAD8" s="48">
        <v>560513.41200000001</v>
      </c>
      <c r="AAE8" s="48">
        <v>560780.43200000003</v>
      </c>
      <c r="AAF8" s="48">
        <v>561245.77099999995</v>
      </c>
      <c r="AAG8" s="48">
        <v>561708.97199999995</v>
      </c>
      <c r="AAH8" s="48">
        <v>562056.47100000002</v>
      </c>
      <c r="AAI8" s="48">
        <v>562353.554</v>
      </c>
      <c r="AAJ8" s="48">
        <v>562751.96900000004</v>
      </c>
      <c r="AAK8" s="48">
        <v>563030.62699999998</v>
      </c>
      <c r="AAL8" s="48">
        <v>563417.21100000001</v>
      </c>
      <c r="AAM8" s="48">
        <v>563761.68000000005</v>
      </c>
      <c r="AAN8" s="48">
        <v>564155.59100000001</v>
      </c>
      <c r="AAO8" s="48">
        <v>564420.63600000006</v>
      </c>
      <c r="AAP8" s="48">
        <v>564753.81599999999</v>
      </c>
      <c r="AAQ8" s="48">
        <v>565105.77899999998</v>
      </c>
      <c r="AAR8" s="48">
        <v>565511.02399999998</v>
      </c>
      <c r="AAS8" s="48">
        <v>565860.924</v>
      </c>
      <c r="AAT8" s="48">
        <v>566188.63800000004</v>
      </c>
      <c r="AAU8" s="48">
        <v>566542.37300000002</v>
      </c>
      <c r="AAV8" s="48">
        <v>566994.40300000005</v>
      </c>
      <c r="AAW8" s="48">
        <v>567290.87800000003</v>
      </c>
      <c r="AAX8" s="126"/>
      <c r="AAY8" s="48">
        <v>567684.30700000003</v>
      </c>
      <c r="AAZ8" s="48">
        <v>567947.34100000001</v>
      </c>
      <c r="ABA8" s="48">
        <v>568229.08400000003</v>
      </c>
      <c r="ABB8" s="48">
        <v>568501.82700000005</v>
      </c>
      <c r="ABC8" s="48">
        <v>568886.70200000005</v>
      </c>
      <c r="ABD8" s="48">
        <v>569390.19099999999</v>
      </c>
      <c r="ABE8" s="48">
        <v>569722.75399999996</v>
      </c>
      <c r="ABF8" s="48">
        <v>570049.76</v>
      </c>
      <c r="ABG8" s="48">
        <v>570374.41700000002</v>
      </c>
      <c r="ABH8" s="48">
        <v>570651.37899999996</v>
      </c>
      <c r="ABI8" s="48">
        <v>571058.79500000004</v>
      </c>
      <c r="ABJ8" s="48">
        <v>571364.31999999995</v>
      </c>
      <c r="ABK8" s="48">
        <v>571670.95200000005</v>
      </c>
      <c r="ABL8" s="48">
        <v>572002.05000000005</v>
      </c>
      <c r="ABM8" s="48">
        <v>572328.63100000005</v>
      </c>
      <c r="ABN8" s="48">
        <v>572675.83600000001</v>
      </c>
      <c r="ABO8" s="48">
        <v>573036.25699999998</v>
      </c>
      <c r="ABP8" s="48">
        <v>573408.77300000004</v>
      </c>
      <c r="ABQ8" s="48">
        <v>573715.57700000005</v>
      </c>
      <c r="ABR8" s="48">
        <v>574135.92599999998</v>
      </c>
      <c r="ABS8" s="48">
        <v>574545.88100000005</v>
      </c>
      <c r="ABT8" s="48">
        <v>574807.91299999994</v>
      </c>
      <c r="ABU8" s="48">
        <v>575146.19400000002</v>
      </c>
      <c r="ABV8" s="48">
        <v>575479.46100000001</v>
      </c>
      <c r="ABW8" s="48">
        <v>575893.28399999999</v>
      </c>
      <c r="ABX8" s="48">
        <v>576288.16899999999</v>
      </c>
      <c r="ABY8" s="48">
        <v>576674.81599999999</v>
      </c>
      <c r="ABZ8" s="48">
        <v>577072.61399999994</v>
      </c>
      <c r="ACA8" s="48">
        <v>577357.51300000004</v>
      </c>
      <c r="ACB8" s="48">
        <v>577694.29200000002</v>
      </c>
      <c r="ACC8" s="48">
        <v>578045.20299999998</v>
      </c>
      <c r="ACD8" s="126"/>
      <c r="ACE8" s="48">
        <v>578445.60400000005</v>
      </c>
      <c r="ACF8" s="48">
        <v>578809.245</v>
      </c>
      <c r="ACG8" s="48">
        <v>579076.43200000003</v>
      </c>
      <c r="ACH8" s="48">
        <v>579334.25800000003</v>
      </c>
      <c r="ACI8" s="48">
        <v>579756.723</v>
      </c>
      <c r="ACJ8" s="48">
        <v>579988.26699999999</v>
      </c>
      <c r="ACK8" s="48">
        <v>580232.59199999995</v>
      </c>
      <c r="ACL8" s="48">
        <v>580602.91200000001</v>
      </c>
      <c r="ACM8" s="48">
        <v>580850.04500000004</v>
      </c>
      <c r="ACN8" s="48">
        <v>581184.20499999996</v>
      </c>
      <c r="ACO8" s="48">
        <v>581522.45799999998</v>
      </c>
      <c r="ACP8" s="48">
        <v>581790.228</v>
      </c>
      <c r="ACQ8" s="48">
        <v>582141.821</v>
      </c>
      <c r="ACR8" s="48">
        <v>582443.11600000004</v>
      </c>
      <c r="ACS8" s="48">
        <v>582757.00100000005</v>
      </c>
      <c r="ACT8" s="48">
        <v>583114.97400000005</v>
      </c>
      <c r="ACU8" s="48">
        <v>583568.96299999999</v>
      </c>
      <c r="ACV8" s="48">
        <v>583789.71100000001</v>
      </c>
      <c r="ACW8" s="48">
        <v>583945.67799999996</v>
      </c>
      <c r="ACX8" s="48">
        <v>584208.20299999998</v>
      </c>
      <c r="ACY8" s="48">
        <v>584466.36199999996</v>
      </c>
      <c r="ACZ8" s="48">
        <v>584754.84499999997</v>
      </c>
      <c r="ADA8" s="48">
        <v>585071.09299999999</v>
      </c>
      <c r="ADB8" s="48">
        <v>585233.35400000005</v>
      </c>
      <c r="ADC8" s="48">
        <v>585496.31099999999</v>
      </c>
      <c r="ADD8" s="48">
        <v>585763.27</v>
      </c>
      <c r="ADE8" s="48">
        <v>586026.61199999996</v>
      </c>
      <c r="ADF8" s="48">
        <v>586272.95700000005</v>
      </c>
      <c r="ADG8" s="48">
        <v>586563.79299999995</v>
      </c>
      <c r="ADH8" s="48">
        <v>586890.07799999998</v>
      </c>
      <c r="ADI8" s="48">
        <v>587207.25300000003</v>
      </c>
      <c r="ADJ8" s="126"/>
      <c r="ADK8" s="48">
        <v>587395.04500000004</v>
      </c>
      <c r="ADL8" s="48">
        <v>587627.46600000001</v>
      </c>
      <c r="ADM8" s="48">
        <v>587877.67200000002</v>
      </c>
      <c r="ADN8" s="48">
        <v>588129.59400000004</v>
      </c>
      <c r="ADO8" s="48">
        <v>588379.64199999999</v>
      </c>
      <c r="ADP8" s="48">
        <v>588739.16299999994</v>
      </c>
      <c r="ADQ8" s="48">
        <v>589106.54500000004</v>
      </c>
      <c r="ADR8" s="48">
        <v>589388.13199999998</v>
      </c>
      <c r="ADS8" s="48">
        <v>589626.46</v>
      </c>
      <c r="ADT8" s="48">
        <v>589908.77099999995</v>
      </c>
      <c r="ADU8" s="48">
        <v>590177.40099999995</v>
      </c>
      <c r="ADV8" s="48">
        <v>590482.68000000005</v>
      </c>
      <c r="ADW8" s="48">
        <v>590783.51699999999</v>
      </c>
      <c r="ADX8" s="48">
        <v>591051.38199999998</v>
      </c>
      <c r="ADY8" s="48">
        <v>591314.32900000003</v>
      </c>
      <c r="ADZ8" s="48">
        <v>591564.625</v>
      </c>
      <c r="AEA8" s="48">
        <v>591871.33600000001</v>
      </c>
      <c r="AEB8" s="48">
        <v>592223.53799999994</v>
      </c>
      <c r="AEC8" s="48">
        <v>592513.17500000005</v>
      </c>
      <c r="AED8" s="48">
        <v>592916.42700000003</v>
      </c>
      <c r="AEE8" s="48">
        <v>593118.87899999996</v>
      </c>
      <c r="AEF8" s="48">
        <v>593468.32999999996</v>
      </c>
      <c r="AEG8" s="48">
        <v>593722.745</v>
      </c>
      <c r="AEH8" s="48">
        <v>593952.75300000003</v>
      </c>
      <c r="AEI8" s="48">
        <v>594157.16200000001</v>
      </c>
      <c r="AEJ8" s="48">
        <v>594453.745</v>
      </c>
      <c r="AEK8" s="48">
        <v>594727.18400000001</v>
      </c>
      <c r="AEL8" s="48">
        <v>595036.43099999998</v>
      </c>
      <c r="AEM8" s="48">
        <v>595265.84600000002</v>
      </c>
      <c r="AEN8" s="48">
        <v>595501.65700000001</v>
      </c>
      <c r="AEO8" s="126"/>
      <c r="AEP8" s="48">
        <v>595874.03200000001</v>
      </c>
      <c r="AEQ8" s="48">
        <v>596196.29299999995</v>
      </c>
      <c r="AER8" s="48">
        <v>596439.51</v>
      </c>
      <c r="AES8" s="48">
        <v>596780.13699999999</v>
      </c>
      <c r="AET8" s="48">
        <v>597010.87199999997</v>
      </c>
      <c r="AEU8" s="48">
        <v>597240.68599999999</v>
      </c>
      <c r="AEV8" s="48">
        <v>597460.13199999998</v>
      </c>
      <c r="AEW8" s="48">
        <v>597747.94900000002</v>
      </c>
      <c r="AEX8" s="48">
        <v>598053.99800000002</v>
      </c>
      <c r="AEY8" s="48">
        <v>598422.14099999995</v>
      </c>
      <c r="AEZ8" s="48">
        <v>598697.95799999998</v>
      </c>
      <c r="AFA8" s="48">
        <v>599012.82900000003</v>
      </c>
      <c r="AFB8" s="48">
        <v>599316.04599999997</v>
      </c>
      <c r="AFC8" s="48">
        <v>599633.38500000001</v>
      </c>
      <c r="AFD8" s="48">
        <v>599989.245</v>
      </c>
      <c r="AFE8" s="48">
        <v>600249.65800000005</v>
      </c>
      <c r="AFF8" s="48">
        <v>600548.20200000005</v>
      </c>
      <c r="AFG8" s="48">
        <v>600803.22900000005</v>
      </c>
      <c r="AFH8" s="48">
        <v>601015.84400000004</v>
      </c>
      <c r="AFI8" s="48">
        <v>601308.07299999997</v>
      </c>
      <c r="AFJ8" s="48">
        <v>601577.60600000003</v>
      </c>
      <c r="AFK8" s="48">
        <v>601764.11499999999</v>
      </c>
      <c r="AFL8" s="48">
        <v>602003.63800000004</v>
      </c>
      <c r="AFM8" s="48">
        <v>602254.55200000003</v>
      </c>
      <c r="AFN8" s="48">
        <v>602704.79700000002</v>
      </c>
      <c r="AFO8" s="48">
        <v>602949.054</v>
      </c>
      <c r="AFP8" s="48">
        <v>603274.67700000003</v>
      </c>
      <c r="AFQ8" s="48">
        <v>603528.58900000004</v>
      </c>
      <c r="AFR8" s="48">
        <v>603738.28599999996</v>
      </c>
      <c r="AFS8" s="48">
        <v>603964.86399999994</v>
      </c>
      <c r="AFT8" s="48">
        <v>604331.53</v>
      </c>
      <c r="AFU8" s="126"/>
      <c r="AFV8" s="48">
        <v>604617.70499999996</v>
      </c>
      <c r="AFW8" s="48">
        <v>604984.25699999998</v>
      </c>
      <c r="AFX8" s="48">
        <v>605196.06000000006</v>
      </c>
      <c r="AFY8" s="48">
        <v>605563.12199999997</v>
      </c>
      <c r="AFZ8" s="48">
        <v>605821.29799999995</v>
      </c>
      <c r="AGA8" s="48">
        <v>606075.14</v>
      </c>
      <c r="AGB8" s="48">
        <v>606346.24399999995</v>
      </c>
      <c r="AGC8" s="48">
        <v>606567.24699999997</v>
      </c>
      <c r="AGD8" s="48">
        <v>606892.63100000005</v>
      </c>
      <c r="AGE8" s="48">
        <v>607163.446</v>
      </c>
      <c r="AGF8" s="48">
        <v>607421.02</v>
      </c>
      <c r="AGG8" s="48">
        <v>607660.01300000004</v>
      </c>
      <c r="AGH8" s="48">
        <v>607807.41399999999</v>
      </c>
      <c r="AGI8" s="48">
        <v>608087.16700000002</v>
      </c>
      <c r="AGJ8" s="48">
        <v>608341.30200000003</v>
      </c>
      <c r="AGK8" s="48">
        <v>608541.61899999995</v>
      </c>
      <c r="AGL8" s="48">
        <v>608713.54</v>
      </c>
      <c r="AGM8" s="48">
        <v>608931.495</v>
      </c>
      <c r="AGN8" s="48">
        <v>609297.76300000004</v>
      </c>
      <c r="AGO8" s="48">
        <v>609577.31200000003</v>
      </c>
      <c r="AGP8" s="48">
        <v>609886.93400000001</v>
      </c>
      <c r="AGQ8" s="48">
        <v>610228.14099999995</v>
      </c>
      <c r="AGR8" s="48">
        <v>610567.50699999998</v>
      </c>
      <c r="AGS8" s="48">
        <v>610788.66799999995</v>
      </c>
      <c r="AGT8" s="48">
        <v>611177.55900000001</v>
      </c>
      <c r="AGU8" s="48">
        <v>611486.44799999997</v>
      </c>
      <c r="AGV8" s="48">
        <v>611777.44099999999</v>
      </c>
      <c r="AGW8" s="48">
        <v>612080.26100000006</v>
      </c>
      <c r="AGX8" s="48">
        <v>612473.69200000004</v>
      </c>
      <c r="AGY8" s="48">
        <v>612813.59199999995</v>
      </c>
      <c r="AGZ8" s="126"/>
      <c r="AHA8" s="48">
        <v>613110.40700000001</v>
      </c>
      <c r="AHB8" s="48">
        <v>613450.67299999995</v>
      </c>
      <c r="AHC8" s="48">
        <v>613744.19999999995</v>
      </c>
      <c r="AHD8" s="48">
        <v>614036.31999999995</v>
      </c>
      <c r="AHE8" s="48">
        <v>614419.14300000004</v>
      </c>
      <c r="AHF8" s="48">
        <v>614768.93900000001</v>
      </c>
      <c r="AHG8" s="48">
        <v>615072.97900000005</v>
      </c>
      <c r="AHH8" s="48">
        <v>615349.73600000003</v>
      </c>
      <c r="AHI8" s="48">
        <v>615619.41899999999</v>
      </c>
      <c r="AHJ8" s="48">
        <v>615940.93000000005</v>
      </c>
      <c r="AHK8" s="48">
        <v>616305.46699999995</v>
      </c>
      <c r="AHL8" s="48">
        <v>616717.30000000005</v>
      </c>
      <c r="AHM8" s="48">
        <v>616995.25100000005</v>
      </c>
      <c r="AHN8" s="48">
        <v>617254.31000000006</v>
      </c>
      <c r="AHO8" s="48">
        <v>617474.098</v>
      </c>
      <c r="AHP8" s="48">
        <v>617765.21499999997</v>
      </c>
      <c r="AHQ8" s="48">
        <v>618013.49600000004</v>
      </c>
      <c r="AHR8" s="48">
        <v>618274.19400000002</v>
      </c>
      <c r="AHS8" s="48">
        <v>618620.23100000003</v>
      </c>
      <c r="AHT8" s="48">
        <v>619067.272</v>
      </c>
      <c r="AHU8" s="48">
        <v>619328.35400000005</v>
      </c>
      <c r="AHV8" s="48">
        <v>619699.076</v>
      </c>
      <c r="AHW8" s="48">
        <v>620113.63300000003</v>
      </c>
      <c r="AHX8" s="48">
        <v>620538.21799999999</v>
      </c>
      <c r="AHY8" s="48">
        <v>620802.76899999997</v>
      </c>
      <c r="AHZ8" s="48">
        <v>621000.478</v>
      </c>
      <c r="AIA8" s="48">
        <v>621206.11199999996</v>
      </c>
      <c r="AIB8" s="48">
        <v>621487.90300000005</v>
      </c>
      <c r="AIC8" s="48">
        <v>621700.62399999995</v>
      </c>
      <c r="AID8" s="48">
        <v>621999.81999999995</v>
      </c>
      <c r="AIE8" s="48">
        <v>622288.69900000002</v>
      </c>
      <c r="AIF8" s="126"/>
      <c r="AIG8" s="48">
        <v>622561.41</v>
      </c>
      <c r="AIH8" s="48">
        <v>622762.00800000003</v>
      </c>
      <c r="AII8" s="48">
        <v>622987.25600000005</v>
      </c>
      <c r="AIJ8" s="48">
        <v>623331.31099999999</v>
      </c>
      <c r="AIK8" s="48">
        <v>623622.74899999995</v>
      </c>
      <c r="AIL8" s="48">
        <v>623982.15800000005</v>
      </c>
      <c r="AIM8" s="48">
        <v>624351.30200000003</v>
      </c>
      <c r="AIN8" s="48">
        <v>624717.66500000004</v>
      </c>
      <c r="AIO8" s="48">
        <v>624970.48899999994</v>
      </c>
      <c r="AIP8" s="48">
        <v>625448.88500000001</v>
      </c>
      <c r="AIQ8" s="48">
        <v>625811.72499999998</v>
      </c>
      <c r="AIR8" s="48">
        <v>626119.38899999997</v>
      </c>
      <c r="AIS8" s="48">
        <v>626429.29799999995</v>
      </c>
      <c r="AIT8" s="48">
        <v>626785.84900000005</v>
      </c>
      <c r="AIU8" s="48">
        <v>627022.277</v>
      </c>
      <c r="AIV8" s="48">
        <v>627513.08900000004</v>
      </c>
      <c r="AIW8" s="48">
        <v>627667.902</v>
      </c>
      <c r="AIX8" s="48">
        <v>627837.01199999999</v>
      </c>
      <c r="AIY8" s="48">
        <v>628146.64500000002</v>
      </c>
      <c r="AIZ8" s="48">
        <v>628400.26699999999</v>
      </c>
      <c r="AJA8" s="48">
        <v>628805.20299999998</v>
      </c>
      <c r="AJB8" s="48">
        <v>629087.43000000005</v>
      </c>
      <c r="AJC8" s="48">
        <v>629316.39199999999</v>
      </c>
      <c r="AJD8" s="48">
        <v>629642.46299999999</v>
      </c>
      <c r="AJE8" s="48">
        <v>629906.48199999996</v>
      </c>
      <c r="AJF8" s="48">
        <v>630200.09299999999</v>
      </c>
      <c r="AJG8" s="48">
        <v>630615.39800000004</v>
      </c>
      <c r="AJH8" s="48">
        <v>630897.78899999999</v>
      </c>
      <c r="AJI8" s="48">
        <v>631185.66700000002</v>
      </c>
      <c r="AJJ8" s="48">
        <v>631488.75199999998</v>
      </c>
      <c r="AJK8" s="48">
        <v>631758.07299999997</v>
      </c>
      <c r="AJL8" s="126"/>
      <c r="AJM8" s="48">
        <v>631961.97400000005</v>
      </c>
      <c r="AJN8" s="48">
        <v>632338.15500000003</v>
      </c>
      <c r="AJO8" s="48">
        <v>632712.40599999996</v>
      </c>
      <c r="AJP8" s="48">
        <v>633035.26100000006</v>
      </c>
      <c r="AJQ8" s="48">
        <v>633370.55000000005</v>
      </c>
      <c r="AJR8" s="48">
        <v>633623.52399999998</v>
      </c>
      <c r="AJS8" s="48">
        <v>633873.45799999998</v>
      </c>
      <c r="AJT8" s="48">
        <v>634136.52899999998</v>
      </c>
      <c r="AJU8" s="48">
        <v>634359.87600000005</v>
      </c>
      <c r="AJV8" s="48">
        <v>634610.94999999995</v>
      </c>
      <c r="AJW8" s="48">
        <v>634832.13500000001</v>
      </c>
      <c r="AJX8" s="48">
        <v>635107.62800000003</v>
      </c>
      <c r="AJY8" s="48">
        <v>635428.61100000003</v>
      </c>
      <c r="AJZ8" s="48">
        <v>635730.42700000003</v>
      </c>
      <c r="AKA8" s="48">
        <v>636055.30200000003</v>
      </c>
      <c r="AKB8" s="48">
        <v>636224.603</v>
      </c>
      <c r="AKC8" s="48">
        <v>636535.75300000003</v>
      </c>
      <c r="AKD8" s="48">
        <v>636799.03200000001</v>
      </c>
      <c r="AKE8" s="48">
        <v>637007.85800000001</v>
      </c>
      <c r="AKF8" s="48">
        <v>637321.71100000001</v>
      </c>
      <c r="AKG8" s="48">
        <v>637629.81799999997</v>
      </c>
      <c r="AKH8" s="48">
        <v>637745.603</v>
      </c>
      <c r="AKI8" s="48">
        <v>637983.35400000005</v>
      </c>
      <c r="AKJ8" s="48">
        <v>638287.47</v>
      </c>
      <c r="AKK8" s="48">
        <v>638560.14500000002</v>
      </c>
      <c r="AKL8" s="48">
        <v>638787.48400000005</v>
      </c>
      <c r="AKM8" s="48">
        <v>639092.005</v>
      </c>
      <c r="AKN8" s="48">
        <v>639267.23</v>
      </c>
      <c r="AKO8" s="126"/>
      <c r="AKP8" s="48">
        <v>639489.37699999998</v>
      </c>
      <c r="AKQ8" s="48">
        <v>639782.022</v>
      </c>
      <c r="AKR8" s="48">
        <v>640052.40700000001</v>
      </c>
      <c r="AKS8" s="48">
        <v>640254.429</v>
      </c>
      <c r="AKT8" s="48">
        <v>640506.821</v>
      </c>
      <c r="AKU8" s="48">
        <v>640734.36100000003</v>
      </c>
      <c r="AKV8" s="48">
        <v>640956.57499999995</v>
      </c>
      <c r="AKW8" s="48">
        <v>641128.40700000001</v>
      </c>
      <c r="AKX8" s="48">
        <v>641470.54700000002</v>
      </c>
      <c r="AKY8" s="48">
        <v>641620.84900000005</v>
      </c>
      <c r="AKZ8" s="48">
        <v>641769.74699999997</v>
      </c>
      <c r="ALA8" s="48">
        <v>642042.03399999999</v>
      </c>
      <c r="ALB8" s="48">
        <v>642272.02099999995</v>
      </c>
      <c r="ALC8" s="48">
        <v>642575.45700000005</v>
      </c>
      <c r="ALD8" s="48">
        <v>642831.53700000001</v>
      </c>
      <c r="ALE8" s="48">
        <v>643279.9</v>
      </c>
      <c r="ALF8" s="48">
        <v>643674.70600000001</v>
      </c>
      <c r="ALG8" s="48">
        <v>643902.29500000004</v>
      </c>
      <c r="ALH8" s="48">
        <v>644340.70799999998</v>
      </c>
      <c r="ALI8" s="48">
        <v>644688.80099999998</v>
      </c>
      <c r="ALJ8" s="48">
        <v>644946.66700000002</v>
      </c>
      <c r="ALK8" s="48">
        <v>645153.57299999997</v>
      </c>
      <c r="ALL8" s="48">
        <v>645443.30799999996</v>
      </c>
      <c r="ALM8" s="48">
        <v>645765.31400000001</v>
      </c>
      <c r="ALN8" s="48">
        <v>646101.69799999997</v>
      </c>
      <c r="ALO8" s="48">
        <v>646392.91500000004</v>
      </c>
      <c r="ALP8" s="48">
        <v>646691.06700000004</v>
      </c>
      <c r="ALQ8" s="48">
        <v>647119.70600000001</v>
      </c>
      <c r="ALR8" s="48">
        <v>647525.56299999997</v>
      </c>
      <c r="ALS8" s="48">
        <v>647975.30799999996</v>
      </c>
      <c r="ALT8" s="48">
        <v>648213.37199999997</v>
      </c>
      <c r="ALU8" s="126"/>
      <c r="ALV8" s="48">
        <v>648701.86199999996</v>
      </c>
      <c r="ALW8" s="48">
        <v>649048.04200000002</v>
      </c>
      <c r="ALX8" s="48">
        <v>649362.42700000003</v>
      </c>
      <c r="ALY8" s="48">
        <v>649727.59400000004</v>
      </c>
      <c r="ALZ8" s="48">
        <v>649976.46499999997</v>
      </c>
      <c r="AMA8" s="48">
        <v>650159.42500000005</v>
      </c>
      <c r="AMB8" s="48">
        <v>650588.95600000001</v>
      </c>
      <c r="AMC8" s="48">
        <v>650901.64399999997</v>
      </c>
      <c r="AMD8" s="48">
        <v>651266.51599999995</v>
      </c>
      <c r="AME8" s="48">
        <v>651764.755</v>
      </c>
      <c r="AMF8" s="48">
        <v>652372.49600000004</v>
      </c>
      <c r="AMG8" s="48">
        <v>652726.35800000001</v>
      </c>
      <c r="AMH8" s="48">
        <v>653087.10199999996</v>
      </c>
      <c r="AMI8" s="48">
        <v>653337.12600000005</v>
      </c>
      <c r="AMJ8" s="48">
        <v>653635.44700000004</v>
      </c>
      <c r="AMK8" s="48">
        <v>653926.67799999996</v>
      </c>
      <c r="AML8" s="48">
        <v>654208.89599999995</v>
      </c>
      <c r="AMM8" s="48">
        <v>654597.62899999996</v>
      </c>
      <c r="AMN8" s="48">
        <v>654992.82299999997</v>
      </c>
      <c r="AMO8" s="48">
        <v>655635.42799999996</v>
      </c>
      <c r="AMP8" s="48">
        <v>656239.33600000001</v>
      </c>
      <c r="AMQ8" s="48">
        <v>656794.875</v>
      </c>
      <c r="AMR8" s="48">
        <v>657716.97499999998</v>
      </c>
      <c r="AMS8" s="48">
        <v>658790.16299999994</v>
      </c>
      <c r="AMT8" s="48">
        <v>659910.54799999995</v>
      </c>
      <c r="AMU8" s="48">
        <v>661395.56000000006</v>
      </c>
      <c r="AMV8" s="48">
        <v>661653.39399999997</v>
      </c>
      <c r="AMW8" s="48">
        <v>662042.34299999999</v>
      </c>
      <c r="AMX8" s="48">
        <v>663382.28300000005</v>
      </c>
      <c r="AMY8" s="48">
        <v>663860.93400000001</v>
      </c>
      <c r="AMZ8" s="126"/>
      <c r="ANA8" s="48">
        <v>664193.51599999995</v>
      </c>
      <c r="ANB8" s="48">
        <v>664516.86399999994</v>
      </c>
      <c r="ANC8" s="48">
        <v>664810.73199999996</v>
      </c>
      <c r="AND8" s="48">
        <v>665281.01399999997</v>
      </c>
      <c r="ANE8" s="48">
        <v>665654.15599999996</v>
      </c>
      <c r="ANF8" s="48">
        <v>666021.34900000005</v>
      </c>
      <c r="ANG8" s="48">
        <v>666297.07900000003</v>
      </c>
      <c r="ANH8" s="48">
        <v>666685.69400000002</v>
      </c>
      <c r="ANI8" s="48">
        <v>667050.09199999995</v>
      </c>
      <c r="ANJ8" s="48">
        <v>667346.67299999995</v>
      </c>
      <c r="ANK8" s="48">
        <v>667609.11899999995</v>
      </c>
      <c r="ANL8" s="48">
        <v>667992.13600000006</v>
      </c>
      <c r="ANM8" s="48">
        <v>668321.63</v>
      </c>
      <c r="ANN8" s="48">
        <v>668791.04000000004</v>
      </c>
      <c r="ANO8" s="48">
        <v>669193.06099999999</v>
      </c>
      <c r="ANP8" s="48">
        <v>669427.83400000003</v>
      </c>
      <c r="ANQ8" s="48">
        <v>669641.64599999995</v>
      </c>
      <c r="ANR8" s="48">
        <v>669933.48600000003</v>
      </c>
      <c r="ANS8" s="48">
        <v>670201.93000000005</v>
      </c>
      <c r="ANT8" s="48">
        <v>670421.04200000002</v>
      </c>
      <c r="ANU8" s="48">
        <v>670590.08200000005</v>
      </c>
      <c r="ANV8" s="48">
        <v>670883.321</v>
      </c>
      <c r="ANW8" s="48">
        <v>671137.02300000004</v>
      </c>
      <c r="ANX8" s="48">
        <v>671397.26300000004</v>
      </c>
      <c r="ANY8" s="48">
        <v>671660.39</v>
      </c>
      <c r="ANZ8" s="48">
        <v>671965.15700000001</v>
      </c>
      <c r="AOA8" s="48">
        <v>672135.51699999999</v>
      </c>
      <c r="AOB8" s="48">
        <v>672355.95299999998</v>
      </c>
      <c r="AOC8" s="48">
        <v>672625.90800000005</v>
      </c>
      <c r="AOD8" s="48">
        <v>672967.19900000002</v>
      </c>
      <c r="AOE8">
        <v>672967.19900000002</v>
      </c>
      <c r="AOF8">
        <v>346458.31199999998</v>
      </c>
    </row>
    <row r="9" spans="1:1072" x14ac:dyDescent="0.2">
      <c r="A9" s="157"/>
      <c r="B9" s="160"/>
      <c r="C9" s="6" t="s">
        <v>760</v>
      </c>
      <c r="D9" s="16">
        <f t="shared" ref="D9:AH9" si="111">D8-D7</f>
        <v>440.6020000000135</v>
      </c>
      <c r="E9" s="16">
        <f t="shared" si="111"/>
        <v>686.68400000000838</v>
      </c>
      <c r="F9" s="16">
        <f t="shared" si="111"/>
        <v>378.5800000000163</v>
      </c>
      <c r="G9" s="16">
        <f t="shared" si="111"/>
        <v>393.5109999999986</v>
      </c>
      <c r="H9" s="16">
        <f t="shared" si="111"/>
        <v>450.03199999994831</v>
      </c>
      <c r="I9" s="16">
        <f t="shared" si="111"/>
        <v>391.82300000003306</v>
      </c>
      <c r="J9" s="16">
        <f t="shared" si="111"/>
        <v>410.1359999999986</v>
      </c>
      <c r="K9" s="16">
        <f t="shared" si="111"/>
        <v>374.43499999999767</v>
      </c>
      <c r="L9" s="16">
        <f t="shared" si="111"/>
        <v>353.05199999996694</v>
      </c>
      <c r="M9" s="16">
        <f t="shared" si="111"/>
        <v>414.87100000004284</v>
      </c>
      <c r="N9" s="16">
        <f t="shared" si="111"/>
        <v>500.15399999998044</v>
      </c>
      <c r="O9" s="16">
        <f t="shared" si="111"/>
        <v>513.54200000001583</v>
      </c>
      <c r="P9" s="16">
        <f t="shared" si="111"/>
        <v>428.08899999997811</v>
      </c>
      <c r="Q9" s="16">
        <f t="shared" si="111"/>
        <v>414.02900000003865</v>
      </c>
      <c r="R9" s="16">
        <f t="shared" si="111"/>
        <v>382.8859999999986</v>
      </c>
      <c r="S9" s="16">
        <f t="shared" si="111"/>
        <v>427.30099999997765</v>
      </c>
      <c r="T9" s="16">
        <f t="shared" si="111"/>
        <v>370.7050000000163</v>
      </c>
      <c r="U9" s="16">
        <f t="shared" si="111"/>
        <v>580.24799999996321</v>
      </c>
      <c r="V9" s="16">
        <f t="shared" si="111"/>
        <v>297.16600000002654</v>
      </c>
      <c r="W9" s="16">
        <f t="shared" si="111"/>
        <v>375.88799999997718</v>
      </c>
      <c r="X9" s="16">
        <f t="shared" si="111"/>
        <v>365.72899999999208</v>
      </c>
      <c r="Y9" s="16">
        <f t="shared" si="111"/>
        <v>377.39199999999255</v>
      </c>
      <c r="Z9" s="16">
        <f t="shared" si="111"/>
        <v>404.15300000004936</v>
      </c>
      <c r="AA9" s="16">
        <f t="shared" si="111"/>
        <v>428.15200000000186</v>
      </c>
      <c r="AB9" s="16">
        <f t="shared" si="111"/>
        <v>332.19899999996414</v>
      </c>
      <c r="AC9" s="16">
        <f t="shared" si="111"/>
        <v>520.97500000003492</v>
      </c>
      <c r="AD9" s="16">
        <f t="shared" si="111"/>
        <v>508.85499999998137</v>
      </c>
      <c r="AE9" s="16">
        <f t="shared" si="111"/>
        <v>298.93800000002375</v>
      </c>
      <c r="AF9" s="16">
        <f t="shared" si="111"/>
        <v>288.8289999999688</v>
      </c>
      <c r="AG9" s="16">
        <f t="shared" si="111"/>
        <v>328.71299999998882</v>
      </c>
      <c r="AH9" s="16">
        <f t="shared" si="111"/>
        <v>288.43400000000838</v>
      </c>
      <c r="AI9" s="17">
        <f>SUM(D9:AH9)</f>
        <v>12726.103000000003</v>
      </c>
      <c r="AJ9" s="16">
        <f t="shared" ref="AJ9:BM9" si="112">AJ8-AJ7</f>
        <v>463.96299999998882</v>
      </c>
      <c r="AK9" s="16">
        <f t="shared" si="112"/>
        <v>380.93600000004517</v>
      </c>
      <c r="AL9" s="16">
        <f t="shared" si="112"/>
        <v>469.76399999996647</v>
      </c>
      <c r="AM9" s="16">
        <f t="shared" si="112"/>
        <v>407.47100000001956</v>
      </c>
      <c r="AN9" s="16">
        <f t="shared" si="112"/>
        <v>346.2609999999986</v>
      </c>
      <c r="AO9" s="16">
        <f t="shared" si="112"/>
        <v>289.30499999999302</v>
      </c>
      <c r="AP9" s="16">
        <f t="shared" si="112"/>
        <v>473.75299999996787</v>
      </c>
      <c r="AQ9" s="16">
        <f t="shared" si="112"/>
        <v>459.05800000001909</v>
      </c>
      <c r="AR9" s="16">
        <f t="shared" si="112"/>
        <v>365.58699999999953</v>
      </c>
      <c r="AS9" s="16">
        <f t="shared" si="112"/>
        <v>406.09799999999814</v>
      </c>
      <c r="AT9" s="16">
        <f t="shared" si="112"/>
        <v>309.51400000002468</v>
      </c>
      <c r="AU9" s="16">
        <f t="shared" si="112"/>
        <v>313.58199999999488</v>
      </c>
      <c r="AV9" s="16">
        <f t="shared" si="112"/>
        <v>338.35899999999674</v>
      </c>
      <c r="AW9" s="16">
        <f t="shared" si="112"/>
        <v>333.92900000000373</v>
      </c>
      <c r="AX9" s="16">
        <f t="shared" si="112"/>
        <v>313.08799999998882</v>
      </c>
      <c r="AY9" s="16">
        <f t="shared" si="112"/>
        <v>329.27700000000186</v>
      </c>
      <c r="AZ9" s="16">
        <f t="shared" si="112"/>
        <v>316.96100000001024</v>
      </c>
      <c r="BA9" s="16">
        <f t="shared" si="112"/>
        <v>360.67499999998836</v>
      </c>
      <c r="BB9" s="16">
        <f t="shared" si="112"/>
        <v>426.22399999998743</v>
      </c>
      <c r="BC9" s="16">
        <f t="shared" si="112"/>
        <v>256.07699999999022</v>
      </c>
      <c r="BD9" s="16">
        <f t="shared" si="112"/>
        <v>275.83600000001024</v>
      </c>
      <c r="BE9" s="16">
        <f t="shared" si="112"/>
        <v>440.19599999999627</v>
      </c>
      <c r="BF9" s="16">
        <f t="shared" si="112"/>
        <v>360.43499999999767</v>
      </c>
      <c r="BG9" s="16">
        <f t="shared" si="112"/>
        <v>280.01800000004005</v>
      </c>
      <c r="BH9" s="16">
        <f t="shared" si="112"/>
        <v>328.47899999999208</v>
      </c>
      <c r="BI9" s="16">
        <f t="shared" si="112"/>
        <v>347.33199999999488</v>
      </c>
      <c r="BJ9" s="16">
        <f t="shared" si="112"/>
        <v>285.68199999997159</v>
      </c>
      <c r="BK9" s="16">
        <f t="shared" si="112"/>
        <v>315.6480000000447</v>
      </c>
      <c r="BL9" s="16">
        <f t="shared" si="112"/>
        <v>346.75999999995111</v>
      </c>
      <c r="BM9" s="16">
        <f t="shared" si="112"/>
        <v>315.15600000001723</v>
      </c>
      <c r="BN9" s="89">
        <f>SUM(AJ9:BM9)</f>
        <v>10655.423999999999</v>
      </c>
      <c r="BO9" s="16">
        <f t="shared" ref="BO9:CS9" si="113">BO8-BO7</f>
        <v>295.27899999998044</v>
      </c>
      <c r="BP9" s="16">
        <f t="shared" si="113"/>
        <v>391.93500000005588</v>
      </c>
      <c r="BQ9" s="16">
        <f t="shared" si="113"/>
        <v>344.82999999995809</v>
      </c>
      <c r="BR9" s="16">
        <f t="shared" si="113"/>
        <v>286.96100000001024</v>
      </c>
      <c r="BS9" s="16">
        <f t="shared" si="113"/>
        <v>294.36999999999534</v>
      </c>
      <c r="BT9" s="16">
        <f t="shared" si="113"/>
        <v>396.44300000002841</v>
      </c>
      <c r="BU9" s="16">
        <f t="shared" si="113"/>
        <v>366.54899999999907</v>
      </c>
      <c r="BV9" s="16">
        <f t="shared" si="113"/>
        <v>334.02100000000792</v>
      </c>
      <c r="BW9" s="16">
        <f t="shared" si="113"/>
        <v>310.96199999999953</v>
      </c>
      <c r="BX9" s="16">
        <f t="shared" si="113"/>
        <v>231.01799999998184</v>
      </c>
      <c r="BY9" s="16">
        <f t="shared" si="113"/>
        <v>283.12400000001071</v>
      </c>
      <c r="BZ9" s="16">
        <f t="shared" si="113"/>
        <v>258.50799999997253</v>
      </c>
      <c r="CA9" s="16">
        <f t="shared" si="113"/>
        <v>346.67700000002515</v>
      </c>
      <c r="CB9" s="16">
        <f t="shared" si="113"/>
        <v>341.98499999998603</v>
      </c>
      <c r="CC9" s="16">
        <f t="shared" si="113"/>
        <v>290.67599999997765</v>
      </c>
      <c r="CD9" s="16">
        <f t="shared" si="113"/>
        <v>261.28000000002794</v>
      </c>
      <c r="CE9" s="16">
        <f t="shared" si="113"/>
        <v>349.43799999996554</v>
      </c>
      <c r="CF9" s="16">
        <f t="shared" si="113"/>
        <v>193.4440000000177</v>
      </c>
      <c r="CG9" s="16">
        <f t="shared" si="113"/>
        <v>306.44099999999162</v>
      </c>
      <c r="CH9" s="16">
        <f t="shared" si="113"/>
        <v>317.12300000002142</v>
      </c>
      <c r="CI9" s="16">
        <f t="shared" si="113"/>
        <v>220.82699999999022</v>
      </c>
      <c r="CJ9" s="16">
        <f t="shared" si="113"/>
        <v>290.73399999999674</v>
      </c>
      <c r="CK9" s="16">
        <f t="shared" si="113"/>
        <v>344.90500000002794</v>
      </c>
      <c r="CL9" s="16">
        <f t="shared" si="113"/>
        <v>387.65700000000652</v>
      </c>
      <c r="CM9" s="16">
        <f t="shared" si="113"/>
        <v>289.37099999998463</v>
      </c>
      <c r="CN9" s="16">
        <f t="shared" si="113"/>
        <v>331.18199999997159</v>
      </c>
      <c r="CO9" s="16">
        <f t="shared" si="113"/>
        <v>315.07400000002235</v>
      </c>
      <c r="CP9" s="16">
        <f t="shared" si="113"/>
        <v>298.3399999999674</v>
      </c>
      <c r="CQ9" s="16">
        <f t="shared" si="113"/>
        <v>267.2850000000326</v>
      </c>
      <c r="CR9" s="16">
        <f t="shared" si="113"/>
        <v>339.16499999997905</v>
      </c>
      <c r="CS9" s="16">
        <f t="shared" si="113"/>
        <v>284.80400000000373</v>
      </c>
      <c r="CT9" s="89">
        <f>SUM(BO9:CS9)</f>
        <v>9570.4079999999958</v>
      </c>
      <c r="CU9" s="16">
        <f t="shared" ref="CU9:DX9" si="114">CU8-CU7</f>
        <v>219.62700000003679</v>
      </c>
      <c r="CV9" s="16">
        <f t="shared" si="114"/>
        <v>339.07699999999022</v>
      </c>
      <c r="CW9" s="16">
        <f t="shared" si="114"/>
        <v>315.53899999998976</v>
      </c>
      <c r="CX9" s="16">
        <f t="shared" si="114"/>
        <v>491.99099999997998</v>
      </c>
      <c r="CY9" s="16">
        <f t="shared" si="114"/>
        <v>304.46100000001024</v>
      </c>
      <c r="CZ9" s="16">
        <f t="shared" si="114"/>
        <v>309.27600000001257</v>
      </c>
      <c r="DA9" s="16">
        <f t="shared" si="114"/>
        <v>308.67900000000373</v>
      </c>
      <c r="DB9" s="16">
        <f t="shared" si="114"/>
        <v>305.00199999997858</v>
      </c>
      <c r="DC9" s="16">
        <f t="shared" si="114"/>
        <v>308.20699999999488</v>
      </c>
      <c r="DD9" s="16">
        <f t="shared" si="114"/>
        <v>346.98500000004424</v>
      </c>
      <c r="DE9" s="16">
        <f t="shared" si="114"/>
        <v>339.56899999995949</v>
      </c>
      <c r="DF9" s="16">
        <f t="shared" si="114"/>
        <v>335.88199999998324</v>
      </c>
      <c r="DG9" s="16">
        <f t="shared" si="114"/>
        <v>281.98100000002887</v>
      </c>
      <c r="DH9" s="16">
        <f t="shared" si="114"/>
        <v>393.29999999998836</v>
      </c>
      <c r="DI9" s="16">
        <f t="shared" si="114"/>
        <v>321.58900000003632</v>
      </c>
      <c r="DJ9" s="16">
        <f t="shared" si="114"/>
        <v>172.81500000000233</v>
      </c>
      <c r="DK9" s="16">
        <f t="shared" si="114"/>
        <v>201.73699999996461</v>
      </c>
      <c r="DL9" s="16">
        <f t="shared" si="114"/>
        <v>303.5</v>
      </c>
      <c r="DM9" s="16">
        <f t="shared" si="114"/>
        <v>250.22399999998743</v>
      </c>
      <c r="DN9" s="16">
        <f t="shared" si="114"/>
        <v>325.50599999999395</v>
      </c>
      <c r="DO9" s="16">
        <f t="shared" si="114"/>
        <v>255.88000000000466</v>
      </c>
      <c r="DP9" s="16">
        <f t="shared" si="114"/>
        <v>208.43800000002375</v>
      </c>
      <c r="DQ9" s="16">
        <f t="shared" si="114"/>
        <v>301.83500000002095</v>
      </c>
      <c r="DR9" s="16">
        <f t="shared" si="114"/>
        <v>300.12199999997392</v>
      </c>
      <c r="DS9" s="16">
        <f t="shared" si="114"/>
        <v>348.40700000000652</v>
      </c>
      <c r="DT9" s="16">
        <f t="shared" si="114"/>
        <v>398.57799999997951</v>
      </c>
      <c r="DU9" s="16">
        <f t="shared" si="114"/>
        <v>318.05999999999767</v>
      </c>
      <c r="DV9" s="16">
        <f t="shared" si="114"/>
        <v>201.69500000000698</v>
      </c>
      <c r="DW9" s="16">
        <f t="shared" si="114"/>
        <v>233.18499999999767</v>
      </c>
      <c r="DX9" s="16">
        <f t="shared" si="114"/>
        <v>378.49700000003213</v>
      </c>
      <c r="DY9" s="116">
        <f>SUM(CU9:DX9)</f>
        <v>9119.6440000000293</v>
      </c>
      <c r="DZ9" s="16">
        <f t="shared" ref="DZ9:FD9" si="115">DZ8-DZ7</f>
        <v>307.08100000000559</v>
      </c>
      <c r="EA9" s="16">
        <f t="shared" si="115"/>
        <v>234.95299999997951</v>
      </c>
      <c r="EB9" s="16">
        <f t="shared" si="115"/>
        <v>202.6140000000014</v>
      </c>
      <c r="EC9" s="16">
        <f t="shared" si="115"/>
        <v>262.45100000000093</v>
      </c>
      <c r="ED9" s="16">
        <f t="shared" si="115"/>
        <v>256.17499999998836</v>
      </c>
      <c r="EE9" s="16">
        <f t="shared" si="115"/>
        <v>292.40799999999581</v>
      </c>
      <c r="EF9" s="16">
        <f t="shared" si="115"/>
        <v>291.30900000000838</v>
      </c>
      <c r="EG9" s="16">
        <f t="shared" si="115"/>
        <v>254.5559999999823</v>
      </c>
      <c r="EH9" s="16">
        <f t="shared" si="115"/>
        <v>449.17999999999302</v>
      </c>
      <c r="EI9" s="16">
        <f t="shared" si="115"/>
        <v>349.29400000005262</v>
      </c>
      <c r="EJ9" s="16">
        <f t="shared" si="115"/>
        <v>323.9309999999823</v>
      </c>
      <c r="EK9" s="16">
        <f t="shared" si="115"/>
        <v>491.39500000001863</v>
      </c>
      <c r="EL9" s="16">
        <f t="shared" si="115"/>
        <v>286.53499999997439</v>
      </c>
      <c r="EM9" s="16">
        <f t="shared" si="115"/>
        <v>361.14100000000326</v>
      </c>
      <c r="EN9" s="16">
        <f t="shared" si="115"/>
        <v>493.26600000000326</v>
      </c>
      <c r="EO9" s="16">
        <f t="shared" si="115"/>
        <v>450.01500000001397</v>
      </c>
      <c r="EP9" s="16">
        <f t="shared" si="115"/>
        <v>264.76600000000326</v>
      </c>
      <c r="EQ9" s="16">
        <f t="shared" si="115"/>
        <v>315.57199999998556</v>
      </c>
      <c r="ER9" s="16">
        <f t="shared" si="115"/>
        <v>343.02799999999115</v>
      </c>
      <c r="ES9" s="16">
        <f t="shared" si="115"/>
        <v>412.05099999997765</v>
      </c>
      <c r="ET9" s="16">
        <f t="shared" si="115"/>
        <v>438.99499999999534</v>
      </c>
      <c r="EU9" s="16">
        <f t="shared" si="115"/>
        <v>424.69900000002235</v>
      </c>
      <c r="EV9" s="16">
        <f t="shared" si="115"/>
        <v>487.48100000002887</v>
      </c>
      <c r="EW9" s="16">
        <f t="shared" si="115"/>
        <v>410.81999999994878</v>
      </c>
      <c r="EX9" s="16">
        <f t="shared" si="115"/>
        <v>448.41700000001583</v>
      </c>
      <c r="EY9" s="16">
        <f t="shared" si="115"/>
        <v>271.52400000003399</v>
      </c>
      <c r="EZ9" s="16">
        <f t="shared" si="115"/>
        <v>280.94099999999162</v>
      </c>
      <c r="FA9" s="16">
        <f t="shared" si="115"/>
        <v>291.26799999998184</v>
      </c>
      <c r="FB9" s="16">
        <f t="shared" si="115"/>
        <v>353.02700000000186</v>
      </c>
      <c r="FC9" s="16">
        <f t="shared" si="115"/>
        <v>272.16700000001583</v>
      </c>
      <c r="FD9" s="16">
        <f t="shared" si="115"/>
        <v>319.49299999995856</v>
      </c>
      <c r="FE9" s="127">
        <f>SUM(DZ9:FD9)</f>
        <v>10640.552999999956</v>
      </c>
      <c r="FF9" s="16">
        <f t="shared" ref="FF9:GJ9" si="116">FF8-FF7</f>
        <v>355.09300000005169</v>
      </c>
      <c r="FG9" s="16">
        <f t="shared" si="116"/>
        <v>305.67499999998836</v>
      </c>
      <c r="FH9" s="16">
        <f t="shared" si="116"/>
        <v>335.99599999998463</v>
      </c>
      <c r="FI9" s="16">
        <f t="shared" si="116"/>
        <v>229.84999999997672</v>
      </c>
      <c r="FJ9" s="16">
        <f t="shared" si="116"/>
        <v>400.93800000002375</v>
      </c>
      <c r="FK9" s="16">
        <f t="shared" si="116"/>
        <v>307.45799999998417</v>
      </c>
      <c r="FL9" s="16">
        <f t="shared" si="116"/>
        <v>265.77600000001257</v>
      </c>
      <c r="FM9" s="16">
        <f t="shared" si="116"/>
        <v>218.30400000000373</v>
      </c>
      <c r="FN9" s="16">
        <f t="shared" si="116"/>
        <v>406.61700000002747</v>
      </c>
      <c r="FO9" s="16">
        <f t="shared" si="116"/>
        <v>314.11499999999069</v>
      </c>
      <c r="FP9" s="16">
        <f t="shared" si="116"/>
        <v>298.29999999998836</v>
      </c>
      <c r="FQ9" s="16">
        <f t="shared" si="116"/>
        <v>296.05400000000373</v>
      </c>
      <c r="FR9" s="16">
        <f t="shared" si="116"/>
        <v>370.11499999999069</v>
      </c>
      <c r="FS9" s="16">
        <f t="shared" si="116"/>
        <v>278.65700000000652</v>
      </c>
      <c r="FT9" s="16">
        <f t="shared" si="116"/>
        <v>257.43400000000838</v>
      </c>
      <c r="FU9" s="16">
        <f t="shared" si="116"/>
        <v>331.14600000000792</v>
      </c>
      <c r="FV9" s="16">
        <f t="shared" si="116"/>
        <v>252.73299999994924</v>
      </c>
      <c r="FW9" s="16">
        <f t="shared" si="116"/>
        <v>295.37400000001071</v>
      </c>
      <c r="FX9" s="16">
        <f t="shared" si="116"/>
        <v>339.07200000004377</v>
      </c>
      <c r="FY9" s="16">
        <f t="shared" si="116"/>
        <v>410.12299999996321</v>
      </c>
      <c r="FZ9" s="16">
        <f t="shared" si="116"/>
        <v>284.625</v>
      </c>
      <c r="GA9" s="16">
        <f t="shared" si="116"/>
        <v>282.13000000000466</v>
      </c>
      <c r="GB9" s="16">
        <f t="shared" si="116"/>
        <v>277.51000000000931</v>
      </c>
      <c r="GC9" s="16">
        <f t="shared" si="116"/>
        <v>187.22999999998137</v>
      </c>
      <c r="GD9" s="16">
        <f t="shared" si="116"/>
        <v>283.04800000000978</v>
      </c>
      <c r="GE9" s="16">
        <f t="shared" si="116"/>
        <v>319.42399999999907</v>
      </c>
      <c r="GF9" s="16">
        <f t="shared" si="116"/>
        <v>303.71500000002561</v>
      </c>
      <c r="GG9" s="16">
        <f t="shared" si="116"/>
        <v>278.96299999998882</v>
      </c>
      <c r="GH9" s="16">
        <f t="shared" si="116"/>
        <v>278.36300000001211</v>
      </c>
      <c r="GI9" s="16">
        <f t="shared" si="116"/>
        <v>215.61599999997998</v>
      </c>
      <c r="GJ9" s="16">
        <f t="shared" si="116"/>
        <v>270.39500000001863</v>
      </c>
      <c r="GK9" s="126"/>
      <c r="GL9" s="16">
        <f t="shared" ref="GL9:HN9" si="117">GL8-GL7</f>
        <v>339.24699999997392</v>
      </c>
      <c r="GM9" s="16">
        <f t="shared" si="117"/>
        <v>300.22899999999208</v>
      </c>
      <c r="GN9" s="16">
        <f t="shared" si="117"/>
        <v>501.85000000003492</v>
      </c>
      <c r="GO9" s="16">
        <f t="shared" si="117"/>
        <v>338.28499999997439</v>
      </c>
      <c r="GP9" s="16">
        <f t="shared" si="117"/>
        <v>350.47399999998743</v>
      </c>
      <c r="GQ9" s="16">
        <f t="shared" si="117"/>
        <v>432.04500000004191</v>
      </c>
      <c r="GR9" s="16">
        <f t="shared" si="117"/>
        <v>323.04699999996228</v>
      </c>
      <c r="GS9" s="16">
        <f t="shared" si="117"/>
        <v>352.18499999999767</v>
      </c>
      <c r="GT9" s="16">
        <f t="shared" si="117"/>
        <v>263.40400000003865</v>
      </c>
      <c r="GU9" s="16">
        <f t="shared" si="117"/>
        <v>388.15799999999581</v>
      </c>
      <c r="GV9" s="16">
        <f t="shared" si="117"/>
        <v>414.46100000001024</v>
      </c>
      <c r="GW9" s="16">
        <f t="shared" si="117"/>
        <v>262.83599999995204</v>
      </c>
      <c r="GX9" s="16">
        <f t="shared" si="117"/>
        <v>352.7850000000326</v>
      </c>
      <c r="GY9" s="16">
        <f t="shared" si="117"/>
        <v>342.11699999996927</v>
      </c>
      <c r="GZ9" s="16">
        <f t="shared" si="117"/>
        <v>302.8859999999986</v>
      </c>
      <c r="HA9" s="16">
        <f t="shared" si="117"/>
        <v>296.72299999999814</v>
      </c>
      <c r="HB9" s="16">
        <f t="shared" si="117"/>
        <v>337.09799999999814</v>
      </c>
      <c r="HC9" s="16">
        <f t="shared" si="117"/>
        <v>220.74400000000605</v>
      </c>
      <c r="HD9" s="16">
        <f t="shared" si="117"/>
        <v>267.36600000003818</v>
      </c>
      <c r="HE9" s="16">
        <f t="shared" si="117"/>
        <v>314.18699999997625</v>
      </c>
      <c r="HF9" s="16">
        <f t="shared" si="117"/>
        <v>296.14899999997579</v>
      </c>
      <c r="HG9" s="16">
        <f t="shared" si="117"/>
        <v>292.56100000004517</v>
      </c>
      <c r="HH9" s="16">
        <f t="shared" si="117"/>
        <v>295.69199999998091</v>
      </c>
      <c r="HI9" s="16">
        <f t="shared" si="117"/>
        <v>362.25400000001537</v>
      </c>
      <c r="HJ9" s="16">
        <f t="shared" si="117"/>
        <v>177.75699999998324</v>
      </c>
      <c r="HK9" s="16">
        <f t="shared" si="117"/>
        <v>345.06599999999162</v>
      </c>
      <c r="HL9" s="16">
        <f t="shared" si="117"/>
        <v>256.11200000002282</v>
      </c>
      <c r="HM9" s="16">
        <f t="shared" si="117"/>
        <v>237.35800000000745</v>
      </c>
      <c r="HN9" s="16">
        <f t="shared" si="117"/>
        <v>337.88099999999395</v>
      </c>
      <c r="HO9" s="126"/>
      <c r="HP9" s="16">
        <f t="shared" ref="HP9:IT9" si="118">HP8-HP7</f>
        <v>415.97800000000279</v>
      </c>
      <c r="HQ9" s="16">
        <f t="shared" si="118"/>
        <v>306.77600000001257</v>
      </c>
      <c r="HR9" s="16">
        <f t="shared" si="118"/>
        <v>404.92899999994552</v>
      </c>
      <c r="HS9" s="16">
        <f t="shared" si="118"/>
        <v>277.76900000002934</v>
      </c>
      <c r="HT9" s="16">
        <f t="shared" si="118"/>
        <v>286.62900000001537</v>
      </c>
      <c r="HU9" s="16">
        <f t="shared" si="118"/>
        <v>418.10800000000745</v>
      </c>
      <c r="HV9" s="16">
        <f t="shared" si="118"/>
        <v>366.95299999997951</v>
      </c>
      <c r="HW9" s="16">
        <f t="shared" si="118"/>
        <v>299.7270000000135</v>
      </c>
      <c r="HX9" s="16">
        <f t="shared" si="118"/>
        <v>276.92499999998836</v>
      </c>
      <c r="HY9" s="16">
        <f t="shared" si="118"/>
        <v>264.23800000001211</v>
      </c>
      <c r="HZ9" s="16">
        <f t="shared" si="118"/>
        <v>295.31699999998091</v>
      </c>
      <c r="IA9" s="16">
        <f t="shared" si="118"/>
        <v>234.94000000000233</v>
      </c>
      <c r="IB9" s="16">
        <f t="shared" si="118"/>
        <v>221.43699999997625</v>
      </c>
      <c r="IC9" s="16">
        <f t="shared" si="118"/>
        <v>266.32800000003772</v>
      </c>
      <c r="ID9" s="16">
        <f t="shared" si="118"/>
        <v>265.43699999997625</v>
      </c>
      <c r="IE9" s="16">
        <f t="shared" si="118"/>
        <v>396.78000000002794</v>
      </c>
      <c r="IF9" s="16">
        <f t="shared" si="118"/>
        <v>261.34099999995669</v>
      </c>
      <c r="IG9" s="16">
        <f t="shared" si="118"/>
        <v>256.85600000002887</v>
      </c>
      <c r="IH9" s="16">
        <f t="shared" si="118"/>
        <v>258.29999999998836</v>
      </c>
      <c r="II9" s="16">
        <f t="shared" si="118"/>
        <v>346.05999999999767</v>
      </c>
      <c r="IJ9" s="16">
        <f t="shared" si="118"/>
        <v>343.34399999998277</v>
      </c>
      <c r="IK9" s="16">
        <f t="shared" si="118"/>
        <v>293.51600000000326</v>
      </c>
      <c r="IL9" s="16">
        <f t="shared" si="118"/>
        <v>390.33100000000559</v>
      </c>
      <c r="IM9" s="16">
        <f t="shared" si="118"/>
        <v>280.53100000001723</v>
      </c>
      <c r="IN9" s="16">
        <f t="shared" si="118"/>
        <v>295.91399999998976</v>
      </c>
      <c r="IO9" s="16">
        <f t="shared" si="118"/>
        <v>249.40399999998044</v>
      </c>
      <c r="IP9" s="16">
        <f t="shared" si="118"/>
        <v>271.82600000000093</v>
      </c>
      <c r="IQ9" s="16">
        <f t="shared" si="118"/>
        <v>443.33200000005309</v>
      </c>
      <c r="IR9" s="16">
        <f t="shared" si="118"/>
        <v>257.41199999995297</v>
      </c>
      <c r="IS9" s="16">
        <f t="shared" si="118"/>
        <v>321.6140000000014</v>
      </c>
      <c r="IT9" s="16">
        <f t="shared" si="118"/>
        <v>318.83600000001024</v>
      </c>
      <c r="IU9" s="126"/>
      <c r="IV9" s="16">
        <f t="shared" ref="IV9:JY9" si="119">IV8-IV7</f>
        <v>190.35499999998137</v>
      </c>
      <c r="IW9" s="16">
        <f t="shared" si="119"/>
        <v>247.0800000000163</v>
      </c>
      <c r="IX9" s="16">
        <f t="shared" si="119"/>
        <v>298.84700000000885</v>
      </c>
      <c r="IY9" s="16">
        <f t="shared" si="119"/>
        <v>266.60300000000279</v>
      </c>
      <c r="IZ9" s="16">
        <f t="shared" si="119"/>
        <v>225.39299999998184</v>
      </c>
      <c r="JA9" s="16">
        <f t="shared" si="119"/>
        <v>399.97000000003027</v>
      </c>
      <c r="JB9" s="16">
        <f t="shared" si="119"/>
        <v>225.15200000000186</v>
      </c>
      <c r="JC9" s="16">
        <f t="shared" si="119"/>
        <v>377.29899999999907</v>
      </c>
      <c r="JD9" s="16">
        <f t="shared" si="119"/>
        <v>232.97899999999208</v>
      </c>
      <c r="JE9" s="16">
        <f t="shared" si="119"/>
        <v>318.39399999997113</v>
      </c>
      <c r="JF9" s="16">
        <f t="shared" si="119"/>
        <v>279.34700000000885</v>
      </c>
      <c r="JG9" s="16">
        <f t="shared" si="119"/>
        <v>312.32200000004377</v>
      </c>
      <c r="JH9" s="16">
        <f t="shared" si="119"/>
        <v>301.15799999999581</v>
      </c>
      <c r="JI9" s="16">
        <f t="shared" si="119"/>
        <v>256.06199999997625</v>
      </c>
      <c r="JJ9" s="16">
        <f t="shared" si="119"/>
        <v>327.8190000000177</v>
      </c>
      <c r="JK9" s="16">
        <f t="shared" si="119"/>
        <v>262.02999999996973</v>
      </c>
      <c r="JL9" s="16">
        <f t="shared" si="119"/>
        <v>264.88699999998789</v>
      </c>
      <c r="JM9" s="16">
        <f t="shared" si="119"/>
        <v>192.31600000004983</v>
      </c>
      <c r="JN9" s="16">
        <f t="shared" si="119"/>
        <v>344.73699999996461</v>
      </c>
      <c r="JO9" s="16">
        <f t="shared" si="119"/>
        <v>304.34899999998743</v>
      </c>
      <c r="JP9" s="16">
        <f t="shared" si="119"/>
        <v>241.75</v>
      </c>
      <c r="JQ9" s="16">
        <f t="shared" si="119"/>
        <v>341.46700000000419</v>
      </c>
      <c r="JR9" s="16">
        <f t="shared" si="119"/>
        <v>250.62700000003679</v>
      </c>
      <c r="JS9" s="16">
        <f t="shared" si="119"/>
        <v>243.06500000000233</v>
      </c>
      <c r="JT9" s="16">
        <f t="shared" si="119"/>
        <v>400.06899999995949</v>
      </c>
      <c r="JU9" s="16">
        <f t="shared" si="119"/>
        <v>278.66600000002654</v>
      </c>
      <c r="JV9" s="16">
        <f t="shared" si="119"/>
        <v>387.41200000001118</v>
      </c>
      <c r="JW9" s="16">
        <f t="shared" si="119"/>
        <v>366.33299999998417</v>
      </c>
      <c r="JX9" s="16">
        <f t="shared" si="119"/>
        <v>202.03200000000652</v>
      </c>
      <c r="JY9" s="16">
        <f t="shared" si="119"/>
        <v>286.88299999997253</v>
      </c>
      <c r="JZ9" s="127">
        <f>SUM(IV9:JY9)</f>
        <v>8625.4029999999912</v>
      </c>
      <c r="KA9" s="16">
        <f t="shared" ref="KA9:LE9" si="120">KA8-KA7</f>
        <v>248.47200000000885</v>
      </c>
      <c r="KB9" s="16">
        <f t="shared" si="120"/>
        <v>204.47399999998743</v>
      </c>
      <c r="KC9" s="16">
        <f t="shared" si="120"/>
        <v>321.5570000000298</v>
      </c>
      <c r="KD9" s="16">
        <f t="shared" si="120"/>
        <v>277.77799999999115</v>
      </c>
      <c r="KE9" s="16">
        <f t="shared" si="120"/>
        <v>300.59799999999814</v>
      </c>
      <c r="KF9" s="16">
        <f t="shared" si="120"/>
        <v>365.85700000001816</v>
      </c>
      <c r="KG9" s="16">
        <f t="shared" si="120"/>
        <v>271.55699999997159</v>
      </c>
      <c r="KH9" s="16">
        <f t="shared" si="120"/>
        <v>364.18400000000838</v>
      </c>
      <c r="KI9" s="16">
        <f t="shared" si="120"/>
        <v>221.75199999997858</v>
      </c>
      <c r="KJ9" s="16">
        <f t="shared" si="120"/>
        <v>322.49100000003818</v>
      </c>
      <c r="KK9" s="16">
        <f t="shared" si="120"/>
        <v>284.02600000001257</v>
      </c>
      <c r="KL9" s="16">
        <f t="shared" si="120"/>
        <v>385.9989999999525</v>
      </c>
      <c r="KM9" s="16">
        <f t="shared" si="120"/>
        <v>302.1359999999986</v>
      </c>
      <c r="KN9" s="16">
        <f t="shared" si="120"/>
        <v>327.46500000002561</v>
      </c>
      <c r="KO9" s="16">
        <f t="shared" si="120"/>
        <v>188.02500000002328</v>
      </c>
      <c r="KP9" s="16">
        <f t="shared" si="120"/>
        <v>279.31699999998091</v>
      </c>
      <c r="KQ9" s="16">
        <f t="shared" si="120"/>
        <v>208</v>
      </c>
      <c r="KR9" s="16">
        <f t="shared" si="120"/>
        <v>242.21299999998882</v>
      </c>
      <c r="KS9" s="16">
        <f t="shared" si="120"/>
        <v>217.8300000000163</v>
      </c>
      <c r="KT9" s="16">
        <f t="shared" si="120"/>
        <v>332.41899999999441</v>
      </c>
      <c r="KU9" s="16">
        <f t="shared" si="120"/>
        <v>203.13899999996647</v>
      </c>
      <c r="KV9" s="16">
        <f t="shared" si="120"/>
        <v>268.19200000003912</v>
      </c>
      <c r="KW9" s="16">
        <f t="shared" si="120"/>
        <v>267.4440000000177</v>
      </c>
      <c r="KX9" s="16">
        <f t="shared" si="120"/>
        <v>304.29899999999907</v>
      </c>
      <c r="KY9" s="16">
        <f t="shared" si="120"/>
        <v>239.01899999997113</v>
      </c>
      <c r="KZ9" s="16">
        <f t="shared" si="120"/>
        <v>292.29999999998836</v>
      </c>
      <c r="LA9" s="16">
        <f t="shared" si="120"/>
        <v>357.75300000002608</v>
      </c>
      <c r="LB9" s="16">
        <f t="shared" si="120"/>
        <v>187.17999999999302</v>
      </c>
      <c r="LC9" s="16">
        <f t="shared" si="120"/>
        <v>289.10899999999674</v>
      </c>
      <c r="LD9" s="16">
        <f t="shared" si="120"/>
        <v>351.38000000000466</v>
      </c>
      <c r="LE9" s="16">
        <f t="shared" si="120"/>
        <v>383.78299999999581</v>
      </c>
      <c r="LF9" s="127">
        <f>SUM(KA9:LE9)</f>
        <v>8809.7480000000214</v>
      </c>
      <c r="LG9" s="16">
        <f t="shared" ref="LG9:MJ9" si="121">LG8-LG7</f>
        <v>449.4890000000014</v>
      </c>
      <c r="LH9" s="16">
        <f t="shared" si="121"/>
        <v>408.36999999999534</v>
      </c>
      <c r="LI9" s="16">
        <f t="shared" si="121"/>
        <v>390.10600000002887</v>
      </c>
      <c r="LJ9" s="16">
        <f t="shared" si="121"/>
        <v>316.11199999996461</v>
      </c>
      <c r="LK9" s="16">
        <f t="shared" si="121"/>
        <v>278.22399999998743</v>
      </c>
      <c r="LL9" s="16">
        <f t="shared" si="121"/>
        <v>351.2390000000014</v>
      </c>
      <c r="LM9" s="16">
        <f t="shared" si="121"/>
        <v>359.57400000002235</v>
      </c>
      <c r="LN9" s="16">
        <f t="shared" si="121"/>
        <v>393.23800000001211</v>
      </c>
      <c r="LO9" s="16">
        <f t="shared" si="121"/>
        <v>265.74900000001071</v>
      </c>
      <c r="LP9" s="16">
        <f t="shared" si="121"/>
        <v>392.21699999994598</v>
      </c>
      <c r="LQ9" s="16">
        <f t="shared" si="121"/>
        <v>306.32000000000698</v>
      </c>
      <c r="LR9" s="16">
        <f t="shared" si="121"/>
        <v>351.03000000002794</v>
      </c>
      <c r="LS9" s="16">
        <f t="shared" si="121"/>
        <v>311.35099999996601</v>
      </c>
      <c r="LT9" s="16">
        <f t="shared" si="121"/>
        <v>483.91700000001583</v>
      </c>
      <c r="LU9" s="16">
        <f t="shared" si="121"/>
        <v>359.14100000000326</v>
      </c>
      <c r="LV9" s="16">
        <f t="shared" si="121"/>
        <v>467.0229999999865</v>
      </c>
      <c r="LW9" s="16">
        <f t="shared" si="121"/>
        <v>259.24499999999534</v>
      </c>
      <c r="LX9" s="16">
        <f t="shared" si="121"/>
        <v>421.97600000002421</v>
      </c>
      <c r="LY9" s="16">
        <f t="shared" si="121"/>
        <v>317.61300000001211</v>
      </c>
      <c r="LZ9" s="16">
        <f t="shared" si="121"/>
        <v>400.44099999999162</v>
      </c>
      <c r="MA9" s="16">
        <f t="shared" si="121"/>
        <v>273.57099999999627</v>
      </c>
      <c r="MB9" s="16">
        <f t="shared" si="121"/>
        <v>340.28299999999581</v>
      </c>
      <c r="MC9" s="16">
        <f t="shared" si="121"/>
        <v>367.99400000000605</v>
      </c>
      <c r="MD9" s="16">
        <f t="shared" si="121"/>
        <v>350.11900000000605</v>
      </c>
      <c r="ME9" s="16">
        <f t="shared" si="121"/>
        <v>239.87099999998463</v>
      </c>
      <c r="MF9" s="16">
        <f t="shared" si="121"/>
        <v>344.6820000000298</v>
      </c>
      <c r="MG9" s="16">
        <f t="shared" si="121"/>
        <v>279.32299999997485</v>
      </c>
      <c r="MH9" s="16">
        <f t="shared" si="121"/>
        <v>292.35499999998137</v>
      </c>
      <c r="MI9" s="16">
        <f t="shared" si="121"/>
        <v>338.34700000000885</v>
      </c>
      <c r="MJ9" s="16">
        <f t="shared" si="121"/>
        <v>230.50599999999395</v>
      </c>
      <c r="MK9" s="127">
        <f>SUM(LF9:MJ9)</f>
        <v>19149.173999999999</v>
      </c>
      <c r="ML9" s="16">
        <f t="shared" ref="ML9:NP9" si="122">ML8-ML7</f>
        <v>361.67999999999302</v>
      </c>
      <c r="MM9" s="16">
        <f t="shared" si="122"/>
        <v>346.20300000003772</v>
      </c>
      <c r="MN9" s="16">
        <f t="shared" si="122"/>
        <v>249.33499999996275</v>
      </c>
      <c r="MO9" s="16">
        <f t="shared" si="122"/>
        <v>324.74500000005355</v>
      </c>
      <c r="MP9" s="16">
        <f t="shared" si="122"/>
        <v>381.46099999995204</v>
      </c>
      <c r="MQ9" s="16">
        <f t="shared" si="122"/>
        <v>326.15100000001257</v>
      </c>
      <c r="MR9" s="16">
        <f t="shared" si="122"/>
        <v>298.46500000002561</v>
      </c>
      <c r="MS9" s="16">
        <f t="shared" si="122"/>
        <v>293.62099999998463</v>
      </c>
      <c r="MT9" s="16">
        <f t="shared" si="122"/>
        <v>425.25799999997253</v>
      </c>
      <c r="MU9" s="16">
        <f t="shared" si="122"/>
        <v>273.29000000003725</v>
      </c>
      <c r="MV9" s="16">
        <f t="shared" si="122"/>
        <v>304.64699999999721</v>
      </c>
      <c r="MW9" s="16">
        <f t="shared" si="122"/>
        <v>389.72399999998743</v>
      </c>
      <c r="MX9" s="16">
        <f t="shared" si="122"/>
        <v>336.20400000002701</v>
      </c>
      <c r="MY9" s="16">
        <f t="shared" si="122"/>
        <v>188.49299999995856</v>
      </c>
      <c r="MZ9" s="16">
        <f t="shared" si="122"/>
        <v>267.58699999999953</v>
      </c>
      <c r="NA9" s="16">
        <f t="shared" si="122"/>
        <v>334.94900000002235</v>
      </c>
      <c r="NB9" s="16">
        <f t="shared" si="122"/>
        <v>234.91300000000047</v>
      </c>
      <c r="NC9" s="16">
        <f t="shared" si="122"/>
        <v>302.62300000002142</v>
      </c>
      <c r="ND9" s="16">
        <f t="shared" si="122"/>
        <v>300.85699999995995</v>
      </c>
      <c r="NE9" s="16">
        <f t="shared" si="122"/>
        <v>312.17200000002049</v>
      </c>
      <c r="NF9" s="16">
        <f t="shared" si="122"/>
        <v>219.74099999997998</v>
      </c>
      <c r="NG9" s="16">
        <f t="shared" si="122"/>
        <v>265.94699999998556</v>
      </c>
      <c r="NH9" s="16">
        <f t="shared" si="122"/>
        <v>295.72200000000885</v>
      </c>
      <c r="NI9" s="16">
        <f t="shared" si="122"/>
        <v>243.95400000002701</v>
      </c>
      <c r="NJ9" s="16">
        <f t="shared" si="122"/>
        <v>279.41499999997905</v>
      </c>
      <c r="NK9" s="16">
        <f t="shared" si="122"/>
        <v>344.76699999999255</v>
      </c>
      <c r="NL9" s="16">
        <f t="shared" si="122"/>
        <v>303.55100000003586</v>
      </c>
      <c r="NM9" s="16">
        <f t="shared" si="122"/>
        <v>234.85800000000745</v>
      </c>
      <c r="NN9" s="16">
        <f t="shared" si="122"/>
        <v>302.05400000000373</v>
      </c>
      <c r="NO9" s="16">
        <f t="shared" si="122"/>
        <v>213.28599999996368</v>
      </c>
      <c r="NP9" s="16">
        <f t="shared" si="122"/>
        <v>171.81500000000233</v>
      </c>
      <c r="NQ9" s="127">
        <f>SUM(ML9:NP9)</f>
        <v>9127.4880000000121</v>
      </c>
      <c r="NR9" s="16">
        <f t="shared" ref="NR9:OV9" si="123">NR8-NR7</f>
        <v>240.20400000002701</v>
      </c>
      <c r="NS9" s="16">
        <f t="shared" si="123"/>
        <v>288.13199999998324</v>
      </c>
      <c r="NT9" s="16">
        <f t="shared" si="123"/>
        <v>376.32299999997485</v>
      </c>
      <c r="NU9" s="16">
        <f t="shared" si="123"/>
        <v>247.89500000001863</v>
      </c>
      <c r="NV9" s="16">
        <f t="shared" si="123"/>
        <v>330.57500000001164</v>
      </c>
      <c r="NW9" s="16">
        <f t="shared" si="123"/>
        <v>341.34200000000419</v>
      </c>
      <c r="NX9" s="16">
        <f t="shared" si="123"/>
        <v>296.49799999996321</v>
      </c>
      <c r="NY9" s="16">
        <f t="shared" si="123"/>
        <v>242.29899999999907</v>
      </c>
      <c r="NZ9" s="16">
        <f t="shared" si="123"/>
        <v>334.3070000000298</v>
      </c>
      <c r="OA9" s="16">
        <f t="shared" si="123"/>
        <v>334.52399999997579</v>
      </c>
      <c r="OB9" s="16">
        <f t="shared" si="123"/>
        <v>332.40100000001257</v>
      </c>
      <c r="OC9" s="16">
        <f t="shared" si="123"/>
        <v>233.35800000000745</v>
      </c>
      <c r="OD9" s="16">
        <f t="shared" si="123"/>
        <v>413.30900000000838</v>
      </c>
      <c r="OE9" s="16">
        <f t="shared" si="123"/>
        <v>366.24599999998463</v>
      </c>
      <c r="OF9" s="16">
        <f t="shared" si="123"/>
        <v>371.37699999997858</v>
      </c>
      <c r="OG9" s="16">
        <f t="shared" si="123"/>
        <v>383.75900000002002</v>
      </c>
      <c r="OH9" s="16">
        <f t="shared" si="123"/>
        <v>304.51400000002468</v>
      </c>
      <c r="OI9" s="16">
        <f t="shared" si="123"/>
        <v>237.17300000000978</v>
      </c>
      <c r="OJ9" s="16">
        <f t="shared" si="123"/>
        <v>377.31899999995949</v>
      </c>
      <c r="OK9" s="16">
        <f t="shared" si="123"/>
        <v>331.75800000003073</v>
      </c>
      <c r="OL9" s="16">
        <f t="shared" si="123"/>
        <v>273.87400000001071</v>
      </c>
      <c r="OM9" s="16">
        <f t="shared" si="123"/>
        <v>324.96599999995669</v>
      </c>
      <c r="ON9" s="16">
        <f t="shared" si="123"/>
        <v>281.49100000003818</v>
      </c>
      <c r="OO9" s="16">
        <f t="shared" si="123"/>
        <v>319.40099999995437</v>
      </c>
      <c r="OP9" s="16">
        <f t="shared" si="123"/>
        <v>190.30600000004051</v>
      </c>
      <c r="OQ9" s="16">
        <f t="shared" si="123"/>
        <v>330.02599999995437</v>
      </c>
      <c r="OR9" s="16">
        <f t="shared" si="123"/>
        <v>260.82900000002701</v>
      </c>
      <c r="OS9" s="16">
        <f t="shared" si="123"/>
        <v>247.80999999999767</v>
      </c>
      <c r="OT9" s="16">
        <f t="shared" si="123"/>
        <v>364.0350000000326</v>
      </c>
      <c r="OU9" s="16">
        <f t="shared" si="123"/>
        <v>345.74599999998463</v>
      </c>
      <c r="OV9" s="16">
        <f t="shared" si="123"/>
        <v>312.95499999995809</v>
      </c>
      <c r="OW9" s="127">
        <f>SUM(NR9:OV9)</f>
        <v>9634.7519999999786</v>
      </c>
      <c r="OX9" s="16">
        <f t="shared" ref="OX9:QA9" si="124">OX8-OX7</f>
        <v>255.66100000002189</v>
      </c>
      <c r="OY9" s="16">
        <f t="shared" si="124"/>
        <v>240.94099999999162</v>
      </c>
      <c r="OZ9" s="16">
        <f t="shared" si="124"/>
        <v>309.57600000000093</v>
      </c>
      <c r="PA9" s="16">
        <f t="shared" si="124"/>
        <v>258.73000000003958</v>
      </c>
      <c r="PB9" s="16">
        <f t="shared" si="124"/>
        <v>348.39299999998184</v>
      </c>
      <c r="PC9" s="16">
        <f t="shared" si="124"/>
        <v>292.17399999999907</v>
      </c>
      <c r="PD9" s="16">
        <f t="shared" si="124"/>
        <v>392.35700000001816</v>
      </c>
      <c r="PE9" s="16">
        <f t="shared" si="124"/>
        <v>276.2269999999553</v>
      </c>
      <c r="PF9" s="16">
        <f t="shared" si="124"/>
        <v>382.32200000004377</v>
      </c>
      <c r="PG9" s="16">
        <f t="shared" si="124"/>
        <v>250.87599999998929</v>
      </c>
      <c r="PH9" s="16">
        <f t="shared" si="124"/>
        <v>191.92599999997765</v>
      </c>
      <c r="PI9" s="16">
        <f t="shared" si="124"/>
        <v>239.89500000001863</v>
      </c>
      <c r="PJ9" s="16">
        <f t="shared" si="124"/>
        <v>353.56299999996554</v>
      </c>
      <c r="PK9" s="16">
        <f t="shared" si="124"/>
        <v>292.25900000002002</v>
      </c>
      <c r="PL9" s="16">
        <f t="shared" si="124"/>
        <v>214.17900000000373</v>
      </c>
      <c r="PM9" s="16">
        <f t="shared" si="124"/>
        <v>367.85399999999208</v>
      </c>
      <c r="PN9" s="16">
        <f t="shared" si="124"/>
        <v>287.01600000000326</v>
      </c>
      <c r="PO9" s="16">
        <f t="shared" si="124"/>
        <v>227.65100000001257</v>
      </c>
      <c r="PP9" s="16">
        <f t="shared" si="124"/>
        <v>277.94699999998556</v>
      </c>
      <c r="PQ9" s="16">
        <f t="shared" si="124"/>
        <v>208.66700000001583</v>
      </c>
      <c r="PR9" s="16">
        <f t="shared" si="124"/>
        <v>246.42099999997299</v>
      </c>
      <c r="PS9" s="16">
        <f t="shared" si="124"/>
        <v>153.79000000003725</v>
      </c>
      <c r="PT9" s="16">
        <f t="shared" si="124"/>
        <v>197.82600000000093</v>
      </c>
      <c r="PU9" s="16">
        <f t="shared" si="124"/>
        <v>308.21399999997811</v>
      </c>
      <c r="PV9" s="16">
        <f t="shared" si="124"/>
        <v>131.90200000000186</v>
      </c>
      <c r="PW9" s="16">
        <f t="shared" si="124"/>
        <v>179.45699999999488</v>
      </c>
      <c r="PX9" s="16">
        <f t="shared" si="124"/>
        <v>272.2729999999865</v>
      </c>
      <c r="PY9" s="16">
        <f t="shared" si="124"/>
        <v>185.09600000001956</v>
      </c>
      <c r="PZ9" s="16">
        <f t="shared" si="124"/>
        <v>165.9089999999851</v>
      </c>
      <c r="QA9" s="16">
        <f t="shared" si="124"/>
        <v>293.30800000001909</v>
      </c>
      <c r="QB9" s="127">
        <f>SUM(OX9:QA9)</f>
        <v>7802.4100000000326</v>
      </c>
      <c r="QC9" s="16">
        <f t="shared" ref="QC9:RG9" si="125">QC8-QC7</f>
        <v>186.93199999997159</v>
      </c>
      <c r="QD9" s="16">
        <f t="shared" si="125"/>
        <v>210.38200000004144</v>
      </c>
      <c r="QE9" s="16">
        <f t="shared" si="125"/>
        <v>232.79999999998836</v>
      </c>
      <c r="QF9" s="16">
        <f t="shared" si="125"/>
        <v>321</v>
      </c>
      <c r="QG9" s="16">
        <f t="shared" si="125"/>
        <v>449.91200000001118</v>
      </c>
      <c r="QH9" s="16">
        <f t="shared" si="125"/>
        <v>223.20000000001164</v>
      </c>
      <c r="QI9" s="16">
        <f t="shared" si="125"/>
        <v>305.29999999998836</v>
      </c>
      <c r="QJ9" s="16">
        <f t="shared" si="125"/>
        <v>393.85499999998137</v>
      </c>
      <c r="QK9" s="16">
        <f t="shared" si="125"/>
        <v>231.77700000000186</v>
      </c>
      <c r="QL9" s="16">
        <f t="shared" si="125"/>
        <v>254.97999999998137</v>
      </c>
      <c r="QM9" s="16">
        <f t="shared" si="125"/>
        <v>360.17000000004191</v>
      </c>
      <c r="QN9" s="16">
        <f t="shared" si="125"/>
        <v>270.79999999998836</v>
      </c>
      <c r="QO9" s="16">
        <f t="shared" si="125"/>
        <v>293.88000000000466</v>
      </c>
      <c r="QP9" s="16">
        <f t="shared" si="125"/>
        <v>311.5</v>
      </c>
      <c r="QQ9" s="16">
        <f t="shared" si="125"/>
        <v>293.38199999998324</v>
      </c>
      <c r="QR9" s="16">
        <f t="shared" si="125"/>
        <v>225.40000000002328</v>
      </c>
      <c r="QS9" s="16">
        <f t="shared" si="125"/>
        <v>225.89999999996508</v>
      </c>
      <c r="QT9" s="16">
        <f t="shared" si="125"/>
        <v>326.60500000003958</v>
      </c>
      <c r="QU9" s="16">
        <f t="shared" si="125"/>
        <v>306.89499999996042</v>
      </c>
      <c r="QV9" s="16">
        <f t="shared" si="125"/>
        <v>162.20000000001164</v>
      </c>
      <c r="QW9" s="16">
        <f t="shared" si="125"/>
        <v>278.20000000001164</v>
      </c>
      <c r="QX9" s="16">
        <f t="shared" si="125"/>
        <v>173.29999999998836</v>
      </c>
      <c r="QY9" s="16">
        <f t="shared" si="125"/>
        <v>256.90000000002328</v>
      </c>
      <c r="QZ9" s="16">
        <f t="shared" si="125"/>
        <v>342.30999999999767</v>
      </c>
      <c r="RA9" s="16">
        <f t="shared" si="125"/>
        <v>530.01199999998789</v>
      </c>
      <c r="RB9" s="16">
        <f t="shared" si="125"/>
        <v>272.70000000001164</v>
      </c>
      <c r="RC9" s="16">
        <f t="shared" si="125"/>
        <v>268.96999999997206</v>
      </c>
      <c r="RD9" s="16">
        <f t="shared" si="125"/>
        <v>256.69699999998556</v>
      </c>
      <c r="RE9" s="16">
        <f t="shared" si="125"/>
        <v>236.70000000001164</v>
      </c>
      <c r="RF9" s="16">
        <f t="shared" si="125"/>
        <v>250.32699999999022</v>
      </c>
      <c r="RG9" s="16">
        <f t="shared" si="125"/>
        <v>324.70000000001164</v>
      </c>
      <c r="RH9" s="127">
        <f>SUM(QD9:RG9)</f>
        <v>8590.7540000000154</v>
      </c>
      <c r="RI9" s="16">
        <f t="shared" ref="RI9:SL9" si="126">RI8-RI7</f>
        <v>279.60899999999674</v>
      </c>
      <c r="RJ9" s="16">
        <f t="shared" si="126"/>
        <v>310.29300000000512</v>
      </c>
      <c r="RK9" s="16">
        <f t="shared" si="126"/>
        <v>293.4550000000163</v>
      </c>
      <c r="RL9" s="16">
        <f t="shared" si="126"/>
        <v>286.72499999997672</v>
      </c>
      <c r="RM9" s="16">
        <f t="shared" si="126"/>
        <v>244.67300000000978</v>
      </c>
      <c r="RN9" s="16">
        <f t="shared" si="126"/>
        <v>315.24800000002142</v>
      </c>
      <c r="RO9" s="16">
        <f t="shared" si="126"/>
        <v>205.34299999999348</v>
      </c>
      <c r="RP9" s="16">
        <f t="shared" si="126"/>
        <v>264.67699999996694</v>
      </c>
      <c r="RQ9" s="16">
        <f t="shared" si="126"/>
        <v>342.15500000002794</v>
      </c>
      <c r="RR9" s="16">
        <f t="shared" si="126"/>
        <v>255.46999999997206</v>
      </c>
      <c r="RS9" s="16">
        <f t="shared" si="126"/>
        <v>297.55400000000373</v>
      </c>
      <c r="RT9" s="16">
        <f t="shared" si="126"/>
        <v>292.8410000000149</v>
      </c>
      <c r="RU9" s="16">
        <f t="shared" si="126"/>
        <v>253.16499999997905</v>
      </c>
      <c r="RV9" s="16">
        <f t="shared" si="126"/>
        <v>163.97500000003492</v>
      </c>
      <c r="RW9" s="16">
        <f t="shared" si="126"/>
        <v>247.95100000000093</v>
      </c>
      <c r="RX9" s="16">
        <f t="shared" si="126"/>
        <v>228.69699999998556</v>
      </c>
      <c r="RY9" s="16">
        <f t="shared" si="126"/>
        <v>189.72200000000885</v>
      </c>
      <c r="RZ9" s="16">
        <f t="shared" si="126"/>
        <v>240.6940000000177</v>
      </c>
      <c r="SA9" s="16">
        <f t="shared" si="126"/>
        <v>301.69599999999627</v>
      </c>
      <c r="SB9" s="16">
        <f t="shared" si="126"/>
        <v>227.86900000000605</v>
      </c>
      <c r="SC9" s="16">
        <f t="shared" si="126"/>
        <v>232.26499999995576</v>
      </c>
      <c r="SD9" s="16">
        <f t="shared" si="126"/>
        <v>402.97400000004563</v>
      </c>
      <c r="SE9" s="16">
        <f t="shared" si="126"/>
        <v>297.28099999995902</v>
      </c>
      <c r="SF9" s="16">
        <f t="shared" si="126"/>
        <v>216.2850000000326</v>
      </c>
      <c r="SG9" s="16">
        <f t="shared" si="126"/>
        <v>310.39899999997579</v>
      </c>
      <c r="SH9" s="16">
        <f t="shared" si="126"/>
        <v>331.4320000000298</v>
      </c>
      <c r="SI9" s="16">
        <f t="shared" si="126"/>
        <v>260.19099999999162</v>
      </c>
      <c r="SJ9" s="16">
        <f t="shared" si="126"/>
        <v>329.74400000000605</v>
      </c>
      <c r="SK9" s="16">
        <f t="shared" si="126"/>
        <v>344.22199999995064</v>
      </c>
      <c r="SL9" s="16">
        <f t="shared" si="126"/>
        <v>336.59500000003027</v>
      </c>
      <c r="SM9" s="127">
        <f>SUM(RI9:SL9)</f>
        <v>8303.2000000000116</v>
      </c>
      <c r="SN9" s="16">
        <f t="shared" ref="SN9:TR9" si="127">SN8-SN7</f>
        <v>265.41300000000047</v>
      </c>
      <c r="SO9" s="16">
        <f t="shared" si="127"/>
        <v>196.06300000002375</v>
      </c>
      <c r="SP9" s="16">
        <f t="shared" si="127"/>
        <v>250.36099999997532</v>
      </c>
      <c r="SQ9" s="16">
        <f t="shared" si="127"/>
        <v>212.61999999999534</v>
      </c>
      <c r="SR9" s="16">
        <f t="shared" si="127"/>
        <v>280.52500000002328</v>
      </c>
      <c r="SS9" s="16">
        <f t="shared" si="127"/>
        <v>303.08399999997346</v>
      </c>
      <c r="ST9" s="16">
        <f t="shared" si="127"/>
        <v>304.66399999998976</v>
      </c>
      <c r="SU9" s="16">
        <f t="shared" si="127"/>
        <v>284.00800000003073</v>
      </c>
      <c r="SV9" s="16">
        <f t="shared" si="127"/>
        <v>312.42099999997299</v>
      </c>
      <c r="SW9" s="16">
        <f t="shared" si="127"/>
        <v>251.37200000003213</v>
      </c>
      <c r="SX9" s="16">
        <f t="shared" si="127"/>
        <v>224.81699999998091</v>
      </c>
      <c r="SY9" s="16">
        <f t="shared" si="127"/>
        <v>268.58100000000559</v>
      </c>
      <c r="SZ9" s="16">
        <f t="shared" si="127"/>
        <v>321.10899999999674</v>
      </c>
      <c r="TA9" s="16">
        <f t="shared" si="127"/>
        <v>311.95100000000093</v>
      </c>
      <c r="TB9" s="16">
        <f t="shared" si="127"/>
        <v>316.94599999999627</v>
      </c>
      <c r="TC9" s="16">
        <f t="shared" si="127"/>
        <v>274.35100000002421</v>
      </c>
      <c r="TD9" s="16">
        <f t="shared" si="127"/>
        <v>315.95899999997346</v>
      </c>
      <c r="TE9" s="16">
        <f t="shared" si="127"/>
        <v>329.59000000002561</v>
      </c>
      <c r="TF9" s="16">
        <f t="shared" si="127"/>
        <v>277.53299999999581</v>
      </c>
      <c r="TG9" s="16">
        <f t="shared" si="127"/>
        <v>336.65299999999115</v>
      </c>
      <c r="TH9" s="16">
        <f t="shared" si="127"/>
        <v>327.9770000000135</v>
      </c>
      <c r="TI9" s="16">
        <f t="shared" si="127"/>
        <v>225.39699999999721</v>
      </c>
      <c r="TJ9" s="16">
        <f t="shared" si="127"/>
        <v>310.51299999997718</v>
      </c>
      <c r="TK9" s="16">
        <f t="shared" si="127"/>
        <v>276.14100000000326</v>
      </c>
      <c r="TL9" s="16">
        <f t="shared" si="127"/>
        <v>230.89299999998184</v>
      </c>
      <c r="TM9" s="16">
        <f t="shared" si="127"/>
        <v>254.87900000001537</v>
      </c>
      <c r="TN9" s="16">
        <f t="shared" si="127"/>
        <v>302.4199999999837</v>
      </c>
      <c r="TO9" s="16">
        <f t="shared" si="127"/>
        <v>184.23200000001816</v>
      </c>
      <c r="TP9" s="16">
        <f t="shared" si="127"/>
        <v>208.35499999998137</v>
      </c>
      <c r="TQ9" s="16">
        <f t="shared" si="127"/>
        <v>248.12200000003213</v>
      </c>
      <c r="TR9" s="16">
        <f t="shared" si="127"/>
        <v>256.51199999998789</v>
      </c>
      <c r="TS9" s="127">
        <f>SUM(SO9:TR9)</f>
        <v>8198.0489999999991</v>
      </c>
      <c r="TT9" s="16">
        <f t="shared" ref="TT9:UX9" si="128">TT8-TT7</f>
        <v>249.05300000001444</v>
      </c>
      <c r="TU9" s="16">
        <f t="shared" si="128"/>
        <v>245.66699999995762</v>
      </c>
      <c r="TV9" s="16">
        <f t="shared" si="128"/>
        <v>272.15200000000186</v>
      </c>
      <c r="TW9" s="16">
        <f t="shared" si="128"/>
        <v>342.91100000002189</v>
      </c>
      <c r="TX9" s="16">
        <f t="shared" si="128"/>
        <v>172.97499999997672</v>
      </c>
      <c r="TY9" s="16">
        <f t="shared" si="128"/>
        <v>260.8980000000447</v>
      </c>
      <c r="TZ9" s="16">
        <f t="shared" si="128"/>
        <v>301.04899999999907</v>
      </c>
      <c r="UA9" s="16">
        <f t="shared" si="128"/>
        <v>323.78099999995902</v>
      </c>
      <c r="UB9" s="16">
        <f t="shared" si="128"/>
        <v>301.18300000001909</v>
      </c>
      <c r="UC9" s="16">
        <f t="shared" si="128"/>
        <v>285.80400000000373</v>
      </c>
      <c r="UD9" s="16">
        <f t="shared" si="128"/>
        <v>342.50699999998324</v>
      </c>
      <c r="UE9" s="16">
        <f t="shared" si="128"/>
        <v>232.79500000004191</v>
      </c>
      <c r="UF9" s="16">
        <f t="shared" si="128"/>
        <v>310.29599999997299</v>
      </c>
      <c r="UG9" s="16">
        <f t="shared" si="128"/>
        <v>292.19000000000233</v>
      </c>
      <c r="UH9" s="16">
        <f t="shared" si="128"/>
        <v>327.15700000000652</v>
      </c>
      <c r="UI9" s="16">
        <f t="shared" si="128"/>
        <v>304.96899999998277</v>
      </c>
      <c r="UJ9" s="16">
        <f t="shared" si="128"/>
        <v>363.74499999999534</v>
      </c>
      <c r="UK9" s="16">
        <f t="shared" si="128"/>
        <v>431.84600000001956</v>
      </c>
      <c r="UL9" s="16">
        <f t="shared" si="128"/>
        <v>442.65000000002328</v>
      </c>
      <c r="UM9" s="16">
        <f t="shared" si="128"/>
        <v>252.69899999996414</v>
      </c>
      <c r="UN9" s="16">
        <f t="shared" si="128"/>
        <v>327.49700000003213</v>
      </c>
      <c r="UO9" s="16">
        <f t="shared" si="128"/>
        <v>282.56699999998091</v>
      </c>
      <c r="UP9" s="16">
        <f t="shared" si="128"/>
        <v>305.89199999999255</v>
      </c>
      <c r="UQ9" s="16">
        <f t="shared" si="128"/>
        <v>247.82299999997485</v>
      </c>
      <c r="UR9" s="16">
        <f t="shared" si="128"/>
        <v>334.38500000000931</v>
      </c>
      <c r="US9" s="16">
        <f t="shared" si="128"/>
        <v>292.18499999999767</v>
      </c>
      <c r="UT9" s="16">
        <f t="shared" si="128"/>
        <v>308.0230000000447</v>
      </c>
      <c r="UU9" s="16">
        <f t="shared" si="128"/>
        <v>207.01199999998789</v>
      </c>
      <c r="UV9" s="16">
        <f t="shared" si="128"/>
        <v>273.17399999999907</v>
      </c>
      <c r="UW9" s="16">
        <f t="shared" si="128"/>
        <v>326.53299999999581</v>
      </c>
      <c r="UX9" s="16">
        <f t="shared" si="128"/>
        <v>218.05900000000838</v>
      </c>
      <c r="UY9" s="127">
        <f>SUM(TT9:UX9)</f>
        <v>9179.4770000000135</v>
      </c>
      <c r="UZ9" s="16">
        <f t="shared" ref="UZ9:WA9" si="129">UZ8-UZ7</f>
        <v>312.72999999998137</v>
      </c>
      <c r="VA9" s="16">
        <f t="shared" si="129"/>
        <v>290.71199999999953</v>
      </c>
      <c r="VB9" s="16">
        <f t="shared" si="129"/>
        <v>305.9089999999851</v>
      </c>
      <c r="VC9" s="16">
        <f t="shared" si="129"/>
        <v>215.69800000003306</v>
      </c>
      <c r="VD9" s="16">
        <f t="shared" si="129"/>
        <v>282.3640000000014</v>
      </c>
      <c r="VE9" s="16">
        <f t="shared" si="129"/>
        <v>281.12699999997858</v>
      </c>
      <c r="VF9" s="16">
        <f t="shared" si="129"/>
        <v>198.55900000000838</v>
      </c>
      <c r="VG9" s="16">
        <f t="shared" si="129"/>
        <v>338.39299999998184</v>
      </c>
      <c r="VH9" s="16">
        <f t="shared" si="129"/>
        <v>273.40299999999115</v>
      </c>
      <c r="VI9" s="16">
        <f t="shared" si="129"/>
        <v>263.24800000002142</v>
      </c>
      <c r="VJ9" s="16">
        <f t="shared" si="129"/>
        <v>313.88799999997718</v>
      </c>
      <c r="VK9" s="16">
        <f t="shared" si="129"/>
        <v>335.58600000001024</v>
      </c>
      <c r="VL9" s="16">
        <f t="shared" si="129"/>
        <v>317.50900000002002</v>
      </c>
      <c r="VM9" s="16">
        <f t="shared" si="129"/>
        <v>385.60299999994459</v>
      </c>
      <c r="VN9" s="16">
        <f t="shared" si="129"/>
        <v>213.96200000005774</v>
      </c>
      <c r="VO9" s="16">
        <f t="shared" si="129"/>
        <v>332.88099999993574</v>
      </c>
      <c r="VP9" s="16">
        <f t="shared" si="129"/>
        <v>339.91700000001583</v>
      </c>
      <c r="VQ9" s="16">
        <f t="shared" si="129"/>
        <v>321.60800000000745</v>
      </c>
      <c r="VR9" s="16">
        <f t="shared" si="129"/>
        <v>253.16200000001118</v>
      </c>
      <c r="VS9" s="16">
        <f t="shared" si="129"/>
        <v>243.67599999997765</v>
      </c>
      <c r="VT9" s="16">
        <f t="shared" si="129"/>
        <v>281.43599999998696</v>
      </c>
      <c r="VU9" s="16">
        <f t="shared" si="129"/>
        <v>294.69600000011269</v>
      </c>
      <c r="VV9" s="16">
        <f t="shared" si="129"/>
        <v>189.06399999989662</v>
      </c>
      <c r="VW9" s="16">
        <f t="shared" si="129"/>
        <v>307.00800000003073</v>
      </c>
      <c r="VX9" s="16">
        <f t="shared" si="129"/>
        <v>232.37800000002608</v>
      </c>
      <c r="VY9" s="16">
        <f t="shared" si="129"/>
        <v>296.74100000003818</v>
      </c>
      <c r="VZ9" s="16">
        <f t="shared" si="129"/>
        <v>241.05400000000373</v>
      </c>
      <c r="WA9" s="16">
        <f t="shared" si="129"/>
        <v>295.82600000000093</v>
      </c>
      <c r="WB9" s="127">
        <f>SUM(UZ9:WA9)</f>
        <v>7958.1380000000354</v>
      </c>
      <c r="WC9" s="16">
        <f t="shared" ref="WC9:XG9" si="130">WC8-WC7</f>
        <v>289.19799999997485</v>
      </c>
      <c r="WD9" s="16">
        <f t="shared" si="130"/>
        <v>232.91099999996368</v>
      </c>
      <c r="WE9" s="16">
        <f t="shared" si="130"/>
        <v>252.4429999999702</v>
      </c>
      <c r="WF9" s="16">
        <f t="shared" si="130"/>
        <v>276.35400000005029</v>
      </c>
      <c r="WG9" s="16">
        <f t="shared" si="130"/>
        <v>303.90599999995902</v>
      </c>
      <c r="WH9" s="16">
        <f t="shared" si="130"/>
        <v>309.98600000003353</v>
      </c>
      <c r="WI9" s="16">
        <f t="shared" si="130"/>
        <v>372.76399999996647</v>
      </c>
      <c r="WJ9" s="16">
        <f t="shared" si="130"/>
        <v>223.0350000000326</v>
      </c>
      <c r="WK9" s="16">
        <f t="shared" si="130"/>
        <v>302.8059999999823</v>
      </c>
      <c r="WL9" s="16">
        <f t="shared" si="130"/>
        <v>323.9890000000596</v>
      </c>
      <c r="WM9" s="16">
        <f t="shared" si="130"/>
        <v>309.59299999999348</v>
      </c>
      <c r="WN9" s="16">
        <f t="shared" si="130"/>
        <v>289.53700000001118</v>
      </c>
      <c r="WO9" s="16">
        <f t="shared" si="130"/>
        <v>201.21799999999348</v>
      </c>
      <c r="WP9" s="16">
        <f t="shared" si="130"/>
        <v>331.41499999992084</v>
      </c>
      <c r="WQ9" s="16">
        <f t="shared" si="130"/>
        <v>358.7850000000326</v>
      </c>
      <c r="WR9" s="16">
        <f t="shared" si="130"/>
        <v>228.07799999997951</v>
      </c>
      <c r="WS9" s="16">
        <f t="shared" si="130"/>
        <v>283.04200000001583</v>
      </c>
      <c r="WT9" s="16">
        <f t="shared" si="130"/>
        <v>207.84999999997672</v>
      </c>
      <c r="WU9" s="16">
        <f t="shared" si="130"/>
        <v>328.20600000000559</v>
      </c>
      <c r="WV9" s="16">
        <f t="shared" si="130"/>
        <v>247.96500000008382</v>
      </c>
      <c r="WW9" s="16">
        <f t="shared" si="130"/>
        <v>307.88699999998789</v>
      </c>
      <c r="WX9" s="16">
        <f t="shared" si="130"/>
        <v>280.30799999996088</v>
      </c>
      <c r="WY9" s="16">
        <f t="shared" si="130"/>
        <v>310.05900000000838</v>
      </c>
      <c r="WZ9" s="16">
        <f t="shared" si="130"/>
        <v>293.76000000000931</v>
      </c>
      <c r="XA9" s="16">
        <f t="shared" si="130"/>
        <v>273.6589999999851</v>
      </c>
      <c r="XB9" s="16">
        <f t="shared" si="130"/>
        <v>211.6359999999404</v>
      </c>
      <c r="XC9" s="16">
        <f t="shared" si="130"/>
        <v>316.40400000009686</v>
      </c>
      <c r="XD9" s="16">
        <f t="shared" si="130"/>
        <v>559.03200000000652</v>
      </c>
      <c r="XE9" s="16">
        <f t="shared" si="130"/>
        <v>378.37199999997392</v>
      </c>
      <c r="XF9" s="16">
        <f t="shared" si="130"/>
        <v>323.72199999995064</v>
      </c>
      <c r="XG9" s="16">
        <f t="shared" si="130"/>
        <v>302.44500000006519</v>
      </c>
      <c r="XH9" s="127">
        <f>SUM(WC9:XG9)</f>
        <v>9230.3649999999907</v>
      </c>
      <c r="XI9" s="16">
        <f t="shared" ref="XI9:YL9" si="131">XI8-XI7</f>
        <v>332.65099999995437</v>
      </c>
      <c r="XJ9" s="16">
        <f t="shared" si="131"/>
        <v>270.80299999995623</v>
      </c>
      <c r="XK9" s="16">
        <f t="shared" si="131"/>
        <v>288.85400000005029</v>
      </c>
      <c r="XL9" s="16">
        <f t="shared" si="131"/>
        <v>263.28899999998976</v>
      </c>
      <c r="XM9" s="16">
        <f t="shared" si="131"/>
        <v>391.32600000000093</v>
      </c>
      <c r="XN9" s="16">
        <f t="shared" si="131"/>
        <v>341.38100000005215</v>
      </c>
      <c r="XO9" s="16">
        <f t="shared" si="131"/>
        <v>390.51499999989755</v>
      </c>
      <c r="XP9" s="16">
        <f t="shared" si="131"/>
        <v>296.42600000009406</v>
      </c>
      <c r="XQ9" s="16">
        <f t="shared" si="131"/>
        <v>307.79399999999441</v>
      </c>
      <c r="XR9" s="16">
        <f t="shared" si="131"/>
        <v>224.6589999999851</v>
      </c>
      <c r="XS9" s="16">
        <f t="shared" si="131"/>
        <v>345.14300000004005</v>
      </c>
      <c r="XT9" s="16">
        <f t="shared" si="131"/>
        <v>286.84599999990314</v>
      </c>
      <c r="XU9" s="16">
        <f t="shared" si="131"/>
        <v>275.86300000001211</v>
      </c>
      <c r="XV9" s="16">
        <f t="shared" si="131"/>
        <v>284.85499999998137</v>
      </c>
      <c r="XW9" s="16">
        <f t="shared" si="131"/>
        <v>289.69000000006054</v>
      </c>
      <c r="XX9" s="16">
        <f t="shared" si="131"/>
        <v>357.16599999996834</v>
      </c>
      <c r="XY9" s="16">
        <f t="shared" si="131"/>
        <v>278.5559999999823</v>
      </c>
      <c r="XZ9" s="16">
        <f t="shared" si="131"/>
        <v>294.99400000006426</v>
      </c>
      <c r="YA9" s="16">
        <f t="shared" si="131"/>
        <v>400.4769999999553</v>
      </c>
      <c r="YB9" s="16">
        <f t="shared" si="131"/>
        <v>225.69500000006519</v>
      </c>
      <c r="YC9" s="16">
        <f t="shared" si="131"/>
        <v>354.26299999991897</v>
      </c>
      <c r="YD9" s="16">
        <f t="shared" si="131"/>
        <v>220.78000000002794</v>
      </c>
      <c r="YE9" s="16">
        <f t="shared" si="131"/>
        <v>292.08799999998882</v>
      </c>
      <c r="YF9" s="16">
        <f t="shared" si="131"/>
        <v>345.20499999995809</v>
      </c>
      <c r="YG9" s="16">
        <f t="shared" si="131"/>
        <v>444.64200000010896</v>
      </c>
      <c r="YH9" s="16">
        <f t="shared" si="131"/>
        <v>319.44399999990128</v>
      </c>
      <c r="YI9" s="16">
        <f t="shared" si="131"/>
        <v>315.33200000005309</v>
      </c>
      <c r="YJ9" s="16">
        <f t="shared" si="131"/>
        <v>284.59199999994598</v>
      </c>
      <c r="YK9" s="16">
        <f t="shared" si="131"/>
        <v>303.42399999999907</v>
      </c>
      <c r="YL9" s="16">
        <f t="shared" si="131"/>
        <v>311.87700000009499</v>
      </c>
      <c r="YM9" s="127">
        <f>SUM(XH9:YL9)</f>
        <v>18568.994999999995</v>
      </c>
      <c r="YN9" s="16">
        <f t="shared" ref="YN9:ZR9" si="132">YN8-YN7</f>
        <v>299.12299999990501</v>
      </c>
      <c r="YO9" s="16">
        <f t="shared" si="132"/>
        <v>346.91800000006333</v>
      </c>
      <c r="YP9" s="16">
        <f t="shared" si="132"/>
        <v>333.58100000000559</v>
      </c>
      <c r="YQ9" s="16">
        <f t="shared" si="132"/>
        <v>388.71999999997206</v>
      </c>
      <c r="YR9" s="16">
        <f t="shared" si="132"/>
        <v>372.82200000004377</v>
      </c>
      <c r="YS9" s="16">
        <f t="shared" si="132"/>
        <v>382.68799999996554</v>
      </c>
      <c r="YT9" s="16">
        <f t="shared" si="132"/>
        <v>251.5230000000447</v>
      </c>
      <c r="YU9" s="16">
        <f t="shared" si="132"/>
        <v>0</v>
      </c>
      <c r="YV9" s="16">
        <f t="shared" si="132"/>
        <v>219.76899999997113</v>
      </c>
      <c r="YW9" s="16">
        <f t="shared" si="132"/>
        <v>393.00800000003073</v>
      </c>
      <c r="YX9" s="16">
        <f t="shared" si="132"/>
        <v>163.82499999995343</v>
      </c>
      <c r="YY9" s="16">
        <f t="shared" si="132"/>
        <v>405.51500000001397</v>
      </c>
      <c r="YZ9" s="16">
        <f t="shared" si="132"/>
        <v>258.34999999997672</v>
      </c>
      <c r="ZA9" s="16">
        <f t="shared" si="132"/>
        <v>310.0350000000326</v>
      </c>
      <c r="ZB9" s="16">
        <f t="shared" si="132"/>
        <v>285.52199999999721</v>
      </c>
      <c r="ZC9" s="16">
        <f t="shared" si="132"/>
        <v>392.35100000002421</v>
      </c>
      <c r="ZD9" s="16">
        <f t="shared" si="132"/>
        <v>215.11799999990035</v>
      </c>
      <c r="ZE9" s="16">
        <f t="shared" si="132"/>
        <v>278.89200000010896</v>
      </c>
      <c r="ZF9" s="16">
        <f t="shared" si="132"/>
        <v>277.33499999996275</v>
      </c>
      <c r="ZG9" s="16">
        <f t="shared" si="132"/>
        <v>324.39299999992363</v>
      </c>
      <c r="ZH9" s="16">
        <f t="shared" si="132"/>
        <v>301.87100000004284</v>
      </c>
      <c r="ZI9" s="16">
        <f t="shared" si="132"/>
        <v>361.29899999999907</v>
      </c>
      <c r="ZJ9" s="16">
        <f t="shared" si="132"/>
        <v>414.6929999999702</v>
      </c>
      <c r="ZK9" s="16">
        <f t="shared" si="132"/>
        <v>485.88699999998789</v>
      </c>
      <c r="ZL9" s="16">
        <f t="shared" si="132"/>
        <v>318.23800000001211</v>
      </c>
      <c r="ZM9" s="16">
        <f t="shared" si="132"/>
        <v>392.62400000006892</v>
      </c>
      <c r="ZN9" s="16">
        <f t="shared" si="132"/>
        <v>276.39799999992829</v>
      </c>
      <c r="ZO9" s="16">
        <f t="shared" si="132"/>
        <v>397.79700000002049</v>
      </c>
      <c r="ZP9" s="16">
        <f t="shared" si="132"/>
        <v>253.42800000007264</v>
      </c>
      <c r="ZQ9" s="16">
        <f t="shared" si="132"/>
        <v>403.80900000000838</v>
      </c>
      <c r="ZR9" s="16">
        <f t="shared" si="132"/>
        <v>407.21799999999348</v>
      </c>
      <c r="ZS9" s="127">
        <f>SUM(YN9:ZR9)</f>
        <v>9912.75</v>
      </c>
      <c r="ZT9" s="16">
        <f t="shared" ref="ZT9:AAW9" si="133">ZT8-ZT7</f>
        <v>264.32600000000093</v>
      </c>
      <c r="ZU9" s="16">
        <f t="shared" si="133"/>
        <v>285.76499999989755</v>
      </c>
      <c r="ZV9" s="16">
        <f t="shared" si="133"/>
        <v>294.50200000009499</v>
      </c>
      <c r="ZW9" s="16">
        <f t="shared" si="133"/>
        <v>335.07499999995343</v>
      </c>
      <c r="ZX9" s="16">
        <f t="shared" si="133"/>
        <v>331.66399999998976</v>
      </c>
      <c r="ZY9" s="16">
        <f t="shared" si="133"/>
        <v>350.51800000004005</v>
      </c>
      <c r="ZZ9" s="16">
        <f t="shared" si="133"/>
        <v>366.12899999995716</v>
      </c>
      <c r="AAA9" s="16">
        <f t="shared" si="133"/>
        <v>377.16300000005867</v>
      </c>
      <c r="AAB9" s="16">
        <f t="shared" si="133"/>
        <v>338.86699999996927</v>
      </c>
      <c r="AAC9" s="16">
        <f t="shared" si="133"/>
        <v>325.76000000000931</v>
      </c>
      <c r="AAD9" s="16">
        <f t="shared" si="133"/>
        <v>248.96799999999348</v>
      </c>
      <c r="AAE9" s="16">
        <f t="shared" si="133"/>
        <v>267.02000000001863</v>
      </c>
      <c r="AAF9" s="16">
        <f t="shared" si="133"/>
        <v>465.33899999991991</v>
      </c>
      <c r="AAG9" s="16">
        <f t="shared" si="133"/>
        <v>463.20100000000093</v>
      </c>
      <c r="AAH9" s="16">
        <f t="shared" si="133"/>
        <v>347.49900000006892</v>
      </c>
      <c r="AAI9" s="16">
        <f t="shared" si="133"/>
        <v>297.08299999998417</v>
      </c>
      <c r="AAJ9" s="16">
        <f t="shared" si="133"/>
        <v>398.41500000003725</v>
      </c>
      <c r="AAK9" s="16">
        <f t="shared" si="133"/>
        <v>278.6579999999376</v>
      </c>
      <c r="AAL9" s="16">
        <f t="shared" si="133"/>
        <v>386.58400000003166</v>
      </c>
      <c r="AAM9" s="16">
        <f t="shared" si="133"/>
        <v>344.46900000004098</v>
      </c>
      <c r="AAN9" s="16">
        <f t="shared" si="133"/>
        <v>393.91099999996368</v>
      </c>
      <c r="AAO9" s="16">
        <f t="shared" si="133"/>
        <v>265.04500000004191</v>
      </c>
      <c r="AAP9" s="16">
        <f t="shared" si="133"/>
        <v>333.17999999993481</v>
      </c>
      <c r="AAQ9" s="16">
        <f t="shared" si="133"/>
        <v>351.96299999998882</v>
      </c>
      <c r="AAR9" s="16">
        <f t="shared" si="133"/>
        <v>405.24499999999534</v>
      </c>
      <c r="AAS9" s="16">
        <f t="shared" si="133"/>
        <v>349.90000000002328</v>
      </c>
      <c r="AAT9" s="16">
        <f t="shared" si="133"/>
        <v>327.71400000003632</v>
      </c>
      <c r="AAU9" s="16">
        <f t="shared" si="133"/>
        <v>353.73499999998603</v>
      </c>
      <c r="AAV9" s="16">
        <f t="shared" si="133"/>
        <v>452.03000000002794</v>
      </c>
      <c r="AAW9" s="16">
        <f t="shared" si="133"/>
        <v>296.47499999997672</v>
      </c>
      <c r="AAX9" s="127">
        <f>SUM(ZT9:AAW9)</f>
        <v>10296.20299999998</v>
      </c>
      <c r="AAY9" s="16">
        <f t="shared" ref="AAY9:ACC9" si="134">AAY8-AAY7</f>
        <v>393.42900000000373</v>
      </c>
      <c r="AAZ9" s="16">
        <f t="shared" si="134"/>
        <v>263.0339999999851</v>
      </c>
      <c r="ABA9" s="16">
        <f t="shared" si="134"/>
        <v>281.74300000001676</v>
      </c>
      <c r="ABB9" s="16">
        <f t="shared" si="134"/>
        <v>272.74300000001676</v>
      </c>
      <c r="ABC9" s="16">
        <f t="shared" si="134"/>
        <v>384.875</v>
      </c>
      <c r="ABD9" s="16">
        <f t="shared" si="134"/>
        <v>503.48899999994319</v>
      </c>
      <c r="ABE9" s="16">
        <f t="shared" si="134"/>
        <v>332.56299999996554</v>
      </c>
      <c r="ABF9" s="16">
        <f t="shared" si="134"/>
        <v>327.00600000005215</v>
      </c>
      <c r="ABG9" s="16">
        <f t="shared" si="134"/>
        <v>324.65700000000652</v>
      </c>
      <c r="ABH9" s="16">
        <f t="shared" si="134"/>
        <v>276.96199999994133</v>
      </c>
      <c r="ABI9" s="16">
        <f t="shared" si="134"/>
        <v>407.41600000008475</v>
      </c>
      <c r="ABJ9" s="16">
        <f t="shared" si="134"/>
        <v>305.52499999990687</v>
      </c>
      <c r="ABK9" s="16">
        <f t="shared" si="134"/>
        <v>306.63200000009965</v>
      </c>
      <c r="ABL9" s="16">
        <f t="shared" si="134"/>
        <v>331.09799999999814</v>
      </c>
      <c r="ABM9" s="16">
        <f t="shared" si="134"/>
        <v>326.58100000000559</v>
      </c>
      <c r="ABN9" s="16">
        <f t="shared" si="134"/>
        <v>347.20499999995809</v>
      </c>
      <c r="ABO9" s="16">
        <f t="shared" si="134"/>
        <v>360.42099999997299</v>
      </c>
      <c r="ABP9" s="16">
        <f t="shared" si="134"/>
        <v>372.51600000006147</v>
      </c>
      <c r="ABQ9" s="16">
        <f t="shared" si="134"/>
        <v>306.80400000000373</v>
      </c>
      <c r="ABR9" s="16">
        <f t="shared" si="134"/>
        <v>420.34899999992922</v>
      </c>
      <c r="ABS9" s="16">
        <f t="shared" si="134"/>
        <v>409.95500000007451</v>
      </c>
      <c r="ABT9" s="16">
        <f t="shared" si="134"/>
        <v>262.0319999998901</v>
      </c>
      <c r="ABU9" s="16">
        <f t="shared" si="134"/>
        <v>338.28100000007544</v>
      </c>
      <c r="ABV9" s="16">
        <f t="shared" si="134"/>
        <v>333.26699999999255</v>
      </c>
      <c r="ABW9" s="16">
        <f t="shared" si="134"/>
        <v>413.82299999997485</v>
      </c>
      <c r="ABX9" s="16">
        <f t="shared" si="134"/>
        <v>394.88500000000931</v>
      </c>
      <c r="ABY9" s="16">
        <f t="shared" si="134"/>
        <v>386.64699999999721</v>
      </c>
      <c r="ABZ9" s="16">
        <f t="shared" si="134"/>
        <v>397.79799999995157</v>
      </c>
      <c r="ACA9" s="16">
        <f t="shared" si="134"/>
        <v>284.8990000000922</v>
      </c>
      <c r="ACB9" s="16">
        <f t="shared" si="134"/>
        <v>336.77899999998044</v>
      </c>
      <c r="ACC9" s="16">
        <f t="shared" si="134"/>
        <v>350.91099999996368</v>
      </c>
      <c r="ACD9" s="127">
        <f>SUM(AAY9:ACC9)</f>
        <v>10754.324999999953</v>
      </c>
      <c r="ACE9" s="16">
        <f t="shared" ref="ACE9:ADI9" si="135">ACE8-ACE7</f>
        <v>400.40100000007078</v>
      </c>
      <c r="ACF9" s="16">
        <f t="shared" si="135"/>
        <v>363.64099999994505</v>
      </c>
      <c r="ACG9" s="16">
        <f t="shared" si="135"/>
        <v>267.18700000003446</v>
      </c>
      <c r="ACH9" s="16">
        <f t="shared" si="135"/>
        <v>257.82600000000093</v>
      </c>
      <c r="ACI9" s="16">
        <f t="shared" si="135"/>
        <v>422.4649999999674</v>
      </c>
      <c r="ACJ9" s="16">
        <f t="shared" si="135"/>
        <v>231.54399999999441</v>
      </c>
      <c r="ACK9" s="16">
        <f t="shared" si="135"/>
        <v>244.32499999995343</v>
      </c>
      <c r="ACL9" s="16">
        <f t="shared" si="135"/>
        <v>370.32000000006519</v>
      </c>
      <c r="ACM9" s="16">
        <f t="shared" si="135"/>
        <v>247.13300000003073</v>
      </c>
      <c r="ACN9" s="16">
        <f t="shared" si="135"/>
        <v>334.15999999991618</v>
      </c>
      <c r="ACO9" s="16">
        <f t="shared" si="135"/>
        <v>338.25300000002608</v>
      </c>
      <c r="ACP9" s="16">
        <f t="shared" si="135"/>
        <v>267.77000000001863</v>
      </c>
      <c r="ACQ9" s="16">
        <f t="shared" si="135"/>
        <v>351.59299999999348</v>
      </c>
      <c r="ACR9" s="16">
        <f t="shared" si="135"/>
        <v>301.29500000004191</v>
      </c>
      <c r="ACS9" s="16">
        <f t="shared" si="135"/>
        <v>313.88500000000931</v>
      </c>
      <c r="ACT9" s="16">
        <f t="shared" si="135"/>
        <v>357.97299999999814</v>
      </c>
      <c r="ACU9" s="16">
        <f t="shared" si="135"/>
        <v>453.98899999994319</v>
      </c>
      <c r="ACV9" s="16">
        <f t="shared" si="135"/>
        <v>220.74800000002142</v>
      </c>
      <c r="ACW9" s="16">
        <f t="shared" si="135"/>
        <v>155.96699999994598</v>
      </c>
      <c r="ACX9" s="16">
        <f t="shared" si="135"/>
        <v>262.52500000002328</v>
      </c>
      <c r="ACY9" s="16">
        <f t="shared" si="135"/>
        <v>258.1589999999851</v>
      </c>
      <c r="ACZ9" s="16">
        <f t="shared" si="135"/>
        <v>288.48300000000745</v>
      </c>
      <c r="ADA9" s="16">
        <f t="shared" si="135"/>
        <v>316.24800000002142</v>
      </c>
      <c r="ADB9" s="16">
        <f t="shared" si="135"/>
        <v>162.26100000005681</v>
      </c>
      <c r="ADC9" s="16">
        <f t="shared" si="135"/>
        <v>262.95699999993667</v>
      </c>
      <c r="ADD9" s="16">
        <f t="shared" si="135"/>
        <v>266.95900000003166</v>
      </c>
      <c r="ADE9" s="16">
        <f t="shared" si="135"/>
        <v>263.34199999994598</v>
      </c>
      <c r="ADF9" s="16">
        <f t="shared" si="135"/>
        <v>246.34500000008848</v>
      </c>
      <c r="ADG9" s="16">
        <f t="shared" si="135"/>
        <v>290.83599999989383</v>
      </c>
      <c r="ADH9" s="16">
        <f t="shared" si="135"/>
        <v>326.2850000000326</v>
      </c>
      <c r="ADI9" s="16">
        <f t="shared" si="135"/>
        <v>317.17500000004657</v>
      </c>
      <c r="ADJ9" s="127">
        <f>SUM(ACE9:ADI9)</f>
        <v>9162.0500000000466</v>
      </c>
      <c r="ADK9" s="16">
        <f t="shared" ref="ADK9:AEN9" si="136">ADK8-ADK7</f>
        <v>187.79200000001583</v>
      </c>
      <c r="ADL9" s="16">
        <f t="shared" si="136"/>
        <v>232.42099999997299</v>
      </c>
      <c r="ADM9" s="16">
        <f t="shared" si="136"/>
        <v>250.20600000000559</v>
      </c>
      <c r="ADN9" s="16">
        <f t="shared" si="136"/>
        <v>251.92200000002049</v>
      </c>
      <c r="ADO9" s="16">
        <f t="shared" si="136"/>
        <v>250.04799999995157</v>
      </c>
      <c r="ADP9" s="16">
        <f t="shared" si="136"/>
        <v>359.52099999994971</v>
      </c>
      <c r="ADQ9" s="16">
        <f t="shared" si="136"/>
        <v>367.38200000009965</v>
      </c>
      <c r="ADR9" s="16">
        <f t="shared" si="136"/>
        <v>281.58699999994133</v>
      </c>
      <c r="ADS9" s="16">
        <f t="shared" si="136"/>
        <v>238.32799999997951</v>
      </c>
      <c r="ADT9" s="16">
        <f t="shared" si="136"/>
        <v>282.31099999998696</v>
      </c>
      <c r="ADU9" s="16">
        <f t="shared" si="136"/>
        <v>268.63000000000466</v>
      </c>
      <c r="ADV9" s="16">
        <f t="shared" si="136"/>
        <v>305.27900000009686</v>
      </c>
      <c r="ADW9" s="16">
        <f t="shared" si="136"/>
        <v>300.83699999994133</v>
      </c>
      <c r="ADX9" s="16">
        <f t="shared" si="136"/>
        <v>267.86499999999069</v>
      </c>
      <c r="ADY9" s="16">
        <f t="shared" si="136"/>
        <v>262.94700000004377</v>
      </c>
      <c r="ADZ9" s="16">
        <f t="shared" si="136"/>
        <v>250.29599999997299</v>
      </c>
      <c r="AEA9" s="16">
        <f t="shared" si="136"/>
        <v>306.71100000001024</v>
      </c>
      <c r="AEB9" s="16">
        <f t="shared" si="136"/>
        <v>352.20199999993201</v>
      </c>
      <c r="AEC9" s="16">
        <f t="shared" si="136"/>
        <v>289.63700000010431</v>
      </c>
      <c r="AED9" s="16">
        <f t="shared" si="136"/>
        <v>403.25199999997858</v>
      </c>
      <c r="AEE9" s="16">
        <f t="shared" si="136"/>
        <v>202.45199999993201</v>
      </c>
      <c r="AEF9" s="16">
        <f t="shared" si="136"/>
        <v>349.45100000000093</v>
      </c>
      <c r="AEG9" s="16">
        <f t="shared" si="136"/>
        <v>254.41500000003725</v>
      </c>
      <c r="AEH9" s="16">
        <f t="shared" si="136"/>
        <v>230.00800000003073</v>
      </c>
      <c r="AEI9" s="16">
        <f t="shared" si="136"/>
        <v>204.4089999999851</v>
      </c>
      <c r="AEJ9" s="16">
        <f t="shared" si="136"/>
        <v>296.58299999998417</v>
      </c>
      <c r="AEK9" s="16">
        <f t="shared" si="136"/>
        <v>273.43900000001304</v>
      </c>
      <c r="AEL9" s="16">
        <f t="shared" si="136"/>
        <v>309.24699999997392</v>
      </c>
      <c r="AEM9" s="16">
        <f t="shared" si="136"/>
        <v>229.41500000003725</v>
      </c>
      <c r="AEN9" s="16">
        <f t="shared" si="136"/>
        <v>235.81099999998696</v>
      </c>
      <c r="AEO9" s="127">
        <f>SUM(ADK9:AEN9)</f>
        <v>8294.4039999999804</v>
      </c>
      <c r="AEP9" s="16">
        <f t="shared" ref="AEP9:AFT9" si="137">AEP8-AEP7</f>
        <v>372.375</v>
      </c>
      <c r="AEQ9" s="16">
        <f t="shared" si="137"/>
        <v>322.2609999999404</v>
      </c>
      <c r="AER9" s="16">
        <f t="shared" si="137"/>
        <v>243.2170000000624</v>
      </c>
      <c r="AES9" s="16">
        <f t="shared" si="137"/>
        <v>340.62699999997858</v>
      </c>
      <c r="AET9" s="16">
        <f t="shared" si="137"/>
        <v>230.73499999998603</v>
      </c>
      <c r="AEU9" s="16">
        <f t="shared" si="137"/>
        <v>229.81400000001304</v>
      </c>
      <c r="AEV9" s="16">
        <f t="shared" si="137"/>
        <v>219.44599999999627</v>
      </c>
      <c r="AEW9" s="16">
        <f t="shared" si="137"/>
        <v>287.81700000003912</v>
      </c>
      <c r="AEX9" s="16">
        <f t="shared" si="137"/>
        <v>306.04899999999907</v>
      </c>
      <c r="AEY9" s="16">
        <f t="shared" si="137"/>
        <v>368.14299999992363</v>
      </c>
      <c r="AEZ9" s="16">
        <f t="shared" si="137"/>
        <v>275.81700000003912</v>
      </c>
      <c r="AFA9" s="16">
        <f t="shared" si="137"/>
        <v>314.87100000004284</v>
      </c>
      <c r="AFB9" s="16">
        <f t="shared" si="137"/>
        <v>303.21699999994598</v>
      </c>
      <c r="AFC9" s="16">
        <f t="shared" si="137"/>
        <v>317.33900000003632</v>
      </c>
      <c r="AFD9" s="16">
        <f t="shared" si="137"/>
        <v>355.85999999998603</v>
      </c>
      <c r="AFE9" s="16">
        <f t="shared" si="137"/>
        <v>260.41300000005867</v>
      </c>
      <c r="AFF9" s="16">
        <f t="shared" si="137"/>
        <v>298.54399999999441</v>
      </c>
      <c r="AFG9" s="16">
        <f t="shared" si="137"/>
        <v>255.02700000000186</v>
      </c>
      <c r="AFH9" s="16">
        <f t="shared" si="137"/>
        <v>212.61499999999069</v>
      </c>
      <c r="AFI9" s="16">
        <f t="shared" si="137"/>
        <v>292.22899999993388</v>
      </c>
      <c r="AFJ9" s="16">
        <f t="shared" si="137"/>
        <v>269.53300000005402</v>
      </c>
      <c r="AFK9" s="16">
        <f t="shared" si="137"/>
        <v>186.50899999996182</v>
      </c>
      <c r="AFL9" s="16">
        <f t="shared" si="137"/>
        <v>239.5230000000447</v>
      </c>
      <c r="AFM9" s="16">
        <f t="shared" si="137"/>
        <v>250.91399999998976</v>
      </c>
      <c r="AFN9" s="16">
        <f t="shared" si="137"/>
        <v>450.24499999999534</v>
      </c>
      <c r="AFO9" s="16">
        <f t="shared" si="137"/>
        <v>244.25699999998324</v>
      </c>
      <c r="AFP9" s="16">
        <f t="shared" si="137"/>
        <v>325.62300000002142</v>
      </c>
      <c r="AFQ9" s="16">
        <f t="shared" si="137"/>
        <v>253.91200000001118</v>
      </c>
      <c r="AFR9" s="16">
        <f t="shared" si="137"/>
        <v>209.69699999992736</v>
      </c>
      <c r="AFS9" s="16">
        <f t="shared" si="137"/>
        <v>226.57799999997951</v>
      </c>
      <c r="AFT9" s="16">
        <f t="shared" si="137"/>
        <v>366.66600000008475</v>
      </c>
      <c r="AFU9" s="127">
        <f>SUM(AEP9:AFT9)</f>
        <v>8829.8730000000214</v>
      </c>
      <c r="AFV9" s="16">
        <f t="shared" ref="AFV9:AGY9" si="138">AFV8-AFV7</f>
        <v>286.17499999993015</v>
      </c>
      <c r="AFW9" s="16">
        <f t="shared" si="138"/>
        <v>366.55200000002515</v>
      </c>
      <c r="AFX9" s="16">
        <f t="shared" si="138"/>
        <v>211.80300000007264</v>
      </c>
      <c r="AFY9" s="16">
        <f t="shared" si="138"/>
        <v>367.06199999991804</v>
      </c>
      <c r="AFZ9" s="16">
        <f t="shared" si="138"/>
        <v>258.17599999997765</v>
      </c>
      <c r="AGA9" s="16">
        <f t="shared" si="138"/>
        <v>253.8420000000624</v>
      </c>
      <c r="AGB9" s="16">
        <f t="shared" si="138"/>
        <v>271.10399999993388</v>
      </c>
      <c r="AGC9" s="16">
        <f t="shared" si="138"/>
        <v>221.00300000002608</v>
      </c>
      <c r="AGD9" s="16">
        <f t="shared" si="138"/>
        <v>325.38400000007823</v>
      </c>
      <c r="AGE9" s="16">
        <f t="shared" si="138"/>
        <v>270.81499999994412</v>
      </c>
      <c r="AGF9" s="16">
        <f t="shared" si="138"/>
        <v>257.57400000002235</v>
      </c>
      <c r="AGG9" s="16">
        <f t="shared" si="138"/>
        <v>238.99300000001676</v>
      </c>
      <c r="AGH9" s="16">
        <f t="shared" si="138"/>
        <v>147.40099999995437</v>
      </c>
      <c r="AGI9" s="16">
        <f t="shared" si="138"/>
        <v>279.75300000002608</v>
      </c>
      <c r="AGJ9" s="16">
        <f t="shared" si="138"/>
        <v>254.13500000000931</v>
      </c>
      <c r="AGK9" s="16">
        <f t="shared" si="138"/>
        <v>200.3169999999227</v>
      </c>
      <c r="AGL9" s="16">
        <f t="shared" si="138"/>
        <v>171.92100000008941</v>
      </c>
      <c r="AGM9" s="16">
        <f t="shared" si="138"/>
        <v>217.95499999995809</v>
      </c>
      <c r="AGN9" s="16">
        <f t="shared" si="138"/>
        <v>366.26800000004005</v>
      </c>
      <c r="AGO9" s="16">
        <f t="shared" si="138"/>
        <v>279.54899999999907</v>
      </c>
      <c r="AGP9" s="16">
        <f t="shared" si="138"/>
        <v>309.62199999997392</v>
      </c>
      <c r="AGQ9" s="16">
        <f t="shared" si="138"/>
        <v>341.20699999993667</v>
      </c>
      <c r="AGR9" s="16">
        <f t="shared" si="138"/>
        <v>339.36600000003818</v>
      </c>
      <c r="AGS9" s="16">
        <f t="shared" si="138"/>
        <v>221.16099999996368</v>
      </c>
      <c r="AGT9" s="16">
        <f t="shared" si="138"/>
        <v>388.89100000006147</v>
      </c>
      <c r="AGU9" s="16">
        <f t="shared" si="138"/>
        <v>308.88899999996647</v>
      </c>
      <c r="AGV9" s="16">
        <f t="shared" si="138"/>
        <v>290.99300000001676</v>
      </c>
      <c r="AGW9" s="16">
        <f t="shared" si="138"/>
        <v>302.82000000006519</v>
      </c>
      <c r="AGX9" s="16">
        <f t="shared" si="138"/>
        <v>393.4309999999823</v>
      </c>
      <c r="AGY9" s="16">
        <f t="shared" si="138"/>
        <v>339.89999999990687</v>
      </c>
      <c r="AGZ9" s="127">
        <f>SUM(AFV9:AGY9)</f>
        <v>8482.061999999918</v>
      </c>
      <c r="AHA9" s="16">
        <f t="shared" ref="AHA9:AIE9" si="139">AHA8-AHA7</f>
        <v>296.81500000006054</v>
      </c>
      <c r="AHB9" s="16">
        <f t="shared" si="139"/>
        <v>340.26599999994505</v>
      </c>
      <c r="AHC9" s="16">
        <f t="shared" si="139"/>
        <v>293.52700000000186</v>
      </c>
      <c r="AHD9" s="16">
        <f t="shared" si="139"/>
        <v>292.11999999999534</v>
      </c>
      <c r="AHE9" s="16">
        <f t="shared" si="139"/>
        <v>382.82300000009127</v>
      </c>
      <c r="AHF9" s="16">
        <f t="shared" si="139"/>
        <v>349.79599999997299</v>
      </c>
      <c r="AHG9" s="16">
        <f t="shared" si="139"/>
        <v>304.04000000003725</v>
      </c>
      <c r="AHH9" s="16">
        <f t="shared" si="139"/>
        <v>276.75699999998324</v>
      </c>
      <c r="AHI9" s="16">
        <f t="shared" si="139"/>
        <v>269.68299999996088</v>
      </c>
      <c r="AHJ9" s="16">
        <f t="shared" si="139"/>
        <v>321.51100000005681</v>
      </c>
      <c r="AHK9" s="16">
        <f t="shared" si="139"/>
        <v>364.53699999989476</v>
      </c>
      <c r="AHL9" s="16">
        <f t="shared" si="139"/>
        <v>411.83300000010058</v>
      </c>
      <c r="AHM9" s="16">
        <f t="shared" si="139"/>
        <v>277.95100000000093</v>
      </c>
      <c r="AHN9" s="16">
        <f t="shared" si="139"/>
        <v>259.05900000000838</v>
      </c>
      <c r="AHO9" s="16">
        <f t="shared" si="139"/>
        <v>219.78799999994226</v>
      </c>
      <c r="AHP9" s="16">
        <f t="shared" si="139"/>
        <v>291.11699999996927</v>
      </c>
      <c r="AHQ9" s="16">
        <f t="shared" si="139"/>
        <v>248.28100000007544</v>
      </c>
      <c r="AHR9" s="16">
        <f t="shared" si="139"/>
        <v>260.69799999997485</v>
      </c>
      <c r="AHS9" s="16">
        <f t="shared" si="139"/>
        <v>346.03700000001118</v>
      </c>
      <c r="AHT9" s="16">
        <f t="shared" si="139"/>
        <v>447.04099999996834</v>
      </c>
      <c r="AHU9" s="16">
        <f t="shared" si="139"/>
        <v>261.08200000005309</v>
      </c>
      <c r="AHV9" s="16">
        <f t="shared" si="139"/>
        <v>370.72199999995064</v>
      </c>
      <c r="AHW9" s="16">
        <f t="shared" si="139"/>
        <v>414.5570000000298</v>
      </c>
      <c r="AHX9" s="16">
        <f t="shared" si="139"/>
        <v>424.58499999996275</v>
      </c>
      <c r="AHY9" s="16">
        <f t="shared" si="139"/>
        <v>264.55099999997765</v>
      </c>
      <c r="AHZ9" s="16">
        <f t="shared" si="139"/>
        <v>197.70900000003166</v>
      </c>
      <c r="AIA9" s="16">
        <f t="shared" si="139"/>
        <v>205.63399999996182</v>
      </c>
      <c r="AIB9" s="16">
        <f t="shared" si="139"/>
        <v>281.79100000008475</v>
      </c>
      <c r="AIC9" s="16">
        <f t="shared" si="139"/>
        <v>212.72099999990314</v>
      </c>
      <c r="AID9" s="16">
        <f t="shared" si="139"/>
        <v>299.19599999999627</v>
      </c>
      <c r="AIE9" s="16">
        <f t="shared" si="139"/>
        <v>288.87900000007357</v>
      </c>
      <c r="AIF9" s="127">
        <f>SUM(AHA9:AIE9)</f>
        <v>9475.1070000000764</v>
      </c>
      <c r="AIG9" s="16">
        <f t="shared" ref="AIG9:AJK9" si="140">AIG8-AIG7</f>
        <v>272.71100000001024</v>
      </c>
      <c r="AIH9" s="16">
        <f t="shared" si="140"/>
        <v>200.59799999999814</v>
      </c>
      <c r="AII9" s="16">
        <f t="shared" si="140"/>
        <v>225.24800000002142</v>
      </c>
      <c r="AIJ9" s="16">
        <f t="shared" si="140"/>
        <v>344.05499999993481</v>
      </c>
      <c r="AIK9" s="16">
        <f t="shared" si="140"/>
        <v>291.43799999996554</v>
      </c>
      <c r="AIL9" s="16">
        <f t="shared" si="140"/>
        <v>359.40900000010151</v>
      </c>
      <c r="AIM9" s="16">
        <f t="shared" si="140"/>
        <v>369.14399999997113</v>
      </c>
      <c r="AIN9" s="16">
        <f t="shared" si="140"/>
        <v>366.36300000001211</v>
      </c>
      <c r="AIO9" s="16">
        <f t="shared" si="140"/>
        <v>252.82399999990594</v>
      </c>
      <c r="AIP9" s="16">
        <f t="shared" si="140"/>
        <v>478.39600000006612</v>
      </c>
      <c r="AIQ9" s="16">
        <f t="shared" si="140"/>
        <v>362.8399999999674</v>
      </c>
      <c r="AIR9" s="16">
        <f t="shared" si="140"/>
        <v>307.66399999998976</v>
      </c>
      <c r="AIS9" s="16">
        <f t="shared" si="140"/>
        <v>309.9089999999851</v>
      </c>
      <c r="AIT9" s="16">
        <f t="shared" si="140"/>
        <v>356.55100000009406</v>
      </c>
      <c r="AIU9" s="16">
        <f t="shared" si="140"/>
        <v>236.42799999995623</v>
      </c>
      <c r="AIV9" s="16">
        <f t="shared" si="140"/>
        <v>490.81200000003446</v>
      </c>
      <c r="AIW9" s="16">
        <f t="shared" si="140"/>
        <v>154.81299999996554</v>
      </c>
      <c r="AIX9" s="16">
        <f t="shared" si="140"/>
        <v>169.10999999998603</v>
      </c>
      <c r="AIY9" s="16">
        <f t="shared" si="140"/>
        <v>309.63300000003073</v>
      </c>
      <c r="AIZ9" s="16">
        <f t="shared" si="140"/>
        <v>253.62199999997392</v>
      </c>
      <c r="AJA9" s="16">
        <f t="shared" si="140"/>
        <v>404.93599999998696</v>
      </c>
      <c r="AJB9" s="16">
        <f t="shared" si="140"/>
        <v>282.22700000007171</v>
      </c>
      <c r="AJC9" s="16">
        <f t="shared" si="140"/>
        <v>228.96199999994133</v>
      </c>
      <c r="AJD9" s="16">
        <f t="shared" si="140"/>
        <v>326.07099999999627</v>
      </c>
      <c r="AJE9" s="16">
        <f t="shared" si="140"/>
        <v>264.01899999997113</v>
      </c>
      <c r="AJF9" s="16">
        <f t="shared" si="140"/>
        <v>293.61100000003353</v>
      </c>
      <c r="AJG9" s="16">
        <f t="shared" si="140"/>
        <v>415.30500000005122</v>
      </c>
      <c r="AJH9" s="16">
        <f t="shared" si="140"/>
        <v>282.39099999994505</v>
      </c>
      <c r="AJI9" s="16">
        <f t="shared" si="140"/>
        <v>287.87800000002608</v>
      </c>
      <c r="AJJ9" s="16">
        <f t="shared" si="140"/>
        <v>303.08499999996275</v>
      </c>
      <c r="AJK9" s="16">
        <f t="shared" si="140"/>
        <v>269.32099999999627</v>
      </c>
      <c r="AJL9" s="127">
        <f>SUM(AIG9:AJK9)</f>
        <v>9469.3739999999525</v>
      </c>
      <c r="AJM9" s="16">
        <f t="shared" ref="AJM9:AKN9" si="141">AJM8-AJM7</f>
        <v>203.90100000007078</v>
      </c>
      <c r="AJN9" s="16">
        <f t="shared" si="141"/>
        <v>376.1809999999823</v>
      </c>
      <c r="AJO9" s="16">
        <f t="shared" si="141"/>
        <v>374.25099999993108</v>
      </c>
      <c r="AJP9" s="16">
        <f t="shared" si="141"/>
        <v>322.85500000009779</v>
      </c>
      <c r="AJQ9" s="16">
        <f t="shared" si="141"/>
        <v>335.28899999998976</v>
      </c>
      <c r="AJR9" s="16">
        <f t="shared" si="141"/>
        <v>252.97399999992922</v>
      </c>
      <c r="AJS9" s="16">
        <f t="shared" si="141"/>
        <v>249.93400000000838</v>
      </c>
      <c r="AJT9" s="16">
        <f t="shared" si="141"/>
        <v>263.07099999999627</v>
      </c>
      <c r="AJU9" s="16">
        <f t="shared" si="141"/>
        <v>223.34700000006706</v>
      </c>
      <c r="AJV9" s="16">
        <f t="shared" si="141"/>
        <v>251.07399999990594</v>
      </c>
      <c r="AJW9" s="16">
        <f t="shared" si="141"/>
        <v>221.18500000005588</v>
      </c>
      <c r="AJX9" s="16">
        <f t="shared" si="141"/>
        <v>275.49300000001676</v>
      </c>
      <c r="AJY9" s="16">
        <f t="shared" si="141"/>
        <v>320.98300000000745</v>
      </c>
      <c r="AJZ9" s="16">
        <f t="shared" si="141"/>
        <v>301.81599999999162</v>
      </c>
      <c r="AKA9" s="16">
        <f t="shared" si="141"/>
        <v>324.875</v>
      </c>
      <c r="AKB9" s="16">
        <f t="shared" si="141"/>
        <v>169.30099999997765</v>
      </c>
      <c r="AKC9" s="16">
        <f t="shared" si="141"/>
        <v>311.15000000002328</v>
      </c>
      <c r="AKD9" s="16">
        <f t="shared" si="141"/>
        <v>263.27899999998044</v>
      </c>
      <c r="AKE9" s="16">
        <f t="shared" si="141"/>
        <v>208.82600000000093</v>
      </c>
      <c r="AKF9" s="16">
        <f t="shared" si="141"/>
        <v>313.85300000000279</v>
      </c>
      <c r="AKG9" s="16">
        <f t="shared" si="141"/>
        <v>308.10699999995995</v>
      </c>
      <c r="AKH9" s="16">
        <f t="shared" si="141"/>
        <v>115.7850000000326</v>
      </c>
      <c r="AKI9" s="16">
        <f t="shared" si="141"/>
        <v>237.7510000000475</v>
      </c>
      <c r="AKJ9" s="16">
        <f t="shared" si="141"/>
        <v>304.11599999992177</v>
      </c>
      <c r="AKK9" s="16">
        <f t="shared" si="141"/>
        <v>272.67500000004657</v>
      </c>
      <c r="AKL9" s="16">
        <f t="shared" si="141"/>
        <v>227.33900000003632</v>
      </c>
      <c r="AKM9" s="16">
        <f t="shared" si="141"/>
        <v>304.52099999994971</v>
      </c>
      <c r="AKN9" s="16">
        <f t="shared" si="141"/>
        <v>175.22499999997672</v>
      </c>
      <c r="AKO9" s="127">
        <f>SUM(AJM9:AKN9)</f>
        <v>7509.1570000000065</v>
      </c>
      <c r="AKP9" s="16">
        <f t="shared" ref="AKP9:ALT9" si="142">AKP8-AKP7</f>
        <v>222.14699999999721</v>
      </c>
      <c r="AKQ9" s="16">
        <f t="shared" si="142"/>
        <v>292.64500000001863</v>
      </c>
      <c r="AKR9" s="16">
        <f t="shared" si="142"/>
        <v>270.38500000000931</v>
      </c>
      <c r="AKS9" s="16">
        <f t="shared" si="142"/>
        <v>202.02199999999721</v>
      </c>
      <c r="AKT9" s="16">
        <f t="shared" si="142"/>
        <v>252.39199999999255</v>
      </c>
      <c r="AKU9" s="16">
        <f t="shared" si="142"/>
        <v>227.54000000003725</v>
      </c>
      <c r="AKV9" s="16">
        <f t="shared" si="142"/>
        <v>222.21399999991991</v>
      </c>
      <c r="AKW9" s="16">
        <f t="shared" si="142"/>
        <v>171.83200000005309</v>
      </c>
      <c r="AKX9" s="16">
        <f t="shared" si="142"/>
        <v>342.14000000001397</v>
      </c>
      <c r="AKY9" s="16">
        <f t="shared" si="142"/>
        <v>150.30200000002515</v>
      </c>
      <c r="AKZ9" s="16">
        <f t="shared" si="142"/>
        <v>148.89799999992829</v>
      </c>
      <c r="ALA9" s="16">
        <f t="shared" si="142"/>
        <v>272.28700000001118</v>
      </c>
      <c r="ALB9" s="16">
        <f t="shared" si="142"/>
        <v>229.98699999996461</v>
      </c>
      <c r="ALC9" s="16">
        <f t="shared" si="142"/>
        <v>303.43600000010338</v>
      </c>
      <c r="ALD9" s="16">
        <f t="shared" si="142"/>
        <v>256.07999999995809</v>
      </c>
      <c r="ALE9" s="16">
        <f t="shared" si="142"/>
        <v>448.36300000001211</v>
      </c>
      <c r="ALF9" s="16">
        <f t="shared" si="142"/>
        <v>394.8059999999823</v>
      </c>
      <c r="ALG9" s="16">
        <f t="shared" si="142"/>
        <v>227.58900000003632</v>
      </c>
      <c r="ALH9" s="16">
        <f t="shared" si="142"/>
        <v>438.41299999994226</v>
      </c>
      <c r="ALI9" s="16">
        <f t="shared" si="142"/>
        <v>348.09299999999348</v>
      </c>
      <c r="ALJ9" s="16">
        <f t="shared" si="142"/>
        <v>257.86600000003818</v>
      </c>
      <c r="ALK9" s="16">
        <f t="shared" si="142"/>
        <v>206.90599999995902</v>
      </c>
      <c r="ALL9" s="16">
        <f t="shared" si="142"/>
        <v>289.73499999998603</v>
      </c>
      <c r="ALM9" s="16">
        <f t="shared" si="142"/>
        <v>322.00600000005215</v>
      </c>
      <c r="ALN9" s="16">
        <f t="shared" si="142"/>
        <v>336.38399999996182</v>
      </c>
      <c r="ALO9" s="16">
        <f t="shared" si="142"/>
        <v>291.2170000000624</v>
      </c>
      <c r="ALP9" s="16">
        <f t="shared" si="142"/>
        <v>298.15200000000186</v>
      </c>
      <c r="ALQ9" s="16">
        <f t="shared" si="142"/>
        <v>428.63899999996647</v>
      </c>
      <c r="ALR9" s="16">
        <f t="shared" si="142"/>
        <v>405.85699999995995</v>
      </c>
      <c r="ALS9" s="16">
        <f t="shared" si="142"/>
        <v>449.74499999999534</v>
      </c>
      <c r="ALT9" s="16">
        <f t="shared" si="142"/>
        <v>238.06400000001304</v>
      </c>
      <c r="ALU9" s="127">
        <f>SUM(AKP9:ALT9)</f>
        <v>8946.1419999999925</v>
      </c>
      <c r="ALV9" s="16">
        <f t="shared" ref="ALV9:AMY9" si="143">ALV8-ALV7</f>
        <v>488.48999999999069</v>
      </c>
      <c r="ALW9" s="16">
        <f t="shared" si="143"/>
        <v>346.18000000005122</v>
      </c>
      <c r="ALX9" s="16">
        <f t="shared" si="143"/>
        <v>314.38500000000931</v>
      </c>
      <c r="ALY9" s="16">
        <f t="shared" si="143"/>
        <v>365.16700000001583</v>
      </c>
      <c r="ALZ9" s="16">
        <f t="shared" si="143"/>
        <v>248.87099999992643</v>
      </c>
      <c r="AMA9" s="16">
        <f t="shared" si="143"/>
        <v>182.96000000007916</v>
      </c>
      <c r="AMB9" s="16">
        <f t="shared" si="143"/>
        <v>429.53099999995902</v>
      </c>
      <c r="AMC9" s="16">
        <f t="shared" si="143"/>
        <v>312.68799999996554</v>
      </c>
      <c r="AMD9" s="16">
        <f t="shared" si="143"/>
        <v>364.87199999997392</v>
      </c>
      <c r="AME9" s="16">
        <f t="shared" si="143"/>
        <v>498.2390000000596</v>
      </c>
      <c r="AMF9" s="16">
        <f t="shared" si="143"/>
        <v>607.74100000003818</v>
      </c>
      <c r="AMG9" s="16">
        <f t="shared" si="143"/>
        <v>353.86199999996461</v>
      </c>
      <c r="AMH9" s="16">
        <f t="shared" si="143"/>
        <v>360.74399999994785</v>
      </c>
      <c r="AMI9" s="16">
        <f t="shared" si="143"/>
        <v>250.0240000000922</v>
      </c>
      <c r="AMJ9" s="16">
        <f t="shared" si="143"/>
        <v>298.32099999999627</v>
      </c>
      <c r="AMK9" s="16">
        <f t="shared" si="143"/>
        <v>291.23099999991246</v>
      </c>
      <c r="AML9" s="16">
        <f t="shared" si="143"/>
        <v>282.21799999999348</v>
      </c>
      <c r="AMM9" s="16">
        <f t="shared" si="143"/>
        <v>388.73300000000745</v>
      </c>
      <c r="AMN9" s="16">
        <f t="shared" si="143"/>
        <v>395.1940000000177</v>
      </c>
      <c r="AMO9" s="16">
        <f t="shared" si="143"/>
        <v>642.60499999998137</v>
      </c>
      <c r="AMP9" s="16">
        <f t="shared" si="143"/>
        <v>603.90800000005402</v>
      </c>
      <c r="AMQ9" s="16">
        <f t="shared" si="143"/>
        <v>555.53899999998976</v>
      </c>
      <c r="AMR9" s="16">
        <f t="shared" si="143"/>
        <v>922.09999999997672</v>
      </c>
      <c r="AMS9" s="16">
        <f t="shared" si="143"/>
        <v>1073.1879999999655</v>
      </c>
      <c r="AMT9" s="16">
        <f t="shared" si="143"/>
        <v>1120.3850000000093</v>
      </c>
      <c r="AMU9" s="16">
        <f t="shared" si="143"/>
        <v>1485.0120000001043</v>
      </c>
      <c r="AMV9" s="16">
        <f t="shared" si="143"/>
        <v>257.83399999991525</v>
      </c>
      <c r="AMW9" s="16">
        <f t="shared" si="143"/>
        <v>388.94900000002235</v>
      </c>
      <c r="AMX9" s="16">
        <f t="shared" si="143"/>
        <v>1339.9400000000605</v>
      </c>
      <c r="AMY9" s="16">
        <f t="shared" si="143"/>
        <v>478.65099999995437</v>
      </c>
      <c r="AMZ9" s="127">
        <f>SUM(ALV9:AMY9)</f>
        <v>15647.562000000034</v>
      </c>
      <c r="ANA9" s="16">
        <f t="shared" ref="ANA9:AOF9" si="144">ANA8-ANA7</f>
        <v>332.58199999993667</v>
      </c>
      <c r="ANB9" s="16">
        <f t="shared" si="144"/>
        <v>323.34799999999814</v>
      </c>
      <c r="ANC9" s="16">
        <f t="shared" si="144"/>
        <v>293.86800000001676</v>
      </c>
      <c r="AND9" s="16">
        <f t="shared" si="144"/>
        <v>470.28200000000652</v>
      </c>
      <c r="ANE9" s="16">
        <f t="shared" si="144"/>
        <v>373.14199999999255</v>
      </c>
      <c r="ANF9" s="16">
        <f t="shared" si="144"/>
        <v>367.19300000008661</v>
      </c>
      <c r="ANG9" s="16">
        <f t="shared" si="144"/>
        <v>275.72999999998137</v>
      </c>
      <c r="ANH9" s="16">
        <f t="shared" si="144"/>
        <v>388.61499999999069</v>
      </c>
      <c r="ANI9" s="16">
        <f t="shared" si="144"/>
        <v>364.39799999992829</v>
      </c>
      <c r="ANJ9" s="16">
        <f t="shared" si="144"/>
        <v>296.58100000000559</v>
      </c>
      <c r="ANK9" s="16">
        <f t="shared" si="144"/>
        <v>262.44599999999627</v>
      </c>
      <c r="ANL9" s="16">
        <f t="shared" si="144"/>
        <v>383.01700000010896</v>
      </c>
      <c r="ANM9" s="16">
        <f t="shared" si="144"/>
        <v>329.49399999994785</v>
      </c>
      <c r="ANN9" s="16">
        <f t="shared" si="144"/>
        <v>469.4100000000326</v>
      </c>
      <c r="ANO9" s="16">
        <f t="shared" si="144"/>
        <v>402.02099999994971</v>
      </c>
      <c r="ANP9" s="16">
        <f t="shared" si="144"/>
        <v>234.7730000000447</v>
      </c>
      <c r="ANQ9" s="16">
        <f t="shared" si="144"/>
        <v>213.81199999991804</v>
      </c>
      <c r="ANR9" s="16">
        <f t="shared" si="144"/>
        <v>291.84000000008382</v>
      </c>
      <c r="ANS9" s="16">
        <f t="shared" si="144"/>
        <v>268.4440000000177</v>
      </c>
      <c r="ANT9" s="16">
        <f t="shared" si="144"/>
        <v>219.11199999996461</v>
      </c>
      <c r="ANU9" s="16">
        <f t="shared" si="144"/>
        <v>169.04000000003725</v>
      </c>
      <c r="ANV9" s="16">
        <f t="shared" si="144"/>
        <v>293.23899999994319</v>
      </c>
      <c r="ANW9" s="16">
        <f t="shared" si="144"/>
        <v>253.70200000004843</v>
      </c>
      <c r="ANX9" s="16">
        <f t="shared" si="144"/>
        <v>260.23999999999069</v>
      </c>
      <c r="ANY9" s="16">
        <f t="shared" si="144"/>
        <v>263.12699999997858</v>
      </c>
      <c r="ANZ9" s="16">
        <f t="shared" si="144"/>
        <v>304.76699999999255</v>
      </c>
      <c r="AOA9" s="16">
        <f t="shared" si="144"/>
        <v>170.35999999998603</v>
      </c>
      <c r="AOB9" s="16">
        <f t="shared" si="144"/>
        <v>220.43599999998696</v>
      </c>
      <c r="AOC9" s="16">
        <f t="shared" si="144"/>
        <v>269.95500000007451</v>
      </c>
      <c r="AOD9" s="16">
        <f t="shared" si="144"/>
        <v>341.29099999996834</v>
      </c>
      <c r="AOE9">
        <f t="shared" si="144"/>
        <v>341.29099999996834</v>
      </c>
      <c r="AOF9">
        <f t="shared" si="144"/>
        <v>-1040551.679</v>
      </c>
    </row>
    <row r="10" spans="1:1072" x14ac:dyDescent="0.2">
      <c r="A10" s="157"/>
      <c r="B10" s="159" t="s">
        <v>761</v>
      </c>
      <c r="C10" s="47" t="s">
        <v>756</v>
      </c>
      <c r="D10" s="48">
        <v>720692.60199999996</v>
      </c>
      <c r="E10" s="48">
        <f t="shared" ref="E10:AH10" si="145">D11</f>
        <v>721632.85499999998</v>
      </c>
      <c r="F10" s="48">
        <f t="shared" si="145"/>
        <v>722631.04399999999</v>
      </c>
      <c r="G10" s="48">
        <f t="shared" si="145"/>
        <v>723512.50899999996</v>
      </c>
      <c r="H10" s="48">
        <f t="shared" si="145"/>
        <v>724331.603</v>
      </c>
      <c r="I10" s="48">
        <f t="shared" si="145"/>
        <v>725262.723</v>
      </c>
      <c r="J10" s="48">
        <f t="shared" si="145"/>
        <v>726266.69</v>
      </c>
      <c r="K10" s="48">
        <f t="shared" si="145"/>
        <v>727090.78099999996</v>
      </c>
      <c r="L10" s="48">
        <f t="shared" si="145"/>
        <v>727841.58900000004</v>
      </c>
      <c r="M10" s="48">
        <f t="shared" si="145"/>
        <v>728611.74199999997</v>
      </c>
      <c r="N10" s="48">
        <f t="shared" si="145"/>
        <v>729415.20799999998</v>
      </c>
      <c r="O10" s="48">
        <f t="shared" si="145"/>
        <v>730143.2</v>
      </c>
      <c r="P10" s="48">
        <f t="shared" si="145"/>
        <v>730953.48100000003</v>
      </c>
      <c r="Q10" s="48">
        <f t="shared" si="145"/>
        <v>731790.04500000004</v>
      </c>
      <c r="R10" s="48">
        <f t="shared" si="145"/>
        <v>732883.94299999997</v>
      </c>
      <c r="S10" s="48">
        <f t="shared" si="145"/>
        <v>733620.03399999999</v>
      </c>
      <c r="T10" s="48">
        <f t="shared" si="145"/>
        <v>734498.21100000001</v>
      </c>
      <c r="U10" s="48">
        <f t="shared" si="145"/>
        <v>735360.83299999998</v>
      </c>
      <c r="V10" s="48">
        <f t="shared" si="145"/>
        <v>736305.73899999994</v>
      </c>
      <c r="W10" s="48">
        <f t="shared" si="145"/>
        <v>737065.17299999995</v>
      </c>
      <c r="X10" s="48">
        <f t="shared" si="145"/>
        <v>737804.64899999998</v>
      </c>
      <c r="Y10" s="48">
        <f t="shared" si="145"/>
        <v>738522.79500000004</v>
      </c>
      <c r="Z10" s="48">
        <f t="shared" si="145"/>
        <v>739245.06499999994</v>
      </c>
      <c r="AA10" s="48">
        <f t="shared" si="145"/>
        <v>740098.59100000001</v>
      </c>
      <c r="AB10" s="48">
        <f t="shared" si="145"/>
        <v>740957.42500000005</v>
      </c>
      <c r="AC10" s="48">
        <f t="shared" si="145"/>
        <v>741922.42200000002</v>
      </c>
      <c r="AD10" s="48">
        <f t="shared" si="145"/>
        <v>742893.23</v>
      </c>
      <c r="AE10" s="48">
        <f t="shared" si="145"/>
        <v>743716.47900000005</v>
      </c>
      <c r="AF10" s="48">
        <f t="shared" si="145"/>
        <v>744522.88199999998</v>
      </c>
      <c r="AG10" s="48">
        <f t="shared" si="145"/>
        <v>745322.01599999995</v>
      </c>
      <c r="AH10" s="48">
        <f t="shared" si="145"/>
        <v>745955.3</v>
      </c>
      <c r="AI10" s="49"/>
      <c r="AJ10" s="89">
        <f>AH11</f>
        <v>746939.84600000002</v>
      </c>
      <c r="AK10" s="89">
        <f t="shared" ref="AK10:BM10" si="146">AJ11</f>
        <v>748038.40800000005</v>
      </c>
      <c r="AL10" s="89">
        <f t="shared" si="146"/>
        <v>748930.48300000001</v>
      </c>
      <c r="AM10" s="89">
        <f t="shared" si="146"/>
        <v>749899.86800000002</v>
      </c>
      <c r="AN10" s="89">
        <f t="shared" si="146"/>
        <v>750847.90500000003</v>
      </c>
      <c r="AO10" s="89">
        <f t="shared" si="146"/>
        <v>751652.26699999999</v>
      </c>
      <c r="AP10" s="89">
        <f t="shared" si="146"/>
        <v>752285.022</v>
      </c>
      <c r="AQ10" s="89">
        <f t="shared" si="146"/>
        <v>757998.75399999996</v>
      </c>
      <c r="AR10" s="89">
        <f t="shared" si="146"/>
        <v>759068.23199999996</v>
      </c>
      <c r="AS10" s="89">
        <f t="shared" si="146"/>
        <v>759883.55599999998</v>
      </c>
      <c r="AT10" s="89">
        <f t="shared" si="146"/>
        <v>760736.31</v>
      </c>
      <c r="AU10" s="89">
        <f t="shared" si="146"/>
        <v>761480.68599999999</v>
      </c>
      <c r="AV10" s="89">
        <f t="shared" si="146"/>
        <v>762041.36600000004</v>
      </c>
      <c r="AW10" s="89">
        <f t="shared" si="146"/>
        <v>767543.74300000002</v>
      </c>
      <c r="AX10" s="89">
        <f t="shared" si="146"/>
        <v>768264.53599999996</v>
      </c>
      <c r="AY10" s="89">
        <f t="shared" si="146"/>
        <v>769003.71400000004</v>
      </c>
      <c r="AZ10" s="89">
        <f t="shared" si="146"/>
        <v>769810.28500000003</v>
      </c>
      <c r="BA10" s="89">
        <f t="shared" si="146"/>
        <v>770628.66399999999</v>
      </c>
      <c r="BB10" s="89">
        <f t="shared" si="146"/>
        <v>771182.06900000002</v>
      </c>
      <c r="BC10" s="89">
        <f t="shared" si="146"/>
        <v>771695.07</v>
      </c>
      <c r="BD10" s="89">
        <f t="shared" si="146"/>
        <v>772289.15700000001</v>
      </c>
      <c r="BE10" s="89">
        <f t="shared" si="146"/>
        <v>772919.13100000005</v>
      </c>
      <c r="BF10" s="89">
        <f t="shared" si="146"/>
        <v>773643.37100000004</v>
      </c>
      <c r="BG10" s="89">
        <f t="shared" si="146"/>
        <v>774360.31200000003</v>
      </c>
      <c r="BH10" s="89">
        <f t="shared" si="146"/>
        <v>774974.00800000003</v>
      </c>
      <c r="BI10" s="89">
        <f t="shared" si="146"/>
        <v>775636.42799999996</v>
      </c>
      <c r="BJ10" s="89">
        <f t="shared" si="146"/>
        <v>776283.70499999996</v>
      </c>
      <c r="BK10" s="89">
        <f t="shared" si="146"/>
        <v>776946.777</v>
      </c>
      <c r="BL10" s="89">
        <f t="shared" si="146"/>
        <v>777500.09600000002</v>
      </c>
      <c r="BM10" s="89">
        <f t="shared" si="146"/>
        <v>778183.73600000003</v>
      </c>
      <c r="BO10" s="89">
        <f>BM11</f>
        <v>778985.03</v>
      </c>
      <c r="BP10" s="89">
        <f t="shared" ref="BP10:CS10" si="147">BO11</f>
        <v>779650.37600000005</v>
      </c>
      <c r="BQ10" s="89">
        <f t="shared" si="147"/>
        <v>780319.50600000005</v>
      </c>
      <c r="BR10" s="89">
        <f t="shared" si="147"/>
        <v>780974.59100000001</v>
      </c>
      <c r="BS10" s="89">
        <f t="shared" si="147"/>
        <v>781640.63399999996</v>
      </c>
      <c r="BT10" s="89">
        <f t="shared" si="147"/>
        <v>782158.68700000003</v>
      </c>
      <c r="BU10" s="89">
        <f t="shared" si="147"/>
        <v>782884.68799999997</v>
      </c>
      <c r="BV10" s="89">
        <f t="shared" si="147"/>
        <v>783477.50399999996</v>
      </c>
      <c r="BW10" s="89">
        <f t="shared" si="147"/>
        <v>784220.14099999995</v>
      </c>
      <c r="BX10" s="89">
        <f t="shared" si="147"/>
        <v>784834.20600000001</v>
      </c>
      <c r="BY10" s="89">
        <f t="shared" si="147"/>
        <v>785453.37699999998</v>
      </c>
      <c r="BZ10" s="89">
        <f t="shared" si="147"/>
        <v>786051.09600000002</v>
      </c>
      <c r="CA10" s="89">
        <f t="shared" si="147"/>
        <v>786614.78599999996</v>
      </c>
      <c r="CB10" s="89">
        <f t="shared" si="147"/>
        <v>787234.61600000004</v>
      </c>
      <c r="CC10" s="89">
        <f t="shared" si="147"/>
        <v>787894.48499999999</v>
      </c>
      <c r="CD10" s="89">
        <f t="shared" si="147"/>
        <v>788564.79500000004</v>
      </c>
      <c r="CE10" s="89">
        <f t="shared" si="147"/>
        <v>789177.22600000002</v>
      </c>
      <c r="CF10" s="89">
        <f t="shared" si="147"/>
        <v>789782.20200000005</v>
      </c>
      <c r="CG10" s="89">
        <f t="shared" si="147"/>
        <v>790355.15300000005</v>
      </c>
      <c r="CH10" s="89">
        <f t="shared" si="147"/>
        <v>790944.19099999999</v>
      </c>
      <c r="CI10" s="89">
        <f t="shared" si="147"/>
        <v>791521.63</v>
      </c>
      <c r="CJ10" s="89">
        <f t="shared" si="147"/>
        <v>792358.09199999995</v>
      </c>
      <c r="CK10" s="89">
        <f t="shared" si="147"/>
        <v>793112.99300000002</v>
      </c>
      <c r="CL10" s="89">
        <f t="shared" si="147"/>
        <v>793734.03200000001</v>
      </c>
      <c r="CM10" s="89">
        <f t="shared" si="147"/>
        <v>794403.625</v>
      </c>
      <c r="CN10" s="89">
        <f t="shared" si="147"/>
        <v>795026.89800000004</v>
      </c>
      <c r="CO10" s="89">
        <f t="shared" si="147"/>
        <v>795625.18</v>
      </c>
      <c r="CP10" s="89">
        <f t="shared" si="147"/>
        <v>796260.70900000003</v>
      </c>
      <c r="CQ10" s="89">
        <f t="shared" si="147"/>
        <v>797015.429</v>
      </c>
      <c r="CR10" s="89">
        <f t="shared" si="147"/>
        <v>797713.91700000002</v>
      </c>
      <c r="CS10" s="89">
        <f t="shared" si="147"/>
        <v>798365.98699999996</v>
      </c>
      <c r="CU10" s="89">
        <f>CS11</f>
        <v>799078.745</v>
      </c>
      <c r="CV10" s="89">
        <f t="shared" ref="CV10:DX10" si="148">CU11</f>
        <v>799813.21799999999</v>
      </c>
      <c r="CW10" s="89">
        <f t="shared" si="148"/>
        <v>800304.83100000001</v>
      </c>
      <c r="CX10" s="89">
        <f t="shared" si="148"/>
        <v>800951.04700000002</v>
      </c>
      <c r="CY10" s="89">
        <f t="shared" si="148"/>
        <v>801865.53399999999</v>
      </c>
      <c r="CZ10" s="89">
        <f t="shared" si="148"/>
        <v>802478.96</v>
      </c>
      <c r="DA10" s="89">
        <f t="shared" si="148"/>
        <v>803158.27300000004</v>
      </c>
      <c r="DB10" s="89">
        <f t="shared" si="148"/>
        <v>803749.09400000004</v>
      </c>
      <c r="DC10" s="89">
        <f t="shared" si="148"/>
        <v>804533.179</v>
      </c>
      <c r="DD10" s="89">
        <f t="shared" si="148"/>
        <v>805283.45600000001</v>
      </c>
      <c r="DE10" s="89">
        <f t="shared" si="148"/>
        <v>806061.78</v>
      </c>
      <c r="DF10" s="89">
        <f t="shared" si="148"/>
        <v>806848.25399999996</v>
      </c>
      <c r="DG10" s="89">
        <f t="shared" si="148"/>
        <v>807525.56799999997</v>
      </c>
      <c r="DH10" s="89">
        <f t="shared" si="148"/>
        <v>808193.34499999997</v>
      </c>
      <c r="DI10" s="89">
        <f t="shared" si="148"/>
        <v>808820.35600000003</v>
      </c>
      <c r="DJ10" s="89">
        <f t="shared" si="148"/>
        <v>809468.79099999997</v>
      </c>
      <c r="DK10" s="89">
        <f t="shared" si="148"/>
        <v>809886.85900000005</v>
      </c>
      <c r="DL10" s="89">
        <f t="shared" si="148"/>
        <v>810275.71600000001</v>
      </c>
      <c r="DM10" s="89">
        <f t="shared" si="148"/>
        <v>810872.55299999996</v>
      </c>
      <c r="DN10" s="89">
        <f t="shared" si="148"/>
        <v>811393.01899999997</v>
      </c>
      <c r="DO10" s="89">
        <f t="shared" si="148"/>
        <v>811882.14199999999</v>
      </c>
      <c r="DP10" s="89">
        <f t="shared" si="148"/>
        <v>812314.10800000001</v>
      </c>
      <c r="DQ10" s="89">
        <f t="shared" si="148"/>
        <v>813003.44400000002</v>
      </c>
      <c r="DR10" s="89">
        <f t="shared" si="148"/>
        <v>813558.09900000005</v>
      </c>
      <c r="DS10" s="89">
        <f t="shared" si="148"/>
        <v>814164.87</v>
      </c>
      <c r="DT10" s="89">
        <f t="shared" si="148"/>
        <v>814923.17200000002</v>
      </c>
      <c r="DU10" s="89">
        <f t="shared" si="148"/>
        <v>815361.39300000004</v>
      </c>
      <c r="DV10" s="89">
        <f t="shared" si="148"/>
        <v>815936.924</v>
      </c>
      <c r="DW10" s="89">
        <f t="shared" si="148"/>
        <v>816445.78500000003</v>
      </c>
      <c r="DX10" s="89">
        <f t="shared" si="148"/>
        <v>816914.76300000004</v>
      </c>
      <c r="DY10" s="117"/>
      <c r="DZ10" s="89">
        <f>DX11</f>
        <v>817492.89399999997</v>
      </c>
      <c r="EA10" s="89">
        <f t="shared" ref="EA10:FD10" si="149">DZ11</f>
        <v>818088.54599999997</v>
      </c>
      <c r="EB10" s="89">
        <f t="shared" si="149"/>
        <v>818722.30799999996</v>
      </c>
      <c r="EC10" s="89">
        <f t="shared" si="149"/>
        <v>819205.24100000004</v>
      </c>
      <c r="ED10" s="89">
        <f t="shared" si="149"/>
        <v>819708.27800000005</v>
      </c>
      <c r="EE10" s="89">
        <f t="shared" si="149"/>
        <v>820196.321</v>
      </c>
      <c r="EF10" s="89">
        <f t="shared" si="149"/>
        <v>820789.61899999995</v>
      </c>
      <c r="EG10" s="89">
        <f t="shared" si="149"/>
        <v>821332.32299999997</v>
      </c>
      <c r="EH10" s="89">
        <f t="shared" si="149"/>
        <v>821943.43200000003</v>
      </c>
      <c r="EI10" s="89">
        <f t="shared" si="149"/>
        <v>822571.76899999997</v>
      </c>
      <c r="EJ10" s="89">
        <f t="shared" si="149"/>
        <v>823278.52399999998</v>
      </c>
      <c r="EK10" s="89">
        <f t="shared" si="149"/>
        <v>823809.40399999998</v>
      </c>
      <c r="EL10" s="89">
        <f t="shared" si="149"/>
        <v>824416.85400000005</v>
      </c>
      <c r="EM10" s="89">
        <f t="shared" si="149"/>
        <v>825094.55500000005</v>
      </c>
      <c r="EN10" s="89">
        <f t="shared" si="149"/>
        <v>825638.64800000004</v>
      </c>
      <c r="EO10" s="89">
        <f t="shared" si="149"/>
        <v>826468.73300000001</v>
      </c>
      <c r="EP10" s="89">
        <f t="shared" si="149"/>
        <v>827240.11399999994</v>
      </c>
      <c r="EQ10" s="89">
        <f t="shared" si="149"/>
        <v>827997.23600000003</v>
      </c>
      <c r="ER10" s="89">
        <f t="shared" si="149"/>
        <v>828905.598</v>
      </c>
      <c r="ES10" s="89">
        <f t="shared" si="149"/>
        <v>829481.81299999997</v>
      </c>
      <c r="ET10" s="89">
        <f t="shared" si="149"/>
        <v>830224.38500000001</v>
      </c>
      <c r="EU10" s="89">
        <f t="shared" si="149"/>
        <v>830982.22199999995</v>
      </c>
      <c r="EV10" s="89">
        <f t="shared" si="149"/>
        <v>832042.69200000004</v>
      </c>
      <c r="EW10" s="89">
        <f t="shared" si="149"/>
        <v>832959.755</v>
      </c>
      <c r="EX10" s="89">
        <f t="shared" si="149"/>
        <v>833869.255</v>
      </c>
      <c r="EY10" s="89">
        <f t="shared" si="149"/>
        <v>834369.31200000003</v>
      </c>
      <c r="EZ10" s="89">
        <f t="shared" si="149"/>
        <v>834857.46299999999</v>
      </c>
      <c r="FA10" s="89">
        <f t="shared" si="149"/>
        <v>835536.51699999999</v>
      </c>
      <c r="FB10" s="89">
        <f t="shared" si="149"/>
        <v>836151.04799999995</v>
      </c>
      <c r="FC10" s="89">
        <f t="shared" si="149"/>
        <v>836758.34299999999</v>
      </c>
      <c r="FD10" s="89">
        <f t="shared" si="149"/>
        <v>837447.90300000005</v>
      </c>
      <c r="FE10" s="126"/>
      <c r="FF10" s="89">
        <f>FD11</f>
        <v>838167.83</v>
      </c>
      <c r="FG10" s="89">
        <f t="shared" ref="FG10:GJ10" si="150">FF11</f>
        <v>838719.11899999995</v>
      </c>
      <c r="FH10" s="89">
        <f t="shared" si="150"/>
        <v>839439.60600000003</v>
      </c>
      <c r="FI10" s="89">
        <f t="shared" si="150"/>
        <v>839904.87800000003</v>
      </c>
      <c r="FJ10" s="89">
        <f t="shared" si="150"/>
        <v>840603.05099999998</v>
      </c>
      <c r="FK10" s="89">
        <f t="shared" si="150"/>
        <v>841268.75600000005</v>
      </c>
      <c r="FL10" s="89">
        <f t="shared" si="150"/>
        <v>841966.78700000001</v>
      </c>
      <c r="FM10" s="89">
        <f t="shared" si="150"/>
        <v>842681.91700000002</v>
      </c>
      <c r="FN10" s="89">
        <f t="shared" si="150"/>
        <v>843425.23499999999</v>
      </c>
      <c r="FO10" s="89">
        <f t="shared" si="150"/>
        <v>844064.51699999999</v>
      </c>
      <c r="FP10" s="89">
        <f t="shared" si="150"/>
        <v>844668.55500000005</v>
      </c>
      <c r="FQ10" s="89">
        <f t="shared" si="150"/>
        <v>845194.99600000004</v>
      </c>
      <c r="FR10" s="89">
        <f t="shared" si="150"/>
        <v>845782.15800000005</v>
      </c>
      <c r="FS10" s="89">
        <f t="shared" si="150"/>
        <v>846410.64199999999</v>
      </c>
      <c r="FT10" s="89">
        <f t="shared" si="150"/>
        <v>847078.01300000004</v>
      </c>
      <c r="FU10" s="89">
        <f t="shared" si="150"/>
        <v>847532.11199999996</v>
      </c>
      <c r="FV10" s="89">
        <f t="shared" si="150"/>
        <v>848129.16599999997</v>
      </c>
      <c r="FW10" s="89">
        <f t="shared" si="150"/>
        <v>848682.74399999995</v>
      </c>
      <c r="FX10" s="89">
        <f t="shared" si="150"/>
        <v>849294.70900000003</v>
      </c>
      <c r="FY10" s="89">
        <f t="shared" si="150"/>
        <v>850097.41399999999</v>
      </c>
      <c r="FZ10" s="89">
        <f t="shared" si="150"/>
        <v>850844.92599999998</v>
      </c>
      <c r="GA10" s="89">
        <f t="shared" si="150"/>
        <v>851468.74699999997</v>
      </c>
      <c r="GB10" s="89">
        <f t="shared" si="150"/>
        <v>852031.32700000005</v>
      </c>
      <c r="GC10" s="89">
        <f t="shared" si="150"/>
        <v>852628.20499999996</v>
      </c>
      <c r="GD10" s="89">
        <f t="shared" si="150"/>
        <v>853229.03700000001</v>
      </c>
      <c r="GE10" s="89">
        <f t="shared" si="150"/>
        <v>854100.94099999999</v>
      </c>
      <c r="GF10" s="89">
        <f t="shared" si="150"/>
        <v>854766.29799999995</v>
      </c>
      <c r="GG10" s="89">
        <f t="shared" si="150"/>
        <v>855430.31</v>
      </c>
      <c r="GH10" s="89">
        <f t="shared" si="150"/>
        <v>856122.57200000004</v>
      </c>
      <c r="GI10" s="89">
        <f t="shared" si="150"/>
        <v>856794.50100000005</v>
      </c>
      <c r="GJ10" s="89">
        <f t="shared" si="150"/>
        <v>857471.96900000004</v>
      </c>
      <c r="GK10" s="127">
        <f>SUM(FF10:GJ10)</f>
        <v>26278001.037999999</v>
      </c>
      <c r="GL10" s="89">
        <f>GJ11</f>
        <v>858067.70400000003</v>
      </c>
      <c r="GM10">
        <f t="shared" ref="GM10:HN10" si="151">GL11</f>
        <v>858583.924</v>
      </c>
      <c r="GN10">
        <f t="shared" si="151"/>
        <v>859234.10400000005</v>
      </c>
      <c r="GO10">
        <f t="shared" si="151"/>
        <v>860101.08700000006</v>
      </c>
      <c r="GP10">
        <f t="shared" si="151"/>
        <v>860924.81799999997</v>
      </c>
      <c r="GQ10">
        <f t="shared" si="151"/>
        <v>861667.28599999996</v>
      </c>
      <c r="GR10">
        <f t="shared" si="151"/>
        <v>862185.91099999996</v>
      </c>
      <c r="GS10">
        <f t="shared" si="151"/>
        <v>863061.80200000003</v>
      </c>
      <c r="GT10">
        <f t="shared" si="151"/>
        <v>863821.022</v>
      </c>
      <c r="GU10">
        <f t="shared" si="151"/>
        <v>864452.61699999997</v>
      </c>
      <c r="GV10" s="89">
        <f t="shared" si="151"/>
        <v>865061.5</v>
      </c>
      <c r="GW10">
        <f t="shared" si="151"/>
        <v>865713.78599999996</v>
      </c>
      <c r="GX10">
        <f t="shared" si="151"/>
        <v>866290.29</v>
      </c>
      <c r="GY10">
        <f t="shared" si="151"/>
        <v>867095.38399999996</v>
      </c>
      <c r="GZ10">
        <f t="shared" si="151"/>
        <v>867823.43599999999</v>
      </c>
      <c r="HA10">
        <f t="shared" si="151"/>
        <v>868367.63199999998</v>
      </c>
      <c r="HB10">
        <f t="shared" si="151"/>
        <v>868983.91899999999</v>
      </c>
      <c r="HC10">
        <f t="shared" si="151"/>
        <v>869632</v>
      </c>
      <c r="HD10">
        <f t="shared" si="151"/>
        <v>870241.13100000005</v>
      </c>
      <c r="HE10">
        <f t="shared" si="151"/>
        <v>870737.21799999999</v>
      </c>
      <c r="HF10">
        <f t="shared" si="151"/>
        <v>871565.52399999998</v>
      </c>
      <c r="HG10">
        <f t="shared" si="151"/>
        <v>872132.36600000004</v>
      </c>
      <c r="HH10">
        <f t="shared" si="151"/>
        <v>872910.93200000003</v>
      </c>
      <c r="HI10">
        <f t="shared" si="151"/>
        <v>873670.56299999997</v>
      </c>
      <c r="HJ10">
        <f t="shared" si="151"/>
        <v>874335.42099999997</v>
      </c>
      <c r="HK10">
        <f t="shared" si="151"/>
        <v>874865.55799999996</v>
      </c>
      <c r="HL10">
        <f t="shared" si="151"/>
        <v>875419.62</v>
      </c>
      <c r="HM10">
        <f t="shared" si="151"/>
        <v>876181.19</v>
      </c>
      <c r="HN10">
        <f t="shared" si="151"/>
        <v>876743.67799999996</v>
      </c>
      <c r="HO10" s="127">
        <f>SUM(GL10:HN10)</f>
        <v>25159871.423</v>
      </c>
      <c r="HP10" s="89">
        <f>HN11</f>
        <v>877366.75</v>
      </c>
      <c r="HQ10" s="89">
        <f t="shared" ref="HQ10:IT10" si="152">HP11</f>
        <v>878092.64800000004</v>
      </c>
      <c r="HR10" s="89">
        <f t="shared" si="152"/>
        <v>878958.24100000004</v>
      </c>
      <c r="HS10" s="89">
        <f t="shared" si="152"/>
        <v>879639.82900000003</v>
      </c>
      <c r="HT10" s="89">
        <f t="shared" si="152"/>
        <v>880340.21499999997</v>
      </c>
      <c r="HU10" s="89">
        <f t="shared" si="152"/>
        <v>881035.75300000003</v>
      </c>
      <c r="HV10" s="89">
        <f t="shared" si="152"/>
        <v>881755.17200000002</v>
      </c>
      <c r="HW10" s="89">
        <f t="shared" si="152"/>
        <v>882594.72600000002</v>
      </c>
      <c r="HX10" s="89">
        <f t="shared" si="152"/>
        <v>883331.99100000004</v>
      </c>
      <c r="HY10" s="89">
        <f t="shared" si="152"/>
        <v>884190.65899999999</v>
      </c>
      <c r="HZ10" s="89">
        <f t="shared" si="152"/>
        <v>884823.57200000004</v>
      </c>
      <c r="IA10" s="89">
        <f t="shared" si="152"/>
        <v>885454.79</v>
      </c>
      <c r="IB10" s="89">
        <f t="shared" si="152"/>
        <v>886141.076</v>
      </c>
      <c r="IC10" s="89">
        <f t="shared" si="152"/>
        <v>886638.01</v>
      </c>
      <c r="ID10" s="89">
        <f t="shared" si="152"/>
        <v>887230.56900000002</v>
      </c>
      <c r="IE10" s="89">
        <f t="shared" si="152"/>
        <v>887994.07</v>
      </c>
      <c r="IF10" s="89">
        <f t="shared" si="152"/>
        <v>888607.56099999999</v>
      </c>
      <c r="IG10" s="89">
        <f t="shared" si="152"/>
        <v>889233.08799999999</v>
      </c>
      <c r="IH10" s="89">
        <f t="shared" si="152"/>
        <v>890097.19200000004</v>
      </c>
      <c r="II10" s="89">
        <f t="shared" si="152"/>
        <v>890710.88100000005</v>
      </c>
      <c r="IJ10" s="89">
        <f t="shared" si="152"/>
        <v>891267.65800000005</v>
      </c>
      <c r="IK10" s="89">
        <f t="shared" si="152"/>
        <v>891829.929</v>
      </c>
      <c r="IL10" s="89">
        <f t="shared" si="152"/>
        <v>892490.86199999996</v>
      </c>
      <c r="IM10" s="89">
        <f t="shared" si="152"/>
        <v>893277.44200000004</v>
      </c>
      <c r="IN10" s="89">
        <f t="shared" si="152"/>
        <v>893861.13699999999</v>
      </c>
      <c r="IO10" s="89">
        <f t="shared" si="152"/>
        <v>894439.495</v>
      </c>
      <c r="IP10" s="89">
        <f t="shared" si="152"/>
        <v>895017.33299999998</v>
      </c>
      <c r="IQ10" s="89">
        <f t="shared" si="152"/>
        <v>895666.34499999997</v>
      </c>
      <c r="IR10" s="89">
        <f t="shared" si="152"/>
        <v>896147.223</v>
      </c>
      <c r="IS10" s="89">
        <f t="shared" si="152"/>
        <v>896650.88899999997</v>
      </c>
      <c r="IT10" s="89">
        <f t="shared" si="152"/>
        <v>897258.299</v>
      </c>
      <c r="IU10" s="127">
        <f>SUM(HP10:IT10)</f>
        <v>27522143.405000001</v>
      </c>
      <c r="IV10" s="89">
        <f>IT11</f>
        <v>897615.71299999999</v>
      </c>
      <c r="IW10" s="89">
        <f t="shared" ref="IW10:JY10" si="153">IV11</f>
        <v>898110.56700000004</v>
      </c>
      <c r="IX10" s="89">
        <f t="shared" si="153"/>
        <v>898763.63</v>
      </c>
      <c r="IY10" s="89">
        <f t="shared" si="153"/>
        <v>899366.29399999999</v>
      </c>
      <c r="IZ10" s="89">
        <f t="shared" si="153"/>
        <v>899955.83900000004</v>
      </c>
      <c r="JA10" s="89">
        <f t="shared" si="153"/>
        <v>900619.66599999997</v>
      </c>
      <c r="JB10" s="89">
        <f t="shared" si="153"/>
        <v>901148.11899999995</v>
      </c>
      <c r="JC10" s="89">
        <f t="shared" si="153"/>
        <v>901604.005</v>
      </c>
      <c r="JD10" s="89">
        <f t="shared" si="153"/>
        <v>902177.24</v>
      </c>
      <c r="JE10" s="89">
        <f t="shared" si="153"/>
        <v>902723.326</v>
      </c>
      <c r="JF10" s="89">
        <f t="shared" si="153"/>
        <v>903443.05500000005</v>
      </c>
      <c r="JG10" s="89">
        <f t="shared" si="153"/>
        <v>904058.41899999999</v>
      </c>
      <c r="JH10" s="89">
        <f t="shared" si="153"/>
        <v>904632.353</v>
      </c>
      <c r="JI10" s="89">
        <f t="shared" si="153"/>
        <v>905196.55299999996</v>
      </c>
      <c r="JJ10" s="89">
        <f t="shared" si="153"/>
        <v>905542.45700000005</v>
      </c>
      <c r="JK10" s="89">
        <f t="shared" si="153"/>
        <v>906209.35600000003</v>
      </c>
      <c r="JL10" s="89">
        <f t="shared" si="153"/>
        <v>906788.56200000003</v>
      </c>
      <c r="JM10" s="89">
        <f t="shared" si="153"/>
        <v>907344.62399999995</v>
      </c>
      <c r="JN10" s="89">
        <f t="shared" si="153"/>
        <v>907982.01800000004</v>
      </c>
      <c r="JO10" s="89">
        <f t="shared" si="153"/>
        <v>908726.26500000001</v>
      </c>
      <c r="JP10" s="89">
        <f t="shared" si="153"/>
        <v>909289.66399999999</v>
      </c>
      <c r="JQ10" s="89">
        <f t="shared" si="153"/>
        <v>909692.19700000004</v>
      </c>
      <c r="JR10" s="89">
        <f t="shared" si="153"/>
        <v>910195.96799999999</v>
      </c>
      <c r="JS10" s="89">
        <f t="shared" si="153"/>
        <v>910673.10400000005</v>
      </c>
      <c r="JT10" s="89">
        <f t="shared" si="153"/>
        <v>911178.37100000004</v>
      </c>
      <c r="JU10" s="89">
        <f t="shared" si="153"/>
        <v>911750.68799999997</v>
      </c>
      <c r="JV10" s="89">
        <f t="shared" si="153"/>
        <v>912495.97499999998</v>
      </c>
      <c r="JW10" s="89">
        <f t="shared" si="153"/>
        <v>913371.61699999997</v>
      </c>
      <c r="JX10" s="89">
        <f t="shared" si="153"/>
        <v>913928.424</v>
      </c>
      <c r="JY10" s="89">
        <f t="shared" si="153"/>
        <v>914331.36899999995</v>
      </c>
      <c r="JZ10" s="127">
        <v>0</v>
      </c>
      <c r="KA10" s="89">
        <f>JY11</f>
        <v>914980.09600000002</v>
      </c>
      <c r="KB10" s="89">
        <f t="shared" ref="KB10:LE10" si="154">KA11</f>
        <v>915453.69400000002</v>
      </c>
      <c r="KC10" s="89">
        <f t="shared" si="154"/>
        <v>916032.15899999999</v>
      </c>
      <c r="KD10" s="89">
        <f t="shared" si="154"/>
        <v>916566.7</v>
      </c>
      <c r="KE10" s="89">
        <f t="shared" si="154"/>
        <v>917090.31099999999</v>
      </c>
      <c r="KF10" s="89">
        <f t="shared" si="154"/>
        <v>917723.973</v>
      </c>
      <c r="KG10" s="89">
        <f t="shared" si="154"/>
        <v>918294.87100000004</v>
      </c>
      <c r="KH10" s="89">
        <f t="shared" si="154"/>
        <v>918975.38300000003</v>
      </c>
      <c r="KI10" s="89">
        <f t="shared" si="154"/>
        <v>919524.35199999996</v>
      </c>
      <c r="KJ10" s="89">
        <f t="shared" si="154"/>
        <v>920242.17599999998</v>
      </c>
      <c r="KK10" s="89">
        <f t="shared" si="154"/>
        <v>920718.70299999998</v>
      </c>
      <c r="KL10" s="89">
        <f t="shared" si="154"/>
        <v>921458.20400000003</v>
      </c>
      <c r="KM10" s="89">
        <f t="shared" si="154"/>
        <v>922034.75300000003</v>
      </c>
      <c r="KN10" s="89">
        <f t="shared" si="154"/>
        <v>922710.43299999996</v>
      </c>
      <c r="KO10" s="89">
        <f t="shared" si="154"/>
        <v>923252.54700000002</v>
      </c>
      <c r="KP10" s="89">
        <f t="shared" si="154"/>
        <v>923891.75100000005</v>
      </c>
      <c r="KQ10" s="89">
        <f t="shared" si="154"/>
        <v>924360.85100000002</v>
      </c>
      <c r="KR10" s="89">
        <f t="shared" si="154"/>
        <v>925015.255</v>
      </c>
      <c r="KS10" s="89">
        <f t="shared" si="154"/>
        <v>925570.64599999995</v>
      </c>
      <c r="KT10" s="89">
        <f t="shared" si="154"/>
        <v>926117.66399999999</v>
      </c>
      <c r="KU10" s="89">
        <f t="shared" si="154"/>
        <v>926744.71400000004</v>
      </c>
      <c r="KV10" s="89">
        <f t="shared" si="154"/>
        <v>927210.62199999997</v>
      </c>
      <c r="KW10" s="89">
        <f t="shared" si="154"/>
        <v>927792.37199999997</v>
      </c>
      <c r="KX10" s="89">
        <f t="shared" si="154"/>
        <v>928423.25300000003</v>
      </c>
      <c r="KY10" s="89">
        <f t="shared" si="154"/>
        <v>929124.68599999999</v>
      </c>
      <c r="KZ10" s="89">
        <f t="shared" si="154"/>
        <v>929679.08900000004</v>
      </c>
      <c r="LA10" s="89">
        <f t="shared" si="154"/>
        <v>930425.59</v>
      </c>
      <c r="LB10" s="89">
        <f t="shared" si="154"/>
        <v>931078.33900000004</v>
      </c>
      <c r="LC10" s="89">
        <f t="shared" si="154"/>
        <v>931830.18</v>
      </c>
      <c r="LD10" s="89">
        <f t="shared" si="154"/>
        <v>932412.89500000002</v>
      </c>
      <c r="LE10" s="89">
        <f t="shared" si="154"/>
        <v>932961.42200000002</v>
      </c>
      <c r="LF10" s="127">
        <v>0</v>
      </c>
      <c r="LG10" s="89">
        <f>LE11</f>
        <v>933660.93200000003</v>
      </c>
      <c r="LH10" s="89">
        <f t="shared" ref="LH10:MJ10" si="155">LG11</f>
        <v>934533.51800000004</v>
      </c>
      <c r="LI10" s="89">
        <f t="shared" si="155"/>
        <v>935164.33499999996</v>
      </c>
      <c r="LJ10" s="89">
        <f t="shared" si="155"/>
        <v>935827.38</v>
      </c>
      <c r="LK10" s="89">
        <f t="shared" si="155"/>
        <v>936610.98</v>
      </c>
      <c r="LL10" s="89">
        <f t="shared" si="155"/>
        <v>937269.04599999997</v>
      </c>
      <c r="LM10" s="89">
        <f t="shared" si="155"/>
        <v>937815.73800000001</v>
      </c>
      <c r="LN10" s="89">
        <f t="shared" si="155"/>
        <v>938580.85</v>
      </c>
      <c r="LO10" s="89">
        <f t="shared" si="155"/>
        <v>939351.01800000004</v>
      </c>
      <c r="LP10" s="89">
        <f t="shared" si="155"/>
        <v>939913.16200000001</v>
      </c>
      <c r="LQ10" s="89">
        <f t="shared" si="155"/>
        <v>940561.375</v>
      </c>
      <c r="LR10" s="89">
        <f t="shared" si="155"/>
        <v>941158.59</v>
      </c>
      <c r="LS10" s="89">
        <f t="shared" si="155"/>
        <v>941745.147</v>
      </c>
      <c r="LT10" s="89">
        <f t="shared" si="155"/>
        <v>942262.92099999997</v>
      </c>
      <c r="LU10" s="89">
        <f t="shared" si="155"/>
        <v>942991.13300000003</v>
      </c>
      <c r="LV10" s="89">
        <f t="shared" si="155"/>
        <v>943940.098</v>
      </c>
      <c r="LW10" s="89">
        <f t="shared" si="155"/>
        <v>944558.9</v>
      </c>
      <c r="LX10" s="89">
        <f t="shared" si="155"/>
        <v>945137.16899999999</v>
      </c>
      <c r="LY10" s="89">
        <f t="shared" si="155"/>
        <v>945780.56099999999</v>
      </c>
      <c r="LZ10" s="89">
        <f t="shared" si="155"/>
        <v>946394.69200000004</v>
      </c>
      <c r="MA10" s="89">
        <f t="shared" si="155"/>
        <v>947063.57299999997</v>
      </c>
      <c r="MB10" s="89">
        <f t="shared" si="155"/>
        <v>947878.52599999995</v>
      </c>
      <c r="MC10" s="89">
        <f t="shared" si="155"/>
        <v>948561.66099999996</v>
      </c>
      <c r="MD10" s="89">
        <f t="shared" si="155"/>
        <v>949363.674</v>
      </c>
      <c r="ME10" s="89">
        <f t="shared" si="155"/>
        <v>949964.33900000004</v>
      </c>
      <c r="MF10" s="89">
        <f t="shared" si="155"/>
        <v>950622.51899999997</v>
      </c>
      <c r="MG10" s="89">
        <f t="shared" si="155"/>
        <v>951228.20600000001</v>
      </c>
      <c r="MH10" s="89">
        <f t="shared" si="155"/>
        <v>951784.41399999999</v>
      </c>
      <c r="MI10" s="89">
        <f t="shared" si="155"/>
        <v>952349.69299999997</v>
      </c>
      <c r="MJ10" s="89">
        <f t="shared" si="155"/>
        <v>952960.88800000004</v>
      </c>
      <c r="MK10" s="127">
        <v>0</v>
      </c>
      <c r="ML10" s="89">
        <f>MJ11</f>
        <v>953522.46499999997</v>
      </c>
      <c r="MM10" s="89">
        <f t="shared" ref="MM10:NP10" si="156">ML11</f>
        <v>954179.125</v>
      </c>
      <c r="MN10" s="89">
        <f t="shared" si="156"/>
        <v>954761.87100000004</v>
      </c>
      <c r="MO10" s="89">
        <f t="shared" si="156"/>
        <v>955380.48499999999</v>
      </c>
      <c r="MP10" s="89">
        <f t="shared" si="156"/>
        <v>956050.46699999995</v>
      </c>
      <c r="MQ10" s="89">
        <f t="shared" si="156"/>
        <v>956664.745</v>
      </c>
      <c r="MR10" s="89">
        <f t="shared" si="156"/>
        <v>957268.28700000001</v>
      </c>
      <c r="MS10" s="89">
        <f t="shared" si="156"/>
        <v>957969.16299999994</v>
      </c>
      <c r="MT10" s="89">
        <f t="shared" si="156"/>
        <v>958602.66299999994</v>
      </c>
      <c r="MU10" s="89">
        <f t="shared" si="156"/>
        <v>958990.79200000002</v>
      </c>
      <c r="MV10" s="89">
        <f t="shared" si="156"/>
        <v>959488.6</v>
      </c>
      <c r="MW10" s="89">
        <f t="shared" si="156"/>
        <v>960038.26699999999</v>
      </c>
      <c r="MX10" s="89">
        <f t="shared" si="156"/>
        <v>960684.25899999996</v>
      </c>
      <c r="MY10" s="89">
        <f t="shared" si="156"/>
        <v>961600.38699999999</v>
      </c>
      <c r="MZ10" s="89">
        <f t="shared" si="156"/>
        <v>962059.39300000004</v>
      </c>
      <c r="NA10" s="89">
        <f t="shared" si="156"/>
        <v>962553.20700000005</v>
      </c>
      <c r="NB10" s="89">
        <f t="shared" si="156"/>
        <v>963309.06900000002</v>
      </c>
      <c r="NC10" s="89">
        <f t="shared" si="156"/>
        <v>963876.23100000003</v>
      </c>
      <c r="ND10" s="89">
        <f t="shared" si="156"/>
        <v>964532.49399999995</v>
      </c>
      <c r="NE10" s="89">
        <f t="shared" si="156"/>
        <v>965100.70799999998</v>
      </c>
      <c r="NF10" s="89">
        <f t="shared" si="156"/>
        <v>965732.88500000001</v>
      </c>
      <c r="NG10" s="89">
        <f t="shared" si="156"/>
        <v>966118.49600000004</v>
      </c>
      <c r="NH10" s="89">
        <f t="shared" si="156"/>
        <v>966615.97499999998</v>
      </c>
      <c r="NI10" s="89">
        <f t="shared" si="156"/>
        <v>967073.96200000006</v>
      </c>
      <c r="NJ10" s="89">
        <f t="shared" si="156"/>
        <v>967607.41399999999</v>
      </c>
      <c r="NK10" s="89">
        <f t="shared" si="156"/>
        <v>968180.42700000003</v>
      </c>
      <c r="NL10" s="89">
        <f t="shared" si="156"/>
        <v>968864.272</v>
      </c>
      <c r="NM10" s="89">
        <f t="shared" si="156"/>
        <v>969597.61199999996</v>
      </c>
      <c r="NN10" s="89">
        <f t="shared" si="156"/>
        <v>970055.89300000004</v>
      </c>
      <c r="NO10" s="89">
        <f t="shared" si="156"/>
        <v>970621.40500000003</v>
      </c>
      <c r="NP10" s="89">
        <f t="shared" si="156"/>
        <v>971203.78099999996</v>
      </c>
      <c r="NQ10" s="127">
        <v>0</v>
      </c>
      <c r="NR10" s="89">
        <f>NP11</f>
        <v>971637.85</v>
      </c>
      <c r="NS10" s="89">
        <f t="shared" ref="NS10:OV10" si="157">NR11</f>
        <v>972227.95400000003</v>
      </c>
      <c r="NT10" s="89">
        <f t="shared" si="157"/>
        <v>972828.41099999996</v>
      </c>
      <c r="NU10" s="89">
        <f t="shared" si="157"/>
        <v>973568.14300000004</v>
      </c>
      <c r="NV10" s="89">
        <f t="shared" si="157"/>
        <v>974104.277</v>
      </c>
      <c r="NW10" s="89">
        <f t="shared" si="157"/>
        <v>974679.24699999997</v>
      </c>
      <c r="NX10" s="89">
        <f t="shared" si="157"/>
        <v>975403.4</v>
      </c>
      <c r="NY10" s="89">
        <f t="shared" si="157"/>
        <v>975915.58499999996</v>
      </c>
      <c r="NZ10" s="89">
        <f t="shared" si="157"/>
        <v>976593.40800000005</v>
      </c>
      <c r="OA10" s="89">
        <f t="shared" si="157"/>
        <v>977254.59</v>
      </c>
      <c r="OB10" s="89">
        <f t="shared" si="157"/>
        <v>977946.86300000001</v>
      </c>
      <c r="OC10" s="89">
        <f t="shared" si="157"/>
        <v>978603.03500000003</v>
      </c>
      <c r="OD10" s="89">
        <f t="shared" si="157"/>
        <v>979159.81</v>
      </c>
      <c r="OE10" s="89">
        <f t="shared" si="157"/>
        <v>979727.91599999997</v>
      </c>
      <c r="OF10" s="89">
        <f t="shared" si="157"/>
        <v>980279.45400000003</v>
      </c>
      <c r="OG10" s="89">
        <f t="shared" si="157"/>
        <v>980941.66399999999</v>
      </c>
      <c r="OH10" s="89">
        <f t="shared" si="157"/>
        <v>981659.14500000002</v>
      </c>
      <c r="OI10" s="89">
        <f t="shared" si="157"/>
        <v>982395.08100000001</v>
      </c>
      <c r="OJ10" s="89">
        <f t="shared" si="157"/>
        <v>982970.65599999996</v>
      </c>
      <c r="OK10" s="89">
        <f t="shared" si="157"/>
        <v>983672.56200000003</v>
      </c>
      <c r="OL10" s="89">
        <f t="shared" si="157"/>
        <v>984291.14399999997</v>
      </c>
      <c r="OM10" s="89">
        <f t="shared" si="157"/>
        <v>984845.36800000002</v>
      </c>
      <c r="ON10" s="89">
        <f t="shared" si="157"/>
        <v>985480.076</v>
      </c>
      <c r="OO10" s="89">
        <f t="shared" si="157"/>
        <v>986127.70700000005</v>
      </c>
      <c r="OP10" s="89">
        <f t="shared" si="157"/>
        <v>986801.69299999997</v>
      </c>
      <c r="OQ10" s="89">
        <f t="shared" si="157"/>
        <v>987342.745</v>
      </c>
      <c r="OR10" s="89">
        <f t="shared" si="157"/>
        <v>987936.79299999995</v>
      </c>
      <c r="OS10" s="89">
        <f t="shared" si="157"/>
        <v>988597.66399999999</v>
      </c>
      <c r="OT10" s="89">
        <f t="shared" si="157"/>
        <v>989210.41200000001</v>
      </c>
      <c r="OU10" s="89">
        <f t="shared" si="157"/>
        <v>989880.85800000001</v>
      </c>
      <c r="OV10" s="89">
        <f t="shared" si="157"/>
        <v>990392.03399999999</v>
      </c>
      <c r="OW10" s="127">
        <v>0</v>
      </c>
      <c r="OX10" s="89">
        <f>OV11</f>
        <v>991178.33</v>
      </c>
      <c r="OY10" s="89">
        <f t="shared" ref="OY10:QA10" si="158">OX11</f>
        <v>991787.31799999997</v>
      </c>
      <c r="OZ10" s="89">
        <f t="shared" si="158"/>
        <v>992554.50800000003</v>
      </c>
      <c r="PA10" s="89">
        <f t="shared" si="158"/>
        <v>993241.82799999998</v>
      </c>
      <c r="PB10" s="89">
        <f t="shared" si="158"/>
        <v>993853.30200000003</v>
      </c>
      <c r="PC10" s="89">
        <f t="shared" si="158"/>
        <v>994530.14599999995</v>
      </c>
      <c r="PD10" s="89">
        <f t="shared" si="158"/>
        <v>995266.76800000004</v>
      </c>
      <c r="PE10" s="89">
        <f t="shared" si="158"/>
        <v>995895.93299999996</v>
      </c>
      <c r="PF10" s="89">
        <f t="shared" si="158"/>
        <v>996529.29500000004</v>
      </c>
      <c r="PG10" s="89">
        <f t="shared" si="158"/>
        <v>997218.46</v>
      </c>
      <c r="PH10" s="89">
        <f t="shared" si="158"/>
        <v>997794.299</v>
      </c>
      <c r="PI10" s="89">
        <f t="shared" si="158"/>
        <v>998352.60499999998</v>
      </c>
      <c r="PJ10" s="89">
        <f t="shared" si="158"/>
        <v>998928.24600000004</v>
      </c>
      <c r="PK10" s="89">
        <f t="shared" si="158"/>
        <v>999659.61899999995</v>
      </c>
      <c r="PL10" s="89">
        <f t="shared" si="158"/>
        <v>1000351.853</v>
      </c>
      <c r="PM10" s="89">
        <f t="shared" si="158"/>
        <v>1000983.914</v>
      </c>
      <c r="PN10" s="89">
        <f t="shared" si="158"/>
        <v>1001589.514</v>
      </c>
      <c r="PO10" s="89">
        <f t="shared" si="158"/>
        <v>1002154.852</v>
      </c>
      <c r="PP10" s="89">
        <f t="shared" si="158"/>
        <v>1002722.5870000001</v>
      </c>
      <c r="PQ10" s="89">
        <f t="shared" si="158"/>
        <v>1003289.8370000001</v>
      </c>
      <c r="PR10" s="89">
        <f t="shared" si="158"/>
        <v>1003871.893</v>
      </c>
      <c r="PS10" s="89">
        <f t="shared" si="158"/>
        <v>1004380.61</v>
      </c>
      <c r="PT10" s="89">
        <f t="shared" si="158"/>
        <v>1004919.906</v>
      </c>
      <c r="PU10" s="89">
        <f t="shared" si="158"/>
        <v>1005459.184</v>
      </c>
      <c r="PV10" s="89">
        <f t="shared" si="158"/>
        <v>1005994.579</v>
      </c>
      <c r="PW10" s="89">
        <f t="shared" si="158"/>
        <v>1006481.956</v>
      </c>
      <c r="PX10" s="89">
        <f t="shared" si="158"/>
        <v>1006981.88</v>
      </c>
      <c r="PY10" s="89">
        <f t="shared" si="158"/>
        <v>1007609.193</v>
      </c>
      <c r="PZ10" s="89">
        <f t="shared" si="158"/>
        <v>1008127.872</v>
      </c>
      <c r="QA10" s="89">
        <f t="shared" si="158"/>
        <v>1008397.492</v>
      </c>
      <c r="QB10" s="127">
        <v>0</v>
      </c>
      <c r="QC10" s="89">
        <f>QA11</f>
        <v>1008958.455</v>
      </c>
      <c r="QD10" s="89">
        <f t="shared" ref="QD10:RG10" si="159">QC11</f>
        <v>1009410.8370000001</v>
      </c>
      <c r="QE10" s="89">
        <f t="shared" si="159"/>
        <v>1009902.321</v>
      </c>
      <c r="QF10" s="89">
        <f t="shared" si="159"/>
        <v>1010519.421</v>
      </c>
      <c r="QG10" s="89">
        <f t="shared" si="159"/>
        <v>1011444.955</v>
      </c>
      <c r="QH10" s="89">
        <f t="shared" si="159"/>
        <v>1012264.892</v>
      </c>
      <c r="QI10" s="89">
        <f t="shared" si="159"/>
        <v>1012914.492</v>
      </c>
      <c r="QJ10" s="89">
        <f t="shared" si="159"/>
        <v>1013641.404</v>
      </c>
      <c r="QK10" s="89">
        <f t="shared" si="159"/>
        <v>1014190.649</v>
      </c>
      <c r="QL10" s="89">
        <f t="shared" si="159"/>
        <v>1014845.05</v>
      </c>
      <c r="QM10" s="89">
        <f t="shared" si="159"/>
        <v>1015535.607</v>
      </c>
      <c r="QN10" s="89">
        <f t="shared" si="159"/>
        <v>1016253.924</v>
      </c>
      <c r="QO10" s="89">
        <f t="shared" si="159"/>
        <v>1016930.839</v>
      </c>
      <c r="QP10" s="89">
        <f t="shared" si="159"/>
        <v>1017597.306</v>
      </c>
      <c r="QQ10" s="89">
        <f t="shared" si="159"/>
        <v>1018310.8860000001</v>
      </c>
      <c r="QR10" s="89">
        <f t="shared" si="159"/>
        <v>1019032.973</v>
      </c>
      <c r="QS10" s="89">
        <f t="shared" si="159"/>
        <v>1019555.873</v>
      </c>
      <c r="QT10" s="89">
        <f t="shared" si="159"/>
        <v>1020060.763</v>
      </c>
      <c r="QU10" s="89">
        <f t="shared" si="159"/>
        <v>1020765.22</v>
      </c>
      <c r="QV10" s="89">
        <f t="shared" si="159"/>
        <v>1021490.12</v>
      </c>
      <c r="QW10" s="89">
        <f t="shared" si="159"/>
        <v>1022032.52</v>
      </c>
      <c r="QX10" s="89">
        <f t="shared" si="159"/>
        <v>1022559.624</v>
      </c>
      <c r="QY10" s="89">
        <f t="shared" si="159"/>
        <v>1023068.049</v>
      </c>
      <c r="QZ10" s="89">
        <f t="shared" si="159"/>
        <v>1023664.12</v>
      </c>
      <c r="RA10" s="89">
        <f t="shared" si="159"/>
        <v>1024127.99</v>
      </c>
      <c r="RB10" s="89">
        <f t="shared" si="159"/>
        <v>1024841.11</v>
      </c>
      <c r="RC10" s="89">
        <f t="shared" si="159"/>
        <v>1025413.71</v>
      </c>
      <c r="RD10" s="89">
        <f t="shared" si="159"/>
        <v>1025874.71</v>
      </c>
      <c r="RE10" s="89">
        <f t="shared" si="159"/>
        <v>1026372.069</v>
      </c>
      <c r="RF10" s="89">
        <f t="shared" si="159"/>
        <v>1027033.791</v>
      </c>
      <c r="RG10" s="89">
        <f t="shared" si="159"/>
        <v>1027403</v>
      </c>
      <c r="RH10" s="127">
        <v>0</v>
      </c>
      <c r="RI10" s="89">
        <f>RG11</f>
        <v>1028013.277</v>
      </c>
      <c r="RJ10" s="89">
        <f t="shared" ref="RJ10:SL10" si="160">RI11</f>
        <v>1028624.338</v>
      </c>
      <c r="RK10" s="89">
        <f t="shared" si="160"/>
        <v>1029326.01</v>
      </c>
      <c r="RL10" s="89">
        <f t="shared" si="160"/>
        <v>1029884.078</v>
      </c>
      <c r="RM10" s="89">
        <f t="shared" si="160"/>
        <v>1030563.037</v>
      </c>
      <c r="RN10" s="89">
        <f t="shared" si="160"/>
        <v>1031116.937</v>
      </c>
      <c r="RO10" s="89">
        <f t="shared" si="160"/>
        <v>1031530.478</v>
      </c>
      <c r="RP10" s="89">
        <f t="shared" si="160"/>
        <v>1031970.5379999999</v>
      </c>
      <c r="RQ10" s="89">
        <f t="shared" si="160"/>
        <v>1032481.049</v>
      </c>
      <c r="RR10" s="89">
        <f t="shared" si="160"/>
        <v>1033058.922</v>
      </c>
      <c r="RS10" s="89">
        <f t="shared" si="160"/>
        <v>1033505.257</v>
      </c>
      <c r="RT10" s="89">
        <f t="shared" si="160"/>
        <v>1034062.356</v>
      </c>
      <c r="RU10" s="89">
        <f t="shared" si="160"/>
        <v>1034521.882</v>
      </c>
      <c r="RV10" s="89">
        <f t="shared" si="160"/>
        <v>1035116.7439999999</v>
      </c>
      <c r="RW10" s="89">
        <f t="shared" si="160"/>
        <v>1035698.228</v>
      </c>
      <c r="RX10" s="89">
        <f t="shared" si="160"/>
        <v>1036405.634</v>
      </c>
      <c r="RY10" s="89">
        <f t="shared" si="160"/>
        <v>1036946.019</v>
      </c>
      <c r="RZ10" s="89">
        <f t="shared" si="160"/>
        <v>1037574.861</v>
      </c>
      <c r="SA10" s="89">
        <f t="shared" si="160"/>
        <v>1038236.667</v>
      </c>
      <c r="SB10" s="89">
        <f t="shared" si="160"/>
        <v>1038878.482</v>
      </c>
      <c r="SC10" s="89">
        <f t="shared" si="160"/>
        <v>1039425.446</v>
      </c>
      <c r="SD10" s="89">
        <f t="shared" si="160"/>
        <v>1039904.139</v>
      </c>
      <c r="SE10" s="89">
        <f t="shared" si="160"/>
        <v>1040559.996</v>
      </c>
      <c r="SF10" s="89">
        <f t="shared" si="160"/>
        <v>1041236.151</v>
      </c>
      <c r="SG10" s="89">
        <f t="shared" si="160"/>
        <v>1041659.388</v>
      </c>
      <c r="SH10" s="89">
        <f t="shared" si="160"/>
        <v>1042146.066</v>
      </c>
      <c r="SI10" s="89">
        <f t="shared" si="160"/>
        <v>1042782.693</v>
      </c>
      <c r="SJ10" s="89">
        <f t="shared" si="160"/>
        <v>1043249.153</v>
      </c>
      <c r="SK10" s="89">
        <f t="shared" si="160"/>
        <v>1043858.415</v>
      </c>
      <c r="SL10" s="89">
        <f t="shared" si="160"/>
        <v>1044501.992</v>
      </c>
      <c r="SM10" s="127">
        <v>0</v>
      </c>
      <c r="SN10" s="89">
        <f>SL11</f>
        <v>1045144.85</v>
      </c>
      <c r="SO10" s="89">
        <f t="shared" ref="SO10:TR10" si="161">SN11</f>
        <v>1045675.299</v>
      </c>
      <c r="SP10" s="89">
        <f t="shared" si="161"/>
        <v>1046302.7709999999</v>
      </c>
      <c r="SQ10" s="89">
        <f t="shared" si="161"/>
        <v>1046799.397</v>
      </c>
      <c r="SR10" s="89">
        <f t="shared" si="161"/>
        <v>1047411.33</v>
      </c>
      <c r="SS10" s="89">
        <f t="shared" si="161"/>
        <v>1047919.746</v>
      </c>
      <c r="ST10" s="89">
        <f t="shared" si="161"/>
        <v>1048576.6170000001</v>
      </c>
      <c r="SU10" s="89">
        <f t="shared" si="161"/>
        <v>1049177.608</v>
      </c>
      <c r="SV10" s="89">
        <f t="shared" si="161"/>
        <v>1049721.791</v>
      </c>
      <c r="SW10" s="89">
        <f t="shared" si="161"/>
        <v>1050426.834</v>
      </c>
      <c r="SX10" s="89">
        <f t="shared" si="161"/>
        <v>1050963.1459999999</v>
      </c>
      <c r="SY10" s="89">
        <f t="shared" si="161"/>
        <v>1051490.8149999999</v>
      </c>
      <c r="SZ10" s="89">
        <f t="shared" si="161"/>
        <v>1052124.632</v>
      </c>
      <c r="TA10" s="89">
        <f t="shared" si="161"/>
        <v>1052767.048</v>
      </c>
      <c r="TB10" s="89">
        <f t="shared" si="161"/>
        <v>1053439.0560000001</v>
      </c>
      <c r="TC10" s="89">
        <f t="shared" si="161"/>
        <v>1053931.466</v>
      </c>
      <c r="TD10" s="89">
        <f t="shared" si="161"/>
        <v>1054468.987</v>
      </c>
      <c r="TE10" s="89">
        <f t="shared" si="161"/>
        <v>1055084.0660000001</v>
      </c>
      <c r="TF10" s="89">
        <f t="shared" si="161"/>
        <v>1055587.2660000001</v>
      </c>
      <c r="TG10" s="89">
        <f t="shared" si="161"/>
        <v>1056299.0889999999</v>
      </c>
      <c r="TH10" s="89">
        <f t="shared" si="161"/>
        <v>1056980.3899999999</v>
      </c>
      <c r="TI10" s="89">
        <f t="shared" si="161"/>
        <v>1057635.6310000001</v>
      </c>
      <c r="TJ10" s="89">
        <f t="shared" si="161"/>
        <v>1058354.551</v>
      </c>
      <c r="TK10" s="89">
        <f t="shared" si="161"/>
        <v>1059083.017</v>
      </c>
      <c r="TL10" s="89">
        <f t="shared" si="161"/>
        <v>1059745.9169999999</v>
      </c>
      <c r="TM10" s="89">
        <f t="shared" si="161"/>
        <v>1060415.92</v>
      </c>
      <c r="TN10" s="89">
        <f t="shared" si="161"/>
        <v>1060998.879</v>
      </c>
      <c r="TO10" s="89">
        <f t="shared" si="161"/>
        <v>1061591.6710000001</v>
      </c>
      <c r="TP10" s="89">
        <f t="shared" si="161"/>
        <v>1062130.0120000001</v>
      </c>
      <c r="TQ10" s="89">
        <f t="shared" si="161"/>
        <v>1062661.132</v>
      </c>
      <c r="TR10" s="89">
        <f t="shared" si="161"/>
        <v>1063351.1640000001</v>
      </c>
      <c r="TS10" s="127">
        <v>0</v>
      </c>
      <c r="TT10" s="89">
        <f>TR11</f>
        <v>1063980.348</v>
      </c>
      <c r="TU10" s="89">
        <f t="shared" ref="TU10:UX10" si="162">TT11</f>
        <v>1064329.58</v>
      </c>
      <c r="TV10" s="89">
        <f t="shared" si="162"/>
        <v>1064760.1910000001</v>
      </c>
      <c r="TW10" s="89">
        <f t="shared" si="162"/>
        <v>1065301.351</v>
      </c>
      <c r="TX10" s="89">
        <f t="shared" si="162"/>
        <v>1065896.67</v>
      </c>
      <c r="TY10" s="89">
        <f t="shared" si="162"/>
        <v>1066398.709</v>
      </c>
      <c r="TZ10" s="89">
        <f t="shared" si="162"/>
        <v>1067008.284</v>
      </c>
      <c r="UA10" s="89">
        <f t="shared" si="162"/>
        <v>1067615.45</v>
      </c>
      <c r="UB10" s="89">
        <f t="shared" si="162"/>
        <v>1068169.29</v>
      </c>
      <c r="UC10" s="89">
        <f t="shared" si="162"/>
        <v>1068767.8870000001</v>
      </c>
      <c r="UD10" s="89">
        <f t="shared" si="162"/>
        <v>1069455.7450000001</v>
      </c>
      <c r="UE10" s="89">
        <f t="shared" si="162"/>
        <v>1070158.959</v>
      </c>
      <c r="UF10" s="89">
        <f t="shared" si="162"/>
        <v>1070657.4099999999</v>
      </c>
      <c r="UG10" s="89">
        <f t="shared" si="162"/>
        <v>1071239.077</v>
      </c>
      <c r="UH10" s="89">
        <f t="shared" si="162"/>
        <v>1071817.051</v>
      </c>
      <c r="UI10" s="89">
        <f t="shared" si="162"/>
        <v>1072378.8060000001</v>
      </c>
      <c r="UJ10" s="89">
        <f t="shared" si="162"/>
        <v>1072925.581</v>
      </c>
      <c r="UK10" s="89">
        <f t="shared" si="162"/>
        <v>1073561.594</v>
      </c>
      <c r="UL10" s="89">
        <f t="shared" si="162"/>
        <v>1074187.6329999999</v>
      </c>
      <c r="UM10" s="89">
        <f t="shared" si="162"/>
        <v>1074913.939</v>
      </c>
      <c r="UN10" s="89">
        <f t="shared" si="162"/>
        <v>1075367.8959999999</v>
      </c>
      <c r="UO10" s="89">
        <f t="shared" si="162"/>
        <v>1075939.2290000001</v>
      </c>
      <c r="UP10" s="89">
        <f t="shared" si="162"/>
        <v>1076418.348</v>
      </c>
      <c r="UQ10" s="89">
        <f t="shared" si="162"/>
        <v>1076924.52</v>
      </c>
      <c r="UR10" s="89">
        <f t="shared" si="162"/>
        <v>1077640.9950000001</v>
      </c>
      <c r="US10" s="89">
        <f t="shared" si="162"/>
        <v>1078241.426</v>
      </c>
      <c r="UT10" s="89">
        <f t="shared" si="162"/>
        <v>1078816.7050000001</v>
      </c>
      <c r="UU10" s="89">
        <f t="shared" si="162"/>
        <v>1079529.9669999999</v>
      </c>
      <c r="UV10" s="89">
        <f t="shared" si="162"/>
        <v>1080158.524</v>
      </c>
      <c r="UW10" s="89">
        <f t="shared" si="162"/>
        <v>1080718.5719999999</v>
      </c>
      <c r="UX10" s="89">
        <f t="shared" si="162"/>
        <v>1081185.3559999999</v>
      </c>
      <c r="UY10" s="127">
        <v>0</v>
      </c>
      <c r="UZ10" s="89">
        <f>UX11</f>
        <v>1081802.0649999999</v>
      </c>
      <c r="VA10" s="89">
        <f t="shared" ref="VA10:WA10" si="163">UZ11</f>
        <v>1082483.044</v>
      </c>
      <c r="VB10" s="89">
        <f t="shared" si="163"/>
        <v>1083003.875</v>
      </c>
      <c r="VC10" s="89">
        <f t="shared" si="163"/>
        <v>1083644.9369999999</v>
      </c>
      <c r="VD10" s="89">
        <f t="shared" si="163"/>
        <v>1084161.5079999999</v>
      </c>
      <c r="VE10" s="89">
        <f t="shared" si="163"/>
        <v>1084855.0090000001</v>
      </c>
      <c r="VF10" s="89">
        <f t="shared" si="163"/>
        <v>1085462.6100000001</v>
      </c>
      <c r="VG10" s="89">
        <f t="shared" si="163"/>
        <v>1086095.375</v>
      </c>
      <c r="VH10" s="89">
        <f t="shared" si="163"/>
        <v>1086707.665</v>
      </c>
      <c r="VI10" s="89">
        <f t="shared" si="163"/>
        <v>1087293.4040000001</v>
      </c>
      <c r="VJ10" s="89">
        <f t="shared" si="163"/>
        <v>1087846.166</v>
      </c>
      <c r="VK10" s="89">
        <f t="shared" si="163"/>
        <v>1088389.2139999999</v>
      </c>
      <c r="VL10" s="89">
        <f t="shared" si="163"/>
        <v>1088967.487</v>
      </c>
      <c r="VM10" s="89">
        <f t="shared" si="163"/>
        <v>1089392.0020000001</v>
      </c>
      <c r="VN10" s="89">
        <f t="shared" si="163"/>
        <v>1090067.058</v>
      </c>
      <c r="VO10" s="89">
        <f t="shared" si="163"/>
        <v>1090589.098</v>
      </c>
      <c r="VP10" s="89">
        <f t="shared" si="163"/>
        <v>1091216.5789999999</v>
      </c>
      <c r="VQ10" s="89">
        <f t="shared" si="163"/>
        <v>1091826.4990000001</v>
      </c>
      <c r="VR10" s="89">
        <f t="shared" si="163"/>
        <v>1092337.6599999999</v>
      </c>
      <c r="VS10" s="89">
        <f t="shared" si="163"/>
        <v>1092971.0249999999</v>
      </c>
      <c r="VT10" s="89">
        <f t="shared" si="163"/>
        <v>1093499.0649999999</v>
      </c>
      <c r="VU10" s="89">
        <f t="shared" si="163"/>
        <v>1094121.858</v>
      </c>
      <c r="VV10" s="89">
        <f t="shared" si="163"/>
        <v>1094943.3829999999</v>
      </c>
      <c r="VW10" s="89">
        <f t="shared" si="163"/>
        <v>1095488.2819999999</v>
      </c>
      <c r="VX10" s="89">
        <f t="shared" si="163"/>
        <v>1095933.2949999999</v>
      </c>
      <c r="VY10" s="89">
        <f t="shared" si="163"/>
        <v>1096535.5689999999</v>
      </c>
      <c r="VZ10" s="89">
        <f t="shared" si="163"/>
        <v>1097047.2039999999</v>
      </c>
      <c r="WA10" s="89">
        <f t="shared" si="163"/>
        <v>1097717.8529999999</v>
      </c>
      <c r="WB10" s="127">
        <v>0</v>
      </c>
      <c r="WC10" s="89">
        <f>WA11</f>
        <v>1098247.8470000001</v>
      </c>
      <c r="WD10" s="89">
        <f t="shared" ref="WD10:XG10" si="164">WC11</f>
        <v>1099010.568</v>
      </c>
      <c r="WE10" s="89">
        <f t="shared" si="164"/>
        <v>1099599.8770000001</v>
      </c>
      <c r="WF10" s="89">
        <f t="shared" si="164"/>
        <v>1100287.5619999999</v>
      </c>
      <c r="WG10" s="89">
        <f t="shared" si="164"/>
        <v>1100805.719</v>
      </c>
      <c r="WH10" s="89">
        <f t="shared" si="164"/>
        <v>1101287.02</v>
      </c>
      <c r="WI10" s="89">
        <f t="shared" si="164"/>
        <v>1101750.0260000001</v>
      </c>
      <c r="WJ10" s="89">
        <f t="shared" si="164"/>
        <v>1102223.1140000001</v>
      </c>
      <c r="WK10" s="89">
        <f t="shared" si="164"/>
        <v>1102695.9720000001</v>
      </c>
      <c r="WL10" s="89">
        <f t="shared" si="164"/>
        <v>1103191.5260000001</v>
      </c>
      <c r="WM10" s="89">
        <f t="shared" si="164"/>
        <v>1103861.112</v>
      </c>
      <c r="WN10" s="89">
        <f t="shared" si="164"/>
        <v>1104579.4920000001</v>
      </c>
      <c r="WO10" s="89">
        <f t="shared" si="164"/>
        <v>1105071.31</v>
      </c>
      <c r="WP10" s="89">
        <f t="shared" si="164"/>
        <v>1105571.094</v>
      </c>
      <c r="WQ10" s="89">
        <f t="shared" si="164"/>
        <v>1106156.3959999999</v>
      </c>
      <c r="WR10" s="89">
        <f t="shared" si="164"/>
        <v>1106814.3799999999</v>
      </c>
      <c r="WS10" s="89">
        <f t="shared" si="164"/>
        <v>1107230.852</v>
      </c>
      <c r="WT10" s="89">
        <f t="shared" si="164"/>
        <v>1107641.95</v>
      </c>
      <c r="WU10" s="89">
        <f t="shared" si="164"/>
        <v>1108173.2309999999</v>
      </c>
      <c r="WV10" s="89">
        <f t="shared" si="164"/>
        <v>1108705.6510000001</v>
      </c>
      <c r="WW10" s="89">
        <f t="shared" si="164"/>
        <v>1109206.544</v>
      </c>
      <c r="WX10" s="89">
        <f t="shared" si="164"/>
        <v>1109703.4909999999</v>
      </c>
      <c r="WY10" s="89">
        <f t="shared" si="164"/>
        <v>1110316.693</v>
      </c>
      <c r="WZ10" s="89">
        <f t="shared" si="164"/>
        <v>1110895.882</v>
      </c>
      <c r="XA10" s="89">
        <f t="shared" si="164"/>
        <v>1111333.2039999999</v>
      </c>
      <c r="XB10" s="89">
        <f t="shared" si="164"/>
        <v>1111818.392</v>
      </c>
      <c r="XC10" s="89">
        <f t="shared" si="164"/>
        <v>1112353.2690000001</v>
      </c>
      <c r="XD10" s="89">
        <f t="shared" si="164"/>
        <v>1113138.9110000001</v>
      </c>
      <c r="XE10" s="89">
        <f t="shared" si="164"/>
        <v>1113810.267</v>
      </c>
      <c r="XF10" s="89">
        <f t="shared" si="164"/>
        <v>1114512.5589999999</v>
      </c>
      <c r="XG10" s="89">
        <f t="shared" si="164"/>
        <v>1115129.2390000001</v>
      </c>
      <c r="XH10" s="127">
        <v>0</v>
      </c>
      <c r="XI10" s="89">
        <f>XG11</f>
        <v>1115596.4920000001</v>
      </c>
      <c r="XJ10" s="89">
        <f t="shared" ref="XJ10:YL10" si="165">XI11</f>
        <v>1116127.6939999999</v>
      </c>
      <c r="XK10" s="89">
        <f t="shared" si="165"/>
        <v>1116549.5109999999</v>
      </c>
      <c r="XL10" s="89">
        <f t="shared" si="165"/>
        <v>1117059.6370000001</v>
      </c>
      <c r="XM10" s="89">
        <f t="shared" si="165"/>
        <v>1117582.2209999999</v>
      </c>
      <c r="XN10" s="89">
        <f t="shared" si="165"/>
        <v>1118203.179</v>
      </c>
      <c r="XO10" s="89">
        <f t="shared" si="165"/>
        <v>1118708.3030000001</v>
      </c>
      <c r="XP10" s="89">
        <f t="shared" si="165"/>
        <v>1119329.49</v>
      </c>
      <c r="XQ10" s="89">
        <f t="shared" si="165"/>
        <v>1119851.443</v>
      </c>
      <c r="XR10" s="89">
        <f t="shared" si="165"/>
        <v>1120331.4850000001</v>
      </c>
      <c r="XS10" s="89">
        <f t="shared" si="165"/>
        <v>1120983.825</v>
      </c>
      <c r="XT10" s="89">
        <f t="shared" si="165"/>
        <v>1121540.602</v>
      </c>
      <c r="XU10" s="89">
        <f t="shared" si="165"/>
        <v>1122226.094</v>
      </c>
      <c r="XV10" s="89">
        <f t="shared" si="165"/>
        <v>1122794.8559999999</v>
      </c>
      <c r="XW10" s="89">
        <f t="shared" si="165"/>
        <v>1123269.8230000001</v>
      </c>
      <c r="XX10" s="89">
        <f t="shared" si="165"/>
        <v>1123842.594</v>
      </c>
      <c r="XY10" s="89">
        <f t="shared" si="165"/>
        <v>1124494.4029999999</v>
      </c>
      <c r="XZ10" s="89">
        <f t="shared" si="165"/>
        <v>1125113.1569999999</v>
      </c>
      <c r="YA10" s="89">
        <f t="shared" si="165"/>
        <v>1125670.0009999999</v>
      </c>
      <c r="YB10" s="89">
        <f t="shared" si="165"/>
        <v>1126466.5759999999</v>
      </c>
      <c r="YC10" s="89">
        <f t="shared" si="165"/>
        <v>1126829.551</v>
      </c>
      <c r="YD10" s="89">
        <f t="shared" si="165"/>
        <v>1127352.504</v>
      </c>
      <c r="YE10" s="89">
        <f t="shared" si="165"/>
        <v>1127970.3030000001</v>
      </c>
      <c r="YF10" s="89">
        <f t="shared" si="165"/>
        <v>1128418.6470000001</v>
      </c>
      <c r="YG10" s="89">
        <f t="shared" si="165"/>
        <v>1129009.6599999999</v>
      </c>
      <c r="YH10" s="89">
        <f t="shared" si="165"/>
        <v>1129642.281</v>
      </c>
      <c r="YI10" s="89">
        <f t="shared" si="165"/>
        <v>1130229.254</v>
      </c>
      <c r="YJ10" s="89">
        <f t="shared" si="165"/>
        <v>1130835.6470000001</v>
      </c>
      <c r="YK10" s="89">
        <f t="shared" si="165"/>
        <v>1131326.4779999999</v>
      </c>
      <c r="YL10" s="89">
        <f t="shared" si="165"/>
        <v>1131870.5419999999</v>
      </c>
      <c r="YM10" s="127">
        <v>0</v>
      </c>
      <c r="YN10" s="89">
        <f>YL11</f>
        <v>1132429.939</v>
      </c>
      <c r="YO10" s="89">
        <f t="shared" ref="YO10:ZR10" si="166">YN11</f>
        <v>1132960.973</v>
      </c>
      <c r="YP10" s="89">
        <f t="shared" si="166"/>
        <v>1133784.524</v>
      </c>
      <c r="YQ10" s="89">
        <f t="shared" si="166"/>
        <v>1134494.3489999999</v>
      </c>
      <c r="YR10" s="89">
        <f t="shared" si="166"/>
        <v>1135147.67</v>
      </c>
      <c r="YS10" s="89">
        <f t="shared" si="166"/>
        <v>1136050.7919999999</v>
      </c>
      <c r="YT10" s="89">
        <f t="shared" si="166"/>
        <v>1136922.6769999999</v>
      </c>
      <c r="YU10" s="89">
        <f t="shared" si="166"/>
        <v>1137426.9450000001</v>
      </c>
      <c r="YV10" s="89">
        <f t="shared" si="166"/>
        <v>1137426.9450000001</v>
      </c>
      <c r="YW10" s="89">
        <f t="shared" si="166"/>
        <v>1137938.2830000001</v>
      </c>
      <c r="YX10" s="89">
        <f t="shared" si="166"/>
        <v>1138644.996</v>
      </c>
      <c r="YY10" s="89">
        <f t="shared" si="166"/>
        <v>1139150.3629999999</v>
      </c>
      <c r="YZ10" s="89">
        <f t="shared" si="166"/>
        <v>1139713.0079999999</v>
      </c>
      <c r="ZA10" s="89">
        <f t="shared" si="166"/>
        <v>1140200.7930000001</v>
      </c>
      <c r="ZB10" s="89">
        <f t="shared" si="166"/>
        <v>1140725.05</v>
      </c>
      <c r="ZC10" s="89">
        <f t="shared" si="166"/>
        <v>1141243.3929999999</v>
      </c>
      <c r="ZD10" s="89">
        <f t="shared" si="166"/>
        <v>1141748.682</v>
      </c>
      <c r="ZE10" s="89">
        <f t="shared" si="166"/>
        <v>1142405.7620000001</v>
      </c>
      <c r="ZF10" s="89">
        <f t="shared" si="166"/>
        <v>1143167.0009999999</v>
      </c>
      <c r="ZG10" s="89">
        <f t="shared" si="166"/>
        <v>1143910.416</v>
      </c>
      <c r="ZH10" s="89">
        <f t="shared" si="166"/>
        <v>1144589.324</v>
      </c>
      <c r="ZI10" s="89">
        <f t="shared" si="166"/>
        <v>1145161.67</v>
      </c>
      <c r="ZJ10" s="89">
        <f t="shared" si="166"/>
        <v>1145731.189</v>
      </c>
      <c r="ZK10" s="89">
        <f t="shared" si="166"/>
        <v>1146419.1200000001</v>
      </c>
      <c r="ZL10" s="89">
        <f t="shared" si="166"/>
        <v>1147277.892</v>
      </c>
      <c r="ZM10" s="89">
        <f t="shared" si="166"/>
        <v>1148017.8959999999</v>
      </c>
      <c r="ZN10" s="89">
        <f t="shared" si="166"/>
        <v>1148711.19</v>
      </c>
      <c r="ZO10" s="89">
        <f t="shared" si="166"/>
        <v>1149279.879</v>
      </c>
      <c r="ZP10" s="89">
        <f t="shared" si="166"/>
        <v>1149897.503</v>
      </c>
      <c r="ZQ10" s="89">
        <f t="shared" si="166"/>
        <v>1150506.7279999999</v>
      </c>
      <c r="ZR10" s="89">
        <f t="shared" si="166"/>
        <v>1151132.287</v>
      </c>
      <c r="ZS10" s="127">
        <v>0</v>
      </c>
      <c r="ZT10" s="89">
        <f>ZR11</f>
        <v>1151905.76</v>
      </c>
      <c r="ZU10" s="89">
        <f t="shared" ref="ZU10:AAW10" si="167">ZT11</f>
        <v>1152626.9609999999</v>
      </c>
      <c r="ZV10" s="89">
        <f t="shared" si="167"/>
        <v>1153265.942</v>
      </c>
      <c r="ZW10" s="89">
        <f t="shared" si="167"/>
        <v>1154038.5789999999</v>
      </c>
      <c r="ZX10" s="89">
        <f t="shared" si="167"/>
        <v>1154683.159</v>
      </c>
      <c r="ZY10" s="89">
        <f t="shared" si="167"/>
        <v>1155464.828</v>
      </c>
      <c r="ZZ10" s="89">
        <f t="shared" si="167"/>
        <v>1156224.9809999999</v>
      </c>
      <c r="AAA10" s="89">
        <f t="shared" si="167"/>
        <v>1156952.243</v>
      </c>
      <c r="AAB10" s="89">
        <f t="shared" si="167"/>
        <v>1157739.314</v>
      </c>
      <c r="AAC10" s="89">
        <f t="shared" si="167"/>
        <v>1158344.7339999999</v>
      </c>
      <c r="AAD10" s="89">
        <f t="shared" si="167"/>
        <v>1158988.642</v>
      </c>
      <c r="AAE10" s="89">
        <f t="shared" si="167"/>
        <v>1159622.3060000001</v>
      </c>
      <c r="AAF10" s="89">
        <f t="shared" si="167"/>
        <v>1160201.69</v>
      </c>
      <c r="AAG10" s="89">
        <f t="shared" si="167"/>
        <v>1160927.8729999999</v>
      </c>
      <c r="AAH10" s="89">
        <f t="shared" si="167"/>
        <v>1161700.3</v>
      </c>
      <c r="AAI10" s="89">
        <f t="shared" si="167"/>
        <v>1162365.1089999999</v>
      </c>
      <c r="AAJ10" s="89">
        <f t="shared" si="167"/>
        <v>1163128.308</v>
      </c>
      <c r="AAK10" s="89">
        <f t="shared" si="167"/>
        <v>1163813.2609999999</v>
      </c>
      <c r="AAL10" s="89">
        <f t="shared" si="167"/>
        <v>1164451.1200000001</v>
      </c>
      <c r="AAM10" s="89">
        <f t="shared" si="167"/>
        <v>1165181.068</v>
      </c>
      <c r="AAN10" s="89">
        <f t="shared" si="167"/>
        <v>1165867.645</v>
      </c>
      <c r="AAO10" s="89">
        <f t="shared" si="167"/>
        <v>1166667.2320000001</v>
      </c>
      <c r="AAP10" s="89">
        <f t="shared" si="167"/>
        <v>1167195.571</v>
      </c>
      <c r="AAQ10" s="89">
        <f t="shared" si="167"/>
        <v>1167817.0889999999</v>
      </c>
      <c r="AAR10" s="89">
        <f t="shared" si="167"/>
        <v>1168396.5789999999</v>
      </c>
      <c r="AAS10" s="89">
        <f t="shared" si="167"/>
        <v>1168979.1499999999</v>
      </c>
      <c r="AAT10" s="89">
        <f t="shared" si="167"/>
        <v>1169687.9979999999</v>
      </c>
      <c r="AAU10" s="89">
        <f t="shared" si="167"/>
        <v>1170411.7649999999</v>
      </c>
      <c r="AAV10" s="89">
        <f t="shared" si="167"/>
        <v>1171146.831</v>
      </c>
      <c r="AAW10" s="89">
        <f t="shared" si="167"/>
        <v>1171659.0490000001</v>
      </c>
      <c r="AAX10" s="127">
        <v>0</v>
      </c>
      <c r="AAY10" s="89">
        <f>AAW11</f>
        <v>1172394.037</v>
      </c>
      <c r="AAZ10" s="89">
        <f t="shared" ref="AAZ10:ACC10" si="168">AAY11</f>
        <v>1172997.07</v>
      </c>
      <c r="ABA10" s="89">
        <f t="shared" si="168"/>
        <v>1173592.8370000001</v>
      </c>
      <c r="ABB10" s="89">
        <f t="shared" si="168"/>
        <v>1174175.733</v>
      </c>
      <c r="ABC10" s="89">
        <f t="shared" si="168"/>
        <v>1174917.5989999999</v>
      </c>
      <c r="ABD10" s="89">
        <f t="shared" si="168"/>
        <v>1175981.25</v>
      </c>
      <c r="ABE10" s="89">
        <f t="shared" si="168"/>
        <v>1176548.7960000001</v>
      </c>
      <c r="ABF10" s="89">
        <f t="shared" si="168"/>
        <v>1177141.6780000001</v>
      </c>
      <c r="ABG10" s="89">
        <f t="shared" si="168"/>
        <v>1177751.2039999999</v>
      </c>
      <c r="ABH10" s="89">
        <f t="shared" si="168"/>
        <v>1178395.6529999999</v>
      </c>
      <c r="ABI10" s="89">
        <f t="shared" si="168"/>
        <v>1179022.6640000001</v>
      </c>
      <c r="ABJ10" s="89">
        <f t="shared" si="168"/>
        <v>1179731.2849999999</v>
      </c>
      <c r="ABK10" s="89">
        <f t="shared" si="168"/>
        <v>1180204.0319999999</v>
      </c>
      <c r="ABL10" s="89">
        <f t="shared" si="168"/>
        <v>1181034.504</v>
      </c>
      <c r="ABM10" s="89">
        <f t="shared" si="168"/>
        <v>1181674.4099999999</v>
      </c>
      <c r="ABN10" s="89">
        <f t="shared" si="168"/>
        <v>1182371.43</v>
      </c>
      <c r="ABO10" s="89">
        <f t="shared" si="168"/>
        <v>1183112.4369999999</v>
      </c>
      <c r="ABP10" s="89">
        <f t="shared" si="168"/>
        <v>1183854.5060000001</v>
      </c>
      <c r="ABQ10" s="89">
        <f t="shared" si="168"/>
        <v>1184511.3629999999</v>
      </c>
      <c r="ABR10" s="89">
        <f t="shared" si="168"/>
        <v>1185231.8910000001</v>
      </c>
      <c r="ABS10" s="89">
        <f t="shared" si="168"/>
        <v>1186031.8929999999</v>
      </c>
      <c r="ABT10" s="89">
        <f t="shared" si="168"/>
        <v>1186778.419</v>
      </c>
      <c r="ABU10" s="89">
        <f t="shared" si="168"/>
        <v>1187554.825</v>
      </c>
      <c r="ABV10" s="89">
        <f t="shared" si="168"/>
        <v>1188314.1529999999</v>
      </c>
      <c r="ABW10" s="89">
        <f t="shared" si="168"/>
        <v>1188995.9580000001</v>
      </c>
      <c r="ABX10" s="89">
        <f t="shared" si="168"/>
        <v>1189858.1229999999</v>
      </c>
      <c r="ABY10" s="89">
        <f t="shared" si="168"/>
        <v>1190726.3430000001</v>
      </c>
      <c r="ABZ10" s="89">
        <f t="shared" si="168"/>
        <v>1191388.578</v>
      </c>
      <c r="ACA10" s="89">
        <f t="shared" si="168"/>
        <v>1192005.2180000001</v>
      </c>
      <c r="ACB10" s="89">
        <f t="shared" si="168"/>
        <v>1192673.0589999999</v>
      </c>
      <c r="ACC10" s="89">
        <f t="shared" si="168"/>
        <v>1193302.8160000001</v>
      </c>
      <c r="ACD10" s="127">
        <v>0</v>
      </c>
      <c r="ACE10" s="89">
        <f>ACC11</f>
        <v>1193960.159</v>
      </c>
      <c r="ACF10" s="89">
        <f t="shared" ref="ACF10:ADI10" si="169">ACE11</f>
        <v>1194593.2039999999</v>
      </c>
      <c r="ACG10" s="89">
        <f t="shared" si="169"/>
        <v>1195301.1580000001</v>
      </c>
      <c r="ACH10" s="89">
        <f t="shared" si="169"/>
        <v>1196073.3999999999</v>
      </c>
      <c r="ACI10" s="89">
        <f t="shared" si="169"/>
        <v>1196871.3289999999</v>
      </c>
      <c r="ACJ10" s="89">
        <f t="shared" si="169"/>
        <v>1197634.577</v>
      </c>
      <c r="ACK10" s="89">
        <f t="shared" si="169"/>
        <v>1198224.351</v>
      </c>
      <c r="ACL10" s="89">
        <f t="shared" si="169"/>
        <v>1198931.5490000001</v>
      </c>
      <c r="ACM10" s="89">
        <f t="shared" si="169"/>
        <v>1199577.156</v>
      </c>
      <c r="ACN10" s="89">
        <f t="shared" si="169"/>
        <v>1200099.7439999999</v>
      </c>
      <c r="ACO10" s="89">
        <f t="shared" si="169"/>
        <v>1200674.406</v>
      </c>
      <c r="ACP10" s="89">
        <f t="shared" si="169"/>
        <v>1201444.1540000001</v>
      </c>
      <c r="ACQ10" s="89">
        <f t="shared" si="169"/>
        <v>1201969.5249999999</v>
      </c>
      <c r="ACR10" s="89">
        <f t="shared" si="169"/>
        <v>1202518.04</v>
      </c>
      <c r="ACS10" s="89">
        <f t="shared" si="169"/>
        <v>1203172.6769999999</v>
      </c>
      <c r="ACT10" s="89">
        <f t="shared" si="169"/>
        <v>1203896.8419999999</v>
      </c>
      <c r="ACU10" s="89">
        <f t="shared" si="169"/>
        <v>1204418.9669999999</v>
      </c>
      <c r="ACV10" s="89">
        <f t="shared" si="169"/>
        <v>1204943.831</v>
      </c>
      <c r="ACW10" s="89">
        <f t="shared" si="169"/>
        <v>1205692.3400000001</v>
      </c>
      <c r="ACX10" s="89">
        <f t="shared" si="169"/>
        <v>1206287.838</v>
      </c>
      <c r="ACY10" s="89">
        <f t="shared" si="169"/>
        <v>1206786.7830000001</v>
      </c>
      <c r="ACZ10" s="89">
        <f t="shared" si="169"/>
        <v>1207427.6669999999</v>
      </c>
      <c r="ADA10" s="89">
        <f t="shared" si="169"/>
        <v>1208069.6040000001</v>
      </c>
      <c r="ADB10" s="89">
        <f t="shared" si="169"/>
        <v>1208716.102</v>
      </c>
      <c r="ADC10" s="89">
        <f t="shared" si="169"/>
        <v>1209209.591</v>
      </c>
      <c r="ADD10" s="89">
        <f t="shared" si="169"/>
        <v>1209702.7050000001</v>
      </c>
      <c r="ADE10" s="89">
        <f t="shared" si="169"/>
        <v>1210241.487</v>
      </c>
      <c r="ADF10" s="89">
        <f t="shared" si="169"/>
        <v>1210922.8689999999</v>
      </c>
      <c r="ADG10" s="89">
        <f t="shared" si="169"/>
        <v>1211464.899</v>
      </c>
      <c r="ADH10" s="89">
        <f t="shared" si="169"/>
        <v>1212061.152</v>
      </c>
      <c r="ADI10" s="89">
        <f t="shared" si="169"/>
        <v>1212830.8740000001</v>
      </c>
      <c r="ADJ10" s="127">
        <v>0</v>
      </c>
      <c r="ADK10" s="89">
        <f>ADI11</f>
        <v>1213388.6129999999</v>
      </c>
      <c r="ADL10" s="89">
        <f t="shared" ref="ADL10:AEN10" si="170">ADK11</f>
        <v>1213982.379</v>
      </c>
      <c r="ADM10" s="89">
        <f t="shared" si="170"/>
        <v>1214589.83</v>
      </c>
      <c r="ADN10" s="89">
        <f t="shared" si="170"/>
        <v>1215111.798</v>
      </c>
      <c r="ADO10" s="89">
        <f t="shared" si="170"/>
        <v>1215777.925</v>
      </c>
      <c r="ADP10" s="89">
        <f t="shared" si="170"/>
        <v>1216304.2709999999</v>
      </c>
      <c r="ADQ10" s="89">
        <f t="shared" si="170"/>
        <v>1217049.9010000001</v>
      </c>
      <c r="ADR10" s="89">
        <f t="shared" si="170"/>
        <v>1217616.652</v>
      </c>
      <c r="ADS10" s="89">
        <f t="shared" si="170"/>
        <v>1218153.574</v>
      </c>
      <c r="ADT10" s="89">
        <f t="shared" si="170"/>
        <v>1218677.192</v>
      </c>
      <c r="ADU10" s="89">
        <f t="shared" si="170"/>
        <v>1219122.307</v>
      </c>
      <c r="ADV10" s="89">
        <f t="shared" si="170"/>
        <v>1219662.5919999999</v>
      </c>
      <c r="ADW10" s="89">
        <f t="shared" si="170"/>
        <v>1220276.2790000001</v>
      </c>
      <c r="ADX10" s="89">
        <f t="shared" si="170"/>
        <v>1220985.6769999999</v>
      </c>
      <c r="ADY10" s="89">
        <f t="shared" si="170"/>
        <v>1221590.402</v>
      </c>
      <c r="ADZ10" s="89">
        <f t="shared" si="170"/>
        <v>1222155.7009999999</v>
      </c>
      <c r="AEA10" s="89">
        <f t="shared" si="170"/>
        <v>1222692.2250000001</v>
      </c>
      <c r="AEB10" s="89">
        <f t="shared" si="170"/>
        <v>1223057.5009999999</v>
      </c>
      <c r="AEC10" s="89">
        <f t="shared" si="170"/>
        <v>1223679.2560000001</v>
      </c>
      <c r="AED10" s="89">
        <f t="shared" si="170"/>
        <v>1224065.7990000001</v>
      </c>
      <c r="AEE10" s="89">
        <f t="shared" si="170"/>
        <v>1224453.8659999999</v>
      </c>
      <c r="AEF10" s="89">
        <f t="shared" si="170"/>
        <v>1225043.3160000001</v>
      </c>
      <c r="AEG10" s="89">
        <f t="shared" si="170"/>
        <v>1225591.648</v>
      </c>
      <c r="AEH10" s="89">
        <f t="shared" si="170"/>
        <v>1226159.2709999999</v>
      </c>
      <c r="AEI10" s="89">
        <f t="shared" si="170"/>
        <v>1226653.906</v>
      </c>
      <c r="AEJ10" s="89">
        <f t="shared" si="170"/>
        <v>1227242.6410000001</v>
      </c>
      <c r="AEK10" s="89">
        <f t="shared" si="170"/>
        <v>1227889.8810000001</v>
      </c>
      <c r="AEL10" s="89">
        <f t="shared" si="170"/>
        <v>1228476.818</v>
      </c>
      <c r="AEM10" s="89">
        <f t="shared" si="170"/>
        <v>1229065.648</v>
      </c>
      <c r="AEN10" s="89">
        <f t="shared" si="170"/>
        <v>1229688.817</v>
      </c>
      <c r="AEO10" s="127">
        <v>0</v>
      </c>
      <c r="AEP10" s="89">
        <f>AEN11</f>
        <v>1230319.1129999999</v>
      </c>
      <c r="AEQ10" s="89">
        <f t="shared" ref="AEQ10:AFT10" si="171">AEP11</f>
        <v>1230830.9410000001</v>
      </c>
      <c r="AER10" s="89">
        <f t="shared" si="171"/>
        <v>1231361.473</v>
      </c>
      <c r="AES10" s="89">
        <f t="shared" si="171"/>
        <v>1232006.1329999999</v>
      </c>
      <c r="AET10" s="89">
        <f t="shared" si="171"/>
        <v>1232738.2949999999</v>
      </c>
      <c r="AEU10" s="89">
        <f t="shared" si="171"/>
        <v>1233316.6189999999</v>
      </c>
      <c r="AEV10" s="89">
        <f t="shared" si="171"/>
        <v>1233710.1359999999</v>
      </c>
      <c r="AEW10" s="89">
        <f t="shared" si="171"/>
        <v>1234233.625</v>
      </c>
      <c r="AEX10" s="89">
        <f t="shared" si="171"/>
        <v>1234734.2450000001</v>
      </c>
      <c r="AEY10" s="89">
        <f t="shared" si="171"/>
        <v>1235336.084</v>
      </c>
      <c r="AEZ10" s="89">
        <f t="shared" si="171"/>
        <v>1235972.9990000001</v>
      </c>
      <c r="AFA10" s="89">
        <f t="shared" si="171"/>
        <v>1236555.639</v>
      </c>
      <c r="AFB10" s="89">
        <f t="shared" si="171"/>
        <v>1236909.861</v>
      </c>
      <c r="AFC10" s="89">
        <f t="shared" si="171"/>
        <v>1237406.7930000001</v>
      </c>
      <c r="AFD10" s="89">
        <f t="shared" si="171"/>
        <v>1238052.855</v>
      </c>
      <c r="AFE10" s="89">
        <f t="shared" si="171"/>
        <v>1238697.098</v>
      </c>
      <c r="AFF10" s="89">
        <f t="shared" si="171"/>
        <v>1239307.486</v>
      </c>
      <c r="AFG10" s="89">
        <f t="shared" si="171"/>
        <v>1239787.0190000001</v>
      </c>
      <c r="AFH10" s="89">
        <f t="shared" si="171"/>
        <v>1240313.578</v>
      </c>
      <c r="AFI10" s="89">
        <f t="shared" si="171"/>
        <v>1241013.743</v>
      </c>
      <c r="AFJ10" s="89">
        <f t="shared" si="171"/>
        <v>1241443.554</v>
      </c>
      <c r="AFK10" s="89">
        <f t="shared" si="171"/>
        <v>1242040.29</v>
      </c>
      <c r="AFL10" s="89">
        <f t="shared" si="171"/>
        <v>1242721.7409999999</v>
      </c>
      <c r="AFM10" s="89">
        <f t="shared" si="171"/>
        <v>1243251.96</v>
      </c>
      <c r="AFN10" s="89">
        <f t="shared" si="171"/>
        <v>1243940.4879999999</v>
      </c>
      <c r="AFO10" s="89">
        <f t="shared" si="171"/>
        <v>1244557.9509999999</v>
      </c>
      <c r="AFP10" s="89">
        <f t="shared" si="171"/>
        <v>1245239.818</v>
      </c>
      <c r="AFQ10" s="89">
        <f t="shared" si="171"/>
        <v>1245850.9269999999</v>
      </c>
      <c r="AFR10" s="89">
        <f t="shared" si="171"/>
        <v>1246412.6170000001</v>
      </c>
      <c r="AFS10" s="89">
        <f t="shared" si="171"/>
        <v>1246961.2439999999</v>
      </c>
      <c r="AFT10" s="89">
        <f t="shared" si="171"/>
        <v>1247592.307</v>
      </c>
      <c r="AFU10" s="127">
        <v>0</v>
      </c>
      <c r="AFV10" s="89">
        <f>AFT11</f>
        <v>1248216.825</v>
      </c>
      <c r="AFW10" s="89">
        <f t="shared" ref="AFW10:AGY10" si="172">AFV11</f>
        <v>1248805.4720000001</v>
      </c>
      <c r="AFX10" s="89">
        <f t="shared" si="172"/>
        <v>1249360.246</v>
      </c>
      <c r="AFY10" s="89">
        <f t="shared" si="172"/>
        <v>1249993.328</v>
      </c>
      <c r="AFZ10" s="89">
        <f t="shared" si="172"/>
        <v>1250481.371</v>
      </c>
      <c r="AGA10" s="89">
        <f t="shared" si="172"/>
        <v>1251057.7339999999</v>
      </c>
      <c r="AGB10" s="89">
        <f t="shared" si="172"/>
        <v>1251665.415</v>
      </c>
      <c r="AGC10" s="89">
        <f t="shared" si="172"/>
        <v>1252299.514</v>
      </c>
      <c r="AGD10" s="89">
        <f t="shared" si="172"/>
        <v>1252914.2390000001</v>
      </c>
      <c r="AGE10" s="89">
        <f t="shared" si="172"/>
        <v>1253500.0989999999</v>
      </c>
      <c r="AGF10" s="89">
        <f t="shared" si="172"/>
        <v>1254227.263</v>
      </c>
      <c r="AGG10" s="89">
        <f t="shared" si="172"/>
        <v>1254786.8160000001</v>
      </c>
      <c r="AGH10" s="89">
        <f t="shared" si="172"/>
        <v>1255284.0689999999</v>
      </c>
      <c r="AGI10" s="89">
        <f t="shared" si="172"/>
        <v>1255862.6569999999</v>
      </c>
      <c r="AGJ10" s="89">
        <f t="shared" si="172"/>
        <v>1256430.53</v>
      </c>
      <c r="AGK10" s="89">
        <f t="shared" si="172"/>
        <v>1257044.054</v>
      </c>
      <c r="AGL10" s="89">
        <f t="shared" si="172"/>
        <v>1257698.9720000001</v>
      </c>
      <c r="AGM10" s="89">
        <f t="shared" si="172"/>
        <v>1258418.871</v>
      </c>
      <c r="AGN10" s="89">
        <f t="shared" si="172"/>
        <v>1259137.7830000001</v>
      </c>
      <c r="AGO10" s="89">
        <f t="shared" si="172"/>
        <v>1259716.5589999999</v>
      </c>
      <c r="AGP10" s="89">
        <f t="shared" si="172"/>
        <v>1260405.2779999999</v>
      </c>
      <c r="AGQ10" s="89">
        <f t="shared" si="172"/>
        <v>1261072.851</v>
      </c>
      <c r="AGR10" s="89">
        <f t="shared" si="172"/>
        <v>1261928.9569999999</v>
      </c>
      <c r="AGS10" s="89">
        <f t="shared" si="172"/>
        <v>1262405.1440000001</v>
      </c>
      <c r="AGT10" s="89">
        <f t="shared" si="172"/>
        <v>1263193.2790000001</v>
      </c>
      <c r="AGU10" s="89">
        <f t="shared" si="172"/>
        <v>1263857.0619999999</v>
      </c>
      <c r="AGV10" s="89">
        <f t="shared" si="172"/>
        <v>1264416.3940000001</v>
      </c>
      <c r="AGW10" s="89">
        <f t="shared" si="172"/>
        <v>1265081.49</v>
      </c>
      <c r="AGX10" s="89">
        <f t="shared" si="172"/>
        <v>1265842.6769999999</v>
      </c>
      <c r="AGY10" s="89">
        <f t="shared" si="172"/>
        <v>1266565.5319999999</v>
      </c>
      <c r="AGZ10" s="127">
        <v>0</v>
      </c>
      <c r="AHA10" s="89">
        <f>AGY11</f>
        <v>1267095.6100000001</v>
      </c>
      <c r="AHB10" s="89">
        <f t="shared" ref="AHB10:AIE10" si="173">AHA11</f>
        <v>1267891.0589999999</v>
      </c>
      <c r="AHC10" s="89">
        <f t="shared" si="173"/>
        <v>1268608.0009999999</v>
      </c>
      <c r="AHD10" s="89">
        <f t="shared" si="173"/>
        <v>1269204.388</v>
      </c>
      <c r="AHE10" s="89">
        <f t="shared" si="173"/>
        <v>1269985.0430000001</v>
      </c>
      <c r="AHF10" s="89">
        <f t="shared" si="173"/>
        <v>1270794.9410000001</v>
      </c>
      <c r="AHG10" s="89">
        <f t="shared" si="173"/>
        <v>1271568.8489999999</v>
      </c>
      <c r="AHH10" s="89">
        <f t="shared" si="173"/>
        <v>1272229.335</v>
      </c>
      <c r="AHI10" s="89">
        <f t="shared" si="173"/>
        <v>1273042.2</v>
      </c>
      <c r="AHJ10" s="89">
        <f t="shared" si="173"/>
        <v>1273611.9339999999</v>
      </c>
      <c r="AHK10" s="89">
        <f t="shared" si="173"/>
        <v>1274228.6769999999</v>
      </c>
      <c r="AHL10" s="89">
        <f t="shared" si="173"/>
        <v>1274996.0090000001</v>
      </c>
      <c r="AHM10" s="89">
        <f t="shared" si="173"/>
        <v>1275663.1569999999</v>
      </c>
      <c r="AHN10" s="89">
        <f t="shared" si="173"/>
        <v>1276356.7509999999</v>
      </c>
      <c r="AHO10" s="89">
        <f t="shared" si="173"/>
        <v>1276907.6440000001</v>
      </c>
      <c r="AHP10" s="89">
        <f t="shared" si="173"/>
        <v>1277634.402</v>
      </c>
      <c r="AHQ10" s="89">
        <f t="shared" si="173"/>
        <v>1278275.977</v>
      </c>
      <c r="AHR10" s="89">
        <f t="shared" si="173"/>
        <v>1278915.0490000001</v>
      </c>
      <c r="AHS10" s="89">
        <f t="shared" si="173"/>
        <v>1279665.5530000001</v>
      </c>
      <c r="AHT10" s="89">
        <f t="shared" si="173"/>
        <v>1280358.304</v>
      </c>
      <c r="AHU10" s="89">
        <f t="shared" si="173"/>
        <v>1280979.0970000001</v>
      </c>
      <c r="AHV10" s="89">
        <f t="shared" si="173"/>
        <v>1281836.531</v>
      </c>
      <c r="AHW10" s="89">
        <f t="shared" si="173"/>
        <v>1282667.328</v>
      </c>
      <c r="AHX10" s="89">
        <f t="shared" si="173"/>
        <v>1283585.608</v>
      </c>
      <c r="AHY10" s="89">
        <f t="shared" si="173"/>
        <v>1284379.1980000001</v>
      </c>
      <c r="AHZ10" s="89">
        <f t="shared" si="173"/>
        <v>1284987.6200000001</v>
      </c>
      <c r="AIA10" s="89">
        <f t="shared" si="173"/>
        <v>1285749.7590000001</v>
      </c>
      <c r="AIB10" s="89">
        <f t="shared" si="173"/>
        <v>1286333.899</v>
      </c>
      <c r="AIC10" s="89">
        <f t="shared" si="173"/>
        <v>1286814.5959999999</v>
      </c>
      <c r="AID10" s="89">
        <f t="shared" si="173"/>
        <v>1287366.2890000001</v>
      </c>
      <c r="AIE10" s="89">
        <f t="shared" si="173"/>
        <v>1287999.365</v>
      </c>
      <c r="AIF10" s="127">
        <v>0</v>
      </c>
      <c r="AIG10" s="89">
        <f>AIE11</f>
        <v>1288625.233</v>
      </c>
      <c r="AIH10" s="89">
        <f t="shared" ref="AIH10:AJK10" si="174">AIG11</f>
        <v>1289230.8689999999</v>
      </c>
      <c r="AII10" s="89">
        <f t="shared" si="174"/>
        <v>1289961.2209999999</v>
      </c>
      <c r="AIJ10" s="89">
        <f t="shared" si="174"/>
        <v>1290576.358</v>
      </c>
      <c r="AIK10" s="89">
        <f t="shared" si="174"/>
        <v>1291253.33</v>
      </c>
      <c r="AIL10" s="89">
        <f t="shared" si="174"/>
        <v>1292016.2679999999</v>
      </c>
      <c r="AIM10" s="89">
        <f t="shared" si="174"/>
        <v>1292752.433</v>
      </c>
      <c r="AIN10" s="89">
        <f t="shared" si="174"/>
        <v>1293507.477</v>
      </c>
      <c r="AIO10" s="89">
        <f t="shared" si="174"/>
        <v>1294223.422</v>
      </c>
      <c r="AIP10" s="89">
        <f t="shared" si="174"/>
        <v>1294751.473</v>
      </c>
      <c r="AIQ10" s="89">
        <f t="shared" si="174"/>
        <v>1295481.3659999999</v>
      </c>
      <c r="AIR10" s="89">
        <f t="shared" si="174"/>
        <v>1296085.422</v>
      </c>
      <c r="AIS10" s="89">
        <f t="shared" si="174"/>
        <v>1296742.9509999999</v>
      </c>
      <c r="AIT10" s="89">
        <f t="shared" si="174"/>
        <v>1297412.5009999999</v>
      </c>
      <c r="AIU10" s="89">
        <f t="shared" si="174"/>
        <v>1298014.906</v>
      </c>
      <c r="AIV10" s="89">
        <f t="shared" si="174"/>
        <v>1298411.7690000001</v>
      </c>
      <c r="AIW10" s="89">
        <f t="shared" si="174"/>
        <v>1298666.6850000001</v>
      </c>
      <c r="AIX10" s="89">
        <f t="shared" si="174"/>
        <v>1298983.5</v>
      </c>
      <c r="AIY10" s="89">
        <f t="shared" si="174"/>
        <v>1299392.595</v>
      </c>
      <c r="AIZ10" s="89">
        <f t="shared" si="174"/>
        <v>1299996.129</v>
      </c>
      <c r="AJA10" s="89">
        <f t="shared" si="174"/>
        <v>1300703.8910000001</v>
      </c>
      <c r="AJB10" s="89">
        <f t="shared" si="174"/>
        <v>1301332.308</v>
      </c>
      <c r="AJC10" s="89">
        <f t="shared" si="174"/>
        <v>1302073.5</v>
      </c>
      <c r="AJD10" s="89">
        <f t="shared" si="174"/>
        <v>1302820.9720000001</v>
      </c>
      <c r="AJE10" s="89">
        <f t="shared" si="174"/>
        <v>1303597.493</v>
      </c>
      <c r="AJF10" s="89">
        <f t="shared" si="174"/>
        <v>1304264.5260000001</v>
      </c>
      <c r="AJG10" s="89">
        <f t="shared" si="174"/>
        <v>1304890.69</v>
      </c>
      <c r="AJH10" s="89">
        <f t="shared" si="174"/>
        <v>1305184.01</v>
      </c>
      <c r="AJI10" s="89">
        <f t="shared" si="174"/>
        <v>1305675.25</v>
      </c>
      <c r="AJJ10" s="89">
        <f t="shared" si="174"/>
        <v>1306213.9550000001</v>
      </c>
      <c r="AJK10" s="89">
        <f t="shared" si="174"/>
        <v>1306715.0260000001</v>
      </c>
      <c r="AJL10" s="127">
        <v>0</v>
      </c>
      <c r="AJM10" s="89">
        <f>AJK11</f>
        <v>1307298.9569999999</v>
      </c>
      <c r="AJN10" s="89">
        <f t="shared" ref="AJN10:AKN10" si="175">AJM11</f>
        <v>1307873.3859999999</v>
      </c>
      <c r="AJO10" s="89">
        <f t="shared" si="175"/>
        <v>1308493.3030000001</v>
      </c>
      <c r="AJP10" s="89">
        <f t="shared" si="175"/>
        <v>1309084.585</v>
      </c>
      <c r="AJQ10" s="89">
        <f t="shared" si="175"/>
        <v>1309562.2420000001</v>
      </c>
      <c r="AJR10" s="89">
        <f t="shared" si="175"/>
        <v>1310258.1170000001</v>
      </c>
      <c r="AJS10" s="89">
        <f t="shared" si="175"/>
        <v>1310849.344</v>
      </c>
      <c r="AJT10" s="89">
        <f t="shared" si="175"/>
        <v>1311578.9240000001</v>
      </c>
      <c r="AJU10" s="89">
        <f t="shared" si="175"/>
        <v>1312253.8459999999</v>
      </c>
      <c r="AJV10" s="89">
        <f t="shared" si="175"/>
        <v>1312945.993</v>
      </c>
      <c r="AJW10" s="89">
        <f t="shared" si="175"/>
        <v>1313573.4820000001</v>
      </c>
      <c r="AJX10" s="89">
        <f t="shared" si="175"/>
        <v>1314293.6299999999</v>
      </c>
      <c r="AJY10" s="89">
        <f t="shared" si="175"/>
        <v>1314905.8799999999</v>
      </c>
      <c r="AJZ10" s="89">
        <f t="shared" si="175"/>
        <v>1315639.77</v>
      </c>
      <c r="AKA10" s="89">
        <f t="shared" si="175"/>
        <v>1316221.4380000001</v>
      </c>
      <c r="AKB10" s="89">
        <f t="shared" si="175"/>
        <v>1316853.794</v>
      </c>
      <c r="AKC10" s="89">
        <f t="shared" si="175"/>
        <v>1317462.6299999999</v>
      </c>
      <c r="AKD10" s="89">
        <f t="shared" si="175"/>
        <v>1318098.3689999999</v>
      </c>
      <c r="AKE10" s="89">
        <f t="shared" si="175"/>
        <v>1318709.7520000001</v>
      </c>
      <c r="AKF10" s="89">
        <f t="shared" si="175"/>
        <v>1319308.375</v>
      </c>
      <c r="AKG10" s="89">
        <f t="shared" si="175"/>
        <v>1319741.2620000001</v>
      </c>
      <c r="AKH10" s="89">
        <f t="shared" si="175"/>
        <v>1320320.7279999999</v>
      </c>
      <c r="AKI10" s="89">
        <f t="shared" si="175"/>
        <v>1320867.436</v>
      </c>
      <c r="AKJ10" s="89">
        <f t="shared" si="175"/>
        <v>1321414.267</v>
      </c>
      <c r="AKK10" s="89">
        <f t="shared" si="175"/>
        <v>1321948.112</v>
      </c>
      <c r="AKL10" s="89">
        <f t="shared" si="175"/>
        <v>1322519.9850000001</v>
      </c>
      <c r="AKM10" s="89">
        <f t="shared" si="175"/>
        <v>1323043.3160000001</v>
      </c>
      <c r="AKN10" s="89">
        <f t="shared" si="175"/>
        <v>1323388.6669999999</v>
      </c>
      <c r="AKO10" s="127">
        <v>0</v>
      </c>
      <c r="AKP10" s="89">
        <f>AKN11</f>
        <v>1323918.807</v>
      </c>
      <c r="AKQ10" s="89">
        <f t="shared" ref="AKQ10:ALT10" si="176">AKP11</f>
        <v>1324622.2849999999</v>
      </c>
      <c r="AKR10" s="89">
        <f t="shared" si="176"/>
        <v>1325163.548</v>
      </c>
      <c r="AKS10" s="89">
        <f t="shared" si="176"/>
        <v>1325666.591</v>
      </c>
      <c r="AKT10" s="89">
        <f t="shared" si="176"/>
        <v>1326215.56</v>
      </c>
      <c r="AKU10" s="89">
        <f t="shared" si="176"/>
        <v>1326795.24</v>
      </c>
      <c r="AKV10" s="89">
        <f t="shared" si="176"/>
        <v>1327402.5</v>
      </c>
      <c r="AKW10" s="89">
        <f t="shared" si="176"/>
        <v>1327938.0349999999</v>
      </c>
      <c r="AKX10" s="89">
        <f t="shared" si="176"/>
        <v>1328541.571</v>
      </c>
      <c r="AKY10" s="89">
        <f t="shared" si="176"/>
        <v>1329278.916</v>
      </c>
      <c r="AKZ10" s="89">
        <f t="shared" si="176"/>
        <v>1329846.6089999999</v>
      </c>
      <c r="ALA10" s="89">
        <f t="shared" si="176"/>
        <v>1330333.1740000001</v>
      </c>
      <c r="ALB10" s="89">
        <f t="shared" si="176"/>
        <v>1331006.308</v>
      </c>
      <c r="ALC10" s="89">
        <f t="shared" si="176"/>
        <v>1331664.7080000001</v>
      </c>
      <c r="ALD10" s="89">
        <f t="shared" si="176"/>
        <v>1332359.246</v>
      </c>
      <c r="ALE10" s="89">
        <f t="shared" si="176"/>
        <v>1332831.5919999999</v>
      </c>
      <c r="ALF10" s="89">
        <f t="shared" si="176"/>
        <v>1333441.423</v>
      </c>
      <c r="ALG10" s="89">
        <f t="shared" si="176"/>
        <v>1334053.746</v>
      </c>
      <c r="ALH10" s="89">
        <f t="shared" si="176"/>
        <v>1334615.1669999999</v>
      </c>
      <c r="ALI10" s="89">
        <f t="shared" si="176"/>
        <v>1335190.1580000001</v>
      </c>
      <c r="ALJ10" s="89">
        <f t="shared" si="176"/>
        <v>1335713.7760000001</v>
      </c>
      <c r="ALK10" s="89">
        <f t="shared" si="176"/>
        <v>1336370.2420000001</v>
      </c>
      <c r="ALL10" s="89">
        <f t="shared" si="176"/>
        <v>1336880.9820000001</v>
      </c>
      <c r="ALM10" s="89">
        <f t="shared" si="176"/>
        <v>1337567.1969999999</v>
      </c>
      <c r="ALN10" s="89">
        <f t="shared" si="176"/>
        <v>1338155.2390000001</v>
      </c>
      <c r="ALO10" s="89">
        <f t="shared" si="176"/>
        <v>1338812.0919999999</v>
      </c>
      <c r="ALP10" s="89">
        <f t="shared" si="176"/>
        <v>1339514.3289999999</v>
      </c>
      <c r="ALQ10" s="89">
        <f t="shared" si="176"/>
        <v>1340192.8970000001</v>
      </c>
      <c r="ALR10" s="89">
        <f t="shared" si="176"/>
        <v>1340878.2990000001</v>
      </c>
      <c r="ALS10" s="89">
        <f t="shared" si="176"/>
        <v>1341878.064</v>
      </c>
      <c r="ALT10" s="89">
        <f t="shared" si="176"/>
        <v>1342736.084</v>
      </c>
      <c r="ALU10" s="127">
        <v>0</v>
      </c>
      <c r="ALV10" s="89">
        <f>ALT11</f>
        <v>1343324.486</v>
      </c>
      <c r="ALW10" s="89">
        <f t="shared" ref="ALW10:AMY10" si="177">ALV11</f>
        <v>1344195.993</v>
      </c>
      <c r="ALX10" s="89">
        <f t="shared" si="177"/>
        <v>1344740.567</v>
      </c>
      <c r="ALY10" s="89">
        <f t="shared" si="177"/>
        <v>1345532.814</v>
      </c>
      <c r="ALZ10" s="89">
        <f t="shared" si="177"/>
        <v>1346235.155</v>
      </c>
      <c r="AMA10" s="89">
        <f t="shared" si="177"/>
        <v>1346612.9750000001</v>
      </c>
      <c r="AMB10" s="89">
        <f t="shared" si="177"/>
        <v>1347162.3810000001</v>
      </c>
      <c r="AMC10" s="89">
        <f t="shared" si="177"/>
        <v>1347827.7450000001</v>
      </c>
      <c r="AMD10" s="89">
        <f t="shared" si="177"/>
        <v>1348632.7549999999</v>
      </c>
      <c r="AME10" s="89">
        <f t="shared" si="177"/>
        <v>1349392.0330000001</v>
      </c>
      <c r="AMF10" s="89">
        <f t="shared" si="177"/>
        <v>1349951.5279999999</v>
      </c>
      <c r="AMG10" s="89">
        <f t="shared" si="177"/>
        <v>1350554.281</v>
      </c>
      <c r="AMH10" s="89">
        <f t="shared" si="177"/>
        <v>1351306.487</v>
      </c>
      <c r="AMI10" s="89">
        <f t="shared" si="177"/>
        <v>1352210.06</v>
      </c>
      <c r="AMJ10" s="89">
        <f t="shared" si="177"/>
        <v>1352746.5160000001</v>
      </c>
      <c r="AMK10" s="89">
        <f t="shared" si="177"/>
        <v>1353324.74</v>
      </c>
      <c r="AML10" s="89">
        <f t="shared" si="177"/>
        <v>1353862.51</v>
      </c>
      <c r="AMM10" s="89">
        <f t="shared" si="177"/>
        <v>1354562.6980000001</v>
      </c>
      <c r="AMN10" s="89">
        <f t="shared" si="177"/>
        <v>1355336.138</v>
      </c>
      <c r="AMO10" s="89">
        <f t="shared" si="177"/>
        <v>1356072.3049999999</v>
      </c>
      <c r="AMP10" s="89">
        <f t="shared" si="177"/>
        <v>1357057.1370000001</v>
      </c>
      <c r="AMQ10" s="89">
        <f t="shared" si="177"/>
        <v>1357975.959</v>
      </c>
      <c r="AMR10" s="89">
        <f t="shared" si="177"/>
        <v>1359027.567</v>
      </c>
      <c r="AMS10" s="89">
        <f t="shared" si="177"/>
        <v>1360314.8859999999</v>
      </c>
      <c r="AMT10" s="89">
        <f t="shared" si="177"/>
        <v>1361688.1839999999</v>
      </c>
      <c r="AMU10" s="89">
        <f t="shared" si="177"/>
        <v>1362982.531</v>
      </c>
      <c r="AMV10" s="89">
        <f t="shared" si="177"/>
        <v>1364105.1529999999</v>
      </c>
      <c r="AMW10" s="89">
        <f t="shared" si="177"/>
        <v>1364810.6470000001</v>
      </c>
      <c r="AMX10" s="89">
        <f t="shared" si="177"/>
        <v>1365514.4180000001</v>
      </c>
      <c r="AMY10" s="89">
        <f t="shared" si="177"/>
        <v>1366313.497</v>
      </c>
      <c r="AMZ10" s="127">
        <v>0</v>
      </c>
      <c r="ANA10" s="89">
        <f>AMY11</f>
        <v>1367484.2590000001</v>
      </c>
      <c r="ANB10" s="89">
        <f t="shared" ref="ANB10:AOC10" si="178">ANA11</f>
        <v>1368122.1240000001</v>
      </c>
      <c r="ANC10" s="89">
        <f t="shared" si="178"/>
        <v>1368687.5560000001</v>
      </c>
      <c r="AND10" s="89">
        <f t="shared" si="178"/>
        <v>1369380.4839999999</v>
      </c>
      <c r="ANE10" s="89">
        <f t="shared" si="178"/>
        <v>1369922.889</v>
      </c>
      <c r="ANF10" s="89">
        <f t="shared" si="178"/>
        <v>1370677.827</v>
      </c>
      <c r="ANG10" s="89">
        <f t="shared" si="178"/>
        <v>1371383.8540000001</v>
      </c>
      <c r="ANH10" s="89">
        <f t="shared" si="178"/>
        <v>1372139.01</v>
      </c>
      <c r="ANI10" s="89">
        <f t="shared" si="178"/>
        <v>1372754.9040000001</v>
      </c>
      <c r="ANJ10" s="89">
        <f t="shared" si="178"/>
        <v>1373576.97</v>
      </c>
      <c r="ANK10" s="89">
        <f t="shared" si="178"/>
        <v>1374249.1610000001</v>
      </c>
      <c r="ANL10" s="89">
        <f t="shared" si="178"/>
        <v>1374935.1170000001</v>
      </c>
      <c r="ANM10" s="89">
        <f t="shared" si="178"/>
        <v>1375529.0260000001</v>
      </c>
      <c r="ANN10" s="89">
        <f t="shared" si="178"/>
        <v>1376200.118</v>
      </c>
      <c r="ANO10" s="89">
        <f t="shared" si="178"/>
        <v>1376935.9820000001</v>
      </c>
      <c r="ANP10" s="89">
        <f t="shared" si="178"/>
        <v>1377572.57</v>
      </c>
      <c r="ANQ10" s="89">
        <f t="shared" si="178"/>
        <v>1378098.727</v>
      </c>
      <c r="ANR10" s="89">
        <f t="shared" si="178"/>
        <v>1378447.1740000001</v>
      </c>
      <c r="ANS10" s="89">
        <f t="shared" si="178"/>
        <v>1378829.334</v>
      </c>
      <c r="ANT10" s="89">
        <f t="shared" si="178"/>
        <v>1379175.7339999999</v>
      </c>
      <c r="ANU10" s="89">
        <f t="shared" si="178"/>
        <v>1379679.301</v>
      </c>
      <c r="ANV10" s="89">
        <f t="shared" si="178"/>
        <v>1379981.932</v>
      </c>
      <c r="ANW10" s="89">
        <f t="shared" si="178"/>
        <v>1380406.7069999999</v>
      </c>
      <c r="ANX10" s="89">
        <f t="shared" si="178"/>
        <v>1380873.929</v>
      </c>
      <c r="ANY10" s="89">
        <f t="shared" si="178"/>
        <v>1381243.8489999999</v>
      </c>
      <c r="ANZ10" s="89">
        <f t="shared" si="178"/>
        <v>1381784.7450000001</v>
      </c>
      <c r="AOA10" s="89">
        <f t="shared" si="178"/>
        <v>1382499.655</v>
      </c>
      <c r="AOB10" s="89">
        <f t="shared" si="178"/>
        <v>1382951.264</v>
      </c>
      <c r="AOC10" s="89">
        <f t="shared" si="178"/>
        <v>1383328.2109999999</v>
      </c>
      <c r="AOD10" s="89">
        <v>1383791.2590000001</v>
      </c>
      <c r="AOE10">
        <v>1383791.2590000001</v>
      </c>
    </row>
    <row r="11" spans="1:1072" x14ac:dyDescent="0.2">
      <c r="A11" s="157"/>
      <c r="B11" s="160"/>
      <c r="C11" s="47" t="s">
        <v>757</v>
      </c>
      <c r="D11" s="48">
        <v>721632.85499999998</v>
      </c>
      <c r="E11" s="48">
        <v>722631.04399999999</v>
      </c>
      <c r="F11" s="48">
        <v>723512.50899999996</v>
      </c>
      <c r="G11" s="48">
        <v>724331.603</v>
      </c>
      <c r="H11" s="48">
        <v>725262.723</v>
      </c>
      <c r="I11" s="48">
        <v>726266.69</v>
      </c>
      <c r="J11" s="48">
        <v>727090.78099999996</v>
      </c>
      <c r="K11" s="48">
        <v>727841.58900000004</v>
      </c>
      <c r="L11" s="48">
        <v>728611.74199999997</v>
      </c>
      <c r="M11" s="48">
        <v>729415.20799999998</v>
      </c>
      <c r="N11" s="48">
        <v>730143.2</v>
      </c>
      <c r="O11" s="48">
        <v>730953.48100000003</v>
      </c>
      <c r="P11" s="48">
        <v>731790.04500000004</v>
      </c>
      <c r="Q11" s="48">
        <v>732883.94299999997</v>
      </c>
      <c r="R11" s="48">
        <v>733620.03399999999</v>
      </c>
      <c r="S11" s="48">
        <v>734498.21100000001</v>
      </c>
      <c r="T11" s="48">
        <v>735360.83299999998</v>
      </c>
      <c r="U11" s="48">
        <v>736305.73899999994</v>
      </c>
      <c r="V11" s="48">
        <v>737065.17299999995</v>
      </c>
      <c r="W11" s="48">
        <v>737804.64899999998</v>
      </c>
      <c r="X11" s="48">
        <v>738522.79500000004</v>
      </c>
      <c r="Y11" s="48">
        <v>739245.06499999994</v>
      </c>
      <c r="Z11" s="48">
        <v>740098.59100000001</v>
      </c>
      <c r="AA11" s="48">
        <v>740957.42500000005</v>
      </c>
      <c r="AB11" s="48">
        <v>741922.42200000002</v>
      </c>
      <c r="AC11" s="48">
        <v>742893.23</v>
      </c>
      <c r="AD11" s="48">
        <v>743716.47900000005</v>
      </c>
      <c r="AE11" s="48">
        <v>744522.88199999998</v>
      </c>
      <c r="AF11" s="48">
        <v>745322.01599999995</v>
      </c>
      <c r="AG11" s="48">
        <v>745955.3</v>
      </c>
      <c r="AH11" s="48">
        <v>746939.84600000002</v>
      </c>
      <c r="AI11" s="49"/>
      <c r="AJ11" s="48">
        <v>748038.40800000005</v>
      </c>
      <c r="AK11" s="48">
        <v>748930.48300000001</v>
      </c>
      <c r="AL11" s="48">
        <v>749899.86800000002</v>
      </c>
      <c r="AM11" s="48">
        <v>750847.90500000003</v>
      </c>
      <c r="AN11" s="48">
        <v>751652.26699999999</v>
      </c>
      <c r="AO11" s="48">
        <v>752285.022</v>
      </c>
      <c r="AP11" s="48">
        <v>757998.75399999996</v>
      </c>
      <c r="AQ11" s="48">
        <v>759068.23199999996</v>
      </c>
      <c r="AR11" s="48">
        <v>759883.55599999998</v>
      </c>
      <c r="AS11" s="48">
        <v>760736.31</v>
      </c>
      <c r="AT11" s="48">
        <v>761480.68599999999</v>
      </c>
      <c r="AU11" s="48">
        <v>762041.36600000004</v>
      </c>
      <c r="AV11" s="48">
        <v>767543.74300000002</v>
      </c>
      <c r="AW11" s="48">
        <v>768264.53599999996</v>
      </c>
      <c r="AX11" s="48">
        <v>769003.71400000004</v>
      </c>
      <c r="AY11" s="48">
        <v>769810.28500000003</v>
      </c>
      <c r="AZ11" s="48">
        <v>770628.66399999999</v>
      </c>
      <c r="BA11" s="48">
        <v>771182.06900000002</v>
      </c>
      <c r="BB11" s="48">
        <v>771695.07</v>
      </c>
      <c r="BC11" s="48">
        <v>772289.15700000001</v>
      </c>
      <c r="BD11" s="48">
        <v>772919.13100000005</v>
      </c>
      <c r="BE11" s="48">
        <v>773643.37100000004</v>
      </c>
      <c r="BF11" s="48">
        <v>774360.31200000003</v>
      </c>
      <c r="BG11" s="48">
        <v>774974.00800000003</v>
      </c>
      <c r="BH11" s="48">
        <v>775636.42799999996</v>
      </c>
      <c r="BI11" s="48">
        <v>776283.70499999996</v>
      </c>
      <c r="BJ11" s="48">
        <v>776946.777</v>
      </c>
      <c r="BK11" s="48">
        <v>777500.09600000002</v>
      </c>
      <c r="BL11" s="48">
        <v>778183.73600000003</v>
      </c>
      <c r="BM11" s="48">
        <v>778985.03</v>
      </c>
      <c r="BO11" s="48">
        <v>779650.37600000005</v>
      </c>
      <c r="BP11" s="48">
        <v>780319.50600000005</v>
      </c>
      <c r="BQ11" s="48">
        <v>780974.59100000001</v>
      </c>
      <c r="BR11" s="48">
        <v>781640.63399999996</v>
      </c>
      <c r="BS11" s="48">
        <v>782158.68700000003</v>
      </c>
      <c r="BT11" s="48">
        <v>782884.68799999997</v>
      </c>
      <c r="BU11" s="48">
        <v>783477.50399999996</v>
      </c>
      <c r="BV11" s="48">
        <v>784220.14099999995</v>
      </c>
      <c r="BW11" s="48">
        <v>784834.20600000001</v>
      </c>
      <c r="BX11" s="48">
        <v>785453.37699999998</v>
      </c>
      <c r="BY11" s="48">
        <v>786051.09600000002</v>
      </c>
      <c r="BZ11" s="48">
        <v>786614.78599999996</v>
      </c>
      <c r="CA11" s="48">
        <v>787234.61600000004</v>
      </c>
      <c r="CB11" s="48">
        <v>787894.48499999999</v>
      </c>
      <c r="CC11" s="48">
        <v>788564.79500000004</v>
      </c>
      <c r="CD11" s="48">
        <v>789177.22600000002</v>
      </c>
      <c r="CE11" s="48">
        <v>789782.20200000005</v>
      </c>
      <c r="CF11" s="48">
        <v>790355.15300000005</v>
      </c>
      <c r="CG11" s="48">
        <v>790944.19099999999</v>
      </c>
      <c r="CH11" s="48">
        <v>791521.63</v>
      </c>
      <c r="CI11" s="48">
        <v>792358.09199999995</v>
      </c>
      <c r="CJ11" s="48">
        <v>793112.99300000002</v>
      </c>
      <c r="CK11" s="48">
        <v>793734.03200000001</v>
      </c>
      <c r="CL11" s="48">
        <v>794403.625</v>
      </c>
      <c r="CM11" s="48">
        <v>795026.89800000004</v>
      </c>
      <c r="CN11" s="48">
        <v>795625.18</v>
      </c>
      <c r="CO11" s="48">
        <v>796260.70900000003</v>
      </c>
      <c r="CP11" s="48">
        <v>797015.429</v>
      </c>
      <c r="CQ11" s="48">
        <v>797713.91700000002</v>
      </c>
      <c r="CR11" s="48">
        <v>798365.98699999996</v>
      </c>
      <c r="CS11" s="48">
        <v>799078.745</v>
      </c>
      <c r="CU11" s="48">
        <v>799813.21799999999</v>
      </c>
      <c r="CV11" s="48">
        <v>800304.83100000001</v>
      </c>
      <c r="CW11" s="48">
        <v>800951.04700000002</v>
      </c>
      <c r="CX11" s="48">
        <v>801865.53399999999</v>
      </c>
      <c r="CY11" s="48">
        <v>802478.96</v>
      </c>
      <c r="CZ11" s="48">
        <v>803158.27300000004</v>
      </c>
      <c r="DA11" s="48">
        <v>803749.09400000004</v>
      </c>
      <c r="DB11" s="48">
        <v>804533.179</v>
      </c>
      <c r="DC11" s="48">
        <v>805283.45600000001</v>
      </c>
      <c r="DD11" s="48">
        <v>806061.78</v>
      </c>
      <c r="DE11" s="48">
        <v>806848.25399999996</v>
      </c>
      <c r="DF11" s="48">
        <v>807525.56799999997</v>
      </c>
      <c r="DG11" s="48">
        <v>808193.34499999997</v>
      </c>
      <c r="DH11" s="48">
        <v>808820.35600000003</v>
      </c>
      <c r="DI11" s="48">
        <v>809468.79099999997</v>
      </c>
      <c r="DJ11" s="48">
        <v>809886.85900000005</v>
      </c>
      <c r="DK11" s="48">
        <v>810275.71600000001</v>
      </c>
      <c r="DL11" s="48">
        <v>810872.55299999996</v>
      </c>
      <c r="DM11" s="48">
        <v>811393.01899999997</v>
      </c>
      <c r="DN11" s="48">
        <v>811882.14199999999</v>
      </c>
      <c r="DO11" s="48">
        <v>812314.10800000001</v>
      </c>
      <c r="DP11" s="48">
        <v>813003.44400000002</v>
      </c>
      <c r="DQ11" s="48">
        <v>813558.09900000005</v>
      </c>
      <c r="DR11" s="48">
        <v>814164.87</v>
      </c>
      <c r="DS11" s="48">
        <v>814923.17200000002</v>
      </c>
      <c r="DT11" s="48">
        <v>815361.39300000004</v>
      </c>
      <c r="DU11" s="48">
        <v>815936.924</v>
      </c>
      <c r="DV11" s="48">
        <v>816445.78500000003</v>
      </c>
      <c r="DW11" s="48">
        <v>816914.76300000004</v>
      </c>
      <c r="DX11" s="48">
        <v>817492.89399999997</v>
      </c>
      <c r="DY11" s="117"/>
      <c r="DZ11" s="48">
        <v>818088.54599999997</v>
      </c>
      <c r="EA11" s="48">
        <v>818722.30799999996</v>
      </c>
      <c r="EB11" s="48">
        <v>819205.24100000004</v>
      </c>
      <c r="EC11" s="48">
        <v>819708.27800000005</v>
      </c>
      <c r="ED11" s="48">
        <v>820196.321</v>
      </c>
      <c r="EE11" s="48">
        <v>820789.61899999995</v>
      </c>
      <c r="EF11" s="48">
        <v>821332.32299999997</v>
      </c>
      <c r="EG11" s="48">
        <v>821943.43200000003</v>
      </c>
      <c r="EH11" s="48">
        <v>822571.76899999997</v>
      </c>
      <c r="EI11" s="48">
        <v>823278.52399999998</v>
      </c>
      <c r="EJ11" s="48">
        <v>823809.40399999998</v>
      </c>
      <c r="EK11" s="48">
        <v>824416.85400000005</v>
      </c>
      <c r="EL11" s="48">
        <v>825094.55500000005</v>
      </c>
      <c r="EM11" s="48">
        <v>825638.64800000004</v>
      </c>
      <c r="EN11" s="48">
        <v>826468.73300000001</v>
      </c>
      <c r="EO11" s="48">
        <v>827240.11399999994</v>
      </c>
      <c r="EP11" s="48">
        <v>827997.23600000003</v>
      </c>
      <c r="EQ11" s="48">
        <v>828905.598</v>
      </c>
      <c r="ER11" s="48">
        <v>829481.81299999997</v>
      </c>
      <c r="ES11" s="48">
        <v>830224.38500000001</v>
      </c>
      <c r="ET11" s="48">
        <v>830982.22199999995</v>
      </c>
      <c r="EU11" s="48">
        <v>832042.69200000004</v>
      </c>
      <c r="EV11" s="48">
        <v>832959.755</v>
      </c>
      <c r="EW11" s="48">
        <v>833869.255</v>
      </c>
      <c r="EX11" s="48">
        <v>834369.31200000003</v>
      </c>
      <c r="EY11" s="48">
        <v>834857.46299999999</v>
      </c>
      <c r="EZ11" s="48">
        <v>835536.51699999999</v>
      </c>
      <c r="FA11" s="48">
        <v>836151.04799999995</v>
      </c>
      <c r="FB11" s="48">
        <v>836758.34299999999</v>
      </c>
      <c r="FC11" s="48">
        <v>837447.90300000005</v>
      </c>
      <c r="FD11" s="48">
        <v>838167.83</v>
      </c>
      <c r="FE11" s="126"/>
      <c r="FF11" s="48">
        <v>838719.11899999995</v>
      </c>
      <c r="FG11" s="48">
        <v>839439.60600000003</v>
      </c>
      <c r="FH11" s="48">
        <v>839904.87800000003</v>
      </c>
      <c r="FI11" s="48">
        <v>840603.05099999998</v>
      </c>
      <c r="FJ11" s="48">
        <v>841268.75600000005</v>
      </c>
      <c r="FK11" s="48">
        <v>841966.78700000001</v>
      </c>
      <c r="FL11" s="48">
        <v>842681.91700000002</v>
      </c>
      <c r="FM11" s="48">
        <v>843425.23499999999</v>
      </c>
      <c r="FN11" s="48">
        <v>844064.51699999999</v>
      </c>
      <c r="FO11" s="48">
        <v>844668.55500000005</v>
      </c>
      <c r="FP11" s="48">
        <v>845194.99600000004</v>
      </c>
      <c r="FQ11" s="48">
        <v>845782.15800000005</v>
      </c>
      <c r="FR11" s="48">
        <v>846410.64199999999</v>
      </c>
      <c r="FS11" s="48">
        <v>847078.01300000004</v>
      </c>
      <c r="FT11" s="48">
        <v>847532.11199999996</v>
      </c>
      <c r="FU11" s="48">
        <v>848129.16599999997</v>
      </c>
      <c r="FV11" s="48">
        <v>848682.74399999995</v>
      </c>
      <c r="FW11" s="48">
        <v>849294.70900000003</v>
      </c>
      <c r="FX11" s="48">
        <v>850097.41399999999</v>
      </c>
      <c r="FY11" s="48">
        <v>850844.92599999998</v>
      </c>
      <c r="FZ11" s="48">
        <v>851468.74699999997</v>
      </c>
      <c r="GA11" s="48">
        <v>852031.32700000005</v>
      </c>
      <c r="GB11" s="48">
        <v>852628.20499999996</v>
      </c>
      <c r="GC11" s="48">
        <v>853229.03700000001</v>
      </c>
      <c r="GD11" s="48">
        <v>854100.94099999999</v>
      </c>
      <c r="GE11" s="48">
        <v>854766.29799999995</v>
      </c>
      <c r="GF11" s="48">
        <v>855430.31</v>
      </c>
      <c r="GG11" s="48">
        <v>856122.57200000004</v>
      </c>
      <c r="GH11" s="48">
        <v>856794.50100000005</v>
      </c>
      <c r="GI11" s="48">
        <v>857471.96900000004</v>
      </c>
      <c r="GJ11" s="48">
        <v>858067.70400000003</v>
      </c>
      <c r="GK11" s="126"/>
      <c r="GL11" s="48">
        <v>858583.924</v>
      </c>
      <c r="GM11" s="48">
        <v>859234.10400000005</v>
      </c>
      <c r="GN11" s="48">
        <v>860101.08700000006</v>
      </c>
      <c r="GO11" s="48">
        <v>860924.81799999997</v>
      </c>
      <c r="GP11" s="48">
        <v>861667.28599999996</v>
      </c>
      <c r="GQ11" s="48">
        <v>862185.91099999996</v>
      </c>
      <c r="GR11" s="48">
        <v>863061.80200000003</v>
      </c>
      <c r="GS11" s="48">
        <v>863821.022</v>
      </c>
      <c r="GT11" s="48">
        <v>864452.61699999997</v>
      </c>
      <c r="GU11" s="48">
        <v>865061.5</v>
      </c>
      <c r="GV11" s="48">
        <v>865713.78599999996</v>
      </c>
      <c r="GW11" s="48">
        <v>866290.29</v>
      </c>
      <c r="GX11" s="48">
        <v>867095.38399999996</v>
      </c>
      <c r="GY11" s="48">
        <v>867823.43599999999</v>
      </c>
      <c r="GZ11" s="48">
        <v>868367.63199999998</v>
      </c>
      <c r="HA11" s="48">
        <v>868983.91899999999</v>
      </c>
      <c r="HB11" s="48">
        <v>869632</v>
      </c>
      <c r="HC11" s="48">
        <v>870241.13100000005</v>
      </c>
      <c r="HD11" s="48">
        <v>870737.21799999999</v>
      </c>
      <c r="HE11" s="48">
        <v>871565.52399999998</v>
      </c>
      <c r="HF11" s="48">
        <v>872132.36600000004</v>
      </c>
      <c r="HG11" s="48">
        <v>872910.93200000003</v>
      </c>
      <c r="HH11" s="48">
        <v>873670.56299999997</v>
      </c>
      <c r="HI11" s="48">
        <v>874335.42099999997</v>
      </c>
      <c r="HJ11" s="48">
        <v>874865.55799999996</v>
      </c>
      <c r="HK11" s="48">
        <v>875419.62</v>
      </c>
      <c r="HL11" s="48">
        <v>876181.19</v>
      </c>
      <c r="HM11" s="48">
        <v>876743.67799999996</v>
      </c>
      <c r="HN11" s="48">
        <v>877366.75</v>
      </c>
      <c r="HO11" s="126"/>
      <c r="HP11" s="48">
        <v>878092.64800000004</v>
      </c>
      <c r="HQ11" s="48">
        <v>878958.24100000004</v>
      </c>
      <c r="HR11" s="48">
        <v>879639.82900000003</v>
      </c>
      <c r="HS11" s="48">
        <v>880340.21499999997</v>
      </c>
      <c r="HT11" s="48">
        <v>881035.75300000003</v>
      </c>
      <c r="HU11" s="48">
        <v>881755.17200000002</v>
      </c>
      <c r="HV11" s="48">
        <v>882594.72600000002</v>
      </c>
      <c r="HW11" s="48">
        <v>883331.99100000004</v>
      </c>
      <c r="HX11" s="48">
        <v>884190.65899999999</v>
      </c>
      <c r="HY11" s="48">
        <v>884823.57200000004</v>
      </c>
      <c r="HZ11" s="48">
        <v>885454.79</v>
      </c>
      <c r="IA11" s="48">
        <v>886141.076</v>
      </c>
      <c r="IB11" s="48">
        <v>886638.01</v>
      </c>
      <c r="IC11" s="48">
        <v>887230.56900000002</v>
      </c>
      <c r="ID11" s="48">
        <v>887994.07</v>
      </c>
      <c r="IE11" s="48">
        <v>888607.56099999999</v>
      </c>
      <c r="IF11" s="48">
        <v>889233.08799999999</v>
      </c>
      <c r="IG11" s="48">
        <v>890097.19200000004</v>
      </c>
      <c r="IH11" s="48">
        <v>890710.88100000005</v>
      </c>
      <c r="II11" s="48">
        <v>891267.65800000005</v>
      </c>
      <c r="IJ11" s="48">
        <v>891829.929</v>
      </c>
      <c r="IK11" s="48">
        <v>892490.86199999996</v>
      </c>
      <c r="IL11" s="48">
        <v>893277.44200000004</v>
      </c>
      <c r="IM11" s="48">
        <v>893861.13699999999</v>
      </c>
      <c r="IN11" s="48">
        <v>894439.495</v>
      </c>
      <c r="IO11" s="48">
        <v>895017.33299999998</v>
      </c>
      <c r="IP11" s="48">
        <v>895666.34499999997</v>
      </c>
      <c r="IQ11" s="48">
        <v>896147.223</v>
      </c>
      <c r="IR11" s="48">
        <v>896650.88899999997</v>
      </c>
      <c r="IS11" s="48">
        <v>897258.299</v>
      </c>
      <c r="IT11" s="48">
        <v>897615.71299999999</v>
      </c>
      <c r="IU11" s="126"/>
      <c r="IV11" s="48">
        <v>898110.56700000004</v>
      </c>
      <c r="IW11" s="48">
        <v>898763.63</v>
      </c>
      <c r="IX11" s="48">
        <v>899366.29399999999</v>
      </c>
      <c r="IY11" s="48">
        <v>899955.83900000004</v>
      </c>
      <c r="IZ11" s="48">
        <v>900619.66599999997</v>
      </c>
      <c r="JA11" s="48">
        <v>901148.11899999995</v>
      </c>
      <c r="JB11" s="48">
        <v>901604.005</v>
      </c>
      <c r="JC11" s="48">
        <v>902177.24</v>
      </c>
      <c r="JD11" s="48">
        <v>902723.326</v>
      </c>
      <c r="JE11" s="48">
        <v>903443.05500000005</v>
      </c>
      <c r="JF11" s="48">
        <v>904058.41899999999</v>
      </c>
      <c r="JG11" s="48">
        <v>904632.353</v>
      </c>
      <c r="JH11" s="48">
        <v>905196.55299999996</v>
      </c>
      <c r="JI11" s="48">
        <v>905542.45700000005</v>
      </c>
      <c r="JJ11" s="48">
        <v>906209.35600000003</v>
      </c>
      <c r="JK11" s="48">
        <v>906788.56200000003</v>
      </c>
      <c r="JL11" s="48">
        <v>907344.62399999995</v>
      </c>
      <c r="JM11" s="48">
        <v>907982.01800000004</v>
      </c>
      <c r="JN11" s="48">
        <v>908726.26500000001</v>
      </c>
      <c r="JO11" s="48">
        <v>909289.66399999999</v>
      </c>
      <c r="JP11" s="48">
        <v>909692.19700000004</v>
      </c>
      <c r="JQ11" s="48">
        <v>910195.96799999999</v>
      </c>
      <c r="JR11" s="48">
        <v>910673.10400000005</v>
      </c>
      <c r="JS11" s="48">
        <v>911178.37100000004</v>
      </c>
      <c r="JT11" s="48">
        <v>911750.68799999997</v>
      </c>
      <c r="JU11" s="48">
        <v>912495.97499999998</v>
      </c>
      <c r="JV11" s="48">
        <v>913371.61699999997</v>
      </c>
      <c r="JW11" s="48">
        <v>913928.424</v>
      </c>
      <c r="JX11" s="48">
        <v>914331.36899999995</v>
      </c>
      <c r="JY11" s="48">
        <v>914980.09600000002</v>
      </c>
      <c r="JZ11" s="126"/>
      <c r="KA11" s="48">
        <v>915453.69400000002</v>
      </c>
      <c r="KB11" s="48">
        <v>916032.15899999999</v>
      </c>
      <c r="KC11" s="48">
        <v>916566.7</v>
      </c>
      <c r="KD11" s="48">
        <v>917090.31099999999</v>
      </c>
      <c r="KE11" s="48">
        <v>917723.973</v>
      </c>
      <c r="KF11" s="48">
        <v>918294.87100000004</v>
      </c>
      <c r="KG11" s="48">
        <v>918975.38300000003</v>
      </c>
      <c r="KH11" s="48">
        <v>919524.35199999996</v>
      </c>
      <c r="KI11" s="48">
        <v>920242.17599999998</v>
      </c>
      <c r="KJ11" s="48">
        <v>920718.70299999998</v>
      </c>
      <c r="KK11" s="48">
        <v>921458.20400000003</v>
      </c>
      <c r="KL11" s="48">
        <v>922034.75300000003</v>
      </c>
      <c r="KM11" s="48">
        <v>922710.43299999996</v>
      </c>
      <c r="KN11" s="48">
        <v>923252.54700000002</v>
      </c>
      <c r="KO11" s="48">
        <v>923891.75100000005</v>
      </c>
      <c r="KP11" s="48">
        <v>924360.85100000002</v>
      </c>
      <c r="KQ11" s="48">
        <v>925015.255</v>
      </c>
      <c r="KR11" s="48">
        <v>925570.64599999995</v>
      </c>
      <c r="KS11" s="48">
        <v>926117.66399999999</v>
      </c>
      <c r="KT11" s="48">
        <v>926744.71400000004</v>
      </c>
      <c r="KU11" s="48">
        <v>927210.62199999997</v>
      </c>
      <c r="KV11" s="48">
        <v>927792.37199999997</v>
      </c>
      <c r="KW11" s="48">
        <v>928423.25300000003</v>
      </c>
      <c r="KX11" s="48">
        <v>929124.68599999999</v>
      </c>
      <c r="KY11" s="48">
        <v>929679.08900000004</v>
      </c>
      <c r="KZ11" s="48">
        <v>930425.59</v>
      </c>
      <c r="LA11" s="48">
        <v>931078.33900000004</v>
      </c>
      <c r="LB11" s="48">
        <v>931830.18</v>
      </c>
      <c r="LC11" s="48">
        <v>932412.89500000002</v>
      </c>
      <c r="LD11" s="48">
        <v>932961.42200000002</v>
      </c>
      <c r="LE11" s="48">
        <v>933660.93200000003</v>
      </c>
      <c r="LF11" s="126"/>
      <c r="LG11" s="48">
        <v>934533.51800000004</v>
      </c>
      <c r="LH11" s="48">
        <v>935164.33499999996</v>
      </c>
      <c r="LI11" s="48">
        <v>935827.38</v>
      </c>
      <c r="LJ11" s="48">
        <v>936610.98</v>
      </c>
      <c r="LK11" s="48">
        <v>937269.04599999997</v>
      </c>
      <c r="LL11" s="48">
        <v>937815.73800000001</v>
      </c>
      <c r="LM11" s="48">
        <v>938580.85</v>
      </c>
      <c r="LN11" s="48">
        <v>939351.01800000004</v>
      </c>
      <c r="LO11" s="48">
        <v>939913.16200000001</v>
      </c>
      <c r="LP11" s="48">
        <v>940561.375</v>
      </c>
      <c r="LQ11" s="48">
        <v>941158.59</v>
      </c>
      <c r="LR11" s="48">
        <v>941745.147</v>
      </c>
      <c r="LS11" s="48">
        <v>942262.92099999997</v>
      </c>
      <c r="LT11" s="48">
        <v>942991.13300000003</v>
      </c>
      <c r="LU11" s="48">
        <v>943940.098</v>
      </c>
      <c r="LV11" s="48">
        <v>944558.9</v>
      </c>
      <c r="LW11" s="48">
        <v>945137.16899999999</v>
      </c>
      <c r="LX11" s="48">
        <v>945780.56099999999</v>
      </c>
      <c r="LY11" s="48">
        <v>946394.69200000004</v>
      </c>
      <c r="LZ11" s="48">
        <v>947063.57299999997</v>
      </c>
      <c r="MA11" s="48">
        <v>947878.52599999995</v>
      </c>
      <c r="MB11" s="48">
        <v>948561.66099999996</v>
      </c>
      <c r="MC11" s="48">
        <v>949363.674</v>
      </c>
      <c r="MD11" s="48">
        <v>949964.33900000004</v>
      </c>
      <c r="ME11" s="48">
        <v>950622.51899999997</v>
      </c>
      <c r="MF11" s="48">
        <v>951228.20600000001</v>
      </c>
      <c r="MG11" s="48">
        <v>951784.41399999999</v>
      </c>
      <c r="MH11" s="48">
        <v>952349.69299999997</v>
      </c>
      <c r="MI11" s="48">
        <v>952960.88800000004</v>
      </c>
      <c r="MJ11" s="48">
        <v>953522.46499999997</v>
      </c>
      <c r="MK11" s="126"/>
      <c r="ML11" s="48">
        <v>954179.125</v>
      </c>
      <c r="MM11" s="48">
        <v>954761.87100000004</v>
      </c>
      <c r="MN11" s="48">
        <v>955380.48499999999</v>
      </c>
      <c r="MO11" s="48">
        <v>956050.46699999995</v>
      </c>
      <c r="MP11" s="48">
        <v>956664.745</v>
      </c>
      <c r="MQ11" s="48">
        <v>957268.28700000001</v>
      </c>
      <c r="MR11" s="48">
        <v>957969.16299999994</v>
      </c>
      <c r="MS11" s="48">
        <v>958602.66299999994</v>
      </c>
      <c r="MT11" s="48">
        <v>958990.79200000002</v>
      </c>
      <c r="MU11" s="48">
        <v>959488.6</v>
      </c>
      <c r="MV11" s="48">
        <v>960038.26699999999</v>
      </c>
      <c r="MW11" s="48">
        <v>960684.25899999996</v>
      </c>
      <c r="MX11" s="48">
        <v>961600.38699999999</v>
      </c>
      <c r="MY11" s="48">
        <v>962059.39300000004</v>
      </c>
      <c r="MZ11" s="48">
        <v>962553.20700000005</v>
      </c>
      <c r="NA11" s="48">
        <v>963309.06900000002</v>
      </c>
      <c r="NB11" s="48">
        <v>963876.23100000003</v>
      </c>
      <c r="NC11" s="48">
        <v>964532.49399999995</v>
      </c>
      <c r="ND11" s="48">
        <v>965100.70799999998</v>
      </c>
      <c r="NE11" s="48">
        <v>965732.88500000001</v>
      </c>
      <c r="NF11" s="48">
        <v>966118.49600000004</v>
      </c>
      <c r="NG11" s="48">
        <v>966615.97499999998</v>
      </c>
      <c r="NH11" s="48">
        <v>967073.96200000006</v>
      </c>
      <c r="NI11" s="48">
        <v>967607.41399999999</v>
      </c>
      <c r="NJ11" s="48">
        <v>968180.42700000003</v>
      </c>
      <c r="NK11" s="48">
        <v>968864.272</v>
      </c>
      <c r="NL11" s="48">
        <v>969597.61199999996</v>
      </c>
      <c r="NM11" s="48">
        <v>970055.89300000004</v>
      </c>
      <c r="NN11" s="48">
        <v>970621.40500000003</v>
      </c>
      <c r="NO11" s="48">
        <v>971203.78099999996</v>
      </c>
      <c r="NP11" s="48">
        <v>971637.85</v>
      </c>
      <c r="NQ11" s="126"/>
      <c r="NR11" s="48">
        <v>972227.95400000003</v>
      </c>
      <c r="NS11" s="48">
        <v>972828.41099999996</v>
      </c>
      <c r="NT11" s="48">
        <v>973568.14300000004</v>
      </c>
      <c r="NU11" s="48">
        <v>974104.277</v>
      </c>
      <c r="NV11" s="48">
        <v>974679.24699999997</v>
      </c>
      <c r="NW11" s="48">
        <v>975403.4</v>
      </c>
      <c r="NX11" s="48">
        <v>975915.58499999996</v>
      </c>
      <c r="NY11" s="48">
        <v>976593.40800000005</v>
      </c>
      <c r="NZ11" s="48">
        <v>977254.59</v>
      </c>
      <c r="OA11" s="48">
        <v>977946.86300000001</v>
      </c>
      <c r="OB11" s="48">
        <v>978603.03500000003</v>
      </c>
      <c r="OC11" s="48">
        <v>979159.81</v>
      </c>
      <c r="OD11" s="48">
        <v>979727.91599999997</v>
      </c>
      <c r="OE11" s="48">
        <v>980279.45400000003</v>
      </c>
      <c r="OF11" s="48">
        <v>980941.66399999999</v>
      </c>
      <c r="OG11" s="48">
        <v>981659.14500000002</v>
      </c>
      <c r="OH11" s="48">
        <v>982395.08100000001</v>
      </c>
      <c r="OI11" s="48">
        <v>982970.65599999996</v>
      </c>
      <c r="OJ11" s="48">
        <v>983672.56200000003</v>
      </c>
      <c r="OK11" s="48">
        <v>984291.14399999997</v>
      </c>
      <c r="OL11" s="48">
        <v>984845.36800000002</v>
      </c>
      <c r="OM11" s="48">
        <v>985480.076</v>
      </c>
      <c r="ON11" s="48">
        <v>986127.70700000005</v>
      </c>
      <c r="OO11" s="48">
        <v>986801.69299999997</v>
      </c>
      <c r="OP11" s="48">
        <v>987342.745</v>
      </c>
      <c r="OQ11" s="48">
        <v>987936.79299999995</v>
      </c>
      <c r="OR11" s="48">
        <v>988597.66399999999</v>
      </c>
      <c r="OS11" s="48">
        <v>989210.41200000001</v>
      </c>
      <c r="OT11" s="48">
        <v>989880.85800000001</v>
      </c>
      <c r="OU11" s="48">
        <v>990392.03399999999</v>
      </c>
      <c r="OV11" s="48">
        <v>991178.33</v>
      </c>
      <c r="OW11" s="126"/>
      <c r="OX11" s="48">
        <v>991787.31799999997</v>
      </c>
      <c r="OY11" s="48">
        <v>992554.50800000003</v>
      </c>
      <c r="OZ11" s="48">
        <v>993241.82799999998</v>
      </c>
      <c r="PA11" s="48">
        <v>993853.30200000003</v>
      </c>
      <c r="PB11" s="48">
        <v>994530.14599999995</v>
      </c>
      <c r="PC11" s="48">
        <v>995266.76800000004</v>
      </c>
      <c r="PD11" s="48">
        <v>995895.93299999996</v>
      </c>
      <c r="PE11" s="48">
        <v>996529.29500000004</v>
      </c>
      <c r="PF11" s="48">
        <v>997218.46</v>
      </c>
      <c r="PG11" s="48">
        <v>997794.299</v>
      </c>
      <c r="PH11" s="48">
        <v>998352.60499999998</v>
      </c>
      <c r="PI11" s="48">
        <v>998928.24600000004</v>
      </c>
      <c r="PJ11" s="48">
        <v>999659.61899999995</v>
      </c>
      <c r="PK11" s="48">
        <v>1000351.853</v>
      </c>
      <c r="PL11" s="48">
        <v>1000983.914</v>
      </c>
      <c r="PM11" s="48">
        <v>1001589.514</v>
      </c>
      <c r="PN11" s="48">
        <v>1002154.852</v>
      </c>
      <c r="PO11" s="48">
        <v>1002722.5870000001</v>
      </c>
      <c r="PP11" s="48">
        <v>1003289.8370000001</v>
      </c>
      <c r="PQ11" s="48">
        <v>1003871.893</v>
      </c>
      <c r="PR11" s="48">
        <v>1004380.61</v>
      </c>
      <c r="PS11" s="48">
        <v>1004919.906</v>
      </c>
      <c r="PT11" s="48">
        <v>1005459.184</v>
      </c>
      <c r="PU11" s="48">
        <v>1005994.579</v>
      </c>
      <c r="PV11" s="48">
        <v>1006481.956</v>
      </c>
      <c r="PW11" s="48">
        <v>1006981.88</v>
      </c>
      <c r="PX11" s="48">
        <v>1007609.193</v>
      </c>
      <c r="PY11" s="48">
        <v>1008127.872</v>
      </c>
      <c r="PZ11" s="48">
        <v>1008397.492</v>
      </c>
      <c r="QA11" s="48">
        <v>1008958.455</v>
      </c>
      <c r="QB11" s="126"/>
      <c r="QC11" s="48">
        <v>1009410.8370000001</v>
      </c>
      <c r="QD11" s="48">
        <v>1009902.321</v>
      </c>
      <c r="QE11" s="48">
        <v>1010519.421</v>
      </c>
      <c r="QF11" s="48">
        <v>1011444.955</v>
      </c>
      <c r="QG11" s="48">
        <v>1012264.892</v>
      </c>
      <c r="QH11" s="48">
        <v>1012914.492</v>
      </c>
      <c r="QI11" s="48">
        <v>1013641.404</v>
      </c>
      <c r="QJ11" s="48">
        <v>1014190.649</v>
      </c>
      <c r="QK11" s="48">
        <v>1014845.05</v>
      </c>
      <c r="QL11" s="48">
        <v>1015535.607</v>
      </c>
      <c r="QM11" s="48">
        <v>1016253.924</v>
      </c>
      <c r="QN11" s="48">
        <v>1016930.839</v>
      </c>
      <c r="QO11" s="48">
        <v>1017597.306</v>
      </c>
      <c r="QP11" s="48">
        <v>1018310.8860000001</v>
      </c>
      <c r="QQ11" s="48">
        <v>1019032.973</v>
      </c>
      <c r="QR11" s="48">
        <v>1019555.873</v>
      </c>
      <c r="QS11" s="48">
        <v>1020060.763</v>
      </c>
      <c r="QT11" s="48">
        <v>1020765.22</v>
      </c>
      <c r="QU11" s="48">
        <v>1021490.12</v>
      </c>
      <c r="QV11" s="48">
        <v>1022032.52</v>
      </c>
      <c r="QW11" s="48">
        <v>1022559.624</v>
      </c>
      <c r="QX11" s="48">
        <v>1023068.049</v>
      </c>
      <c r="QY11" s="48">
        <v>1023664.12</v>
      </c>
      <c r="QZ11" s="48">
        <v>1024127.99</v>
      </c>
      <c r="RA11" s="48">
        <v>1024841.11</v>
      </c>
      <c r="RB11" s="48">
        <v>1025413.71</v>
      </c>
      <c r="RC11" s="48">
        <v>1025874.71</v>
      </c>
      <c r="RD11" s="48">
        <v>1026372.069</v>
      </c>
      <c r="RE11" s="48">
        <v>1027033.791</v>
      </c>
      <c r="RF11" s="48">
        <v>1027403</v>
      </c>
      <c r="RG11" s="48">
        <v>1028013.277</v>
      </c>
      <c r="RH11" s="126"/>
      <c r="RI11" s="48">
        <v>1028624.338</v>
      </c>
      <c r="RJ11" s="48">
        <v>1029326.01</v>
      </c>
      <c r="RK11" s="48">
        <v>1029884.078</v>
      </c>
      <c r="RL11" s="48">
        <v>1030563.037</v>
      </c>
      <c r="RM11" s="48">
        <v>1031116.937</v>
      </c>
      <c r="RN11" s="48">
        <v>1031530.478</v>
      </c>
      <c r="RO11" s="48">
        <v>1031970.5379999999</v>
      </c>
      <c r="RP11" s="48">
        <v>1032481.049</v>
      </c>
      <c r="RQ11" s="48">
        <v>1033058.922</v>
      </c>
      <c r="RR11" s="48">
        <v>1033505.257</v>
      </c>
      <c r="RS11" s="48">
        <v>1034062.356</v>
      </c>
      <c r="RT11" s="48">
        <v>1034521.882</v>
      </c>
      <c r="RU11" s="48">
        <v>1035116.7439999999</v>
      </c>
      <c r="RV11" s="48">
        <v>1035698.228</v>
      </c>
      <c r="RW11" s="48">
        <v>1036405.634</v>
      </c>
      <c r="RX11" s="48">
        <v>1036946.019</v>
      </c>
      <c r="RY11" s="48">
        <v>1037574.861</v>
      </c>
      <c r="RZ11" s="48">
        <v>1038236.667</v>
      </c>
      <c r="SA11" s="48">
        <v>1038878.482</v>
      </c>
      <c r="SB11" s="48">
        <v>1039425.446</v>
      </c>
      <c r="SC11" s="48">
        <v>1039904.139</v>
      </c>
      <c r="SD11" s="48">
        <v>1040559.996</v>
      </c>
      <c r="SE11" s="48">
        <v>1041236.151</v>
      </c>
      <c r="SF11" s="48">
        <v>1041659.388</v>
      </c>
      <c r="SG11" s="48">
        <v>1042146.066</v>
      </c>
      <c r="SH11" s="48">
        <v>1042782.693</v>
      </c>
      <c r="SI11" s="48">
        <v>1043249.153</v>
      </c>
      <c r="SJ11" s="48">
        <v>1043858.415</v>
      </c>
      <c r="SK11" s="48">
        <v>1044501.992</v>
      </c>
      <c r="SL11" s="48">
        <v>1045144.85</v>
      </c>
      <c r="SM11" s="126"/>
      <c r="SN11" s="48">
        <v>1045675.299</v>
      </c>
      <c r="SO11" s="48">
        <v>1046302.7709999999</v>
      </c>
      <c r="SP11" s="48">
        <v>1046799.397</v>
      </c>
      <c r="SQ11" s="48">
        <v>1047411.33</v>
      </c>
      <c r="SR11" s="48">
        <v>1047919.746</v>
      </c>
      <c r="SS11" s="48">
        <v>1048576.6170000001</v>
      </c>
      <c r="ST11" s="48">
        <v>1049177.608</v>
      </c>
      <c r="SU11" s="48">
        <v>1049721.791</v>
      </c>
      <c r="SV11" s="48">
        <v>1050426.834</v>
      </c>
      <c r="SW11" s="48">
        <v>1050963.1459999999</v>
      </c>
      <c r="SX11" s="48">
        <v>1051490.8149999999</v>
      </c>
      <c r="SY11" s="48">
        <v>1052124.632</v>
      </c>
      <c r="SZ11" s="48">
        <v>1052767.048</v>
      </c>
      <c r="TA11" s="48">
        <v>1053439.0560000001</v>
      </c>
      <c r="TB11" s="48">
        <v>1053931.466</v>
      </c>
      <c r="TC11" s="48">
        <v>1054468.987</v>
      </c>
      <c r="TD11" s="48">
        <v>1055084.0660000001</v>
      </c>
      <c r="TE11" s="48">
        <v>1055587.2660000001</v>
      </c>
      <c r="TF11" s="48">
        <v>1056299.0889999999</v>
      </c>
      <c r="TG11" s="48">
        <v>1056980.3899999999</v>
      </c>
      <c r="TH11" s="48">
        <v>1057635.6310000001</v>
      </c>
      <c r="TI11" s="48">
        <v>1058354.551</v>
      </c>
      <c r="TJ11" s="48">
        <v>1059083.017</v>
      </c>
      <c r="TK11" s="48">
        <v>1059745.9169999999</v>
      </c>
      <c r="TL11" s="48">
        <v>1060415.92</v>
      </c>
      <c r="TM11" s="48">
        <v>1060998.879</v>
      </c>
      <c r="TN11" s="48">
        <v>1061591.6710000001</v>
      </c>
      <c r="TO11" s="48">
        <v>1062130.0120000001</v>
      </c>
      <c r="TP11" s="48">
        <v>1062661.132</v>
      </c>
      <c r="TQ11" s="48">
        <v>1063351.1640000001</v>
      </c>
      <c r="TR11" s="48">
        <v>1063980.348</v>
      </c>
      <c r="TS11" s="126"/>
      <c r="TT11" s="48">
        <v>1064329.58</v>
      </c>
      <c r="TU11" s="48">
        <v>1064760.1910000001</v>
      </c>
      <c r="TV11" s="48">
        <v>1065301.351</v>
      </c>
      <c r="TW11" s="48">
        <v>1065896.67</v>
      </c>
      <c r="TX11" s="48">
        <v>1066398.709</v>
      </c>
      <c r="TY11" s="48">
        <v>1067008.284</v>
      </c>
      <c r="TZ11" s="48">
        <v>1067615.45</v>
      </c>
      <c r="UA11" s="48">
        <v>1068169.29</v>
      </c>
      <c r="UB11" s="48">
        <v>1068767.8870000001</v>
      </c>
      <c r="UC11" s="48">
        <v>1069455.7450000001</v>
      </c>
      <c r="UD11" s="48">
        <v>1070158.959</v>
      </c>
      <c r="UE11" s="48">
        <v>1070657.4099999999</v>
      </c>
      <c r="UF11" s="48">
        <v>1071239.077</v>
      </c>
      <c r="UG11" s="48">
        <v>1071817.051</v>
      </c>
      <c r="UH11" s="48">
        <v>1072378.8060000001</v>
      </c>
      <c r="UI11" s="48">
        <v>1072925.581</v>
      </c>
      <c r="UJ11" s="48">
        <v>1073561.594</v>
      </c>
      <c r="UK11" s="48">
        <v>1074187.6329999999</v>
      </c>
      <c r="UL11" s="48">
        <v>1074913.939</v>
      </c>
      <c r="UM11" s="48">
        <v>1075367.8959999999</v>
      </c>
      <c r="UN11" s="48">
        <v>1075939.2290000001</v>
      </c>
      <c r="UO11" s="48">
        <v>1076418.348</v>
      </c>
      <c r="UP11" s="48">
        <v>1076924.52</v>
      </c>
      <c r="UQ11" s="48">
        <v>1077640.9950000001</v>
      </c>
      <c r="UR11" s="48">
        <v>1078241.426</v>
      </c>
      <c r="US11" s="48">
        <v>1078816.7050000001</v>
      </c>
      <c r="UT11" s="48">
        <v>1079529.9669999999</v>
      </c>
      <c r="UU11" s="48">
        <v>1080158.524</v>
      </c>
      <c r="UV11" s="48">
        <v>1080718.5719999999</v>
      </c>
      <c r="UW11" s="48">
        <v>1081185.3559999999</v>
      </c>
      <c r="UX11" s="48">
        <v>1081802.0649999999</v>
      </c>
      <c r="UY11" s="126"/>
      <c r="UZ11" s="48">
        <v>1082483.044</v>
      </c>
      <c r="VA11" s="48">
        <v>1083003.875</v>
      </c>
      <c r="VB11" s="48">
        <v>1083644.9369999999</v>
      </c>
      <c r="VC11" s="48">
        <v>1084161.5079999999</v>
      </c>
      <c r="VD11" s="48">
        <v>1084855.0090000001</v>
      </c>
      <c r="VE11" s="48">
        <v>1085462.6100000001</v>
      </c>
      <c r="VF11" s="48">
        <v>1086095.375</v>
      </c>
      <c r="VG11" s="48">
        <v>1086707.665</v>
      </c>
      <c r="VH11" s="48">
        <v>1087293.4040000001</v>
      </c>
      <c r="VI11" s="48">
        <v>1087846.166</v>
      </c>
      <c r="VJ11" s="48">
        <v>1088389.2139999999</v>
      </c>
      <c r="VK11" s="48">
        <v>1088967.487</v>
      </c>
      <c r="VL11" s="48">
        <v>1089392.0020000001</v>
      </c>
      <c r="VM11" s="48">
        <v>1090067.058</v>
      </c>
      <c r="VN11" s="48">
        <v>1090589.098</v>
      </c>
      <c r="VO11" s="48">
        <v>1091216.5789999999</v>
      </c>
      <c r="VP11" s="48">
        <v>1091826.4990000001</v>
      </c>
      <c r="VQ11" s="48">
        <v>1092337.6599999999</v>
      </c>
      <c r="VR11" s="48">
        <v>1092971.0249999999</v>
      </c>
      <c r="VS11" s="48">
        <v>1093499.0649999999</v>
      </c>
      <c r="VT11" s="48">
        <v>1094121.858</v>
      </c>
      <c r="VU11" s="48">
        <v>1094943.3829999999</v>
      </c>
      <c r="VV11" s="48">
        <v>1095488.2819999999</v>
      </c>
      <c r="VW11" s="48">
        <v>1095933.2949999999</v>
      </c>
      <c r="VX11" s="48">
        <v>1096535.5689999999</v>
      </c>
      <c r="VY11" s="48">
        <v>1097047.2039999999</v>
      </c>
      <c r="VZ11" s="48">
        <v>1097717.8529999999</v>
      </c>
      <c r="WA11" s="48">
        <v>1098247.8470000001</v>
      </c>
      <c r="WB11" s="126"/>
      <c r="WC11" s="48">
        <v>1099010.568</v>
      </c>
      <c r="WD11" s="48">
        <v>1099599.8770000001</v>
      </c>
      <c r="WE11" s="48">
        <v>1100287.5619999999</v>
      </c>
      <c r="WF11" s="48">
        <v>1100805.719</v>
      </c>
      <c r="WG11" s="48">
        <v>1101287.02</v>
      </c>
      <c r="WH11" s="48">
        <v>1101750.0260000001</v>
      </c>
      <c r="WI11" s="48">
        <v>1102223.1140000001</v>
      </c>
      <c r="WJ11" s="48">
        <v>1102695.9720000001</v>
      </c>
      <c r="WK11" s="48">
        <v>1103191.5260000001</v>
      </c>
      <c r="WL11" s="48">
        <v>1103861.112</v>
      </c>
      <c r="WM11" s="48">
        <v>1104579.4920000001</v>
      </c>
      <c r="WN11" s="48">
        <v>1105071.31</v>
      </c>
      <c r="WO11" s="48">
        <v>1105571.094</v>
      </c>
      <c r="WP11" s="48">
        <v>1106156.3959999999</v>
      </c>
      <c r="WQ11" s="48">
        <v>1106814.3799999999</v>
      </c>
      <c r="WR11" s="48">
        <v>1107230.852</v>
      </c>
      <c r="WS11" s="48">
        <v>1107641.95</v>
      </c>
      <c r="WT11" s="48">
        <v>1108173.2309999999</v>
      </c>
      <c r="WU11" s="48">
        <v>1108705.6510000001</v>
      </c>
      <c r="WV11" s="48">
        <v>1109206.544</v>
      </c>
      <c r="WW11" s="48">
        <v>1109703.4909999999</v>
      </c>
      <c r="WX11" s="48">
        <v>1110316.693</v>
      </c>
      <c r="WY11" s="48">
        <v>1110895.882</v>
      </c>
      <c r="WZ11" s="48">
        <v>1111333.2039999999</v>
      </c>
      <c r="XA11" s="48">
        <v>1111818.392</v>
      </c>
      <c r="XB11" s="48">
        <v>1112353.2690000001</v>
      </c>
      <c r="XC11" s="48">
        <v>1113138.9110000001</v>
      </c>
      <c r="XD11" s="48">
        <v>1113810.267</v>
      </c>
      <c r="XE11" s="48">
        <v>1114512.5589999999</v>
      </c>
      <c r="XF11" s="48">
        <v>1115129.2390000001</v>
      </c>
      <c r="XG11" s="48">
        <v>1115596.4920000001</v>
      </c>
      <c r="XH11" s="126"/>
      <c r="XI11" s="48">
        <v>1116127.6939999999</v>
      </c>
      <c r="XJ11" s="48">
        <v>1116549.5109999999</v>
      </c>
      <c r="XK11" s="48">
        <v>1117059.6370000001</v>
      </c>
      <c r="XL11" s="48">
        <v>1117582.2209999999</v>
      </c>
      <c r="XM11" s="48">
        <v>1118203.179</v>
      </c>
      <c r="XN11" s="48">
        <v>1118708.3030000001</v>
      </c>
      <c r="XO11" s="48">
        <v>1119329.49</v>
      </c>
      <c r="XP11" s="48">
        <v>1119851.443</v>
      </c>
      <c r="XQ11" s="48">
        <v>1120331.4850000001</v>
      </c>
      <c r="XR11" s="48">
        <v>1120983.825</v>
      </c>
      <c r="XS11" s="48">
        <v>1121540.602</v>
      </c>
      <c r="XT11" s="48">
        <v>1122226.094</v>
      </c>
      <c r="XU11" s="48">
        <v>1122794.8559999999</v>
      </c>
      <c r="XV11" s="48">
        <v>1123269.8230000001</v>
      </c>
      <c r="XW11" s="48">
        <v>1123842.594</v>
      </c>
      <c r="XX11" s="48">
        <v>1124494.4029999999</v>
      </c>
      <c r="XY11" s="48">
        <v>1125113.1569999999</v>
      </c>
      <c r="XZ11" s="48">
        <v>1125670.0009999999</v>
      </c>
      <c r="YA11" s="48">
        <v>1126466.5759999999</v>
      </c>
      <c r="YB11" s="48">
        <v>1126829.551</v>
      </c>
      <c r="YC11" s="48">
        <v>1127352.504</v>
      </c>
      <c r="YD11" s="48">
        <v>1127970.3030000001</v>
      </c>
      <c r="YE11" s="48">
        <v>1128418.6470000001</v>
      </c>
      <c r="YF11" s="48">
        <v>1129009.6599999999</v>
      </c>
      <c r="YG11" s="48">
        <v>1129642.281</v>
      </c>
      <c r="YH11" s="48">
        <v>1130229.254</v>
      </c>
      <c r="YI11" s="48">
        <v>1130835.6470000001</v>
      </c>
      <c r="YJ11" s="48">
        <v>1131326.4779999999</v>
      </c>
      <c r="YK11" s="48">
        <v>1131870.5419999999</v>
      </c>
      <c r="YL11" s="48">
        <v>1132429.939</v>
      </c>
      <c r="YM11" s="126"/>
      <c r="YN11" s="48">
        <v>1132960.973</v>
      </c>
      <c r="YO11" s="48">
        <v>1133784.524</v>
      </c>
      <c r="YP11" s="48">
        <v>1134494.3489999999</v>
      </c>
      <c r="YQ11" s="48">
        <v>1135147.67</v>
      </c>
      <c r="YR11" s="48">
        <v>1136050.7919999999</v>
      </c>
      <c r="YS11" s="48">
        <v>1136922.6769999999</v>
      </c>
      <c r="YT11" s="48">
        <v>1137426.9450000001</v>
      </c>
      <c r="YU11" s="48">
        <v>1137426.9450000001</v>
      </c>
      <c r="YV11" s="48">
        <v>1137938.2830000001</v>
      </c>
      <c r="YW11" s="48">
        <v>1138644.996</v>
      </c>
      <c r="YX11" s="48">
        <v>1139150.3629999999</v>
      </c>
      <c r="YY11" s="48">
        <v>1139713.0079999999</v>
      </c>
      <c r="YZ11" s="48">
        <v>1140200.7930000001</v>
      </c>
      <c r="ZA11" s="48">
        <v>1140725.05</v>
      </c>
      <c r="ZB11" s="48">
        <v>1141243.3929999999</v>
      </c>
      <c r="ZC11" s="48">
        <v>1141748.682</v>
      </c>
      <c r="ZD11" s="48">
        <v>1142405.7620000001</v>
      </c>
      <c r="ZE11" s="48">
        <v>1143167.0009999999</v>
      </c>
      <c r="ZF11" s="48">
        <v>1143910.416</v>
      </c>
      <c r="ZG11" s="48">
        <v>1144589.324</v>
      </c>
      <c r="ZH11" s="48">
        <v>1145161.67</v>
      </c>
      <c r="ZI11" s="48">
        <v>1145731.189</v>
      </c>
      <c r="ZJ11" s="48">
        <v>1146419.1200000001</v>
      </c>
      <c r="ZK11" s="48">
        <v>1147277.892</v>
      </c>
      <c r="ZL11" s="48">
        <v>1148017.8959999999</v>
      </c>
      <c r="ZM11" s="48">
        <v>1148711.19</v>
      </c>
      <c r="ZN11" s="48">
        <v>1149279.879</v>
      </c>
      <c r="ZO11" s="48">
        <v>1149897.503</v>
      </c>
      <c r="ZP11" s="48">
        <v>1150506.7279999999</v>
      </c>
      <c r="ZQ11" s="48">
        <v>1151132.287</v>
      </c>
      <c r="ZR11" s="48">
        <v>1151905.76</v>
      </c>
      <c r="ZS11" s="126"/>
      <c r="ZT11" s="48">
        <v>1152626.9609999999</v>
      </c>
      <c r="ZU11" s="48">
        <v>1153265.942</v>
      </c>
      <c r="ZV11" s="48">
        <v>1154038.5789999999</v>
      </c>
      <c r="ZW11" s="48">
        <v>1154683.159</v>
      </c>
      <c r="ZX11" s="48">
        <v>1155464.828</v>
      </c>
      <c r="ZY11" s="48">
        <v>1156224.9809999999</v>
      </c>
      <c r="ZZ11" s="48">
        <v>1156952.243</v>
      </c>
      <c r="AAA11" s="48">
        <v>1157739.314</v>
      </c>
      <c r="AAB11" s="48">
        <v>1158344.7339999999</v>
      </c>
      <c r="AAC11" s="48">
        <v>1158988.642</v>
      </c>
      <c r="AAD11" s="48">
        <v>1159622.3060000001</v>
      </c>
      <c r="AAE11" s="48">
        <v>1160201.69</v>
      </c>
      <c r="AAF11" s="48">
        <v>1160927.8729999999</v>
      </c>
      <c r="AAG11" s="48">
        <v>1161700.3</v>
      </c>
      <c r="AAH11" s="48">
        <v>1162365.1089999999</v>
      </c>
      <c r="AAI11" s="48">
        <v>1163128.308</v>
      </c>
      <c r="AAJ11" s="48">
        <v>1163813.2609999999</v>
      </c>
      <c r="AAK11" s="48">
        <v>1164451.1200000001</v>
      </c>
      <c r="AAL11" s="48">
        <v>1165181.068</v>
      </c>
      <c r="AAM11" s="48">
        <v>1165867.645</v>
      </c>
      <c r="AAN11" s="48">
        <v>1166667.2320000001</v>
      </c>
      <c r="AAO11" s="48">
        <v>1167195.571</v>
      </c>
      <c r="AAP11" s="48">
        <v>1167817.0889999999</v>
      </c>
      <c r="AAQ11" s="48">
        <v>1168396.5789999999</v>
      </c>
      <c r="AAR11" s="48">
        <v>1168979.1499999999</v>
      </c>
      <c r="AAS11" s="48">
        <v>1169687.9979999999</v>
      </c>
      <c r="AAT11" s="48">
        <v>1170411.7649999999</v>
      </c>
      <c r="AAU11" s="48">
        <v>1171146.831</v>
      </c>
      <c r="AAV11" s="48">
        <v>1171659.0490000001</v>
      </c>
      <c r="AAW11" s="48">
        <v>1172394.037</v>
      </c>
      <c r="AAX11" s="126"/>
      <c r="AAY11" s="48">
        <v>1172997.07</v>
      </c>
      <c r="AAZ11" s="48">
        <v>1173592.8370000001</v>
      </c>
      <c r="ABA11" s="48">
        <v>1174175.733</v>
      </c>
      <c r="ABB11" s="48">
        <v>1174917.5989999999</v>
      </c>
      <c r="ABC11" s="48">
        <v>1175981.25</v>
      </c>
      <c r="ABD11" s="48">
        <v>1176548.7960000001</v>
      </c>
      <c r="ABE11" s="48">
        <v>1177141.6780000001</v>
      </c>
      <c r="ABF11" s="48">
        <v>1177751.2039999999</v>
      </c>
      <c r="ABG11" s="48">
        <v>1178395.6529999999</v>
      </c>
      <c r="ABH11" s="48">
        <v>1179022.6640000001</v>
      </c>
      <c r="ABI11" s="48">
        <v>1179731.2849999999</v>
      </c>
      <c r="ABJ11" s="48">
        <v>1180204.0319999999</v>
      </c>
      <c r="ABK11" s="48">
        <v>1181034.504</v>
      </c>
      <c r="ABL11" s="48">
        <v>1181674.4099999999</v>
      </c>
      <c r="ABM11" s="48">
        <v>1182371.43</v>
      </c>
      <c r="ABN11" s="48">
        <v>1183112.4369999999</v>
      </c>
      <c r="ABO11" s="48">
        <v>1183854.5060000001</v>
      </c>
      <c r="ABP11" s="48">
        <v>1184511.3629999999</v>
      </c>
      <c r="ABQ11" s="48">
        <v>1185231.8910000001</v>
      </c>
      <c r="ABR11" s="48">
        <v>1186031.8929999999</v>
      </c>
      <c r="ABS11" s="48">
        <v>1186778.419</v>
      </c>
      <c r="ABT11" s="48">
        <v>1187554.825</v>
      </c>
      <c r="ABU11" s="48">
        <v>1188314.1529999999</v>
      </c>
      <c r="ABV11" s="48">
        <v>1188995.9580000001</v>
      </c>
      <c r="ABW11" s="48">
        <v>1189858.1229999999</v>
      </c>
      <c r="ABX11" s="48">
        <v>1190726.3430000001</v>
      </c>
      <c r="ABY11" s="48">
        <v>1191388.578</v>
      </c>
      <c r="ABZ11" s="48">
        <v>1192005.2180000001</v>
      </c>
      <c r="ACA11" s="48">
        <v>1192673.0589999999</v>
      </c>
      <c r="ACB11" s="48">
        <v>1193302.8160000001</v>
      </c>
      <c r="ACC11" s="48">
        <v>1193960.159</v>
      </c>
      <c r="ACD11" s="126"/>
      <c r="ACE11" s="48">
        <v>1194593.2039999999</v>
      </c>
      <c r="ACF11" s="48">
        <v>1195301.1580000001</v>
      </c>
      <c r="ACG11" s="48">
        <v>1196073.3999999999</v>
      </c>
      <c r="ACH11" s="48">
        <v>1196871.3289999999</v>
      </c>
      <c r="ACI11" s="48">
        <v>1197634.577</v>
      </c>
      <c r="ACJ11" s="48">
        <v>1198224.351</v>
      </c>
      <c r="ACK11" s="48">
        <v>1198931.5490000001</v>
      </c>
      <c r="ACL11" s="48">
        <v>1199577.156</v>
      </c>
      <c r="ACM11" s="48">
        <v>1200099.7439999999</v>
      </c>
      <c r="ACN11" s="48">
        <v>1200674.406</v>
      </c>
      <c r="ACO11" s="48">
        <v>1201444.1540000001</v>
      </c>
      <c r="ACP11" s="48">
        <v>1201969.5249999999</v>
      </c>
      <c r="ACQ11" s="48">
        <v>1202518.04</v>
      </c>
      <c r="ACR11" s="48">
        <v>1203172.6769999999</v>
      </c>
      <c r="ACS11" s="48">
        <v>1203896.8419999999</v>
      </c>
      <c r="ACT11" s="48">
        <v>1204418.9669999999</v>
      </c>
      <c r="ACU11" s="48">
        <v>1204943.831</v>
      </c>
      <c r="ACV11" s="48">
        <v>1205692.3400000001</v>
      </c>
      <c r="ACW11" s="48">
        <v>1206287.838</v>
      </c>
      <c r="ACX11" s="48">
        <v>1206786.7830000001</v>
      </c>
      <c r="ACY11" s="48">
        <v>1207427.6669999999</v>
      </c>
      <c r="ACZ11" s="48">
        <v>1208069.6040000001</v>
      </c>
      <c r="ADA11" s="48">
        <v>1208716.102</v>
      </c>
      <c r="ADB11" s="48">
        <v>1209209.591</v>
      </c>
      <c r="ADC11" s="48">
        <v>1209702.7050000001</v>
      </c>
      <c r="ADD11" s="48">
        <v>1210241.487</v>
      </c>
      <c r="ADE11" s="48">
        <v>1210922.8689999999</v>
      </c>
      <c r="ADF11" s="48">
        <v>1211464.899</v>
      </c>
      <c r="ADG11" s="48">
        <v>1212061.152</v>
      </c>
      <c r="ADH11" s="48">
        <v>1212830.8740000001</v>
      </c>
      <c r="ADI11" s="48">
        <v>1213388.6129999999</v>
      </c>
      <c r="ADJ11" s="126"/>
      <c r="ADK11" s="48">
        <v>1213982.379</v>
      </c>
      <c r="ADL11" s="48">
        <v>1214589.83</v>
      </c>
      <c r="ADM11" s="48">
        <v>1215111.798</v>
      </c>
      <c r="ADN11" s="48">
        <v>1215777.925</v>
      </c>
      <c r="ADO11" s="48">
        <v>1216304.2709999999</v>
      </c>
      <c r="ADP11" s="48">
        <v>1217049.9010000001</v>
      </c>
      <c r="ADQ11" s="48">
        <v>1217616.652</v>
      </c>
      <c r="ADR11" s="48">
        <v>1218153.574</v>
      </c>
      <c r="ADS11" s="48">
        <v>1218677.192</v>
      </c>
      <c r="ADT11" s="48">
        <v>1219122.307</v>
      </c>
      <c r="ADU11" s="48">
        <v>1219662.5919999999</v>
      </c>
      <c r="ADV11" s="48">
        <v>1220276.2790000001</v>
      </c>
      <c r="ADW11" s="48">
        <v>1220985.6769999999</v>
      </c>
      <c r="ADX11" s="48">
        <v>1221590.402</v>
      </c>
      <c r="ADY11" s="48">
        <v>1222155.7009999999</v>
      </c>
      <c r="ADZ11" s="48">
        <v>1222692.2250000001</v>
      </c>
      <c r="AEA11" s="48">
        <v>1223057.5009999999</v>
      </c>
      <c r="AEB11" s="48">
        <v>1223679.2560000001</v>
      </c>
      <c r="AEC11" s="48">
        <v>1224065.7990000001</v>
      </c>
      <c r="AED11" s="48">
        <v>1224453.8659999999</v>
      </c>
      <c r="AEE11" s="48">
        <v>1225043.3160000001</v>
      </c>
      <c r="AEF11" s="48">
        <v>1225591.648</v>
      </c>
      <c r="AEG11" s="48">
        <v>1226159.2709999999</v>
      </c>
      <c r="AEH11" s="48">
        <v>1226653.906</v>
      </c>
      <c r="AEI11" s="48">
        <v>1227242.6410000001</v>
      </c>
      <c r="AEJ11" s="48">
        <v>1227889.8810000001</v>
      </c>
      <c r="AEK11" s="48">
        <v>1228476.818</v>
      </c>
      <c r="AEL11" s="48">
        <v>1229065.648</v>
      </c>
      <c r="AEM11" s="48">
        <v>1229688.817</v>
      </c>
      <c r="AEN11" s="48">
        <v>1230319.1129999999</v>
      </c>
      <c r="AEO11" s="126"/>
      <c r="AEP11" s="48">
        <v>1230830.9410000001</v>
      </c>
      <c r="AEQ11" s="48">
        <v>1231361.473</v>
      </c>
      <c r="AER11" s="48">
        <v>1232006.1329999999</v>
      </c>
      <c r="AES11" s="48">
        <v>1232738.2949999999</v>
      </c>
      <c r="AET11" s="48">
        <v>1233316.6189999999</v>
      </c>
      <c r="AEU11" s="48">
        <v>1233710.1359999999</v>
      </c>
      <c r="AEV11" s="48">
        <v>1234233.625</v>
      </c>
      <c r="AEW11" s="48">
        <v>1234734.2450000001</v>
      </c>
      <c r="AEX11" s="48">
        <v>1235336.084</v>
      </c>
      <c r="AEY11" s="48">
        <v>1235972.9990000001</v>
      </c>
      <c r="AEZ11" s="48">
        <v>1236555.639</v>
      </c>
      <c r="AFA11" s="48">
        <v>1236909.861</v>
      </c>
      <c r="AFB11" s="48">
        <v>1237406.7930000001</v>
      </c>
      <c r="AFC11" s="48">
        <v>1238052.855</v>
      </c>
      <c r="AFD11" s="48">
        <v>1238697.098</v>
      </c>
      <c r="AFE11" s="48">
        <v>1239307.486</v>
      </c>
      <c r="AFF11" s="48">
        <v>1239787.0190000001</v>
      </c>
      <c r="AFG11" s="48">
        <v>1240313.578</v>
      </c>
      <c r="AFH11" s="48">
        <v>1241013.743</v>
      </c>
      <c r="AFI11" s="48">
        <v>1241443.554</v>
      </c>
      <c r="AFJ11" s="48">
        <v>1242040.29</v>
      </c>
      <c r="AFK11" s="48">
        <v>1242721.7409999999</v>
      </c>
      <c r="AFL11" s="48">
        <v>1243251.96</v>
      </c>
      <c r="AFM11" s="48">
        <v>1243940.4879999999</v>
      </c>
      <c r="AFN11" s="48">
        <v>1244557.9509999999</v>
      </c>
      <c r="AFO11" s="48">
        <v>1245239.818</v>
      </c>
      <c r="AFP11" s="48">
        <v>1245850.9269999999</v>
      </c>
      <c r="AFQ11" s="48">
        <v>1246412.6170000001</v>
      </c>
      <c r="AFR11" s="48">
        <v>1246961.2439999999</v>
      </c>
      <c r="AFS11" s="48">
        <v>1247592.307</v>
      </c>
      <c r="AFT11" s="48">
        <v>1248216.825</v>
      </c>
      <c r="AFU11" s="126"/>
      <c r="AFV11" s="48">
        <v>1248805.4720000001</v>
      </c>
      <c r="AFW11" s="48">
        <v>1249360.246</v>
      </c>
      <c r="AFX11" s="48">
        <v>1249993.328</v>
      </c>
      <c r="AFY11" s="48">
        <v>1250481.371</v>
      </c>
      <c r="AFZ11" s="48">
        <v>1251057.7339999999</v>
      </c>
      <c r="AGA11" s="48">
        <v>1251665.415</v>
      </c>
      <c r="AGB11" s="48">
        <v>1252299.514</v>
      </c>
      <c r="AGC11" s="48">
        <v>1252914.2390000001</v>
      </c>
      <c r="AGD11" s="48">
        <v>1253500.0989999999</v>
      </c>
      <c r="AGE11" s="48">
        <v>1254227.263</v>
      </c>
      <c r="AGF11" s="48">
        <v>1254786.8160000001</v>
      </c>
      <c r="AGG11" s="48">
        <v>1255284.0689999999</v>
      </c>
      <c r="AGH11" s="48">
        <v>1255862.6569999999</v>
      </c>
      <c r="AGI11" s="48">
        <v>1256430.53</v>
      </c>
      <c r="AGJ11" s="48">
        <v>1257044.054</v>
      </c>
      <c r="AGK11" s="48">
        <v>1257698.9720000001</v>
      </c>
      <c r="AGL11" s="48">
        <v>1258418.871</v>
      </c>
      <c r="AGM11" s="48">
        <v>1259137.7830000001</v>
      </c>
      <c r="AGN11" s="48">
        <v>1259716.5589999999</v>
      </c>
      <c r="AGO11" s="48">
        <v>1260405.2779999999</v>
      </c>
      <c r="AGP11" s="48">
        <v>1261072.851</v>
      </c>
      <c r="AGQ11" s="48">
        <v>1261928.9569999999</v>
      </c>
      <c r="AGR11" s="48">
        <v>1262405.1440000001</v>
      </c>
      <c r="AGS11" s="48">
        <v>1263193.2790000001</v>
      </c>
      <c r="AGT11" s="48">
        <v>1263857.0619999999</v>
      </c>
      <c r="AGU11" s="48">
        <v>1264416.3940000001</v>
      </c>
      <c r="AGV11" s="48">
        <v>1265081.49</v>
      </c>
      <c r="AGW11" s="48">
        <v>1265842.6769999999</v>
      </c>
      <c r="AGX11" s="48">
        <v>1266565.5319999999</v>
      </c>
      <c r="AGY11" s="48">
        <v>1267095.6100000001</v>
      </c>
      <c r="AGZ11" s="126"/>
      <c r="AHA11" s="48">
        <v>1267891.0589999999</v>
      </c>
      <c r="AHB11" s="48">
        <v>1268608.0009999999</v>
      </c>
      <c r="AHC11" s="48">
        <v>1269204.388</v>
      </c>
      <c r="AHD11" s="48">
        <v>1269985.0430000001</v>
      </c>
      <c r="AHE11" s="48">
        <v>1270794.9410000001</v>
      </c>
      <c r="AHF11" s="48">
        <v>1271568.8489999999</v>
      </c>
      <c r="AHG11" s="48">
        <v>1272229.335</v>
      </c>
      <c r="AHH11" s="48">
        <v>1273042.2</v>
      </c>
      <c r="AHI11" s="48">
        <v>1273611.9339999999</v>
      </c>
      <c r="AHJ11" s="48">
        <v>1274228.6769999999</v>
      </c>
      <c r="AHK11" s="48">
        <v>1274996.0090000001</v>
      </c>
      <c r="AHL11" s="48">
        <v>1275663.1569999999</v>
      </c>
      <c r="AHM11" s="48">
        <v>1276356.7509999999</v>
      </c>
      <c r="AHN11" s="48">
        <v>1276907.6440000001</v>
      </c>
      <c r="AHO11" s="48">
        <v>1277634.402</v>
      </c>
      <c r="AHP11" s="48">
        <v>1278275.977</v>
      </c>
      <c r="AHQ11" s="48">
        <v>1278915.0490000001</v>
      </c>
      <c r="AHR11" s="48">
        <v>1279665.5530000001</v>
      </c>
      <c r="AHS11" s="48">
        <v>1280358.304</v>
      </c>
      <c r="AHT11" s="48">
        <v>1280979.0970000001</v>
      </c>
      <c r="AHU11" s="48">
        <v>1281836.531</v>
      </c>
      <c r="AHV11" s="48">
        <v>1282667.328</v>
      </c>
      <c r="AHW11" s="48">
        <v>1283585.608</v>
      </c>
      <c r="AHX11" s="48">
        <v>1284379.1980000001</v>
      </c>
      <c r="AHY11" s="48">
        <v>1284987.6200000001</v>
      </c>
      <c r="AHZ11" s="48">
        <v>1285749.7590000001</v>
      </c>
      <c r="AIA11" s="48">
        <v>1286333.899</v>
      </c>
      <c r="AIB11" s="48">
        <v>1286814.5959999999</v>
      </c>
      <c r="AIC11" s="48">
        <v>1287366.2890000001</v>
      </c>
      <c r="AID11" s="48">
        <v>1287999.365</v>
      </c>
      <c r="AIE11" s="48">
        <v>1288625.233</v>
      </c>
      <c r="AIF11" s="126"/>
      <c r="AIG11" s="48">
        <v>1289230.8689999999</v>
      </c>
      <c r="AIH11" s="48">
        <v>1289961.2209999999</v>
      </c>
      <c r="AII11" s="48">
        <v>1290576.358</v>
      </c>
      <c r="AIJ11" s="48">
        <v>1291253.33</v>
      </c>
      <c r="AIK11" s="48">
        <v>1292016.2679999999</v>
      </c>
      <c r="AIL11" s="48">
        <v>1292752.433</v>
      </c>
      <c r="AIM11" s="48">
        <v>1293507.477</v>
      </c>
      <c r="AIN11" s="48">
        <v>1294223.422</v>
      </c>
      <c r="AIO11" s="48">
        <v>1294751.473</v>
      </c>
      <c r="AIP11" s="48">
        <v>1295481.3659999999</v>
      </c>
      <c r="AIQ11" s="48">
        <v>1296085.422</v>
      </c>
      <c r="AIR11" s="48">
        <v>1296742.9509999999</v>
      </c>
      <c r="AIS11" s="48">
        <v>1297412.5009999999</v>
      </c>
      <c r="AIT11" s="48">
        <v>1298014.906</v>
      </c>
      <c r="AIU11" s="48">
        <v>1298411.7690000001</v>
      </c>
      <c r="AIV11" s="48">
        <v>1298666.6850000001</v>
      </c>
      <c r="AIW11" s="48">
        <v>1298983.5</v>
      </c>
      <c r="AIX11" s="48">
        <v>1299392.595</v>
      </c>
      <c r="AIY11" s="48">
        <v>1299996.129</v>
      </c>
      <c r="AIZ11" s="48">
        <v>1300703.8910000001</v>
      </c>
      <c r="AJA11" s="48">
        <v>1301332.308</v>
      </c>
      <c r="AJB11" s="48">
        <v>1302073.5</v>
      </c>
      <c r="AJC11" s="48">
        <v>1302820.9720000001</v>
      </c>
      <c r="AJD11" s="48">
        <v>1303597.493</v>
      </c>
      <c r="AJE11" s="48">
        <v>1304264.5260000001</v>
      </c>
      <c r="AJF11" s="48">
        <v>1304890.69</v>
      </c>
      <c r="AJG11" s="48">
        <v>1305184.01</v>
      </c>
      <c r="AJH11" s="48">
        <v>1305675.25</v>
      </c>
      <c r="AJI11" s="48">
        <v>1306213.9550000001</v>
      </c>
      <c r="AJJ11" s="48">
        <v>1306715.0260000001</v>
      </c>
      <c r="AJK11" s="48">
        <v>1307298.9569999999</v>
      </c>
      <c r="AJL11" s="126"/>
      <c r="AJM11" s="48">
        <v>1307873.3859999999</v>
      </c>
      <c r="AJN11" s="48">
        <v>1308493.3030000001</v>
      </c>
      <c r="AJO11" s="48">
        <v>1309084.585</v>
      </c>
      <c r="AJP11" s="48">
        <v>1309562.2420000001</v>
      </c>
      <c r="AJQ11" s="48">
        <v>1310258.1170000001</v>
      </c>
      <c r="AJR11" s="48">
        <v>1310849.344</v>
      </c>
      <c r="AJS11" s="48">
        <v>1311578.9240000001</v>
      </c>
      <c r="AJT11" s="48">
        <v>1312253.8459999999</v>
      </c>
      <c r="AJU11" s="48">
        <v>1312945.993</v>
      </c>
      <c r="AJV11" s="48">
        <v>1313573.4820000001</v>
      </c>
      <c r="AJW11" s="48">
        <v>1314293.6299999999</v>
      </c>
      <c r="AJX11" s="48">
        <v>1314905.8799999999</v>
      </c>
      <c r="AJY11" s="48">
        <v>1315639.77</v>
      </c>
      <c r="AJZ11" s="48">
        <v>1316221.4380000001</v>
      </c>
      <c r="AKA11" s="48">
        <v>1316853.794</v>
      </c>
      <c r="AKB11" s="48">
        <v>1317462.6299999999</v>
      </c>
      <c r="AKC11" s="48">
        <v>1318098.3689999999</v>
      </c>
      <c r="AKD11" s="48">
        <v>1318709.7520000001</v>
      </c>
      <c r="AKE11" s="48">
        <v>1319308.375</v>
      </c>
      <c r="AKF11" s="48">
        <v>1319741.2620000001</v>
      </c>
      <c r="AKG11" s="48">
        <v>1320320.7279999999</v>
      </c>
      <c r="AKH11" s="48">
        <v>1320867.436</v>
      </c>
      <c r="AKI11" s="48">
        <v>1321414.267</v>
      </c>
      <c r="AKJ11" s="48">
        <v>1321948.112</v>
      </c>
      <c r="AKK11" s="48">
        <v>1322519.9850000001</v>
      </c>
      <c r="AKL11" s="48">
        <v>1323043.3160000001</v>
      </c>
      <c r="AKM11" s="48">
        <v>1323388.6669999999</v>
      </c>
      <c r="AKN11" s="48">
        <v>1323918.807</v>
      </c>
      <c r="AKO11" s="126"/>
      <c r="AKP11" s="48">
        <v>1324622.2849999999</v>
      </c>
      <c r="AKQ11" s="48">
        <v>1325163.548</v>
      </c>
      <c r="AKR11" s="48">
        <v>1325666.591</v>
      </c>
      <c r="AKS11" s="48">
        <v>1326215.56</v>
      </c>
      <c r="AKT11" s="48">
        <v>1326795.24</v>
      </c>
      <c r="AKU11" s="48">
        <v>1327402.5</v>
      </c>
      <c r="AKV11" s="48">
        <v>1327938.0349999999</v>
      </c>
      <c r="AKW11" s="48">
        <v>1328541.571</v>
      </c>
      <c r="AKX11" s="48">
        <v>1329278.916</v>
      </c>
      <c r="AKY11" s="48">
        <v>1329846.6089999999</v>
      </c>
      <c r="AKZ11" s="48">
        <v>1330333.1740000001</v>
      </c>
      <c r="ALA11" s="48">
        <v>1331006.308</v>
      </c>
      <c r="ALB11" s="48">
        <v>1331664.7080000001</v>
      </c>
      <c r="ALC11" s="48">
        <v>1332359.246</v>
      </c>
      <c r="ALD11" s="48">
        <v>1332831.5919999999</v>
      </c>
      <c r="ALE11" s="48">
        <v>1333441.423</v>
      </c>
      <c r="ALF11" s="48">
        <v>1334053.746</v>
      </c>
      <c r="ALG11" s="48">
        <v>1334615.1669999999</v>
      </c>
      <c r="ALH11" s="48">
        <v>1335190.1580000001</v>
      </c>
      <c r="ALI11" s="48">
        <v>1335713.7760000001</v>
      </c>
      <c r="ALJ11" s="48">
        <v>1336370.2420000001</v>
      </c>
      <c r="ALK11" s="48">
        <v>1336880.9820000001</v>
      </c>
      <c r="ALL11" s="48">
        <v>1337567.1969999999</v>
      </c>
      <c r="ALM11" s="48">
        <v>1338155.2390000001</v>
      </c>
      <c r="ALN11" s="48">
        <v>1338812.0919999999</v>
      </c>
      <c r="ALO11" s="48">
        <v>1339514.3289999999</v>
      </c>
      <c r="ALP11" s="48">
        <v>1340192.8970000001</v>
      </c>
      <c r="ALQ11" s="48">
        <v>1340878.2990000001</v>
      </c>
      <c r="ALR11" s="48">
        <v>1341878.064</v>
      </c>
      <c r="ALS11" s="48">
        <v>1342736.084</v>
      </c>
      <c r="ALT11" s="48">
        <v>1343324.486</v>
      </c>
      <c r="ALU11" s="126"/>
      <c r="ALV11" s="48">
        <v>1344195.993</v>
      </c>
      <c r="ALW11" s="48">
        <v>1344740.567</v>
      </c>
      <c r="ALX11" s="48">
        <v>1345532.814</v>
      </c>
      <c r="ALY11" s="48">
        <v>1346235.155</v>
      </c>
      <c r="ALZ11" s="48">
        <v>1346612.9750000001</v>
      </c>
      <c r="AMA11" s="48">
        <v>1347162.3810000001</v>
      </c>
      <c r="AMB11" s="48">
        <v>1347827.7450000001</v>
      </c>
      <c r="AMC11" s="48">
        <v>1348632.7549999999</v>
      </c>
      <c r="AMD11" s="48">
        <v>1349392.0330000001</v>
      </c>
      <c r="AME11" s="48">
        <v>1349951.5279999999</v>
      </c>
      <c r="AMF11" s="48">
        <v>1350554.281</v>
      </c>
      <c r="AMG11" s="48">
        <v>1351306.487</v>
      </c>
      <c r="AMH11" s="48">
        <v>1352210.06</v>
      </c>
      <c r="AMI11" s="48">
        <v>1352746.5160000001</v>
      </c>
      <c r="AMJ11" s="48">
        <v>1353324.74</v>
      </c>
      <c r="AMK11" s="48">
        <v>1353862.51</v>
      </c>
      <c r="AML11" s="48">
        <v>1354562.6980000001</v>
      </c>
      <c r="AMM11" s="48">
        <v>1355336.138</v>
      </c>
      <c r="AMN11" s="48">
        <v>1356072.3049999999</v>
      </c>
      <c r="AMO11" s="48">
        <v>1357057.1370000001</v>
      </c>
      <c r="AMP11" s="48">
        <v>1357975.959</v>
      </c>
      <c r="AMQ11" s="48">
        <v>1359027.567</v>
      </c>
      <c r="AMR11" s="48">
        <v>1360314.8859999999</v>
      </c>
      <c r="AMS11" s="48">
        <v>1361688.1839999999</v>
      </c>
      <c r="AMT11" s="48">
        <v>1362982.531</v>
      </c>
      <c r="AMU11" s="48">
        <v>1364105.1529999999</v>
      </c>
      <c r="AMV11" s="48">
        <v>1364810.6470000001</v>
      </c>
      <c r="AMW11" s="48">
        <v>1365514.4180000001</v>
      </c>
      <c r="AMX11" s="48">
        <v>1366313.497</v>
      </c>
      <c r="AMY11" s="48">
        <v>1367484.2590000001</v>
      </c>
      <c r="AMZ11" s="126"/>
      <c r="ANA11" s="48">
        <v>1368122.1240000001</v>
      </c>
      <c r="ANB11" s="48">
        <v>1368687.5560000001</v>
      </c>
      <c r="ANC11" s="48">
        <v>1369380.4839999999</v>
      </c>
      <c r="AND11" s="48">
        <v>1369922.889</v>
      </c>
      <c r="ANE11" s="48">
        <v>1370677.827</v>
      </c>
      <c r="ANF11" s="48">
        <v>1371383.8540000001</v>
      </c>
      <c r="ANG11" s="48">
        <v>1372139.01</v>
      </c>
      <c r="ANH11" s="48">
        <v>1372754.9040000001</v>
      </c>
      <c r="ANI11" s="48">
        <v>1373576.97</v>
      </c>
      <c r="ANJ11" s="48">
        <v>1374249.1610000001</v>
      </c>
      <c r="ANK11" s="48">
        <v>1374935.1170000001</v>
      </c>
      <c r="ANL11" s="48">
        <v>1375529.0260000001</v>
      </c>
      <c r="ANM11" s="48">
        <v>1376200.118</v>
      </c>
      <c r="ANN11" s="48">
        <v>1376935.9820000001</v>
      </c>
      <c r="ANO11" s="48">
        <v>1377572.57</v>
      </c>
      <c r="ANP11" s="48">
        <v>1378098.727</v>
      </c>
      <c r="ANQ11" s="48">
        <v>1378447.1740000001</v>
      </c>
      <c r="ANR11" s="48">
        <v>1378829.334</v>
      </c>
      <c r="ANS11" s="48">
        <v>1379175.7339999999</v>
      </c>
      <c r="ANT11" s="48">
        <v>1379679.301</v>
      </c>
      <c r="ANU11" s="48">
        <v>1379981.932</v>
      </c>
      <c r="ANV11" s="48">
        <v>1380406.7069999999</v>
      </c>
      <c r="ANW11" s="48">
        <v>1380873.929</v>
      </c>
      <c r="ANX11" s="48">
        <v>1381243.8489999999</v>
      </c>
      <c r="ANY11" s="48">
        <v>1381784.7450000001</v>
      </c>
      <c r="ANZ11" s="48">
        <v>1382499.655</v>
      </c>
      <c r="AOA11" s="48">
        <v>1382951.264</v>
      </c>
      <c r="AOB11" s="48">
        <v>1383328.2109999999</v>
      </c>
      <c r="AOC11" s="48">
        <v>1383791.2590000001</v>
      </c>
      <c r="AOD11" s="48">
        <v>1384340.132</v>
      </c>
      <c r="AOE11">
        <v>1384340.132</v>
      </c>
    </row>
    <row r="12" spans="1:1072" x14ac:dyDescent="0.2">
      <c r="A12" s="157"/>
      <c r="B12" s="160"/>
      <c r="C12" s="6" t="s">
        <v>762</v>
      </c>
      <c r="D12" s="16">
        <f t="shared" ref="D12:AH12" si="179">D11-D10</f>
        <v>940.25300000002608</v>
      </c>
      <c r="E12" s="16">
        <f t="shared" si="179"/>
        <v>998.18900000001304</v>
      </c>
      <c r="F12" s="16">
        <f t="shared" si="179"/>
        <v>881.4649999999674</v>
      </c>
      <c r="G12" s="16">
        <f t="shared" si="179"/>
        <v>819.09400000004098</v>
      </c>
      <c r="H12" s="16">
        <f t="shared" si="179"/>
        <v>931.11999999999534</v>
      </c>
      <c r="I12" s="16">
        <f t="shared" si="179"/>
        <v>1003.966999999946</v>
      </c>
      <c r="J12" s="16">
        <f t="shared" si="179"/>
        <v>824.0910000000149</v>
      </c>
      <c r="K12" s="16">
        <f t="shared" si="179"/>
        <v>750.8080000000773</v>
      </c>
      <c r="L12" s="16">
        <f t="shared" si="179"/>
        <v>770.15299999993294</v>
      </c>
      <c r="M12" s="16">
        <f t="shared" si="179"/>
        <v>803.4660000000149</v>
      </c>
      <c r="N12" s="16">
        <f t="shared" si="179"/>
        <v>727.99199999996927</v>
      </c>
      <c r="O12" s="16">
        <f t="shared" si="179"/>
        <v>810.28100000007544</v>
      </c>
      <c r="P12" s="16">
        <f t="shared" si="179"/>
        <v>836.56400000001304</v>
      </c>
      <c r="Q12" s="16">
        <f t="shared" si="179"/>
        <v>1093.8979999999283</v>
      </c>
      <c r="R12" s="16">
        <f t="shared" si="179"/>
        <v>736.0910000000149</v>
      </c>
      <c r="S12" s="16">
        <f t="shared" si="179"/>
        <v>878.17700000002515</v>
      </c>
      <c r="T12" s="16">
        <f t="shared" si="179"/>
        <v>862.62199999997392</v>
      </c>
      <c r="U12" s="16">
        <f t="shared" si="179"/>
        <v>944.90599999995902</v>
      </c>
      <c r="V12" s="16">
        <f t="shared" si="179"/>
        <v>759.43400000000838</v>
      </c>
      <c r="W12" s="16">
        <f t="shared" si="179"/>
        <v>739.47600000002421</v>
      </c>
      <c r="X12" s="16">
        <f t="shared" si="179"/>
        <v>718.14600000006612</v>
      </c>
      <c r="Y12" s="16">
        <f t="shared" si="179"/>
        <v>722.26999999990221</v>
      </c>
      <c r="Z12" s="16">
        <f t="shared" si="179"/>
        <v>853.52600000007078</v>
      </c>
      <c r="AA12" s="16">
        <f t="shared" si="179"/>
        <v>858.83400000003166</v>
      </c>
      <c r="AB12" s="16">
        <f t="shared" si="179"/>
        <v>964.99699999997392</v>
      </c>
      <c r="AC12" s="16">
        <f t="shared" si="179"/>
        <v>970.80799999996088</v>
      </c>
      <c r="AD12" s="16">
        <f t="shared" si="179"/>
        <v>823.24900000006892</v>
      </c>
      <c r="AE12" s="16">
        <f t="shared" si="179"/>
        <v>806.40299999993294</v>
      </c>
      <c r="AF12" s="16">
        <f t="shared" si="179"/>
        <v>799.13399999996182</v>
      </c>
      <c r="AG12" s="16">
        <f t="shared" si="179"/>
        <v>633.28400000010151</v>
      </c>
      <c r="AH12" s="16">
        <f t="shared" si="179"/>
        <v>984.54599999997299</v>
      </c>
      <c r="AI12" s="17">
        <f>SUM(D12:AH12)</f>
        <v>26247.244000000064</v>
      </c>
      <c r="AJ12" s="16">
        <f t="shared" ref="AJ12:BM12" si="180">AJ11-AJ10</f>
        <v>1098.5620000000345</v>
      </c>
      <c r="AK12" s="16">
        <f t="shared" si="180"/>
        <v>892.07499999995343</v>
      </c>
      <c r="AL12" s="16">
        <f t="shared" si="180"/>
        <v>969.38500000000931</v>
      </c>
      <c r="AM12" s="16">
        <f t="shared" si="180"/>
        <v>948.03700000001118</v>
      </c>
      <c r="AN12" s="16">
        <f t="shared" si="180"/>
        <v>804.36199999996461</v>
      </c>
      <c r="AO12" s="16">
        <f t="shared" si="180"/>
        <v>632.75500000000466</v>
      </c>
      <c r="AP12" s="16">
        <f t="shared" si="180"/>
        <v>5713.73199999996</v>
      </c>
      <c r="AQ12" s="16">
        <f t="shared" si="180"/>
        <v>1069.4780000000028</v>
      </c>
      <c r="AR12" s="16">
        <f t="shared" si="180"/>
        <v>815.32400000002235</v>
      </c>
      <c r="AS12" s="16">
        <f t="shared" si="180"/>
        <v>852.75400000007357</v>
      </c>
      <c r="AT12" s="16">
        <f t="shared" si="180"/>
        <v>744.37599999993108</v>
      </c>
      <c r="AU12" s="16">
        <f t="shared" si="180"/>
        <v>560.68000000005122</v>
      </c>
      <c r="AV12" s="16">
        <f t="shared" si="180"/>
        <v>5502.3769999999786</v>
      </c>
      <c r="AW12" s="16">
        <f t="shared" si="180"/>
        <v>720.79299999994691</v>
      </c>
      <c r="AX12" s="16">
        <f t="shared" si="180"/>
        <v>739.17800000007264</v>
      </c>
      <c r="AY12" s="16">
        <f t="shared" si="180"/>
        <v>806.57099999999627</v>
      </c>
      <c r="AZ12" s="16">
        <f t="shared" si="180"/>
        <v>818.37899999995716</v>
      </c>
      <c r="BA12" s="16">
        <f t="shared" si="180"/>
        <v>553.40500000002794</v>
      </c>
      <c r="BB12" s="16">
        <f t="shared" si="180"/>
        <v>513.00099999993108</v>
      </c>
      <c r="BC12" s="16">
        <f t="shared" si="180"/>
        <v>594.08700000005774</v>
      </c>
      <c r="BD12" s="16">
        <f t="shared" si="180"/>
        <v>629.97400000004563</v>
      </c>
      <c r="BE12" s="16">
        <f t="shared" si="180"/>
        <v>724.23999999999069</v>
      </c>
      <c r="BF12" s="16">
        <f t="shared" si="180"/>
        <v>716.94099999999162</v>
      </c>
      <c r="BG12" s="16">
        <f t="shared" si="180"/>
        <v>613.69599999999627</v>
      </c>
      <c r="BH12" s="16">
        <f t="shared" si="180"/>
        <v>662.41999999992549</v>
      </c>
      <c r="BI12" s="16">
        <f t="shared" si="180"/>
        <v>647.27700000000186</v>
      </c>
      <c r="BJ12" s="16">
        <f t="shared" si="180"/>
        <v>663.07200000004377</v>
      </c>
      <c r="BK12" s="16">
        <f t="shared" si="180"/>
        <v>553.3190000000177</v>
      </c>
      <c r="BL12" s="16">
        <f t="shared" si="180"/>
        <v>683.64000000001397</v>
      </c>
      <c r="BM12" s="16">
        <f t="shared" si="180"/>
        <v>801.29399999999441</v>
      </c>
      <c r="BN12" s="89">
        <f>SUM(AJ12:BM12)</f>
        <v>32045.184000000008</v>
      </c>
      <c r="BO12" s="16">
        <f t="shared" ref="BO12:CS12" si="181">BO11-BO10</f>
        <v>665.34600000001956</v>
      </c>
      <c r="BP12" s="16">
        <f t="shared" si="181"/>
        <v>669.13000000000466</v>
      </c>
      <c r="BQ12" s="16">
        <f t="shared" si="181"/>
        <v>655.08499999996275</v>
      </c>
      <c r="BR12" s="16">
        <f t="shared" si="181"/>
        <v>666.04299999994691</v>
      </c>
      <c r="BS12" s="16">
        <f t="shared" si="181"/>
        <v>518.05300000007264</v>
      </c>
      <c r="BT12" s="16">
        <f t="shared" si="181"/>
        <v>726.00099999993108</v>
      </c>
      <c r="BU12" s="16">
        <f t="shared" si="181"/>
        <v>592.81599999999162</v>
      </c>
      <c r="BV12" s="16">
        <f t="shared" si="181"/>
        <v>742.63699999998789</v>
      </c>
      <c r="BW12" s="16">
        <f t="shared" si="181"/>
        <v>614.06500000006054</v>
      </c>
      <c r="BX12" s="16">
        <f t="shared" si="181"/>
        <v>619.17099999997299</v>
      </c>
      <c r="BY12" s="16">
        <f t="shared" si="181"/>
        <v>597.71900000004098</v>
      </c>
      <c r="BZ12" s="16">
        <f t="shared" si="181"/>
        <v>563.68999999994412</v>
      </c>
      <c r="CA12" s="16">
        <f t="shared" si="181"/>
        <v>619.83000000007451</v>
      </c>
      <c r="CB12" s="16">
        <f t="shared" si="181"/>
        <v>659.86899999994785</v>
      </c>
      <c r="CC12" s="16">
        <f t="shared" si="181"/>
        <v>670.31000000005588</v>
      </c>
      <c r="CD12" s="16">
        <f t="shared" si="181"/>
        <v>612.4309999999823</v>
      </c>
      <c r="CE12" s="16">
        <f t="shared" si="181"/>
        <v>604.97600000002421</v>
      </c>
      <c r="CF12" s="16">
        <f t="shared" si="181"/>
        <v>572.95100000000093</v>
      </c>
      <c r="CG12" s="16">
        <f t="shared" si="181"/>
        <v>589.03799999994226</v>
      </c>
      <c r="CH12" s="16">
        <f t="shared" si="181"/>
        <v>577.43900000001304</v>
      </c>
      <c r="CI12" s="16">
        <f t="shared" si="181"/>
        <v>836.46199999994133</v>
      </c>
      <c r="CJ12" s="16">
        <f t="shared" si="181"/>
        <v>754.90100000007078</v>
      </c>
      <c r="CK12" s="16">
        <f t="shared" si="181"/>
        <v>621.03899999998976</v>
      </c>
      <c r="CL12" s="16">
        <f t="shared" si="181"/>
        <v>669.59299999999348</v>
      </c>
      <c r="CM12" s="16">
        <f t="shared" si="181"/>
        <v>623.2730000000447</v>
      </c>
      <c r="CN12" s="16">
        <f t="shared" si="181"/>
        <v>598.28200000000652</v>
      </c>
      <c r="CO12" s="16">
        <f t="shared" si="181"/>
        <v>635.52899999998044</v>
      </c>
      <c r="CP12" s="16">
        <f t="shared" si="181"/>
        <v>754.71999999997206</v>
      </c>
      <c r="CQ12" s="16">
        <f t="shared" si="181"/>
        <v>698.48800000001211</v>
      </c>
      <c r="CR12" s="16">
        <f t="shared" si="181"/>
        <v>652.06999999994878</v>
      </c>
      <c r="CS12" s="16">
        <f t="shared" si="181"/>
        <v>712.75800000003073</v>
      </c>
      <c r="CT12" s="89">
        <f>SUM(BO12:CS12)</f>
        <v>20093.714999999967</v>
      </c>
      <c r="CU12" s="16">
        <f t="shared" ref="CU12:DX12" si="182">CU11-CU10</f>
        <v>734.47299999999814</v>
      </c>
      <c r="CV12" s="16">
        <f t="shared" si="182"/>
        <v>491.61300000001211</v>
      </c>
      <c r="CW12" s="16">
        <f t="shared" si="182"/>
        <v>646.2160000000149</v>
      </c>
      <c r="CX12" s="16">
        <f t="shared" si="182"/>
        <v>914.48699999996461</v>
      </c>
      <c r="CY12" s="16">
        <f t="shared" si="182"/>
        <v>613.42599999997765</v>
      </c>
      <c r="CZ12" s="16">
        <f t="shared" si="182"/>
        <v>679.31300000008196</v>
      </c>
      <c r="DA12" s="16">
        <f t="shared" si="182"/>
        <v>590.82099999999627</v>
      </c>
      <c r="DB12" s="16">
        <f t="shared" si="182"/>
        <v>784.08499999996275</v>
      </c>
      <c r="DC12" s="16">
        <f t="shared" si="182"/>
        <v>750.27700000000186</v>
      </c>
      <c r="DD12" s="16">
        <f t="shared" si="182"/>
        <v>778.32400000002235</v>
      </c>
      <c r="DE12" s="16">
        <f t="shared" si="182"/>
        <v>786.47399999992922</v>
      </c>
      <c r="DF12" s="16">
        <f t="shared" si="182"/>
        <v>677.31400000001304</v>
      </c>
      <c r="DG12" s="16">
        <f t="shared" si="182"/>
        <v>667.77700000000186</v>
      </c>
      <c r="DH12" s="16">
        <f t="shared" si="182"/>
        <v>627.01100000005681</v>
      </c>
      <c r="DI12" s="16">
        <f t="shared" si="182"/>
        <v>648.43499999993946</v>
      </c>
      <c r="DJ12" s="16">
        <f t="shared" si="182"/>
        <v>418.06800000008661</v>
      </c>
      <c r="DK12" s="16">
        <f t="shared" si="182"/>
        <v>388.85699999995995</v>
      </c>
      <c r="DL12" s="16">
        <f t="shared" si="182"/>
        <v>596.83699999994133</v>
      </c>
      <c r="DM12" s="16">
        <f t="shared" si="182"/>
        <v>520.4660000000149</v>
      </c>
      <c r="DN12" s="16">
        <f t="shared" si="182"/>
        <v>489.12300000002142</v>
      </c>
      <c r="DO12" s="16">
        <f t="shared" si="182"/>
        <v>431.9660000000149</v>
      </c>
      <c r="DP12" s="16">
        <f t="shared" si="182"/>
        <v>689.33600000001024</v>
      </c>
      <c r="DQ12" s="16">
        <f t="shared" si="182"/>
        <v>554.65500000002794</v>
      </c>
      <c r="DR12" s="16">
        <f t="shared" si="182"/>
        <v>606.77099999994971</v>
      </c>
      <c r="DS12" s="16">
        <f t="shared" si="182"/>
        <v>758.30200000002515</v>
      </c>
      <c r="DT12" s="16">
        <f t="shared" si="182"/>
        <v>438.22100000001956</v>
      </c>
      <c r="DU12" s="16">
        <f t="shared" si="182"/>
        <v>575.53099999995902</v>
      </c>
      <c r="DV12" s="16">
        <f t="shared" si="182"/>
        <v>508.86100000003353</v>
      </c>
      <c r="DW12" s="16">
        <f t="shared" si="182"/>
        <v>468.97800000000279</v>
      </c>
      <c r="DX12" s="16">
        <f t="shared" si="182"/>
        <v>578.13099999993574</v>
      </c>
      <c r="DY12" s="116">
        <f>SUM(CU12:DX12)</f>
        <v>18414.148999999976</v>
      </c>
      <c r="DZ12" s="16">
        <f t="shared" ref="DZ12:FD12" si="183">DZ11-DZ10</f>
        <v>595.65200000000186</v>
      </c>
      <c r="EA12" s="16">
        <f t="shared" si="183"/>
        <v>633.76199999998789</v>
      </c>
      <c r="EB12" s="16">
        <f t="shared" si="183"/>
        <v>482.9330000000773</v>
      </c>
      <c r="EC12" s="16">
        <f t="shared" si="183"/>
        <v>503.03700000001118</v>
      </c>
      <c r="ED12" s="16">
        <f t="shared" si="183"/>
        <v>488.04299999994691</v>
      </c>
      <c r="EE12" s="16">
        <f t="shared" si="183"/>
        <v>593.29799999995157</v>
      </c>
      <c r="EF12" s="16">
        <f t="shared" si="183"/>
        <v>542.70400000002701</v>
      </c>
      <c r="EG12" s="16">
        <f t="shared" si="183"/>
        <v>611.10900000005495</v>
      </c>
      <c r="EH12" s="16">
        <f t="shared" si="183"/>
        <v>628.33699999994133</v>
      </c>
      <c r="EI12" s="16">
        <f t="shared" si="183"/>
        <v>706.75500000000466</v>
      </c>
      <c r="EJ12" s="16">
        <f t="shared" si="183"/>
        <v>530.88000000000466</v>
      </c>
      <c r="EK12" s="16">
        <f t="shared" si="183"/>
        <v>607.45000000006985</v>
      </c>
      <c r="EL12" s="16">
        <f t="shared" si="183"/>
        <v>677.70100000000093</v>
      </c>
      <c r="EM12" s="16">
        <f t="shared" si="183"/>
        <v>544.09299999999348</v>
      </c>
      <c r="EN12" s="16">
        <f t="shared" si="183"/>
        <v>830.08499999996275</v>
      </c>
      <c r="EO12" s="16">
        <f t="shared" si="183"/>
        <v>771.38099999993574</v>
      </c>
      <c r="EP12" s="16">
        <f t="shared" si="183"/>
        <v>757.12200000009034</v>
      </c>
      <c r="EQ12" s="16">
        <f t="shared" si="183"/>
        <v>908.36199999996461</v>
      </c>
      <c r="ER12" s="16">
        <f t="shared" si="183"/>
        <v>576.2149999999674</v>
      </c>
      <c r="ES12" s="16">
        <f t="shared" si="183"/>
        <v>742.57200000004377</v>
      </c>
      <c r="ET12" s="16">
        <f t="shared" si="183"/>
        <v>757.83699999994133</v>
      </c>
      <c r="EU12" s="16">
        <f t="shared" si="183"/>
        <v>1060.4700000000885</v>
      </c>
      <c r="EV12" s="16">
        <f t="shared" si="183"/>
        <v>917.06299999996554</v>
      </c>
      <c r="EW12" s="16">
        <f t="shared" si="183"/>
        <v>909.5</v>
      </c>
      <c r="EX12" s="16">
        <f t="shared" si="183"/>
        <v>500.0570000000298</v>
      </c>
      <c r="EY12" s="16">
        <f t="shared" si="183"/>
        <v>488.15099999995437</v>
      </c>
      <c r="EZ12" s="16">
        <f t="shared" si="183"/>
        <v>679.05400000000373</v>
      </c>
      <c r="FA12" s="16">
        <f t="shared" si="183"/>
        <v>614.53099999995902</v>
      </c>
      <c r="FB12" s="16">
        <f t="shared" si="183"/>
        <v>607.29500000004191</v>
      </c>
      <c r="FC12" s="16">
        <f t="shared" si="183"/>
        <v>689.56000000005588</v>
      </c>
      <c r="FD12" s="16">
        <f t="shared" si="183"/>
        <v>719.92699999990873</v>
      </c>
      <c r="FE12" s="127">
        <f>SUM(DZ12:FD12)</f>
        <v>20674.935999999987</v>
      </c>
      <c r="FF12" s="16">
        <f t="shared" ref="FF12:GJ12" si="184">FF11-FF10</f>
        <v>551.28899999998976</v>
      </c>
      <c r="FG12" s="16">
        <f t="shared" si="184"/>
        <v>720.48700000008103</v>
      </c>
      <c r="FH12" s="16">
        <f t="shared" si="184"/>
        <v>465.27199999999721</v>
      </c>
      <c r="FI12" s="16">
        <f t="shared" si="184"/>
        <v>698.17299999995157</v>
      </c>
      <c r="FJ12" s="16">
        <f t="shared" si="184"/>
        <v>665.70500000007451</v>
      </c>
      <c r="FK12" s="16">
        <f t="shared" si="184"/>
        <v>698.03099999995902</v>
      </c>
      <c r="FL12" s="16">
        <f t="shared" si="184"/>
        <v>715.13000000000466</v>
      </c>
      <c r="FM12" s="16">
        <f t="shared" si="184"/>
        <v>743.3179999999702</v>
      </c>
      <c r="FN12" s="16">
        <f t="shared" si="184"/>
        <v>639.28200000000652</v>
      </c>
      <c r="FO12" s="16">
        <f t="shared" si="184"/>
        <v>604.03800000005867</v>
      </c>
      <c r="FP12" s="16">
        <f t="shared" si="184"/>
        <v>526.44099999999162</v>
      </c>
      <c r="FQ12" s="16">
        <f t="shared" si="184"/>
        <v>587.16200000001118</v>
      </c>
      <c r="FR12" s="16">
        <f t="shared" si="184"/>
        <v>628.48399999993853</v>
      </c>
      <c r="FS12" s="16">
        <f t="shared" si="184"/>
        <v>667.37100000004284</v>
      </c>
      <c r="FT12" s="16">
        <f t="shared" si="184"/>
        <v>454.09899999992922</v>
      </c>
      <c r="FU12" s="16">
        <f t="shared" si="184"/>
        <v>597.05400000000373</v>
      </c>
      <c r="FV12" s="16">
        <f t="shared" si="184"/>
        <v>553.57799999997951</v>
      </c>
      <c r="FW12" s="16">
        <f t="shared" si="184"/>
        <v>611.96500000008382</v>
      </c>
      <c r="FX12" s="16">
        <f t="shared" si="184"/>
        <v>802.70499999995809</v>
      </c>
      <c r="FY12" s="16">
        <f t="shared" si="184"/>
        <v>747.51199999998789</v>
      </c>
      <c r="FZ12" s="16">
        <f t="shared" si="184"/>
        <v>623.82099999999627</v>
      </c>
      <c r="GA12" s="16">
        <f t="shared" si="184"/>
        <v>562.58000000007451</v>
      </c>
      <c r="GB12" s="16">
        <f t="shared" si="184"/>
        <v>596.87799999990966</v>
      </c>
      <c r="GC12" s="16">
        <f t="shared" si="184"/>
        <v>600.83200000005309</v>
      </c>
      <c r="GD12" s="16">
        <f t="shared" si="184"/>
        <v>871.90399999998044</v>
      </c>
      <c r="GE12" s="16">
        <f t="shared" si="184"/>
        <v>665.35699999995995</v>
      </c>
      <c r="GF12" s="16">
        <f t="shared" si="184"/>
        <v>664.01200000010431</v>
      </c>
      <c r="GG12" s="16">
        <f t="shared" si="184"/>
        <v>692.26199999998789</v>
      </c>
      <c r="GH12" s="16">
        <f t="shared" si="184"/>
        <v>671.92900000000373</v>
      </c>
      <c r="GI12" s="16">
        <f t="shared" si="184"/>
        <v>677.46799999999348</v>
      </c>
      <c r="GJ12" s="16">
        <f t="shared" si="184"/>
        <v>595.73499999998603</v>
      </c>
      <c r="GK12" s="126"/>
      <c r="GL12" s="16">
        <f t="shared" ref="GL12:HN12" si="185">GL11-GL10</f>
        <v>516.21999999997206</v>
      </c>
      <c r="GM12" s="16">
        <f t="shared" si="185"/>
        <v>650.18000000005122</v>
      </c>
      <c r="GN12" s="16">
        <f t="shared" si="185"/>
        <v>866.98300000000745</v>
      </c>
      <c r="GO12" s="16">
        <f t="shared" si="185"/>
        <v>823.73099999991246</v>
      </c>
      <c r="GP12" s="16">
        <f t="shared" si="185"/>
        <v>742.46799999999348</v>
      </c>
      <c r="GQ12" s="16">
        <f t="shared" si="185"/>
        <v>518.625</v>
      </c>
      <c r="GR12" s="16">
        <f t="shared" si="185"/>
        <v>875.89100000006147</v>
      </c>
      <c r="GS12" s="16">
        <f t="shared" si="185"/>
        <v>759.21999999997206</v>
      </c>
      <c r="GT12" s="16">
        <f t="shared" si="185"/>
        <v>631.59499999997206</v>
      </c>
      <c r="GU12" s="16">
        <f t="shared" si="185"/>
        <v>608.88300000003073</v>
      </c>
      <c r="GV12" s="16">
        <f t="shared" si="185"/>
        <v>652.28599999996368</v>
      </c>
      <c r="GW12" s="16">
        <f t="shared" si="185"/>
        <v>576.50400000007357</v>
      </c>
      <c r="GX12" s="16">
        <f t="shared" si="185"/>
        <v>805.09399999992456</v>
      </c>
      <c r="GY12" s="16">
        <f t="shared" si="185"/>
        <v>728.05200000002515</v>
      </c>
      <c r="GZ12" s="16">
        <f t="shared" si="185"/>
        <v>544.19599999999627</v>
      </c>
      <c r="HA12" s="16">
        <f t="shared" si="185"/>
        <v>616.28700000001118</v>
      </c>
      <c r="HB12" s="16">
        <f t="shared" si="185"/>
        <v>648.08100000000559</v>
      </c>
      <c r="HC12" s="16">
        <f t="shared" si="185"/>
        <v>609.13100000005215</v>
      </c>
      <c r="HD12" s="16">
        <f t="shared" si="185"/>
        <v>496.08699999994133</v>
      </c>
      <c r="HE12" s="16">
        <f t="shared" si="185"/>
        <v>828.3059999999823</v>
      </c>
      <c r="HF12" s="16">
        <f t="shared" si="185"/>
        <v>566.8420000000624</v>
      </c>
      <c r="HG12" s="16">
        <f t="shared" si="185"/>
        <v>778.56599999999162</v>
      </c>
      <c r="HH12" s="16">
        <f t="shared" si="185"/>
        <v>759.63099999993574</v>
      </c>
      <c r="HI12" s="16">
        <f t="shared" si="185"/>
        <v>664.85800000000745</v>
      </c>
      <c r="HJ12" s="16">
        <f t="shared" si="185"/>
        <v>530.13699999998789</v>
      </c>
      <c r="HK12" s="16">
        <f t="shared" si="185"/>
        <v>554.06200000003446</v>
      </c>
      <c r="HL12" s="16">
        <f t="shared" si="185"/>
        <v>761.56999999994878</v>
      </c>
      <c r="HM12" s="16">
        <f t="shared" si="185"/>
        <v>562.48800000001211</v>
      </c>
      <c r="HN12" s="16">
        <f t="shared" si="185"/>
        <v>623.07200000004377</v>
      </c>
      <c r="HO12" s="126"/>
      <c r="HP12" s="16">
        <f t="shared" ref="HP12:IT12" si="186">HP11-HP10</f>
        <v>725.8980000000447</v>
      </c>
      <c r="HQ12" s="16">
        <f t="shared" si="186"/>
        <v>865.59299999999348</v>
      </c>
      <c r="HR12" s="16">
        <f t="shared" si="186"/>
        <v>681.58799999998882</v>
      </c>
      <c r="HS12" s="16">
        <f t="shared" si="186"/>
        <v>700.3859999999404</v>
      </c>
      <c r="HT12" s="16">
        <f t="shared" si="186"/>
        <v>695.53800000005867</v>
      </c>
      <c r="HU12" s="16">
        <f t="shared" si="186"/>
        <v>719.41899999999441</v>
      </c>
      <c r="HV12" s="16">
        <f t="shared" si="186"/>
        <v>839.55400000000373</v>
      </c>
      <c r="HW12" s="16">
        <f t="shared" si="186"/>
        <v>737.26500000001397</v>
      </c>
      <c r="HX12" s="16">
        <f t="shared" si="186"/>
        <v>858.66799999994691</v>
      </c>
      <c r="HY12" s="16">
        <f t="shared" si="186"/>
        <v>632.91300000005867</v>
      </c>
      <c r="HZ12" s="16">
        <f t="shared" si="186"/>
        <v>631.21799999999348</v>
      </c>
      <c r="IA12" s="16">
        <f t="shared" si="186"/>
        <v>686.28599999996368</v>
      </c>
      <c r="IB12" s="16">
        <f t="shared" si="186"/>
        <v>496.93400000000838</v>
      </c>
      <c r="IC12" s="16">
        <f t="shared" si="186"/>
        <v>592.55900000000838</v>
      </c>
      <c r="ID12" s="16">
        <f t="shared" si="186"/>
        <v>763.50099999993108</v>
      </c>
      <c r="IE12" s="16">
        <f t="shared" si="186"/>
        <v>613.49100000003818</v>
      </c>
      <c r="IF12" s="16">
        <f t="shared" si="186"/>
        <v>625.52700000000186</v>
      </c>
      <c r="IG12" s="16">
        <f t="shared" si="186"/>
        <v>864.10400000005029</v>
      </c>
      <c r="IH12" s="16">
        <f t="shared" si="186"/>
        <v>613.68900000001304</v>
      </c>
      <c r="II12" s="16">
        <f t="shared" si="186"/>
        <v>556.77700000000186</v>
      </c>
      <c r="IJ12" s="16">
        <f t="shared" si="186"/>
        <v>562.27099999994971</v>
      </c>
      <c r="IK12" s="16">
        <f t="shared" si="186"/>
        <v>660.93299999996088</v>
      </c>
      <c r="IL12" s="16">
        <f t="shared" si="186"/>
        <v>786.58000000007451</v>
      </c>
      <c r="IM12" s="16">
        <f t="shared" si="186"/>
        <v>583.69499999994878</v>
      </c>
      <c r="IN12" s="16">
        <f t="shared" si="186"/>
        <v>578.35800000000745</v>
      </c>
      <c r="IO12" s="16">
        <f t="shared" si="186"/>
        <v>577.83799999998882</v>
      </c>
      <c r="IP12" s="16">
        <f t="shared" si="186"/>
        <v>649.01199999998789</v>
      </c>
      <c r="IQ12" s="16">
        <f t="shared" si="186"/>
        <v>480.87800000002608</v>
      </c>
      <c r="IR12" s="16">
        <f t="shared" si="186"/>
        <v>503.66599999996834</v>
      </c>
      <c r="IS12" s="16">
        <f t="shared" si="186"/>
        <v>607.4100000000326</v>
      </c>
      <c r="IT12" s="16">
        <f t="shared" si="186"/>
        <v>357.41399999998976</v>
      </c>
      <c r="IU12" s="126"/>
      <c r="IV12" s="16">
        <f t="shared" ref="IV12:JY12" si="187">IV11-IV10</f>
        <v>494.85400000005029</v>
      </c>
      <c r="IW12" s="16">
        <f t="shared" si="187"/>
        <v>653.06299999996554</v>
      </c>
      <c r="IX12" s="16">
        <f t="shared" si="187"/>
        <v>602.66399999998976</v>
      </c>
      <c r="IY12" s="16">
        <f t="shared" si="187"/>
        <v>589.54500000004191</v>
      </c>
      <c r="IZ12" s="16">
        <f t="shared" si="187"/>
        <v>663.82699999993201</v>
      </c>
      <c r="JA12" s="16">
        <f t="shared" si="187"/>
        <v>528.45299999997951</v>
      </c>
      <c r="JB12" s="16">
        <f t="shared" si="187"/>
        <v>455.88600000005681</v>
      </c>
      <c r="JC12" s="16">
        <f t="shared" si="187"/>
        <v>573.23499999998603</v>
      </c>
      <c r="JD12" s="16">
        <f t="shared" si="187"/>
        <v>546.08600000001024</v>
      </c>
      <c r="JE12" s="16">
        <f t="shared" si="187"/>
        <v>719.72900000005029</v>
      </c>
      <c r="JF12" s="16">
        <f t="shared" si="187"/>
        <v>615.36399999994319</v>
      </c>
      <c r="JG12" s="16">
        <f t="shared" si="187"/>
        <v>573.93400000000838</v>
      </c>
      <c r="JH12" s="16">
        <f t="shared" si="187"/>
        <v>564.19999999995343</v>
      </c>
      <c r="JI12" s="16">
        <f t="shared" si="187"/>
        <v>345.90400000009686</v>
      </c>
      <c r="JJ12" s="16">
        <f t="shared" si="187"/>
        <v>666.89899999997579</v>
      </c>
      <c r="JK12" s="16">
        <f t="shared" si="187"/>
        <v>579.20600000000559</v>
      </c>
      <c r="JL12" s="16">
        <f t="shared" si="187"/>
        <v>556.06199999991804</v>
      </c>
      <c r="JM12" s="16">
        <f t="shared" si="187"/>
        <v>637.39400000008754</v>
      </c>
      <c r="JN12" s="16">
        <f t="shared" si="187"/>
        <v>744.24699999997392</v>
      </c>
      <c r="JO12" s="16">
        <f t="shared" si="187"/>
        <v>563.39899999997579</v>
      </c>
      <c r="JP12" s="16">
        <f t="shared" si="187"/>
        <v>402.53300000005402</v>
      </c>
      <c r="JQ12" s="16">
        <f t="shared" si="187"/>
        <v>503.77099999994971</v>
      </c>
      <c r="JR12" s="16">
        <f t="shared" si="187"/>
        <v>477.13600000005681</v>
      </c>
      <c r="JS12" s="16">
        <f t="shared" si="187"/>
        <v>505.26699999999255</v>
      </c>
      <c r="JT12" s="16">
        <f t="shared" si="187"/>
        <v>572.3169999999227</v>
      </c>
      <c r="JU12" s="16">
        <f t="shared" si="187"/>
        <v>745.28700000001118</v>
      </c>
      <c r="JV12" s="16">
        <f t="shared" si="187"/>
        <v>875.64199999999255</v>
      </c>
      <c r="JW12" s="16">
        <f t="shared" si="187"/>
        <v>556.8070000000298</v>
      </c>
      <c r="JX12" s="16">
        <f t="shared" si="187"/>
        <v>402.94499999994878</v>
      </c>
      <c r="JY12" s="16">
        <f t="shared" si="187"/>
        <v>648.72700000007171</v>
      </c>
      <c r="JZ12" s="127">
        <f>SUM(IV12:JY12)</f>
        <v>17364.383000000031</v>
      </c>
      <c r="KA12" s="16">
        <f t="shared" ref="KA12:LE12" si="188">KA11-KA10</f>
        <v>473.59799999999814</v>
      </c>
      <c r="KB12" s="16">
        <f t="shared" si="188"/>
        <v>578.4649999999674</v>
      </c>
      <c r="KC12" s="16">
        <f t="shared" si="188"/>
        <v>534.54099999996834</v>
      </c>
      <c r="KD12" s="16">
        <f t="shared" si="188"/>
        <v>523.61100000003353</v>
      </c>
      <c r="KE12" s="16">
        <f t="shared" si="188"/>
        <v>633.66200000001118</v>
      </c>
      <c r="KF12" s="16">
        <f t="shared" si="188"/>
        <v>570.8980000000447</v>
      </c>
      <c r="KG12" s="16">
        <f t="shared" si="188"/>
        <v>680.51199999998789</v>
      </c>
      <c r="KH12" s="16">
        <f t="shared" si="188"/>
        <v>548.96899999992456</v>
      </c>
      <c r="KI12" s="16">
        <f t="shared" si="188"/>
        <v>717.82400000002235</v>
      </c>
      <c r="KJ12" s="16">
        <f t="shared" si="188"/>
        <v>476.52700000000186</v>
      </c>
      <c r="KK12" s="16">
        <f t="shared" si="188"/>
        <v>739.5010000000475</v>
      </c>
      <c r="KL12" s="16">
        <f t="shared" si="188"/>
        <v>576.54899999999907</v>
      </c>
      <c r="KM12" s="16">
        <f t="shared" si="188"/>
        <v>675.67999999993481</v>
      </c>
      <c r="KN12" s="16">
        <f t="shared" si="188"/>
        <v>542.1140000000596</v>
      </c>
      <c r="KO12" s="16">
        <f t="shared" si="188"/>
        <v>639.20400000002701</v>
      </c>
      <c r="KP12" s="16">
        <f t="shared" si="188"/>
        <v>469.09999999997672</v>
      </c>
      <c r="KQ12" s="16">
        <f t="shared" si="188"/>
        <v>654.40399999998044</v>
      </c>
      <c r="KR12" s="16">
        <f t="shared" si="188"/>
        <v>555.39099999994505</v>
      </c>
      <c r="KS12" s="16">
        <f t="shared" si="188"/>
        <v>547.01800000004005</v>
      </c>
      <c r="KT12" s="16">
        <f t="shared" si="188"/>
        <v>627.05000000004657</v>
      </c>
      <c r="KU12" s="16">
        <f t="shared" si="188"/>
        <v>465.9079999999376</v>
      </c>
      <c r="KV12" s="16">
        <f t="shared" si="188"/>
        <v>581.75</v>
      </c>
      <c r="KW12" s="16">
        <f t="shared" si="188"/>
        <v>630.88100000005215</v>
      </c>
      <c r="KX12" s="16">
        <f t="shared" si="188"/>
        <v>701.43299999996088</v>
      </c>
      <c r="KY12" s="16">
        <f t="shared" si="188"/>
        <v>554.40300000004936</v>
      </c>
      <c r="KZ12" s="16">
        <f t="shared" si="188"/>
        <v>746.50099999993108</v>
      </c>
      <c r="LA12" s="16">
        <f t="shared" si="188"/>
        <v>652.74900000006892</v>
      </c>
      <c r="LB12" s="16">
        <f t="shared" si="188"/>
        <v>751.8410000000149</v>
      </c>
      <c r="LC12" s="16">
        <f t="shared" si="188"/>
        <v>582.7149999999674</v>
      </c>
      <c r="LD12" s="16">
        <f t="shared" si="188"/>
        <v>548.52700000000186</v>
      </c>
      <c r="LE12" s="16">
        <f t="shared" si="188"/>
        <v>699.51000000000931</v>
      </c>
      <c r="LF12" s="127">
        <f>SUM(KA12:LE12)</f>
        <v>18680.83600000001</v>
      </c>
      <c r="LG12" s="16">
        <f t="shared" ref="LG12:MJ12" si="189">LG11-LG10</f>
        <v>872.58600000001024</v>
      </c>
      <c r="LH12" s="16">
        <f t="shared" si="189"/>
        <v>630.8169999999227</v>
      </c>
      <c r="LI12" s="16">
        <f t="shared" si="189"/>
        <v>663.04500000004191</v>
      </c>
      <c r="LJ12" s="16">
        <f t="shared" si="189"/>
        <v>783.59999999997672</v>
      </c>
      <c r="LK12" s="16">
        <f t="shared" si="189"/>
        <v>658.06599999999162</v>
      </c>
      <c r="LL12" s="16">
        <f t="shared" si="189"/>
        <v>546.69200000003912</v>
      </c>
      <c r="LM12" s="16">
        <f t="shared" si="189"/>
        <v>765.11199999996461</v>
      </c>
      <c r="LN12" s="16">
        <f t="shared" si="189"/>
        <v>770.16800000006333</v>
      </c>
      <c r="LO12" s="16">
        <f t="shared" si="189"/>
        <v>562.14399999997113</v>
      </c>
      <c r="LP12" s="16">
        <f t="shared" si="189"/>
        <v>648.21299999998882</v>
      </c>
      <c r="LQ12" s="16">
        <f t="shared" si="189"/>
        <v>597.2149999999674</v>
      </c>
      <c r="LR12" s="16">
        <f t="shared" si="189"/>
        <v>586.5570000000298</v>
      </c>
      <c r="LS12" s="16">
        <f t="shared" si="189"/>
        <v>517.77399999997579</v>
      </c>
      <c r="LT12" s="16">
        <f t="shared" si="189"/>
        <v>728.21200000005774</v>
      </c>
      <c r="LU12" s="16">
        <f t="shared" si="189"/>
        <v>948.9649999999674</v>
      </c>
      <c r="LV12" s="16">
        <f t="shared" si="189"/>
        <v>618.80200000002515</v>
      </c>
      <c r="LW12" s="16">
        <f t="shared" si="189"/>
        <v>578.26899999997113</v>
      </c>
      <c r="LX12" s="16">
        <f t="shared" si="189"/>
        <v>643.39199999999255</v>
      </c>
      <c r="LY12" s="16">
        <f t="shared" si="189"/>
        <v>614.13100000005215</v>
      </c>
      <c r="LZ12" s="16">
        <f t="shared" si="189"/>
        <v>668.88099999993574</v>
      </c>
      <c r="MA12" s="16">
        <f t="shared" si="189"/>
        <v>814.95299999997951</v>
      </c>
      <c r="MB12" s="16">
        <f t="shared" si="189"/>
        <v>683.13500000000931</v>
      </c>
      <c r="MC12" s="16">
        <f t="shared" si="189"/>
        <v>802.01300000003539</v>
      </c>
      <c r="MD12" s="16">
        <f t="shared" si="189"/>
        <v>600.66500000003725</v>
      </c>
      <c r="ME12" s="16">
        <f t="shared" si="189"/>
        <v>658.17999999993481</v>
      </c>
      <c r="MF12" s="16">
        <f t="shared" si="189"/>
        <v>605.68700000003446</v>
      </c>
      <c r="MG12" s="16">
        <f t="shared" si="189"/>
        <v>556.20799999998417</v>
      </c>
      <c r="MH12" s="16">
        <f t="shared" si="189"/>
        <v>565.27899999998044</v>
      </c>
      <c r="MI12" s="16">
        <f t="shared" si="189"/>
        <v>611.19500000006519</v>
      </c>
      <c r="MJ12" s="16">
        <f t="shared" si="189"/>
        <v>561.57699999993201</v>
      </c>
      <c r="MK12" s="127">
        <f>SUM(LF12:MJ12)</f>
        <v>38542.368999999948</v>
      </c>
      <c r="ML12" s="16">
        <f t="shared" ref="ML12:NP12" si="190">ML11-ML10</f>
        <v>656.6600000000326</v>
      </c>
      <c r="MM12" s="16">
        <f t="shared" si="190"/>
        <v>582.74600000004284</v>
      </c>
      <c r="MN12" s="16">
        <f t="shared" si="190"/>
        <v>618.61399999994319</v>
      </c>
      <c r="MO12" s="16">
        <f t="shared" si="190"/>
        <v>669.98199999995995</v>
      </c>
      <c r="MP12" s="16">
        <f t="shared" si="190"/>
        <v>614.27800000004936</v>
      </c>
      <c r="MQ12" s="16">
        <f t="shared" si="190"/>
        <v>603.54200000001583</v>
      </c>
      <c r="MR12" s="16">
        <f t="shared" si="190"/>
        <v>700.87599999993108</v>
      </c>
      <c r="MS12" s="16">
        <f t="shared" si="190"/>
        <v>633.5</v>
      </c>
      <c r="MT12" s="16">
        <f t="shared" si="190"/>
        <v>388.12900000007357</v>
      </c>
      <c r="MU12" s="16">
        <f t="shared" si="190"/>
        <v>497.80799999996088</v>
      </c>
      <c r="MV12" s="16">
        <f t="shared" si="190"/>
        <v>549.66700000001583</v>
      </c>
      <c r="MW12" s="16">
        <f t="shared" si="190"/>
        <v>645.99199999996927</v>
      </c>
      <c r="MX12" s="16">
        <f t="shared" si="190"/>
        <v>916.12800000002608</v>
      </c>
      <c r="MY12" s="16">
        <f t="shared" si="190"/>
        <v>459.00600000005215</v>
      </c>
      <c r="MZ12" s="16">
        <f t="shared" si="190"/>
        <v>493.81400000001304</v>
      </c>
      <c r="NA12" s="16">
        <f t="shared" si="190"/>
        <v>755.86199999996461</v>
      </c>
      <c r="NB12" s="16">
        <f t="shared" si="190"/>
        <v>567.16200000001118</v>
      </c>
      <c r="NC12" s="16">
        <f t="shared" si="190"/>
        <v>656.26299999991897</v>
      </c>
      <c r="ND12" s="16">
        <f t="shared" si="190"/>
        <v>568.21400000003632</v>
      </c>
      <c r="NE12" s="16">
        <f t="shared" si="190"/>
        <v>632.17700000002515</v>
      </c>
      <c r="NF12" s="16">
        <f t="shared" si="190"/>
        <v>385.61100000003353</v>
      </c>
      <c r="NG12" s="16">
        <f t="shared" si="190"/>
        <v>497.47899999993388</v>
      </c>
      <c r="NH12" s="16">
        <f t="shared" si="190"/>
        <v>457.98700000008103</v>
      </c>
      <c r="NI12" s="16">
        <f t="shared" si="190"/>
        <v>533.45199999993201</v>
      </c>
      <c r="NJ12" s="16">
        <f t="shared" si="190"/>
        <v>573.01300000003539</v>
      </c>
      <c r="NK12" s="16">
        <f t="shared" si="190"/>
        <v>683.84499999997206</v>
      </c>
      <c r="NL12" s="16">
        <f t="shared" si="190"/>
        <v>733.3399999999674</v>
      </c>
      <c r="NM12" s="16">
        <f t="shared" si="190"/>
        <v>458.28100000007544</v>
      </c>
      <c r="NN12" s="16">
        <f t="shared" si="190"/>
        <v>565.51199999998789</v>
      </c>
      <c r="NO12" s="16">
        <f t="shared" si="190"/>
        <v>582.37599999993108</v>
      </c>
      <c r="NP12" s="16">
        <f t="shared" si="190"/>
        <v>434.0690000000177</v>
      </c>
      <c r="NQ12" s="127">
        <f>SUM(ML12:NP12)</f>
        <v>18115.385000000009</v>
      </c>
      <c r="NR12" s="16">
        <f t="shared" ref="NR12:OV12" si="191">NR11-NR10</f>
        <v>590.10400000005029</v>
      </c>
      <c r="NS12" s="16">
        <f t="shared" si="191"/>
        <v>600.45699999993667</v>
      </c>
      <c r="NT12" s="16">
        <f t="shared" si="191"/>
        <v>739.73200000007637</v>
      </c>
      <c r="NU12" s="16">
        <f t="shared" si="191"/>
        <v>536.13399999996182</v>
      </c>
      <c r="NV12" s="16">
        <f t="shared" si="191"/>
        <v>574.96999999997206</v>
      </c>
      <c r="NW12" s="16">
        <f t="shared" si="191"/>
        <v>724.15300000004936</v>
      </c>
      <c r="NX12" s="16">
        <f t="shared" si="191"/>
        <v>512.18499999993946</v>
      </c>
      <c r="NY12" s="16">
        <f t="shared" si="191"/>
        <v>677.82300000009127</v>
      </c>
      <c r="NZ12" s="16">
        <f t="shared" si="191"/>
        <v>661.18199999991339</v>
      </c>
      <c r="OA12" s="16">
        <f t="shared" si="191"/>
        <v>692.2730000000447</v>
      </c>
      <c r="OB12" s="16">
        <f t="shared" si="191"/>
        <v>656.17200000002049</v>
      </c>
      <c r="OC12" s="16">
        <f t="shared" si="191"/>
        <v>556.77500000002328</v>
      </c>
      <c r="OD12" s="16">
        <f t="shared" si="191"/>
        <v>568.10599999991246</v>
      </c>
      <c r="OE12" s="16">
        <f t="shared" si="191"/>
        <v>551.53800000005867</v>
      </c>
      <c r="OF12" s="16">
        <f t="shared" si="191"/>
        <v>662.20999999996275</v>
      </c>
      <c r="OG12" s="16">
        <f t="shared" si="191"/>
        <v>717.48100000002887</v>
      </c>
      <c r="OH12" s="16">
        <f t="shared" si="191"/>
        <v>735.93599999998696</v>
      </c>
      <c r="OI12" s="16">
        <f t="shared" si="191"/>
        <v>575.57499999995343</v>
      </c>
      <c r="OJ12" s="16">
        <f t="shared" si="191"/>
        <v>701.90600000007544</v>
      </c>
      <c r="OK12" s="16">
        <f t="shared" si="191"/>
        <v>618.58199999993667</v>
      </c>
      <c r="OL12" s="16">
        <f t="shared" si="191"/>
        <v>554.22400000004563</v>
      </c>
      <c r="OM12" s="16">
        <f t="shared" si="191"/>
        <v>634.70799999998417</v>
      </c>
      <c r="ON12" s="16">
        <f t="shared" si="191"/>
        <v>647.63100000005215</v>
      </c>
      <c r="OO12" s="16">
        <f t="shared" si="191"/>
        <v>673.98599999991711</v>
      </c>
      <c r="OP12" s="16">
        <f t="shared" si="191"/>
        <v>541.05200000002515</v>
      </c>
      <c r="OQ12" s="16">
        <f t="shared" si="191"/>
        <v>594.04799999995157</v>
      </c>
      <c r="OR12" s="16">
        <f t="shared" si="191"/>
        <v>660.87100000004284</v>
      </c>
      <c r="OS12" s="16">
        <f t="shared" si="191"/>
        <v>612.74800000002142</v>
      </c>
      <c r="OT12" s="16">
        <f t="shared" si="191"/>
        <v>670.44599999999627</v>
      </c>
      <c r="OU12" s="16">
        <f t="shared" si="191"/>
        <v>511.17599999997765</v>
      </c>
      <c r="OV12" s="16">
        <f t="shared" si="191"/>
        <v>786.29599999997299</v>
      </c>
      <c r="OW12" s="127">
        <f>SUM(NR12:OV12)</f>
        <v>19540.479999999981</v>
      </c>
      <c r="OX12" s="16">
        <f t="shared" ref="OX12:QA12" si="192">OX11-OX10</f>
        <v>608.98800000001211</v>
      </c>
      <c r="OY12" s="16">
        <f t="shared" si="192"/>
        <v>767.19000000006054</v>
      </c>
      <c r="OZ12" s="16">
        <f t="shared" si="192"/>
        <v>687.31999999994878</v>
      </c>
      <c r="PA12" s="16">
        <f t="shared" si="192"/>
        <v>611.47400000004563</v>
      </c>
      <c r="PB12" s="16">
        <f t="shared" si="192"/>
        <v>676.84399999992456</v>
      </c>
      <c r="PC12" s="16">
        <f t="shared" si="192"/>
        <v>736.62200000009034</v>
      </c>
      <c r="PD12" s="16">
        <f t="shared" si="192"/>
        <v>629.16499999992084</v>
      </c>
      <c r="PE12" s="16">
        <f t="shared" si="192"/>
        <v>633.36200000008103</v>
      </c>
      <c r="PF12" s="16">
        <f t="shared" si="192"/>
        <v>689.16499999992084</v>
      </c>
      <c r="PG12" s="16">
        <f t="shared" si="192"/>
        <v>575.83900000003632</v>
      </c>
      <c r="PH12" s="16">
        <f t="shared" si="192"/>
        <v>558.3059999999823</v>
      </c>
      <c r="PI12" s="16">
        <f t="shared" si="192"/>
        <v>575.64100000006147</v>
      </c>
      <c r="PJ12" s="16">
        <f t="shared" si="192"/>
        <v>731.37299999990501</v>
      </c>
      <c r="PK12" s="16">
        <f t="shared" si="192"/>
        <v>692.23400000005495</v>
      </c>
      <c r="PL12" s="16">
        <f t="shared" si="192"/>
        <v>632.06099999998696</v>
      </c>
      <c r="PM12" s="16">
        <f t="shared" si="192"/>
        <v>605.59999999997672</v>
      </c>
      <c r="PN12" s="16">
        <f t="shared" si="192"/>
        <v>565.33799999998882</v>
      </c>
      <c r="PO12" s="16">
        <f t="shared" si="192"/>
        <v>567.73500000010245</v>
      </c>
      <c r="PP12" s="16">
        <f t="shared" si="192"/>
        <v>567.25</v>
      </c>
      <c r="PQ12" s="16">
        <f t="shared" si="192"/>
        <v>582.0559999999823</v>
      </c>
      <c r="PR12" s="16">
        <f t="shared" si="192"/>
        <v>508.71699999994598</v>
      </c>
      <c r="PS12" s="16">
        <f t="shared" si="192"/>
        <v>539.29599999997299</v>
      </c>
      <c r="PT12" s="16">
        <f t="shared" si="192"/>
        <v>539.27800000004936</v>
      </c>
      <c r="PU12" s="16">
        <f t="shared" si="192"/>
        <v>535.39500000001863</v>
      </c>
      <c r="PV12" s="16">
        <f t="shared" si="192"/>
        <v>487.37699999997858</v>
      </c>
      <c r="PW12" s="16">
        <f t="shared" si="192"/>
        <v>499.92399999999907</v>
      </c>
      <c r="PX12" s="16">
        <f t="shared" si="192"/>
        <v>627.31299999996554</v>
      </c>
      <c r="PY12" s="16">
        <f t="shared" si="192"/>
        <v>518.67900000000373</v>
      </c>
      <c r="PZ12" s="16">
        <f t="shared" si="192"/>
        <v>269.61999999999534</v>
      </c>
      <c r="QA12" s="16">
        <f t="shared" si="192"/>
        <v>560.96299999998882</v>
      </c>
      <c r="QB12" s="127">
        <f>SUM(OX12:QA12)</f>
        <v>17780.125</v>
      </c>
      <c r="QC12" s="16">
        <f t="shared" ref="QC12:RG12" si="193">QC11-QC10</f>
        <v>452.38200000009965</v>
      </c>
      <c r="QD12" s="16">
        <f t="shared" si="193"/>
        <v>491.48399999993853</v>
      </c>
      <c r="QE12" s="16">
        <f t="shared" si="193"/>
        <v>617.09999999997672</v>
      </c>
      <c r="QF12" s="16">
        <f t="shared" si="193"/>
        <v>925.5339999999851</v>
      </c>
      <c r="QG12" s="16">
        <f t="shared" si="193"/>
        <v>819.93700000003446</v>
      </c>
      <c r="QH12" s="16">
        <f t="shared" si="193"/>
        <v>649.59999999997672</v>
      </c>
      <c r="QI12" s="16">
        <f t="shared" si="193"/>
        <v>726.91200000001118</v>
      </c>
      <c r="QJ12" s="16">
        <f t="shared" si="193"/>
        <v>549.24499999999534</v>
      </c>
      <c r="QK12" s="16">
        <f t="shared" si="193"/>
        <v>654.40100000007078</v>
      </c>
      <c r="QL12" s="16">
        <f t="shared" si="193"/>
        <v>690.55699999991339</v>
      </c>
      <c r="QM12" s="16">
        <f t="shared" si="193"/>
        <v>718.31700000003912</v>
      </c>
      <c r="QN12" s="16">
        <f t="shared" si="193"/>
        <v>676.91500000003725</v>
      </c>
      <c r="QO12" s="16">
        <f t="shared" si="193"/>
        <v>666.46699999994598</v>
      </c>
      <c r="QP12" s="16">
        <f t="shared" si="193"/>
        <v>713.58000000007451</v>
      </c>
      <c r="QQ12" s="16">
        <f t="shared" si="193"/>
        <v>722.08699999994133</v>
      </c>
      <c r="QR12" s="16">
        <f t="shared" si="193"/>
        <v>522.90000000002328</v>
      </c>
      <c r="QS12" s="16">
        <f t="shared" si="193"/>
        <v>504.89000000001397</v>
      </c>
      <c r="QT12" s="16">
        <f t="shared" si="193"/>
        <v>704.45699999993667</v>
      </c>
      <c r="QU12" s="16">
        <f t="shared" si="193"/>
        <v>724.90000000002328</v>
      </c>
      <c r="QV12" s="16">
        <f t="shared" si="193"/>
        <v>542.40000000002328</v>
      </c>
      <c r="QW12" s="16">
        <f t="shared" si="193"/>
        <v>527.10399999993388</v>
      </c>
      <c r="QX12" s="16">
        <f t="shared" si="193"/>
        <v>508.42500000004657</v>
      </c>
      <c r="QY12" s="16">
        <f t="shared" si="193"/>
        <v>596.07099999999627</v>
      </c>
      <c r="QZ12" s="16">
        <f t="shared" si="193"/>
        <v>463.86999999999534</v>
      </c>
      <c r="RA12" s="16">
        <f t="shared" si="193"/>
        <v>713.11999999999534</v>
      </c>
      <c r="RB12" s="16">
        <f t="shared" si="193"/>
        <v>572.59999999997672</v>
      </c>
      <c r="RC12" s="16">
        <f t="shared" si="193"/>
        <v>461</v>
      </c>
      <c r="RD12" s="16">
        <f t="shared" si="193"/>
        <v>497.35900000005495</v>
      </c>
      <c r="RE12" s="16">
        <f t="shared" si="193"/>
        <v>661.72199999995064</v>
      </c>
      <c r="RF12" s="16">
        <f t="shared" si="193"/>
        <v>369.20900000003166</v>
      </c>
      <c r="RG12" s="16">
        <f t="shared" si="193"/>
        <v>610.27700000000186</v>
      </c>
      <c r="RH12" s="127">
        <f>SUM(QD12:RG12)</f>
        <v>18602.439999999944</v>
      </c>
      <c r="RI12" s="16">
        <f t="shared" ref="RI12:SL12" si="194">RI11-RI10</f>
        <v>611.06099999998696</v>
      </c>
      <c r="RJ12" s="16">
        <f t="shared" si="194"/>
        <v>701.67200000002049</v>
      </c>
      <c r="RK12" s="16">
        <f t="shared" si="194"/>
        <v>558.0679999999702</v>
      </c>
      <c r="RL12" s="16">
        <f t="shared" si="194"/>
        <v>678.95900000003166</v>
      </c>
      <c r="RM12" s="16">
        <f t="shared" si="194"/>
        <v>553.90000000002328</v>
      </c>
      <c r="RN12" s="16">
        <f t="shared" si="194"/>
        <v>413.54099999996834</v>
      </c>
      <c r="RO12" s="16">
        <f t="shared" si="194"/>
        <v>440.05999999993946</v>
      </c>
      <c r="RP12" s="16">
        <f t="shared" si="194"/>
        <v>510.51100000005681</v>
      </c>
      <c r="RQ12" s="16">
        <f t="shared" si="194"/>
        <v>577.87300000002142</v>
      </c>
      <c r="RR12" s="16">
        <f t="shared" si="194"/>
        <v>446.33499999996275</v>
      </c>
      <c r="RS12" s="16">
        <f t="shared" si="194"/>
        <v>557.09900000004563</v>
      </c>
      <c r="RT12" s="16">
        <f t="shared" si="194"/>
        <v>459.52599999995437</v>
      </c>
      <c r="RU12" s="16">
        <f t="shared" si="194"/>
        <v>594.86199999996461</v>
      </c>
      <c r="RV12" s="16">
        <f t="shared" si="194"/>
        <v>581.48400000005495</v>
      </c>
      <c r="RW12" s="16">
        <f t="shared" si="194"/>
        <v>707.40599999995902</v>
      </c>
      <c r="RX12" s="16">
        <f t="shared" si="194"/>
        <v>540.38500000000931</v>
      </c>
      <c r="RY12" s="16">
        <f t="shared" si="194"/>
        <v>628.8420000000624</v>
      </c>
      <c r="RZ12" s="16">
        <f t="shared" si="194"/>
        <v>661.8059999999823</v>
      </c>
      <c r="SA12" s="16">
        <f t="shared" si="194"/>
        <v>641.81499999994412</v>
      </c>
      <c r="SB12" s="16">
        <f t="shared" si="194"/>
        <v>546.96400000003632</v>
      </c>
      <c r="SC12" s="16">
        <f t="shared" si="194"/>
        <v>478.6929999999702</v>
      </c>
      <c r="SD12" s="16">
        <f t="shared" si="194"/>
        <v>655.85700000007637</v>
      </c>
      <c r="SE12" s="16">
        <f t="shared" si="194"/>
        <v>676.15499999991152</v>
      </c>
      <c r="SF12" s="16">
        <f t="shared" si="194"/>
        <v>423.23700000008103</v>
      </c>
      <c r="SG12" s="16">
        <f t="shared" si="194"/>
        <v>486.67799999995623</v>
      </c>
      <c r="SH12" s="16">
        <f t="shared" si="194"/>
        <v>636.62699999997858</v>
      </c>
      <c r="SI12" s="16">
        <f t="shared" si="194"/>
        <v>466.46000000007916</v>
      </c>
      <c r="SJ12" s="16">
        <f t="shared" si="194"/>
        <v>609.26199999998789</v>
      </c>
      <c r="SK12" s="16">
        <f t="shared" si="194"/>
        <v>643.57699999993201</v>
      </c>
      <c r="SL12" s="16">
        <f t="shared" si="194"/>
        <v>642.85800000000745</v>
      </c>
      <c r="SM12" s="127">
        <f>SUM(RI12:SL12)</f>
        <v>17131.572999999975</v>
      </c>
      <c r="SN12" s="16">
        <f t="shared" ref="SN12:TR12" si="195">SN11-SN10</f>
        <v>530.44900000002235</v>
      </c>
      <c r="SO12" s="16">
        <f t="shared" si="195"/>
        <v>627.47199999995064</v>
      </c>
      <c r="SP12" s="16">
        <f t="shared" si="195"/>
        <v>496.6260000000475</v>
      </c>
      <c r="SQ12" s="16">
        <f t="shared" si="195"/>
        <v>611.93299999996088</v>
      </c>
      <c r="SR12" s="16">
        <f t="shared" si="195"/>
        <v>508.41600000008475</v>
      </c>
      <c r="SS12" s="16">
        <f t="shared" si="195"/>
        <v>656.87100000004284</v>
      </c>
      <c r="ST12" s="16">
        <f t="shared" si="195"/>
        <v>600.99099999992177</v>
      </c>
      <c r="SU12" s="16">
        <f t="shared" si="195"/>
        <v>544.18299999996088</v>
      </c>
      <c r="SV12" s="16">
        <f t="shared" si="195"/>
        <v>705.04300000006333</v>
      </c>
      <c r="SW12" s="16">
        <f t="shared" si="195"/>
        <v>536.31199999991804</v>
      </c>
      <c r="SX12" s="16">
        <f t="shared" si="195"/>
        <v>527.66899999999441</v>
      </c>
      <c r="SY12" s="16">
        <f t="shared" si="195"/>
        <v>633.81700000003912</v>
      </c>
      <c r="SZ12" s="16">
        <f t="shared" si="195"/>
        <v>642.41599999996834</v>
      </c>
      <c r="TA12" s="16">
        <f t="shared" si="195"/>
        <v>672.00800000014715</v>
      </c>
      <c r="TB12" s="16">
        <f t="shared" si="195"/>
        <v>492.40999999991618</v>
      </c>
      <c r="TC12" s="16">
        <f t="shared" si="195"/>
        <v>537.52099999994971</v>
      </c>
      <c r="TD12" s="16">
        <f t="shared" si="195"/>
        <v>615.07900000014342</v>
      </c>
      <c r="TE12" s="16">
        <f t="shared" si="195"/>
        <v>503.19999999995343</v>
      </c>
      <c r="TF12" s="16">
        <f t="shared" si="195"/>
        <v>711.82299999985844</v>
      </c>
      <c r="TG12" s="16">
        <f t="shared" si="195"/>
        <v>681.30099999997765</v>
      </c>
      <c r="TH12" s="16">
        <f t="shared" si="195"/>
        <v>655.2410000001546</v>
      </c>
      <c r="TI12" s="16">
        <f t="shared" si="195"/>
        <v>718.91999999992549</v>
      </c>
      <c r="TJ12" s="16">
        <f t="shared" si="195"/>
        <v>728.4660000000149</v>
      </c>
      <c r="TK12" s="16">
        <f t="shared" si="195"/>
        <v>662.89999999990687</v>
      </c>
      <c r="TL12" s="16">
        <f t="shared" si="195"/>
        <v>670.00300000002608</v>
      </c>
      <c r="TM12" s="16">
        <f t="shared" si="195"/>
        <v>582.95900000003166</v>
      </c>
      <c r="TN12" s="16">
        <f t="shared" si="195"/>
        <v>592.79200000013225</v>
      </c>
      <c r="TO12" s="16">
        <f t="shared" si="195"/>
        <v>538.3410000000149</v>
      </c>
      <c r="TP12" s="16">
        <f t="shared" si="195"/>
        <v>531.11999999987893</v>
      </c>
      <c r="TQ12" s="16">
        <f t="shared" si="195"/>
        <v>690.03200000012293</v>
      </c>
      <c r="TR12" s="16">
        <f t="shared" si="195"/>
        <v>629.18399999989197</v>
      </c>
      <c r="TS12" s="127">
        <f>SUM(SO12:TR12)</f>
        <v>18305.048999999999</v>
      </c>
      <c r="TT12" s="16">
        <f t="shared" ref="TT12:UX12" si="196">TT11-TT10</f>
        <v>349.23200000007637</v>
      </c>
      <c r="TU12" s="16">
        <f t="shared" si="196"/>
        <v>430.61100000003353</v>
      </c>
      <c r="TV12" s="16">
        <f t="shared" si="196"/>
        <v>541.15999999991618</v>
      </c>
      <c r="TW12" s="16">
        <f t="shared" si="196"/>
        <v>595.31899999990128</v>
      </c>
      <c r="TX12" s="16">
        <f t="shared" si="196"/>
        <v>502.03900000010617</v>
      </c>
      <c r="TY12" s="16">
        <f t="shared" si="196"/>
        <v>609.57499999995343</v>
      </c>
      <c r="TZ12" s="16">
        <f t="shared" si="196"/>
        <v>607.16599999996834</v>
      </c>
      <c r="UA12" s="16">
        <f t="shared" si="196"/>
        <v>553.84000000008382</v>
      </c>
      <c r="UB12" s="16">
        <f t="shared" si="196"/>
        <v>598.59700000006706</v>
      </c>
      <c r="UC12" s="16">
        <f t="shared" si="196"/>
        <v>687.85800000000745</v>
      </c>
      <c r="UD12" s="16">
        <f t="shared" si="196"/>
        <v>703.21399999991991</v>
      </c>
      <c r="UE12" s="16">
        <f t="shared" si="196"/>
        <v>498.45099999988452</v>
      </c>
      <c r="UF12" s="16">
        <f t="shared" si="196"/>
        <v>581.66700000013225</v>
      </c>
      <c r="UG12" s="16">
        <f t="shared" si="196"/>
        <v>577.97399999992922</v>
      </c>
      <c r="UH12" s="16">
        <f t="shared" si="196"/>
        <v>561.75500000012107</v>
      </c>
      <c r="UI12" s="16">
        <f t="shared" si="196"/>
        <v>546.77499999990687</v>
      </c>
      <c r="UJ12" s="16">
        <f t="shared" si="196"/>
        <v>636.01300000003539</v>
      </c>
      <c r="UK12" s="16">
        <f t="shared" si="196"/>
        <v>626.03899999987334</v>
      </c>
      <c r="UL12" s="16">
        <f t="shared" si="196"/>
        <v>726.30600000009872</v>
      </c>
      <c r="UM12" s="16">
        <f t="shared" si="196"/>
        <v>453.95699999993667</v>
      </c>
      <c r="UN12" s="16">
        <f t="shared" si="196"/>
        <v>571.33300000010058</v>
      </c>
      <c r="UO12" s="16">
        <f t="shared" si="196"/>
        <v>479.11899999994785</v>
      </c>
      <c r="UP12" s="16">
        <f t="shared" si="196"/>
        <v>506.17200000002049</v>
      </c>
      <c r="UQ12" s="16">
        <f t="shared" si="196"/>
        <v>716.47500000009313</v>
      </c>
      <c r="UR12" s="16">
        <f t="shared" si="196"/>
        <v>600.43099999986589</v>
      </c>
      <c r="US12" s="16">
        <f t="shared" si="196"/>
        <v>575.27900000009686</v>
      </c>
      <c r="UT12" s="16">
        <f t="shared" si="196"/>
        <v>713.26199999987148</v>
      </c>
      <c r="UU12" s="16">
        <f t="shared" si="196"/>
        <v>628.5570000000298</v>
      </c>
      <c r="UV12" s="16">
        <f t="shared" si="196"/>
        <v>560.04799999995157</v>
      </c>
      <c r="UW12" s="16">
        <f t="shared" si="196"/>
        <v>466.7839999999851</v>
      </c>
      <c r="UX12" s="16">
        <f t="shared" si="196"/>
        <v>616.70900000003166</v>
      </c>
      <c r="UY12" s="127">
        <f>SUM(TT12:UX12)</f>
        <v>17821.716999999946</v>
      </c>
      <c r="UZ12" s="16">
        <f t="shared" ref="UZ12:WA12" si="197">UZ11-UZ10</f>
        <v>680.97900000005029</v>
      </c>
      <c r="VA12" s="16">
        <f t="shared" si="197"/>
        <v>520.83100000000559</v>
      </c>
      <c r="VB12" s="16">
        <f t="shared" si="197"/>
        <v>641.06199999991804</v>
      </c>
      <c r="VC12" s="16">
        <f t="shared" si="197"/>
        <v>516.57099999999627</v>
      </c>
      <c r="VD12" s="16">
        <f t="shared" si="197"/>
        <v>693.50100000016391</v>
      </c>
      <c r="VE12" s="16">
        <f t="shared" si="197"/>
        <v>607.60100000002421</v>
      </c>
      <c r="VF12" s="16">
        <f t="shared" si="197"/>
        <v>632.76499999989755</v>
      </c>
      <c r="VG12" s="16">
        <f t="shared" si="197"/>
        <v>612.29000000003725</v>
      </c>
      <c r="VH12" s="16">
        <f t="shared" si="197"/>
        <v>585.7390000000596</v>
      </c>
      <c r="VI12" s="16">
        <f t="shared" si="197"/>
        <v>552.76199999987148</v>
      </c>
      <c r="VJ12" s="16">
        <f t="shared" si="197"/>
        <v>543.04799999995157</v>
      </c>
      <c r="VK12" s="16">
        <f t="shared" si="197"/>
        <v>578.2730000000447</v>
      </c>
      <c r="VL12" s="16">
        <f t="shared" si="197"/>
        <v>424.51500000013039</v>
      </c>
      <c r="VM12" s="16">
        <f t="shared" si="197"/>
        <v>675.05599999986589</v>
      </c>
      <c r="VN12" s="16">
        <f t="shared" si="197"/>
        <v>522.04000000003725</v>
      </c>
      <c r="VO12" s="16">
        <f t="shared" si="197"/>
        <v>627.48099999991246</v>
      </c>
      <c r="VP12" s="16">
        <f t="shared" si="197"/>
        <v>609.92000000015832</v>
      </c>
      <c r="VQ12" s="16">
        <f t="shared" si="197"/>
        <v>511.16099999984726</v>
      </c>
      <c r="VR12" s="16">
        <f t="shared" si="197"/>
        <v>633.36499999999069</v>
      </c>
      <c r="VS12" s="16">
        <f t="shared" si="197"/>
        <v>528.04000000003725</v>
      </c>
      <c r="VT12" s="16">
        <f t="shared" si="197"/>
        <v>622.79300000006333</v>
      </c>
      <c r="VU12" s="16">
        <f t="shared" si="197"/>
        <v>821.52499999990687</v>
      </c>
      <c r="VV12" s="16">
        <f t="shared" si="197"/>
        <v>544.89899999997579</v>
      </c>
      <c r="VW12" s="16">
        <f t="shared" si="197"/>
        <v>445.01300000003539</v>
      </c>
      <c r="VX12" s="16">
        <f t="shared" si="197"/>
        <v>602.27399999997579</v>
      </c>
      <c r="VY12" s="16">
        <f t="shared" si="197"/>
        <v>511.63500000000931</v>
      </c>
      <c r="VZ12" s="16">
        <f t="shared" si="197"/>
        <v>670.64899999997579</v>
      </c>
      <c r="WA12" s="16">
        <f t="shared" si="197"/>
        <v>529.99400000018068</v>
      </c>
      <c r="WB12" s="127">
        <f>SUM(UZ12:WA12)</f>
        <v>16445.782000000123</v>
      </c>
      <c r="WC12" s="16">
        <f t="shared" ref="WC12:XG12" si="198">WC11-WC10</f>
        <v>762.72099999990314</v>
      </c>
      <c r="WD12" s="16">
        <f t="shared" si="198"/>
        <v>589.3090000001248</v>
      </c>
      <c r="WE12" s="16">
        <f t="shared" si="198"/>
        <v>687.68499999982305</v>
      </c>
      <c r="WF12" s="16">
        <f t="shared" si="198"/>
        <v>518.15700000012293</v>
      </c>
      <c r="WG12" s="16">
        <f t="shared" si="198"/>
        <v>481.30099999997765</v>
      </c>
      <c r="WH12" s="16">
        <f t="shared" si="198"/>
        <v>463.00600000005215</v>
      </c>
      <c r="WI12" s="16">
        <f t="shared" si="198"/>
        <v>473.08799999998882</v>
      </c>
      <c r="WJ12" s="16">
        <f t="shared" si="198"/>
        <v>472.85800000000745</v>
      </c>
      <c r="WK12" s="16">
        <f t="shared" si="198"/>
        <v>495.55400000000373</v>
      </c>
      <c r="WL12" s="16">
        <f t="shared" si="198"/>
        <v>669.58599999989383</v>
      </c>
      <c r="WM12" s="16">
        <f t="shared" si="198"/>
        <v>718.38000000012107</v>
      </c>
      <c r="WN12" s="16">
        <f t="shared" si="198"/>
        <v>491.8179999999702</v>
      </c>
      <c r="WO12" s="16">
        <f t="shared" si="198"/>
        <v>499.7839999999851</v>
      </c>
      <c r="WP12" s="16">
        <f t="shared" si="198"/>
        <v>585.30199999990873</v>
      </c>
      <c r="WQ12" s="16">
        <f t="shared" si="198"/>
        <v>657.98399999993853</v>
      </c>
      <c r="WR12" s="16">
        <f t="shared" si="198"/>
        <v>416.47200000006706</v>
      </c>
      <c r="WS12" s="16">
        <f t="shared" si="198"/>
        <v>411.09799999999814</v>
      </c>
      <c r="WT12" s="16">
        <f t="shared" si="198"/>
        <v>531.28099999995902</v>
      </c>
      <c r="WU12" s="16">
        <f t="shared" si="198"/>
        <v>532.42000000015832</v>
      </c>
      <c r="WV12" s="16">
        <f t="shared" si="198"/>
        <v>500.89299999992363</v>
      </c>
      <c r="WW12" s="16">
        <f t="shared" si="198"/>
        <v>496.94699999992736</v>
      </c>
      <c r="WX12" s="16">
        <f t="shared" si="198"/>
        <v>613.20200000004843</v>
      </c>
      <c r="WY12" s="16">
        <f t="shared" si="198"/>
        <v>579.18900000001304</v>
      </c>
      <c r="WZ12" s="16">
        <f t="shared" si="198"/>
        <v>437.32199999992736</v>
      </c>
      <c r="XA12" s="16">
        <f t="shared" si="198"/>
        <v>485.18800000008196</v>
      </c>
      <c r="XB12" s="16">
        <f t="shared" si="198"/>
        <v>534.87700000009499</v>
      </c>
      <c r="XC12" s="16">
        <f t="shared" si="198"/>
        <v>785.64199999999255</v>
      </c>
      <c r="XD12" s="16">
        <f t="shared" si="198"/>
        <v>671.35599999991246</v>
      </c>
      <c r="XE12" s="16">
        <f t="shared" si="198"/>
        <v>702.29199999989942</v>
      </c>
      <c r="XF12" s="16">
        <f t="shared" si="198"/>
        <v>616.68000000016764</v>
      </c>
      <c r="XG12" s="16">
        <f t="shared" si="198"/>
        <v>467.25300000002608</v>
      </c>
      <c r="XH12" s="127">
        <f>SUM(WC12:XG12)</f>
        <v>17348.645000000019</v>
      </c>
      <c r="XI12" s="16">
        <f t="shared" ref="XI12:YL12" si="199">XI11-XI10</f>
        <v>531.2019999998156</v>
      </c>
      <c r="XJ12" s="16">
        <f t="shared" si="199"/>
        <v>421.81700000003912</v>
      </c>
      <c r="XK12" s="16">
        <f t="shared" si="199"/>
        <v>510.12600000016391</v>
      </c>
      <c r="XL12" s="16">
        <f t="shared" si="199"/>
        <v>522.58399999979883</v>
      </c>
      <c r="XM12" s="16">
        <f t="shared" si="199"/>
        <v>620.95800000010058</v>
      </c>
      <c r="XN12" s="16">
        <f t="shared" si="199"/>
        <v>505.12400000006892</v>
      </c>
      <c r="XO12" s="16">
        <f t="shared" si="199"/>
        <v>621.18699999991804</v>
      </c>
      <c r="XP12" s="16">
        <f t="shared" si="199"/>
        <v>521.95299999997951</v>
      </c>
      <c r="XQ12" s="16">
        <f t="shared" si="199"/>
        <v>480.04200000013225</v>
      </c>
      <c r="XR12" s="16">
        <f t="shared" si="199"/>
        <v>652.33999999985099</v>
      </c>
      <c r="XS12" s="16">
        <f t="shared" si="199"/>
        <v>556.77700000000186</v>
      </c>
      <c r="XT12" s="16">
        <f t="shared" si="199"/>
        <v>685.49200000008568</v>
      </c>
      <c r="XU12" s="16">
        <f t="shared" si="199"/>
        <v>568.76199999987148</v>
      </c>
      <c r="XV12" s="16">
        <f t="shared" si="199"/>
        <v>474.96700000017881</v>
      </c>
      <c r="XW12" s="16">
        <f t="shared" si="199"/>
        <v>572.77099999994971</v>
      </c>
      <c r="XX12" s="16">
        <f t="shared" si="199"/>
        <v>651.80899999989197</v>
      </c>
      <c r="XY12" s="16">
        <f t="shared" si="199"/>
        <v>618.75399999995716</v>
      </c>
      <c r="XZ12" s="16">
        <f t="shared" si="199"/>
        <v>556.84400000004098</v>
      </c>
      <c r="YA12" s="16">
        <f t="shared" si="199"/>
        <v>796.57499999995343</v>
      </c>
      <c r="YB12" s="16">
        <f t="shared" si="199"/>
        <v>362.97500000009313</v>
      </c>
      <c r="YC12" s="16">
        <f t="shared" si="199"/>
        <v>522.95299999997951</v>
      </c>
      <c r="YD12" s="16">
        <f t="shared" si="199"/>
        <v>617.79900000011548</v>
      </c>
      <c r="YE12" s="16">
        <f t="shared" si="199"/>
        <v>448.34400000004098</v>
      </c>
      <c r="YF12" s="16">
        <f t="shared" si="199"/>
        <v>591.01299999980256</v>
      </c>
      <c r="YG12" s="16">
        <f t="shared" si="199"/>
        <v>632.62100000004284</v>
      </c>
      <c r="YH12" s="16">
        <f t="shared" si="199"/>
        <v>586.97299999999814</v>
      </c>
      <c r="YI12" s="16">
        <f t="shared" si="199"/>
        <v>606.39300000015646</v>
      </c>
      <c r="YJ12" s="16">
        <f t="shared" si="199"/>
        <v>490.83099999977276</v>
      </c>
      <c r="YK12" s="16">
        <f t="shared" si="199"/>
        <v>544.06400000001304</v>
      </c>
      <c r="YL12" s="16">
        <f t="shared" si="199"/>
        <v>559.39700000011362</v>
      </c>
      <c r="YM12" s="127">
        <f>SUM(XH12:YL12)</f>
        <v>34182.091999999946</v>
      </c>
      <c r="YN12" s="16">
        <f t="shared" ref="YN12:ZR12" si="200">YN11-YN10</f>
        <v>531.0339999999851</v>
      </c>
      <c r="YO12" s="16">
        <f t="shared" si="200"/>
        <v>823.55099999997765</v>
      </c>
      <c r="YP12" s="16">
        <f t="shared" si="200"/>
        <v>709.82499999995343</v>
      </c>
      <c r="YQ12" s="16">
        <f t="shared" si="200"/>
        <v>653.32099999999627</v>
      </c>
      <c r="YR12" s="16">
        <f t="shared" si="200"/>
        <v>903.12199999997392</v>
      </c>
      <c r="YS12" s="16">
        <f t="shared" si="200"/>
        <v>871.88500000000931</v>
      </c>
      <c r="YT12" s="16">
        <f t="shared" si="200"/>
        <v>504.26800000015646</v>
      </c>
      <c r="YU12" s="16">
        <f t="shared" si="200"/>
        <v>0</v>
      </c>
      <c r="YV12" s="16">
        <f t="shared" si="200"/>
        <v>511.33799999998882</v>
      </c>
      <c r="YW12" s="16">
        <f t="shared" si="200"/>
        <v>706.71299999998882</v>
      </c>
      <c r="YX12" s="16">
        <f t="shared" si="200"/>
        <v>505.36699999985285</v>
      </c>
      <c r="YY12" s="16">
        <f t="shared" si="200"/>
        <v>562.64500000001863</v>
      </c>
      <c r="YZ12" s="16">
        <f t="shared" si="200"/>
        <v>487.78500000014901</v>
      </c>
      <c r="ZA12" s="16">
        <f t="shared" si="200"/>
        <v>524.25699999998324</v>
      </c>
      <c r="ZB12" s="16">
        <f t="shared" si="200"/>
        <v>518.34299999987707</v>
      </c>
      <c r="ZC12" s="16">
        <f t="shared" si="200"/>
        <v>505.28900000010617</v>
      </c>
      <c r="ZD12" s="16">
        <f t="shared" si="200"/>
        <v>657.08000000007451</v>
      </c>
      <c r="ZE12" s="16">
        <f t="shared" si="200"/>
        <v>761.23899999982677</v>
      </c>
      <c r="ZF12" s="16">
        <f t="shared" si="200"/>
        <v>743.41500000003725</v>
      </c>
      <c r="ZG12" s="16">
        <f t="shared" si="200"/>
        <v>678.90800000005402</v>
      </c>
      <c r="ZH12" s="16">
        <f t="shared" si="200"/>
        <v>572.34599999990314</v>
      </c>
      <c r="ZI12" s="16">
        <f t="shared" si="200"/>
        <v>569.51900000008754</v>
      </c>
      <c r="ZJ12" s="16">
        <f t="shared" si="200"/>
        <v>687.93100000009872</v>
      </c>
      <c r="ZK12" s="16">
        <f t="shared" si="200"/>
        <v>858.77199999988079</v>
      </c>
      <c r="ZL12" s="16">
        <f t="shared" si="200"/>
        <v>740.00399999995716</v>
      </c>
      <c r="ZM12" s="16">
        <f t="shared" si="200"/>
        <v>693.29399999999441</v>
      </c>
      <c r="ZN12" s="16">
        <f t="shared" si="200"/>
        <v>568.68900000001304</v>
      </c>
      <c r="ZO12" s="16">
        <f t="shared" si="200"/>
        <v>617.62400000006892</v>
      </c>
      <c r="ZP12" s="16">
        <f t="shared" si="200"/>
        <v>609.2249999998603</v>
      </c>
      <c r="ZQ12" s="16">
        <f t="shared" si="200"/>
        <v>625.5590000001248</v>
      </c>
      <c r="ZR12" s="16">
        <f t="shared" si="200"/>
        <v>773.47299999999814</v>
      </c>
      <c r="ZS12" s="127">
        <f>SUM(YN12:ZR12)</f>
        <v>19475.820999999996</v>
      </c>
      <c r="ZT12" s="16">
        <f t="shared" ref="ZT12:AAW12" si="201">ZT11-ZT10</f>
        <v>721.20099999988452</v>
      </c>
      <c r="ZU12" s="16">
        <f t="shared" si="201"/>
        <v>638.98100000014529</v>
      </c>
      <c r="ZV12" s="16">
        <f t="shared" si="201"/>
        <v>772.63699999987148</v>
      </c>
      <c r="ZW12" s="16">
        <f t="shared" si="201"/>
        <v>644.58000000007451</v>
      </c>
      <c r="ZX12" s="16">
        <f t="shared" si="201"/>
        <v>781.66899999999441</v>
      </c>
      <c r="ZY12" s="16">
        <f t="shared" si="201"/>
        <v>760.15299999993294</v>
      </c>
      <c r="ZZ12" s="16">
        <f t="shared" si="201"/>
        <v>727.26200000010431</v>
      </c>
      <c r="AAA12" s="16">
        <f t="shared" si="201"/>
        <v>787.07099999999627</v>
      </c>
      <c r="AAB12" s="16">
        <f t="shared" si="201"/>
        <v>605.41999999992549</v>
      </c>
      <c r="AAC12" s="16">
        <f t="shared" si="201"/>
        <v>643.90800000005402</v>
      </c>
      <c r="AAD12" s="16">
        <f t="shared" si="201"/>
        <v>633.66400000010617</v>
      </c>
      <c r="AAE12" s="16">
        <f t="shared" si="201"/>
        <v>579.3839999998454</v>
      </c>
      <c r="AAF12" s="16">
        <f t="shared" si="201"/>
        <v>726.18299999996088</v>
      </c>
      <c r="AAG12" s="16">
        <f t="shared" si="201"/>
        <v>772.42700000014156</v>
      </c>
      <c r="AAH12" s="16">
        <f t="shared" si="201"/>
        <v>664.80899999989197</v>
      </c>
      <c r="AAI12" s="16">
        <f t="shared" si="201"/>
        <v>763.19900000002235</v>
      </c>
      <c r="AAJ12" s="16">
        <f t="shared" si="201"/>
        <v>684.95299999997951</v>
      </c>
      <c r="AAK12" s="16">
        <f t="shared" si="201"/>
        <v>637.85900000017136</v>
      </c>
      <c r="AAL12" s="16">
        <f t="shared" si="201"/>
        <v>729.94799999985844</v>
      </c>
      <c r="AAM12" s="16">
        <f t="shared" si="201"/>
        <v>686.57700000004843</v>
      </c>
      <c r="AAN12" s="16">
        <f t="shared" si="201"/>
        <v>799.58700000005774</v>
      </c>
      <c r="AAO12" s="16">
        <f t="shared" si="201"/>
        <v>528.33899999991991</v>
      </c>
      <c r="AAP12" s="16">
        <f t="shared" si="201"/>
        <v>621.51799999992363</v>
      </c>
      <c r="AAQ12" s="16">
        <f t="shared" si="201"/>
        <v>579.48999999999069</v>
      </c>
      <c r="AAR12" s="16">
        <f t="shared" si="201"/>
        <v>582.57099999999627</v>
      </c>
      <c r="AAS12" s="16">
        <f t="shared" si="201"/>
        <v>708.84799999999814</v>
      </c>
      <c r="AAT12" s="16">
        <f t="shared" si="201"/>
        <v>723.76699999999255</v>
      </c>
      <c r="AAU12" s="16">
        <f t="shared" si="201"/>
        <v>735.06600000010803</v>
      </c>
      <c r="AAV12" s="16">
        <f t="shared" si="201"/>
        <v>512.2180000001099</v>
      </c>
      <c r="AAW12" s="16">
        <f t="shared" si="201"/>
        <v>734.98799999989569</v>
      </c>
      <c r="AAX12" s="127">
        <f>SUM(ZT12:AAW12)</f>
        <v>20488.277000000002</v>
      </c>
      <c r="AAY12" s="16">
        <f t="shared" ref="AAY12:ACC12" si="202">AAY11-AAY10</f>
        <v>603.03300000005402</v>
      </c>
      <c r="AAZ12" s="16">
        <f t="shared" si="202"/>
        <v>595.76699999999255</v>
      </c>
      <c r="ABA12" s="16">
        <f t="shared" si="202"/>
        <v>582.89599999994971</v>
      </c>
      <c r="ABB12" s="16">
        <f t="shared" si="202"/>
        <v>741.86599999992177</v>
      </c>
      <c r="ABC12" s="16">
        <f t="shared" si="202"/>
        <v>1063.6510000000708</v>
      </c>
      <c r="ABD12" s="16">
        <f t="shared" si="202"/>
        <v>567.54600000008941</v>
      </c>
      <c r="ABE12" s="16">
        <f t="shared" si="202"/>
        <v>592.88199999998324</v>
      </c>
      <c r="ABF12" s="16">
        <f t="shared" si="202"/>
        <v>609.52599999983795</v>
      </c>
      <c r="ABG12" s="16">
        <f t="shared" si="202"/>
        <v>644.44900000002235</v>
      </c>
      <c r="ABH12" s="16">
        <f t="shared" si="202"/>
        <v>627.01100000017323</v>
      </c>
      <c r="ABI12" s="16">
        <f t="shared" si="202"/>
        <v>708.62099999981001</v>
      </c>
      <c r="ABJ12" s="16">
        <f t="shared" si="202"/>
        <v>472.74699999997392</v>
      </c>
      <c r="ABK12" s="16">
        <f t="shared" si="202"/>
        <v>830.47200000006706</v>
      </c>
      <c r="ABL12" s="16">
        <f t="shared" si="202"/>
        <v>639.90599999995902</v>
      </c>
      <c r="ABM12" s="16">
        <f t="shared" si="202"/>
        <v>697.02000000001863</v>
      </c>
      <c r="ABN12" s="16">
        <f t="shared" si="202"/>
        <v>741.00699999998324</v>
      </c>
      <c r="ABO12" s="16">
        <f t="shared" si="202"/>
        <v>742.06900000013411</v>
      </c>
      <c r="ABP12" s="16">
        <f t="shared" si="202"/>
        <v>656.85699999984354</v>
      </c>
      <c r="ABQ12" s="16">
        <f t="shared" si="202"/>
        <v>720.52800000016578</v>
      </c>
      <c r="ABR12" s="16">
        <f t="shared" si="202"/>
        <v>800.00199999986216</v>
      </c>
      <c r="ABS12" s="16">
        <f t="shared" si="202"/>
        <v>746.52600000007078</v>
      </c>
      <c r="ABT12" s="16">
        <f t="shared" si="202"/>
        <v>776.40599999995902</v>
      </c>
      <c r="ABU12" s="16">
        <f t="shared" si="202"/>
        <v>759.32799999997951</v>
      </c>
      <c r="ABV12" s="16">
        <f t="shared" si="202"/>
        <v>681.80500000016764</v>
      </c>
      <c r="ABW12" s="16">
        <f t="shared" si="202"/>
        <v>862.16499999980442</v>
      </c>
      <c r="ABX12" s="16">
        <f t="shared" si="202"/>
        <v>868.22000000020489</v>
      </c>
      <c r="ABY12" s="16">
        <f t="shared" si="202"/>
        <v>662.23499999986961</v>
      </c>
      <c r="ABZ12" s="16">
        <f t="shared" si="202"/>
        <v>616.64000000013039</v>
      </c>
      <c r="ACA12" s="16">
        <f t="shared" si="202"/>
        <v>667.84099999978207</v>
      </c>
      <c r="ACB12" s="16">
        <f t="shared" si="202"/>
        <v>629.75700000021607</v>
      </c>
      <c r="ACC12" s="16">
        <f t="shared" si="202"/>
        <v>657.34299999987707</v>
      </c>
      <c r="ACD12" s="127">
        <f>SUM(AAY12:ACC12)</f>
        <v>21566.121999999974</v>
      </c>
      <c r="ACE12" s="16">
        <f t="shared" ref="ACE12:ADI12" si="203">ACE11-ACE10</f>
        <v>633.04499999992549</v>
      </c>
      <c r="ACF12" s="16">
        <f t="shared" si="203"/>
        <v>707.95400000014342</v>
      </c>
      <c r="ACG12" s="16">
        <f t="shared" si="203"/>
        <v>772.24199999985285</v>
      </c>
      <c r="ACH12" s="16">
        <f t="shared" si="203"/>
        <v>797.92900000000373</v>
      </c>
      <c r="ACI12" s="16">
        <f t="shared" si="203"/>
        <v>763.24800000013784</v>
      </c>
      <c r="ACJ12" s="16">
        <f t="shared" si="203"/>
        <v>589.77399999997579</v>
      </c>
      <c r="ACK12" s="16">
        <f t="shared" si="203"/>
        <v>707.19800000009127</v>
      </c>
      <c r="ACL12" s="16">
        <f t="shared" si="203"/>
        <v>645.60699999984354</v>
      </c>
      <c r="ACM12" s="16">
        <f t="shared" si="203"/>
        <v>522.58799999998882</v>
      </c>
      <c r="ACN12" s="16">
        <f t="shared" si="203"/>
        <v>574.66200000001118</v>
      </c>
      <c r="ACO12" s="16">
        <f t="shared" si="203"/>
        <v>769.74800000013784</v>
      </c>
      <c r="ACP12" s="16">
        <f t="shared" si="203"/>
        <v>525.37099999981001</v>
      </c>
      <c r="ACQ12" s="16">
        <f t="shared" si="203"/>
        <v>548.51500000013039</v>
      </c>
      <c r="ACR12" s="16">
        <f t="shared" si="203"/>
        <v>654.63699999987148</v>
      </c>
      <c r="ACS12" s="16">
        <f t="shared" si="203"/>
        <v>724.16500000003725</v>
      </c>
      <c r="ACT12" s="16">
        <f t="shared" si="203"/>
        <v>522.125</v>
      </c>
      <c r="ACU12" s="16">
        <f t="shared" si="203"/>
        <v>524.8640000000596</v>
      </c>
      <c r="ACV12" s="16">
        <f t="shared" si="203"/>
        <v>748.50900000007823</v>
      </c>
      <c r="ACW12" s="16">
        <f t="shared" si="203"/>
        <v>595.49799999990501</v>
      </c>
      <c r="ACX12" s="16">
        <f t="shared" si="203"/>
        <v>498.94500000006519</v>
      </c>
      <c r="ACY12" s="16">
        <f t="shared" si="203"/>
        <v>640.8839999998454</v>
      </c>
      <c r="ACZ12" s="16">
        <f t="shared" si="203"/>
        <v>641.93700000015087</v>
      </c>
      <c r="ADA12" s="16">
        <f t="shared" si="203"/>
        <v>646.49799999990501</v>
      </c>
      <c r="ADB12" s="16">
        <f t="shared" si="203"/>
        <v>493.4890000000596</v>
      </c>
      <c r="ADC12" s="16">
        <f t="shared" si="203"/>
        <v>493.1140000000596</v>
      </c>
      <c r="ADD12" s="16">
        <f t="shared" si="203"/>
        <v>538.7819999998901</v>
      </c>
      <c r="ADE12" s="16">
        <f t="shared" si="203"/>
        <v>681.38199999998324</v>
      </c>
      <c r="ADF12" s="16">
        <f t="shared" si="203"/>
        <v>542.03000000002794</v>
      </c>
      <c r="ADG12" s="16">
        <f t="shared" si="203"/>
        <v>596.25300000002608</v>
      </c>
      <c r="ADH12" s="16">
        <f t="shared" si="203"/>
        <v>769.72200000006706</v>
      </c>
      <c r="ADI12" s="16">
        <f t="shared" si="203"/>
        <v>557.73899999982677</v>
      </c>
      <c r="ADJ12" s="127">
        <f>SUM(ACE12:ADI12)</f>
        <v>19428.453999999911</v>
      </c>
      <c r="ADK12" s="16">
        <f t="shared" ref="ADK12:AEN12" si="204">ADK11-ADK10</f>
        <v>593.76600000006147</v>
      </c>
      <c r="ADL12" s="16">
        <f t="shared" si="204"/>
        <v>607.45100000011735</v>
      </c>
      <c r="ADM12" s="16">
        <f t="shared" si="204"/>
        <v>521.96799999987707</v>
      </c>
      <c r="ADN12" s="16">
        <f t="shared" si="204"/>
        <v>666.12700000009499</v>
      </c>
      <c r="ADO12" s="16">
        <f t="shared" si="204"/>
        <v>526.34599999990314</v>
      </c>
      <c r="ADP12" s="16">
        <f t="shared" si="204"/>
        <v>745.63000000012107</v>
      </c>
      <c r="ADQ12" s="16">
        <f t="shared" si="204"/>
        <v>566.75099999993108</v>
      </c>
      <c r="ADR12" s="16">
        <f t="shared" si="204"/>
        <v>536.92200000002049</v>
      </c>
      <c r="ADS12" s="16">
        <f t="shared" si="204"/>
        <v>523.61800000001676</v>
      </c>
      <c r="ADT12" s="16">
        <f t="shared" si="204"/>
        <v>445.11499999999069</v>
      </c>
      <c r="ADU12" s="16">
        <f t="shared" si="204"/>
        <v>540.28499999991618</v>
      </c>
      <c r="ADV12" s="16">
        <f t="shared" si="204"/>
        <v>613.68700000015087</v>
      </c>
      <c r="ADW12" s="16">
        <f t="shared" si="204"/>
        <v>709.39799999981187</v>
      </c>
      <c r="ADX12" s="16">
        <f t="shared" si="204"/>
        <v>604.72500000009313</v>
      </c>
      <c r="ADY12" s="16">
        <f t="shared" si="204"/>
        <v>565.29899999988265</v>
      </c>
      <c r="ADZ12" s="16">
        <f t="shared" si="204"/>
        <v>536.52400000020862</v>
      </c>
      <c r="AEA12" s="16">
        <f t="shared" si="204"/>
        <v>365.27599999983795</v>
      </c>
      <c r="AEB12" s="16">
        <f t="shared" si="204"/>
        <v>621.75500000012107</v>
      </c>
      <c r="AEC12" s="16">
        <f t="shared" si="204"/>
        <v>386.54300000006333</v>
      </c>
      <c r="AED12" s="16">
        <f t="shared" si="204"/>
        <v>388.06699999980628</v>
      </c>
      <c r="AEE12" s="16">
        <f t="shared" si="204"/>
        <v>589.45000000018626</v>
      </c>
      <c r="AEF12" s="16">
        <f t="shared" si="204"/>
        <v>548.33199999993667</v>
      </c>
      <c r="AEG12" s="16">
        <f t="shared" si="204"/>
        <v>567.62299999990501</v>
      </c>
      <c r="AEH12" s="16">
        <f t="shared" si="204"/>
        <v>494.63500000000931</v>
      </c>
      <c r="AEI12" s="16">
        <f t="shared" si="204"/>
        <v>588.73500000010245</v>
      </c>
      <c r="AEJ12" s="16">
        <f t="shared" si="204"/>
        <v>647.23999999999069</v>
      </c>
      <c r="AEK12" s="16">
        <f t="shared" si="204"/>
        <v>586.93699999991804</v>
      </c>
      <c r="AEL12" s="16">
        <f t="shared" si="204"/>
        <v>588.83000000007451</v>
      </c>
      <c r="AEM12" s="16">
        <f t="shared" si="204"/>
        <v>623.16899999999441</v>
      </c>
      <c r="AEN12" s="16">
        <f t="shared" si="204"/>
        <v>630.29599999985658</v>
      </c>
      <c r="AEO12" s="127">
        <f>SUM(ADK12:AEN12)</f>
        <v>16930.5</v>
      </c>
      <c r="AEP12" s="16">
        <f t="shared" ref="AEP12:AFT12" si="205">AEP11-AEP10</f>
        <v>511.82800000021234</v>
      </c>
      <c r="AEQ12" s="16">
        <f t="shared" si="205"/>
        <v>530.5319999998901</v>
      </c>
      <c r="AER12" s="16">
        <f t="shared" si="205"/>
        <v>644.65999999991618</v>
      </c>
      <c r="AES12" s="16">
        <f t="shared" si="205"/>
        <v>732.16200000001118</v>
      </c>
      <c r="AET12" s="16">
        <f t="shared" si="205"/>
        <v>578.32400000002235</v>
      </c>
      <c r="AEU12" s="16">
        <f t="shared" si="205"/>
        <v>393.51699999999255</v>
      </c>
      <c r="AEV12" s="16">
        <f t="shared" si="205"/>
        <v>523.4890000000596</v>
      </c>
      <c r="AEW12" s="16">
        <f t="shared" si="205"/>
        <v>500.62000000011176</v>
      </c>
      <c r="AEX12" s="16">
        <f t="shared" si="205"/>
        <v>601.83899999991991</v>
      </c>
      <c r="AEY12" s="16">
        <f t="shared" si="205"/>
        <v>636.91500000003725</v>
      </c>
      <c r="AEZ12" s="16">
        <f t="shared" si="205"/>
        <v>582.63999999989755</v>
      </c>
      <c r="AFA12" s="16">
        <f t="shared" si="205"/>
        <v>354.22200000006706</v>
      </c>
      <c r="AFB12" s="16">
        <f t="shared" si="205"/>
        <v>496.9320000000298</v>
      </c>
      <c r="AFC12" s="16">
        <f t="shared" si="205"/>
        <v>646.06199999991804</v>
      </c>
      <c r="AFD12" s="16">
        <f t="shared" si="205"/>
        <v>644.24300000001676</v>
      </c>
      <c r="AFE12" s="16">
        <f t="shared" si="205"/>
        <v>610.38800000003539</v>
      </c>
      <c r="AFF12" s="16">
        <f t="shared" si="205"/>
        <v>479.53300000005402</v>
      </c>
      <c r="AFG12" s="16">
        <f t="shared" si="205"/>
        <v>526.55899999989197</v>
      </c>
      <c r="AFH12" s="16">
        <f t="shared" si="205"/>
        <v>700.16500000003725</v>
      </c>
      <c r="AFI12" s="16">
        <f t="shared" si="205"/>
        <v>429.81099999998696</v>
      </c>
      <c r="AFJ12" s="16">
        <f t="shared" si="205"/>
        <v>596.73600000003353</v>
      </c>
      <c r="AFK12" s="16">
        <f t="shared" si="205"/>
        <v>681.45099999988452</v>
      </c>
      <c r="AFL12" s="16">
        <f t="shared" si="205"/>
        <v>530.21900000004098</v>
      </c>
      <c r="AFM12" s="16">
        <f t="shared" si="205"/>
        <v>688.52799999993294</v>
      </c>
      <c r="AFN12" s="16">
        <f t="shared" si="205"/>
        <v>617.46299999998882</v>
      </c>
      <c r="AFO12" s="16">
        <f t="shared" si="205"/>
        <v>681.86700000008568</v>
      </c>
      <c r="AFP12" s="16">
        <f t="shared" si="205"/>
        <v>611.10899999993853</v>
      </c>
      <c r="AFQ12" s="16">
        <f t="shared" si="205"/>
        <v>561.69000000017695</v>
      </c>
      <c r="AFR12" s="16">
        <f t="shared" si="205"/>
        <v>548.62699999986216</v>
      </c>
      <c r="AFS12" s="16">
        <f t="shared" si="205"/>
        <v>631.06300000008196</v>
      </c>
      <c r="AFT12" s="16">
        <f t="shared" si="205"/>
        <v>624.51799999992363</v>
      </c>
      <c r="AFU12" s="127">
        <f>SUM(AEP12:AFT12)</f>
        <v>17897.712000000058</v>
      </c>
      <c r="AFV12" s="16">
        <f t="shared" ref="AFV12:AGY12" si="206">AFV11-AFV10</f>
        <v>588.64700000011362</v>
      </c>
      <c r="AFW12" s="16">
        <f t="shared" si="206"/>
        <v>554.77399999997579</v>
      </c>
      <c r="AFX12" s="16">
        <f t="shared" si="206"/>
        <v>633.08199999993667</v>
      </c>
      <c r="AFY12" s="16">
        <f t="shared" si="206"/>
        <v>488.04300000006333</v>
      </c>
      <c r="AFZ12" s="16">
        <f t="shared" si="206"/>
        <v>576.36299999989569</v>
      </c>
      <c r="AGA12" s="16">
        <f t="shared" si="206"/>
        <v>607.68100000009872</v>
      </c>
      <c r="AGB12" s="16">
        <f t="shared" si="206"/>
        <v>634.09899999992922</v>
      </c>
      <c r="AGC12" s="16">
        <f t="shared" si="206"/>
        <v>614.72500000009313</v>
      </c>
      <c r="AGD12" s="16">
        <f t="shared" si="206"/>
        <v>585.85999999986961</v>
      </c>
      <c r="AGE12" s="16">
        <f t="shared" si="206"/>
        <v>727.16400000010617</v>
      </c>
      <c r="AGF12" s="16">
        <f t="shared" si="206"/>
        <v>559.55300000007264</v>
      </c>
      <c r="AGG12" s="16">
        <f t="shared" si="206"/>
        <v>497.25299999979325</v>
      </c>
      <c r="AGH12" s="16">
        <f t="shared" si="206"/>
        <v>578.58799999998882</v>
      </c>
      <c r="AGI12" s="16">
        <f t="shared" si="206"/>
        <v>567.87300000013784</v>
      </c>
      <c r="AGJ12" s="16">
        <f t="shared" si="206"/>
        <v>613.52399999997579</v>
      </c>
      <c r="AGK12" s="16">
        <f t="shared" si="206"/>
        <v>654.91800000006333</v>
      </c>
      <c r="AGL12" s="16">
        <f t="shared" si="206"/>
        <v>719.89899999997579</v>
      </c>
      <c r="AGM12" s="16">
        <f t="shared" si="206"/>
        <v>718.91200000001118</v>
      </c>
      <c r="AGN12" s="16">
        <f t="shared" si="206"/>
        <v>578.77599999983795</v>
      </c>
      <c r="AGO12" s="16">
        <f t="shared" si="206"/>
        <v>688.71900000004098</v>
      </c>
      <c r="AGP12" s="16">
        <f t="shared" si="206"/>
        <v>667.57300000009127</v>
      </c>
      <c r="AGQ12" s="16">
        <f t="shared" si="206"/>
        <v>856.10599999991246</v>
      </c>
      <c r="AGR12" s="16">
        <f t="shared" si="206"/>
        <v>476.18700000015087</v>
      </c>
      <c r="AGS12" s="16">
        <f t="shared" si="206"/>
        <v>788.13500000000931</v>
      </c>
      <c r="AGT12" s="16">
        <f t="shared" si="206"/>
        <v>663.78299999982119</v>
      </c>
      <c r="AGU12" s="16">
        <f t="shared" si="206"/>
        <v>559.3320000001695</v>
      </c>
      <c r="AGV12" s="16">
        <f t="shared" si="206"/>
        <v>665.09599999990314</v>
      </c>
      <c r="AGW12" s="16">
        <f t="shared" si="206"/>
        <v>761.18699999991804</v>
      </c>
      <c r="AGX12" s="16">
        <f t="shared" si="206"/>
        <v>722.85499999998137</v>
      </c>
      <c r="AGY12" s="16">
        <f t="shared" si="206"/>
        <v>530.07800000021234</v>
      </c>
      <c r="AGZ12" s="127">
        <f>SUM(AFV12:AGY12)</f>
        <v>18878.785000000149</v>
      </c>
      <c r="AHA12" s="16">
        <f t="shared" ref="AHA12:AIE12" si="207">AHA11-AHA10</f>
        <v>795.44899999978952</v>
      </c>
      <c r="AHB12" s="16">
        <f t="shared" si="207"/>
        <v>716.94200000003912</v>
      </c>
      <c r="AHC12" s="16">
        <f t="shared" si="207"/>
        <v>596.38700000010431</v>
      </c>
      <c r="AHD12" s="16">
        <f t="shared" si="207"/>
        <v>780.65500000002794</v>
      </c>
      <c r="AHE12" s="16">
        <f t="shared" si="207"/>
        <v>809.8980000000447</v>
      </c>
      <c r="AHF12" s="16">
        <f t="shared" si="207"/>
        <v>773.90799999982119</v>
      </c>
      <c r="AHG12" s="16">
        <f t="shared" si="207"/>
        <v>660.48600000003353</v>
      </c>
      <c r="AHH12" s="16">
        <f t="shared" si="207"/>
        <v>812.86499999999069</v>
      </c>
      <c r="AHI12" s="16">
        <f t="shared" si="207"/>
        <v>569.73399999993853</v>
      </c>
      <c r="AHJ12" s="16">
        <f t="shared" si="207"/>
        <v>616.74300000001676</v>
      </c>
      <c r="AHK12" s="16">
        <f t="shared" si="207"/>
        <v>767.3320000001695</v>
      </c>
      <c r="AHL12" s="16">
        <f t="shared" si="207"/>
        <v>667.14799999981187</v>
      </c>
      <c r="AHM12" s="16">
        <f t="shared" si="207"/>
        <v>693.59400000004098</v>
      </c>
      <c r="AHN12" s="16">
        <f t="shared" si="207"/>
        <v>550.89300000015646</v>
      </c>
      <c r="AHO12" s="16">
        <f t="shared" si="207"/>
        <v>726.75799999991432</v>
      </c>
      <c r="AHP12" s="16">
        <f t="shared" si="207"/>
        <v>641.57499999995343</v>
      </c>
      <c r="AHQ12" s="16">
        <f t="shared" si="207"/>
        <v>639.07200000016019</v>
      </c>
      <c r="AHR12" s="16">
        <f t="shared" si="207"/>
        <v>750.50399999995716</v>
      </c>
      <c r="AHS12" s="16">
        <f t="shared" si="207"/>
        <v>692.75099999993108</v>
      </c>
      <c r="AHT12" s="16">
        <f t="shared" si="207"/>
        <v>620.79300000006333</v>
      </c>
      <c r="AHU12" s="16">
        <f t="shared" si="207"/>
        <v>857.43399999989197</v>
      </c>
      <c r="AHV12" s="16">
        <f t="shared" si="207"/>
        <v>830.79700000002049</v>
      </c>
      <c r="AHW12" s="16">
        <f t="shared" si="207"/>
        <v>918.28000000002794</v>
      </c>
      <c r="AHX12" s="16">
        <f t="shared" si="207"/>
        <v>793.59000000008382</v>
      </c>
      <c r="AHY12" s="16">
        <f t="shared" si="207"/>
        <v>608.42200000002049</v>
      </c>
      <c r="AHZ12" s="16">
        <f t="shared" si="207"/>
        <v>762.13899999996647</v>
      </c>
      <c r="AIA12" s="16">
        <f t="shared" si="207"/>
        <v>584.13999999989755</v>
      </c>
      <c r="AIB12" s="16">
        <f t="shared" si="207"/>
        <v>480.69699999992736</v>
      </c>
      <c r="AIC12" s="16">
        <f t="shared" si="207"/>
        <v>551.69300000020303</v>
      </c>
      <c r="AID12" s="16">
        <f t="shared" si="207"/>
        <v>633.07599999988452</v>
      </c>
      <c r="AIE12" s="16">
        <f t="shared" si="207"/>
        <v>625.86800000001676</v>
      </c>
      <c r="AIF12" s="127">
        <f>SUM(AHA12:AIE12)</f>
        <v>21529.622999999905</v>
      </c>
      <c r="AIG12" s="16">
        <f t="shared" ref="AIG12:AJK12" si="208">AIG11-AIG10</f>
        <v>605.6359999999404</v>
      </c>
      <c r="AIH12" s="16">
        <f t="shared" si="208"/>
        <v>730.3519999999553</v>
      </c>
      <c r="AII12" s="16">
        <f t="shared" si="208"/>
        <v>615.13700000010431</v>
      </c>
      <c r="AIJ12" s="16">
        <f t="shared" si="208"/>
        <v>676.97200000006706</v>
      </c>
      <c r="AIK12" s="16">
        <f t="shared" si="208"/>
        <v>762.93799999984913</v>
      </c>
      <c r="AIL12" s="16">
        <f t="shared" si="208"/>
        <v>736.16500000003725</v>
      </c>
      <c r="AIM12" s="16">
        <f t="shared" si="208"/>
        <v>755.04399999999441</v>
      </c>
      <c r="AIN12" s="16">
        <f t="shared" si="208"/>
        <v>715.94500000006519</v>
      </c>
      <c r="AIO12" s="16">
        <f t="shared" si="208"/>
        <v>528.05099999997765</v>
      </c>
      <c r="AIP12" s="16">
        <f t="shared" si="208"/>
        <v>729.89299999992363</v>
      </c>
      <c r="AIQ12" s="16">
        <f t="shared" si="208"/>
        <v>604.05600000009872</v>
      </c>
      <c r="AIR12" s="16">
        <f t="shared" si="208"/>
        <v>657.52899999986403</v>
      </c>
      <c r="AIS12" s="16">
        <f t="shared" si="208"/>
        <v>669.55000000004657</v>
      </c>
      <c r="AIT12" s="16">
        <f t="shared" si="208"/>
        <v>602.40500000002794</v>
      </c>
      <c r="AIU12" s="16">
        <f t="shared" si="208"/>
        <v>396.86300000012852</v>
      </c>
      <c r="AIV12" s="16">
        <f t="shared" si="208"/>
        <v>254.91599999996834</v>
      </c>
      <c r="AIW12" s="16">
        <f t="shared" si="208"/>
        <v>316.81499999994412</v>
      </c>
      <c r="AIX12" s="16">
        <f t="shared" si="208"/>
        <v>409.09499999997206</v>
      </c>
      <c r="AIY12" s="16">
        <f t="shared" si="208"/>
        <v>603.5339999999851</v>
      </c>
      <c r="AIZ12" s="16">
        <f t="shared" si="208"/>
        <v>707.76200000010431</v>
      </c>
      <c r="AJA12" s="16">
        <f t="shared" si="208"/>
        <v>628.41699999989942</v>
      </c>
      <c r="AJB12" s="16">
        <f t="shared" si="208"/>
        <v>741.19200000003912</v>
      </c>
      <c r="AJC12" s="16">
        <f t="shared" si="208"/>
        <v>747.47200000006706</v>
      </c>
      <c r="AJD12" s="16">
        <f t="shared" si="208"/>
        <v>776.52099999994971</v>
      </c>
      <c r="AJE12" s="16">
        <f t="shared" si="208"/>
        <v>667.03300000005402</v>
      </c>
      <c r="AJF12" s="16">
        <f t="shared" si="208"/>
        <v>626.16399999987334</v>
      </c>
      <c r="AJG12" s="16">
        <f t="shared" si="208"/>
        <v>293.32000000006519</v>
      </c>
      <c r="AJH12" s="16">
        <f t="shared" si="208"/>
        <v>491.23999999999069</v>
      </c>
      <c r="AJI12" s="16">
        <f t="shared" si="208"/>
        <v>538.70500000007451</v>
      </c>
      <c r="AJJ12" s="16">
        <f t="shared" si="208"/>
        <v>501.07099999999627</v>
      </c>
      <c r="AJK12" s="16">
        <f t="shared" si="208"/>
        <v>583.93099999986589</v>
      </c>
      <c r="AJL12" s="127">
        <f>SUM(AIG12:AJK12)</f>
        <v>18673.723999999929</v>
      </c>
      <c r="AJM12" s="16">
        <f t="shared" ref="AJM12:AKN12" si="209">AJM11-AJM10</f>
        <v>574.42900000000373</v>
      </c>
      <c r="AJN12" s="16">
        <f t="shared" si="209"/>
        <v>619.91700000013225</v>
      </c>
      <c r="AJO12" s="16">
        <f t="shared" si="209"/>
        <v>591.2819999998901</v>
      </c>
      <c r="AJP12" s="16">
        <f t="shared" si="209"/>
        <v>477.65700000012293</v>
      </c>
      <c r="AJQ12" s="16">
        <f t="shared" si="209"/>
        <v>695.875</v>
      </c>
      <c r="AJR12" s="16">
        <f t="shared" si="209"/>
        <v>591.2269999999553</v>
      </c>
      <c r="AJS12" s="16">
        <f t="shared" si="209"/>
        <v>729.58000000007451</v>
      </c>
      <c r="AJT12" s="16">
        <f t="shared" si="209"/>
        <v>674.92199999978766</v>
      </c>
      <c r="AJU12" s="16">
        <f t="shared" si="209"/>
        <v>692.14700000011362</v>
      </c>
      <c r="AJV12" s="16">
        <f t="shared" si="209"/>
        <v>627.4890000000596</v>
      </c>
      <c r="AJW12" s="16">
        <f t="shared" si="209"/>
        <v>720.14799999981187</v>
      </c>
      <c r="AJX12" s="16">
        <f t="shared" si="209"/>
        <v>612.25</v>
      </c>
      <c r="AJY12" s="16">
        <f t="shared" si="209"/>
        <v>733.89000000013039</v>
      </c>
      <c r="AJZ12" s="16">
        <f t="shared" si="209"/>
        <v>581.66800000006333</v>
      </c>
      <c r="AKA12" s="16">
        <f t="shared" si="209"/>
        <v>632.35599999991246</v>
      </c>
      <c r="AKB12" s="16">
        <f t="shared" si="209"/>
        <v>608.83599999989383</v>
      </c>
      <c r="AKC12" s="16">
        <f t="shared" si="209"/>
        <v>635.7390000000596</v>
      </c>
      <c r="AKD12" s="16">
        <f t="shared" si="209"/>
        <v>611.38300000014715</v>
      </c>
      <c r="AKE12" s="16">
        <f t="shared" si="209"/>
        <v>598.62299999990501</v>
      </c>
      <c r="AKF12" s="16">
        <f t="shared" si="209"/>
        <v>432.88700000010431</v>
      </c>
      <c r="AKG12" s="16">
        <f t="shared" si="209"/>
        <v>579.46599999978207</v>
      </c>
      <c r="AKH12" s="16">
        <f t="shared" si="209"/>
        <v>546.70800000010058</v>
      </c>
      <c r="AKI12" s="16">
        <f t="shared" si="209"/>
        <v>546.83100000000559</v>
      </c>
      <c r="AKJ12" s="16">
        <f t="shared" si="209"/>
        <v>533.84499999997206</v>
      </c>
      <c r="AKK12" s="16">
        <f t="shared" si="209"/>
        <v>571.87300000013784</v>
      </c>
      <c r="AKL12" s="16">
        <f t="shared" si="209"/>
        <v>523.33100000000559</v>
      </c>
      <c r="AKM12" s="16">
        <f t="shared" si="209"/>
        <v>345.35099999979138</v>
      </c>
      <c r="AKN12" s="16">
        <f t="shared" si="209"/>
        <v>530.14000000013039</v>
      </c>
      <c r="AKO12" s="127">
        <f>SUM(AJM12:AKN12)</f>
        <v>16619.850000000093</v>
      </c>
      <c r="AKP12" s="16">
        <f t="shared" ref="AKP12:ALT12" si="210">AKP11-AKP10</f>
        <v>703.47799999988638</v>
      </c>
      <c r="AKQ12" s="16">
        <f t="shared" si="210"/>
        <v>541.26300000003539</v>
      </c>
      <c r="AKR12" s="16">
        <f t="shared" si="210"/>
        <v>503.04300000006333</v>
      </c>
      <c r="AKS12" s="16">
        <f t="shared" si="210"/>
        <v>548.96900000004098</v>
      </c>
      <c r="AKT12" s="16">
        <f t="shared" si="210"/>
        <v>579.67999999993481</v>
      </c>
      <c r="AKU12" s="16">
        <f t="shared" si="210"/>
        <v>607.26000000000931</v>
      </c>
      <c r="AKV12" s="16">
        <f t="shared" si="210"/>
        <v>535.53499999991618</v>
      </c>
      <c r="AKW12" s="16">
        <f t="shared" si="210"/>
        <v>603.53600000008009</v>
      </c>
      <c r="AKX12" s="16">
        <f t="shared" si="210"/>
        <v>737.34499999997206</v>
      </c>
      <c r="AKY12" s="16">
        <f t="shared" si="210"/>
        <v>567.6929999999702</v>
      </c>
      <c r="AKZ12" s="16">
        <f t="shared" si="210"/>
        <v>486.56500000017695</v>
      </c>
      <c r="ALA12" s="16">
        <f t="shared" si="210"/>
        <v>673.1339999998454</v>
      </c>
      <c r="ALB12" s="16">
        <f t="shared" si="210"/>
        <v>658.4000000001397</v>
      </c>
      <c r="ALC12" s="16">
        <f t="shared" si="210"/>
        <v>694.53799999994226</v>
      </c>
      <c r="ALD12" s="16">
        <f t="shared" si="210"/>
        <v>472.34599999990314</v>
      </c>
      <c r="ALE12" s="16">
        <f t="shared" si="210"/>
        <v>609.83100000000559</v>
      </c>
      <c r="ALF12" s="16">
        <f t="shared" si="210"/>
        <v>612.32300000009127</v>
      </c>
      <c r="ALG12" s="16">
        <f t="shared" si="210"/>
        <v>561.42099999985658</v>
      </c>
      <c r="ALH12" s="16">
        <f t="shared" si="210"/>
        <v>574.9910000001546</v>
      </c>
      <c r="ALI12" s="16">
        <f t="shared" si="210"/>
        <v>523.61800000001676</v>
      </c>
      <c r="ALJ12" s="16">
        <f t="shared" si="210"/>
        <v>656.4660000000149</v>
      </c>
      <c r="ALK12" s="16">
        <f t="shared" si="210"/>
        <v>510.73999999999069</v>
      </c>
      <c r="ALL12" s="16">
        <f t="shared" si="210"/>
        <v>686.21499999985099</v>
      </c>
      <c r="ALM12" s="16">
        <f t="shared" si="210"/>
        <v>588.04200000013225</v>
      </c>
      <c r="ALN12" s="16">
        <f t="shared" si="210"/>
        <v>656.85299999988638</v>
      </c>
      <c r="ALO12" s="16">
        <f t="shared" si="210"/>
        <v>702.23699999996461</v>
      </c>
      <c r="ALP12" s="16">
        <f t="shared" si="210"/>
        <v>678.56800000020303</v>
      </c>
      <c r="ALQ12" s="16">
        <f t="shared" si="210"/>
        <v>685.40200000000186</v>
      </c>
      <c r="ALR12" s="16">
        <f t="shared" si="210"/>
        <v>999.76499999989755</v>
      </c>
      <c r="ALS12" s="16">
        <f t="shared" si="210"/>
        <v>858.02000000001863</v>
      </c>
      <c r="ALT12" s="16">
        <f t="shared" si="210"/>
        <v>588.40200000000186</v>
      </c>
      <c r="ALU12" s="127">
        <f>SUM(AKP12:ALT12)</f>
        <v>19405.679000000004</v>
      </c>
      <c r="ALV12" s="16">
        <f t="shared" ref="ALV12:AMY12" si="211">ALV11-ALV10</f>
        <v>871.50699999998324</v>
      </c>
      <c r="ALW12" s="16">
        <f t="shared" si="211"/>
        <v>544.57400000002235</v>
      </c>
      <c r="ALX12" s="16">
        <f t="shared" si="211"/>
        <v>792.24699999997392</v>
      </c>
      <c r="ALY12" s="16">
        <f t="shared" si="211"/>
        <v>702.3410000000149</v>
      </c>
      <c r="ALZ12" s="16">
        <f t="shared" si="211"/>
        <v>377.82000000006519</v>
      </c>
      <c r="AMA12" s="16">
        <f t="shared" si="211"/>
        <v>549.40599999995902</v>
      </c>
      <c r="AMB12" s="16">
        <f t="shared" si="211"/>
        <v>665.3640000000596</v>
      </c>
      <c r="AMC12" s="16">
        <f t="shared" si="211"/>
        <v>805.00999999977648</v>
      </c>
      <c r="AMD12" s="16">
        <f t="shared" si="211"/>
        <v>759.27800000016578</v>
      </c>
      <c r="AME12" s="16">
        <f t="shared" si="211"/>
        <v>559.49499999987893</v>
      </c>
      <c r="AMF12" s="16">
        <f t="shared" si="211"/>
        <v>602.75300000002608</v>
      </c>
      <c r="AMG12" s="16">
        <f t="shared" si="211"/>
        <v>752.20600000000559</v>
      </c>
      <c r="AMH12" s="16">
        <f t="shared" si="211"/>
        <v>903.57300000009127</v>
      </c>
      <c r="AMI12" s="16">
        <f t="shared" si="211"/>
        <v>536.45600000000559</v>
      </c>
      <c r="AMJ12" s="16">
        <f t="shared" si="211"/>
        <v>578.22399999992922</v>
      </c>
      <c r="AMK12" s="16">
        <f t="shared" si="211"/>
        <v>537.77000000001863</v>
      </c>
      <c r="AML12" s="16">
        <f t="shared" si="211"/>
        <v>700.18800000008196</v>
      </c>
      <c r="AMM12" s="16">
        <f t="shared" si="211"/>
        <v>773.43999999994412</v>
      </c>
      <c r="AMN12" s="16">
        <f t="shared" si="211"/>
        <v>736.16699999989942</v>
      </c>
      <c r="AMO12" s="16">
        <f t="shared" si="211"/>
        <v>984.8320000001695</v>
      </c>
      <c r="AMP12" s="16">
        <f t="shared" si="211"/>
        <v>918.82199999992736</v>
      </c>
      <c r="AMQ12" s="16">
        <f t="shared" si="211"/>
        <v>1051.6080000000075</v>
      </c>
      <c r="AMR12" s="16">
        <f t="shared" si="211"/>
        <v>1287.3189999999013</v>
      </c>
      <c r="AMS12" s="16">
        <f t="shared" si="211"/>
        <v>1373.2979999999516</v>
      </c>
      <c r="AMT12" s="16">
        <f t="shared" si="211"/>
        <v>1294.3470000000671</v>
      </c>
      <c r="AMU12" s="16">
        <f t="shared" si="211"/>
        <v>1122.6219999999739</v>
      </c>
      <c r="AMV12" s="16">
        <f t="shared" si="211"/>
        <v>705.49400000018068</v>
      </c>
      <c r="AMW12" s="16">
        <f t="shared" si="211"/>
        <v>703.77099999994971</v>
      </c>
      <c r="AMX12" s="16">
        <f t="shared" si="211"/>
        <v>799.07899999991059</v>
      </c>
      <c r="AMY12" s="16">
        <f t="shared" si="211"/>
        <v>1170.7620000001043</v>
      </c>
      <c r="AMZ12" s="127">
        <f>SUM(ALV12:AMY12)</f>
        <v>24159.773000000045</v>
      </c>
      <c r="ANA12" s="16">
        <f t="shared" ref="ANA12:AOE12" si="212">ANA11-ANA10</f>
        <v>637.86499999999069</v>
      </c>
      <c r="ANB12" s="16">
        <f t="shared" si="212"/>
        <v>565.4320000000298</v>
      </c>
      <c r="ANC12" s="16">
        <f t="shared" si="212"/>
        <v>692.92799999983981</v>
      </c>
      <c r="AND12" s="16">
        <f t="shared" si="212"/>
        <v>542.40500000002794</v>
      </c>
      <c r="ANE12" s="16">
        <f t="shared" si="212"/>
        <v>754.93800000008196</v>
      </c>
      <c r="ANF12" s="16">
        <f t="shared" si="212"/>
        <v>706.02700000000186</v>
      </c>
      <c r="ANG12" s="16">
        <f t="shared" si="212"/>
        <v>755.15599999995902</v>
      </c>
      <c r="ANH12" s="16">
        <f t="shared" si="212"/>
        <v>615.89400000008754</v>
      </c>
      <c r="ANI12" s="16">
        <f t="shared" si="212"/>
        <v>822.0659999998752</v>
      </c>
      <c r="ANJ12" s="16">
        <f t="shared" si="212"/>
        <v>672.19100000010803</v>
      </c>
      <c r="ANK12" s="16">
        <f t="shared" si="212"/>
        <v>685.95600000000559</v>
      </c>
      <c r="ANL12" s="16">
        <f t="shared" si="212"/>
        <v>593.9089999999851</v>
      </c>
      <c r="ANM12" s="16">
        <f t="shared" si="212"/>
        <v>671.09199999994598</v>
      </c>
      <c r="ANN12" s="16">
        <f t="shared" si="212"/>
        <v>735.8640000000596</v>
      </c>
      <c r="ANO12" s="16">
        <f t="shared" si="212"/>
        <v>636.58799999998882</v>
      </c>
      <c r="ANP12" s="16">
        <f t="shared" si="212"/>
        <v>526.1569999998901</v>
      </c>
      <c r="ANQ12" s="16">
        <f t="shared" si="212"/>
        <v>348.44700000016019</v>
      </c>
      <c r="ANR12" s="16">
        <f t="shared" si="212"/>
        <v>382.15999999991618</v>
      </c>
      <c r="ANS12" s="16">
        <f t="shared" si="212"/>
        <v>346.39999999990687</v>
      </c>
      <c r="ANT12" s="16">
        <f t="shared" si="212"/>
        <v>503.56700000003912</v>
      </c>
      <c r="ANU12" s="16">
        <f t="shared" si="212"/>
        <v>302.63100000005215</v>
      </c>
      <c r="ANV12" s="16">
        <f t="shared" si="212"/>
        <v>424.77499999990687</v>
      </c>
      <c r="ANW12" s="16">
        <f t="shared" si="212"/>
        <v>467.22200000006706</v>
      </c>
      <c r="ANX12" s="16">
        <f t="shared" si="212"/>
        <v>369.91999999992549</v>
      </c>
      <c r="ANY12" s="16">
        <f t="shared" si="212"/>
        <v>540.89600000018254</v>
      </c>
      <c r="ANZ12" s="16">
        <f t="shared" si="212"/>
        <v>714.90999999991618</v>
      </c>
      <c r="AOA12" s="16">
        <f t="shared" si="212"/>
        <v>451.60899999993853</v>
      </c>
      <c r="AOB12" s="16">
        <f t="shared" si="212"/>
        <v>376.94699999992736</v>
      </c>
      <c r="AOC12" s="16">
        <f t="shared" si="212"/>
        <v>463.0480000001844</v>
      </c>
      <c r="AOD12" s="16">
        <f t="shared" si="212"/>
        <v>548.87299999990501</v>
      </c>
      <c r="AOE12">
        <f t="shared" si="212"/>
        <v>548.87299999990501</v>
      </c>
    </row>
    <row r="13" spans="1:1072" x14ac:dyDescent="0.2">
      <c r="A13" s="157"/>
      <c r="B13" s="159" t="s">
        <v>763</v>
      </c>
      <c r="C13" s="47" t="s">
        <v>756</v>
      </c>
      <c r="D13" s="48">
        <v>188169.27299999999</v>
      </c>
      <c r="E13" s="48">
        <f t="shared" ref="E13:AH13" si="213">D14</f>
        <v>188322.06200000001</v>
      </c>
      <c r="F13" s="48">
        <f t="shared" si="213"/>
        <v>188427.40599999999</v>
      </c>
      <c r="G13" s="48">
        <f t="shared" si="213"/>
        <v>188595.65</v>
      </c>
      <c r="H13" s="48">
        <f t="shared" si="213"/>
        <v>188749.53099999999</v>
      </c>
      <c r="I13" s="48">
        <f t="shared" si="213"/>
        <v>189074.90599999999</v>
      </c>
      <c r="J13" s="48">
        <f t="shared" si="213"/>
        <v>189345.467</v>
      </c>
      <c r="K13" s="48">
        <f t="shared" si="213"/>
        <v>189573.77</v>
      </c>
      <c r="L13" s="48">
        <f t="shared" si="213"/>
        <v>189687.867</v>
      </c>
      <c r="M13" s="48">
        <f t="shared" si="213"/>
        <v>189835.80900000001</v>
      </c>
      <c r="N13" s="48">
        <f t="shared" si="213"/>
        <v>190063.774</v>
      </c>
      <c r="O13" s="48">
        <f t="shared" si="213"/>
        <v>190251.27100000001</v>
      </c>
      <c r="P13" s="48">
        <f t="shared" si="213"/>
        <v>190501.101</v>
      </c>
      <c r="Q13" s="48">
        <f t="shared" si="213"/>
        <v>190667.147</v>
      </c>
      <c r="R13" s="48">
        <f t="shared" si="213"/>
        <v>190751.69500000001</v>
      </c>
      <c r="S13" s="48">
        <f t="shared" si="213"/>
        <v>190865.36300000001</v>
      </c>
      <c r="T13" s="48">
        <f t="shared" si="213"/>
        <v>191028.53700000001</v>
      </c>
      <c r="U13" s="48">
        <f t="shared" si="213"/>
        <v>191148.15700000001</v>
      </c>
      <c r="V13" s="48">
        <f t="shared" si="213"/>
        <v>191319.81899999999</v>
      </c>
      <c r="W13" s="48">
        <f t="shared" si="213"/>
        <v>191456.728</v>
      </c>
      <c r="X13" s="48">
        <f t="shared" si="213"/>
        <v>191537.55600000001</v>
      </c>
      <c r="Y13" s="48">
        <f t="shared" si="213"/>
        <v>191644.45499999999</v>
      </c>
      <c r="Z13" s="48">
        <f t="shared" si="213"/>
        <v>191825.30600000001</v>
      </c>
      <c r="AA13" s="48">
        <f t="shared" si="213"/>
        <v>191937.549</v>
      </c>
      <c r="AB13" s="48">
        <f t="shared" si="213"/>
        <v>192100.41</v>
      </c>
      <c r="AC13" s="48">
        <f t="shared" si="213"/>
        <v>192264.87</v>
      </c>
      <c r="AD13" s="48">
        <f t="shared" si="213"/>
        <v>192461.63200000001</v>
      </c>
      <c r="AE13" s="48">
        <f t="shared" si="213"/>
        <v>192631.353</v>
      </c>
      <c r="AF13" s="48">
        <f t="shared" si="213"/>
        <v>192784.80499999999</v>
      </c>
      <c r="AG13" s="48">
        <f t="shared" si="213"/>
        <v>192957.60500000001</v>
      </c>
      <c r="AH13" s="48">
        <f t="shared" si="213"/>
        <v>193065.33900000001</v>
      </c>
      <c r="AI13" s="49"/>
      <c r="AJ13" s="89">
        <f>AH14</f>
        <v>193303.894</v>
      </c>
      <c r="AK13" s="89">
        <f t="shared" ref="AK13:BM13" si="214">AJ14</f>
        <v>193491.40299999999</v>
      </c>
      <c r="AL13" s="89">
        <f t="shared" si="214"/>
        <v>193725.51500000001</v>
      </c>
      <c r="AM13" s="89">
        <f t="shared" si="214"/>
        <v>193944.07800000001</v>
      </c>
      <c r="AN13" s="89">
        <f t="shared" si="214"/>
        <v>194148.74799999999</v>
      </c>
      <c r="AO13" s="89">
        <f t="shared" si="214"/>
        <v>194401.91099999999</v>
      </c>
      <c r="AP13" s="89">
        <f t="shared" si="214"/>
        <v>194529.54500000001</v>
      </c>
      <c r="AQ13" s="89">
        <f t="shared" si="214"/>
        <v>199873.02900000001</v>
      </c>
      <c r="AR13" s="89">
        <f t="shared" si="214"/>
        <v>200171.43</v>
      </c>
      <c r="AS13" s="89">
        <f t="shared" si="214"/>
        <v>200491.80300000001</v>
      </c>
      <c r="AT13" s="89">
        <f t="shared" si="214"/>
        <v>200586.12599999999</v>
      </c>
      <c r="AU13" s="89">
        <f t="shared" si="214"/>
        <v>200744.21100000001</v>
      </c>
      <c r="AV13" s="89">
        <f t="shared" si="214"/>
        <v>200842.014</v>
      </c>
      <c r="AW13" s="89">
        <f t="shared" si="214"/>
        <v>205907.20699999999</v>
      </c>
      <c r="AX13" s="89">
        <f t="shared" si="214"/>
        <v>206034.29699999999</v>
      </c>
      <c r="AY13" s="89">
        <f t="shared" si="214"/>
        <v>206162.61300000001</v>
      </c>
      <c r="AZ13" s="89">
        <f t="shared" si="214"/>
        <v>206277.18</v>
      </c>
      <c r="BA13" s="89">
        <f t="shared" si="214"/>
        <v>206405.48699999999</v>
      </c>
      <c r="BB13" s="89">
        <f t="shared" si="214"/>
        <v>206632.95999999999</v>
      </c>
      <c r="BC13" s="89">
        <f t="shared" si="214"/>
        <v>206804.48499999999</v>
      </c>
      <c r="BD13" s="89">
        <f t="shared" si="214"/>
        <v>206982.79300000001</v>
      </c>
      <c r="BE13" s="89">
        <f t="shared" si="214"/>
        <v>207116.057</v>
      </c>
      <c r="BF13" s="89">
        <f t="shared" si="214"/>
        <v>207267.258</v>
      </c>
      <c r="BG13" s="89">
        <f t="shared" si="214"/>
        <v>207468.07199999999</v>
      </c>
      <c r="BH13" s="89">
        <f t="shared" si="214"/>
        <v>207580.23300000001</v>
      </c>
      <c r="BI13" s="89">
        <f t="shared" si="214"/>
        <v>207746.87899999999</v>
      </c>
      <c r="BJ13" s="89">
        <f t="shared" si="214"/>
        <v>207980.636</v>
      </c>
      <c r="BK13" s="89">
        <f t="shared" si="214"/>
        <v>208082.19699999999</v>
      </c>
      <c r="BL13" s="89">
        <f t="shared" si="214"/>
        <v>208255.734</v>
      </c>
      <c r="BM13" s="89">
        <f t="shared" si="214"/>
        <v>208414.68799999999</v>
      </c>
      <c r="BO13" s="89">
        <f>BM14</f>
        <v>208545.37</v>
      </c>
      <c r="BP13" s="89">
        <f t="shared" ref="BP13:CS13" si="215">BO14</f>
        <v>208627.08300000001</v>
      </c>
      <c r="BQ13" s="89">
        <f t="shared" si="215"/>
        <v>208802.52600000001</v>
      </c>
      <c r="BR13" s="89">
        <f t="shared" si="215"/>
        <v>208950.54300000001</v>
      </c>
      <c r="BS13" s="89">
        <f t="shared" si="215"/>
        <v>209048.29699999999</v>
      </c>
      <c r="BT13" s="89">
        <f t="shared" si="215"/>
        <v>209172.024</v>
      </c>
      <c r="BU13" s="89">
        <f t="shared" si="215"/>
        <v>209349.44399999999</v>
      </c>
      <c r="BV13" s="89">
        <f t="shared" si="215"/>
        <v>209456.65900000001</v>
      </c>
      <c r="BW13" s="89">
        <f t="shared" si="215"/>
        <v>209628.41800000001</v>
      </c>
      <c r="BX13" s="89">
        <f t="shared" si="215"/>
        <v>209789.269</v>
      </c>
      <c r="BY13" s="89">
        <f t="shared" si="215"/>
        <v>209883.78200000001</v>
      </c>
      <c r="BZ13" s="89">
        <f t="shared" si="215"/>
        <v>210014.36600000001</v>
      </c>
      <c r="CA13" s="89">
        <f t="shared" si="215"/>
        <v>210166.196</v>
      </c>
      <c r="CB13" s="89">
        <f t="shared" si="215"/>
        <v>210317.93700000001</v>
      </c>
      <c r="CC13" s="89">
        <f t="shared" si="215"/>
        <v>210505.057</v>
      </c>
      <c r="CD13" s="89">
        <f t="shared" si="215"/>
        <v>210704.31299999999</v>
      </c>
      <c r="CE13" s="89">
        <f t="shared" si="215"/>
        <v>210867.52100000001</v>
      </c>
      <c r="CF13" s="89">
        <f t="shared" si="215"/>
        <v>211061.932</v>
      </c>
      <c r="CG13" s="89">
        <f t="shared" si="215"/>
        <v>211190.10800000001</v>
      </c>
      <c r="CH13" s="89">
        <f t="shared" si="215"/>
        <v>211300.85</v>
      </c>
      <c r="CI13" s="89">
        <f t="shared" si="215"/>
        <v>211405.46900000001</v>
      </c>
      <c r="CJ13" s="89">
        <f t="shared" si="215"/>
        <v>211622.56299999999</v>
      </c>
      <c r="CK13" s="89">
        <f t="shared" si="215"/>
        <v>211724.64300000001</v>
      </c>
      <c r="CL13" s="89">
        <f t="shared" si="215"/>
        <v>211801.894</v>
      </c>
      <c r="CM13" s="89">
        <f t="shared" si="215"/>
        <v>211952.98300000001</v>
      </c>
      <c r="CN13" s="89">
        <f t="shared" si="215"/>
        <v>212046.94399999999</v>
      </c>
      <c r="CO13" s="89">
        <f t="shared" si="215"/>
        <v>212185.32500000001</v>
      </c>
      <c r="CP13" s="89">
        <f t="shared" si="215"/>
        <v>212278.45699999999</v>
      </c>
      <c r="CQ13" s="89">
        <f t="shared" si="215"/>
        <v>212537.38800000001</v>
      </c>
      <c r="CR13" s="89">
        <f t="shared" si="215"/>
        <v>212652.21799999999</v>
      </c>
      <c r="CS13" s="89">
        <f t="shared" si="215"/>
        <v>212793.21</v>
      </c>
      <c r="CU13" s="89">
        <f>CS14</f>
        <v>212864.66399999999</v>
      </c>
      <c r="CV13" s="89">
        <f t="shared" ref="CV13:DX13" si="216">CU14</f>
        <v>213075.20300000001</v>
      </c>
      <c r="CW13" s="89">
        <f t="shared" si="216"/>
        <v>213212.61600000001</v>
      </c>
      <c r="CX13" s="89">
        <f t="shared" si="216"/>
        <v>213395.997</v>
      </c>
      <c r="CY13" s="89">
        <f t="shared" si="216"/>
        <v>213617.90700000001</v>
      </c>
      <c r="CZ13" s="89">
        <f t="shared" si="216"/>
        <v>213789.15400000001</v>
      </c>
      <c r="DA13" s="89">
        <f t="shared" si="216"/>
        <v>213932.53599999999</v>
      </c>
      <c r="DB13" s="89">
        <f t="shared" si="216"/>
        <v>214039.42800000001</v>
      </c>
      <c r="DC13" s="89">
        <f t="shared" si="216"/>
        <v>214197.992</v>
      </c>
      <c r="DD13" s="89">
        <f t="shared" si="216"/>
        <v>214385.04199999999</v>
      </c>
      <c r="DE13" s="89">
        <f t="shared" si="216"/>
        <v>214506.272</v>
      </c>
      <c r="DF13" s="89">
        <f t="shared" si="216"/>
        <v>214750.962</v>
      </c>
      <c r="DG13" s="89">
        <f t="shared" si="216"/>
        <v>214882.033</v>
      </c>
      <c r="DH13" s="89">
        <f t="shared" si="216"/>
        <v>214975.96599999999</v>
      </c>
      <c r="DI13" s="89">
        <f t="shared" si="216"/>
        <v>215148.88200000001</v>
      </c>
      <c r="DJ13" s="89">
        <f t="shared" si="216"/>
        <v>215222.47200000001</v>
      </c>
      <c r="DK13" s="89">
        <f t="shared" si="216"/>
        <v>215281.27600000001</v>
      </c>
      <c r="DL13" s="89">
        <f t="shared" si="216"/>
        <v>215392.61</v>
      </c>
      <c r="DM13" s="89">
        <f t="shared" si="216"/>
        <v>215580.50200000001</v>
      </c>
      <c r="DN13" s="89">
        <f t="shared" si="216"/>
        <v>215693.171</v>
      </c>
      <c r="DO13" s="89">
        <f t="shared" si="216"/>
        <v>215774.42199999999</v>
      </c>
      <c r="DP13" s="89">
        <f t="shared" si="216"/>
        <v>215858.58499999999</v>
      </c>
      <c r="DQ13" s="89">
        <f t="shared" si="216"/>
        <v>215943.82</v>
      </c>
      <c r="DR13" s="89">
        <f t="shared" si="216"/>
        <v>216054.25200000001</v>
      </c>
      <c r="DS13" s="89">
        <f t="shared" si="216"/>
        <v>216158.2</v>
      </c>
      <c r="DT13" s="89">
        <f t="shared" si="216"/>
        <v>216332.70199999999</v>
      </c>
      <c r="DU13" s="89">
        <f t="shared" si="216"/>
        <v>216397.921</v>
      </c>
      <c r="DV13" s="89">
        <f t="shared" si="216"/>
        <v>216474.65900000001</v>
      </c>
      <c r="DW13" s="89">
        <f t="shared" si="216"/>
        <v>216553.109</v>
      </c>
      <c r="DX13" s="89">
        <f t="shared" si="216"/>
        <v>216675.34899999999</v>
      </c>
      <c r="DY13" s="117"/>
      <c r="DZ13" s="89">
        <f>DX14</f>
        <v>216785.258</v>
      </c>
      <c r="EA13" s="89">
        <f t="shared" ref="EA13:FD13" si="217">DZ14</f>
        <v>216921.26199999999</v>
      </c>
      <c r="EB13" s="89">
        <f t="shared" si="217"/>
        <v>217092.33199999999</v>
      </c>
      <c r="EC13" s="89">
        <f t="shared" si="217"/>
        <v>217222.761</v>
      </c>
      <c r="ED13" s="89">
        <f t="shared" si="217"/>
        <v>217338.617</v>
      </c>
      <c r="EE13" s="89">
        <f t="shared" si="217"/>
        <v>217423.03400000001</v>
      </c>
      <c r="EF13" s="89">
        <f t="shared" si="217"/>
        <v>217521.68100000001</v>
      </c>
      <c r="EG13" s="89">
        <f t="shared" si="217"/>
        <v>217608.69399999999</v>
      </c>
      <c r="EH13" s="89">
        <f t="shared" si="217"/>
        <v>217739.25599999999</v>
      </c>
      <c r="EI13" s="89">
        <f t="shared" si="217"/>
        <v>217922.701</v>
      </c>
      <c r="EJ13" s="89">
        <f t="shared" si="217"/>
        <v>218081.495</v>
      </c>
      <c r="EK13" s="89">
        <f t="shared" si="217"/>
        <v>218245.299</v>
      </c>
      <c r="EL13" s="89">
        <f t="shared" si="217"/>
        <v>218441.74</v>
      </c>
      <c r="EM13" s="89">
        <f t="shared" si="217"/>
        <v>218610.82500000001</v>
      </c>
      <c r="EN13" s="89">
        <f t="shared" si="217"/>
        <v>218745.682</v>
      </c>
      <c r="EO13" s="89">
        <f t="shared" si="217"/>
        <v>218914.96799999999</v>
      </c>
      <c r="EP13" s="89">
        <f t="shared" si="217"/>
        <v>219124.39</v>
      </c>
      <c r="EQ13" s="89">
        <f t="shared" si="217"/>
        <v>219258.231</v>
      </c>
      <c r="ER13" s="89">
        <f t="shared" si="217"/>
        <v>219424.36799999999</v>
      </c>
      <c r="ES13" s="89">
        <f t="shared" si="217"/>
        <v>219564.70300000001</v>
      </c>
      <c r="ET13" s="89">
        <f t="shared" si="217"/>
        <v>219833.95499999999</v>
      </c>
      <c r="EU13" s="89">
        <f t="shared" si="217"/>
        <v>220122.986</v>
      </c>
      <c r="EV13" s="89">
        <f t="shared" si="217"/>
        <v>220334.723</v>
      </c>
      <c r="EW13" s="89">
        <f t="shared" si="217"/>
        <v>220640.72899999999</v>
      </c>
      <c r="EX13" s="89">
        <f t="shared" si="217"/>
        <v>220805.31299999999</v>
      </c>
      <c r="EY13" s="89">
        <f t="shared" si="217"/>
        <v>221011.984</v>
      </c>
      <c r="EZ13" s="89">
        <f t="shared" si="217"/>
        <v>221116.42</v>
      </c>
      <c r="FA13" s="89">
        <f t="shared" si="217"/>
        <v>221262.326</v>
      </c>
      <c r="FB13" s="89">
        <f t="shared" si="217"/>
        <v>221457.3</v>
      </c>
      <c r="FC13" s="89">
        <f t="shared" si="217"/>
        <v>221643.53200000001</v>
      </c>
      <c r="FD13" s="89">
        <f t="shared" si="217"/>
        <v>221811.427</v>
      </c>
      <c r="FE13" s="126"/>
      <c r="FF13" s="89">
        <f>FD14</f>
        <v>222051.70300000001</v>
      </c>
      <c r="FG13" s="89">
        <f t="shared" ref="FG13:GJ13" si="218">FF14</f>
        <v>222197.049</v>
      </c>
      <c r="FH13" s="89">
        <f t="shared" si="218"/>
        <v>222313.91500000001</v>
      </c>
      <c r="FI13" s="89">
        <f t="shared" si="218"/>
        <v>222394.571</v>
      </c>
      <c r="FJ13" s="89">
        <f t="shared" si="218"/>
        <v>222526.372</v>
      </c>
      <c r="FK13" s="89">
        <f t="shared" si="218"/>
        <v>222655.758</v>
      </c>
      <c r="FL13" s="89">
        <f t="shared" si="218"/>
        <v>222730.70199999999</v>
      </c>
      <c r="FM13" s="89">
        <f t="shared" si="218"/>
        <v>222882.22500000001</v>
      </c>
      <c r="FN13" s="89">
        <f t="shared" si="218"/>
        <v>223090.88800000001</v>
      </c>
      <c r="FO13" s="89">
        <f t="shared" si="218"/>
        <v>223235.413</v>
      </c>
      <c r="FP13" s="89">
        <f t="shared" si="218"/>
        <v>223341.14600000001</v>
      </c>
      <c r="FQ13" s="89">
        <f t="shared" si="218"/>
        <v>223435.18900000001</v>
      </c>
      <c r="FR13" s="89">
        <f t="shared" si="218"/>
        <v>223559.299</v>
      </c>
      <c r="FS13" s="89">
        <f t="shared" si="218"/>
        <v>223822.37400000001</v>
      </c>
      <c r="FT13" s="89">
        <f t="shared" si="218"/>
        <v>223967.99900000001</v>
      </c>
      <c r="FU13" s="89">
        <f t="shared" si="218"/>
        <v>224146.087</v>
      </c>
      <c r="FV13" s="89">
        <f t="shared" si="218"/>
        <v>224294.766</v>
      </c>
      <c r="FW13" s="89">
        <f t="shared" si="218"/>
        <v>224386.954</v>
      </c>
      <c r="FX13" s="89">
        <f t="shared" si="218"/>
        <v>224458.91899999999</v>
      </c>
      <c r="FY13" s="89">
        <f t="shared" si="218"/>
        <v>224580.41399999999</v>
      </c>
      <c r="FZ13" s="89">
        <f t="shared" si="218"/>
        <v>224757.014</v>
      </c>
      <c r="GA13" s="89">
        <f t="shared" si="218"/>
        <v>224942.25700000001</v>
      </c>
      <c r="GB13" s="89">
        <f t="shared" si="218"/>
        <v>225092.49900000001</v>
      </c>
      <c r="GC13" s="89">
        <f t="shared" si="218"/>
        <v>225234.96799999999</v>
      </c>
      <c r="GD13" s="89">
        <f t="shared" si="218"/>
        <v>225321.33100000001</v>
      </c>
      <c r="GE13" s="89">
        <f t="shared" si="218"/>
        <v>225487.17800000001</v>
      </c>
      <c r="GF13" s="89">
        <f t="shared" si="218"/>
        <v>225638.48800000001</v>
      </c>
      <c r="GG13" s="89">
        <f t="shared" si="218"/>
        <v>225785.23800000001</v>
      </c>
      <c r="GH13" s="89">
        <f t="shared" si="218"/>
        <v>225880.25</v>
      </c>
      <c r="GI13" s="89">
        <f t="shared" si="218"/>
        <v>226083.31899999999</v>
      </c>
      <c r="GJ13" s="89">
        <f t="shared" si="218"/>
        <v>226216.70300000001</v>
      </c>
      <c r="GK13" s="127">
        <f>SUM(FF13:GJ13)</f>
        <v>6946510.9880000008</v>
      </c>
      <c r="GL13" s="89">
        <f>GJ14</f>
        <v>226332.81599999999</v>
      </c>
      <c r="GM13">
        <f t="shared" ref="GM13:HN13" si="219">GL14</f>
        <v>226437.717</v>
      </c>
      <c r="GN13">
        <f t="shared" si="219"/>
        <v>226549.52499999999</v>
      </c>
      <c r="GO13">
        <f t="shared" si="219"/>
        <v>226729.29</v>
      </c>
      <c r="GP13">
        <f t="shared" si="219"/>
        <v>226962.851</v>
      </c>
      <c r="GQ13">
        <f t="shared" si="219"/>
        <v>227134.02100000001</v>
      </c>
      <c r="GR13">
        <f t="shared" si="219"/>
        <v>227300.45800000001</v>
      </c>
      <c r="GS13">
        <f t="shared" si="219"/>
        <v>227538.50099999999</v>
      </c>
      <c r="GT13">
        <f t="shared" si="219"/>
        <v>227700.204</v>
      </c>
      <c r="GU13">
        <f t="shared" si="219"/>
        <v>227810.872</v>
      </c>
      <c r="GV13">
        <f t="shared" si="219"/>
        <v>227992.80100000001</v>
      </c>
      <c r="GW13">
        <f t="shared" si="219"/>
        <v>228099.03099999999</v>
      </c>
      <c r="GX13">
        <f t="shared" si="219"/>
        <v>228215.94099999999</v>
      </c>
      <c r="GY13">
        <f t="shared" si="219"/>
        <v>228303.54500000001</v>
      </c>
      <c r="GZ13">
        <f t="shared" si="219"/>
        <v>228433.95699999999</v>
      </c>
      <c r="HA13">
        <f t="shared" si="219"/>
        <v>228531.264</v>
      </c>
      <c r="HB13">
        <f t="shared" si="219"/>
        <v>228634.72500000001</v>
      </c>
      <c r="HC13">
        <f t="shared" si="219"/>
        <v>228823.93599999999</v>
      </c>
      <c r="HD13">
        <f t="shared" si="219"/>
        <v>228937.065</v>
      </c>
      <c r="HE13">
        <f t="shared" si="219"/>
        <v>229115.481</v>
      </c>
      <c r="HF13">
        <f t="shared" si="219"/>
        <v>229280.96599999999</v>
      </c>
      <c r="HG13">
        <f t="shared" si="219"/>
        <v>229390.209</v>
      </c>
      <c r="HH13">
        <f t="shared" si="219"/>
        <v>229494.035</v>
      </c>
      <c r="HI13">
        <f t="shared" si="219"/>
        <v>229747.88500000001</v>
      </c>
      <c r="HJ13">
        <f t="shared" si="219"/>
        <v>229867.25200000001</v>
      </c>
      <c r="HK13">
        <f t="shared" si="219"/>
        <v>230005.48</v>
      </c>
      <c r="HL13">
        <f t="shared" si="219"/>
        <v>230105.47</v>
      </c>
      <c r="HM13">
        <f t="shared" si="219"/>
        <v>230210.283</v>
      </c>
      <c r="HN13">
        <f t="shared" si="219"/>
        <v>230296.851</v>
      </c>
      <c r="HO13" s="127">
        <f>SUM(GL13:HN13)</f>
        <v>6623982.432</v>
      </c>
      <c r="HP13" s="89">
        <f>HN14</f>
        <v>230438.32800000001</v>
      </c>
      <c r="HQ13" s="89">
        <f t="shared" ref="HQ13:IT13" si="220">HP14</f>
        <v>230617.049</v>
      </c>
      <c r="HR13" s="89">
        <f t="shared" si="220"/>
        <v>230843.671</v>
      </c>
      <c r="HS13" s="89">
        <f t="shared" si="220"/>
        <v>230981.375</v>
      </c>
      <c r="HT13" s="89">
        <f t="shared" si="220"/>
        <v>231101.783</v>
      </c>
      <c r="HU13" s="89">
        <f t="shared" si="220"/>
        <v>231270.46299999999</v>
      </c>
      <c r="HV13" s="89">
        <f t="shared" si="220"/>
        <v>231407.72099999999</v>
      </c>
      <c r="HW13" s="89">
        <f t="shared" si="220"/>
        <v>231557.318</v>
      </c>
      <c r="HX13" s="89">
        <f t="shared" si="220"/>
        <v>231679.33499999999</v>
      </c>
      <c r="HY13" s="89">
        <f t="shared" si="220"/>
        <v>231774.329</v>
      </c>
      <c r="HZ13" s="89">
        <f t="shared" si="220"/>
        <v>231948.609</v>
      </c>
      <c r="IA13" s="89">
        <f t="shared" si="220"/>
        <v>232203.902</v>
      </c>
      <c r="IB13" s="89">
        <f t="shared" si="220"/>
        <v>232367.49600000001</v>
      </c>
      <c r="IC13" s="89">
        <f t="shared" si="220"/>
        <v>232533.745</v>
      </c>
      <c r="ID13" s="89">
        <f t="shared" si="220"/>
        <v>232663.745</v>
      </c>
      <c r="IE13" s="89">
        <f t="shared" si="220"/>
        <v>232909.61600000001</v>
      </c>
      <c r="IF13" s="89">
        <f t="shared" si="220"/>
        <v>233082.56099999999</v>
      </c>
      <c r="IG13" s="89">
        <f t="shared" si="220"/>
        <v>233301.361</v>
      </c>
      <c r="IH13" s="89">
        <f t="shared" si="220"/>
        <v>233431.06</v>
      </c>
      <c r="II13" s="89">
        <f t="shared" si="220"/>
        <v>233532.25899999999</v>
      </c>
      <c r="IJ13" s="89">
        <f t="shared" si="220"/>
        <v>233644.21299999999</v>
      </c>
      <c r="IK13" s="89">
        <f t="shared" si="220"/>
        <v>233747.57500000001</v>
      </c>
      <c r="IL13" s="89">
        <f t="shared" si="220"/>
        <v>233928.58499999999</v>
      </c>
      <c r="IM13" s="89">
        <f t="shared" si="220"/>
        <v>234055.992</v>
      </c>
      <c r="IN13" s="89">
        <f t="shared" si="220"/>
        <v>234187.571</v>
      </c>
      <c r="IO13" s="89">
        <f t="shared" si="220"/>
        <v>234310.47</v>
      </c>
      <c r="IP13" s="89">
        <f t="shared" si="220"/>
        <v>234419.99299999999</v>
      </c>
      <c r="IQ13" s="89">
        <f t="shared" si="220"/>
        <v>234551.38800000001</v>
      </c>
      <c r="IR13" s="89">
        <f t="shared" si="220"/>
        <v>234598.204</v>
      </c>
      <c r="IS13" s="89">
        <f t="shared" si="220"/>
        <v>234759.31200000001</v>
      </c>
      <c r="IT13" s="89">
        <f t="shared" si="220"/>
        <v>234876.58900000001</v>
      </c>
      <c r="IU13" s="127">
        <f>SUM(HP13:IT13)</f>
        <v>7216725.6179999979</v>
      </c>
      <c r="IV13" s="89">
        <f>IT14</f>
        <v>234941.34899999999</v>
      </c>
      <c r="IW13" s="89">
        <f t="shared" ref="IW13:JY13" si="221">IV14</f>
        <v>235037.454</v>
      </c>
      <c r="IX13" s="89">
        <f t="shared" si="221"/>
        <v>235169.875</v>
      </c>
      <c r="IY13" s="89">
        <f t="shared" si="221"/>
        <v>235267.33199999999</v>
      </c>
      <c r="IZ13" s="89">
        <f t="shared" si="221"/>
        <v>235392.10399999999</v>
      </c>
      <c r="JA13" s="89">
        <f t="shared" si="221"/>
        <v>235570.783</v>
      </c>
      <c r="JB13" s="89">
        <f t="shared" si="221"/>
        <v>235733.666</v>
      </c>
      <c r="JC13" s="89">
        <f t="shared" si="221"/>
        <v>235883.75</v>
      </c>
      <c r="JD13" s="89">
        <f t="shared" si="221"/>
        <v>236053.739</v>
      </c>
      <c r="JE13" s="89">
        <f t="shared" si="221"/>
        <v>236191.58199999999</v>
      </c>
      <c r="JF13" s="89">
        <f t="shared" si="221"/>
        <v>236412.166</v>
      </c>
      <c r="JG13" s="89">
        <f t="shared" si="221"/>
        <v>236514.867</v>
      </c>
      <c r="JH13" s="89">
        <f t="shared" si="221"/>
        <v>236611.78200000001</v>
      </c>
      <c r="JI13" s="89">
        <f t="shared" si="221"/>
        <v>236709.628</v>
      </c>
      <c r="JJ13" s="89">
        <f t="shared" si="221"/>
        <v>236826.43900000001</v>
      </c>
      <c r="JK13" s="89">
        <f t="shared" si="221"/>
        <v>236913.71599999999</v>
      </c>
      <c r="JL13" s="89">
        <f t="shared" si="221"/>
        <v>237072.39799999999</v>
      </c>
      <c r="JM13" s="89">
        <f t="shared" si="221"/>
        <v>237174.26500000001</v>
      </c>
      <c r="JN13" s="89">
        <f t="shared" si="221"/>
        <v>237327.53</v>
      </c>
      <c r="JO13" s="89">
        <f t="shared" si="221"/>
        <v>237431.44200000001</v>
      </c>
      <c r="JP13" s="89">
        <f t="shared" si="221"/>
        <v>237522.174</v>
      </c>
      <c r="JQ13" s="89">
        <f t="shared" si="221"/>
        <v>237621.87100000001</v>
      </c>
      <c r="JR13" s="89">
        <f t="shared" si="221"/>
        <v>237720.647</v>
      </c>
      <c r="JS13" s="89">
        <f t="shared" si="221"/>
        <v>237804.78700000001</v>
      </c>
      <c r="JT13" s="89">
        <f t="shared" si="221"/>
        <v>238022.304</v>
      </c>
      <c r="JU13" s="89">
        <f t="shared" si="221"/>
        <v>238110.704</v>
      </c>
      <c r="JV13" s="89">
        <f t="shared" si="221"/>
        <v>238269.658</v>
      </c>
      <c r="JW13" s="89">
        <f t="shared" si="221"/>
        <v>238471.77100000001</v>
      </c>
      <c r="JX13" s="89">
        <f t="shared" si="221"/>
        <v>238557.003</v>
      </c>
      <c r="JY13" s="89">
        <f t="shared" si="221"/>
        <v>238724.519</v>
      </c>
      <c r="JZ13" s="127">
        <v>0</v>
      </c>
      <c r="KA13" s="89">
        <f>JY14</f>
        <v>238905.58799999999</v>
      </c>
      <c r="KB13" s="89">
        <f t="shared" ref="KB13:LE13" si="222">KA14</f>
        <v>239046.872</v>
      </c>
      <c r="KC13" s="89">
        <f t="shared" si="222"/>
        <v>239392.459</v>
      </c>
      <c r="KD13" s="89">
        <f t="shared" si="222"/>
        <v>239526.84400000001</v>
      </c>
      <c r="KE13" s="89">
        <f t="shared" si="222"/>
        <v>239613.93799999999</v>
      </c>
      <c r="KF13" s="89">
        <f t="shared" si="222"/>
        <v>239774.62700000001</v>
      </c>
      <c r="KG13" s="89">
        <f t="shared" si="222"/>
        <v>239858.53899999999</v>
      </c>
      <c r="KH13" s="89">
        <f t="shared" si="222"/>
        <v>239945.91699999999</v>
      </c>
      <c r="KI13" s="89">
        <f t="shared" si="222"/>
        <v>240008.905</v>
      </c>
      <c r="KJ13" s="89">
        <f t="shared" si="222"/>
        <v>240167.027</v>
      </c>
      <c r="KK13" s="89">
        <f t="shared" si="222"/>
        <v>240274.024</v>
      </c>
      <c r="KL13" s="89">
        <f t="shared" si="222"/>
        <v>240403.82800000001</v>
      </c>
      <c r="KM13" s="89">
        <f t="shared" si="222"/>
        <v>240485.7</v>
      </c>
      <c r="KN13" s="89">
        <f t="shared" si="222"/>
        <v>240635.41099999999</v>
      </c>
      <c r="KO13" s="89">
        <f t="shared" si="222"/>
        <v>240756.49799999999</v>
      </c>
      <c r="KP13" s="89">
        <f t="shared" si="222"/>
        <v>240883.505</v>
      </c>
      <c r="KQ13" s="89">
        <f t="shared" si="222"/>
        <v>241026.57500000001</v>
      </c>
      <c r="KR13" s="89">
        <f t="shared" si="222"/>
        <v>241114.23</v>
      </c>
      <c r="KS13" s="89">
        <f t="shared" si="222"/>
        <v>241240.25399999999</v>
      </c>
      <c r="KT13" s="89">
        <f t="shared" si="222"/>
        <v>241365.701</v>
      </c>
      <c r="KU13" s="89">
        <f t="shared" si="222"/>
        <v>241484.48300000001</v>
      </c>
      <c r="KV13" s="89">
        <f t="shared" si="222"/>
        <v>241646.23699999999</v>
      </c>
      <c r="KW13" s="89">
        <f t="shared" si="222"/>
        <v>241697.25599999999</v>
      </c>
      <c r="KX13" s="89">
        <f t="shared" si="222"/>
        <v>241848.37700000001</v>
      </c>
      <c r="KY13" s="89">
        <f t="shared" si="222"/>
        <v>242002.66699999999</v>
      </c>
      <c r="KZ13" s="89">
        <f t="shared" si="222"/>
        <v>242121.43900000001</v>
      </c>
      <c r="LA13" s="89">
        <f t="shared" si="222"/>
        <v>242274.41699999999</v>
      </c>
      <c r="LB13" s="89">
        <f t="shared" si="222"/>
        <v>242419.177</v>
      </c>
      <c r="LC13" s="89">
        <f t="shared" si="222"/>
        <v>242485.33</v>
      </c>
      <c r="LD13" s="89">
        <f t="shared" si="222"/>
        <v>242609.90299999999</v>
      </c>
      <c r="LE13" s="89">
        <f t="shared" si="222"/>
        <v>242763.64499999999</v>
      </c>
      <c r="LF13" s="127">
        <v>0</v>
      </c>
      <c r="LG13" s="89">
        <f>LE14</f>
        <v>242972.364</v>
      </c>
      <c r="LH13" s="89">
        <f t="shared" ref="LH13:MJ13" si="223">LG14</f>
        <v>243286.492</v>
      </c>
      <c r="LI13" s="89">
        <f t="shared" si="223"/>
        <v>243509.837</v>
      </c>
      <c r="LJ13" s="89">
        <f t="shared" si="223"/>
        <v>243707.02900000001</v>
      </c>
      <c r="LK13" s="89">
        <f t="shared" si="223"/>
        <v>243906.92600000001</v>
      </c>
      <c r="LL13" s="89">
        <f t="shared" si="223"/>
        <v>244054.46400000001</v>
      </c>
      <c r="LM13" s="89">
        <f t="shared" si="223"/>
        <v>244176.951</v>
      </c>
      <c r="LN13" s="89">
        <f t="shared" si="223"/>
        <v>244542.37400000001</v>
      </c>
      <c r="LO13" s="89">
        <f t="shared" si="223"/>
        <v>244882.28599999999</v>
      </c>
      <c r="LP13" s="89">
        <f t="shared" si="223"/>
        <v>245044.45800000001</v>
      </c>
      <c r="LQ13" s="89">
        <f t="shared" si="223"/>
        <v>245185.74799999999</v>
      </c>
      <c r="LR13" s="89">
        <f t="shared" si="223"/>
        <v>245340.144</v>
      </c>
      <c r="LS13" s="89">
        <f t="shared" si="223"/>
        <v>245500.63800000001</v>
      </c>
      <c r="LT13" s="89">
        <f t="shared" si="223"/>
        <v>245608.84700000001</v>
      </c>
      <c r="LU13" s="89">
        <f t="shared" si="223"/>
        <v>245725.12700000001</v>
      </c>
      <c r="LV13" s="89">
        <f t="shared" si="223"/>
        <v>245935.71599999999</v>
      </c>
      <c r="LW13" s="89">
        <f t="shared" si="223"/>
        <v>246060.94500000001</v>
      </c>
      <c r="LX13" s="89">
        <f t="shared" si="223"/>
        <v>246204.18299999999</v>
      </c>
      <c r="LY13" s="89">
        <f t="shared" si="223"/>
        <v>246377.823</v>
      </c>
      <c r="LZ13" s="89">
        <f t="shared" si="223"/>
        <v>246545.943</v>
      </c>
      <c r="MA13" s="89">
        <f t="shared" si="223"/>
        <v>246741.576</v>
      </c>
      <c r="MB13" s="89">
        <f t="shared" si="223"/>
        <v>246907.15599999999</v>
      </c>
      <c r="MC13" s="89">
        <f t="shared" si="223"/>
        <v>247163.38500000001</v>
      </c>
      <c r="MD13" s="89">
        <f t="shared" si="223"/>
        <v>247248.25200000001</v>
      </c>
      <c r="ME13" s="89">
        <f t="shared" si="223"/>
        <v>247495.39799999999</v>
      </c>
      <c r="MF13" s="89">
        <f t="shared" si="223"/>
        <v>247623.61300000001</v>
      </c>
      <c r="MG13" s="89">
        <f t="shared" si="223"/>
        <v>247767.459</v>
      </c>
      <c r="MH13" s="89">
        <f t="shared" si="223"/>
        <v>247913.63200000001</v>
      </c>
      <c r="MI13" s="89">
        <f t="shared" si="223"/>
        <v>248118.435</v>
      </c>
      <c r="MJ13" s="89">
        <f t="shared" si="223"/>
        <v>248305.1</v>
      </c>
      <c r="MK13" s="127">
        <v>0</v>
      </c>
      <c r="ML13" s="89">
        <f>MJ14</f>
        <v>248384.2</v>
      </c>
      <c r="MM13" s="89">
        <f t="shared" ref="MM13:NP13" si="224">ML14</f>
        <v>248544.77299999999</v>
      </c>
      <c r="MN13" s="89">
        <f t="shared" si="224"/>
        <v>248736.19899999999</v>
      </c>
      <c r="MO13" s="89">
        <f t="shared" si="224"/>
        <v>248871.29</v>
      </c>
      <c r="MP13" s="89">
        <f t="shared" si="224"/>
        <v>249058.97700000001</v>
      </c>
      <c r="MQ13" s="89">
        <f t="shared" si="224"/>
        <v>249164.16800000001</v>
      </c>
      <c r="MR13" s="89">
        <f t="shared" si="224"/>
        <v>249248.55799999999</v>
      </c>
      <c r="MS13" s="89">
        <f t="shared" si="224"/>
        <v>249460.443</v>
      </c>
      <c r="MT13" s="89">
        <f t="shared" si="224"/>
        <v>249569.03099999999</v>
      </c>
      <c r="MU13" s="89">
        <f t="shared" si="224"/>
        <v>249680.15900000001</v>
      </c>
      <c r="MV13" s="89">
        <f t="shared" si="224"/>
        <v>249739.59400000001</v>
      </c>
      <c r="MW13" s="89">
        <f t="shared" si="224"/>
        <v>249894.495</v>
      </c>
      <c r="MX13" s="89">
        <f t="shared" si="224"/>
        <v>250062.90599999999</v>
      </c>
      <c r="MY13" s="89">
        <f t="shared" si="224"/>
        <v>250302.318</v>
      </c>
      <c r="MZ13" s="89">
        <f t="shared" si="224"/>
        <v>250455.99299999999</v>
      </c>
      <c r="NA13" s="89">
        <f t="shared" si="224"/>
        <v>250560.46599999999</v>
      </c>
      <c r="NB13" s="89">
        <f t="shared" si="224"/>
        <v>250731.34599999999</v>
      </c>
      <c r="NC13" s="89">
        <f t="shared" si="224"/>
        <v>250899.8</v>
      </c>
      <c r="ND13" s="89">
        <f t="shared" si="224"/>
        <v>251074.75099999999</v>
      </c>
      <c r="NE13" s="89">
        <f t="shared" si="224"/>
        <v>251262.45199999999</v>
      </c>
      <c r="NF13" s="89">
        <f t="shared" si="224"/>
        <v>251437.11199999999</v>
      </c>
      <c r="NG13" s="89">
        <f t="shared" si="224"/>
        <v>251526.519</v>
      </c>
      <c r="NH13" s="89">
        <f t="shared" si="224"/>
        <v>251623.397</v>
      </c>
      <c r="NI13" s="89">
        <f t="shared" si="224"/>
        <v>251721.372</v>
      </c>
      <c r="NJ13" s="89">
        <f t="shared" si="224"/>
        <v>251829.54199999999</v>
      </c>
      <c r="NK13" s="89">
        <f t="shared" si="224"/>
        <v>251957.80799999999</v>
      </c>
      <c r="NL13" s="89">
        <f t="shared" si="224"/>
        <v>252104.40299999999</v>
      </c>
      <c r="NM13" s="89">
        <f t="shared" si="224"/>
        <v>252304.20499999999</v>
      </c>
      <c r="NN13" s="89">
        <f t="shared" si="224"/>
        <v>252396.02900000001</v>
      </c>
      <c r="NO13" s="89">
        <f t="shared" si="224"/>
        <v>252543.40900000001</v>
      </c>
      <c r="NP13" s="89">
        <f t="shared" si="224"/>
        <v>252656.66800000001</v>
      </c>
      <c r="NQ13" s="127">
        <v>0</v>
      </c>
      <c r="NR13" s="89">
        <f>NP14</f>
        <v>252770.98800000001</v>
      </c>
      <c r="NS13" s="89">
        <f t="shared" ref="NS13:OV13" si="225">NR14</f>
        <v>252917.32399999999</v>
      </c>
      <c r="NT13" s="89">
        <f t="shared" si="225"/>
        <v>253021.052</v>
      </c>
      <c r="NU13" s="89">
        <f t="shared" si="225"/>
        <v>253154.97899999999</v>
      </c>
      <c r="NV13" s="89">
        <f t="shared" si="225"/>
        <v>253292.087</v>
      </c>
      <c r="NW13" s="89">
        <f t="shared" si="225"/>
        <v>253484.81200000001</v>
      </c>
      <c r="NX13" s="89">
        <f t="shared" si="225"/>
        <v>253721.068</v>
      </c>
      <c r="NY13" s="89">
        <f t="shared" si="225"/>
        <v>253819.79500000001</v>
      </c>
      <c r="NZ13" s="89">
        <f t="shared" si="225"/>
        <v>253954.53200000001</v>
      </c>
      <c r="OA13" s="89">
        <f t="shared" si="225"/>
        <v>254103.92800000001</v>
      </c>
      <c r="OB13" s="89">
        <f t="shared" si="225"/>
        <v>254235.59299999999</v>
      </c>
      <c r="OC13" s="89">
        <f t="shared" si="225"/>
        <v>254386.103</v>
      </c>
      <c r="OD13" s="89">
        <f t="shared" si="225"/>
        <v>254536.32199999999</v>
      </c>
      <c r="OE13" s="89">
        <f t="shared" si="225"/>
        <v>254660.473</v>
      </c>
      <c r="OF13" s="89">
        <f t="shared" si="225"/>
        <v>254845.212</v>
      </c>
      <c r="OG13" s="89">
        <f t="shared" si="225"/>
        <v>254984.21900000001</v>
      </c>
      <c r="OH13" s="89">
        <f t="shared" si="225"/>
        <v>255167.59299999999</v>
      </c>
      <c r="OI13" s="89">
        <f t="shared" si="225"/>
        <v>255301.69200000001</v>
      </c>
      <c r="OJ13" s="89">
        <f t="shared" si="225"/>
        <v>255443.13200000001</v>
      </c>
      <c r="OK13" s="89">
        <f t="shared" si="225"/>
        <v>255563.133</v>
      </c>
      <c r="OL13" s="89">
        <f t="shared" si="225"/>
        <v>255689.67300000001</v>
      </c>
      <c r="OM13" s="89">
        <f t="shared" si="225"/>
        <v>255871.64199999999</v>
      </c>
      <c r="ON13" s="89">
        <f t="shared" si="225"/>
        <v>255992.18599999999</v>
      </c>
      <c r="OO13" s="89">
        <f t="shared" si="225"/>
        <v>256128.095</v>
      </c>
      <c r="OP13" s="89">
        <f t="shared" si="225"/>
        <v>256273.35</v>
      </c>
      <c r="OQ13" s="89">
        <f t="shared" si="225"/>
        <v>256335.804</v>
      </c>
      <c r="OR13" s="89">
        <f t="shared" si="225"/>
        <v>256499.74299999999</v>
      </c>
      <c r="OS13" s="89">
        <f t="shared" si="225"/>
        <v>256659.93900000001</v>
      </c>
      <c r="OT13" s="89">
        <f t="shared" si="225"/>
        <v>256747.68900000001</v>
      </c>
      <c r="OU13" s="89">
        <f t="shared" si="225"/>
        <v>256847.13399999999</v>
      </c>
      <c r="OV13" s="89">
        <f t="shared" si="225"/>
        <v>257037.288</v>
      </c>
      <c r="OW13" s="127">
        <v>0</v>
      </c>
      <c r="OX13" s="89">
        <f>OV14</f>
        <v>257229.36</v>
      </c>
      <c r="OY13" s="89">
        <f t="shared" ref="OY13:QA13" si="226">OX14</f>
        <v>257362.584</v>
      </c>
      <c r="OZ13" s="89">
        <f t="shared" si="226"/>
        <v>257451.47899999999</v>
      </c>
      <c r="PA13" s="89">
        <f t="shared" si="226"/>
        <v>257559.25200000001</v>
      </c>
      <c r="PB13" s="89">
        <f t="shared" si="226"/>
        <v>257698.34</v>
      </c>
      <c r="PC13" s="89">
        <f t="shared" si="226"/>
        <v>257836.46599999999</v>
      </c>
      <c r="PD13" s="89">
        <f t="shared" si="226"/>
        <v>258010.72200000001</v>
      </c>
      <c r="PE13" s="89">
        <f t="shared" si="226"/>
        <v>258284.644</v>
      </c>
      <c r="PF13" s="89">
        <f t="shared" si="226"/>
        <v>258348.83900000001</v>
      </c>
      <c r="PG13" s="89">
        <f t="shared" si="226"/>
        <v>258402.77</v>
      </c>
      <c r="PH13" s="89">
        <f t="shared" si="226"/>
        <v>258448.03599999999</v>
      </c>
      <c r="PI13" s="89">
        <f t="shared" si="226"/>
        <v>258579.60500000001</v>
      </c>
      <c r="PJ13" s="89">
        <f t="shared" si="226"/>
        <v>258688.26199999999</v>
      </c>
      <c r="PK13" s="89">
        <f t="shared" si="226"/>
        <v>258839.00599999999</v>
      </c>
      <c r="PL13" s="89">
        <f t="shared" si="226"/>
        <v>259053.99600000001</v>
      </c>
      <c r="PM13" s="89">
        <f t="shared" si="226"/>
        <v>259124.014</v>
      </c>
      <c r="PN13" s="89">
        <f t="shared" si="226"/>
        <v>259243.84700000001</v>
      </c>
      <c r="PO13" s="89">
        <f t="shared" si="226"/>
        <v>259375.02</v>
      </c>
      <c r="PP13" s="89">
        <f t="shared" si="226"/>
        <v>259492.14499999999</v>
      </c>
      <c r="PQ13" s="89">
        <f t="shared" si="226"/>
        <v>259629.97399999999</v>
      </c>
      <c r="PR13" s="89">
        <f t="shared" si="226"/>
        <v>259753.60699999999</v>
      </c>
      <c r="PS13" s="89">
        <f t="shared" si="226"/>
        <v>259814.95800000001</v>
      </c>
      <c r="PT13" s="89">
        <f t="shared" si="226"/>
        <v>259856.467</v>
      </c>
      <c r="PU13" s="89">
        <f t="shared" si="226"/>
        <v>259970.326</v>
      </c>
      <c r="PV13" s="89">
        <f t="shared" si="226"/>
        <v>260107.12</v>
      </c>
      <c r="PW13" s="89">
        <f t="shared" si="226"/>
        <v>260170.97700000001</v>
      </c>
      <c r="PX13" s="89">
        <f t="shared" si="226"/>
        <v>260246.20800000001</v>
      </c>
      <c r="PY13" s="89">
        <f t="shared" si="226"/>
        <v>260379.60399999999</v>
      </c>
      <c r="PZ13" s="89">
        <f t="shared" si="226"/>
        <v>260450.66500000001</v>
      </c>
      <c r="QA13" s="89">
        <f t="shared" si="226"/>
        <v>260560.592</v>
      </c>
      <c r="QB13" s="127">
        <v>0</v>
      </c>
      <c r="QC13" s="89">
        <f>QA14</f>
        <v>260661.14799999999</v>
      </c>
      <c r="QD13" s="89">
        <f t="shared" ref="QD13:RG13" si="227">QC14</f>
        <v>260760.35399999999</v>
      </c>
      <c r="QE13" s="89">
        <f t="shared" si="227"/>
        <v>260818.04800000001</v>
      </c>
      <c r="QF13" s="89">
        <f t="shared" si="227"/>
        <v>260885.24799999999</v>
      </c>
      <c r="QG13" s="89">
        <f t="shared" si="227"/>
        <v>261012.79800000001</v>
      </c>
      <c r="QH13" s="89">
        <f t="shared" si="227"/>
        <v>261125.77799999999</v>
      </c>
      <c r="QI13" s="89">
        <f t="shared" si="227"/>
        <v>261243.978</v>
      </c>
      <c r="QJ13" s="89">
        <f t="shared" si="227"/>
        <v>261473.15</v>
      </c>
      <c r="QK13" s="89">
        <f t="shared" si="227"/>
        <v>261555.75</v>
      </c>
      <c r="QL13" s="89">
        <f t="shared" si="227"/>
        <v>261694.60699999999</v>
      </c>
      <c r="QM13" s="89">
        <f t="shared" si="227"/>
        <v>261803.014</v>
      </c>
      <c r="QN13" s="89">
        <f t="shared" si="227"/>
        <v>261924.014</v>
      </c>
      <c r="QO13" s="89">
        <f t="shared" si="227"/>
        <v>262088.71400000001</v>
      </c>
      <c r="QP13" s="89">
        <f t="shared" si="227"/>
        <v>262177.31400000001</v>
      </c>
      <c r="QQ13" s="89">
        <f t="shared" si="227"/>
        <v>262325.38900000002</v>
      </c>
      <c r="QR13" s="89">
        <f t="shared" si="227"/>
        <v>262456.28899999999</v>
      </c>
      <c r="QS13" s="89">
        <f t="shared" si="227"/>
        <v>262529.68900000001</v>
      </c>
      <c r="QT13" s="89">
        <f t="shared" si="227"/>
        <v>262688.16399999999</v>
      </c>
      <c r="QU13" s="89">
        <f t="shared" si="227"/>
        <v>262784.78100000002</v>
      </c>
      <c r="QV13" s="89">
        <f t="shared" si="227"/>
        <v>262942.78100000002</v>
      </c>
      <c r="QW13" s="89">
        <f t="shared" si="227"/>
        <v>263071.78100000002</v>
      </c>
      <c r="QX13" s="89">
        <f t="shared" si="227"/>
        <v>263206.38099999999</v>
      </c>
      <c r="QY13" s="89">
        <f t="shared" si="227"/>
        <v>263289.58100000001</v>
      </c>
      <c r="QZ13" s="89">
        <f t="shared" si="227"/>
        <v>263337.08100000001</v>
      </c>
      <c r="RA13" s="89">
        <f t="shared" si="227"/>
        <v>263419.10600000003</v>
      </c>
      <c r="RB13" s="89">
        <f t="shared" si="227"/>
        <v>263621.136</v>
      </c>
      <c r="RC13" s="89">
        <f t="shared" si="227"/>
        <v>263775.83600000001</v>
      </c>
      <c r="RD13" s="89">
        <f t="shared" si="227"/>
        <v>263874.71000000002</v>
      </c>
      <c r="RE13" s="89">
        <f t="shared" si="227"/>
        <v>264002.038</v>
      </c>
      <c r="RF13" s="89">
        <f t="shared" si="227"/>
        <v>264121.73800000001</v>
      </c>
      <c r="RG13" s="89">
        <f t="shared" si="227"/>
        <v>264215.70600000001</v>
      </c>
      <c r="RH13" s="127">
        <v>0</v>
      </c>
      <c r="RI13" s="89">
        <f>RG14</f>
        <v>264313.01899999997</v>
      </c>
      <c r="RJ13" s="89">
        <f t="shared" ref="RJ13:SL13" si="228">RI14</f>
        <v>264536.31300000002</v>
      </c>
      <c r="RK13" s="89">
        <f t="shared" si="228"/>
        <v>264628.51799999998</v>
      </c>
      <c r="RL13" s="89">
        <f t="shared" si="228"/>
        <v>264695.261</v>
      </c>
      <c r="RM13" s="89">
        <f t="shared" si="228"/>
        <v>264889.283</v>
      </c>
      <c r="RN13" s="89">
        <f t="shared" si="228"/>
        <v>264986.11800000002</v>
      </c>
      <c r="RO13" s="89">
        <f t="shared" si="228"/>
        <v>265094.065</v>
      </c>
      <c r="RP13" s="89">
        <f t="shared" si="228"/>
        <v>265177.66899999999</v>
      </c>
      <c r="RQ13" s="89">
        <f t="shared" si="228"/>
        <v>265328.18800000002</v>
      </c>
      <c r="RR13" s="89">
        <f t="shared" si="228"/>
        <v>265507.57900000003</v>
      </c>
      <c r="RS13" s="89">
        <f t="shared" si="228"/>
        <v>265606.20400000003</v>
      </c>
      <c r="RT13" s="89">
        <f t="shared" si="228"/>
        <v>265695.80200000003</v>
      </c>
      <c r="RU13" s="89">
        <f t="shared" si="228"/>
        <v>265797.62699999998</v>
      </c>
      <c r="RV13" s="89">
        <f t="shared" si="228"/>
        <v>265875.59499999997</v>
      </c>
      <c r="RW13" s="89">
        <f t="shared" si="228"/>
        <v>265945.64500000002</v>
      </c>
      <c r="RX13" s="89">
        <f t="shared" si="228"/>
        <v>266058.29800000001</v>
      </c>
      <c r="RY13" s="89">
        <f t="shared" si="228"/>
        <v>266237.245</v>
      </c>
      <c r="RZ13" s="89">
        <f t="shared" si="228"/>
        <v>266302.19099999999</v>
      </c>
      <c r="SA13" s="89">
        <f t="shared" si="228"/>
        <v>266397.353</v>
      </c>
      <c r="SB13" s="89">
        <f t="shared" si="228"/>
        <v>266577.24</v>
      </c>
      <c r="SC13" s="89">
        <f t="shared" si="228"/>
        <v>266687.45699999999</v>
      </c>
      <c r="SD13" s="89">
        <f t="shared" si="228"/>
        <v>266866.20500000002</v>
      </c>
      <c r="SE13" s="89">
        <f t="shared" si="228"/>
        <v>266980.408</v>
      </c>
      <c r="SF13" s="89">
        <f t="shared" si="228"/>
        <v>267157.73100000003</v>
      </c>
      <c r="SG13" s="89">
        <f t="shared" si="228"/>
        <v>267309.58500000002</v>
      </c>
      <c r="SH13" s="89">
        <f t="shared" si="228"/>
        <v>267379.723</v>
      </c>
      <c r="SI13" s="89">
        <f t="shared" si="228"/>
        <v>267527.88799999998</v>
      </c>
      <c r="SJ13" s="89">
        <f t="shared" si="228"/>
        <v>267678.83</v>
      </c>
      <c r="SK13" s="89">
        <f t="shared" si="228"/>
        <v>267777.76500000001</v>
      </c>
      <c r="SL13" s="89">
        <f t="shared" si="228"/>
        <v>267894.005</v>
      </c>
      <c r="SM13" s="127">
        <v>0</v>
      </c>
      <c r="SN13" s="89">
        <f>SL14</f>
        <v>268142.96500000003</v>
      </c>
      <c r="SO13" s="89">
        <f t="shared" ref="SO13:TR13" si="229">SN14</f>
        <v>268263.40500000003</v>
      </c>
      <c r="SP13" s="89">
        <f t="shared" si="229"/>
        <v>268350.51199999999</v>
      </c>
      <c r="SQ13" s="89">
        <f t="shared" si="229"/>
        <v>268476.27</v>
      </c>
      <c r="SR13" s="89">
        <f t="shared" si="229"/>
        <v>268613.88799999998</v>
      </c>
      <c r="SS13" s="89">
        <f t="shared" si="229"/>
        <v>268718.58199999999</v>
      </c>
      <c r="ST13" s="89">
        <f t="shared" si="229"/>
        <v>268823.07299999997</v>
      </c>
      <c r="SU13" s="89">
        <f t="shared" si="229"/>
        <v>268986.25400000002</v>
      </c>
      <c r="SV13" s="89">
        <f t="shared" si="229"/>
        <v>269089.91999999998</v>
      </c>
      <c r="SW13" s="89">
        <f t="shared" si="229"/>
        <v>269224.614</v>
      </c>
      <c r="SX13" s="89">
        <f t="shared" si="229"/>
        <v>269416.04300000001</v>
      </c>
      <c r="SY13" s="89">
        <f t="shared" si="229"/>
        <v>269632.80900000001</v>
      </c>
      <c r="SZ13" s="89">
        <f t="shared" si="229"/>
        <v>269773.29300000001</v>
      </c>
      <c r="TA13" s="89">
        <f t="shared" si="229"/>
        <v>269970.01</v>
      </c>
      <c r="TB13" s="89">
        <f t="shared" si="229"/>
        <v>270115.71500000003</v>
      </c>
      <c r="TC13" s="89">
        <f t="shared" si="229"/>
        <v>270198.935</v>
      </c>
      <c r="TD13" s="89">
        <f t="shared" si="229"/>
        <v>270324.29100000003</v>
      </c>
      <c r="TE13" s="89">
        <f t="shared" si="229"/>
        <v>270424.66499999998</v>
      </c>
      <c r="TF13" s="89">
        <f t="shared" si="229"/>
        <v>270553.59399999998</v>
      </c>
      <c r="TG13" s="89">
        <f t="shared" si="229"/>
        <v>270702.299</v>
      </c>
      <c r="TH13" s="89">
        <f t="shared" si="229"/>
        <v>270807.60600000003</v>
      </c>
      <c r="TI13" s="89">
        <f t="shared" si="229"/>
        <v>270963.81599999999</v>
      </c>
      <c r="TJ13" s="89">
        <f t="shared" si="229"/>
        <v>271114.85600000003</v>
      </c>
      <c r="TK13" s="89">
        <f t="shared" si="229"/>
        <v>271245.51899999997</v>
      </c>
      <c r="TL13" s="89">
        <f t="shared" si="229"/>
        <v>271439.58199999999</v>
      </c>
      <c r="TM13" s="89">
        <f t="shared" si="229"/>
        <v>271463.30099999998</v>
      </c>
      <c r="TN13" s="89">
        <f t="shared" si="229"/>
        <v>271525.25799999997</v>
      </c>
      <c r="TO13" s="89">
        <f t="shared" si="229"/>
        <v>271621.05800000002</v>
      </c>
      <c r="TP13" s="89">
        <f t="shared" si="229"/>
        <v>271730.86599999998</v>
      </c>
      <c r="TQ13" s="89">
        <f t="shared" si="229"/>
        <v>271841.08399999997</v>
      </c>
      <c r="TR13" s="89">
        <f t="shared" si="229"/>
        <v>271930.23999999999</v>
      </c>
      <c r="TS13" s="127">
        <v>0</v>
      </c>
      <c r="TT13" s="89">
        <f>TR14</f>
        <v>272052.72700000001</v>
      </c>
      <c r="TU13" s="89">
        <f t="shared" ref="TU13:UX13" si="230">TT14</f>
        <v>272086.05699999997</v>
      </c>
      <c r="TV13" s="89">
        <f t="shared" si="230"/>
        <v>272175.21299999999</v>
      </c>
      <c r="TW13" s="89">
        <f t="shared" si="230"/>
        <v>272269.68</v>
      </c>
      <c r="TX13" s="89">
        <f t="shared" si="230"/>
        <v>272348.70699999999</v>
      </c>
      <c r="TY13" s="89">
        <f t="shared" si="230"/>
        <v>272443.78999999998</v>
      </c>
      <c r="TZ13" s="89">
        <f t="shared" si="230"/>
        <v>272570.88299999997</v>
      </c>
      <c r="UA13" s="89">
        <f t="shared" si="230"/>
        <v>272738.973</v>
      </c>
      <c r="UB13" s="89">
        <f t="shared" si="230"/>
        <v>272835.48700000002</v>
      </c>
      <c r="UC13" s="89">
        <f t="shared" si="230"/>
        <v>272942.13</v>
      </c>
      <c r="UD13" s="89">
        <f t="shared" si="230"/>
        <v>273098.84000000003</v>
      </c>
      <c r="UE13" s="89">
        <f t="shared" si="230"/>
        <v>273254.234</v>
      </c>
      <c r="UF13" s="89">
        <f t="shared" si="230"/>
        <v>273381.63400000002</v>
      </c>
      <c r="UG13" s="89">
        <f t="shared" si="230"/>
        <v>273468.95</v>
      </c>
      <c r="UH13" s="89">
        <f t="shared" si="230"/>
        <v>273602.28100000002</v>
      </c>
      <c r="UI13" s="89">
        <f t="shared" si="230"/>
        <v>273708.408</v>
      </c>
      <c r="UJ13" s="89">
        <f t="shared" si="230"/>
        <v>273788.76899999997</v>
      </c>
      <c r="UK13" s="89">
        <f t="shared" si="230"/>
        <v>273867.08399999997</v>
      </c>
      <c r="UL13" s="89">
        <f t="shared" si="230"/>
        <v>274004.08</v>
      </c>
      <c r="UM13" s="89">
        <f t="shared" si="230"/>
        <v>274052.95699999999</v>
      </c>
      <c r="UN13" s="89">
        <f t="shared" si="230"/>
        <v>274164.60700000002</v>
      </c>
      <c r="UO13" s="89">
        <f t="shared" si="230"/>
        <v>274220.01799999998</v>
      </c>
      <c r="UP13" s="89">
        <f t="shared" si="230"/>
        <v>274374.81300000002</v>
      </c>
      <c r="UQ13" s="89">
        <f t="shared" si="230"/>
        <v>274540.27799999999</v>
      </c>
      <c r="UR13" s="89">
        <f t="shared" si="230"/>
        <v>274693.64600000001</v>
      </c>
      <c r="US13" s="89">
        <f t="shared" si="230"/>
        <v>274815.92800000001</v>
      </c>
      <c r="UT13" s="89">
        <f t="shared" si="230"/>
        <v>274943.11700000003</v>
      </c>
      <c r="UU13" s="89">
        <f t="shared" si="230"/>
        <v>275069.68</v>
      </c>
      <c r="UV13" s="89">
        <f t="shared" si="230"/>
        <v>275151.06199999998</v>
      </c>
      <c r="UW13" s="89">
        <f t="shared" si="230"/>
        <v>275227.33899999998</v>
      </c>
      <c r="UX13" s="89">
        <f t="shared" si="230"/>
        <v>275377.32900000003</v>
      </c>
      <c r="UY13" s="127">
        <v>0</v>
      </c>
      <c r="UZ13" s="89">
        <f>UX14</f>
        <v>275544.799</v>
      </c>
      <c r="VA13" s="89">
        <f t="shared" ref="VA13:WA13" si="231">UZ14</f>
        <v>275735.26</v>
      </c>
      <c r="VB13" s="89">
        <f t="shared" si="231"/>
        <v>275855.59899999999</v>
      </c>
      <c r="VC13" s="89">
        <f t="shared" si="231"/>
        <v>275936.78100000002</v>
      </c>
      <c r="VD13" s="89">
        <f t="shared" si="231"/>
        <v>276087.28000000003</v>
      </c>
      <c r="VE13" s="89">
        <f t="shared" si="231"/>
        <v>276210.17</v>
      </c>
      <c r="VF13" s="89">
        <f t="shared" si="231"/>
        <v>276363.114</v>
      </c>
      <c r="VG13" s="89">
        <f t="shared" si="231"/>
        <v>276604.21000000002</v>
      </c>
      <c r="VH13" s="89">
        <f t="shared" si="231"/>
        <v>276693.39199999999</v>
      </c>
      <c r="VI13" s="89">
        <f t="shared" si="231"/>
        <v>276779.62800000003</v>
      </c>
      <c r="VJ13" s="89">
        <f t="shared" si="231"/>
        <v>276891.96899999998</v>
      </c>
      <c r="VK13" s="89">
        <f t="shared" si="231"/>
        <v>276959.929</v>
      </c>
      <c r="VL13" s="89">
        <f t="shared" si="231"/>
        <v>277079.92800000001</v>
      </c>
      <c r="VM13" s="89">
        <f t="shared" si="231"/>
        <v>277180.94300000003</v>
      </c>
      <c r="VN13" s="89">
        <f t="shared" si="231"/>
        <v>277441.34600000002</v>
      </c>
      <c r="VO13" s="89">
        <f t="shared" si="231"/>
        <v>277498.07900000003</v>
      </c>
      <c r="VP13" s="89">
        <f t="shared" si="231"/>
        <v>277721.26299999998</v>
      </c>
      <c r="VQ13" s="89">
        <f t="shared" si="231"/>
        <v>277844.391</v>
      </c>
      <c r="VR13" s="89">
        <f t="shared" si="231"/>
        <v>277916.22399999999</v>
      </c>
      <c r="VS13" s="89">
        <f t="shared" si="231"/>
        <v>278017.42599999998</v>
      </c>
      <c r="VT13" s="89">
        <f t="shared" si="231"/>
        <v>278160.09700000001</v>
      </c>
      <c r="VU13" s="89">
        <f t="shared" si="231"/>
        <v>278257.64399999997</v>
      </c>
      <c r="VV13" s="89">
        <f t="shared" si="231"/>
        <v>278386.00099999999</v>
      </c>
      <c r="VW13" s="89">
        <f t="shared" si="231"/>
        <v>278545.77500000002</v>
      </c>
      <c r="VX13" s="89">
        <f t="shared" si="231"/>
        <v>278657.10600000003</v>
      </c>
      <c r="VY13" s="89">
        <f t="shared" si="231"/>
        <v>278766.89500000002</v>
      </c>
      <c r="VZ13" s="89">
        <f t="shared" si="231"/>
        <v>278855.05200000003</v>
      </c>
      <c r="WA13" s="89">
        <f t="shared" si="231"/>
        <v>278993.83100000001</v>
      </c>
      <c r="WB13" s="127">
        <v>0</v>
      </c>
      <c r="WC13" s="89">
        <f>WA14</f>
        <v>279137.71399999998</v>
      </c>
      <c r="WD13" s="89">
        <f t="shared" ref="WD13:XG13" si="232">WC14</f>
        <v>279269.15100000001</v>
      </c>
      <c r="WE13" s="89">
        <f t="shared" si="232"/>
        <v>279340.17200000002</v>
      </c>
      <c r="WF13" s="89">
        <f t="shared" si="232"/>
        <v>279405.68</v>
      </c>
      <c r="WG13" s="89">
        <f t="shared" si="232"/>
        <v>279508.3</v>
      </c>
      <c r="WH13" s="89">
        <f t="shared" si="232"/>
        <v>279569.93</v>
      </c>
      <c r="WI13" s="89">
        <f t="shared" si="232"/>
        <v>279678.10200000001</v>
      </c>
      <c r="WJ13" s="89">
        <f t="shared" si="232"/>
        <v>279777.90999999997</v>
      </c>
      <c r="WK13" s="89">
        <f t="shared" si="232"/>
        <v>279908.69</v>
      </c>
      <c r="WL13" s="89">
        <f t="shared" si="232"/>
        <v>280029.30599999998</v>
      </c>
      <c r="WM13" s="89">
        <f t="shared" si="232"/>
        <v>280171.12800000003</v>
      </c>
      <c r="WN13" s="89">
        <f t="shared" si="232"/>
        <v>280359.62</v>
      </c>
      <c r="WO13" s="89">
        <f t="shared" si="232"/>
        <v>280445.94500000001</v>
      </c>
      <c r="WP13" s="89">
        <f t="shared" si="232"/>
        <v>280551.89</v>
      </c>
      <c r="WQ13" s="89">
        <f t="shared" si="232"/>
        <v>280682.09100000001</v>
      </c>
      <c r="WR13" s="89">
        <f t="shared" si="232"/>
        <v>280878.85800000001</v>
      </c>
      <c r="WS13" s="89">
        <f t="shared" si="232"/>
        <v>280930.89600000001</v>
      </c>
      <c r="WT13" s="89">
        <f t="shared" si="232"/>
        <v>281018.03899999999</v>
      </c>
      <c r="WU13" s="89">
        <f t="shared" si="232"/>
        <v>281138.65700000001</v>
      </c>
      <c r="WV13" s="89">
        <f t="shared" si="232"/>
        <v>281309.96899999998</v>
      </c>
      <c r="WW13" s="89">
        <f t="shared" si="232"/>
        <v>281394.05200000003</v>
      </c>
      <c r="WX13" s="89">
        <f t="shared" si="232"/>
        <v>281487.52799999999</v>
      </c>
      <c r="WY13" s="89">
        <f t="shared" si="232"/>
        <v>281668.19199999998</v>
      </c>
      <c r="WZ13" s="89">
        <f t="shared" si="232"/>
        <v>281800.65700000001</v>
      </c>
      <c r="XA13" s="89">
        <f t="shared" si="232"/>
        <v>281933.71899999998</v>
      </c>
      <c r="XB13" s="89">
        <f t="shared" si="232"/>
        <v>282029.11900000001</v>
      </c>
      <c r="XC13" s="89">
        <f t="shared" si="232"/>
        <v>282128.86300000001</v>
      </c>
      <c r="XD13" s="89">
        <f t="shared" si="232"/>
        <v>282231.86700000003</v>
      </c>
      <c r="XE13" s="89">
        <f t="shared" si="232"/>
        <v>282313.49699999997</v>
      </c>
      <c r="XF13" s="89">
        <f t="shared" si="232"/>
        <v>282464.93800000002</v>
      </c>
      <c r="XG13" s="89">
        <f t="shared" si="232"/>
        <v>282572.07799999998</v>
      </c>
      <c r="XH13" s="127">
        <v>0</v>
      </c>
      <c r="XI13" s="89">
        <f>XG14</f>
        <v>282637.99699999997</v>
      </c>
      <c r="XJ13" s="89">
        <f t="shared" ref="XJ13:YL13" si="233">XI14</f>
        <v>282701.66899999999</v>
      </c>
      <c r="XK13" s="89">
        <f t="shared" si="233"/>
        <v>282807.185</v>
      </c>
      <c r="XL13" s="89">
        <f t="shared" si="233"/>
        <v>282956.46899999998</v>
      </c>
      <c r="XM13" s="89">
        <f t="shared" si="233"/>
        <v>283049.90000000002</v>
      </c>
      <c r="XN13" s="89">
        <f t="shared" si="233"/>
        <v>283135.86</v>
      </c>
      <c r="XO13" s="89">
        <f t="shared" si="233"/>
        <v>283199.61300000001</v>
      </c>
      <c r="XP13" s="89">
        <f t="shared" si="233"/>
        <v>283269.79599999997</v>
      </c>
      <c r="XQ13" s="89">
        <f t="shared" si="233"/>
        <v>283371.94099999999</v>
      </c>
      <c r="XR13" s="89">
        <f t="shared" si="233"/>
        <v>283429.86099999998</v>
      </c>
      <c r="XS13" s="89">
        <f t="shared" si="233"/>
        <v>283579.288</v>
      </c>
      <c r="XT13" s="89">
        <f t="shared" si="233"/>
        <v>283694.315</v>
      </c>
      <c r="XU13" s="89">
        <f t="shared" si="233"/>
        <v>283817.94900000002</v>
      </c>
      <c r="XV13" s="89">
        <f t="shared" si="233"/>
        <v>283901.228</v>
      </c>
      <c r="XW13" s="89">
        <f t="shared" si="233"/>
        <v>284045.92700000003</v>
      </c>
      <c r="XX13" s="89">
        <f t="shared" si="233"/>
        <v>284181.00400000002</v>
      </c>
      <c r="XY13" s="89">
        <f t="shared" si="233"/>
        <v>284304.413</v>
      </c>
      <c r="XZ13" s="89">
        <f t="shared" si="233"/>
        <v>284462.78000000003</v>
      </c>
      <c r="YA13" s="89">
        <f t="shared" si="233"/>
        <v>284539.13400000002</v>
      </c>
      <c r="YB13" s="89">
        <f t="shared" si="233"/>
        <v>284668.109</v>
      </c>
      <c r="YC13" s="89">
        <f t="shared" si="233"/>
        <v>284731.538</v>
      </c>
      <c r="YD13" s="89">
        <f t="shared" si="233"/>
        <v>284860.69699999999</v>
      </c>
      <c r="YE13" s="89">
        <f t="shared" si="233"/>
        <v>285031.99300000002</v>
      </c>
      <c r="YF13" s="89">
        <f t="shared" si="233"/>
        <v>285130.63900000002</v>
      </c>
      <c r="YG13" s="89">
        <f t="shared" si="233"/>
        <v>285190.43199999997</v>
      </c>
      <c r="YH13" s="89">
        <f t="shared" si="233"/>
        <v>285307.18699999998</v>
      </c>
      <c r="YI13" s="89">
        <f t="shared" si="233"/>
        <v>285466.83799999999</v>
      </c>
      <c r="YJ13" s="89">
        <f t="shared" si="233"/>
        <v>285559.95500000002</v>
      </c>
      <c r="YK13" s="89">
        <f t="shared" si="233"/>
        <v>285735.29399999999</v>
      </c>
      <c r="YL13" s="89">
        <f t="shared" si="233"/>
        <v>285882.005</v>
      </c>
      <c r="YM13" s="127">
        <v>0</v>
      </c>
      <c r="YN13" s="89">
        <f>YL14</f>
        <v>286047.84000000003</v>
      </c>
      <c r="YO13" s="89">
        <f t="shared" ref="YO13:ZR13" si="234">YN14</f>
        <v>286113.277</v>
      </c>
      <c r="YP13" s="89">
        <f t="shared" si="234"/>
        <v>286242.95799999998</v>
      </c>
      <c r="YQ13" s="89">
        <f t="shared" si="234"/>
        <v>286451.027</v>
      </c>
      <c r="YR13" s="89">
        <f t="shared" si="234"/>
        <v>286637.27100000001</v>
      </c>
      <c r="YS13" s="89">
        <f t="shared" si="234"/>
        <v>286825.14299999998</v>
      </c>
      <c r="YT13" s="89">
        <f t="shared" si="234"/>
        <v>286983.20199999999</v>
      </c>
      <c r="YU13" s="89">
        <f t="shared" si="234"/>
        <v>287090.06199999998</v>
      </c>
      <c r="YV13" s="89">
        <f t="shared" si="234"/>
        <v>287090.06199999998</v>
      </c>
      <c r="YW13" s="89">
        <f t="shared" si="234"/>
        <v>287174.49800000002</v>
      </c>
      <c r="YX13" s="89">
        <f t="shared" si="234"/>
        <v>287317.31199999998</v>
      </c>
      <c r="YY13" s="89">
        <f t="shared" si="234"/>
        <v>287466.39399999997</v>
      </c>
      <c r="YZ13" s="89">
        <f t="shared" si="234"/>
        <v>287560.32500000001</v>
      </c>
      <c r="ZA13" s="89">
        <f t="shared" si="234"/>
        <v>287648.99699999997</v>
      </c>
      <c r="ZB13" s="89">
        <f t="shared" si="234"/>
        <v>287772.01199999999</v>
      </c>
      <c r="ZC13" s="89">
        <f t="shared" si="234"/>
        <v>287926.73100000003</v>
      </c>
      <c r="ZD13" s="89">
        <f t="shared" si="234"/>
        <v>288029.63299999997</v>
      </c>
      <c r="ZE13" s="89">
        <f t="shared" si="234"/>
        <v>288212.46600000001</v>
      </c>
      <c r="ZF13" s="89">
        <f t="shared" si="234"/>
        <v>288342.63799999998</v>
      </c>
      <c r="ZG13" s="89">
        <f t="shared" si="234"/>
        <v>288507.27</v>
      </c>
      <c r="ZH13" s="89">
        <f t="shared" si="234"/>
        <v>288657.35399999999</v>
      </c>
      <c r="ZI13" s="89">
        <f t="shared" si="234"/>
        <v>288828.19400000002</v>
      </c>
      <c r="ZJ13" s="89">
        <f t="shared" si="234"/>
        <v>288954.842</v>
      </c>
      <c r="ZK13" s="89">
        <f t="shared" si="234"/>
        <v>289090.28200000001</v>
      </c>
      <c r="ZL13" s="89">
        <f t="shared" si="234"/>
        <v>289304.60800000001</v>
      </c>
      <c r="ZM13" s="89">
        <f t="shared" si="234"/>
        <v>289428.23</v>
      </c>
      <c r="ZN13" s="89">
        <f t="shared" si="234"/>
        <v>289584.17099999997</v>
      </c>
      <c r="ZO13" s="89">
        <f t="shared" si="234"/>
        <v>289734.272</v>
      </c>
      <c r="ZP13" s="89">
        <f t="shared" si="234"/>
        <v>289866.73499999999</v>
      </c>
      <c r="ZQ13" s="89">
        <f t="shared" si="234"/>
        <v>290029.46000000002</v>
      </c>
      <c r="ZR13" s="89">
        <f t="shared" si="234"/>
        <v>290175.451</v>
      </c>
      <c r="ZS13" s="127">
        <v>0</v>
      </c>
      <c r="ZT13" s="89">
        <f>ZR14</f>
        <v>290344.19199999998</v>
      </c>
      <c r="ZU13" s="89">
        <f t="shared" ref="ZU13:AAW13" si="235">ZT14</f>
        <v>290491.52799999999</v>
      </c>
      <c r="ZV13" s="89">
        <f t="shared" si="235"/>
        <v>290600.761</v>
      </c>
      <c r="ZW13" s="89">
        <f t="shared" si="235"/>
        <v>290738.23800000001</v>
      </c>
      <c r="ZX13" s="89">
        <f t="shared" si="235"/>
        <v>290880.07799999998</v>
      </c>
      <c r="ZY13" s="89">
        <f t="shared" si="235"/>
        <v>291056.63900000002</v>
      </c>
      <c r="ZZ13" s="89">
        <f t="shared" si="235"/>
        <v>291185.25099999999</v>
      </c>
      <c r="AAA13" s="89">
        <f t="shared" si="235"/>
        <v>291350.68199999997</v>
      </c>
      <c r="AAB13" s="89">
        <f t="shared" si="235"/>
        <v>291540.65500000003</v>
      </c>
      <c r="AAC13" s="89">
        <f t="shared" si="235"/>
        <v>291671.51899999997</v>
      </c>
      <c r="AAD13" s="89">
        <f t="shared" si="235"/>
        <v>291807.79399999999</v>
      </c>
      <c r="AAE13" s="89">
        <f t="shared" si="235"/>
        <v>291907.50599999999</v>
      </c>
      <c r="AAF13" s="89">
        <f t="shared" si="235"/>
        <v>292027.946</v>
      </c>
      <c r="AAG13" s="89">
        <f t="shared" si="235"/>
        <v>292225.54200000002</v>
      </c>
      <c r="AAH13" s="89">
        <f t="shared" si="235"/>
        <v>292439.20600000001</v>
      </c>
      <c r="AAI13" s="89">
        <f t="shared" si="235"/>
        <v>292546.62800000003</v>
      </c>
      <c r="AAJ13" s="89">
        <f t="shared" si="235"/>
        <v>292693.41200000001</v>
      </c>
      <c r="AAK13" s="89">
        <f t="shared" si="235"/>
        <v>292826.86</v>
      </c>
      <c r="AAL13" s="89">
        <f t="shared" si="235"/>
        <v>292956.92300000001</v>
      </c>
      <c r="AAM13" s="89">
        <f t="shared" si="235"/>
        <v>293091.239</v>
      </c>
      <c r="AAN13" s="89">
        <f t="shared" si="235"/>
        <v>293272.85200000001</v>
      </c>
      <c r="AAO13" s="89">
        <f t="shared" si="235"/>
        <v>293483.255</v>
      </c>
      <c r="AAP13" s="89">
        <f t="shared" si="235"/>
        <v>293640.73700000002</v>
      </c>
      <c r="AAQ13" s="89">
        <f t="shared" si="235"/>
        <v>293809.07500000001</v>
      </c>
      <c r="AAR13" s="89">
        <f t="shared" si="235"/>
        <v>293951.75699999998</v>
      </c>
      <c r="AAS13" s="89">
        <f t="shared" si="235"/>
        <v>294082.37</v>
      </c>
      <c r="AAT13" s="89">
        <f t="shared" si="235"/>
        <v>294195.39799999999</v>
      </c>
      <c r="AAU13" s="89">
        <f t="shared" si="235"/>
        <v>294447.15700000001</v>
      </c>
      <c r="AAV13" s="89">
        <f t="shared" si="235"/>
        <v>294676.18300000002</v>
      </c>
      <c r="AAW13" s="89">
        <f t="shared" si="235"/>
        <v>294762.55200000003</v>
      </c>
      <c r="AAX13" s="127">
        <v>0</v>
      </c>
      <c r="AAY13" s="89">
        <f>AAW14</f>
        <v>294904.03700000001</v>
      </c>
      <c r="AAZ13" s="89">
        <f t="shared" ref="AAZ13:ACC13" si="236">AAY14</f>
        <v>295064.245</v>
      </c>
      <c r="ABA13" s="89">
        <f t="shared" si="236"/>
        <v>295212.73800000001</v>
      </c>
      <c r="ABB13" s="89">
        <f t="shared" si="236"/>
        <v>295348.33500000002</v>
      </c>
      <c r="ABC13" s="89">
        <f t="shared" si="236"/>
        <v>295510.71299999999</v>
      </c>
      <c r="ABD13" s="89">
        <f t="shared" si="236"/>
        <v>295763.45299999998</v>
      </c>
      <c r="ABE13" s="89">
        <f t="shared" si="236"/>
        <v>295856.43800000002</v>
      </c>
      <c r="ABF13" s="89">
        <f t="shared" si="236"/>
        <v>295950.63099999999</v>
      </c>
      <c r="ABG13" s="89">
        <f t="shared" si="236"/>
        <v>296104.28899999999</v>
      </c>
      <c r="ABH13" s="89">
        <f t="shared" si="236"/>
        <v>296225.533</v>
      </c>
      <c r="ABI13" s="89">
        <f t="shared" si="236"/>
        <v>296369.42</v>
      </c>
      <c r="ABJ13" s="89">
        <f t="shared" si="236"/>
        <v>296522.14299999998</v>
      </c>
      <c r="ABK13" s="89">
        <f t="shared" si="236"/>
        <v>296593.67</v>
      </c>
      <c r="ABL13" s="89">
        <f t="shared" si="236"/>
        <v>296739.15700000001</v>
      </c>
      <c r="ABM13" s="89">
        <f t="shared" si="236"/>
        <v>296856.39500000002</v>
      </c>
      <c r="ABN13" s="89">
        <f t="shared" si="236"/>
        <v>297037.54599999997</v>
      </c>
      <c r="ABO13" s="89">
        <f t="shared" si="236"/>
        <v>297125.12099999998</v>
      </c>
      <c r="ABP13" s="89">
        <f t="shared" si="236"/>
        <v>297299.647</v>
      </c>
      <c r="ABQ13" s="89">
        <f t="shared" si="236"/>
        <v>297468.788</v>
      </c>
      <c r="ABR13" s="89">
        <f t="shared" si="236"/>
        <v>297584.42099999997</v>
      </c>
      <c r="ABS13" s="89">
        <f t="shared" si="236"/>
        <v>297686.02100000001</v>
      </c>
      <c r="ABT13" s="89">
        <f t="shared" si="236"/>
        <v>297772.29300000001</v>
      </c>
      <c r="ABU13" s="89">
        <f t="shared" si="236"/>
        <v>297885.51899999997</v>
      </c>
      <c r="ABV13" s="89">
        <f t="shared" si="236"/>
        <v>298017.77500000002</v>
      </c>
      <c r="ABW13" s="89">
        <f t="shared" si="236"/>
        <v>298140.81900000002</v>
      </c>
      <c r="ABX13" s="89">
        <f t="shared" si="236"/>
        <v>298411.17200000002</v>
      </c>
      <c r="ABY13" s="89">
        <f t="shared" si="236"/>
        <v>298533.43099999998</v>
      </c>
      <c r="ABZ13" s="89">
        <f t="shared" si="236"/>
        <v>298633.83</v>
      </c>
      <c r="ACA13" s="89">
        <f t="shared" si="236"/>
        <v>298791.88099999999</v>
      </c>
      <c r="ACB13" s="89">
        <f t="shared" si="236"/>
        <v>298903.77899999998</v>
      </c>
      <c r="ACC13" s="89">
        <f t="shared" si="236"/>
        <v>298996.16200000001</v>
      </c>
      <c r="ACD13" s="127">
        <v>0</v>
      </c>
      <c r="ACE13" s="89">
        <f>ACC14</f>
        <v>299179.93400000001</v>
      </c>
      <c r="ACF13" s="89">
        <f t="shared" ref="ACF13:ADI13" si="237">ACE14</f>
        <v>299323.82400000002</v>
      </c>
      <c r="ACG13" s="89">
        <f t="shared" si="237"/>
        <v>299492.97200000001</v>
      </c>
      <c r="ACH13" s="89">
        <f t="shared" si="237"/>
        <v>299684.36099999998</v>
      </c>
      <c r="ACI13" s="89">
        <f t="shared" si="237"/>
        <v>299838.67300000001</v>
      </c>
      <c r="ACJ13" s="89">
        <f t="shared" si="237"/>
        <v>300029.22200000001</v>
      </c>
      <c r="ACK13" s="89">
        <f t="shared" si="237"/>
        <v>300206.00799999997</v>
      </c>
      <c r="ACL13" s="89">
        <f t="shared" si="237"/>
        <v>300377.34600000002</v>
      </c>
      <c r="ACM13" s="89">
        <f t="shared" si="237"/>
        <v>300547.29399999999</v>
      </c>
      <c r="ACN13" s="89">
        <f t="shared" si="237"/>
        <v>300714.348</v>
      </c>
      <c r="ACO13" s="89">
        <f t="shared" si="237"/>
        <v>300794.62699999998</v>
      </c>
      <c r="ACP13" s="89">
        <f t="shared" si="237"/>
        <v>301019.57900000003</v>
      </c>
      <c r="ACQ13" s="89">
        <f t="shared" si="237"/>
        <v>301138.54599999997</v>
      </c>
      <c r="ACR13" s="89">
        <f t="shared" si="237"/>
        <v>301234.02399999998</v>
      </c>
      <c r="ACS13" s="89">
        <f t="shared" si="237"/>
        <v>301345.49400000001</v>
      </c>
      <c r="ACT13" s="89">
        <f t="shared" si="237"/>
        <v>301442.66800000001</v>
      </c>
      <c r="ACU13" s="89">
        <f t="shared" si="237"/>
        <v>301561.80499999999</v>
      </c>
      <c r="ACV13" s="89">
        <f t="shared" si="237"/>
        <v>301757.63400000002</v>
      </c>
      <c r="ACW13" s="89">
        <f t="shared" si="237"/>
        <v>301888.20500000002</v>
      </c>
      <c r="ACX13" s="89">
        <f t="shared" si="237"/>
        <v>302030.679</v>
      </c>
      <c r="ACY13" s="89">
        <f t="shared" si="237"/>
        <v>302130.53100000002</v>
      </c>
      <c r="ACZ13" s="89">
        <f t="shared" si="237"/>
        <v>302236.31400000001</v>
      </c>
      <c r="ADA13" s="89">
        <f t="shared" si="237"/>
        <v>302372.43099999998</v>
      </c>
      <c r="ADB13" s="89">
        <f t="shared" si="237"/>
        <v>302475.31099999999</v>
      </c>
      <c r="ADC13" s="89">
        <f t="shared" si="237"/>
        <v>302600.22700000001</v>
      </c>
      <c r="ADD13" s="89">
        <f t="shared" si="237"/>
        <v>302649.63099999999</v>
      </c>
      <c r="ADE13" s="89">
        <f t="shared" si="237"/>
        <v>302772.36800000002</v>
      </c>
      <c r="ADF13" s="89">
        <f t="shared" si="237"/>
        <v>302928.99200000003</v>
      </c>
      <c r="ADG13" s="89">
        <f t="shared" si="237"/>
        <v>303026.15500000003</v>
      </c>
      <c r="ADH13" s="89">
        <f t="shared" si="237"/>
        <v>303254.46500000003</v>
      </c>
      <c r="ADI13" s="89">
        <f t="shared" si="237"/>
        <v>303384.68800000002</v>
      </c>
      <c r="ADJ13" s="127">
        <v>0</v>
      </c>
      <c r="ADK13" s="89">
        <f>ADI14</f>
        <v>303469.84700000001</v>
      </c>
      <c r="ADL13" s="89">
        <f t="shared" ref="ADL13:AEN13" si="238">ADK14</f>
        <v>303585.842</v>
      </c>
      <c r="ADM13" s="89">
        <f t="shared" si="238"/>
        <v>303695.60200000001</v>
      </c>
      <c r="ADN13" s="89">
        <f t="shared" si="238"/>
        <v>303780.65299999999</v>
      </c>
      <c r="ADO13" s="89">
        <f t="shared" si="238"/>
        <v>303915.06099999999</v>
      </c>
      <c r="ADP13" s="89">
        <f t="shared" si="238"/>
        <v>304061.011</v>
      </c>
      <c r="ADQ13" s="89">
        <f t="shared" si="238"/>
        <v>304206.837</v>
      </c>
      <c r="ADR13" s="89">
        <f t="shared" si="238"/>
        <v>304320.58899999998</v>
      </c>
      <c r="ADS13" s="89">
        <f t="shared" si="238"/>
        <v>304456.951</v>
      </c>
      <c r="ADT13" s="89">
        <f t="shared" si="238"/>
        <v>304633.85800000001</v>
      </c>
      <c r="ADU13" s="89">
        <f t="shared" si="238"/>
        <v>304757.359</v>
      </c>
      <c r="ADV13" s="89">
        <f t="shared" si="238"/>
        <v>304904.18400000001</v>
      </c>
      <c r="ADW13" s="89">
        <f t="shared" si="238"/>
        <v>305007.913</v>
      </c>
      <c r="ADX13" s="89">
        <f t="shared" si="238"/>
        <v>305160.41499999998</v>
      </c>
      <c r="ADY13" s="89">
        <f t="shared" si="238"/>
        <v>305215.09899999999</v>
      </c>
      <c r="ADZ13" s="89">
        <f t="shared" si="238"/>
        <v>305358.44199999998</v>
      </c>
      <c r="AEA13" s="89">
        <f t="shared" si="238"/>
        <v>305507.571</v>
      </c>
      <c r="AEB13" s="89">
        <f t="shared" si="238"/>
        <v>305553.68900000001</v>
      </c>
      <c r="AEC13" s="89">
        <f t="shared" si="238"/>
        <v>305648.06699999998</v>
      </c>
      <c r="AED13" s="89">
        <f t="shared" si="238"/>
        <v>305704.94099999999</v>
      </c>
      <c r="AEE13" s="89">
        <f t="shared" si="238"/>
        <v>305820.56199999998</v>
      </c>
      <c r="AEF13" s="89">
        <f t="shared" si="238"/>
        <v>305903.33500000002</v>
      </c>
      <c r="AEG13" s="89">
        <f t="shared" si="238"/>
        <v>306088.522</v>
      </c>
      <c r="AEH13" s="89">
        <f t="shared" si="238"/>
        <v>306219.93800000002</v>
      </c>
      <c r="AEI13" s="89">
        <f t="shared" si="238"/>
        <v>306333.152</v>
      </c>
      <c r="AEJ13" s="89">
        <f t="shared" si="238"/>
        <v>306438.76299999998</v>
      </c>
      <c r="AEK13" s="89">
        <f t="shared" si="238"/>
        <v>306660.21799999999</v>
      </c>
      <c r="AEL13" s="89">
        <f t="shared" si="238"/>
        <v>306818.44699999999</v>
      </c>
      <c r="AEM13" s="89">
        <f t="shared" si="238"/>
        <v>306923.85600000003</v>
      </c>
      <c r="AEN13" s="89">
        <f t="shared" si="238"/>
        <v>307049.07199999999</v>
      </c>
      <c r="AEO13" s="127">
        <v>0</v>
      </c>
      <c r="AEP13" s="89">
        <f>AEN14</f>
        <v>307114.92800000001</v>
      </c>
      <c r="AEQ13" s="89">
        <f t="shared" ref="AEQ13:AFT13" si="239">AEP14</f>
        <v>307178.73</v>
      </c>
      <c r="AER13" s="89">
        <f t="shared" si="239"/>
        <v>307278.23599999998</v>
      </c>
      <c r="AES13" s="89">
        <f t="shared" si="239"/>
        <v>307476.41499999998</v>
      </c>
      <c r="AET13" s="89">
        <f t="shared" si="239"/>
        <v>307543.79399999999</v>
      </c>
      <c r="AEU13" s="89">
        <f t="shared" si="239"/>
        <v>307625.02500000002</v>
      </c>
      <c r="AEV13" s="89">
        <f t="shared" si="239"/>
        <v>307930.283</v>
      </c>
      <c r="AEW13" s="89">
        <f t="shared" si="239"/>
        <v>308064.08799999999</v>
      </c>
      <c r="AEX13" s="89">
        <f t="shared" si="239"/>
        <v>308201.69199999998</v>
      </c>
      <c r="AEY13" s="89">
        <f t="shared" si="239"/>
        <v>308292.10100000002</v>
      </c>
      <c r="AEZ13" s="89">
        <f t="shared" si="239"/>
        <v>308437.03200000001</v>
      </c>
      <c r="AFA13" s="89">
        <f t="shared" si="239"/>
        <v>308565.25099999999</v>
      </c>
      <c r="AFB13" s="89">
        <f t="shared" si="239"/>
        <v>308644.26400000002</v>
      </c>
      <c r="AFC13" s="89">
        <f t="shared" si="239"/>
        <v>308779.27799999999</v>
      </c>
      <c r="AFD13" s="89">
        <f t="shared" si="239"/>
        <v>308850.87699999998</v>
      </c>
      <c r="AFE13" s="89">
        <f t="shared" si="239"/>
        <v>308912.67700000003</v>
      </c>
      <c r="AFF13" s="89">
        <f t="shared" si="239"/>
        <v>309067.09499999997</v>
      </c>
      <c r="AFG13" s="89">
        <f t="shared" si="239"/>
        <v>309131.69900000002</v>
      </c>
      <c r="AFH13" s="89">
        <f t="shared" si="239"/>
        <v>309266.75400000002</v>
      </c>
      <c r="AFI13" s="89">
        <f t="shared" si="239"/>
        <v>309409.36800000002</v>
      </c>
      <c r="AFJ13" s="89">
        <f t="shared" si="239"/>
        <v>309537.179</v>
      </c>
      <c r="AFK13" s="89">
        <f t="shared" si="239"/>
        <v>309680.89399999997</v>
      </c>
      <c r="AFL13" s="89">
        <f t="shared" si="239"/>
        <v>309824.50400000002</v>
      </c>
      <c r="AFM13" s="89">
        <f t="shared" si="239"/>
        <v>309906.11</v>
      </c>
      <c r="AFN13" s="89">
        <f t="shared" si="239"/>
        <v>310033.72600000002</v>
      </c>
      <c r="AFO13" s="89">
        <f t="shared" si="239"/>
        <v>310148.679</v>
      </c>
      <c r="AFP13" s="89">
        <f t="shared" si="239"/>
        <v>310266.28499999997</v>
      </c>
      <c r="AFQ13" s="89">
        <f t="shared" si="239"/>
        <v>310358.10700000002</v>
      </c>
      <c r="AFR13" s="89">
        <f t="shared" si="239"/>
        <v>310459.72700000001</v>
      </c>
      <c r="AFS13" s="89">
        <f t="shared" si="239"/>
        <v>310552.25199999998</v>
      </c>
      <c r="AFT13" s="89">
        <f t="shared" si="239"/>
        <v>310671.90299999999</v>
      </c>
      <c r="AFU13" s="127">
        <v>0</v>
      </c>
      <c r="AFV13" s="89">
        <f>AFT14</f>
        <v>310823.42200000002</v>
      </c>
      <c r="AFW13" s="89">
        <f t="shared" ref="AFW13:AGY13" si="240">AFV14</f>
        <v>310996.35700000002</v>
      </c>
      <c r="AFX13" s="89">
        <f t="shared" si="240"/>
        <v>311189.18400000001</v>
      </c>
      <c r="AFY13" s="89">
        <f t="shared" si="240"/>
        <v>311292.74800000002</v>
      </c>
      <c r="AFZ13" s="89">
        <f t="shared" si="240"/>
        <v>311442.65600000002</v>
      </c>
      <c r="AGA13" s="89">
        <f t="shared" si="240"/>
        <v>311596.80699999997</v>
      </c>
      <c r="AGB13" s="89">
        <f t="shared" si="240"/>
        <v>311735.40000000002</v>
      </c>
      <c r="AGC13" s="89">
        <f t="shared" si="240"/>
        <v>311864.20199999999</v>
      </c>
      <c r="AGD13" s="89">
        <f t="shared" si="240"/>
        <v>311913.08899999998</v>
      </c>
      <c r="AGE13" s="89">
        <f t="shared" si="240"/>
        <v>312070.73</v>
      </c>
      <c r="AGF13" s="89">
        <f t="shared" si="240"/>
        <v>312176.99400000001</v>
      </c>
      <c r="AGG13" s="89">
        <f t="shared" si="240"/>
        <v>312286.90600000002</v>
      </c>
      <c r="AGH13" s="89">
        <f t="shared" si="240"/>
        <v>312411.56199999998</v>
      </c>
      <c r="AGI13" s="89">
        <f t="shared" si="240"/>
        <v>312608.84700000001</v>
      </c>
      <c r="AGJ13" s="89">
        <f t="shared" si="240"/>
        <v>312710.06099999999</v>
      </c>
      <c r="AGK13" s="89">
        <f t="shared" si="240"/>
        <v>312791.14399999997</v>
      </c>
      <c r="AGL13" s="89">
        <f t="shared" si="240"/>
        <v>312850.73499999999</v>
      </c>
      <c r="AGM13" s="89">
        <f t="shared" si="240"/>
        <v>313013.59700000001</v>
      </c>
      <c r="AGN13" s="89">
        <f t="shared" si="240"/>
        <v>313162.28999999998</v>
      </c>
      <c r="AGO13" s="89">
        <f t="shared" si="240"/>
        <v>313286.53399999999</v>
      </c>
      <c r="AGP13" s="89">
        <f t="shared" si="240"/>
        <v>313457.67</v>
      </c>
      <c r="AGQ13" s="89">
        <f t="shared" si="240"/>
        <v>313615.85800000001</v>
      </c>
      <c r="AGR13" s="89">
        <f t="shared" si="240"/>
        <v>313805.51199999999</v>
      </c>
      <c r="AGS13" s="89">
        <f t="shared" si="240"/>
        <v>313874.38199999998</v>
      </c>
      <c r="AGT13" s="89">
        <f t="shared" si="240"/>
        <v>314104.01199999999</v>
      </c>
      <c r="AGU13" s="89">
        <f t="shared" si="240"/>
        <v>314247.462</v>
      </c>
      <c r="AGV13" s="89">
        <f t="shared" si="240"/>
        <v>314362.81400000001</v>
      </c>
      <c r="AGW13" s="89">
        <f t="shared" si="240"/>
        <v>314457.26699999999</v>
      </c>
      <c r="AGX13" s="89">
        <f t="shared" si="240"/>
        <v>314604.53600000002</v>
      </c>
      <c r="AGY13" s="89">
        <f t="shared" si="240"/>
        <v>314743.53000000003</v>
      </c>
      <c r="AGZ13" s="127">
        <v>0</v>
      </c>
      <c r="AHA13" s="89">
        <f>AGY14</f>
        <v>314852.83199999999</v>
      </c>
      <c r="AHB13" s="89">
        <f t="shared" ref="AHB13:AIE13" si="241">AHA14</f>
        <v>314949.40500000003</v>
      </c>
      <c r="AHC13" s="89">
        <f t="shared" si="241"/>
        <v>315076.27799999999</v>
      </c>
      <c r="AHD13" s="89">
        <f t="shared" si="241"/>
        <v>315144.25300000003</v>
      </c>
      <c r="AHE13" s="89">
        <f t="shared" si="241"/>
        <v>315285.95799999998</v>
      </c>
      <c r="AHF13" s="89">
        <f t="shared" si="241"/>
        <v>315425.75699999998</v>
      </c>
      <c r="AHG13" s="89">
        <f t="shared" si="241"/>
        <v>315545.35800000001</v>
      </c>
      <c r="AHH13" s="89">
        <f t="shared" si="241"/>
        <v>315683.94</v>
      </c>
      <c r="AHI13" s="89">
        <f t="shared" si="241"/>
        <v>315759.49599999998</v>
      </c>
      <c r="AHJ13" s="89">
        <f t="shared" si="241"/>
        <v>315860.91100000002</v>
      </c>
      <c r="AHK13" s="89">
        <f t="shared" si="241"/>
        <v>315999.31699999998</v>
      </c>
      <c r="AHL13" s="89">
        <f t="shared" si="241"/>
        <v>316095.679</v>
      </c>
      <c r="AHM13" s="89">
        <f t="shared" si="241"/>
        <v>316226.99300000002</v>
      </c>
      <c r="AHN13" s="89">
        <f t="shared" si="241"/>
        <v>316408.63199999998</v>
      </c>
      <c r="AHO13" s="89">
        <f t="shared" si="241"/>
        <v>316560.76199999999</v>
      </c>
      <c r="AHP13" s="89">
        <f t="shared" si="241"/>
        <v>316735.82400000002</v>
      </c>
      <c r="AHQ13" s="89">
        <f t="shared" si="241"/>
        <v>316820.67599999998</v>
      </c>
      <c r="AHR13" s="89">
        <f t="shared" si="241"/>
        <v>316973.614</v>
      </c>
      <c r="AHS13" s="89">
        <f t="shared" si="241"/>
        <v>317122.71500000003</v>
      </c>
      <c r="AHT13" s="89">
        <f t="shared" si="241"/>
        <v>317255.16100000002</v>
      </c>
      <c r="AHU13" s="89">
        <f t="shared" si="241"/>
        <v>317401.30099999998</v>
      </c>
      <c r="AHV13" s="89">
        <f t="shared" si="241"/>
        <v>317555.19500000001</v>
      </c>
      <c r="AHW13" s="89">
        <f t="shared" si="241"/>
        <v>317721.87699999998</v>
      </c>
      <c r="AHX13" s="89">
        <f t="shared" si="241"/>
        <v>317881.46500000003</v>
      </c>
      <c r="AHY13" s="89">
        <f t="shared" si="241"/>
        <v>318017.93800000002</v>
      </c>
      <c r="AHZ13" s="89">
        <f t="shared" si="241"/>
        <v>318155.22200000001</v>
      </c>
      <c r="AIA13" s="89">
        <f t="shared" si="241"/>
        <v>318235.63</v>
      </c>
      <c r="AIB13" s="89">
        <f t="shared" si="241"/>
        <v>318323.10700000002</v>
      </c>
      <c r="AIC13" s="89">
        <f t="shared" si="241"/>
        <v>318371.18900000001</v>
      </c>
      <c r="AID13" s="89">
        <f t="shared" si="241"/>
        <v>318448.158</v>
      </c>
      <c r="AIE13" s="89">
        <f t="shared" si="241"/>
        <v>318552.28999999998</v>
      </c>
      <c r="AIF13" s="127">
        <v>0</v>
      </c>
      <c r="AIG13" s="89">
        <f>AIE14</f>
        <v>318700.58</v>
      </c>
      <c r="AIH13" s="89">
        <f t="shared" ref="AIH13:AJK13" si="242">AIG14</f>
        <v>318771.69400000002</v>
      </c>
      <c r="AII13" s="89">
        <f t="shared" si="242"/>
        <v>318875.94400000002</v>
      </c>
      <c r="AIJ13" s="89">
        <f t="shared" si="242"/>
        <v>318994.01899999997</v>
      </c>
      <c r="AIK13" s="89">
        <f t="shared" si="242"/>
        <v>319083.81400000001</v>
      </c>
      <c r="AIL13" s="89">
        <f t="shared" si="242"/>
        <v>319261.19199999998</v>
      </c>
      <c r="AIM13" s="89">
        <f t="shared" si="242"/>
        <v>319392.30200000003</v>
      </c>
      <c r="AIN13" s="89">
        <f t="shared" si="242"/>
        <v>319509.47700000001</v>
      </c>
      <c r="AIO13" s="89">
        <f t="shared" si="242"/>
        <v>319606.62800000003</v>
      </c>
      <c r="AIP13" s="89">
        <f t="shared" si="242"/>
        <v>319710.67499999999</v>
      </c>
      <c r="AIQ13" s="89">
        <f t="shared" si="242"/>
        <v>319862.42300000001</v>
      </c>
      <c r="AIR13" s="89">
        <f t="shared" si="242"/>
        <v>320032.136</v>
      </c>
      <c r="AIS13" s="89">
        <f t="shared" si="242"/>
        <v>320138.02299999999</v>
      </c>
      <c r="AIT13" s="89">
        <f t="shared" si="242"/>
        <v>320240.58399999997</v>
      </c>
      <c r="AIU13" s="89">
        <f t="shared" si="242"/>
        <v>320348.99200000003</v>
      </c>
      <c r="AIV13" s="89">
        <f t="shared" si="242"/>
        <v>320521.21799999999</v>
      </c>
      <c r="AIW13" s="89">
        <f t="shared" si="242"/>
        <v>320555.82</v>
      </c>
      <c r="AIX13" s="89">
        <f t="shared" si="242"/>
        <v>320588.424</v>
      </c>
      <c r="AIY13" s="89">
        <f t="shared" si="242"/>
        <v>320608.22399999999</v>
      </c>
      <c r="AIZ13" s="89">
        <f t="shared" si="242"/>
        <v>320710.23599999998</v>
      </c>
      <c r="AJA13" s="89">
        <f t="shared" si="242"/>
        <v>320769.636</v>
      </c>
      <c r="AJB13" s="89">
        <f t="shared" si="242"/>
        <v>320921.11800000002</v>
      </c>
      <c r="AJC13" s="89">
        <f t="shared" si="242"/>
        <v>321154.72399999999</v>
      </c>
      <c r="AJD13" s="89">
        <f t="shared" si="242"/>
        <v>321236.326</v>
      </c>
      <c r="AJE13" s="89">
        <f t="shared" si="242"/>
        <v>321389.94799999997</v>
      </c>
      <c r="AJF13" s="89">
        <f t="shared" si="242"/>
        <v>321560.08799999999</v>
      </c>
      <c r="AJG13" s="89">
        <f t="shared" si="242"/>
        <v>321678.897</v>
      </c>
      <c r="AJH13" s="89">
        <f t="shared" si="242"/>
        <v>321757.10399999999</v>
      </c>
      <c r="AJI13" s="89">
        <f t="shared" si="242"/>
        <v>321798.28899999999</v>
      </c>
      <c r="AJJ13" s="89">
        <f t="shared" si="242"/>
        <v>321934.43900000001</v>
      </c>
      <c r="AJK13" s="89">
        <f t="shared" si="242"/>
        <v>322077.326</v>
      </c>
      <c r="AJL13" s="127">
        <v>0</v>
      </c>
      <c r="AJM13" s="89">
        <f>AJK14</f>
        <v>322173.27799999999</v>
      </c>
      <c r="AJN13" s="89">
        <f t="shared" ref="AJN13:AKN13" si="243">AJM14</f>
        <v>322244.76199999999</v>
      </c>
      <c r="AJO13" s="89">
        <f t="shared" si="243"/>
        <v>322376.76500000001</v>
      </c>
      <c r="AJP13" s="89">
        <f t="shared" si="243"/>
        <v>322526.67599999998</v>
      </c>
      <c r="AJQ13" s="89">
        <f t="shared" si="243"/>
        <v>322605.08799999999</v>
      </c>
      <c r="AJR13" s="89">
        <f t="shared" si="243"/>
        <v>322698.85100000002</v>
      </c>
      <c r="AJS13" s="89">
        <f t="shared" si="243"/>
        <v>322791.533</v>
      </c>
      <c r="AJT13" s="89">
        <f t="shared" si="243"/>
        <v>322940.163</v>
      </c>
      <c r="AJU13" s="89">
        <f t="shared" si="243"/>
        <v>323080.37400000001</v>
      </c>
      <c r="AJV13" s="89">
        <f t="shared" si="243"/>
        <v>323270.29300000001</v>
      </c>
      <c r="AJW13" s="89">
        <f t="shared" si="243"/>
        <v>323379.80099999998</v>
      </c>
      <c r="AJX13" s="89">
        <f t="shared" si="243"/>
        <v>323461.185</v>
      </c>
      <c r="AJY13" s="89">
        <f t="shared" si="243"/>
        <v>323587.033</v>
      </c>
      <c r="AJZ13" s="89">
        <f t="shared" si="243"/>
        <v>323755.75199999998</v>
      </c>
      <c r="AKA13" s="89">
        <f t="shared" si="243"/>
        <v>323943.897</v>
      </c>
      <c r="AKB13" s="89">
        <f t="shared" si="243"/>
        <v>324100.103</v>
      </c>
      <c r="AKC13" s="89">
        <f t="shared" si="243"/>
        <v>324225.35800000001</v>
      </c>
      <c r="AKD13" s="89">
        <f t="shared" si="243"/>
        <v>324367.74300000002</v>
      </c>
      <c r="AKE13" s="89">
        <f t="shared" si="243"/>
        <v>324469.32900000003</v>
      </c>
      <c r="AKF13" s="89">
        <f t="shared" si="243"/>
        <v>324587.065</v>
      </c>
      <c r="AKG13" s="89">
        <f t="shared" si="243"/>
        <v>324696.89399999997</v>
      </c>
      <c r="AKH13" s="89">
        <f t="shared" si="243"/>
        <v>324848.49699999997</v>
      </c>
      <c r="AKI13" s="89">
        <f t="shared" si="243"/>
        <v>324929.78200000001</v>
      </c>
      <c r="AKJ13" s="89">
        <f t="shared" si="243"/>
        <v>325001.47200000001</v>
      </c>
      <c r="AKK13" s="89">
        <f t="shared" si="243"/>
        <v>325139.61599999998</v>
      </c>
      <c r="AKL13" s="89">
        <f t="shared" si="243"/>
        <v>325251.04399999999</v>
      </c>
      <c r="AKM13" s="89">
        <f t="shared" si="243"/>
        <v>325362.14600000001</v>
      </c>
      <c r="AKN13" s="89">
        <f t="shared" si="243"/>
        <v>325434.62599999999</v>
      </c>
      <c r="AKO13" s="127">
        <v>0</v>
      </c>
      <c r="AKP13" s="89">
        <f>AKN14</f>
        <v>325555.43199999997</v>
      </c>
      <c r="AKQ13" s="89">
        <f t="shared" ref="AKQ13:ALT13" si="244">AKP14</f>
        <v>325681.78000000003</v>
      </c>
      <c r="AKR13" s="89">
        <f t="shared" si="244"/>
        <v>325813.554</v>
      </c>
      <c r="AKS13" s="89">
        <f t="shared" si="244"/>
        <v>325939.11800000002</v>
      </c>
      <c r="AKT13" s="89">
        <f t="shared" si="244"/>
        <v>326012.484</v>
      </c>
      <c r="AKU13" s="89">
        <f t="shared" si="244"/>
        <v>326127.39799999999</v>
      </c>
      <c r="AKV13" s="89">
        <f t="shared" si="244"/>
        <v>326196.31300000002</v>
      </c>
      <c r="AKW13" s="89">
        <f t="shared" si="244"/>
        <v>326255.91800000001</v>
      </c>
      <c r="AKX13" s="89">
        <f t="shared" si="244"/>
        <v>326465.054</v>
      </c>
      <c r="AKY13" s="89">
        <f t="shared" si="244"/>
        <v>326687.15000000002</v>
      </c>
      <c r="AKZ13" s="89">
        <f t="shared" si="244"/>
        <v>326795.87599999999</v>
      </c>
      <c r="ALA13" s="89">
        <f t="shared" si="244"/>
        <v>326926.61900000001</v>
      </c>
      <c r="ALB13" s="89">
        <f t="shared" si="244"/>
        <v>326982.69</v>
      </c>
      <c r="ALC13" s="89">
        <f t="shared" si="244"/>
        <v>327123.23700000002</v>
      </c>
      <c r="ALD13" s="89">
        <f t="shared" si="244"/>
        <v>327343.85100000002</v>
      </c>
      <c r="ALE13" s="89">
        <f t="shared" si="244"/>
        <v>327507.93099999998</v>
      </c>
      <c r="ALF13" s="89">
        <f t="shared" si="244"/>
        <v>327738.48599999998</v>
      </c>
      <c r="ALG13" s="89">
        <f t="shared" si="244"/>
        <v>327912.75300000003</v>
      </c>
      <c r="ALH13" s="89">
        <f t="shared" si="244"/>
        <v>327995.14299999998</v>
      </c>
      <c r="ALI13" s="89">
        <f t="shared" si="244"/>
        <v>328121.07199999999</v>
      </c>
      <c r="ALJ13" s="89">
        <f t="shared" si="244"/>
        <v>328253.321</v>
      </c>
      <c r="ALK13" s="89">
        <f t="shared" si="244"/>
        <v>328362.16899999999</v>
      </c>
      <c r="ALL13" s="89">
        <f t="shared" si="244"/>
        <v>328472.21000000002</v>
      </c>
      <c r="ALM13" s="89">
        <f t="shared" si="244"/>
        <v>328673.152</v>
      </c>
      <c r="ALN13" s="89">
        <f t="shared" si="244"/>
        <v>328778.16100000002</v>
      </c>
      <c r="ALO13" s="89">
        <f t="shared" si="244"/>
        <v>328967.19</v>
      </c>
      <c r="ALP13" s="89">
        <f t="shared" si="244"/>
        <v>329151.82799999998</v>
      </c>
      <c r="ALQ13" s="89">
        <f t="shared" si="244"/>
        <v>329300.79499999998</v>
      </c>
      <c r="ALR13" s="89">
        <f t="shared" si="244"/>
        <v>329431.08500000002</v>
      </c>
      <c r="ALS13" s="89">
        <f t="shared" si="244"/>
        <v>329551.96500000003</v>
      </c>
      <c r="ALT13" s="89">
        <f t="shared" si="244"/>
        <v>329705.64799999999</v>
      </c>
      <c r="ALU13" s="127">
        <v>0</v>
      </c>
      <c r="ALV13" s="89">
        <f>ALT14</f>
        <v>329786.60200000001</v>
      </c>
      <c r="ALW13" s="89">
        <f t="shared" ref="ALW13:AMY13" si="245">ALV14</f>
        <v>329882.07400000002</v>
      </c>
      <c r="ALX13" s="89">
        <f t="shared" si="245"/>
        <v>330040.73</v>
      </c>
      <c r="ALY13" s="89">
        <f t="shared" si="245"/>
        <v>330166.33799999999</v>
      </c>
      <c r="ALZ13" s="89">
        <f t="shared" si="245"/>
        <v>330277.00599999999</v>
      </c>
      <c r="AMA13" s="89">
        <f t="shared" si="245"/>
        <v>330472.62</v>
      </c>
      <c r="AMB13" s="89">
        <f t="shared" si="245"/>
        <v>330551.96999999997</v>
      </c>
      <c r="AMC13" s="89">
        <f t="shared" si="245"/>
        <v>330638.55499999999</v>
      </c>
      <c r="AMD13" s="89">
        <f t="shared" si="245"/>
        <v>330764.55499999999</v>
      </c>
      <c r="AME13" s="89">
        <f t="shared" si="245"/>
        <v>330933.32400000002</v>
      </c>
      <c r="AMF13" s="89">
        <f t="shared" si="245"/>
        <v>331036.63799999998</v>
      </c>
      <c r="AMG13" s="89">
        <f t="shared" si="245"/>
        <v>331166.663</v>
      </c>
      <c r="AMH13" s="89">
        <f t="shared" si="245"/>
        <v>331358.386</v>
      </c>
      <c r="AMI13" s="89">
        <f t="shared" si="245"/>
        <v>331564.549</v>
      </c>
      <c r="AMJ13" s="89">
        <f t="shared" si="245"/>
        <v>331684.55599999998</v>
      </c>
      <c r="AMK13" s="89">
        <f t="shared" si="245"/>
        <v>331781.96500000003</v>
      </c>
      <c r="AML13" s="89">
        <f t="shared" si="245"/>
        <v>331916.73599999998</v>
      </c>
      <c r="AMM13" s="89">
        <f t="shared" si="245"/>
        <v>332017.83100000001</v>
      </c>
      <c r="AMN13" s="89">
        <f t="shared" si="245"/>
        <v>332190.07900000003</v>
      </c>
      <c r="AMO13" s="89">
        <f t="shared" si="245"/>
        <v>332347.20799999998</v>
      </c>
      <c r="AMP13" s="89">
        <f t="shared" si="245"/>
        <v>333539.14500000002</v>
      </c>
      <c r="AMQ13" s="89">
        <f t="shared" si="245"/>
        <v>335868.712</v>
      </c>
      <c r="AMR13" s="89">
        <f t="shared" si="245"/>
        <v>336482.674</v>
      </c>
      <c r="AMS13" s="89">
        <f t="shared" si="245"/>
        <v>337453.62400000001</v>
      </c>
      <c r="AMT13" s="89">
        <f t="shared" si="245"/>
        <v>338311.55099999998</v>
      </c>
      <c r="AMU13" s="89">
        <f t="shared" si="245"/>
        <v>339239.67300000001</v>
      </c>
      <c r="AMV13" s="89">
        <f t="shared" si="245"/>
        <v>339633.49599999998</v>
      </c>
      <c r="AMW13" s="89">
        <f t="shared" si="245"/>
        <v>339883.91399999999</v>
      </c>
      <c r="AMX13" s="89">
        <f t="shared" si="245"/>
        <v>339982.28100000002</v>
      </c>
      <c r="AMY13" s="89">
        <f t="shared" si="245"/>
        <v>341065.11700000003</v>
      </c>
      <c r="AMZ13" s="127">
        <v>0</v>
      </c>
      <c r="ANA13" s="89">
        <f>AMY14</f>
        <v>341733.57799999998</v>
      </c>
      <c r="ANB13" s="89">
        <f t="shared" ref="ANB13:AOC13" si="246">ANA14</f>
        <v>341879.86499999999</v>
      </c>
      <c r="ANC13" s="89">
        <f t="shared" si="246"/>
        <v>342227.92499999999</v>
      </c>
      <c r="AND13" s="89">
        <f t="shared" si="246"/>
        <v>342402.14199999999</v>
      </c>
      <c r="ANE13" s="89">
        <f t="shared" si="246"/>
        <v>342515.65</v>
      </c>
      <c r="ANF13" s="89">
        <f t="shared" si="246"/>
        <v>342686.25699999998</v>
      </c>
      <c r="ANG13" s="89">
        <f t="shared" si="246"/>
        <v>342965.12400000001</v>
      </c>
      <c r="ANH13" s="89">
        <f t="shared" si="246"/>
        <v>343236.45400000003</v>
      </c>
      <c r="ANI13" s="89">
        <f t="shared" si="246"/>
        <v>343354.66399999999</v>
      </c>
      <c r="ANJ13" s="89">
        <f t="shared" si="246"/>
        <v>343590.31699999998</v>
      </c>
      <c r="ANK13" s="89">
        <f t="shared" si="246"/>
        <v>343675.49200000003</v>
      </c>
      <c r="ANL13" s="89">
        <f t="shared" si="246"/>
        <v>343850.06199999998</v>
      </c>
      <c r="ANM13" s="89">
        <f t="shared" si="246"/>
        <v>343926.90600000002</v>
      </c>
      <c r="ANN13" s="89">
        <f t="shared" si="246"/>
        <v>344118.33299999998</v>
      </c>
      <c r="ANO13" s="89">
        <f t="shared" si="246"/>
        <v>344234.46100000001</v>
      </c>
      <c r="ANP13" s="89">
        <f t="shared" si="246"/>
        <v>344372.95600000001</v>
      </c>
      <c r="ANQ13" s="89">
        <f t="shared" si="246"/>
        <v>344516.25900000002</v>
      </c>
      <c r="ANR13" s="89">
        <f t="shared" si="246"/>
        <v>344607.299</v>
      </c>
      <c r="ANS13" s="89">
        <f t="shared" si="246"/>
        <v>344736.511</v>
      </c>
      <c r="ANT13" s="89">
        <f t="shared" si="246"/>
        <v>344821.31099999999</v>
      </c>
      <c r="ANU13" s="89">
        <f t="shared" si="246"/>
        <v>344926.27100000001</v>
      </c>
      <c r="ANV13" s="89">
        <f t="shared" si="246"/>
        <v>345004.99099999998</v>
      </c>
      <c r="ANW13" s="89">
        <f t="shared" si="246"/>
        <v>345134.48499999999</v>
      </c>
      <c r="ANX13" s="89">
        <f t="shared" si="246"/>
        <v>345211.45699999999</v>
      </c>
      <c r="ANY13" s="89">
        <f t="shared" si="246"/>
        <v>345346.77</v>
      </c>
      <c r="ANZ13" s="89">
        <f t="shared" si="246"/>
        <v>345419.17700000003</v>
      </c>
      <c r="AOA13" s="89">
        <f t="shared" si="246"/>
        <v>345550.00699999998</v>
      </c>
      <c r="AOB13" s="89">
        <f t="shared" si="246"/>
        <v>345615.44699999999</v>
      </c>
      <c r="AOC13" s="89">
        <f t="shared" si="246"/>
        <v>345707.23499999999</v>
      </c>
      <c r="AOD13" s="89">
        <v>345888.5</v>
      </c>
      <c r="AOE13">
        <v>345888.5</v>
      </c>
    </row>
    <row r="14" spans="1:1072" x14ac:dyDescent="0.2">
      <c r="A14" s="157"/>
      <c r="B14" s="160"/>
      <c r="C14" s="47" t="s">
        <v>757</v>
      </c>
      <c r="D14" s="48">
        <v>188322.06200000001</v>
      </c>
      <c r="E14" s="48">
        <v>188427.40599999999</v>
      </c>
      <c r="F14" s="48">
        <v>188595.65</v>
      </c>
      <c r="G14" s="48">
        <v>188749.53099999999</v>
      </c>
      <c r="H14" s="48">
        <v>189074.90599999999</v>
      </c>
      <c r="I14" s="48">
        <v>189345.467</v>
      </c>
      <c r="J14" s="48">
        <v>189573.77</v>
      </c>
      <c r="K14" s="48">
        <v>189687.867</v>
      </c>
      <c r="L14" s="48">
        <v>189835.80900000001</v>
      </c>
      <c r="M14" s="48">
        <v>190063.774</v>
      </c>
      <c r="N14" s="48">
        <v>190251.27100000001</v>
      </c>
      <c r="O14" s="48">
        <v>190501.101</v>
      </c>
      <c r="P14" s="48">
        <v>190667.147</v>
      </c>
      <c r="Q14" s="48">
        <v>190751.69500000001</v>
      </c>
      <c r="R14" s="48">
        <v>190865.36300000001</v>
      </c>
      <c r="S14" s="48">
        <v>191028.53700000001</v>
      </c>
      <c r="T14" s="48">
        <v>191148.15700000001</v>
      </c>
      <c r="U14" s="48">
        <v>191319.81899999999</v>
      </c>
      <c r="V14" s="48">
        <v>191456.728</v>
      </c>
      <c r="W14" s="48">
        <v>191537.55600000001</v>
      </c>
      <c r="X14" s="48">
        <v>191644.45499999999</v>
      </c>
      <c r="Y14" s="48">
        <v>191825.30600000001</v>
      </c>
      <c r="Z14" s="48">
        <v>191937.549</v>
      </c>
      <c r="AA14" s="48">
        <v>192100.41</v>
      </c>
      <c r="AB14" s="48">
        <v>192264.87</v>
      </c>
      <c r="AC14" s="48">
        <v>192461.63200000001</v>
      </c>
      <c r="AD14" s="48">
        <v>192631.353</v>
      </c>
      <c r="AE14" s="48">
        <v>192784.80499999999</v>
      </c>
      <c r="AF14" s="48">
        <v>192957.60500000001</v>
      </c>
      <c r="AG14" s="48">
        <v>193065.33900000001</v>
      </c>
      <c r="AH14" s="48">
        <v>193303.894</v>
      </c>
      <c r="AI14" s="49"/>
      <c r="AJ14" s="48">
        <v>193491.40299999999</v>
      </c>
      <c r="AK14" s="48">
        <v>193725.51500000001</v>
      </c>
      <c r="AL14" s="48">
        <v>193944.07800000001</v>
      </c>
      <c r="AM14" s="48">
        <v>194148.74799999999</v>
      </c>
      <c r="AN14" s="48">
        <v>194401.91099999999</v>
      </c>
      <c r="AO14" s="48">
        <v>194529.54500000001</v>
      </c>
      <c r="AP14" s="48">
        <v>199873.02900000001</v>
      </c>
      <c r="AQ14" s="48">
        <v>200171.43</v>
      </c>
      <c r="AR14" s="48">
        <v>200491.80300000001</v>
      </c>
      <c r="AS14" s="48">
        <v>200586.12599999999</v>
      </c>
      <c r="AT14" s="48">
        <v>200744.21100000001</v>
      </c>
      <c r="AU14" s="48">
        <v>200842.014</v>
      </c>
      <c r="AV14" s="48">
        <v>205907.20699999999</v>
      </c>
      <c r="AW14" s="48">
        <v>206034.29699999999</v>
      </c>
      <c r="AX14" s="48">
        <v>206162.61300000001</v>
      </c>
      <c r="AY14" s="48">
        <v>206277.18</v>
      </c>
      <c r="AZ14" s="48">
        <v>206405.48699999999</v>
      </c>
      <c r="BA14" s="48">
        <v>206632.95999999999</v>
      </c>
      <c r="BB14" s="48">
        <v>206804.48499999999</v>
      </c>
      <c r="BC14" s="48">
        <v>206982.79300000001</v>
      </c>
      <c r="BD14" s="48">
        <v>207116.057</v>
      </c>
      <c r="BE14" s="48">
        <v>207267.258</v>
      </c>
      <c r="BF14" s="48">
        <v>207468.07199999999</v>
      </c>
      <c r="BG14" s="48">
        <v>207580.23300000001</v>
      </c>
      <c r="BH14" s="48">
        <v>207746.87899999999</v>
      </c>
      <c r="BI14" s="48">
        <v>207980.636</v>
      </c>
      <c r="BJ14" s="48">
        <v>208082.19699999999</v>
      </c>
      <c r="BK14" s="48">
        <v>208255.734</v>
      </c>
      <c r="BL14" s="48">
        <v>208414.68799999999</v>
      </c>
      <c r="BM14" s="48">
        <v>208545.37</v>
      </c>
      <c r="BO14" s="48">
        <v>208627.08300000001</v>
      </c>
      <c r="BP14" s="48">
        <v>208802.52600000001</v>
      </c>
      <c r="BQ14" s="48">
        <v>208950.54300000001</v>
      </c>
      <c r="BR14" s="48">
        <v>209048.29699999999</v>
      </c>
      <c r="BS14" s="48">
        <v>209172.024</v>
      </c>
      <c r="BT14" s="48">
        <v>209349.44399999999</v>
      </c>
      <c r="BU14" s="48">
        <v>209456.65900000001</v>
      </c>
      <c r="BV14" s="48">
        <v>209628.41800000001</v>
      </c>
      <c r="BW14" s="48">
        <v>209789.269</v>
      </c>
      <c r="BX14" s="48">
        <v>209883.78200000001</v>
      </c>
      <c r="BY14" s="48">
        <v>210014.36600000001</v>
      </c>
      <c r="BZ14" s="48">
        <v>210166.196</v>
      </c>
      <c r="CA14" s="48">
        <v>210317.93700000001</v>
      </c>
      <c r="CB14" s="48">
        <v>210505.057</v>
      </c>
      <c r="CC14" s="48">
        <v>210704.31299999999</v>
      </c>
      <c r="CD14" s="48">
        <v>210867.52100000001</v>
      </c>
      <c r="CE14" s="48">
        <v>211061.932</v>
      </c>
      <c r="CF14" s="48">
        <v>211190.10800000001</v>
      </c>
      <c r="CG14" s="48">
        <v>211300.85</v>
      </c>
      <c r="CH14" s="48">
        <v>211405.46900000001</v>
      </c>
      <c r="CI14" s="48">
        <v>211622.56299999999</v>
      </c>
      <c r="CJ14" s="48">
        <v>211724.64300000001</v>
      </c>
      <c r="CK14" s="48">
        <v>211801.894</v>
      </c>
      <c r="CL14" s="48">
        <v>211952.98300000001</v>
      </c>
      <c r="CM14" s="48">
        <v>212046.94399999999</v>
      </c>
      <c r="CN14" s="48">
        <v>212185.32500000001</v>
      </c>
      <c r="CO14" s="48">
        <v>212278.45699999999</v>
      </c>
      <c r="CP14" s="48">
        <v>212537.38800000001</v>
      </c>
      <c r="CQ14" s="48">
        <v>212652.21799999999</v>
      </c>
      <c r="CR14" s="48">
        <v>212793.21</v>
      </c>
      <c r="CS14" s="48">
        <v>212864.66399999999</v>
      </c>
      <c r="CU14" s="48">
        <v>213075.20300000001</v>
      </c>
      <c r="CV14" s="48">
        <v>213212.61600000001</v>
      </c>
      <c r="CW14" s="48">
        <v>213395.997</v>
      </c>
      <c r="CX14" s="48">
        <v>213617.90700000001</v>
      </c>
      <c r="CY14" s="48">
        <v>213789.15400000001</v>
      </c>
      <c r="CZ14" s="48">
        <v>213932.53599999999</v>
      </c>
      <c r="DA14" s="48">
        <v>214039.42800000001</v>
      </c>
      <c r="DB14" s="48">
        <v>214197.992</v>
      </c>
      <c r="DC14" s="48">
        <v>214385.04199999999</v>
      </c>
      <c r="DD14" s="48">
        <v>214506.272</v>
      </c>
      <c r="DE14" s="48">
        <v>214750.962</v>
      </c>
      <c r="DF14" s="48">
        <v>214882.033</v>
      </c>
      <c r="DG14" s="48">
        <v>214975.96599999999</v>
      </c>
      <c r="DH14" s="48">
        <v>215148.88200000001</v>
      </c>
      <c r="DI14" s="48">
        <v>215222.47200000001</v>
      </c>
      <c r="DJ14" s="48">
        <v>215281.27600000001</v>
      </c>
      <c r="DK14" s="48">
        <v>215392.61</v>
      </c>
      <c r="DL14" s="48">
        <v>215580.50200000001</v>
      </c>
      <c r="DM14" s="48">
        <v>215693.171</v>
      </c>
      <c r="DN14" s="48">
        <v>215774.42199999999</v>
      </c>
      <c r="DO14" s="48">
        <v>215858.58499999999</v>
      </c>
      <c r="DP14" s="48">
        <v>215943.82</v>
      </c>
      <c r="DQ14" s="48">
        <v>216054.25200000001</v>
      </c>
      <c r="DR14" s="48">
        <v>216158.2</v>
      </c>
      <c r="DS14" s="48">
        <v>216332.70199999999</v>
      </c>
      <c r="DT14" s="48">
        <v>216397.921</v>
      </c>
      <c r="DU14" s="48">
        <v>216474.65900000001</v>
      </c>
      <c r="DV14" s="48">
        <v>216553.109</v>
      </c>
      <c r="DW14" s="48">
        <v>216675.34899999999</v>
      </c>
      <c r="DX14" s="48">
        <v>216785.258</v>
      </c>
      <c r="DY14" s="117"/>
      <c r="DZ14" s="48">
        <v>216921.26199999999</v>
      </c>
      <c r="EA14" s="48">
        <v>217092.33199999999</v>
      </c>
      <c r="EB14" s="48">
        <v>217222.761</v>
      </c>
      <c r="EC14" s="48">
        <v>217338.617</v>
      </c>
      <c r="ED14" s="48">
        <v>217423.03400000001</v>
      </c>
      <c r="EE14" s="48">
        <v>217521.68100000001</v>
      </c>
      <c r="EF14" s="48">
        <v>217608.69399999999</v>
      </c>
      <c r="EG14" s="48">
        <v>217739.25599999999</v>
      </c>
      <c r="EH14" s="48">
        <v>217922.701</v>
      </c>
      <c r="EI14" s="48">
        <v>218081.495</v>
      </c>
      <c r="EJ14" s="48">
        <v>218245.299</v>
      </c>
      <c r="EK14" s="48">
        <v>218441.74</v>
      </c>
      <c r="EL14" s="48">
        <v>218610.82500000001</v>
      </c>
      <c r="EM14" s="48">
        <v>218745.682</v>
      </c>
      <c r="EN14" s="48">
        <v>218914.96799999999</v>
      </c>
      <c r="EO14" s="48">
        <v>219124.39</v>
      </c>
      <c r="EP14" s="48">
        <v>219258.231</v>
      </c>
      <c r="EQ14" s="48">
        <v>219424.36799999999</v>
      </c>
      <c r="ER14" s="48">
        <v>219564.70300000001</v>
      </c>
      <c r="ES14" s="48">
        <v>219833.95499999999</v>
      </c>
      <c r="ET14" s="48">
        <v>220122.986</v>
      </c>
      <c r="EU14" s="48">
        <v>220334.723</v>
      </c>
      <c r="EV14" s="48">
        <v>220640.72899999999</v>
      </c>
      <c r="EW14" s="48">
        <v>220805.31299999999</v>
      </c>
      <c r="EX14" s="48">
        <v>221011.984</v>
      </c>
      <c r="EY14" s="48">
        <v>221116.42</v>
      </c>
      <c r="EZ14" s="48">
        <v>221262.326</v>
      </c>
      <c r="FA14" s="48">
        <v>221457.3</v>
      </c>
      <c r="FB14" s="48">
        <v>221643.53200000001</v>
      </c>
      <c r="FC14" s="48">
        <v>221811.427</v>
      </c>
      <c r="FD14" s="48">
        <v>222051.70300000001</v>
      </c>
      <c r="FE14" s="126"/>
      <c r="FF14" s="48">
        <v>222197.049</v>
      </c>
      <c r="FG14" s="48">
        <v>222313.91500000001</v>
      </c>
      <c r="FH14" s="48">
        <v>222394.571</v>
      </c>
      <c r="FI14" s="48">
        <v>222526.372</v>
      </c>
      <c r="FJ14" s="48">
        <v>222655.758</v>
      </c>
      <c r="FK14" s="48">
        <v>222730.70199999999</v>
      </c>
      <c r="FL14" s="48">
        <v>222882.22500000001</v>
      </c>
      <c r="FM14" s="48">
        <v>223090.88800000001</v>
      </c>
      <c r="FN14" s="48">
        <v>223235.413</v>
      </c>
      <c r="FO14" s="48">
        <v>223341.14600000001</v>
      </c>
      <c r="FP14" s="48">
        <v>223435.18900000001</v>
      </c>
      <c r="FQ14" s="48">
        <v>223559.299</v>
      </c>
      <c r="FR14" s="48">
        <v>223822.37400000001</v>
      </c>
      <c r="FS14" s="48">
        <v>223967.99900000001</v>
      </c>
      <c r="FT14" s="48">
        <v>224146.087</v>
      </c>
      <c r="FU14" s="48">
        <v>224294.766</v>
      </c>
      <c r="FV14" s="48">
        <v>224386.954</v>
      </c>
      <c r="FW14" s="48">
        <v>224458.91899999999</v>
      </c>
      <c r="FX14" s="48">
        <v>224580.41399999999</v>
      </c>
      <c r="FY14" s="48">
        <v>224757.014</v>
      </c>
      <c r="FZ14" s="48">
        <v>224942.25700000001</v>
      </c>
      <c r="GA14" s="48">
        <v>225092.49900000001</v>
      </c>
      <c r="GB14" s="48">
        <v>225234.96799999999</v>
      </c>
      <c r="GC14" s="48">
        <v>225321.33100000001</v>
      </c>
      <c r="GD14" s="48">
        <v>225487.17800000001</v>
      </c>
      <c r="GE14" s="48">
        <v>225638.48800000001</v>
      </c>
      <c r="GF14" s="48">
        <v>225785.23800000001</v>
      </c>
      <c r="GG14" s="48">
        <v>225880.25</v>
      </c>
      <c r="GH14" s="48">
        <v>226083.31899999999</v>
      </c>
      <c r="GI14" s="48">
        <v>226216.70300000001</v>
      </c>
      <c r="GJ14" s="48">
        <v>226332.81599999999</v>
      </c>
      <c r="GK14" s="126"/>
      <c r="GL14" s="48">
        <v>226437.717</v>
      </c>
      <c r="GM14" s="48">
        <v>226549.52499999999</v>
      </c>
      <c r="GN14" s="48">
        <v>226729.29</v>
      </c>
      <c r="GO14" s="48">
        <v>226962.851</v>
      </c>
      <c r="GP14" s="48">
        <v>227134.02100000001</v>
      </c>
      <c r="GQ14" s="48">
        <v>227300.45800000001</v>
      </c>
      <c r="GR14" s="48">
        <v>227538.50099999999</v>
      </c>
      <c r="GS14" s="48">
        <v>227700.204</v>
      </c>
      <c r="GT14" s="48">
        <v>227810.872</v>
      </c>
      <c r="GU14" s="48">
        <v>227992.80100000001</v>
      </c>
      <c r="GV14" s="48">
        <v>228099.03099999999</v>
      </c>
      <c r="GW14" s="48">
        <v>228215.94099999999</v>
      </c>
      <c r="GX14" s="48">
        <v>228303.54500000001</v>
      </c>
      <c r="GY14" s="48">
        <v>228433.95699999999</v>
      </c>
      <c r="GZ14" s="48">
        <v>228531.264</v>
      </c>
      <c r="HA14" s="48">
        <v>228634.72500000001</v>
      </c>
      <c r="HB14" s="48">
        <v>228823.93599999999</v>
      </c>
      <c r="HC14" s="48">
        <v>228937.065</v>
      </c>
      <c r="HD14" s="48">
        <v>229115.481</v>
      </c>
      <c r="HE14" s="48">
        <v>229280.96599999999</v>
      </c>
      <c r="HF14" s="48">
        <v>229390.209</v>
      </c>
      <c r="HG14" s="48">
        <v>229494.035</v>
      </c>
      <c r="HH14" s="48">
        <v>229747.88500000001</v>
      </c>
      <c r="HI14" s="48">
        <v>229867.25200000001</v>
      </c>
      <c r="HJ14" s="48">
        <v>230005.48</v>
      </c>
      <c r="HK14" s="48">
        <v>230105.47</v>
      </c>
      <c r="HL14" s="48">
        <v>230210.283</v>
      </c>
      <c r="HM14" s="48">
        <v>230296.851</v>
      </c>
      <c r="HN14" s="48">
        <v>230438.32800000001</v>
      </c>
      <c r="HO14" s="126"/>
      <c r="HP14" s="48">
        <v>230617.049</v>
      </c>
      <c r="HQ14" s="48">
        <v>230843.671</v>
      </c>
      <c r="HR14" s="48">
        <v>230981.375</v>
      </c>
      <c r="HS14" s="48">
        <v>231101.783</v>
      </c>
      <c r="HT14" s="48">
        <v>231270.46299999999</v>
      </c>
      <c r="HU14" s="48">
        <v>231407.72099999999</v>
      </c>
      <c r="HV14" s="48">
        <v>231557.318</v>
      </c>
      <c r="HW14" s="48">
        <v>231679.33499999999</v>
      </c>
      <c r="HX14" s="48">
        <v>231774.329</v>
      </c>
      <c r="HY14" s="48">
        <v>231948.609</v>
      </c>
      <c r="HZ14" s="48">
        <v>232203.902</v>
      </c>
      <c r="IA14" s="48">
        <v>232367.49600000001</v>
      </c>
      <c r="IB14" s="48">
        <v>232533.745</v>
      </c>
      <c r="IC14" s="48">
        <v>232663.745</v>
      </c>
      <c r="ID14" s="48">
        <v>232909.61600000001</v>
      </c>
      <c r="IE14" s="48">
        <v>233082.56099999999</v>
      </c>
      <c r="IF14" s="48">
        <v>233301.361</v>
      </c>
      <c r="IG14" s="48">
        <v>233431.06</v>
      </c>
      <c r="IH14" s="48">
        <v>233532.25899999999</v>
      </c>
      <c r="II14" s="48">
        <v>233644.21299999999</v>
      </c>
      <c r="IJ14" s="48">
        <v>233747.57500000001</v>
      </c>
      <c r="IK14" s="48">
        <v>233928.58499999999</v>
      </c>
      <c r="IL14" s="48">
        <v>234055.992</v>
      </c>
      <c r="IM14" s="48">
        <v>234187.571</v>
      </c>
      <c r="IN14" s="48">
        <v>234310.47</v>
      </c>
      <c r="IO14" s="48">
        <v>234419.99299999999</v>
      </c>
      <c r="IP14" s="48">
        <v>234551.38800000001</v>
      </c>
      <c r="IQ14" s="48">
        <v>234598.204</v>
      </c>
      <c r="IR14" s="48">
        <v>234759.31200000001</v>
      </c>
      <c r="IS14" s="48">
        <v>234876.58900000001</v>
      </c>
      <c r="IT14" s="48">
        <v>234941.34899999999</v>
      </c>
      <c r="IU14" s="126"/>
      <c r="IV14" s="48">
        <v>235037.454</v>
      </c>
      <c r="IW14" s="48">
        <v>235169.875</v>
      </c>
      <c r="IX14" s="48">
        <v>235267.33199999999</v>
      </c>
      <c r="IY14" s="48">
        <v>235392.10399999999</v>
      </c>
      <c r="IZ14" s="48">
        <v>235570.783</v>
      </c>
      <c r="JA14" s="48">
        <v>235733.666</v>
      </c>
      <c r="JB14" s="48">
        <v>235883.75</v>
      </c>
      <c r="JC14" s="48">
        <v>236053.739</v>
      </c>
      <c r="JD14" s="48">
        <v>236191.58199999999</v>
      </c>
      <c r="JE14" s="48">
        <v>236412.166</v>
      </c>
      <c r="JF14" s="48">
        <v>236514.867</v>
      </c>
      <c r="JG14" s="48">
        <v>236611.78200000001</v>
      </c>
      <c r="JH14" s="48">
        <v>236709.628</v>
      </c>
      <c r="JI14" s="48">
        <v>236826.43900000001</v>
      </c>
      <c r="JJ14" s="48">
        <v>236913.71599999999</v>
      </c>
      <c r="JK14" s="48">
        <v>237072.39799999999</v>
      </c>
      <c r="JL14" s="48">
        <v>237174.26500000001</v>
      </c>
      <c r="JM14" s="48">
        <v>237327.53</v>
      </c>
      <c r="JN14" s="48">
        <v>237431.44200000001</v>
      </c>
      <c r="JO14" s="48">
        <v>237522.174</v>
      </c>
      <c r="JP14" s="48">
        <v>237621.87100000001</v>
      </c>
      <c r="JQ14" s="48">
        <v>237720.647</v>
      </c>
      <c r="JR14" s="48">
        <v>237804.78700000001</v>
      </c>
      <c r="JS14" s="48">
        <v>238022.304</v>
      </c>
      <c r="JT14" s="48">
        <v>238110.704</v>
      </c>
      <c r="JU14" s="48">
        <v>238269.658</v>
      </c>
      <c r="JV14" s="48">
        <v>238471.77100000001</v>
      </c>
      <c r="JW14" s="48">
        <v>238557.003</v>
      </c>
      <c r="JX14" s="48">
        <v>238724.519</v>
      </c>
      <c r="JY14" s="48">
        <v>238905.58799999999</v>
      </c>
      <c r="JZ14" s="126"/>
      <c r="KA14" s="48">
        <v>239046.872</v>
      </c>
      <c r="KB14" s="48">
        <v>239392.459</v>
      </c>
      <c r="KC14" s="48">
        <v>239526.84400000001</v>
      </c>
      <c r="KD14" s="48">
        <v>239613.93799999999</v>
      </c>
      <c r="KE14" s="48">
        <v>239774.62700000001</v>
      </c>
      <c r="KF14" s="48">
        <v>239858.53899999999</v>
      </c>
      <c r="KG14" s="48">
        <v>239945.91699999999</v>
      </c>
      <c r="KH14" s="48">
        <v>240008.905</v>
      </c>
      <c r="KI14" s="48">
        <v>240167.027</v>
      </c>
      <c r="KJ14" s="48">
        <v>240274.024</v>
      </c>
      <c r="KK14" s="48">
        <v>240403.82800000001</v>
      </c>
      <c r="KL14" s="48">
        <v>240485.7</v>
      </c>
      <c r="KM14" s="48">
        <v>240635.41099999999</v>
      </c>
      <c r="KN14" s="48">
        <v>240756.49799999999</v>
      </c>
      <c r="KO14" s="48">
        <v>240883.505</v>
      </c>
      <c r="KP14" s="48">
        <v>241026.57500000001</v>
      </c>
      <c r="KQ14" s="48">
        <v>241114.23</v>
      </c>
      <c r="KR14" s="48">
        <v>241240.25399999999</v>
      </c>
      <c r="KS14" s="48">
        <v>241365.701</v>
      </c>
      <c r="KT14" s="48">
        <v>241484.48300000001</v>
      </c>
      <c r="KU14" s="48">
        <v>241646.23699999999</v>
      </c>
      <c r="KV14" s="48">
        <v>241697.25599999999</v>
      </c>
      <c r="KW14" s="48">
        <v>241848.37700000001</v>
      </c>
      <c r="KX14" s="48">
        <v>242002.66699999999</v>
      </c>
      <c r="KY14" s="48">
        <v>242121.43900000001</v>
      </c>
      <c r="KZ14" s="48">
        <v>242274.41699999999</v>
      </c>
      <c r="LA14" s="48">
        <v>242419.177</v>
      </c>
      <c r="LB14" s="48">
        <v>242485.33</v>
      </c>
      <c r="LC14" s="48">
        <v>242609.90299999999</v>
      </c>
      <c r="LD14" s="48">
        <v>242763.64499999999</v>
      </c>
      <c r="LE14" s="48">
        <v>242972.364</v>
      </c>
      <c r="LF14" s="126"/>
      <c r="LG14" s="48">
        <v>243286.492</v>
      </c>
      <c r="LH14" s="48">
        <v>243509.837</v>
      </c>
      <c r="LI14" s="48">
        <v>243707.02900000001</v>
      </c>
      <c r="LJ14" s="48">
        <v>243906.92600000001</v>
      </c>
      <c r="LK14" s="48">
        <v>244054.46400000001</v>
      </c>
      <c r="LL14" s="48">
        <v>244176.951</v>
      </c>
      <c r="LM14" s="48">
        <v>244542.37400000001</v>
      </c>
      <c r="LN14" s="48">
        <v>244882.28599999999</v>
      </c>
      <c r="LO14" s="48">
        <v>245044.45800000001</v>
      </c>
      <c r="LP14" s="48">
        <v>245185.74799999999</v>
      </c>
      <c r="LQ14" s="48">
        <v>245340.144</v>
      </c>
      <c r="LR14" s="48">
        <v>245500.63800000001</v>
      </c>
      <c r="LS14" s="48">
        <v>245608.84700000001</v>
      </c>
      <c r="LT14" s="48">
        <v>245725.12700000001</v>
      </c>
      <c r="LU14" s="48">
        <v>245935.71599999999</v>
      </c>
      <c r="LV14" s="48">
        <v>246060.94500000001</v>
      </c>
      <c r="LW14" s="48">
        <v>246204.18299999999</v>
      </c>
      <c r="LX14" s="48">
        <v>246377.823</v>
      </c>
      <c r="LY14" s="48">
        <v>246545.943</v>
      </c>
      <c r="LZ14" s="48">
        <v>246741.576</v>
      </c>
      <c r="MA14" s="48">
        <v>246907.15599999999</v>
      </c>
      <c r="MB14" s="48">
        <v>247163.38500000001</v>
      </c>
      <c r="MC14" s="48">
        <v>247248.25200000001</v>
      </c>
      <c r="MD14" s="48">
        <v>247495.39799999999</v>
      </c>
      <c r="ME14" s="48">
        <v>247623.61300000001</v>
      </c>
      <c r="MF14" s="48">
        <v>247767.459</v>
      </c>
      <c r="MG14" s="48">
        <v>247913.63200000001</v>
      </c>
      <c r="MH14" s="48">
        <v>248118.435</v>
      </c>
      <c r="MI14" s="48">
        <v>248305.1</v>
      </c>
      <c r="MJ14" s="48">
        <v>248384.2</v>
      </c>
      <c r="MK14" s="126"/>
      <c r="ML14" s="48">
        <v>248544.77299999999</v>
      </c>
      <c r="MM14" s="48">
        <v>248736.19899999999</v>
      </c>
      <c r="MN14" s="48">
        <v>248871.29</v>
      </c>
      <c r="MO14" s="48">
        <v>249058.97700000001</v>
      </c>
      <c r="MP14" s="48">
        <v>249164.16800000001</v>
      </c>
      <c r="MQ14" s="48">
        <v>249248.55799999999</v>
      </c>
      <c r="MR14" s="48">
        <v>249460.443</v>
      </c>
      <c r="MS14" s="48">
        <v>249569.03099999999</v>
      </c>
      <c r="MT14" s="48">
        <v>249680.15900000001</v>
      </c>
      <c r="MU14" s="48">
        <v>249739.59400000001</v>
      </c>
      <c r="MV14" s="48">
        <v>249894.495</v>
      </c>
      <c r="MW14" s="48">
        <v>250062.90599999999</v>
      </c>
      <c r="MX14" s="48">
        <v>250302.318</v>
      </c>
      <c r="MY14" s="48">
        <v>250455.99299999999</v>
      </c>
      <c r="MZ14" s="48">
        <v>250560.46599999999</v>
      </c>
      <c r="NA14" s="48">
        <v>250731.34599999999</v>
      </c>
      <c r="NB14" s="48">
        <v>250899.8</v>
      </c>
      <c r="NC14" s="48">
        <v>251074.75099999999</v>
      </c>
      <c r="ND14" s="48">
        <v>251262.45199999999</v>
      </c>
      <c r="NE14" s="48">
        <v>251437.11199999999</v>
      </c>
      <c r="NF14" s="48">
        <v>251526.519</v>
      </c>
      <c r="NG14" s="48">
        <v>251623.397</v>
      </c>
      <c r="NH14" s="48">
        <v>251721.372</v>
      </c>
      <c r="NI14" s="48">
        <v>251829.54199999999</v>
      </c>
      <c r="NJ14" s="48">
        <v>251957.80799999999</v>
      </c>
      <c r="NK14" s="48">
        <v>252104.40299999999</v>
      </c>
      <c r="NL14" s="48">
        <v>252304.20499999999</v>
      </c>
      <c r="NM14" s="48">
        <v>252396.02900000001</v>
      </c>
      <c r="NN14" s="48">
        <v>252543.40900000001</v>
      </c>
      <c r="NO14" s="48">
        <v>252656.66800000001</v>
      </c>
      <c r="NP14" s="48">
        <v>252770.98800000001</v>
      </c>
      <c r="NQ14" s="126"/>
      <c r="NR14" s="48">
        <v>252917.32399999999</v>
      </c>
      <c r="NS14" s="48">
        <v>253021.052</v>
      </c>
      <c r="NT14" s="48">
        <v>253154.97899999999</v>
      </c>
      <c r="NU14" s="48">
        <v>253292.087</v>
      </c>
      <c r="NV14" s="48">
        <v>253484.81200000001</v>
      </c>
      <c r="NW14" s="48">
        <v>253721.068</v>
      </c>
      <c r="NX14" s="48">
        <v>253819.79500000001</v>
      </c>
      <c r="NY14" s="48">
        <v>253954.53200000001</v>
      </c>
      <c r="NZ14" s="48">
        <v>254103.92800000001</v>
      </c>
      <c r="OA14" s="48">
        <v>254235.59299999999</v>
      </c>
      <c r="OB14" s="48">
        <v>254386.103</v>
      </c>
      <c r="OC14" s="48">
        <v>254536.32199999999</v>
      </c>
      <c r="OD14" s="48">
        <v>254660.473</v>
      </c>
      <c r="OE14" s="48">
        <v>254845.212</v>
      </c>
      <c r="OF14" s="48">
        <v>254984.21900000001</v>
      </c>
      <c r="OG14" s="48">
        <v>255167.59299999999</v>
      </c>
      <c r="OH14" s="48">
        <v>255301.69200000001</v>
      </c>
      <c r="OI14" s="48">
        <v>255443.13200000001</v>
      </c>
      <c r="OJ14" s="48">
        <v>255563.133</v>
      </c>
      <c r="OK14" s="48">
        <v>255689.67300000001</v>
      </c>
      <c r="OL14" s="48">
        <v>255871.64199999999</v>
      </c>
      <c r="OM14" s="48">
        <v>255992.18599999999</v>
      </c>
      <c r="ON14" s="48">
        <v>256128.095</v>
      </c>
      <c r="OO14" s="48">
        <v>256273.35</v>
      </c>
      <c r="OP14" s="48">
        <v>256335.804</v>
      </c>
      <c r="OQ14" s="48">
        <v>256499.74299999999</v>
      </c>
      <c r="OR14" s="48">
        <v>256659.93900000001</v>
      </c>
      <c r="OS14" s="48">
        <v>256747.68900000001</v>
      </c>
      <c r="OT14" s="48">
        <v>256847.13399999999</v>
      </c>
      <c r="OU14" s="48">
        <v>257037.288</v>
      </c>
      <c r="OV14" s="48">
        <v>257229.36</v>
      </c>
      <c r="OW14" s="126"/>
      <c r="OX14" s="48">
        <v>257362.584</v>
      </c>
      <c r="OY14" s="48">
        <v>257451.47899999999</v>
      </c>
      <c r="OZ14" s="48">
        <v>257559.25200000001</v>
      </c>
      <c r="PA14" s="48">
        <v>257698.34</v>
      </c>
      <c r="PB14" s="48">
        <v>257836.46599999999</v>
      </c>
      <c r="PC14" s="48">
        <v>258010.72200000001</v>
      </c>
      <c r="PD14" s="48">
        <v>258284.644</v>
      </c>
      <c r="PE14" s="48">
        <v>258348.83900000001</v>
      </c>
      <c r="PF14" s="48">
        <v>258402.77</v>
      </c>
      <c r="PG14" s="48">
        <v>258448.03599999999</v>
      </c>
      <c r="PH14" s="48">
        <v>258579.60500000001</v>
      </c>
      <c r="PI14" s="48">
        <v>258688.26199999999</v>
      </c>
      <c r="PJ14" s="48">
        <v>258839.00599999999</v>
      </c>
      <c r="PK14" s="48">
        <v>259053.99600000001</v>
      </c>
      <c r="PL14" s="48">
        <v>259124.014</v>
      </c>
      <c r="PM14" s="48">
        <v>259243.84700000001</v>
      </c>
      <c r="PN14" s="48">
        <v>259375.02</v>
      </c>
      <c r="PO14" s="48">
        <v>259492.14499999999</v>
      </c>
      <c r="PP14" s="48">
        <v>259629.97399999999</v>
      </c>
      <c r="PQ14" s="48">
        <v>259753.60699999999</v>
      </c>
      <c r="PR14" s="48">
        <v>259814.95800000001</v>
      </c>
      <c r="PS14" s="48">
        <v>259856.467</v>
      </c>
      <c r="PT14" s="48">
        <v>259970.326</v>
      </c>
      <c r="PU14" s="48">
        <v>260107.12</v>
      </c>
      <c r="PV14" s="48">
        <v>260170.97700000001</v>
      </c>
      <c r="PW14" s="48">
        <v>260246.20800000001</v>
      </c>
      <c r="PX14" s="48">
        <v>260379.60399999999</v>
      </c>
      <c r="PY14" s="48">
        <v>260450.66500000001</v>
      </c>
      <c r="PZ14" s="48">
        <v>260560.592</v>
      </c>
      <c r="QA14" s="48">
        <v>260661.14799999999</v>
      </c>
      <c r="QB14" s="126"/>
      <c r="QC14" s="48">
        <v>260760.35399999999</v>
      </c>
      <c r="QD14" s="48">
        <v>260818.04800000001</v>
      </c>
      <c r="QE14" s="48">
        <v>260885.24799999999</v>
      </c>
      <c r="QF14" s="48">
        <v>261012.79800000001</v>
      </c>
      <c r="QG14" s="48">
        <v>261125.77799999999</v>
      </c>
      <c r="QH14" s="48">
        <v>261243.978</v>
      </c>
      <c r="QI14" s="48">
        <v>261473.15</v>
      </c>
      <c r="QJ14" s="48">
        <v>261555.75</v>
      </c>
      <c r="QK14" s="48">
        <v>261694.60699999999</v>
      </c>
      <c r="QL14" s="48">
        <v>261803.014</v>
      </c>
      <c r="QM14" s="48">
        <v>261924.014</v>
      </c>
      <c r="QN14" s="48">
        <v>262088.71400000001</v>
      </c>
      <c r="QO14" s="48">
        <v>262177.31400000001</v>
      </c>
      <c r="QP14" s="48">
        <v>262325.38900000002</v>
      </c>
      <c r="QQ14" s="48">
        <v>262456.28899999999</v>
      </c>
      <c r="QR14" s="48">
        <v>262529.68900000001</v>
      </c>
      <c r="QS14" s="48">
        <v>262688.16399999999</v>
      </c>
      <c r="QT14" s="48">
        <v>262784.78100000002</v>
      </c>
      <c r="QU14" s="48">
        <v>262942.78100000002</v>
      </c>
      <c r="QV14" s="48">
        <v>263071.78100000002</v>
      </c>
      <c r="QW14" s="48">
        <v>263206.38099999999</v>
      </c>
      <c r="QX14" s="48">
        <v>263289.58100000001</v>
      </c>
      <c r="QY14" s="48">
        <v>263337.08100000001</v>
      </c>
      <c r="QZ14" s="48">
        <v>263419.10600000003</v>
      </c>
      <c r="RA14" s="48">
        <v>263621.136</v>
      </c>
      <c r="RB14" s="48">
        <v>263775.83600000001</v>
      </c>
      <c r="RC14" s="48">
        <v>263874.71000000002</v>
      </c>
      <c r="RD14" s="48">
        <v>264002.038</v>
      </c>
      <c r="RE14" s="48">
        <v>264121.73800000001</v>
      </c>
      <c r="RF14" s="48">
        <v>264215.70600000001</v>
      </c>
      <c r="RG14" s="48">
        <v>264313.01899999997</v>
      </c>
      <c r="RH14" s="126"/>
      <c r="RI14" s="48">
        <v>264536.31300000002</v>
      </c>
      <c r="RJ14" s="48">
        <v>264628.51799999998</v>
      </c>
      <c r="RK14" s="48">
        <v>264695.261</v>
      </c>
      <c r="RL14" s="48">
        <v>264889.283</v>
      </c>
      <c r="RM14" s="48">
        <v>264986.11800000002</v>
      </c>
      <c r="RN14" s="48">
        <v>265094.065</v>
      </c>
      <c r="RO14" s="48">
        <v>265177.66899999999</v>
      </c>
      <c r="RP14" s="48">
        <v>265328.18800000002</v>
      </c>
      <c r="RQ14" s="48">
        <v>265507.57900000003</v>
      </c>
      <c r="RR14" s="48">
        <v>265606.20400000003</v>
      </c>
      <c r="RS14" s="48">
        <v>265695.80200000003</v>
      </c>
      <c r="RT14" s="48">
        <v>265797.62699999998</v>
      </c>
      <c r="RU14" s="48">
        <v>265875.59499999997</v>
      </c>
      <c r="RV14" s="48">
        <v>265945.64500000002</v>
      </c>
      <c r="RW14" s="48">
        <v>266058.29800000001</v>
      </c>
      <c r="RX14" s="48">
        <v>266237.245</v>
      </c>
      <c r="RY14" s="48">
        <v>266302.19099999999</v>
      </c>
      <c r="RZ14" s="48">
        <v>266397.353</v>
      </c>
      <c r="SA14" s="48">
        <v>266577.24</v>
      </c>
      <c r="SB14" s="48">
        <v>266687.45699999999</v>
      </c>
      <c r="SC14" s="48">
        <v>266866.20500000002</v>
      </c>
      <c r="SD14" s="48">
        <v>266980.408</v>
      </c>
      <c r="SE14" s="48">
        <v>267157.73100000003</v>
      </c>
      <c r="SF14" s="48">
        <v>267309.58500000002</v>
      </c>
      <c r="SG14" s="48">
        <v>267379.723</v>
      </c>
      <c r="SH14" s="48">
        <v>267527.88799999998</v>
      </c>
      <c r="SI14" s="48">
        <v>267678.83</v>
      </c>
      <c r="SJ14" s="48">
        <v>267777.76500000001</v>
      </c>
      <c r="SK14" s="48">
        <v>267894.005</v>
      </c>
      <c r="SL14" s="48">
        <v>268142.96500000003</v>
      </c>
      <c r="SM14" s="126"/>
      <c r="SN14" s="48">
        <v>268263.40500000003</v>
      </c>
      <c r="SO14" s="48">
        <v>268350.51199999999</v>
      </c>
      <c r="SP14" s="48">
        <v>268476.27</v>
      </c>
      <c r="SQ14" s="48">
        <v>268613.88799999998</v>
      </c>
      <c r="SR14" s="48">
        <v>268718.58199999999</v>
      </c>
      <c r="SS14" s="48">
        <v>268823.07299999997</v>
      </c>
      <c r="ST14" s="48">
        <v>268986.25400000002</v>
      </c>
      <c r="SU14" s="48">
        <v>269089.91999999998</v>
      </c>
      <c r="SV14" s="48">
        <v>269224.614</v>
      </c>
      <c r="SW14" s="48">
        <v>269416.04300000001</v>
      </c>
      <c r="SX14" s="48">
        <v>269632.80900000001</v>
      </c>
      <c r="SY14" s="48">
        <v>269773.29300000001</v>
      </c>
      <c r="SZ14" s="48">
        <v>269970.01</v>
      </c>
      <c r="TA14" s="48">
        <v>270115.71500000003</v>
      </c>
      <c r="TB14" s="48">
        <v>270198.935</v>
      </c>
      <c r="TC14" s="48">
        <v>270324.29100000003</v>
      </c>
      <c r="TD14" s="48">
        <v>270424.66499999998</v>
      </c>
      <c r="TE14" s="48">
        <v>270553.59399999998</v>
      </c>
      <c r="TF14" s="48">
        <v>270702.299</v>
      </c>
      <c r="TG14" s="48">
        <v>270807.60600000003</v>
      </c>
      <c r="TH14" s="48">
        <v>270963.81599999999</v>
      </c>
      <c r="TI14" s="48">
        <v>271114.85600000003</v>
      </c>
      <c r="TJ14" s="48">
        <v>271245.51899999997</v>
      </c>
      <c r="TK14" s="48">
        <v>271439.58199999999</v>
      </c>
      <c r="TL14" s="48">
        <v>271463.30099999998</v>
      </c>
      <c r="TM14" s="48">
        <v>271525.25799999997</v>
      </c>
      <c r="TN14" s="48">
        <v>271621.05800000002</v>
      </c>
      <c r="TO14" s="48">
        <v>271730.86599999998</v>
      </c>
      <c r="TP14" s="48">
        <v>271841.08399999997</v>
      </c>
      <c r="TQ14" s="48">
        <v>271930.23999999999</v>
      </c>
      <c r="TR14" s="48">
        <v>272052.72700000001</v>
      </c>
      <c r="TS14" s="126"/>
      <c r="TT14" s="48">
        <v>272086.05699999997</v>
      </c>
      <c r="TU14" s="48">
        <v>272175.21299999999</v>
      </c>
      <c r="TV14" s="48">
        <v>272269.68</v>
      </c>
      <c r="TW14" s="48">
        <v>272348.70699999999</v>
      </c>
      <c r="TX14" s="48">
        <v>272443.78999999998</v>
      </c>
      <c r="TY14" s="48">
        <v>272570.88299999997</v>
      </c>
      <c r="TZ14" s="48">
        <v>272738.973</v>
      </c>
      <c r="UA14" s="48">
        <v>272835.48700000002</v>
      </c>
      <c r="UB14" s="48">
        <v>272942.13</v>
      </c>
      <c r="UC14" s="48">
        <v>273098.84000000003</v>
      </c>
      <c r="UD14" s="48">
        <v>273254.234</v>
      </c>
      <c r="UE14" s="48">
        <v>273381.63400000002</v>
      </c>
      <c r="UF14" s="48">
        <v>273468.95</v>
      </c>
      <c r="UG14" s="48">
        <v>273602.28100000002</v>
      </c>
      <c r="UH14" s="48">
        <v>273708.408</v>
      </c>
      <c r="UI14" s="48">
        <v>273788.76899999997</v>
      </c>
      <c r="UJ14" s="48">
        <v>273867.08399999997</v>
      </c>
      <c r="UK14" s="48">
        <v>274004.08</v>
      </c>
      <c r="UL14" s="48">
        <v>274052.95699999999</v>
      </c>
      <c r="UM14" s="48">
        <v>274164.60700000002</v>
      </c>
      <c r="UN14" s="48">
        <v>274220.01799999998</v>
      </c>
      <c r="UO14" s="48">
        <v>274374.81300000002</v>
      </c>
      <c r="UP14" s="48">
        <v>274540.27799999999</v>
      </c>
      <c r="UQ14" s="48">
        <v>274693.64600000001</v>
      </c>
      <c r="UR14" s="48">
        <v>274815.92800000001</v>
      </c>
      <c r="US14" s="48">
        <v>274943.11700000003</v>
      </c>
      <c r="UT14" s="48">
        <v>275069.68</v>
      </c>
      <c r="UU14" s="48">
        <v>275151.06199999998</v>
      </c>
      <c r="UV14" s="48">
        <v>275227.33899999998</v>
      </c>
      <c r="UW14" s="48">
        <v>275377.32900000003</v>
      </c>
      <c r="UX14" s="48">
        <v>275544.799</v>
      </c>
      <c r="UY14" s="126"/>
      <c r="UZ14" s="48">
        <v>275735.26</v>
      </c>
      <c r="VA14" s="48">
        <v>275855.59899999999</v>
      </c>
      <c r="VB14" s="48">
        <v>275936.78100000002</v>
      </c>
      <c r="VC14" s="48">
        <v>276087.28000000003</v>
      </c>
      <c r="VD14" s="48">
        <v>276210.17</v>
      </c>
      <c r="VE14" s="48">
        <v>276363.114</v>
      </c>
      <c r="VF14" s="48">
        <v>276604.21000000002</v>
      </c>
      <c r="VG14" s="48">
        <v>276693.39199999999</v>
      </c>
      <c r="VH14" s="48">
        <v>276779.62800000003</v>
      </c>
      <c r="VI14" s="48">
        <v>276891.96899999998</v>
      </c>
      <c r="VJ14" s="48">
        <v>276959.929</v>
      </c>
      <c r="VK14" s="48">
        <v>277079.92800000001</v>
      </c>
      <c r="VL14" s="48">
        <v>277180.94300000003</v>
      </c>
      <c r="VM14" s="48">
        <v>277441.34600000002</v>
      </c>
      <c r="VN14" s="48">
        <v>277498.07900000003</v>
      </c>
      <c r="VO14" s="48">
        <v>277721.26299999998</v>
      </c>
      <c r="VP14" s="48">
        <v>277844.391</v>
      </c>
      <c r="VQ14" s="48">
        <v>277916.22399999999</v>
      </c>
      <c r="VR14" s="48">
        <v>278017.42599999998</v>
      </c>
      <c r="VS14" s="48">
        <v>278160.09700000001</v>
      </c>
      <c r="VT14" s="48">
        <v>278257.64399999997</v>
      </c>
      <c r="VU14" s="48">
        <v>278386.00099999999</v>
      </c>
      <c r="VV14" s="48">
        <v>278545.77500000002</v>
      </c>
      <c r="VW14" s="48">
        <v>278657.10600000003</v>
      </c>
      <c r="VX14" s="48">
        <v>278766.89500000002</v>
      </c>
      <c r="VY14" s="48">
        <v>278855.05200000003</v>
      </c>
      <c r="VZ14" s="48">
        <v>278993.83100000001</v>
      </c>
      <c r="WA14" s="48">
        <v>279137.71399999998</v>
      </c>
      <c r="WB14" s="126"/>
      <c r="WC14" s="48">
        <v>279269.15100000001</v>
      </c>
      <c r="WD14" s="48">
        <v>279340.17200000002</v>
      </c>
      <c r="WE14" s="48">
        <v>279405.68</v>
      </c>
      <c r="WF14" s="48">
        <v>279508.3</v>
      </c>
      <c r="WG14" s="48">
        <v>279569.93</v>
      </c>
      <c r="WH14" s="48">
        <v>279678.10200000001</v>
      </c>
      <c r="WI14" s="48">
        <v>279777.90999999997</v>
      </c>
      <c r="WJ14" s="48">
        <v>279908.69</v>
      </c>
      <c r="WK14" s="48">
        <v>280029.30599999998</v>
      </c>
      <c r="WL14" s="48">
        <v>280171.12800000003</v>
      </c>
      <c r="WM14" s="48">
        <v>280359.62</v>
      </c>
      <c r="WN14" s="48">
        <v>280445.94500000001</v>
      </c>
      <c r="WO14" s="48">
        <v>280551.89</v>
      </c>
      <c r="WP14" s="48">
        <v>280682.09100000001</v>
      </c>
      <c r="WQ14" s="48">
        <v>280878.85800000001</v>
      </c>
      <c r="WR14" s="48">
        <v>280930.89600000001</v>
      </c>
      <c r="WS14" s="48">
        <v>281018.03899999999</v>
      </c>
      <c r="WT14" s="48">
        <v>281138.65700000001</v>
      </c>
      <c r="WU14" s="48">
        <v>281309.96899999998</v>
      </c>
      <c r="WV14" s="48">
        <v>281394.05200000003</v>
      </c>
      <c r="WW14" s="48">
        <v>281487.52799999999</v>
      </c>
      <c r="WX14" s="48">
        <v>281668.19199999998</v>
      </c>
      <c r="WY14" s="48">
        <v>281800.65700000001</v>
      </c>
      <c r="WZ14" s="48">
        <v>281933.71899999998</v>
      </c>
      <c r="XA14" s="48">
        <v>282029.11900000001</v>
      </c>
      <c r="XB14" s="48">
        <v>282128.86300000001</v>
      </c>
      <c r="XC14" s="48">
        <v>282231.86700000003</v>
      </c>
      <c r="XD14" s="48">
        <v>282313.49699999997</v>
      </c>
      <c r="XE14" s="48">
        <v>282464.93800000002</v>
      </c>
      <c r="XF14" s="48">
        <v>282572.07799999998</v>
      </c>
      <c r="XG14" s="48">
        <v>282637.99699999997</v>
      </c>
      <c r="XH14" s="126"/>
      <c r="XI14" s="48">
        <v>282701.66899999999</v>
      </c>
      <c r="XJ14" s="48">
        <v>282807.185</v>
      </c>
      <c r="XK14" s="48">
        <v>282956.46899999998</v>
      </c>
      <c r="XL14" s="48">
        <v>283049.90000000002</v>
      </c>
      <c r="XM14" s="48">
        <v>283135.86</v>
      </c>
      <c r="XN14" s="48">
        <v>283199.61300000001</v>
      </c>
      <c r="XO14" s="48">
        <v>283269.79599999997</v>
      </c>
      <c r="XP14" s="48">
        <v>283371.94099999999</v>
      </c>
      <c r="XQ14" s="48">
        <v>283429.86099999998</v>
      </c>
      <c r="XR14" s="48">
        <v>283579.288</v>
      </c>
      <c r="XS14" s="48">
        <v>283694.315</v>
      </c>
      <c r="XT14" s="48">
        <v>283817.94900000002</v>
      </c>
      <c r="XU14" s="48">
        <v>283901.228</v>
      </c>
      <c r="XV14" s="48">
        <v>284045.92700000003</v>
      </c>
      <c r="XW14" s="48">
        <v>284181.00400000002</v>
      </c>
      <c r="XX14" s="48">
        <v>284304.413</v>
      </c>
      <c r="XY14" s="48">
        <v>284462.78000000003</v>
      </c>
      <c r="XZ14" s="48">
        <v>284539.13400000002</v>
      </c>
      <c r="YA14" s="48">
        <v>284668.109</v>
      </c>
      <c r="YB14" s="48">
        <v>284731.538</v>
      </c>
      <c r="YC14" s="48">
        <v>284860.69699999999</v>
      </c>
      <c r="YD14" s="48">
        <v>285031.99300000002</v>
      </c>
      <c r="YE14" s="48">
        <v>285130.63900000002</v>
      </c>
      <c r="YF14" s="48">
        <v>285190.43199999997</v>
      </c>
      <c r="YG14" s="48">
        <v>285307.18699999998</v>
      </c>
      <c r="YH14" s="48">
        <v>285466.83799999999</v>
      </c>
      <c r="YI14" s="48">
        <v>285559.95500000002</v>
      </c>
      <c r="YJ14" s="48">
        <v>285735.29399999999</v>
      </c>
      <c r="YK14" s="48">
        <v>285882.005</v>
      </c>
      <c r="YL14" s="48">
        <v>286047.84000000003</v>
      </c>
      <c r="YM14" s="126"/>
      <c r="YN14" s="48">
        <v>286113.277</v>
      </c>
      <c r="YO14" s="48">
        <v>286242.95799999998</v>
      </c>
      <c r="YP14" s="48">
        <v>286451.027</v>
      </c>
      <c r="YQ14" s="48">
        <v>286637.27100000001</v>
      </c>
      <c r="YR14" s="48">
        <v>286825.14299999998</v>
      </c>
      <c r="YS14" s="48">
        <v>286983.20199999999</v>
      </c>
      <c r="YT14" s="48">
        <v>287090.06199999998</v>
      </c>
      <c r="YU14" s="48">
        <v>287090.06199999998</v>
      </c>
      <c r="YV14" s="48">
        <v>287174.49800000002</v>
      </c>
      <c r="YW14" s="48">
        <v>287317.31199999998</v>
      </c>
      <c r="YX14" s="48">
        <v>287466.39399999997</v>
      </c>
      <c r="YY14" s="48">
        <v>287560.32500000001</v>
      </c>
      <c r="YZ14" s="48">
        <v>287648.99699999997</v>
      </c>
      <c r="ZA14" s="48">
        <v>287772.01199999999</v>
      </c>
      <c r="ZB14" s="48">
        <v>287926.73100000003</v>
      </c>
      <c r="ZC14" s="48">
        <v>288029.63299999997</v>
      </c>
      <c r="ZD14" s="48">
        <v>288212.46600000001</v>
      </c>
      <c r="ZE14" s="48">
        <v>288342.63799999998</v>
      </c>
      <c r="ZF14" s="48">
        <v>288507.27</v>
      </c>
      <c r="ZG14" s="48">
        <v>288657.35399999999</v>
      </c>
      <c r="ZH14" s="48">
        <v>288828.19400000002</v>
      </c>
      <c r="ZI14" s="48">
        <v>288954.842</v>
      </c>
      <c r="ZJ14" s="48">
        <v>289090.28200000001</v>
      </c>
      <c r="ZK14" s="48">
        <v>289304.60800000001</v>
      </c>
      <c r="ZL14" s="48">
        <v>289428.23</v>
      </c>
      <c r="ZM14" s="48">
        <v>289584.17099999997</v>
      </c>
      <c r="ZN14" s="48">
        <v>289734.272</v>
      </c>
      <c r="ZO14" s="48">
        <v>289866.73499999999</v>
      </c>
      <c r="ZP14" s="48">
        <v>290029.46000000002</v>
      </c>
      <c r="ZQ14" s="48">
        <v>290175.451</v>
      </c>
      <c r="ZR14" s="48">
        <v>290344.19199999998</v>
      </c>
      <c r="ZS14" s="126"/>
      <c r="ZT14" s="48">
        <v>290491.52799999999</v>
      </c>
      <c r="ZU14" s="48">
        <v>290600.761</v>
      </c>
      <c r="ZV14" s="48">
        <v>290738.23800000001</v>
      </c>
      <c r="ZW14" s="48">
        <v>290880.07799999998</v>
      </c>
      <c r="ZX14" s="48">
        <v>291056.63900000002</v>
      </c>
      <c r="ZY14" s="48">
        <v>291185.25099999999</v>
      </c>
      <c r="ZZ14" s="48">
        <v>291350.68199999997</v>
      </c>
      <c r="AAA14" s="48">
        <v>291540.65500000003</v>
      </c>
      <c r="AAB14" s="48">
        <v>291671.51899999997</v>
      </c>
      <c r="AAC14" s="48">
        <v>291807.79399999999</v>
      </c>
      <c r="AAD14" s="48">
        <v>291907.50599999999</v>
      </c>
      <c r="AAE14" s="48">
        <v>292027.946</v>
      </c>
      <c r="AAF14" s="48">
        <v>292225.54200000002</v>
      </c>
      <c r="AAG14" s="48">
        <v>292439.20600000001</v>
      </c>
      <c r="AAH14" s="48">
        <v>292546.62800000003</v>
      </c>
      <c r="AAI14" s="48">
        <v>292693.41200000001</v>
      </c>
      <c r="AAJ14" s="48">
        <v>292826.86</v>
      </c>
      <c r="AAK14" s="48">
        <v>292956.92300000001</v>
      </c>
      <c r="AAL14" s="48">
        <v>293091.239</v>
      </c>
      <c r="AAM14" s="48">
        <v>293272.85200000001</v>
      </c>
      <c r="AAN14" s="48">
        <v>293483.255</v>
      </c>
      <c r="AAO14" s="48">
        <v>293640.73700000002</v>
      </c>
      <c r="AAP14" s="48">
        <v>293809.07500000001</v>
      </c>
      <c r="AAQ14" s="48">
        <v>293951.75699999998</v>
      </c>
      <c r="AAR14" s="48">
        <v>294082.37</v>
      </c>
      <c r="AAS14" s="48">
        <v>294195.39799999999</v>
      </c>
      <c r="AAT14" s="48">
        <v>294447.15700000001</v>
      </c>
      <c r="AAU14" s="48">
        <v>294676.18300000002</v>
      </c>
      <c r="AAV14" s="48">
        <v>294762.55200000003</v>
      </c>
      <c r="AAW14" s="48">
        <v>294904.03700000001</v>
      </c>
      <c r="AAX14" s="126"/>
      <c r="AAY14" s="48">
        <v>295064.245</v>
      </c>
      <c r="AAZ14" s="48">
        <v>295212.73800000001</v>
      </c>
      <c r="ABA14" s="48">
        <v>295348.33500000002</v>
      </c>
      <c r="ABB14" s="48">
        <v>295510.71299999999</v>
      </c>
      <c r="ABC14" s="48">
        <v>295763.45299999998</v>
      </c>
      <c r="ABD14" s="48">
        <v>295856.43800000002</v>
      </c>
      <c r="ABE14" s="48">
        <v>295950.63099999999</v>
      </c>
      <c r="ABF14" s="48">
        <v>296104.28899999999</v>
      </c>
      <c r="ABG14" s="48">
        <v>296225.533</v>
      </c>
      <c r="ABH14" s="48">
        <v>296369.42</v>
      </c>
      <c r="ABI14" s="48">
        <v>296522.14299999998</v>
      </c>
      <c r="ABJ14" s="48">
        <v>296593.67</v>
      </c>
      <c r="ABK14" s="48">
        <v>296739.15700000001</v>
      </c>
      <c r="ABL14" s="48">
        <v>296856.39500000002</v>
      </c>
      <c r="ABM14" s="48">
        <v>297037.54599999997</v>
      </c>
      <c r="ABN14" s="48">
        <v>297125.12099999998</v>
      </c>
      <c r="ABO14" s="48">
        <v>297299.647</v>
      </c>
      <c r="ABP14" s="48">
        <v>297468.788</v>
      </c>
      <c r="ABQ14" s="48">
        <v>297584.42099999997</v>
      </c>
      <c r="ABR14" s="48">
        <v>297686.02100000001</v>
      </c>
      <c r="ABS14" s="48">
        <v>297772.29300000001</v>
      </c>
      <c r="ABT14" s="48">
        <v>297885.51899999997</v>
      </c>
      <c r="ABU14" s="48">
        <v>298017.77500000002</v>
      </c>
      <c r="ABV14" s="48">
        <v>298140.81900000002</v>
      </c>
      <c r="ABW14" s="48">
        <v>298411.17200000002</v>
      </c>
      <c r="ABX14" s="48">
        <v>298533.43099999998</v>
      </c>
      <c r="ABY14" s="48">
        <v>298633.83</v>
      </c>
      <c r="ABZ14" s="48">
        <v>298791.88099999999</v>
      </c>
      <c r="ACA14" s="48">
        <v>298903.77899999998</v>
      </c>
      <c r="ACB14" s="48">
        <v>298996.16200000001</v>
      </c>
      <c r="ACC14" s="48">
        <v>299179.93400000001</v>
      </c>
      <c r="ACD14" s="126"/>
      <c r="ACE14" s="48">
        <v>299323.82400000002</v>
      </c>
      <c r="ACF14" s="48">
        <v>299492.97200000001</v>
      </c>
      <c r="ACG14" s="48">
        <v>299684.36099999998</v>
      </c>
      <c r="ACH14" s="48">
        <v>299838.67300000001</v>
      </c>
      <c r="ACI14" s="48">
        <v>300029.22200000001</v>
      </c>
      <c r="ACJ14" s="48">
        <v>300206.00799999997</v>
      </c>
      <c r="ACK14" s="48">
        <v>300377.34600000002</v>
      </c>
      <c r="ACL14" s="48">
        <v>300547.29399999999</v>
      </c>
      <c r="ACM14" s="48">
        <v>300714.348</v>
      </c>
      <c r="ACN14" s="48">
        <v>300794.62699999998</v>
      </c>
      <c r="ACO14" s="48">
        <v>301019.57900000003</v>
      </c>
      <c r="ACP14" s="48">
        <v>301138.54599999997</v>
      </c>
      <c r="ACQ14" s="48">
        <v>301234.02399999998</v>
      </c>
      <c r="ACR14" s="48">
        <v>301345.49400000001</v>
      </c>
      <c r="ACS14" s="48">
        <v>301442.66800000001</v>
      </c>
      <c r="ACT14" s="48">
        <v>301561.80499999999</v>
      </c>
      <c r="ACU14" s="48">
        <v>301757.63400000002</v>
      </c>
      <c r="ACV14" s="48">
        <v>301888.20500000002</v>
      </c>
      <c r="ACW14" s="48">
        <v>302030.679</v>
      </c>
      <c r="ACX14" s="48">
        <v>302130.53100000002</v>
      </c>
      <c r="ACY14" s="48">
        <v>302236.31400000001</v>
      </c>
      <c r="ACZ14" s="48">
        <v>302372.43099999998</v>
      </c>
      <c r="ADA14" s="48">
        <v>302475.31099999999</v>
      </c>
      <c r="ADB14" s="48">
        <v>302600.22700000001</v>
      </c>
      <c r="ADC14" s="48">
        <v>302649.63099999999</v>
      </c>
      <c r="ADD14" s="48">
        <v>302772.36800000002</v>
      </c>
      <c r="ADE14" s="48">
        <v>302928.99200000003</v>
      </c>
      <c r="ADF14" s="48">
        <v>303026.15500000003</v>
      </c>
      <c r="ADG14" s="48">
        <v>303254.46500000003</v>
      </c>
      <c r="ADH14" s="48">
        <v>303384.68800000002</v>
      </c>
      <c r="ADI14" s="48">
        <v>303469.84700000001</v>
      </c>
      <c r="ADJ14" s="126"/>
      <c r="ADK14" s="48">
        <v>303585.842</v>
      </c>
      <c r="ADL14" s="48">
        <v>303695.60200000001</v>
      </c>
      <c r="ADM14" s="48">
        <v>303780.65299999999</v>
      </c>
      <c r="ADN14" s="48">
        <v>303915.06099999999</v>
      </c>
      <c r="ADO14" s="48">
        <v>304061.011</v>
      </c>
      <c r="ADP14" s="48">
        <v>304206.837</v>
      </c>
      <c r="ADQ14" s="48">
        <v>304320.58899999998</v>
      </c>
      <c r="ADR14" s="48">
        <v>304456.951</v>
      </c>
      <c r="ADS14" s="48">
        <v>304633.85800000001</v>
      </c>
      <c r="ADT14" s="48">
        <v>304757.359</v>
      </c>
      <c r="ADU14" s="48">
        <v>304904.18400000001</v>
      </c>
      <c r="ADV14" s="48">
        <v>305007.913</v>
      </c>
      <c r="ADW14" s="48">
        <v>305160.41499999998</v>
      </c>
      <c r="ADX14" s="48">
        <v>305215.09899999999</v>
      </c>
      <c r="ADY14" s="48">
        <v>305358.44199999998</v>
      </c>
      <c r="ADZ14" s="48">
        <v>305507.571</v>
      </c>
      <c r="AEA14" s="48">
        <v>305553.68900000001</v>
      </c>
      <c r="AEB14" s="48">
        <v>305648.06699999998</v>
      </c>
      <c r="AEC14" s="48">
        <v>305704.94099999999</v>
      </c>
      <c r="AED14" s="48">
        <v>305820.56199999998</v>
      </c>
      <c r="AEE14" s="48">
        <v>305903.33500000002</v>
      </c>
      <c r="AEF14" s="48">
        <v>306088.522</v>
      </c>
      <c r="AEG14" s="48">
        <v>306219.93800000002</v>
      </c>
      <c r="AEH14" s="48">
        <v>306333.152</v>
      </c>
      <c r="AEI14" s="48">
        <v>306438.76299999998</v>
      </c>
      <c r="AEJ14" s="48">
        <v>306660.21799999999</v>
      </c>
      <c r="AEK14" s="48">
        <v>306818.44699999999</v>
      </c>
      <c r="AEL14" s="48">
        <v>306923.85600000003</v>
      </c>
      <c r="AEM14" s="48">
        <v>307049.07199999999</v>
      </c>
      <c r="AEN14" s="48">
        <v>307114.92800000001</v>
      </c>
      <c r="AEO14" s="126"/>
      <c r="AEP14" s="48">
        <v>307178.73</v>
      </c>
      <c r="AEQ14" s="48">
        <v>307278.23599999998</v>
      </c>
      <c r="AER14" s="48">
        <v>307476.41499999998</v>
      </c>
      <c r="AES14" s="48">
        <v>307543.79399999999</v>
      </c>
      <c r="AET14" s="48">
        <v>307625.02500000002</v>
      </c>
      <c r="AEU14" s="48">
        <v>307930.283</v>
      </c>
      <c r="AEV14" s="48">
        <v>308064.08799999999</v>
      </c>
      <c r="AEW14" s="48">
        <v>308201.69199999998</v>
      </c>
      <c r="AEX14" s="48">
        <v>308292.10100000002</v>
      </c>
      <c r="AEY14" s="48">
        <v>308437.03200000001</v>
      </c>
      <c r="AEZ14" s="48">
        <v>308565.25099999999</v>
      </c>
      <c r="AFA14" s="48">
        <v>308644.26400000002</v>
      </c>
      <c r="AFB14" s="48">
        <v>308779.27799999999</v>
      </c>
      <c r="AFC14" s="48">
        <v>308850.87699999998</v>
      </c>
      <c r="AFD14" s="48">
        <v>308912.67700000003</v>
      </c>
      <c r="AFE14" s="48">
        <v>309067.09499999997</v>
      </c>
      <c r="AFF14" s="48">
        <v>309131.69900000002</v>
      </c>
      <c r="AFG14" s="48">
        <v>309266.75400000002</v>
      </c>
      <c r="AFH14" s="48">
        <v>309409.36800000002</v>
      </c>
      <c r="AFI14" s="48">
        <v>309537.179</v>
      </c>
      <c r="AFJ14" s="48">
        <v>309680.89399999997</v>
      </c>
      <c r="AFK14" s="48">
        <v>309824.50400000002</v>
      </c>
      <c r="AFL14" s="48">
        <v>309906.11</v>
      </c>
      <c r="AFM14" s="48">
        <v>310033.72600000002</v>
      </c>
      <c r="AFN14" s="48">
        <v>310148.679</v>
      </c>
      <c r="AFO14" s="48">
        <v>310266.28499999997</v>
      </c>
      <c r="AFP14" s="48">
        <v>310358.10700000002</v>
      </c>
      <c r="AFQ14" s="48">
        <v>310459.72700000001</v>
      </c>
      <c r="AFR14" s="48">
        <v>310552.25199999998</v>
      </c>
      <c r="AFS14" s="48">
        <v>310671.90299999999</v>
      </c>
      <c r="AFT14" s="48">
        <v>310823.42200000002</v>
      </c>
      <c r="AFU14" s="126"/>
      <c r="AFV14" s="48">
        <v>310996.35700000002</v>
      </c>
      <c r="AFW14" s="48">
        <v>311189.18400000001</v>
      </c>
      <c r="AFX14" s="48">
        <v>311292.74800000002</v>
      </c>
      <c r="AFY14" s="48">
        <v>311442.65600000002</v>
      </c>
      <c r="AFZ14" s="48">
        <v>311596.80699999997</v>
      </c>
      <c r="AGA14" s="48">
        <v>311735.40000000002</v>
      </c>
      <c r="AGB14" s="48">
        <v>311864.20199999999</v>
      </c>
      <c r="AGC14" s="48">
        <v>311913.08899999998</v>
      </c>
      <c r="AGD14" s="48">
        <v>312070.73</v>
      </c>
      <c r="AGE14" s="48">
        <v>312176.99400000001</v>
      </c>
      <c r="AGF14" s="48">
        <v>312286.90600000002</v>
      </c>
      <c r="AGG14" s="48">
        <v>312411.56199999998</v>
      </c>
      <c r="AGH14" s="48">
        <v>312608.84700000001</v>
      </c>
      <c r="AGI14" s="48">
        <v>312710.06099999999</v>
      </c>
      <c r="AGJ14" s="48">
        <v>312791.14399999997</v>
      </c>
      <c r="AGK14" s="48">
        <v>312850.73499999999</v>
      </c>
      <c r="AGL14" s="48">
        <v>313013.59700000001</v>
      </c>
      <c r="AGM14" s="48">
        <v>313162.28999999998</v>
      </c>
      <c r="AGN14" s="48">
        <v>313286.53399999999</v>
      </c>
      <c r="AGO14" s="48">
        <v>313457.67</v>
      </c>
      <c r="AGP14" s="48">
        <v>313615.85800000001</v>
      </c>
      <c r="AGQ14" s="48">
        <v>313805.51199999999</v>
      </c>
      <c r="AGR14" s="48">
        <v>313874.38199999998</v>
      </c>
      <c r="AGS14" s="48">
        <v>314104.01199999999</v>
      </c>
      <c r="AGT14" s="48">
        <v>314247.462</v>
      </c>
      <c r="AGU14" s="48">
        <v>314362.81400000001</v>
      </c>
      <c r="AGV14" s="48">
        <v>314457.26699999999</v>
      </c>
      <c r="AGW14" s="48">
        <v>314604.53600000002</v>
      </c>
      <c r="AGX14" s="48">
        <v>314743.53000000003</v>
      </c>
      <c r="AGY14" s="48">
        <v>314852.83199999999</v>
      </c>
      <c r="AGZ14" s="126"/>
      <c r="AHA14" s="48">
        <v>314949.40500000003</v>
      </c>
      <c r="AHB14" s="48">
        <v>315076.27799999999</v>
      </c>
      <c r="AHC14" s="48">
        <v>315144.25300000003</v>
      </c>
      <c r="AHD14" s="48">
        <v>315285.95799999998</v>
      </c>
      <c r="AHE14" s="48">
        <v>315425.75699999998</v>
      </c>
      <c r="AHF14" s="48">
        <v>315545.35800000001</v>
      </c>
      <c r="AHG14" s="48">
        <v>315683.94</v>
      </c>
      <c r="AHH14" s="48">
        <v>315759.49599999998</v>
      </c>
      <c r="AHI14" s="48">
        <v>315860.91100000002</v>
      </c>
      <c r="AHJ14" s="48">
        <v>315999.31699999998</v>
      </c>
      <c r="AHK14" s="48">
        <v>316095.679</v>
      </c>
      <c r="AHL14" s="48">
        <v>316226.99300000002</v>
      </c>
      <c r="AHM14" s="48">
        <v>316408.63199999998</v>
      </c>
      <c r="AHN14" s="48">
        <v>316560.76199999999</v>
      </c>
      <c r="AHO14" s="48">
        <v>316735.82400000002</v>
      </c>
      <c r="AHP14" s="48">
        <v>316820.67599999998</v>
      </c>
      <c r="AHQ14" s="48">
        <v>316973.614</v>
      </c>
      <c r="AHR14" s="48">
        <v>317122.71500000003</v>
      </c>
      <c r="AHS14" s="48">
        <v>317255.16100000002</v>
      </c>
      <c r="AHT14" s="48">
        <v>317401.30099999998</v>
      </c>
      <c r="AHU14" s="48">
        <v>317555.19500000001</v>
      </c>
      <c r="AHV14" s="48">
        <v>317721.87699999998</v>
      </c>
      <c r="AHW14" s="48">
        <v>317881.46500000003</v>
      </c>
      <c r="AHX14" s="48">
        <v>318017.93800000002</v>
      </c>
      <c r="AHY14" s="48">
        <v>318155.22200000001</v>
      </c>
      <c r="AHZ14" s="48">
        <v>318235.63</v>
      </c>
      <c r="AIA14" s="48">
        <v>318323.10700000002</v>
      </c>
      <c r="AIB14" s="48">
        <v>318371.18900000001</v>
      </c>
      <c r="AIC14" s="48">
        <v>318448.158</v>
      </c>
      <c r="AID14" s="48">
        <v>318552.28999999998</v>
      </c>
      <c r="AIE14" s="48">
        <v>318700.58</v>
      </c>
      <c r="AIF14" s="126"/>
      <c r="AIG14" s="48">
        <v>318771.69400000002</v>
      </c>
      <c r="AIH14" s="48">
        <v>318875.94400000002</v>
      </c>
      <c r="AII14" s="48">
        <v>318994.01899999997</v>
      </c>
      <c r="AIJ14" s="48">
        <v>319083.81400000001</v>
      </c>
      <c r="AIK14" s="48">
        <v>319261.19199999998</v>
      </c>
      <c r="AIL14" s="48">
        <v>319392.30200000003</v>
      </c>
      <c r="AIM14" s="48">
        <v>319509.47700000001</v>
      </c>
      <c r="AIN14" s="48">
        <v>319606.62800000003</v>
      </c>
      <c r="AIO14" s="48">
        <v>319710.67499999999</v>
      </c>
      <c r="AIP14" s="48">
        <v>319862.42300000001</v>
      </c>
      <c r="AIQ14" s="48">
        <v>320032.136</v>
      </c>
      <c r="AIR14" s="48">
        <v>320138.02299999999</v>
      </c>
      <c r="AIS14" s="48">
        <v>320240.58399999997</v>
      </c>
      <c r="AIT14" s="48">
        <v>320348.99200000003</v>
      </c>
      <c r="AIU14" s="48">
        <v>320521.21799999999</v>
      </c>
      <c r="AIV14" s="48">
        <v>320555.82</v>
      </c>
      <c r="AIW14" s="48">
        <v>320588.424</v>
      </c>
      <c r="AIX14" s="48">
        <v>320608.22399999999</v>
      </c>
      <c r="AIY14" s="48">
        <v>320710.23599999998</v>
      </c>
      <c r="AIZ14" s="48">
        <v>320769.636</v>
      </c>
      <c r="AJA14" s="48">
        <v>320921.11800000002</v>
      </c>
      <c r="AJB14" s="48">
        <v>321154.72399999999</v>
      </c>
      <c r="AJC14" s="48">
        <v>321236.326</v>
      </c>
      <c r="AJD14" s="48">
        <v>321389.94799999997</v>
      </c>
      <c r="AJE14" s="48">
        <v>321560.08799999999</v>
      </c>
      <c r="AJF14" s="48">
        <v>321678.897</v>
      </c>
      <c r="AJG14" s="48">
        <v>321757.10399999999</v>
      </c>
      <c r="AJH14" s="48">
        <v>321798.28899999999</v>
      </c>
      <c r="AJI14" s="48">
        <v>321934.43900000001</v>
      </c>
      <c r="AJJ14" s="48">
        <v>322077.326</v>
      </c>
      <c r="AJK14" s="48">
        <v>322173.27799999999</v>
      </c>
      <c r="AJL14" s="126"/>
      <c r="AJM14" s="48">
        <v>322244.76199999999</v>
      </c>
      <c r="AJN14" s="48">
        <v>322376.76500000001</v>
      </c>
      <c r="AJO14" s="48">
        <v>322526.67599999998</v>
      </c>
      <c r="AJP14" s="48">
        <v>322605.08799999999</v>
      </c>
      <c r="AJQ14" s="48">
        <v>322698.85100000002</v>
      </c>
      <c r="AJR14" s="48">
        <v>322791.533</v>
      </c>
      <c r="AJS14" s="48">
        <v>322940.163</v>
      </c>
      <c r="AJT14" s="48">
        <v>323080.37400000001</v>
      </c>
      <c r="AJU14" s="48">
        <v>323270.29300000001</v>
      </c>
      <c r="AJV14" s="48">
        <v>323379.80099999998</v>
      </c>
      <c r="AJW14" s="48">
        <v>323461.185</v>
      </c>
      <c r="AJX14" s="48">
        <v>323587.033</v>
      </c>
      <c r="AJY14" s="48">
        <v>323755.75199999998</v>
      </c>
      <c r="AJZ14" s="48">
        <v>323943.897</v>
      </c>
      <c r="AKA14" s="48">
        <v>324100.103</v>
      </c>
      <c r="AKB14" s="48">
        <v>324225.35800000001</v>
      </c>
      <c r="AKC14" s="48">
        <v>324367.74300000002</v>
      </c>
      <c r="AKD14" s="48">
        <v>324469.32900000003</v>
      </c>
      <c r="AKE14" s="48">
        <v>324587.065</v>
      </c>
      <c r="AKF14" s="48">
        <v>324696.89399999997</v>
      </c>
      <c r="AKG14" s="48">
        <v>324848.49699999997</v>
      </c>
      <c r="AKH14" s="48">
        <v>324929.78200000001</v>
      </c>
      <c r="AKI14" s="48">
        <v>325001.47200000001</v>
      </c>
      <c r="AKJ14" s="48">
        <v>325139.61599999998</v>
      </c>
      <c r="AKK14" s="48">
        <v>325251.04399999999</v>
      </c>
      <c r="AKL14" s="48">
        <v>325362.14600000001</v>
      </c>
      <c r="AKM14" s="48">
        <v>325434.62599999999</v>
      </c>
      <c r="AKN14" s="48">
        <v>325555.43199999997</v>
      </c>
      <c r="AKO14" s="126"/>
      <c r="AKP14" s="48">
        <v>325681.78000000003</v>
      </c>
      <c r="AKQ14" s="48">
        <v>325813.554</v>
      </c>
      <c r="AKR14" s="48">
        <v>325939.11800000002</v>
      </c>
      <c r="AKS14" s="48">
        <v>326012.484</v>
      </c>
      <c r="AKT14" s="48">
        <v>326127.39799999999</v>
      </c>
      <c r="AKU14" s="48">
        <v>326196.31300000002</v>
      </c>
      <c r="AKV14" s="48">
        <v>326255.91800000001</v>
      </c>
      <c r="AKW14" s="48">
        <v>326465.054</v>
      </c>
      <c r="AKX14" s="48">
        <v>326687.15000000002</v>
      </c>
      <c r="AKY14" s="48">
        <v>326795.87599999999</v>
      </c>
      <c r="AKZ14" s="48">
        <v>326926.61900000001</v>
      </c>
      <c r="ALA14" s="48">
        <v>326982.69</v>
      </c>
      <c r="ALB14" s="48">
        <v>327123.23700000002</v>
      </c>
      <c r="ALC14" s="48">
        <v>327343.85100000002</v>
      </c>
      <c r="ALD14" s="48">
        <v>327507.93099999998</v>
      </c>
      <c r="ALE14" s="48">
        <v>327738.48599999998</v>
      </c>
      <c r="ALF14" s="48">
        <v>327912.75300000003</v>
      </c>
      <c r="ALG14" s="48">
        <v>327995.14299999998</v>
      </c>
      <c r="ALH14" s="48">
        <v>328121.07199999999</v>
      </c>
      <c r="ALI14" s="48">
        <v>328253.321</v>
      </c>
      <c r="ALJ14" s="48">
        <v>328362.16899999999</v>
      </c>
      <c r="ALK14" s="48">
        <v>328472.21000000002</v>
      </c>
      <c r="ALL14" s="48">
        <v>328673.152</v>
      </c>
      <c r="ALM14" s="48">
        <v>328778.16100000002</v>
      </c>
      <c r="ALN14" s="48">
        <v>328967.19</v>
      </c>
      <c r="ALO14" s="48">
        <v>329151.82799999998</v>
      </c>
      <c r="ALP14" s="48">
        <v>329300.79499999998</v>
      </c>
      <c r="ALQ14" s="48">
        <v>329431.08500000002</v>
      </c>
      <c r="ALR14" s="48">
        <v>329551.96500000003</v>
      </c>
      <c r="ALS14" s="48">
        <v>329705.64799999999</v>
      </c>
      <c r="ALT14" s="48">
        <v>329786.60200000001</v>
      </c>
      <c r="ALU14" s="126"/>
      <c r="ALV14" s="48">
        <v>329882.07400000002</v>
      </c>
      <c r="ALW14" s="48">
        <v>330040.73</v>
      </c>
      <c r="ALX14" s="48">
        <v>330166.33799999999</v>
      </c>
      <c r="ALY14" s="48">
        <v>330277.00599999999</v>
      </c>
      <c r="ALZ14" s="48">
        <v>330472.62</v>
      </c>
      <c r="AMA14" s="48">
        <v>330551.96999999997</v>
      </c>
      <c r="AMB14" s="48">
        <v>330638.55499999999</v>
      </c>
      <c r="AMC14" s="48">
        <v>330764.55499999999</v>
      </c>
      <c r="AMD14" s="48">
        <v>330933.32400000002</v>
      </c>
      <c r="AME14" s="48">
        <v>331036.63799999998</v>
      </c>
      <c r="AMF14" s="48">
        <v>331166.663</v>
      </c>
      <c r="AMG14" s="48">
        <v>331358.386</v>
      </c>
      <c r="AMH14" s="48">
        <v>331564.549</v>
      </c>
      <c r="AMI14" s="48">
        <v>331684.55599999998</v>
      </c>
      <c r="AMJ14" s="48">
        <v>331781.96500000003</v>
      </c>
      <c r="AMK14" s="48">
        <v>331916.73599999998</v>
      </c>
      <c r="AML14" s="48">
        <v>332017.83100000001</v>
      </c>
      <c r="AMM14" s="48">
        <v>332190.07900000003</v>
      </c>
      <c r="AMN14" s="48">
        <v>332347.20799999998</v>
      </c>
      <c r="AMO14" s="48">
        <v>333539.14500000002</v>
      </c>
      <c r="AMP14" s="48">
        <v>335868.712</v>
      </c>
      <c r="AMQ14" s="48">
        <v>336482.674</v>
      </c>
      <c r="AMR14" s="48">
        <v>337453.62400000001</v>
      </c>
      <c r="AMS14" s="48">
        <v>338311.55099999998</v>
      </c>
      <c r="AMT14" s="48">
        <v>339239.67300000001</v>
      </c>
      <c r="AMU14" s="48">
        <v>339633.49599999998</v>
      </c>
      <c r="AMV14" s="48">
        <v>339883.91399999999</v>
      </c>
      <c r="AMW14" s="48">
        <v>339982.28100000002</v>
      </c>
      <c r="AMX14" s="48">
        <v>341065.11700000003</v>
      </c>
      <c r="AMY14" s="48">
        <v>341733.57799999998</v>
      </c>
      <c r="AMZ14" s="126"/>
      <c r="ANA14" s="48">
        <v>341879.86499999999</v>
      </c>
      <c r="ANB14" s="48">
        <v>342227.92499999999</v>
      </c>
      <c r="ANC14" s="48">
        <v>342402.14199999999</v>
      </c>
      <c r="AND14" s="48">
        <v>342515.65</v>
      </c>
      <c r="ANE14" s="48">
        <v>342686.25699999998</v>
      </c>
      <c r="ANF14" s="48">
        <v>342965.12400000001</v>
      </c>
      <c r="ANG14" s="48">
        <v>343236.45400000003</v>
      </c>
      <c r="ANH14" s="48">
        <v>343354.66399999999</v>
      </c>
      <c r="ANI14" s="48">
        <v>343590.31699999998</v>
      </c>
      <c r="ANJ14" s="48">
        <v>343675.49200000003</v>
      </c>
      <c r="ANK14" s="48">
        <v>343850.06199999998</v>
      </c>
      <c r="ANL14" s="48">
        <v>343926.90600000002</v>
      </c>
      <c r="ANM14" s="48">
        <v>344118.33299999998</v>
      </c>
      <c r="ANN14" s="48">
        <v>344234.46100000001</v>
      </c>
      <c r="ANO14" s="48">
        <v>344372.95600000001</v>
      </c>
      <c r="ANP14" s="48">
        <v>344516.25900000002</v>
      </c>
      <c r="ANQ14" s="48">
        <v>344607.299</v>
      </c>
      <c r="ANR14" s="48">
        <v>344736.511</v>
      </c>
      <c r="ANS14" s="48">
        <v>344821.31099999999</v>
      </c>
      <c r="ANT14" s="48">
        <v>344926.27100000001</v>
      </c>
      <c r="ANU14" s="48">
        <v>345004.99099999998</v>
      </c>
      <c r="ANV14" s="48">
        <v>345134.48499999999</v>
      </c>
      <c r="ANW14" s="48">
        <v>345211.45699999999</v>
      </c>
      <c r="ANX14" s="48">
        <v>345346.77</v>
      </c>
      <c r="ANY14" s="48">
        <v>345419.17700000003</v>
      </c>
      <c r="ANZ14" s="48">
        <v>345550.00699999998</v>
      </c>
      <c r="AOA14" s="48">
        <v>345615.44699999999</v>
      </c>
      <c r="AOB14" s="48">
        <v>345707.23499999999</v>
      </c>
      <c r="AOC14" s="48">
        <v>345888.5</v>
      </c>
      <c r="AOD14" s="48">
        <v>345996.66600000003</v>
      </c>
      <c r="AOE14">
        <v>345996.66600000003</v>
      </c>
    </row>
    <row r="15" spans="1:1072" x14ac:dyDescent="0.2">
      <c r="A15" s="157"/>
      <c r="B15" s="160"/>
      <c r="C15" s="6" t="s">
        <v>764</v>
      </c>
      <c r="D15" s="16">
        <f t="shared" ref="D15:AH15" si="247">D14-D13</f>
        <v>152.78900000001886</v>
      </c>
      <c r="E15" s="16">
        <f t="shared" si="247"/>
        <v>105.34399999998277</v>
      </c>
      <c r="F15" s="16">
        <f t="shared" si="247"/>
        <v>168.24400000000605</v>
      </c>
      <c r="G15" s="16">
        <f t="shared" si="247"/>
        <v>153.88099999999395</v>
      </c>
      <c r="H15" s="16">
        <f t="shared" si="247"/>
        <v>325.375</v>
      </c>
      <c r="I15" s="16">
        <f t="shared" si="247"/>
        <v>270.56100000001607</v>
      </c>
      <c r="J15" s="16">
        <f t="shared" si="247"/>
        <v>228.30299999998533</v>
      </c>
      <c r="K15" s="16">
        <f t="shared" si="247"/>
        <v>114.09700000000885</v>
      </c>
      <c r="L15" s="16">
        <f t="shared" si="247"/>
        <v>147.94200000001001</v>
      </c>
      <c r="M15" s="16">
        <f t="shared" si="247"/>
        <v>227.96499999999651</v>
      </c>
      <c r="N15" s="16">
        <f t="shared" si="247"/>
        <v>187.49700000000303</v>
      </c>
      <c r="O15" s="16">
        <f t="shared" si="247"/>
        <v>249.82999999998719</v>
      </c>
      <c r="P15" s="16">
        <f t="shared" si="247"/>
        <v>166.0460000000021</v>
      </c>
      <c r="Q15" s="16">
        <f t="shared" si="247"/>
        <v>84.548000000009779</v>
      </c>
      <c r="R15" s="16">
        <f t="shared" si="247"/>
        <v>113.66800000000512</v>
      </c>
      <c r="S15" s="16">
        <f t="shared" si="247"/>
        <v>163.17399999999907</v>
      </c>
      <c r="T15" s="16">
        <f t="shared" si="247"/>
        <v>119.61999999999534</v>
      </c>
      <c r="U15" s="16">
        <f t="shared" si="247"/>
        <v>171.66199999998207</v>
      </c>
      <c r="V15" s="16">
        <f t="shared" si="247"/>
        <v>136.9090000000142</v>
      </c>
      <c r="W15" s="16">
        <f t="shared" si="247"/>
        <v>80.828000000008615</v>
      </c>
      <c r="X15" s="16">
        <f t="shared" si="247"/>
        <v>106.89899999997579</v>
      </c>
      <c r="Y15" s="16">
        <f t="shared" si="247"/>
        <v>180.85100000002421</v>
      </c>
      <c r="Z15" s="16">
        <f t="shared" si="247"/>
        <v>112.24299999998766</v>
      </c>
      <c r="AA15" s="16">
        <f t="shared" si="247"/>
        <v>162.86100000000442</v>
      </c>
      <c r="AB15" s="16">
        <f t="shared" si="247"/>
        <v>164.45999999999185</v>
      </c>
      <c r="AC15" s="16">
        <f t="shared" si="247"/>
        <v>196.762000000017</v>
      </c>
      <c r="AD15" s="16">
        <f t="shared" si="247"/>
        <v>169.72099999999045</v>
      </c>
      <c r="AE15" s="16">
        <f t="shared" si="247"/>
        <v>153.45199999999022</v>
      </c>
      <c r="AF15" s="16">
        <f t="shared" si="247"/>
        <v>172.80000000001746</v>
      </c>
      <c r="AG15" s="16">
        <f t="shared" si="247"/>
        <v>107.73399999999674</v>
      </c>
      <c r="AH15" s="16">
        <f t="shared" si="247"/>
        <v>238.55499999999302</v>
      </c>
      <c r="AI15" s="17">
        <f>SUM(D15:AH15)</f>
        <v>5134.6210000000137</v>
      </c>
      <c r="AJ15" s="16">
        <f t="shared" ref="AJ15:BM15" si="248">AJ14-AJ13</f>
        <v>187.50899999999092</v>
      </c>
      <c r="AK15" s="16">
        <f t="shared" si="248"/>
        <v>234.11200000002282</v>
      </c>
      <c r="AL15" s="16">
        <f t="shared" si="248"/>
        <v>218.56299999999464</v>
      </c>
      <c r="AM15" s="16">
        <f t="shared" si="248"/>
        <v>204.6699999999837</v>
      </c>
      <c r="AN15" s="16">
        <f t="shared" si="248"/>
        <v>253.16300000000047</v>
      </c>
      <c r="AO15" s="16">
        <f t="shared" si="248"/>
        <v>127.63400000002002</v>
      </c>
      <c r="AP15" s="16">
        <f t="shared" si="248"/>
        <v>5343.4839999999967</v>
      </c>
      <c r="AQ15" s="16">
        <f t="shared" si="248"/>
        <v>298.40099999998347</v>
      </c>
      <c r="AR15" s="16">
        <f t="shared" si="248"/>
        <v>320.37300000002142</v>
      </c>
      <c r="AS15" s="16">
        <f t="shared" si="248"/>
        <v>94.322999999974854</v>
      </c>
      <c r="AT15" s="16">
        <f t="shared" si="248"/>
        <v>158.08500000002095</v>
      </c>
      <c r="AU15" s="16">
        <f t="shared" si="248"/>
        <v>97.802999999985332</v>
      </c>
      <c r="AV15" s="16">
        <f t="shared" si="248"/>
        <v>5065.1929999999993</v>
      </c>
      <c r="AW15" s="16">
        <f t="shared" si="248"/>
        <v>127.08999999999651</v>
      </c>
      <c r="AX15" s="16">
        <f t="shared" si="248"/>
        <v>128.31600000002072</v>
      </c>
      <c r="AY15" s="16">
        <f t="shared" si="248"/>
        <v>114.56699999998091</v>
      </c>
      <c r="AZ15" s="16">
        <f t="shared" si="248"/>
        <v>128.3070000000007</v>
      </c>
      <c r="BA15" s="16">
        <f t="shared" si="248"/>
        <v>227.47299999999814</v>
      </c>
      <c r="BB15" s="16">
        <f t="shared" si="248"/>
        <v>171.52499999999418</v>
      </c>
      <c r="BC15" s="16">
        <f t="shared" si="248"/>
        <v>178.30800000001909</v>
      </c>
      <c r="BD15" s="16">
        <f t="shared" si="248"/>
        <v>133.26399999999558</v>
      </c>
      <c r="BE15" s="16">
        <f t="shared" si="248"/>
        <v>151.20100000000093</v>
      </c>
      <c r="BF15" s="16">
        <f t="shared" si="248"/>
        <v>200.81399999998393</v>
      </c>
      <c r="BG15" s="16">
        <f t="shared" si="248"/>
        <v>112.16100000002189</v>
      </c>
      <c r="BH15" s="16">
        <f t="shared" si="248"/>
        <v>166.64599999997881</v>
      </c>
      <c r="BI15" s="16">
        <f t="shared" si="248"/>
        <v>233.75700000001234</v>
      </c>
      <c r="BJ15" s="16">
        <f t="shared" si="248"/>
        <v>101.56099999998696</v>
      </c>
      <c r="BK15" s="16">
        <f t="shared" si="248"/>
        <v>173.53700000001118</v>
      </c>
      <c r="BL15" s="16">
        <f t="shared" si="248"/>
        <v>158.9539999999979</v>
      </c>
      <c r="BM15" s="16">
        <f t="shared" si="248"/>
        <v>130.6820000000007</v>
      </c>
      <c r="BN15" s="89">
        <f>SUM(AJ15:BM15)</f>
        <v>15241.475999999995</v>
      </c>
      <c r="BO15" s="16">
        <f t="shared" ref="BO15:CS15" si="249">BO14-BO13</f>
        <v>81.713000000017928</v>
      </c>
      <c r="BP15" s="16">
        <f t="shared" si="249"/>
        <v>175.4429999999993</v>
      </c>
      <c r="BQ15" s="16">
        <f t="shared" si="249"/>
        <v>148.01699999999255</v>
      </c>
      <c r="BR15" s="16">
        <f t="shared" si="249"/>
        <v>97.753999999986263</v>
      </c>
      <c r="BS15" s="16">
        <f t="shared" si="249"/>
        <v>123.7270000000135</v>
      </c>
      <c r="BT15" s="16">
        <f t="shared" si="249"/>
        <v>177.4199999999837</v>
      </c>
      <c r="BU15" s="16">
        <f t="shared" si="249"/>
        <v>107.21500000002561</v>
      </c>
      <c r="BV15" s="16">
        <f t="shared" si="249"/>
        <v>171.75899999999092</v>
      </c>
      <c r="BW15" s="16">
        <f t="shared" si="249"/>
        <v>160.85099999999511</v>
      </c>
      <c r="BX15" s="16">
        <f t="shared" si="249"/>
        <v>94.513000000006286</v>
      </c>
      <c r="BY15" s="16">
        <f t="shared" si="249"/>
        <v>130.58400000000256</v>
      </c>
      <c r="BZ15" s="16">
        <f t="shared" si="249"/>
        <v>151.82999999998719</v>
      </c>
      <c r="CA15" s="16">
        <f t="shared" si="249"/>
        <v>151.74100000000908</v>
      </c>
      <c r="CB15" s="16">
        <f t="shared" si="249"/>
        <v>187.11999999999534</v>
      </c>
      <c r="CC15" s="16">
        <f t="shared" si="249"/>
        <v>199.25599999999395</v>
      </c>
      <c r="CD15" s="16">
        <f t="shared" si="249"/>
        <v>163.20800000001327</v>
      </c>
      <c r="CE15" s="16">
        <f t="shared" si="249"/>
        <v>194.41099999999278</v>
      </c>
      <c r="CF15" s="16">
        <f t="shared" si="249"/>
        <v>128.17600000000675</v>
      </c>
      <c r="CG15" s="16">
        <f t="shared" si="249"/>
        <v>110.74199999999837</v>
      </c>
      <c r="CH15" s="16">
        <f t="shared" si="249"/>
        <v>104.61900000000605</v>
      </c>
      <c r="CI15" s="16">
        <f t="shared" si="249"/>
        <v>217.09399999998277</v>
      </c>
      <c r="CJ15" s="16">
        <f t="shared" si="249"/>
        <v>102.0800000000163</v>
      </c>
      <c r="CK15" s="16">
        <f t="shared" si="249"/>
        <v>77.25099999998929</v>
      </c>
      <c r="CL15" s="16">
        <f t="shared" si="249"/>
        <v>151.08900000000722</v>
      </c>
      <c r="CM15" s="16">
        <f t="shared" si="249"/>
        <v>93.960999999981141</v>
      </c>
      <c r="CN15" s="16">
        <f t="shared" si="249"/>
        <v>138.38100000002305</v>
      </c>
      <c r="CO15" s="16">
        <f t="shared" si="249"/>
        <v>93.131999999983236</v>
      </c>
      <c r="CP15" s="16">
        <f t="shared" si="249"/>
        <v>258.93100000001141</v>
      </c>
      <c r="CQ15" s="16">
        <f t="shared" si="249"/>
        <v>114.82999999998719</v>
      </c>
      <c r="CR15" s="16">
        <f t="shared" si="249"/>
        <v>140.99199999999837</v>
      </c>
      <c r="CS15" s="16">
        <f t="shared" si="249"/>
        <v>71.453999999997905</v>
      </c>
      <c r="CT15" s="89">
        <f>SUM(BO15:CS15)</f>
        <v>4319.2939999999944</v>
      </c>
      <c r="CU15" s="16">
        <f t="shared" ref="CU15:DX15" si="250">CU14-CU13</f>
        <v>210.53900000001886</v>
      </c>
      <c r="CV15" s="16">
        <f t="shared" si="250"/>
        <v>137.41300000000047</v>
      </c>
      <c r="CW15" s="16">
        <f t="shared" si="250"/>
        <v>183.38099999999395</v>
      </c>
      <c r="CX15" s="16">
        <f t="shared" si="250"/>
        <v>221.91000000000349</v>
      </c>
      <c r="CY15" s="16">
        <f t="shared" si="250"/>
        <v>171.24700000000303</v>
      </c>
      <c r="CZ15" s="16">
        <f t="shared" si="250"/>
        <v>143.38199999998324</v>
      </c>
      <c r="DA15" s="16">
        <f t="shared" si="250"/>
        <v>106.89200000002165</v>
      </c>
      <c r="DB15" s="16">
        <f t="shared" si="250"/>
        <v>158.56399999998393</v>
      </c>
      <c r="DC15" s="16">
        <f t="shared" si="250"/>
        <v>187.04999999998836</v>
      </c>
      <c r="DD15" s="16">
        <f t="shared" si="250"/>
        <v>121.23000000001048</v>
      </c>
      <c r="DE15" s="16">
        <f t="shared" si="250"/>
        <v>244.69000000000233</v>
      </c>
      <c r="DF15" s="16">
        <f t="shared" si="250"/>
        <v>131.07099999999627</v>
      </c>
      <c r="DG15" s="16">
        <f t="shared" si="250"/>
        <v>93.932999999989988</v>
      </c>
      <c r="DH15" s="16">
        <f t="shared" si="250"/>
        <v>172.91600000002654</v>
      </c>
      <c r="DI15" s="16">
        <f t="shared" si="250"/>
        <v>73.589999999996508</v>
      </c>
      <c r="DJ15" s="16">
        <f t="shared" si="250"/>
        <v>58.804000000003725</v>
      </c>
      <c r="DK15" s="16">
        <f t="shared" si="250"/>
        <v>111.33399999997346</v>
      </c>
      <c r="DL15" s="16">
        <f t="shared" si="250"/>
        <v>187.89200000002165</v>
      </c>
      <c r="DM15" s="16">
        <f t="shared" si="250"/>
        <v>112.66899999999441</v>
      </c>
      <c r="DN15" s="16">
        <f t="shared" si="250"/>
        <v>81.25099999998929</v>
      </c>
      <c r="DO15" s="16">
        <f t="shared" si="250"/>
        <v>84.163000000000466</v>
      </c>
      <c r="DP15" s="16">
        <f t="shared" si="250"/>
        <v>85.235000000015134</v>
      </c>
      <c r="DQ15" s="16">
        <f t="shared" si="250"/>
        <v>110.4320000000007</v>
      </c>
      <c r="DR15" s="16">
        <f t="shared" si="250"/>
        <v>103.94800000000396</v>
      </c>
      <c r="DS15" s="16">
        <f t="shared" si="250"/>
        <v>174.50199999997858</v>
      </c>
      <c r="DT15" s="16">
        <f t="shared" si="250"/>
        <v>65.219000000011874</v>
      </c>
      <c r="DU15" s="16">
        <f t="shared" si="250"/>
        <v>76.738000000012107</v>
      </c>
      <c r="DV15" s="16">
        <f t="shared" si="250"/>
        <v>78.449999999982538</v>
      </c>
      <c r="DW15" s="16">
        <f t="shared" si="250"/>
        <v>122.23999999999069</v>
      </c>
      <c r="DX15" s="16">
        <f t="shared" si="250"/>
        <v>109.9090000000142</v>
      </c>
      <c r="DY15" s="116">
        <f>SUM(CU15:DX15)</f>
        <v>3920.5940000000119</v>
      </c>
      <c r="DZ15" s="16">
        <f t="shared" ref="DZ15:FD15" si="251">DZ14-DZ13</f>
        <v>136.00399999998626</v>
      </c>
      <c r="EA15" s="16">
        <f t="shared" si="251"/>
        <v>171.07000000000698</v>
      </c>
      <c r="EB15" s="16">
        <f t="shared" si="251"/>
        <v>130.42900000000373</v>
      </c>
      <c r="EC15" s="16">
        <f t="shared" si="251"/>
        <v>115.85599999999977</v>
      </c>
      <c r="ED15" s="16">
        <f t="shared" si="251"/>
        <v>84.417000000015832</v>
      </c>
      <c r="EE15" s="16">
        <f t="shared" si="251"/>
        <v>98.646999999997206</v>
      </c>
      <c r="EF15" s="16">
        <f t="shared" si="251"/>
        <v>87.012999999977183</v>
      </c>
      <c r="EG15" s="16">
        <f t="shared" si="251"/>
        <v>130.56200000000536</v>
      </c>
      <c r="EH15" s="16">
        <f t="shared" si="251"/>
        <v>183.44500000000698</v>
      </c>
      <c r="EI15" s="16">
        <f t="shared" si="251"/>
        <v>158.79399999999441</v>
      </c>
      <c r="EJ15" s="16">
        <f t="shared" si="251"/>
        <v>163.80400000000373</v>
      </c>
      <c r="EK15" s="16">
        <f t="shared" si="251"/>
        <v>196.44099999999162</v>
      </c>
      <c r="EL15" s="16">
        <f t="shared" si="251"/>
        <v>169.08500000002095</v>
      </c>
      <c r="EM15" s="16">
        <f t="shared" si="251"/>
        <v>134.85699999998906</v>
      </c>
      <c r="EN15" s="16">
        <f t="shared" si="251"/>
        <v>169.28599999999278</v>
      </c>
      <c r="EO15" s="16">
        <f t="shared" si="251"/>
        <v>209.42200000002049</v>
      </c>
      <c r="EP15" s="16">
        <f t="shared" si="251"/>
        <v>133.8409999999858</v>
      </c>
      <c r="EQ15" s="16">
        <f t="shared" si="251"/>
        <v>166.13699999998789</v>
      </c>
      <c r="ER15" s="16">
        <f t="shared" si="251"/>
        <v>140.33500000002095</v>
      </c>
      <c r="ES15" s="16">
        <f t="shared" si="251"/>
        <v>269.25199999997858</v>
      </c>
      <c r="ET15" s="16">
        <f t="shared" si="251"/>
        <v>289.03100000001723</v>
      </c>
      <c r="EU15" s="16">
        <f t="shared" si="251"/>
        <v>211.73699999999371</v>
      </c>
      <c r="EV15" s="16">
        <f t="shared" si="251"/>
        <v>306.00599999999395</v>
      </c>
      <c r="EW15" s="16">
        <f t="shared" si="251"/>
        <v>164.58400000000256</v>
      </c>
      <c r="EX15" s="16">
        <f t="shared" si="251"/>
        <v>206.6710000000021</v>
      </c>
      <c r="EY15" s="16">
        <f t="shared" si="251"/>
        <v>104.43600000001607</v>
      </c>
      <c r="EZ15" s="16">
        <f t="shared" si="251"/>
        <v>145.90599999998813</v>
      </c>
      <c r="FA15" s="16">
        <f t="shared" si="251"/>
        <v>194.97399999998743</v>
      </c>
      <c r="FB15" s="16">
        <f t="shared" si="251"/>
        <v>186.23200000001816</v>
      </c>
      <c r="FC15" s="16">
        <f t="shared" si="251"/>
        <v>167.89499999998952</v>
      </c>
      <c r="FD15" s="16">
        <f t="shared" si="251"/>
        <v>240.27600000001257</v>
      </c>
      <c r="FE15" s="127">
        <f>SUM(DZ15:FD15)</f>
        <v>5266.445000000007</v>
      </c>
      <c r="FF15" s="16">
        <f t="shared" ref="FF15:GJ15" si="252">FF14-FF13</f>
        <v>145.34599999999045</v>
      </c>
      <c r="FG15" s="16">
        <f t="shared" si="252"/>
        <v>116.86600000000908</v>
      </c>
      <c r="FH15" s="16">
        <f t="shared" si="252"/>
        <v>80.655999999988126</v>
      </c>
      <c r="FI15" s="16">
        <f t="shared" si="252"/>
        <v>131.80100000000675</v>
      </c>
      <c r="FJ15" s="16">
        <f t="shared" si="252"/>
        <v>129.3859999999986</v>
      </c>
      <c r="FK15" s="16">
        <f t="shared" si="252"/>
        <v>74.943999999988591</v>
      </c>
      <c r="FL15" s="16">
        <f t="shared" si="252"/>
        <v>151.5230000000156</v>
      </c>
      <c r="FM15" s="16">
        <f t="shared" si="252"/>
        <v>208.66300000000047</v>
      </c>
      <c r="FN15" s="16">
        <f t="shared" si="252"/>
        <v>144.52499999999418</v>
      </c>
      <c r="FO15" s="16">
        <f t="shared" si="252"/>
        <v>105.73300000000745</v>
      </c>
      <c r="FP15" s="16">
        <f t="shared" si="252"/>
        <v>94.043000000005122</v>
      </c>
      <c r="FQ15" s="16">
        <f t="shared" si="252"/>
        <v>124.10999999998603</v>
      </c>
      <c r="FR15" s="16">
        <f t="shared" si="252"/>
        <v>263.07500000001164</v>
      </c>
      <c r="FS15" s="16">
        <f t="shared" si="252"/>
        <v>145.625</v>
      </c>
      <c r="FT15" s="16">
        <f t="shared" si="252"/>
        <v>178.08799999998882</v>
      </c>
      <c r="FU15" s="16">
        <f t="shared" si="252"/>
        <v>148.67900000000373</v>
      </c>
      <c r="FV15" s="16">
        <f t="shared" si="252"/>
        <v>92.187999999994645</v>
      </c>
      <c r="FW15" s="16">
        <f t="shared" si="252"/>
        <v>71.964999999996508</v>
      </c>
      <c r="FX15" s="16">
        <f t="shared" si="252"/>
        <v>121.49499999999534</v>
      </c>
      <c r="FY15" s="16">
        <f t="shared" si="252"/>
        <v>176.60000000000582</v>
      </c>
      <c r="FZ15" s="16">
        <f t="shared" si="252"/>
        <v>185.24300000001676</v>
      </c>
      <c r="GA15" s="16">
        <f t="shared" si="252"/>
        <v>150.24199999999837</v>
      </c>
      <c r="GB15" s="16">
        <f t="shared" si="252"/>
        <v>142.46899999998277</v>
      </c>
      <c r="GC15" s="16">
        <f t="shared" si="252"/>
        <v>86.363000000012107</v>
      </c>
      <c r="GD15" s="16">
        <f t="shared" si="252"/>
        <v>165.84700000000885</v>
      </c>
      <c r="GE15" s="16">
        <f t="shared" si="252"/>
        <v>151.30999999999767</v>
      </c>
      <c r="GF15" s="16">
        <f t="shared" si="252"/>
        <v>146.75</v>
      </c>
      <c r="GG15" s="16">
        <f t="shared" si="252"/>
        <v>95.011999999987893</v>
      </c>
      <c r="GH15" s="16">
        <f t="shared" si="252"/>
        <v>203.06899999998859</v>
      </c>
      <c r="GI15" s="16">
        <f t="shared" si="252"/>
        <v>133.38400000002002</v>
      </c>
      <c r="GJ15" s="16">
        <f t="shared" si="252"/>
        <v>116.112999999983</v>
      </c>
      <c r="GK15" s="126"/>
      <c r="GL15" s="16">
        <f t="shared" ref="GL15:HN15" si="253">GL14-GL13</f>
        <v>104.90100000001257</v>
      </c>
      <c r="GM15" s="16">
        <f t="shared" si="253"/>
        <v>111.80799999998999</v>
      </c>
      <c r="GN15" s="16">
        <f t="shared" si="253"/>
        <v>179.76500000001397</v>
      </c>
      <c r="GO15" s="16">
        <f t="shared" si="253"/>
        <v>233.56099999998696</v>
      </c>
      <c r="GP15" s="16">
        <f t="shared" si="253"/>
        <v>171.17000000001281</v>
      </c>
      <c r="GQ15" s="16">
        <f t="shared" si="253"/>
        <v>166.43700000000536</v>
      </c>
      <c r="GR15" s="16">
        <f t="shared" si="253"/>
        <v>238.04299999997602</v>
      </c>
      <c r="GS15" s="16">
        <f t="shared" si="253"/>
        <v>161.70300000000861</v>
      </c>
      <c r="GT15" s="16">
        <f t="shared" si="253"/>
        <v>110.66800000000512</v>
      </c>
      <c r="GU15" s="16">
        <f t="shared" si="253"/>
        <v>181.92900000000373</v>
      </c>
      <c r="GV15" s="16">
        <f t="shared" si="253"/>
        <v>106.22999999998137</v>
      </c>
      <c r="GW15" s="16">
        <f t="shared" si="253"/>
        <v>116.91000000000349</v>
      </c>
      <c r="GX15" s="16">
        <f t="shared" si="253"/>
        <v>87.604000000021188</v>
      </c>
      <c r="GY15" s="16">
        <f t="shared" si="253"/>
        <v>130.41199999998207</v>
      </c>
      <c r="GZ15" s="16">
        <f t="shared" si="253"/>
        <v>97.307000000000698</v>
      </c>
      <c r="HA15" s="16">
        <f t="shared" si="253"/>
        <v>103.46100000001024</v>
      </c>
      <c r="HB15" s="16">
        <f t="shared" si="253"/>
        <v>189.21099999998114</v>
      </c>
      <c r="HC15" s="16">
        <f t="shared" si="253"/>
        <v>113.12900000001537</v>
      </c>
      <c r="HD15" s="16">
        <f t="shared" si="253"/>
        <v>178.41599999999744</v>
      </c>
      <c r="HE15" s="16">
        <f t="shared" si="253"/>
        <v>165.48499999998603</v>
      </c>
      <c r="HF15" s="16">
        <f t="shared" si="253"/>
        <v>109.24300000001676</v>
      </c>
      <c r="HG15" s="16">
        <f t="shared" si="253"/>
        <v>103.82600000000093</v>
      </c>
      <c r="HH15" s="16">
        <f t="shared" si="253"/>
        <v>253.85000000000582</v>
      </c>
      <c r="HI15" s="16">
        <f t="shared" si="253"/>
        <v>119.36699999999837</v>
      </c>
      <c r="HJ15" s="16">
        <f t="shared" si="253"/>
        <v>138.22800000000279</v>
      </c>
      <c r="HK15" s="16">
        <f t="shared" si="253"/>
        <v>99.989999999990687</v>
      </c>
      <c r="HL15" s="16">
        <f t="shared" si="253"/>
        <v>104.81299999999464</v>
      </c>
      <c r="HM15" s="16">
        <f t="shared" si="253"/>
        <v>86.567999999999302</v>
      </c>
      <c r="HN15" s="16">
        <f t="shared" si="253"/>
        <v>141.4770000000135</v>
      </c>
      <c r="HO15" s="126"/>
      <c r="HP15" s="16">
        <f t="shared" ref="HP15:IT15" si="254">HP14-HP13</f>
        <v>178.72099999999045</v>
      </c>
      <c r="HQ15" s="16">
        <f t="shared" si="254"/>
        <v>226.62200000000303</v>
      </c>
      <c r="HR15" s="16">
        <f t="shared" si="254"/>
        <v>137.7039999999979</v>
      </c>
      <c r="HS15" s="16">
        <f t="shared" si="254"/>
        <v>120.40799999999581</v>
      </c>
      <c r="HT15" s="16">
        <f t="shared" si="254"/>
        <v>168.67999999999302</v>
      </c>
      <c r="HU15" s="16">
        <f t="shared" si="254"/>
        <v>137.25800000000163</v>
      </c>
      <c r="HV15" s="16">
        <f t="shared" si="254"/>
        <v>149.59700000000885</v>
      </c>
      <c r="HW15" s="16">
        <f t="shared" si="254"/>
        <v>122.01699999999255</v>
      </c>
      <c r="HX15" s="16">
        <f t="shared" si="254"/>
        <v>94.994000000006054</v>
      </c>
      <c r="HY15" s="16">
        <f t="shared" si="254"/>
        <v>174.27999999999884</v>
      </c>
      <c r="HZ15" s="16">
        <f t="shared" si="254"/>
        <v>255.29300000000512</v>
      </c>
      <c r="IA15" s="16">
        <f t="shared" si="254"/>
        <v>163.59400000001187</v>
      </c>
      <c r="IB15" s="16">
        <f t="shared" si="254"/>
        <v>166.24899999998161</v>
      </c>
      <c r="IC15" s="16">
        <f t="shared" si="254"/>
        <v>130</v>
      </c>
      <c r="ID15" s="16">
        <f t="shared" si="254"/>
        <v>245.87100000001374</v>
      </c>
      <c r="IE15" s="16">
        <f t="shared" si="254"/>
        <v>172.94499999997788</v>
      </c>
      <c r="IF15" s="16">
        <f t="shared" si="254"/>
        <v>218.80000000001746</v>
      </c>
      <c r="IG15" s="16">
        <f t="shared" si="254"/>
        <v>129.69899999999325</v>
      </c>
      <c r="IH15" s="16">
        <f t="shared" si="254"/>
        <v>101.19899999999325</v>
      </c>
      <c r="II15" s="16">
        <f t="shared" si="254"/>
        <v>111.9539999999979</v>
      </c>
      <c r="IJ15" s="16">
        <f t="shared" si="254"/>
        <v>103.36200000002282</v>
      </c>
      <c r="IK15" s="16">
        <f t="shared" si="254"/>
        <v>181.00999999998021</v>
      </c>
      <c r="IL15" s="16">
        <f t="shared" si="254"/>
        <v>127.40700000000652</v>
      </c>
      <c r="IM15" s="16">
        <f t="shared" si="254"/>
        <v>131.5789999999979</v>
      </c>
      <c r="IN15" s="16">
        <f t="shared" si="254"/>
        <v>122.89900000000489</v>
      </c>
      <c r="IO15" s="16">
        <f t="shared" si="254"/>
        <v>109.5229999999865</v>
      </c>
      <c r="IP15" s="16">
        <f t="shared" si="254"/>
        <v>131.39500000001863</v>
      </c>
      <c r="IQ15" s="16">
        <f t="shared" si="254"/>
        <v>46.815999999991618</v>
      </c>
      <c r="IR15" s="16">
        <f t="shared" si="254"/>
        <v>161.10800000000745</v>
      </c>
      <c r="IS15" s="16">
        <f t="shared" si="254"/>
        <v>117.27700000000186</v>
      </c>
      <c r="IT15" s="16">
        <f t="shared" si="254"/>
        <v>64.759999999980209</v>
      </c>
      <c r="IU15" s="126"/>
      <c r="IV15" s="16">
        <f t="shared" ref="IV15:JY15" si="255">IV14-IV13</f>
        <v>96.105000000010477</v>
      </c>
      <c r="IW15" s="16">
        <f t="shared" si="255"/>
        <v>132.4210000000021</v>
      </c>
      <c r="IX15" s="16">
        <f t="shared" si="255"/>
        <v>97.456999999994878</v>
      </c>
      <c r="IY15" s="16">
        <f t="shared" si="255"/>
        <v>124.77199999999721</v>
      </c>
      <c r="IZ15" s="16">
        <f t="shared" si="255"/>
        <v>178.67900000000373</v>
      </c>
      <c r="JA15" s="16">
        <f t="shared" si="255"/>
        <v>162.88300000000163</v>
      </c>
      <c r="JB15" s="16">
        <f t="shared" si="255"/>
        <v>150.08400000000256</v>
      </c>
      <c r="JC15" s="16">
        <f t="shared" si="255"/>
        <v>169.9890000000014</v>
      </c>
      <c r="JD15" s="16">
        <f t="shared" si="255"/>
        <v>137.84299999999348</v>
      </c>
      <c r="JE15" s="16">
        <f t="shared" si="255"/>
        <v>220.58400000000256</v>
      </c>
      <c r="JF15" s="16">
        <f t="shared" si="255"/>
        <v>102.70100000000093</v>
      </c>
      <c r="JG15" s="16">
        <f t="shared" si="255"/>
        <v>96.915000000008149</v>
      </c>
      <c r="JH15" s="16">
        <f t="shared" si="255"/>
        <v>97.845999999990454</v>
      </c>
      <c r="JI15" s="16">
        <f t="shared" si="255"/>
        <v>116.81100000001607</v>
      </c>
      <c r="JJ15" s="16">
        <f t="shared" si="255"/>
        <v>87.276999999972759</v>
      </c>
      <c r="JK15" s="16">
        <f t="shared" si="255"/>
        <v>158.6820000000007</v>
      </c>
      <c r="JL15" s="16">
        <f t="shared" si="255"/>
        <v>101.86700000002747</v>
      </c>
      <c r="JM15" s="16">
        <f t="shared" si="255"/>
        <v>153.26499999998487</v>
      </c>
      <c r="JN15" s="16">
        <f t="shared" si="255"/>
        <v>103.91200000001118</v>
      </c>
      <c r="JO15" s="16">
        <f t="shared" si="255"/>
        <v>90.731999999989057</v>
      </c>
      <c r="JP15" s="16">
        <f t="shared" si="255"/>
        <v>99.697000000014668</v>
      </c>
      <c r="JQ15" s="16">
        <f t="shared" si="255"/>
        <v>98.775999999983469</v>
      </c>
      <c r="JR15" s="16">
        <f t="shared" si="255"/>
        <v>84.14000000001397</v>
      </c>
      <c r="JS15" s="16">
        <f t="shared" si="255"/>
        <v>217.51699999999255</v>
      </c>
      <c r="JT15" s="16">
        <f t="shared" si="255"/>
        <v>88.399999999994179</v>
      </c>
      <c r="JU15" s="16">
        <f t="shared" si="255"/>
        <v>158.9539999999979</v>
      </c>
      <c r="JV15" s="16">
        <f t="shared" si="255"/>
        <v>202.11300000001211</v>
      </c>
      <c r="JW15" s="16">
        <f t="shared" si="255"/>
        <v>85.231999999989057</v>
      </c>
      <c r="JX15" s="16">
        <f t="shared" si="255"/>
        <v>167.51600000000326</v>
      </c>
      <c r="JY15" s="16">
        <f t="shared" si="255"/>
        <v>181.06899999998859</v>
      </c>
      <c r="JZ15" s="127">
        <f>SUM(IV15:JY15)</f>
        <v>3964.2390000000014</v>
      </c>
      <c r="KA15" s="16">
        <f t="shared" ref="KA15:LE15" si="256">KA14-KA13</f>
        <v>141.2840000000142</v>
      </c>
      <c r="KB15" s="16">
        <f t="shared" si="256"/>
        <v>345.58699999999953</v>
      </c>
      <c r="KC15" s="16">
        <f t="shared" si="256"/>
        <v>134.38500000000931</v>
      </c>
      <c r="KD15" s="16">
        <f t="shared" si="256"/>
        <v>87.093999999982771</v>
      </c>
      <c r="KE15" s="16">
        <f t="shared" si="256"/>
        <v>160.68900000001304</v>
      </c>
      <c r="KF15" s="16">
        <f t="shared" si="256"/>
        <v>83.911999999982072</v>
      </c>
      <c r="KG15" s="16">
        <f t="shared" si="256"/>
        <v>87.377999999996973</v>
      </c>
      <c r="KH15" s="16">
        <f t="shared" si="256"/>
        <v>62.988000000012107</v>
      </c>
      <c r="KI15" s="16">
        <f t="shared" si="256"/>
        <v>158.12200000000303</v>
      </c>
      <c r="KJ15" s="16">
        <f t="shared" si="256"/>
        <v>106.99700000000303</v>
      </c>
      <c r="KK15" s="16">
        <f t="shared" si="256"/>
        <v>129.80400000000373</v>
      </c>
      <c r="KL15" s="16">
        <f t="shared" si="256"/>
        <v>81.872000000003027</v>
      </c>
      <c r="KM15" s="16">
        <f t="shared" si="256"/>
        <v>149.71099999998114</v>
      </c>
      <c r="KN15" s="16">
        <f t="shared" si="256"/>
        <v>121.08699999999953</v>
      </c>
      <c r="KO15" s="16">
        <f t="shared" si="256"/>
        <v>127.00700000001234</v>
      </c>
      <c r="KP15" s="16">
        <f t="shared" si="256"/>
        <v>143.07000000000698</v>
      </c>
      <c r="KQ15" s="16">
        <f t="shared" si="256"/>
        <v>87.654999999998836</v>
      </c>
      <c r="KR15" s="16">
        <f t="shared" si="256"/>
        <v>126.02399999997579</v>
      </c>
      <c r="KS15" s="16">
        <f t="shared" si="256"/>
        <v>125.44700000001467</v>
      </c>
      <c r="KT15" s="16">
        <f t="shared" si="256"/>
        <v>118.78200000000652</v>
      </c>
      <c r="KU15" s="16">
        <f t="shared" si="256"/>
        <v>161.75399999998626</v>
      </c>
      <c r="KV15" s="16">
        <f t="shared" si="256"/>
        <v>51.019000000000233</v>
      </c>
      <c r="KW15" s="16">
        <f t="shared" si="256"/>
        <v>151.12100000001374</v>
      </c>
      <c r="KX15" s="16">
        <f t="shared" si="256"/>
        <v>154.28999999997905</v>
      </c>
      <c r="KY15" s="16">
        <f t="shared" si="256"/>
        <v>118.77200000002631</v>
      </c>
      <c r="KZ15" s="16">
        <f t="shared" si="256"/>
        <v>152.97799999997369</v>
      </c>
      <c r="LA15" s="16">
        <f t="shared" si="256"/>
        <v>144.76000000000931</v>
      </c>
      <c r="LB15" s="16">
        <f t="shared" si="256"/>
        <v>66.152999999991152</v>
      </c>
      <c r="LC15" s="16">
        <f t="shared" si="256"/>
        <v>124.57300000000396</v>
      </c>
      <c r="LD15" s="16">
        <f t="shared" si="256"/>
        <v>153.74199999999837</v>
      </c>
      <c r="LE15" s="16">
        <f t="shared" si="256"/>
        <v>208.71900000001187</v>
      </c>
      <c r="LF15" s="127">
        <f>SUM(KA15:LE15)</f>
        <v>4066.7760000000126</v>
      </c>
      <c r="LG15" s="16">
        <f t="shared" ref="LG15:MJ15" si="257">LG14-LG13</f>
        <v>314.12799999999697</v>
      </c>
      <c r="LH15" s="16">
        <f t="shared" si="257"/>
        <v>223.34500000000116</v>
      </c>
      <c r="LI15" s="16">
        <f t="shared" si="257"/>
        <v>197.19200000001001</v>
      </c>
      <c r="LJ15" s="16">
        <f t="shared" si="257"/>
        <v>199.89699999999721</v>
      </c>
      <c r="LK15" s="16">
        <f t="shared" si="257"/>
        <v>147.53800000000047</v>
      </c>
      <c r="LL15" s="16">
        <f t="shared" si="257"/>
        <v>122.48699999999371</v>
      </c>
      <c r="LM15" s="16">
        <f t="shared" si="257"/>
        <v>365.42300000000978</v>
      </c>
      <c r="LN15" s="16">
        <f t="shared" si="257"/>
        <v>339.91199999998207</v>
      </c>
      <c r="LO15" s="16">
        <f t="shared" si="257"/>
        <v>162.17200000002049</v>
      </c>
      <c r="LP15" s="16">
        <f t="shared" si="257"/>
        <v>141.28999999997905</v>
      </c>
      <c r="LQ15" s="16">
        <f t="shared" si="257"/>
        <v>154.39600000000792</v>
      </c>
      <c r="LR15" s="16">
        <f t="shared" si="257"/>
        <v>160.49400000000605</v>
      </c>
      <c r="LS15" s="16">
        <f t="shared" si="257"/>
        <v>108.20900000000256</v>
      </c>
      <c r="LT15" s="16">
        <f t="shared" si="257"/>
        <v>116.27999999999884</v>
      </c>
      <c r="LU15" s="16">
        <f t="shared" si="257"/>
        <v>210.58899999997811</v>
      </c>
      <c r="LV15" s="16">
        <f t="shared" si="257"/>
        <v>125.22900000002119</v>
      </c>
      <c r="LW15" s="16">
        <f t="shared" si="257"/>
        <v>143.237999999983</v>
      </c>
      <c r="LX15" s="16">
        <f t="shared" si="257"/>
        <v>173.64000000001397</v>
      </c>
      <c r="LY15" s="16">
        <f t="shared" si="257"/>
        <v>168.11999999999534</v>
      </c>
      <c r="LZ15" s="16">
        <f t="shared" si="257"/>
        <v>195.63300000000163</v>
      </c>
      <c r="MA15" s="16">
        <f t="shared" si="257"/>
        <v>165.57999999998719</v>
      </c>
      <c r="MB15" s="16">
        <f t="shared" si="257"/>
        <v>256.22900000002119</v>
      </c>
      <c r="MC15" s="16">
        <f t="shared" si="257"/>
        <v>84.86699999999837</v>
      </c>
      <c r="MD15" s="16">
        <f t="shared" si="257"/>
        <v>247.14599999997881</v>
      </c>
      <c r="ME15" s="16">
        <f t="shared" si="257"/>
        <v>128.21500000002561</v>
      </c>
      <c r="MF15" s="16">
        <f t="shared" si="257"/>
        <v>143.84599999999045</v>
      </c>
      <c r="MG15" s="16">
        <f t="shared" si="257"/>
        <v>146.17300000000978</v>
      </c>
      <c r="MH15" s="16">
        <f t="shared" si="257"/>
        <v>204.80299999998533</v>
      </c>
      <c r="MI15" s="16">
        <f t="shared" si="257"/>
        <v>186.66500000000815</v>
      </c>
      <c r="MJ15" s="16">
        <f t="shared" si="257"/>
        <v>79.100000000005821</v>
      </c>
      <c r="MK15" s="127">
        <f>SUM(LF15:MJ15)</f>
        <v>9478.6120000000228</v>
      </c>
      <c r="ML15" s="16">
        <f t="shared" ref="ML15:NP15" si="258">ML14-ML13</f>
        <v>160.57299999997485</v>
      </c>
      <c r="MM15" s="16">
        <f t="shared" si="258"/>
        <v>191.42600000000675</v>
      </c>
      <c r="MN15" s="16">
        <f t="shared" si="258"/>
        <v>135.0910000000149</v>
      </c>
      <c r="MO15" s="16">
        <f t="shared" si="258"/>
        <v>187.68700000000536</v>
      </c>
      <c r="MP15" s="16">
        <f t="shared" si="258"/>
        <v>105.19099999999162</v>
      </c>
      <c r="MQ15" s="16">
        <f t="shared" si="258"/>
        <v>84.389999999984866</v>
      </c>
      <c r="MR15" s="16">
        <f t="shared" si="258"/>
        <v>211.88500000000931</v>
      </c>
      <c r="MS15" s="16">
        <f t="shared" si="258"/>
        <v>108.58799999998882</v>
      </c>
      <c r="MT15" s="16">
        <f t="shared" si="258"/>
        <v>111.12800000002608</v>
      </c>
      <c r="MU15" s="16">
        <f t="shared" si="258"/>
        <v>59.434999999997672</v>
      </c>
      <c r="MV15" s="16">
        <f t="shared" si="258"/>
        <v>154.90099999998347</v>
      </c>
      <c r="MW15" s="16">
        <f t="shared" si="258"/>
        <v>168.41099999999278</v>
      </c>
      <c r="MX15" s="16">
        <f t="shared" si="258"/>
        <v>239.41200000001118</v>
      </c>
      <c r="MY15" s="16">
        <f t="shared" si="258"/>
        <v>153.67499999998836</v>
      </c>
      <c r="MZ15" s="16">
        <f t="shared" si="258"/>
        <v>104.47299999999814</v>
      </c>
      <c r="NA15" s="16">
        <f t="shared" si="258"/>
        <v>170.88000000000466</v>
      </c>
      <c r="NB15" s="16">
        <f t="shared" si="258"/>
        <v>168.4539999999979</v>
      </c>
      <c r="NC15" s="16">
        <f t="shared" si="258"/>
        <v>174.95100000000093</v>
      </c>
      <c r="ND15" s="16">
        <f t="shared" si="258"/>
        <v>187.70100000000093</v>
      </c>
      <c r="NE15" s="16">
        <f t="shared" si="258"/>
        <v>174.66000000000349</v>
      </c>
      <c r="NF15" s="16">
        <f t="shared" si="258"/>
        <v>89.407000000006519</v>
      </c>
      <c r="NG15" s="16">
        <f t="shared" si="258"/>
        <v>96.877999999996973</v>
      </c>
      <c r="NH15" s="16">
        <f t="shared" si="258"/>
        <v>97.975000000005821</v>
      </c>
      <c r="NI15" s="16">
        <f t="shared" si="258"/>
        <v>108.1699999999837</v>
      </c>
      <c r="NJ15" s="16">
        <f t="shared" si="258"/>
        <v>128.26600000000326</v>
      </c>
      <c r="NK15" s="16">
        <f t="shared" si="258"/>
        <v>146.59500000000116</v>
      </c>
      <c r="NL15" s="16">
        <f t="shared" si="258"/>
        <v>199.80199999999604</v>
      </c>
      <c r="NM15" s="16">
        <f t="shared" si="258"/>
        <v>91.824000000022352</v>
      </c>
      <c r="NN15" s="16">
        <f t="shared" si="258"/>
        <v>147.38000000000466</v>
      </c>
      <c r="NO15" s="16">
        <f t="shared" si="258"/>
        <v>113.25899999999092</v>
      </c>
      <c r="NP15" s="16">
        <f t="shared" si="258"/>
        <v>114.32000000000698</v>
      </c>
      <c r="NQ15" s="127">
        <f>SUM(ML15:NP15)</f>
        <v>4386.7880000000005</v>
      </c>
      <c r="NR15" s="16">
        <f t="shared" ref="NR15:OV15" si="259">NR14-NR13</f>
        <v>146.33599999998114</v>
      </c>
      <c r="NS15" s="16">
        <f t="shared" si="259"/>
        <v>103.72800000000279</v>
      </c>
      <c r="NT15" s="16">
        <f t="shared" si="259"/>
        <v>133.92699999999604</v>
      </c>
      <c r="NU15" s="16">
        <f t="shared" si="259"/>
        <v>137.10800000000745</v>
      </c>
      <c r="NV15" s="16">
        <f t="shared" si="259"/>
        <v>192.72500000000582</v>
      </c>
      <c r="NW15" s="16">
        <f t="shared" si="259"/>
        <v>236.25599999999395</v>
      </c>
      <c r="NX15" s="16">
        <f t="shared" si="259"/>
        <v>98.727000000013504</v>
      </c>
      <c r="NY15" s="16">
        <f t="shared" si="259"/>
        <v>134.73699999999371</v>
      </c>
      <c r="NZ15" s="16">
        <f t="shared" si="259"/>
        <v>149.39600000000792</v>
      </c>
      <c r="OA15" s="16">
        <f t="shared" si="259"/>
        <v>131.66499999997905</v>
      </c>
      <c r="OB15" s="16">
        <f t="shared" si="259"/>
        <v>150.51000000000931</v>
      </c>
      <c r="OC15" s="16">
        <f t="shared" si="259"/>
        <v>150.21899999998277</v>
      </c>
      <c r="OD15" s="16">
        <f t="shared" si="259"/>
        <v>124.15100000001257</v>
      </c>
      <c r="OE15" s="16">
        <f t="shared" si="259"/>
        <v>184.7390000000014</v>
      </c>
      <c r="OF15" s="16">
        <f t="shared" si="259"/>
        <v>139.00700000001234</v>
      </c>
      <c r="OG15" s="16">
        <f t="shared" si="259"/>
        <v>183.37399999998161</v>
      </c>
      <c r="OH15" s="16">
        <f t="shared" si="259"/>
        <v>134.09900000001653</v>
      </c>
      <c r="OI15" s="16">
        <f t="shared" si="259"/>
        <v>141.44000000000233</v>
      </c>
      <c r="OJ15" s="16">
        <f t="shared" si="259"/>
        <v>120.00099999998929</v>
      </c>
      <c r="OK15" s="16">
        <f t="shared" si="259"/>
        <v>126.54000000000815</v>
      </c>
      <c r="OL15" s="16">
        <f t="shared" si="259"/>
        <v>181.96899999998277</v>
      </c>
      <c r="OM15" s="16">
        <f t="shared" si="259"/>
        <v>120.54399999999441</v>
      </c>
      <c r="ON15" s="16">
        <f t="shared" si="259"/>
        <v>135.9090000000142</v>
      </c>
      <c r="OO15" s="16">
        <f t="shared" si="259"/>
        <v>145.25500000000466</v>
      </c>
      <c r="OP15" s="16">
        <f t="shared" si="259"/>
        <v>62.453999999997905</v>
      </c>
      <c r="OQ15" s="16">
        <f t="shared" si="259"/>
        <v>163.93899999998393</v>
      </c>
      <c r="OR15" s="16">
        <f t="shared" si="259"/>
        <v>160.19600000002538</v>
      </c>
      <c r="OS15" s="16">
        <f t="shared" si="259"/>
        <v>87.75</v>
      </c>
      <c r="OT15" s="16">
        <f t="shared" si="259"/>
        <v>99.444999999977881</v>
      </c>
      <c r="OU15" s="16">
        <f t="shared" si="259"/>
        <v>190.15400000000955</v>
      </c>
      <c r="OV15" s="16">
        <f t="shared" si="259"/>
        <v>192.07199999998556</v>
      </c>
      <c r="OW15" s="127">
        <f>SUM(NR15:OV15)</f>
        <v>4458.3719999999739</v>
      </c>
      <c r="OX15" s="16">
        <f t="shared" ref="OX15:QA15" si="260">OX14-OX13</f>
        <v>133.22400000001653</v>
      </c>
      <c r="OY15" s="16">
        <f t="shared" si="260"/>
        <v>88.894999999989523</v>
      </c>
      <c r="OZ15" s="16">
        <f t="shared" si="260"/>
        <v>107.7730000000156</v>
      </c>
      <c r="PA15" s="16">
        <f t="shared" si="260"/>
        <v>139.08799999998882</v>
      </c>
      <c r="PB15" s="16">
        <f t="shared" si="260"/>
        <v>138.12599999998929</v>
      </c>
      <c r="PC15" s="16">
        <f t="shared" si="260"/>
        <v>174.25600000002305</v>
      </c>
      <c r="PD15" s="16">
        <f t="shared" si="260"/>
        <v>273.92199999999139</v>
      </c>
      <c r="PE15" s="16">
        <f t="shared" si="260"/>
        <v>64.195000000006985</v>
      </c>
      <c r="PF15" s="16">
        <f t="shared" si="260"/>
        <v>53.930999999982305</v>
      </c>
      <c r="PG15" s="16">
        <f t="shared" si="260"/>
        <v>45.26600000000326</v>
      </c>
      <c r="PH15" s="16">
        <f t="shared" si="260"/>
        <v>131.5690000000177</v>
      </c>
      <c r="PI15" s="16">
        <f t="shared" si="260"/>
        <v>108.65699999997742</v>
      </c>
      <c r="PJ15" s="16">
        <f t="shared" si="260"/>
        <v>150.74400000000605</v>
      </c>
      <c r="PK15" s="16">
        <f t="shared" si="260"/>
        <v>214.99000000001979</v>
      </c>
      <c r="PL15" s="16">
        <f t="shared" si="260"/>
        <v>70.017999999981839</v>
      </c>
      <c r="PM15" s="16">
        <f t="shared" si="260"/>
        <v>119.83300000001327</v>
      </c>
      <c r="PN15" s="16">
        <f t="shared" si="260"/>
        <v>131.17299999998068</v>
      </c>
      <c r="PO15" s="16">
        <f t="shared" si="260"/>
        <v>117.125</v>
      </c>
      <c r="PP15" s="16">
        <f t="shared" si="260"/>
        <v>137.8289999999979</v>
      </c>
      <c r="PQ15" s="16">
        <f t="shared" si="260"/>
        <v>123.63300000000163</v>
      </c>
      <c r="PR15" s="16">
        <f t="shared" si="260"/>
        <v>61.351000000024214</v>
      </c>
      <c r="PS15" s="16">
        <f t="shared" si="260"/>
        <v>41.50899999999092</v>
      </c>
      <c r="PT15" s="16">
        <f t="shared" si="260"/>
        <v>113.85899999999674</v>
      </c>
      <c r="PU15" s="16">
        <f t="shared" si="260"/>
        <v>136.79399999999441</v>
      </c>
      <c r="PV15" s="16">
        <f t="shared" si="260"/>
        <v>63.857000000018161</v>
      </c>
      <c r="PW15" s="16">
        <f t="shared" si="260"/>
        <v>75.230999999999767</v>
      </c>
      <c r="PX15" s="16">
        <f t="shared" si="260"/>
        <v>133.39599999997881</v>
      </c>
      <c r="PY15" s="16">
        <f t="shared" si="260"/>
        <v>71.061000000016065</v>
      </c>
      <c r="PZ15" s="16">
        <f t="shared" si="260"/>
        <v>109.92699999999604</v>
      </c>
      <c r="QA15" s="16">
        <f t="shared" si="260"/>
        <v>100.5559999999823</v>
      </c>
      <c r="QB15" s="127">
        <f>SUM(OX15:QA15)</f>
        <v>3431.7880000000005</v>
      </c>
      <c r="QC15" s="16">
        <f t="shared" ref="QC15:RG15" si="261">QC14-QC13</f>
        <v>99.206000000005588</v>
      </c>
      <c r="QD15" s="16">
        <f t="shared" si="261"/>
        <v>57.694000000017695</v>
      </c>
      <c r="QE15" s="16">
        <f t="shared" si="261"/>
        <v>67.199999999982538</v>
      </c>
      <c r="QF15" s="16">
        <f t="shared" si="261"/>
        <v>127.55000000001746</v>
      </c>
      <c r="QG15" s="16">
        <f t="shared" si="261"/>
        <v>112.97999999998137</v>
      </c>
      <c r="QH15" s="16">
        <f t="shared" si="261"/>
        <v>118.20000000001164</v>
      </c>
      <c r="QI15" s="16">
        <f t="shared" si="261"/>
        <v>229.17199999999139</v>
      </c>
      <c r="QJ15" s="16">
        <f t="shared" si="261"/>
        <v>82.600000000005821</v>
      </c>
      <c r="QK15" s="16">
        <f t="shared" si="261"/>
        <v>138.85699999998906</v>
      </c>
      <c r="QL15" s="16">
        <f t="shared" si="261"/>
        <v>108.40700000000652</v>
      </c>
      <c r="QM15" s="16">
        <f t="shared" si="261"/>
        <v>121</v>
      </c>
      <c r="QN15" s="16">
        <f t="shared" si="261"/>
        <v>164.70000000001164</v>
      </c>
      <c r="QO15" s="16">
        <f t="shared" si="261"/>
        <v>88.600000000005821</v>
      </c>
      <c r="QP15" s="16">
        <f t="shared" si="261"/>
        <v>148.07500000001164</v>
      </c>
      <c r="QQ15" s="16">
        <f t="shared" si="261"/>
        <v>130.89999999996508</v>
      </c>
      <c r="QR15" s="16">
        <f t="shared" si="261"/>
        <v>73.400000000023283</v>
      </c>
      <c r="QS15" s="16">
        <f t="shared" si="261"/>
        <v>158.47499999997672</v>
      </c>
      <c r="QT15" s="16">
        <f t="shared" si="261"/>
        <v>96.617000000027474</v>
      </c>
      <c r="QU15" s="16">
        <f t="shared" si="261"/>
        <v>158</v>
      </c>
      <c r="QV15" s="16">
        <f t="shared" si="261"/>
        <v>129</v>
      </c>
      <c r="QW15" s="16">
        <f t="shared" si="261"/>
        <v>134.59999999997672</v>
      </c>
      <c r="QX15" s="16">
        <f t="shared" si="261"/>
        <v>83.200000000011642</v>
      </c>
      <c r="QY15" s="16">
        <f t="shared" si="261"/>
        <v>47.5</v>
      </c>
      <c r="QZ15" s="16">
        <f t="shared" si="261"/>
        <v>82.025000000023283</v>
      </c>
      <c r="RA15" s="16">
        <f t="shared" si="261"/>
        <v>202.02999999996973</v>
      </c>
      <c r="RB15" s="16">
        <f t="shared" si="261"/>
        <v>154.70000000001164</v>
      </c>
      <c r="RC15" s="16">
        <f t="shared" si="261"/>
        <v>98.87400000001071</v>
      </c>
      <c r="RD15" s="16">
        <f t="shared" si="261"/>
        <v>127.32799999997951</v>
      </c>
      <c r="RE15" s="16">
        <f t="shared" si="261"/>
        <v>119.70000000001164</v>
      </c>
      <c r="RF15" s="16">
        <f t="shared" si="261"/>
        <v>93.967999999993481</v>
      </c>
      <c r="RG15" s="16">
        <f t="shared" si="261"/>
        <v>97.312999999965541</v>
      </c>
      <c r="RH15" s="127">
        <f>SUM(QD15:RG15)</f>
        <v>3552.664999999979</v>
      </c>
      <c r="RI15" s="16">
        <f t="shared" ref="RI15:SL15" si="262">RI14-RI13</f>
        <v>223.29400000005262</v>
      </c>
      <c r="RJ15" s="16">
        <f t="shared" si="262"/>
        <v>92.20499999995809</v>
      </c>
      <c r="RK15" s="16">
        <f t="shared" si="262"/>
        <v>66.743000000016764</v>
      </c>
      <c r="RL15" s="16">
        <f t="shared" si="262"/>
        <v>194.02199999999721</v>
      </c>
      <c r="RM15" s="16">
        <f t="shared" si="262"/>
        <v>96.835000000020955</v>
      </c>
      <c r="RN15" s="16">
        <f t="shared" si="262"/>
        <v>107.94699999998556</v>
      </c>
      <c r="RO15" s="16">
        <f t="shared" si="262"/>
        <v>83.603999999992084</v>
      </c>
      <c r="RP15" s="16">
        <f t="shared" si="262"/>
        <v>150.51900000002934</v>
      </c>
      <c r="RQ15" s="16">
        <f t="shared" si="262"/>
        <v>179.39100000000326</v>
      </c>
      <c r="RR15" s="16">
        <f t="shared" si="262"/>
        <v>98.625</v>
      </c>
      <c r="RS15" s="16">
        <f t="shared" si="262"/>
        <v>89.597999999998137</v>
      </c>
      <c r="RT15" s="16">
        <f t="shared" si="262"/>
        <v>101.82499999995343</v>
      </c>
      <c r="RU15" s="16">
        <f t="shared" si="262"/>
        <v>77.967999999993481</v>
      </c>
      <c r="RV15" s="16">
        <f t="shared" si="262"/>
        <v>70.050000000046566</v>
      </c>
      <c r="RW15" s="16">
        <f t="shared" si="262"/>
        <v>112.65299999999115</v>
      </c>
      <c r="RX15" s="16">
        <f t="shared" si="262"/>
        <v>178.94699999998556</v>
      </c>
      <c r="RY15" s="16">
        <f t="shared" si="262"/>
        <v>64.945999999996275</v>
      </c>
      <c r="RZ15" s="16">
        <f t="shared" si="262"/>
        <v>95.162000000011176</v>
      </c>
      <c r="SA15" s="16">
        <f t="shared" si="262"/>
        <v>179.88699999998789</v>
      </c>
      <c r="SB15" s="16">
        <f t="shared" si="262"/>
        <v>110.21700000000419</v>
      </c>
      <c r="SC15" s="16">
        <f t="shared" si="262"/>
        <v>178.74800000002142</v>
      </c>
      <c r="SD15" s="16">
        <f t="shared" si="262"/>
        <v>114.20299999997951</v>
      </c>
      <c r="SE15" s="16">
        <f t="shared" si="262"/>
        <v>177.32300000003306</v>
      </c>
      <c r="SF15" s="16">
        <f t="shared" si="262"/>
        <v>151.85399999999208</v>
      </c>
      <c r="SG15" s="16">
        <f t="shared" si="262"/>
        <v>70.137999999977183</v>
      </c>
      <c r="SH15" s="16">
        <f t="shared" si="262"/>
        <v>148.16499999997905</v>
      </c>
      <c r="SI15" s="16">
        <f t="shared" si="262"/>
        <v>150.94200000003912</v>
      </c>
      <c r="SJ15" s="16">
        <f t="shared" si="262"/>
        <v>98.934999999997672</v>
      </c>
      <c r="SK15" s="16">
        <f t="shared" si="262"/>
        <v>116.23999999999069</v>
      </c>
      <c r="SL15" s="16">
        <f t="shared" si="262"/>
        <v>248.96000000002095</v>
      </c>
      <c r="SM15" s="127">
        <f>SUM(RI15:SL15)</f>
        <v>3829.9460000000545</v>
      </c>
      <c r="SN15" s="16">
        <f t="shared" ref="SN15:TR15" si="263">SN14-SN13</f>
        <v>120.44000000000233</v>
      </c>
      <c r="SO15" s="16">
        <f t="shared" si="263"/>
        <v>87.106999999959953</v>
      </c>
      <c r="SP15" s="16">
        <f t="shared" si="263"/>
        <v>125.75800000003073</v>
      </c>
      <c r="SQ15" s="16">
        <f t="shared" si="263"/>
        <v>137.61799999995856</v>
      </c>
      <c r="SR15" s="16">
        <f t="shared" si="263"/>
        <v>104.6940000000177</v>
      </c>
      <c r="SS15" s="16">
        <f t="shared" si="263"/>
        <v>104.49099999997998</v>
      </c>
      <c r="ST15" s="16">
        <f t="shared" si="263"/>
        <v>163.18100000004051</v>
      </c>
      <c r="SU15" s="16">
        <f t="shared" si="263"/>
        <v>103.66599999996834</v>
      </c>
      <c r="SV15" s="16">
        <f t="shared" si="263"/>
        <v>134.6940000000177</v>
      </c>
      <c r="SW15" s="16">
        <f t="shared" si="263"/>
        <v>191.42900000000373</v>
      </c>
      <c r="SX15" s="16">
        <f t="shared" si="263"/>
        <v>216.76600000000326</v>
      </c>
      <c r="SY15" s="16">
        <f t="shared" si="263"/>
        <v>140.48399999999674</v>
      </c>
      <c r="SZ15" s="16">
        <f t="shared" si="263"/>
        <v>196.71700000000419</v>
      </c>
      <c r="TA15" s="16">
        <f t="shared" si="263"/>
        <v>145.7050000000163</v>
      </c>
      <c r="TB15" s="16">
        <f t="shared" si="263"/>
        <v>83.21999999997206</v>
      </c>
      <c r="TC15" s="16">
        <f t="shared" si="263"/>
        <v>125.35600000002887</v>
      </c>
      <c r="TD15" s="16">
        <f t="shared" si="263"/>
        <v>100.3739999999525</v>
      </c>
      <c r="TE15" s="16">
        <f t="shared" si="263"/>
        <v>128.92900000000373</v>
      </c>
      <c r="TF15" s="16">
        <f t="shared" si="263"/>
        <v>148.7050000000163</v>
      </c>
      <c r="TG15" s="16">
        <f t="shared" si="263"/>
        <v>105.3070000000298</v>
      </c>
      <c r="TH15" s="16">
        <f t="shared" si="263"/>
        <v>156.20999999996275</v>
      </c>
      <c r="TI15" s="16">
        <f t="shared" si="263"/>
        <v>151.04000000003725</v>
      </c>
      <c r="TJ15" s="16">
        <f t="shared" si="263"/>
        <v>130.66299999994226</v>
      </c>
      <c r="TK15" s="16">
        <f t="shared" si="263"/>
        <v>194.06300000002375</v>
      </c>
      <c r="TL15" s="16">
        <f t="shared" si="263"/>
        <v>23.718999999982771</v>
      </c>
      <c r="TM15" s="16">
        <f t="shared" si="263"/>
        <v>61.956999999994878</v>
      </c>
      <c r="TN15" s="16">
        <f t="shared" si="263"/>
        <v>95.800000000046566</v>
      </c>
      <c r="TO15" s="16">
        <f t="shared" si="263"/>
        <v>109.80799999996088</v>
      </c>
      <c r="TP15" s="16">
        <f t="shared" si="263"/>
        <v>110.21799999999348</v>
      </c>
      <c r="TQ15" s="16">
        <f t="shared" si="263"/>
        <v>89.156000000017229</v>
      </c>
      <c r="TR15" s="16">
        <f t="shared" si="263"/>
        <v>122.48700000002282</v>
      </c>
      <c r="TS15" s="127">
        <f>SUM(SO15:TR15)</f>
        <v>3789.3219999999856</v>
      </c>
      <c r="TT15" s="16">
        <f t="shared" ref="TT15:UX15" si="264">TT14-TT13</f>
        <v>33.32999999995809</v>
      </c>
      <c r="TU15" s="16">
        <f t="shared" si="264"/>
        <v>89.156000000017229</v>
      </c>
      <c r="TV15" s="16">
        <f t="shared" si="264"/>
        <v>94.467000000004191</v>
      </c>
      <c r="TW15" s="16">
        <f t="shared" si="264"/>
        <v>79.027000000001863</v>
      </c>
      <c r="TX15" s="16">
        <f t="shared" si="264"/>
        <v>95.082999999984168</v>
      </c>
      <c r="TY15" s="16">
        <f t="shared" si="264"/>
        <v>127.09299999999348</v>
      </c>
      <c r="TZ15" s="16">
        <f t="shared" si="264"/>
        <v>168.09000000002561</v>
      </c>
      <c r="UA15" s="16">
        <f t="shared" si="264"/>
        <v>96.51400000002468</v>
      </c>
      <c r="UB15" s="16">
        <f t="shared" si="264"/>
        <v>106.64299999998184</v>
      </c>
      <c r="UC15" s="16">
        <f t="shared" si="264"/>
        <v>156.71000000002095</v>
      </c>
      <c r="UD15" s="16">
        <f t="shared" si="264"/>
        <v>155.39399999997113</v>
      </c>
      <c r="UE15" s="16">
        <f t="shared" si="264"/>
        <v>127.40000000002328</v>
      </c>
      <c r="UF15" s="16">
        <f t="shared" si="264"/>
        <v>87.315999999991618</v>
      </c>
      <c r="UG15" s="16">
        <f t="shared" si="264"/>
        <v>133.33100000000559</v>
      </c>
      <c r="UH15" s="16">
        <f t="shared" si="264"/>
        <v>106.12699999997858</v>
      </c>
      <c r="UI15" s="16">
        <f t="shared" si="264"/>
        <v>80.36099999997532</v>
      </c>
      <c r="UJ15" s="16">
        <f t="shared" si="264"/>
        <v>78.315000000002328</v>
      </c>
      <c r="UK15" s="16">
        <f t="shared" si="264"/>
        <v>136.99600000004284</v>
      </c>
      <c r="UL15" s="16">
        <f t="shared" si="264"/>
        <v>48.87699999997858</v>
      </c>
      <c r="UM15" s="16">
        <f t="shared" si="264"/>
        <v>111.65000000002328</v>
      </c>
      <c r="UN15" s="16">
        <f t="shared" si="264"/>
        <v>55.410999999963678</v>
      </c>
      <c r="UO15" s="16">
        <f t="shared" si="264"/>
        <v>154.79500000004191</v>
      </c>
      <c r="UP15" s="16">
        <f t="shared" si="264"/>
        <v>165.4649999999674</v>
      </c>
      <c r="UQ15" s="16">
        <f t="shared" si="264"/>
        <v>153.36800000001676</v>
      </c>
      <c r="UR15" s="16">
        <f t="shared" si="264"/>
        <v>122.28200000000652</v>
      </c>
      <c r="US15" s="16">
        <f t="shared" si="264"/>
        <v>127.18900000001304</v>
      </c>
      <c r="UT15" s="16">
        <f t="shared" si="264"/>
        <v>126.56299999996554</v>
      </c>
      <c r="UU15" s="16">
        <f t="shared" si="264"/>
        <v>81.381999999983236</v>
      </c>
      <c r="UV15" s="16">
        <f t="shared" si="264"/>
        <v>76.277000000001863</v>
      </c>
      <c r="UW15" s="16">
        <f t="shared" si="264"/>
        <v>149.99000000004889</v>
      </c>
      <c r="UX15" s="16">
        <f t="shared" si="264"/>
        <v>167.46999999997206</v>
      </c>
      <c r="UY15" s="127">
        <f>SUM(TT15:UX15)</f>
        <v>3492.0719999999856</v>
      </c>
      <c r="UZ15" s="16">
        <f t="shared" ref="UZ15:WA15" si="265">UZ14-UZ13</f>
        <v>190.46100000001024</v>
      </c>
      <c r="VA15" s="16">
        <f t="shared" si="265"/>
        <v>120.33899999997811</v>
      </c>
      <c r="VB15" s="16">
        <f t="shared" si="265"/>
        <v>81.182000000029802</v>
      </c>
      <c r="VC15" s="16">
        <f t="shared" si="265"/>
        <v>150.49900000001071</v>
      </c>
      <c r="VD15" s="16">
        <f t="shared" si="265"/>
        <v>122.88999999995576</v>
      </c>
      <c r="VE15" s="16">
        <f t="shared" si="265"/>
        <v>152.9440000000177</v>
      </c>
      <c r="VF15" s="16">
        <f t="shared" si="265"/>
        <v>241.09600000001956</v>
      </c>
      <c r="VG15" s="16">
        <f t="shared" si="265"/>
        <v>89.181999999971595</v>
      </c>
      <c r="VH15" s="16">
        <f t="shared" si="265"/>
        <v>86.236000000033528</v>
      </c>
      <c r="VI15" s="16">
        <f t="shared" si="265"/>
        <v>112.34099999995669</v>
      </c>
      <c r="VJ15" s="16">
        <f t="shared" si="265"/>
        <v>67.960000000020955</v>
      </c>
      <c r="VK15" s="16">
        <f t="shared" si="265"/>
        <v>119.99900000001071</v>
      </c>
      <c r="VL15" s="16">
        <f t="shared" si="265"/>
        <v>101.01500000001397</v>
      </c>
      <c r="VM15" s="16">
        <f t="shared" si="265"/>
        <v>260.40299999999115</v>
      </c>
      <c r="VN15" s="16">
        <f t="shared" si="265"/>
        <v>56.733000000007451</v>
      </c>
      <c r="VO15" s="16">
        <f t="shared" si="265"/>
        <v>223.18399999995017</v>
      </c>
      <c r="VP15" s="16">
        <f t="shared" si="265"/>
        <v>123.12800000002608</v>
      </c>
      <c r="VQ15" s="16">
        <f t="shared" si="265"/>
        <v>71.832999999984168</v>
      </c>
      <c r="VR15" s="16">
        <f t="shared" si="265"/>
        <v>101.20199999999022</v>
      </c>
      <c r="VS15" s="16">
        <f t="shared" si="265"/>
        <v>142.6710000000312</v>
      </c>
      <c r="VT15" s="16">
        <f t="shared" si="265"/>
        <v>97.546999999962281</v>
      </c>
      <c r="VU15" s="16">
        <f t="shared" si="265"/>
        <v>128.35700000001816</v>
      </c>
      <c r="VV15" s="16">
        <f t="shared" si="265"/>
        <v>159.77400000003399</v>
      </c>
      <c r="VW15" s="16">
        <f t="shared" si="265"/>
        <v>111.33100000000559</v>
      </c>
      <c r="VX15" s="16">
        <f t="shared" si="265"/>
        <v>109.78899999998976</v>
      </c>
      <c r="VY15" s="16">
        <f t="shared" si="265"/>
        <v>88.157000000006519</v>
      </c>
      <c r="VZ15" s="16">
        <f t="shared" si="265"/>
        <v>138.77899999998044</v>
      </c>
      <c r="WA15" s="16">
        <f t="shared" si="265"/>
        <v>143.88299999997253</v>
      </c>
      <c r="WB15" s="127">
        <f>SUM(UZ15:WA15)</f>
        <v>3592.914999999979</v>
      </c>
      <c r="WC15" s="16">
        <f t="shared" ref="WC15:XG15" si="266">WC14-WC13</f>
        <v>131.43700000003446</v>
      </c>
      <c r="WD15" s="16">
        <f t="shared" si="266"/>
        <v>71.021000000007916</v>
      </c>
      <c r="WE15" s="16">
        <f t="shared" si="266"/>
        <v>65.507999999972526</v>
      </c>
      <c r="WF15" s="16">
        <f t="shared" si="266"/>
        <v>102.61999999999534</v>
      </c>
      <c r="WG15" s="16">
        <f t="shared" si="266"/>
        <v>61.630000000004657</v>
      </c>
      <c r="WH15" s="16">
        <f t="shared" si="266"/>
        <v>108.17200000002049</v>
      </c>
      <c r="WI15" s="16">
        <f t="shared" si="266"/>
        <v>99.807999999960884</v>
      </c>
      <c r="WJ15" s="16">
        <f t="shared" si="266"/>
        <v>130.78000000002794</v>
      </c>
      <c r="WK15" s="16">
        <f t="shared" si="266"/>
        <v>120.61599999997998</v>
      </c>
      <c r="WL15" s="16">
        <f t="shared" si="266"/>
        <v>141.82200000004377</v>
      </c>
      <c r="WM15" s="16">
        <f t="shared" si="266"/>
        <v>188.49199999996927</v>
      </c>
      <c r="WN15" s="16">
        <f t="shared" si="266"/>
        <v>86.325000000011642</v>
      </c>
      <c r="WO15" s="16">
        <f t="shared" si="266"/>
        <v>105.94500000000698</v>
      </c>
      <c r="WP15" s="16">
        <f t="shared" si="266"/>
        <v>130.20100000000093</v>
      </c>
      <c r="WQ15" s="16">
        <f t="shared" si="266"/>
        <v>196.76699999999255</v>
      </c>
      <c r="WR15" s="16">
        <f t="shared" si="266"/>
        <v>52.038000000000466</v>
      </c>
      <c r="WS15" s="16">
        <f t="shared" si="266"/>
        <v>87.142999999981839</v>
      </c>
      <c r="WT15" s="16">
        <f t="shared" si="266"/>
        <v>120.61800000001676</v>
      </c>
      <c r="WU15" s="16">
        <f t="shared" si="266"/>
        <v>171.31199999997625</v>
      </c>
      <c r="WV15" s="16">
        <f t="shared" si="266"/>
        <v>84.083000000042375</v>
      </c>
      <c r="WW15" s="16">
        <f t="shared" si="266"/>
        <v>93.475999999966007</v>
      </c>
      <c r="WX15" s="16">
        <f t="shared" si="266"/>
        <v>180.66399999998976</v>
      </c>
      <c r="WY15" s="16">
        <f t="shared" si="266"/>
        <v>132.46500000002561</v>
      </c>
      <c r="WZ15" s="16">
        <f t="shared" si="266"/>
        <v>133.06199999997625</v>
      </c>
      <c r="XA15" s="16">
        <f t="shared" si="266"/>
        <v>95.400000000023283</v>
      </c>
      <c r="XB15" s="16">
        <f t="shared" si="266"/>
        <v>99.744000000006054</v>
      </c>
      <c r="XC15" s="16">
        <f t="shared" si="266"/>
        <v>103.00400000001537</v>
      </c>
      <c r="XD15" s="16">
        <f t="shared" si="266"/>
        <v>81.629999999946449</v>
      </c>
      <c r="XE15" s="16">
        <f t="shared" si="266"/>
        <v>151.44100000004983</v>
      </c>
      <c r="XF15" s="16">
        <f t="shared" si="266"/>
        <v>107.13999999995576</v>
      </c>
      <c r="XG15" s="16">
        <f t="shared" si="266"/>
        <v>65.918999999994412</v>
      </c>
      <c r="XH15" s="127">
        <f>SUM(WC15:XG15)</f>
        <v>3500.2829999999958</v>
      </c>
      <c r="XI15" s="16">
        <f t="shared" ref="XI15:YL15" si="267">XI14-XI13</f>
        <v>63.672000000020489</v>
      </c>
      <c r="XJ15" s="16">
        <f t="shared" si="267"/>
        <v>105.51600000000326</v>
      </c>
      <c r="XK15" s="16">
        <f t="shared" si="267"/>
        <v>149.2839999999851</v>
      </c>
      <c r="XL15" s="16">
        <f t="shared" si="267"/>
        <v>93.431000000040513</v>
      </c>
      <c r="XM15" s="16">
        <f t="shared" si="267"/>
        <v>85.959999999962747</v>
      </c>
      <c r="XN15" s="16">
        <f t="shared" si="267"/>
        <v>63.753000000026077</v>
      </c>
      <c r="XO15" s="16">
        <f t="shared" si="267"/>
        <v>70.182999999960884</v>
      </c>
      <c r="XP15" s="16">
        <f t="shared" si="267"/>
        <v>102.14500000001863</v>
      </c>
      <c r="XQ15" s="16">
        <f t="shared" si="267"/>
        <v>57.919999999983702</v>
      </c>
      <c r="XR15" s="16">
        <f t="shared" si="267"/>
        <v>149.42700000002515</v>
      </c>
      <c r="XS15" s="16">
        <f t="shared" si="267"/>
        <v>115.02700000000186</v>
      </c>
      <c r="XT15" s="16">
        <f t="shared" si="267"/>
        <v>123.63400000002002</v>
      </c>
      <c r="XU15" s="16">
        <f t="shared" si="267"/>
        <v>83.278999999980442</v>
      </c>
      <c r="XV15" s="16">
        <f t="shared" si="267"/>
        <v>144.69900000002235</v>
      </c>
      <c r="XW15" s="16">
        <f t="shared" si="267"/>
        <v>135.07699999999022</v>
      </c>
      <c r="XX15" s="16">
        <f t="shared" si="267"/>
        <v>123.4089999999851</v>
      </c>
      <c r="XY15" s="16">
        <f t="shared" si="267"/>
        <v>158.36700000002747</v>
      </c>
      <c r="XZ15" s="16">
        <f t="shared" si="267"/>
        <v>76.353999999992084</v>
      </c>
      <c r="YA15" s="16">
        <f t="shared" si="267"/>
        <v>128.97499999997672</v>
      </c>
      <c r="YB15" s="16">
        <f t="shared" si="267"/>
        <v>63.429000000003725</v>
      </c>
      <c r="YC15" s="16">
        <f t="shared" si="267"/>
        <v>129.1589999999851</v>
      </c>
      <c r="YD15" s="16">
        <f t="shared" si="267"/>
        <v>171.2960000000312</v>
      </c>
      <c r="YE15" s="16">
        <f t="shared" si="267"/>
        <v>98.646000000007916</v>
      </c>
      <c r="YF15" s="16">
        <f t="shared" si="267"/>
        <v>59.792999999946915</v>
      </c>
      <c r="YG15" s="16">
        <f t="shared" si="267"/>
        <v>116.75500000000466</v>
      </c>
      <c r="YH15" s="16">
        <f t="shared" si="267"/>
        <v>159.65100000001257</v>
      </c>
      <c r="YI15" s="16">
        <f t="shared" si="267"/>
        <v>93.117000000027474</v>
      </c>
      <c r="YJ15" s="16">
        <f t="shared" si="267"/>
        <v>175.33899999997811</v>
      </c>
      <c r="YK15" s="16">
        <f t="shared" si="267"/>
        <v>146.71100000001024</v>
      </c>
      <c r="YL15" s="16">
        <f t="shared" si="267"/>
        <v>165.83500000002095</v>
      </c>
      <c r="YM15" s="127">
        <f>SUM(XH15:YL15)</f>
        <v>6910.1260000000475</v>
      </c>
      <c r="YN15" s="16">
        <f t="shared" ref="YN15:ZR15" si="268">YN14-YN13</f>
        <v>65.436999999976251</v>
      </c>
      <c r="YO15" s="16">
        <f t="shared" si="268"/>
        <v>129.6809999999823</v>
      </c>
      <c r="YP15" s="16">
        <f t="shared" si="268"/>
        <v>208.0690000000177</v>
      </c>
      <c r="YQ15" s="16">
        <f t="shared" si="268"/>
        <v>186.24400000000605</v>
      </c>
      <c r="YR15" s="16">
        <f t="shared" si="268"/>
        <v>187.87199999997392</v>
      </c>
      <c r="YS15" s="16">
        <f t="shared" si="268"/>
        <v>158.05900000000838</v>
      </c>
      <c r="YT15" s="16">
        <f t="shared" si="268"/>
        <v>106.85999999998603</v>
      </c>
      <c r="YU15" s="16">
        <f t="shared" si="268"/>
        <v>0</v>
      </c>
      <c r="YV15" s="16">
        <f t="shared" si="268"/>
        <v>84.436000000045169</v>
      </c>
      <c r="YW15" s="16">
        <f t="shared" si="268"/>
        <v>142.81399999995483</v>
      </c>
      <c r="YX15" s="16">
        <f t="shared" si="268"/>
        <v>149.08199999999488</v>
      </c>
      <c r="YY15" s="16">
        <f t="shared" si="268"/>
        <v>93.931000000040513</v>
      </c>
      <c r="YZ15" s="16">
        <f t="shared" si="268"/>
        <v>88.671999999962281</v>
      </c>
      <c r="ZA15" s="16">
        <f t="shared" si="268"/>
        <v>123.01500000001397</v>
      </c>
      <c r="ZB15" s="16">
        <f t="shared" si="268"/>
        <v>154.71900000004098</v>
      </c>
      <c r="ZC15" s="16">
        <f t="shared" si="268"/>
        <v>102.90199999994365</v>
      </c>
      <c r="ZD15" s="16">
        <f t="shared" si="268"/>
        <v>182.83300000004238</v>
      </c>
      <c r="ZE15" s="16">
        <f t="shared" si="268"/>
        <v>130.17199999996228</v>
      </c>
      <c r="ZF15" s="16">
        <f t="shared" si="268"/>
        <v>164.63200000004144</v>
      </c>
      <c r="ZG15" s="16">
        <f t="shared" si="268"/>
        <v>150.08399999997346</v>
      </c>
      <c r="ZH15" s="16">
        <f t="shared" si="268"/>
        <v>170.84000000002561</v>
      </c>
      <c r="ZI15" s="16">
        <f t="shared" si="268"/>
        <v>126.6479999999865</v>
      </c>
      <c r="ZJ15" s="16">
        <f t="shared" si="268"/>
        <v>135.44000000000233</v>
      </c>
      <c r="ZK15" s="16">
        <f t="shared" si="268"/>
        <v>214.32600000000093</v>
      </c>
      <c r="ZL15" s="16">
        <f t="shared" si="268"/>
        <v>123.62199999997392</v>
      </c>
      <c r="ZM15" s="16">
        <f t="shared" si="268"/>
        <v>155.94099999999162</v>
      </c>
      <c r="ZN15" s="16">
        <f t="shared" si="268"/>
        <v>150.10100000002421</v>
      </c>
      <c r="ZO15" s="16">
        <f t="shared" si="268"/>
        <v>132.46299999998882</v>
      </c>
      <c r="ZP15" s="16">
        <f t="shared" si="268"/>
        <v>162.72500000003492</v>
      </c>
      <c r="ZQ15" s="16">
        <f t="shared" si="268"/>
        <v>145.99099999997998</v>
      </c>
      <c r="ZR15" s="16">
        <f t="shared" si="268"/>
        <v>168.74099999997998</v>
      </c>
      <c r="ZS15" s="127">
        <f>SUM(YN15:ZR15)</f>
        <v>4296.3519999999553</v>
      </c>
      <c r="ZT15" s="16">
        <f t="shared" ref="ZT15:AAW15" si="269">ZT14-ZT13</f>
        <v>147.33600000001024</v>
      </c>
      <c r="ZU15" s="16">
        <f t="shared" si="269"/>
        <v>109.23300000000745</v>
      </c>
      <c r="ZV15" s="16">
        <f t="shared" si="269"/>
        <v>137.4770000000135</v>
      </c>
      <c r="ZW15" s="16">
        <f t="shared" si="269"/>
        <v>141.8399999999674</v>
      </c>
      <c r="ZX15" s="16">
        <f t="shared" si="269"/>
        <v>176.56100000004517</v>
      </c>
      <c r="ZY15" s="16">
        <f t="shared" si="269"/>
        <v>128.61199999996461</v>
      </c>
      <c r="ZZ15" s="16">
        <f t="shared" si="269"/>
        <v>165.4309999999823</v>
      </c>
      <c r="AAA15" s="16">
        <f t="shared" si="269"/>
        <v>189.97300000005635</v>
      </c>
      <c r="AAB15" s="16">
        <f t="shared" si="269"/>
        <v>130.86399999994319</v>
      </c>
      <c r="AAC15" s="16">
        <f t="shared" si="269"/>
        <v>136.27500000002328</v>
      </c>
      <c r="AAD15" s="16">
        <f t="shared" si="269"/>
        <v>99.711999999999534</v>
      </c>
      <c r="AAE15" s="16">
        <f t="shared" si="269"/>
        <v>120.44000000000233</v>
      </c>
      <c r="AAF15" s="16">
        <f t="shared" si="269"/>
        <v>197.59600000001956</v>
      </c>
      <c r="AAG15" s="16">
        <f t="shared" si="269"/>
        <v>213.66399999998976</v>
      </c>
      <c r="AAH15" s="16">
        <f t="shared" si="269"/>
        <v>107.42200000002049</v>
      </c>
      <c r="AAI15" s="16">
        <f t="shared" si="269"/>
        <v>146.7839999999851</v>
      </c>
      <c r="AAJ15" s="16">
        <f t="shared" si="269"/>
        <v>133.44799999997485</v>
      </c>
      <c r="AAK15" s="16">
        <f t="shared" si="269"/>
        <v>130.06300000002375</v>
      </c>
      <c r="AAL15" s="16">
        <f t="shared" si="269"/>
        <v>134.31599999999162</v>
      </c>
      <c r="AAM15" s="16">
        <f t="shared" si="269"/>
        <v>181.61300000001211</v>
      </c>
      <c r="AAN15" s="16">
        <f t="shared" si="269"/>
        <v>210.40299999999115</v>
      </c>
      <c r="AAO15" s="16">
        <f t="shared" si="269"/>
        <v>157.48200000001816</v>
      </c>
      <c r="AAP15" s="16">
        <f t="shared" si="269"/>
        <v>168.33799999998882</v>
      </c>
      <c r="AAQ15" s="16">
        <f t="shared" si="269"/>
        <v>142.68199999997159</v>
      </c>
      <c r="AAR15" s="16">
        <f t="shared" si="269"/>
        <v>130.61300000001211</v>
      </c>
      <c r="AAS15" s="16">
        <f t="shared" si="269"/>
        <v>113.02799999999115</v>
      </c>
      <c r="AAT15" s="16">
        <f t="shared" si="269"/>
        <v>251.75900000002002</v>
      </c>
      <c r="AAU15" s="16">
        <f t="shared" si="269"/>
        <v>229.02600000001257</v>
      </c>
      <c r="AAV15" s="16">
        <f t="shared" si="269"/>
        <v>86.369000000006054</v>
      </c>
      <c r="AAW15" s="16">
        <f t="shared" si="269"/>
        <v>141.48499999998603</v>
      </c>
      <c r="AAX15" s="127">
        <f>SUM(ZT15:AAW15)</f>
        <v>4559.8450000000303</v>
      </c>
      <c r="AAY15" s="16">
        <f t="shared" ref="AAY15:ACC15" si="270">AAY14-AAY13</f>
        <v>160.20799999998417</v>
      </c>
      <c r="AAZ15" s="16">
        <f t="shared" si="270"/>
        <v>148.49300000001676</v>
      </c>
      <c r="ABA15" s="16">
        <f t="shared" si="270"/>
        <v>135.59700000000885</v>
      </c>
      <c r="ABB15" s="16">
        <f t="shared" si="270"/>
        <v>162.37799999996787</v>
      </c>
      <c r="ABC15" s="16">
        <f t="shared" si="270"/>
        <v>252.73999999999069</v>
      </c>
      <c r="ABD15" s="16">
        <f t="shared" si="270"/>
        <v>92.985000000044238</v>
      </c>
      <c r="ABE15" s="16">
        <f t="shared" si="270"/>
        <v>94.192999999970198</v>
      </c>
      <c r="ABF15" s="16">
        <f t="shared" si="270"/>
        <v>153.65799999999581</v>
      </c>
      <c r="ABG15" s="16">
        <f t="shared" si="270"/>
        <v>121.24400000000605</v>
      </c>
      <c r="ABH15" s="16">
        <f t="shared" si="270"/>
        <v>143.88699999998789</v>
      </c>
      <c r="ABI15" s="16">
        <f t="shared" si="270"/>
        <v>152.72299999999814</v>
      </c>
      <c r="ABJ15" s="16">
        <f t="shared" si="270"/>
        <v>71.527000000001863</v>
      </c>
      <c r="ABK15" s="16">
        <f t="shared" si="270"/>
        <v>145.48700000002282</v>
      </c>
      <c r="ABL15" s="16">
        <f t="shared" si="270"/>
        <v>117.23800000001211</v>
      </c>
      <c r="ABM15" s="16">
        <f t="shared" si="270"/>
        <v>181.15099999995437</v>
      </c>
      <c r="ABN15" s="16">
        <f t="shared" si="270"/>
        <v>87.575000000011642</v>
      </c>
      <c r="ABO15" s="16">
        <f t="shared" si="270"/>
        <v>174.52600000001257</v>
      </c>
      <c r="ABP15" s="16">
        <f t="shared" si="270"/>
        <v>169.14100000000326</v>
      </c>
      <c r="ABQ15" s="16">
        <f t="shared" si="270"/>
        <v>115.63299999997253</v>
      </c>
      <c r="ABR15" s="16">
        <f t="shared" si="270"/>
        <v>101.60000000003492</v>
      </c>
      <c r="ABS15" s="16">
        <f t="shared" si="270"/>
        <v>86.271999999997206</v>
      </c>
      <c r="ABT15" s="16">
        <f t="shared" si="270"/>
        <v>113.22599999996601</v>
      </c>
      <c r="ABU15" s="16">
        <f t="shared" si="270"/>
        <v>132.25600000005215</v>
      </c>
      <c r="ABV15" s="16">
        <f t="shared" si="270"/>
        <v>123.04399999999441</v>
      </c>
      <c r="ABW15" s="16">
        <f t="shared" si="270"/>
        <v>270.35300000000279</v>
      </c>
      <c r="ABX15" s="16">
        <f t="shared" si="270"/>
        <v>122.25899999996182</v>
      </c>
      <c r="ABY15" s="16">
        <f t="shared" si="270"/>
        <v>100.39900000003399</v>
      </c>
      <c r="ABZ15" s="16">
        <f t="shared" si="270"/>
        <v>158.05099999997765</v>
      </c>
      <c r="ACA15" s="16">
        <f t="shared" si="270"/>
        <v>111.8979999999865</v>
      </c>
      <c r="ACB15" s="16">
        <f t="shared" si="270"/>
        <v>92.383000000030734</v>
      </c>
      <c r="ACC15" s="16">
        <f t="shared" si="270"/>
        <v>183.77199999999721</v>
      </c>
      <c r="ACD15" s="127">
        <f>SUM(AAY15:ACC15)</f>
        <v>4275.8969999999972</v>
      </c>
      <c r="ACE15" s="16">
        <f t="shared" ref="ACE15:ADI15" si="271">ACE14-ACE13</f>
        <v>143.89000000001397</v>
      </c>
      <c r="ACF15" s="16">
        <f t="shared" si="271"/>
        <v>169.1479999999865</v>
      </c>
      <c r="ACG15" s="16">
        <f t="shared" si="271"/>
        <v>191.38899999996647</v>
      </c>
      <c r="ACH15" s="16">
        <f t="shared" si="271"/>
        <v>154.31200000003446</v>
      </c>
      <c r="ACI15" s="16">
        <f t="shared" si="271"/>
        <v>190.54899999999907</v>
      </c>
      <c r="ACJ15" s="16">
        <f t="shared" si="271"/>
        <v>176.78599999996368</v>
      </c>
      <c r="ACK15" s="16">
        <f t="shared" si="271"/>
        <v>171.33800000004703</v>
      </c>
      <c r="ACL15" s="16">
        <f t="shared" si="271"/>
        <v>169.94799999997485</v>
      </c>
      <c r="ACM15" s="16">
        <f t="shared" si="271"/>
        <v>167.05400000000373</v>
      </c>
      <c r="ACN15" s="16">
        <f t="shared" si="271"/>
        <v>80.278999999980442</v>
      </c>
      <c r="ACO15" s="16">
        <f t="shared" si="271"/>
        <v>224.95200000004843</v>
      </c>
      <c r="ACP15" s="16">
        <f t="shared" si="271"/>
        <v>118.96699999994598</v>
      </c>
      <c r="ACQ15" s="16">
        <f t="shared" si="271"/>
        <v>95.478000000002794</v>
      </c>
      <c r="ACR15" s="16">
        <f t="shared" si="271"/>
        <v>111.47000000003027</v>
      </c>
      <c r="ACS15" s="16">
        <f t="shared" si="271"/>
        <v>97.173999999999069</v>
      </c>
      <c r="ACT15" s="16">
        <f t="shared" si="271"/>
        <v>119.13699999998789</v>
      </c>
      <c r="ACU15" s="16">
        <f t="shared" si="271"/>
        <v>195.82900000002701</v>
      </c>
      <c r="ACV15" s="16">
        <f t="shared" si="271"/>
        <v>130.57099999999627</v>
      </c>
      <c r="ACW15" s="16">
        <f t="shared" si="271"/>
        <v>142.47399999998743</v>
      </c>
      <c r="ACX15" s="16">
        <f t="shared" si="271"/>
        <v>99.852000000013504</v>
      </c>
      <c r="ACY15" s="16">
        <f t="shared" si="271"/>
        <v>105.78299999999581</v>
      </c>
      <c r="ACZ15" s="16">
        <f t="shared" si="271"/>
        <v>136.11699999996927</v>
      </c>
      <c r="ADA15" s="16">
        <f t="shared" si="271"/>
        <v>102.88000000000466</v>
      </c>
      <c r="ADB15" s="16">
        <f t="shared" si="271"/>
        <v>124.91600000002654</v>
      </c>
      <c r="ADC15" s="16">
        <f t="shared" si="271"/>
        <v>49.403999999980442</v>
      </c>
      <c r="ADD15" s="16">
        <f t="shared" si="271"/>
        <v>122.73700000002282</v>
      </c>
      <c r="ADE15" s="16">
        <f t="shared" si="271"/>
        <v>156.62400000001071</v>
      </c>
      <c r="ADF15" s="16">
        <f t="shared" si="271"/>
        <v>97.163000000000466</v>
      </c>
      <c r="ADG15" s="16">
        <f t="shared" si="271"/>
        <v>228.30999999999767</v>
      </c>
      <c r="ADH15" s="16">
        <f t="shared" si="271"/>
        <v>130.22299999999814</v>
      </c>
      <c r="ADI15" s="16">
        <f t="shared" si="271"/>
        <v>85.158999999985099</v>
      </c>
      <c r="ADJ15" s="127">
        <f>SUM(ACE15:ADI15)</f>
        <v>4289.9130000000005</v>
      </c>
      <c r="ADK15" s="16">
        <f t="shared" ref="ADK15:AEN15" si="272">ADK14-ADK13</f>
        <v>115.99499999999534</v>
      </c>
      <c r="ADL15" s="16">
        <f t="shared" si="272"/>
        <v>109.76000000000931</v>
      </c>
      <c r="ADM15" s="16">
        <f t="shared" si="272"/>
        <v>85.050999999977648</v>
      </c>
      <c r="ADN15" s="16">
        <f t="shared" si="272"/>
        <v>134.40799999999581</v>
      </c>
      <c r="ADO15" s="16">
        <f t="shared" si="272"/>
        <v>145.95000000001164</v>
      </c>
      <c r="ADP15" s="16">
        <f t="shared" si="272"/>
        <v>145.82600000000093</v>
      </c>
      <c r="ADQ15" s="16">
        <f t="shared" si="272"/>
        <v>113.75199999997858</v>
      </c>
      <c r="ADR15" s="16">
        <f t="shared" si="272"/>
        <v>136.36200000002282</v>
      </c>
      <c r="ADS15" s="16">
        <f t="shared" si="272"/>
        <v>176.90700000000652</v>
      </c>
      <c r="ADT15" s="16">
        <f t="shared" si="272"/>
        <v>123.50099999998929</v>
      </c>
      <c r="ADU15" s="16">
        <f t="shared" si="272"/>
        <v>146.82500000001164</v>
      </c>
      <c r="ADV15" s="16">
        <f t="shared" si="272"/>
        <v>103.72899999999208</v>
      </c>
      <c r="ADW15" s="16">
        <f t="shared" si="272"/>
        <v>152.50199999997858</v>
      </c>
      <c r="ADX15" s="16">
        <f t="shared" si="272"/>
        <v>54.684000000008382</v>
      </c>
      <c r="ADY15" s="16">
        <f t="shared" si="272"/>
        <v>143.34299999999348</v>
      </c>
      <c r="ADZ15" s="16">
        <f t="shared" si="272"/>
        <v>149.12900000001537</v>
      </c>
      <c r="AEA15" s="16">
        <f t="shared" si="272"/>
        <v>46.118000000016764</v>
      </c>
      <c r="AEB15" s="16">
        <f t="shared" si="272"/>
        <v>94.377999999967869</v>
      </c>
      <c r="AEC15" s="16">
        <f t="shared" si="272"/>
        <v>56.87400000001071</v>
      </c>
      <c r="AED15" s="16">
        <f t="shared" si="272"/>
        <v>115.62099999998463</v>
      </c>
      <c r="AEE15" s="16">
        <f t="shared" si="272"/>
        <v>82.773000000044703</v>
      </c>
      <c r="AEF15" s="16">
        <f t="shared" si="272"/>
        <v>185.18699999997625</v>
      </c>
      <c r="AEG15" s="16">
        <f t="shared" si="272"/>
        <v>131.41600000002654</v>
      </c>
      <c r="AEH15" s="16">
        <f t="shared" si="272"/>
        <v>113.21399999997811</v>
      </c>
      <c r="AEI15" s="16">
        <f t="shared" si="272"/>
        <v>105.61099999997532</v>
      </c>
      <c r="AEJ15" s="16">
        <f t="shared" si="272"/>
        <v>221.4550000000163</v>
      </c>
      <c r="AEK15" s="16">
        <f t="shared" si="272"/>
        <v>158.22899999999208</v>
      </c>
      <c r="AEL15" s="16">
        <f t="shared" si="272"/>
        <v>105.40900000004331</v>
      </c>
      <c r="AEM15" s="16">
        <f t="shared" si="272"/>
        <v>125.21599999995669</v>
      </c>
      <c r="AEN15" s="16">
        <f t="shared" si="272"/>
        <v>65.856000000028871</v>
      </c>
      <c r="AEO15" s="127">
        <f>SUM(ADK15:AEN15)</f>
        <v>3645.0810000000056</v>
      </c>
      <c r="AEP15" s="16">
        <f t="shared" ref="AEP15:AFT15" si="273">AEP14-AEP13</f>
        <v>63.801999999966938</v>
      </c>
      <c r="AEQ15" s="16">
        <f t="shared" si="273"/>
        <v>99.505999999993946</v>
      </c>
      <c r="AER15" s="16">
        <f t="shared" si="273"/>
        <v>198.17900000000373</v>
      </c>
      <c r="AES15" s="16">
        <f t="shared" si="273"/>
        <v>67.379000000015367</v>
      </c>
      <c r="AET15" s="16">
        <f t="shared" si="273"/>
        <v>81.231000000028871</v>
      </c>
      <c r="AEU15" s="16">
        <f t="shared" si="273"/>
        <v>305.25799999997253</v>
      </c>
      <c r="AEV15" s="16">
        <f t="shared" si="273"/>
        <v>133.80499999999302</v>
      </c>
      <c r="AEW15" s="16">
        <f t="shared" si="273"/>
        <v>137.60399999999208</v>
      </c>
      <c r="AEX15" s="16">
        <f t="shared" si="273"/>
        <v>90.409000000043306</v>
      </c>
      <c r="AEY15" s="16">
        <f t="shared" si="273"/>
        <v>144.9309999999823</v>
      </c>
      <c r="AEZ15" s="16">
        <f t="shared" si="273"/>
        <v>128.21899999998277</v>
      </c>
      <c r="AFA15" s="16">
        <f t="shared" si="273"/>
        <v>79.01300000003539</v>
      </c>
      <c r="AFB15" s="16">
        <f t="shared" si="273"/>
        <v>135.01399999996647</v>
      </c>
      <c r="AFC15" s="16">
        <f t="shared" si="273"/>
        <v>71.598999999987427</v>
      </c>
      <c r="AFD15" s="16">
        <f t="shared" si="273"/>
        <v>61.800000000046566</v>
      </c>
      <c r="AFE15" s="16">
        <f t="shared" si="273"/>
        <v>154.41799999994691</v>
      </c>
      <c r="AFF15" s="16">
        <f t="shared" si="273"/>
        <v>64.604000000050291</v>
      </c>
      <c r="AFG15" s="16">
        <f t="shared" si="273"/>
        <v>135.05499999999302</v>
      </c>
      <c r="AFH15" s="16">
        <f t="shared" si="273"/>
        <v>142.6140000000014</v>
      </c>
      <c r="AFI15" s="16">
        <f t="shared" si="273"/>
        <v>127.81099999998696</v>
      </c>
      <c r="AFJ15" s="16">
        <f t="shared" si="273"/>
        <v>143.7149999999674</v>
      </c>
      <c r="AFK15" s="16">
        <f t="shared" si="273"/>
        <v>143.61000000004424</v>
      </c>
      <c r="AFL15" s="16">
        <f t="shared" si="273"/>
        <v>81.605999999970663</v>
      </c>
      <c r="AFM15" s="16">
        <f t="shared" si="273"/>
        <v>127.61600000003818</v>
      </c>
      <c r="AFN15" s="16">
        <f t="shared" si="273"/>
        <v>114.95299999997951</v>
      </c>
      <c r="AFO15" s="16">
        <f t="shared" si="273"/>
        <v>117.60599999997066</v>
      </c>
      <c r="AFP15" s="16">
        <f t="shared" si="273"/>
        <v>91.822000000043772</v>
      </c>
      <c r="AFQ15" s="16">
        <f t="shared" si="273"/>
        <v>101.61999999999534</v>
      </c>
      <c r="AFR15" s="16">
        <f t="shared" si="273"/>
        <v>92.524999999965075</v>
      </c>
      <c r="AFS15" s="16">
        <f t="shared" si="273"/>
        <v>119.65100000001257</v>
      </c>
      <c r="AFT15" s="16">
        <f t="shared" si="273"/>
        <v>151.51900000002934</v>
      </c>
      <c r="AFU15" s="127">
        <f>SUM(AEP15:AFT15)</f>
        <v>3708.4940000000061</v>
      </c>
      <c r="AFV15" s="16">
        <f t="shared" ref="AFV15:AGY15" si="274">AFV14-AFV13</f>
        <v>172.93499999999767</v>
      </c>
      <c r="AFW15" s="16">
        <f t="shared" si="274"/>
        <v>192.82699999999022</v>
      </c>
      <c r="AFX15" s="16">
        <f t="shared" si="274"/>
        <v>103.56400000001304</v>
      </c>
      <c r="AFY15" s="16">
        <f t="shared" si="274"/>
        <v>149.90799999999581</v>
      </c>
      <c r="AFZ15" s="16">
        <f t="shared" si="274"/>
        <v>154.15099999995437</v>
      </c>
      <c r="AGA15" s="16">
        <f t="shared" si="274"/>
        <v>138.59300000005169</v>
      </c>
      <c r="AGB15" s="16">
        <f t="shared" si="274"/>
        <v>128.80199999996694</v>
      </c>
      <c r="AGC15" s="16">
        <f t="shared" si="274"/>
        <v>48.886999999987893</v>
      </c>
      <c r="AGD15" s="16">
        <f t="shared" si="274"/>
        <v>157.64100000000326</v>
      </c>
      <c r="AGE15" s="16">
        <f t="shared" si="274"/>
        <v>106.26400000002468</v>
      </c>
      <c r="AGF15" s="16">
        <f t="shared" si="274"/>
        <v>109.91200000001118</v>
      </c>
      <c r="AGG15" s="16">
        <f t="shared" si="274"/>
        <v>124.65599999995902</v>
      </c>
      <c r="AGH15" s="16">
        <f t="shared" si="274"/>
        <v>197.2850000000326</v>
      </c>
      <c r="AGI15" s="16">
        <f t="shared" si="274"/>
        <v>101.21399999997811</v>
      </c>
      <c r="AGJ15" s="16">
        <f t="shared" si="274"/>
        <v>81.082999999984168</v>
      </c>
      <c r="AGK15" s="16">
        <f t="shared" si="274"/>
        <v>59.591000000014901</v>
      </c>
      <c r="AGL15" s="16">
        <f t="shared" si="274"/>
        <v>162.86200000002282</v>
      </c>
      <c r="AGM15" s="16">
        <f t="shared" si="274"/>
        <v>148.6929999999702</v>
      </c>
      <c r="AGN15" s="16">
        <f t="shared" si="274"/>
        <v>124.24400000000605</v>
      </c>
      <c r="AGO15" s="16">
        <f t="shared" si="274"/>
        <v>171.1359999999986</v>
      </c>
      <c r="AGP15" s="16">
        <f t="shared" si="274"/>
        <v>158.18800000002375</v>
      </c>
      <c r="AGQ15" s="16">
        <f t="shared" si="274"/>
        <v>189.65399999998044</v>
      </c>
      <c r="AGR15" s="16">
        <f t="shared" si="274"/>
        <v>68.869999999995343</v>
      </c>
      <c r="AGS15" s="16">
        <f t="shared" si="274"/>
        <v>229.63000000000466</v>
      </c>
      <c r="AGT15" s="16">
        <f t="shared" si="274"/>
        <v>143.45000000001164</v>
      </c>
      <c r="AGU15" s="16">
        <f t="shared" si="274"/>
        <v>115.3520000000135</v>
      </c>
      <c r="AGV15" s="16">
        <f t="shared" si="274"/>
        <v>94.452999999979511</v>
      </c>
      <c r="AGW15" s="16">
        <f t="shared" si="274"/>
        <v>147.26900000002934</v>
      </c>
      <c r="AGX15" s="16">
        <f t="shared" si="274"/>
        <v>138.99400000000605</v>
      </c>
      <c r="AGY15" s="16">
        <f t="shared" si="274"/>
        <v>109.30199999996694</v>
      </c>
      <c r="AGZ15" s="127">
        <f>SUM(AFV15:AGY15)</f>
        <v>4029.4099999999744</v>
      </c>
      <c r="AHA15" s="16">
        <f t="shared" ref="AHA15:AIE15" si="275">AHA14-AHA13</f>
        <v>96.573000000033062</v>
      </c>
      <c r="AHB15" s="16">
        <f t="shared" si="275"/>
        <v>126.87299999996321</v>
      </c>
      <c r="AHC15" s="16">
        <f t="shared" si="275"/>
        <v>67.975000000034925</v>
      </c>
      <c r="AHD15" s="16">
        <f t="shared" si="275"/>
        <v>141.70499999995809</v>
      </c>
      <c r="AHE15" s="16">
        <f t="shared" si="275"/>
        <v>139.79899999999907</v>
      </c>
      <c r="AHF15" s="16">
        <f t="shared" si="275"/>
        <v>119.60100000002421</v>
      </c>
      <c r="AHG15" s="16">
        <f t="shared" si="275"/>
        <v>138.58199999999488</v>
      </c>
      <c r="AHH15" s="16">
        <f t="shared" si="275"/>
        <v>75.555999999982305</v>
      </c>
      <c r="AHI15" s="16">
        <f t="shared" si="275"/>
        <v>101.41500000003725</v>
      </c>
      <c r="AHJ15" s="16">
        <f t="shared" si="275"/>
        <v>138.40599999995902</v>
      </c>
      <c r="AHK15" s="16">
        <f t="shared" si="275"/>
        <v>96.362000000022817</v>
      </c>
      <c r="AHL15" s="16">
        <f t="shared" si="275"/>
        <v>131.31400000001304</v>
      </c>
      <c r="AHM15" s="16">
        <f t="shared" si="275"/>
        <v>181.63899999996647</v>
      </c>
      <c r="AHN15" s="16">
        <f t="shared" si="275"/>
        <v>152.13000000000466</v>
      </c>
      <c r="AHO15" s="16">
        <f t="shared" si="275"/>
        <v>175.06200000003446</v>
      </c>
      <c r="AHP15" s="16">
        <f t="shared" si="275"/>
        <v>84.851999999955297</v>
      </c>
      <c r="AHQ15" s="16">
        <f t="shared" si="275"/>
        <v>152.93800000002375</v>
      </c>
      <c r="AHR15" s="16">
        <f t="shared" si="275"/>
        <v>149.10100000002421</v>
      </c>
      <c r="AHS15" s="16">
        <f t="shared" si="275"/>
        <v>132.44599999999627</v>
      </c>
      <c r="AHT15" s="16">
        <f t="shared" si="275"/>
        <v>146.13999999995576</v>
      </c>
      <c r="AHU15" s="16">
        <f t="shared" si="275"/>
        <v>153.89400000002934</v>
      </c>
      <c r="AHV15" s="16">
        <f t="shared" si="275"/>
        <v>166.68199999997159</v>
      </c>
      <c r="AHW15" s="16">
        <f t="shared" si="275"/>
        <v>159.58800000004703</v>
      </c>
      <c r="AHX15" s="16">
        <f t="shared" si="275"/>
        <v>136.47299999999814</v>
      </c>
      <c r="AHY15" s="16">
        <f t="shared" si="275"/>
        <v>137.2839999999851</v>
      </c>
      <c r="AHZ15" s="16">
        <f t="shared" si="275"/>
        <v>80.407999999995809</v>
      </c>
      <c r="AIA15" s="16">
        <f t="shared" si="275"/>
        <v>87.477000000013504</v>
      </c>
      <c r="AIB15" s="16">
        <f t="shared" si="275"/>
        <v>48.081999999994878</v>
      </c>
      <c r="AIC15" s="16">
        <f t="shared" si="275"/>
        <v>76.968999999982771</v>
      </c>
      <c r="AID15" s="16">
        <f t="shared" si="275"/>
        <v>104.13199999998324</v>
      </c>
      <c r="AIE15" s="16">
        <f t="shared" si="275"/>
        <v>148.29000000003725</v>
      </c>
      <c r="AIF15" s="127">
        <f>SUM(AHA15:AIE15)</f>
        <v>3847.7480000000214</v>
      </c>
      <c r="AIG15" s="16">
        <f t="shared" ref="AIG15:AJK15" si="276">AIG14-AIG13</f>
        <v>71.114000000001397</v>
      </c>
      <c r="AIH15" s="16">
        <f t="shared" si="276"/>
        <v>104.25</v>
      </c>
      <c r="AII15" s="16">
        <f t="shared" si="276"/>
        <v>118.07499999995343</v>
      </c>
      <c r="AIJ15" s="16">
        <f t="shared" si="276"/>
        <v>89.79500000004191</v>
      </c>
      <c r="AIK15" s="16">
        <f t="shared" si="276"/>
        <v>177.37799999996787</v>
      </c>
      <c r="AIL15" s="16">
        <f t="shared" si="276"/>
        <v>131.11000000004424</v>
      </c>
      <c r="AIM15" s="16">
        <f t="shared" si="276"/>
        <v>117.17499999998836</v>
      </c>
      <c r="AIN15" s="16">
        <f t="shared" si="276"/>
        <v>97.151000000012573</v>
      </c>
      <c r="AIO15" s="16">
        <f t="shared" si="276"/>
        <v>104.04699999996228</v>
      </c>
      <c r="AIP15" s="16">
        <f t="shared" si="276"/>
        <v>151.74800000002142</v>
      </c>
      <c r="AIQ15" s="16">
        <f t="shared" si="276"/>
        <v>169.71299999998882</v>
      </c>
      <c r="AIR15" s="16">
        <f t="shared" si="276"/>
        <v>105.88699999998789</v>
      </c>
      <c r="AIS15" s="16">
        <f t="shared" si="276"/>
        <v>102.56099999998696</v>
      </c>
      <c r="AIT15" s="16">
        <f t="shared" si="276"/>
        <v>108.40800000005402</v>
      </c>
      <c r="AIU15" s="16">
        <f t="shared" si="276"/>
        <v>172.22599999996601</v>
      </c>
      <c r="AIV15" s="16">
        <f t="shared" si="276"/>
        <v>34.602000000013504</v>
      </c>
      <c r="AIW15" s="16">
        <f t="shared" si="276"/>
        <v>32.603999999992084</v>
      </c>
      <c r="AIX15" s="16">
        <f t="shared" si="276"/>
        <v>19.799999999988358</v>
      </c>
      <c r="AIY15" s="16">
        <f t="shared" si="276"/>
        <v>102.01199999998789</v>
      </c>
      <c r="AIZ15" s="16">
        <f t="shared" si="276"/>
        <v>59.400000000023283</v>
      </c>
      <c r="AJA15" s="16">
        <f t="shared" si="276"/>
        <v>151.48200000001816</v>
      </c>
      <c r="AJB15" s="16">
        <f t="shared" si="276"/>
        <v>233.60599999997066</v>
      </c>
      <c r="AJC15" s="16">
        <f t="shared" si="276"/>
        <v>81.602000000013504</v>
      </c>
      <c r="AJD15" s="16">
        <f t="shared" si="276"/>
        <v>153.62199999997392</v>
      </c>
      <c r="AJE15" s="16">
        <f t="shared" si="276"/>
        <v>170.14000000001397</v>
      </c>
      <c r="AJF15" s="16">
        <f t="shared" si="276"/>
        <v>118.80900000000838</v>
      </c>
      <c r="AJG15" s="16">
        <f t="shared" si="276"/>
        <v>78.206999999994878</v>
      </c>
      <c r="AJH15" s="16">
        <f t="shared" si="276"/>
        <v>41.184999999997672</v>
      </c>
      <c r="AJI15" s="16">
        <f t="shared" si="276"/>
        <v>136.15000000002328</v>
      </c>
      <c r="AJJ15" s="16">
        <f t="shared" si="276"/>
        <v>142.88699999998789</v>
      </c>
      <c r="AJK15" s="16">
        <f t="shared" si="276"/>
        <v>95.951999999990221</v>
      </c>
      <c r="AJL15" s="127">
        <f>SUM(AIG15:AJK15)</f>
        <v>3472.6979999999749</v>
      </c>
      <c r="AJM15" s="16">
        <f t="shared" ref="AJM15:AKN15" si="277">AJM14-AJM13</f>
        <v>71.48399999999674</v>
      </c>
      <c r="AJN15" s="16">
        <f t="shared" si="277"/>
        <v>132.00300000002608</v>
      </c>
      <c r="AJO15" s="16">
        <f t="shared" si="277"/>
        <v>149.91099999996368</v>
      </c>
      <c r="AJP15" s="16">
        <f t="shared" si="277"/>
        <v>78.412000000011176</v>
      </c>
      <c r="AJQ15" s="16">
        <f t="shared" si="277"/>
        <v>93.76300000003539</v>
      </c>
      <c r="AJR15" s="16">
        <f t="shared" si="277"/>
        <v>92.681999999971595</v>
      </c>
      <c r="AJS15" s="16">
        <f t="shared" si="277"/>
        <v>148.63000000000466</v>
      </c>
      <c r="AJT15" s="16">
        <f t="shared" si="277"/>
        <v>140.21100000001024</v>
      </c>
      <c r="AJU15" s="16">
        <f t="shared" si="277"/>
        <v>189.91899999999441</v>
      </c>
      <c r="AJV15" s="16">
        <f t="shared" si="277"/>
        <v>109.50799999997253</v>
      </c>
      <c r="AJW15" s="16">
        <f t="shared" si="277"/>
        <v>81.384000000020023</v>
      </c>
      <c r="AJX15" s="16">
        <f t="shared" si="277"/>
        <v>125.84799999999814</v>
      </c>
      <c r="AJY15" s="16">
        <f t="shared" si="277"/>
        <v>168.71899999998277</v>
      </c>
      <c r="AJZ15" s="16">
        <f t="shared" si="277"/>
        <v>188.14500000001863</v>
      </c>
      <c r="AKA15" s="16">
        <f t="shared" si="277"/>
        <v>156.20600000000559</v>
      </c>
      <c r="AKB15" s="16">
        <f t="shared" si="277"/>
        <v>125.25500000000466</v>
      </c>
      <c r="AKC15" s="16">
        <f t="shared" si="277"/>
        <v>142.38500000000931</v>
      </c>
      <c r="AKD15" s="16">
        <f t="shared" si="277"/>
        <v>101.58600000001024</v>
      </c>
      <c r="AKE15" s="16">
        <f t="shared" si="277"/>
        <v>117.73599999997532</v>
      </c>
      <c r="AKF15" s="16">
        <f t="shared" si="277"/>
        <v>109.8289999999688</v>
      </c>
      <c r="AKG15" s="16">
        <f t="shared" si="277"/>
        <v>151.60300000000279</v>
      </c>
      <c r="AKH15" s="16">
        <f t="shared" si="277"/>
        <v>81.285000000032596</v>
      </c>
      <c r="AKI15" s="16">
        <f t="shared" si="277"/>
        <v>71.690000000002328</v>
      </c>
      <c r="AKJ15" s="16">
        <f t="shared" si="277"/>
        <v>138.14399999997113</v>
      </c>
      <c r="AKK15" s="16">
        <f t="shared" si="277"/>
        <v>111.42800000001444</v>
      </c>
      <c r="AKL15" s="16">
        <f t="shared" si="277"/>
        <v>111.1020000000135</v>
      </c>
      <c r="AKM15" s="16">
        <f t="shared" si="277"/>
        <v>72.479999999981374</v>
      </c>
      <c r="AKN15" s="16">
        <f t="shared" si="277"/>
        <v>120.8059999999823</v>
      </c>
      <c r="AKO15" s="127">
        <f>SUM(AJM15:AKN15)</f>
        <v>3382.1539999999804</v>
      </c>
      <c r="AKP15" s="16">
        <f t="shared" ref="AKP15:ALT15" si="278">AKP14-AKP13</f>
        <v>126.34800000005635</v>
      </c>
      <c r="AKQ15" s="16">
        <f t="shared" si="278"/>
        <v>131.77399999997579</v>
      </c>
      <c r="AKR15" s="16">
        <f t="shared" si="278"/>
        <v>125.56400000001304</v>
      </c>
      <c r="AKS15" s="16">
        <f t="shared" si="278"/>
        <v>73.365999999979977</v>
      </c>
      <c r="AKT15" s="16">
        <f t="shared" si="278"/>
        <v>114.91399999998976</v>
      </c>
      <c r="AKU15" s="16">
        <f t="shared" si="278"/>
        <v>68.915000000037253</v>
      </c>
      <c r="AKV15" s="16">
        <f t="shared" si="278"/>
        <v>59.604999999981374</v>
      </c>
      <c r="AKW15" s="16">
        <f t="shared" si="278"/>
        <v>209.1359999999986</v>
      </c>
      <c r="AKX15" s="16">
        <f t="shared" si="278"/>
        <v>222.09600000001956</v>
      </c>
      <c r="AKY15" s="16">
        <f t="shared" si="278"/>
        <v>108.72599999996601</v>
      </c>
      <c r="AKZ15" s="16">
        <f t="shared" si="278"/>
        <v>130.74300000001676</v>
      </c>
      <c r="ALA15" s="16">
        <f t="shared" si="278"/>
        <v>56.070999999996275</v>
      </c>
      <c r="ALB15" s="16">
        <f t="shared" si="278"/>
        <v>140.54700000002049</v>
      </c>
      <c r="ALC15" s="16">
        <f t="shared" si="278"/>
        <v>220.6140000000014</v>
      </c>
      <c r="ALD15" s="16">
        <f t="shared" si="278"/>
        <v>164.07999999995809</v>
      </c>
      <c r="ALE15" s="16">
        <f t="shared" si="278"/>
        <v>230.55499999999302</v>
      </c>
      <c r="ALF15" s="16">
        <f t="shared" si="278"/>
        <v>174.26700000005076</v>
      </c>
      <c r="ALG15" s="16">
        <f t="shared" si="278"/>
        <v>82.389999999955762</v>
      </c>
      <c r="ALH15" s="16">
        <f t="shared" si="278"/>
        <v>125.92900000000373</v>
      </c>
      <c r="ALI15" s="16">
        <f t="shared" si="278"/>
        <v>132.24900000001071</v>
      </c>
      <c r="ALJ15" s="16">
        <f t="shared" si="278"/>
        <v>108.84799999999814</v>
      </c>
      <c r="ALK15" s="16">
        <f t="shared" si="278"/>
        <v>110.04100000002654</v>
      </c>
      <c r="ALL15" s="16">
        <f t="shared" si="278"/>
        <v>200.94199999998091</v>
      </c>
      <c r="ALM15" s="16">
        <f t="shared" si="278"/>
        <v>105.00900000002002</v>
      </c>
      <c r="ALN15" s="16">
        <f t="shared" si="278"/>
        <v>189.02899999998044</v>
      </c>
      <c r="ALO15" s="16">
        <f t="shared" si="278"/>
        <v>184.63799999997718</v>
      </c>
      <c r="ALP15" s="16">
        <f t="shared" si="278"/>
        <v>148.96700000000419</v>
      </c>
      <c r="ALQ15" s="16">
        <f t="shared" si="278"/>
        <v>130.29000000003725</v>
      </c>
      <c r="ALR15" s="16">
        <f t="shared" si="278"/>
        <v>120.88000000000466</v>
      </c>
      <c r="ALS15" s="16">
        <f t="shared" si="278"/>
        <v>153.68299999996088</v>
      </c>
      <c r="ALT15" s="16">
        <f t="shared" si="278"/>
        <v>80.954000000027008</v>
      </c>
      <c r="ALU15" s="127">
        <f>SUM(AKP15:ALT15)</f>
        <v>4231.1700000000419</v>
      </c>
      <c r="ALV15" s="16">
        <f t="shared" ref="ALV15:AMY15" si="279">ALV14-ALV13</f>
        <v>95.472000000008848</v>
      </c>
      <c r="ALW15" s="16">
        <f t="shared" si="279"/>
        <v>158.65599999995902</v>
      </c>
      <c r="ALX15" s="16">
        <f t="shared" si="279"/>
        <v>125.60800000000745</v>
      </c>
      <c r="ALY15" s="16">
        <f t="shared" si="279"/>
        <v>110.66800000000512</v>
      </c>
      <c r="ALZ15" s="16">
        <f t="shared" si="279"/>
        <v>195.6140000000014</v>
      </c>
      <c r="AMA15" s="16">
        <f t="shared" si="279"/>
        <v>79.349999999976717</v>
      </c>
      <c r="AMB15" s="16">
        <f t="shared" si="279"/>
        <v>86.585000000020955</v>
      </c>
      <c r="AMC15" s="16">
        <f t="shared" si="279"/>
        <v>126</v>
      </c>
      <c r="AMD15" s="16">
        <f t="shared" si="279"/>
        <v>168.76900000002934</v>
      </c>
      <c r="AME15" s="16">
        <f t="shared" si="279"/>
        <v>103.31399999995483</v>
      </c>
      <c r="AMF15" s="16">
        <f t="shared" si="279"/>
        <v>130.02500000002328</v>
      </c>
      <c r="AMG15" s="16">
        <f t="shared" si="279"/>
        <v>191.72299999999814</v>
      </c>
      <c r="AMH15" s="16">
        <f t="shared" si="279"/>
        <v>206.16300000000047</v>
      </c>
      <c r="AMI15" s="16">
        <f t="shared" si="279"/>
        <v>120.00699999998324</v>
      </c>
      <c r="AMJ15" s="16">
        <f t="shared" si="279"/>
        <v>97.409000000043306</v>
      </c>
      <c r="AMK15" s="16">
        <f t="shared" si="279"/>
        <v>134.77099999994971</v>
      </c>
      <c r="AML15" s="16">
        <f t="shared" si="279"/>
        <v>101.09500000003027</v>
      </c>
      <c r="AMM15" s="16">
        <f t="shared" si="279"/>
        <v>172.24800000002142</v>
      </c>
      <c r="AMN15" s="16">
        <f t="shared" si="279"/>
        <v>157.12899999995716</v>
      </c>
      <c r="AMO15" s="16">
        <f t="shared" si="279"/>
        <v>1191.9370000000345</v>
      </c>
      <c r="AMP15" s="16">
        <f t="shared" si="279"/>
        <v>2329.5669999999809</v>
      </c>
      <c r="AMQ15" s="16">
        <f t="shared" si="279"/>
        <v>613.96199999999953</v>
      </c>
      <c r="AMR15" s="16">
        <f t="shared" si="279"/>
        <v>970.95000000001164</v>
      </c>
      <c r="AMS15" s="16">
        <f t="shared" si="279"/>
        <v>857.92699999996694</v>
      </c>
      <c r="AMT15" s="16">
        <f t="shared" si="279"/>
        <v>928.12200000003213</v>
      </c>
      <c r="AMU15" s="16">
        <f t="shared" si="279"/>
        <v>393.82299999997485</v>
      </c>
      <c r="AMV15" s="16">
        <f t="shared" si="279"/>
        <v>250.41800000000512</v>
      </c>
      <c r="AMW15" s="16">
        <f t="shared" si="279"/>
        <v>98.367000000027474</v>
      </c>
      <c r="AMX15" s="16">
        <f t="shared" si="279"/>
        <v>1082.8360000000102</v>
      </c>
      <c r="AMY15" s="16">
        <f t="shared" si="279"/>
        <v>668.46099999995204</v>
      </c>
      <c r="AMZ15" s="127">
        <f>SUM(ALV15:AMY15)</f>
        <v>11946.975999999966</v>
      </c>
      <c r="ANA15" s="16">
        <f t="shared" ref="ANA15:AOE15" si="280">ANA14-ANA13</f>
        <v>146.28700000001118</v>
      </c>
      <c r="ANB15" s="16">
        <f t="shared" si="280"/>
        <v>348.05999999999767</v>
      </c>
      <c r="ANC15" s="16">
        <f t="shared" si="280"/>
        <v>174.21700000000419</v>
      </c>
      <c r="AND15" s="16">
        <f t="shared" si="280"/>
        <v>113.50800000003073</v>
      </c>
      <c r="ANE15" s="16">
        <f t="shared" si="280"/>
        <v>170.60699999995995</v>
      </c>
      <c r="ANF15" s="16">
        <f t="shared" si="280"/>
        <v>278.86700000002747</v>
      </c>
      <c r="ANG15" s="16">
        <f t="shared" si="280"/>
        <v>271.3300000000163</v>
      </c>
      <c r="ANH15" s="16">
        <f t="shared" si="280"/>
        <v>118.20999999996275</v>
      </c>
      <c r="ANI15" s="16">
        <f t="shared" si="280"/>
        <v>235.65299999999115</v>
      </c>
      <c r="ANJ15" s="16">
        <f t="shared" si="280"/>
        <v>85.175000000046566</v>
      </c>
      <c r="ANK15" s="16">
        <f t="shared" si="280"/>
        <v>174.56999999994878</v>
      </c>
      <c r="ANL15" s="16">
        <f t="shared" si="280"/>
        <v>76.844000000040978</v>
      </c>
      <c r="ANM15" s="16">
        <f t="shared" si="280"/>
        <v>191.42699999996694</v>
      </c>
      <c r="ANN15" s="16">
        <f t="shared" si="280"/>
        <v>116.12800000002608</v>
      </c>
      <c r="ANO15" s="16">
        <f t="shared" si="280"/>
        <v>138.49499999999534</v>
      </c>
      <c r="ANP15" s="16">
        <f t="shared" si="280"/>
        <v>143.30300000001444</v>
      </c>
      <c r="ANQ15" s="16">
        <f t="shared" si="280"/>
        <v>91.039999999979045</v>
      </c>
      <c r="ANR15" s="16">
        <f t="shared" si="280"/>
        <v>129.21199999999953</v>
      </c>
      <c r="ANS15" s="16">
        <f t="shared" si="280"/>
        <v>84.799999999988358</v>
      </c>
      <c r="ANT15" s="16">
        <f t="shared" si="280"/>
        <v>104.96000000002095</v>
      </c>
      <c r="ANU15" s="16">
        <f t="shared" si="280"/>
        <v>78.71999999997206</v>
      </c>
      <c r="ANV15" s="16">
        <f t="shared" si="280"/>
        <v>129.49400000000605</v>
      </c>
      <c r="ANW15" s="16">
        <f t="shared" si="280"/>
        <v>76.972000000008848</v>
      </c>
      <c r="ANX15" s="16">
        <f t="shared" si="280"/>
        <v>135.31300000002375</v>
      </c>
      <c r="ANY15" s="16">
        <f t="shared" si="280"/>
        <v>72.407000000006519</v>
      </c>
      <c r="ANZ15" s="16">
        <f t="shared" si="280"/>
        <v>130.82999999995809</v>
      </c>
      <c r="AOA15" s="16">
        <f t="shared" si="280"/>
        <v>65.440000000002328</v>
      </c>
      <c r="AOB15" s="16">
        <f t="shared" si="280"/>
        <v>91.788000000000466</v>
      </c>
      <c r="AOC15" s="16">
        <f t="shared" si="280"/>
        <v>181.26500000001397</v>
      </c>
      <c r="AOD15" s="16">
        <f t="shared" si="280"/>
        <v>108.16600000002654</v>
      </c>
      <c r="AOE15">
        <f t="shared" si="280"/>
        <v>108.16600000002654</v>
      </c>
    </row>
    <row r="16" spans="1:1072" x14ac:dyDescent="0.2">
      <c r="A16" s="157"/>
      <c r="B16" s="5"/>
      <c r="C16" s="11" t="s">
        <v>765</v>
      </c>
      <c r="D16" s="18">
        <f t="shared" ref="D16:AH16" si="281">D15+D12+D9+D6</f>
        <v>2515.9920000000566</v>
      </c>
      <c r="E16" s="18">
        <f t="shared" si="281"/>
        <v>2602.7119999999995</v>
      </c>
      <c r="F16" s="18">
        <f t="shared" si="281"/>
        <v>2463.9309999999823</v>
      </c>
      <c r="G16" s="18">
        <f t="shared" si="281"/>
        <v>2646.283000000054</v>
      </c>
      <c r="H16" s="18">
        <f t="shared" si="281"/>
        <v>2707.9720000000088</v>
      </c>
      <c r="I16" s="18">
        <f t="shared" si="281"/>
        <v>2924.6559999999299</v>
      </c>
      <c r="J16" s="18">
        <f t="shared" si="281"/>
        <v>2531.3330000000715</v>
      </c>
      <c r="K16" s="18">
        <f t="shared" si="281"/>
        <v>2074.2060000000056</v>
      </c>
      <c r="L16" s="18">
        <f t="shared" si="281"/>
        <v>2119.2049999999872</v>
      </c>
      <c r="M16" s="18">
        <f t="shared" si="281"/>
        <v>2367.5359999999928</v>
      </c>
      <c r="N16" s="18">
        <f t="shared" si="281"/>
        <v>2401.3019999999378</v>
      </c>
      <c r="O16" s="18">
        <f t="shared" si="281"/>
        <v>2763.7470000001194</v>
      </c>
      <c r="P16" s="18">
        <f t="shared" si="281"/>
        <v>2484.146000000037</v>
      </c>
      <c r="Q16" s="18">
        <f t="shared" si="281"/>
        <v>2667.1489999999758</v>
      </c>
      <c r="R16" s="18">
        <f t="shared" si="281"/>
        <v>2297.0429999999469</v>
      </c>
      <c r="S16" s="18">
        <f t="shared" si="281"/>
        <v>2449.0470000000205</v>
      </c>
      <c r="T16" s="18">
        <f t="shared" si="281"/>
        <v>2391.0480000000098</v>
      </c>
      <c r="U16" s="18">
        <f t="shared" si="281"/>
        <v>2805.2589999998745</v>
      </c>
      <c r="V16" s="18">
        <f t="shared" si="281"/>
        <v>2358.7680000000109</v>
      </c>
      <c r="W16" s="18">
        <f t="shared" si="281"/>
        <v>2156.3570000000473</v>
      </c>
      <c r="X16" s="18">
        <f t="shared" si="281"/>
        <v>1917.8290000000852</v>
      </c>
      <c r="Y16" s="18">
        <f t="shared" si="281"/>
        <v>2097.9469999999274</v>
      </c>
      <c r="Z16" s="18">
        <f t="shared" si="281"/>
        <v>2254.5150000001013</v>
      </c>
      <c r="AA16" s="18">
        <f t="shared" si="281"/>
        <v>2294.7610000000277</v>
      </c>
      <c r="AB16" s="18">
        <f t="shared" si="281"/>
        <v>2808.735999999888</v>
      </c>
      <c r="AC16" s="18">
        <f t="shared" si="281"/>
        <v>2826.5720000000147</v>
      </c>
      <c r="AD16" s="18">
        <f t="shared" si="281"/>
        <v>2551.2730000000156</v>
      </c>
      <c r="AE16" s="18">
        <f t="shared" si="281"/>
        <v>2109.6019999999553</v>
      </c>
      <c r="AF16" s="18">
        <f t="shared" si="281"/>
        <v>2161.3019999999378</v>
      </c>
      <c r="AG16" s="18">
        <f t="shared" si="281"/>
        <v>2107.965000000142</v>
      </c>
      <c r="AH16" s="18">
        <f t="shared" si="281"/>
        <v>2506.5579999999027</v>
      </c>
      <c r="AI16" s="49"/>
      <c r="AJ16" s="18">
        <f t="shared" ref="AJ16:BM16" si="282">AJ15+AJ12+AJ9+AJ6</f>
        <v>2969.1580000000831</v>
      </c>
      <c r="AK16" s="18">
        <f t="shared" si="282"/>
        <v>2698.1450000000186</v>
      </c>
      <c r="AL16" s="18">
        <f t="shared" si="282"/>
        <v>2582.4199999999546</v>
      </c>
      <c r="AM16" s="18">
        <f t="shared" si="282"/>
        <v>2546.7720000000554</v>
      </c>
      <c r="AN16" s="18">
        <f t="shared" si="282"/>
        <v>2375.1819999999134</v>
      </c>
      <c r="AO16" s="18">
        <f t="shared" si="282"/>
        <v>1841.4459999999963</v>
      </c>
      <c r="AP16" s="18">
        <f t="shared" si="282"/>
        <v>12724.530999999959</v>
      </c>
      <c r="AQ16" s="18">
        <f t="shared" si="282"/>
        <v>2964.377999999997</v>
      </c>
      <c r="AR16" s="18">
        <f t="shared" si="282"/>
        <v>2587.7720000000554</v>
      </c>
      <c r="AS16" s="18">
        <f t="shared" si="282"/>
        <v>2209.6530000000494</v>
      </c>
      <c r="AT16" s="18">
        <f t="shared" si="282"/>
        <v>2037.8069999999134</v>
      </c>
      <c r="AU16" s="18">
        <f t="shared" si="282"/>
        <v>1665.3730000001087</v>
      </c>
      <c r="AV16" s="18">
        <f t="shared" si="282"/>
        <v>11893.728999999905</v>
      </c>
      <c r="AW16" s="18">
        <f t="shared" si="282"/>
        <v>2006.9279999999853</v>
      </c>
      <c r="AX16" s="18">
        <f t="shared" si="282"/>
        <v>2152.9230000000971</v>
      </c>
      <c r="AY16" s="18">
        <f t="shared" si="282"/>
        <v>2232.3069999999716</v>
      </c>
      <c r="AZ16" s="18">
        <f t="shared" si="282"/>
        <v>1988.0550000000221</v>
      </c>
      <c r="BA16" s="18">
        <f t="shared" si="282"/>
        <v>2204.570000000007</v>
      </c>
      <c r="BB16" s="18">
        <f t="shared" si="282"/>
        <v>1832.1029999999155</v>
      </c>
      <c r="BC16" s="18">
        <f t="shared" si="282"/>
        <v>1922.8449999999721</v>
      </c>
      <c r="BD16" s="18">
        <f t="shared" si="282"/>
        <v>1959.0540000001492</v>
      </c>
      <c r="BE16" s="18">
        <f t="shared" si="282"/>
        <v>2289.8449999999721</v>
      </c>
      <c r="BF16" s="18">
        <f t="shared" si="282"/>
        <v>2263.4409999999043</v>
      </c>
      <c r="BG16" s="18">
        <f t="shared" si="282"/>
        <v>1933.8750000000582</v>
      </c>
      <c r="BH16" s="18">
        <f t="shared" si="282"/>
        <v>2035.7119999999122</v>
      </c>
      <c r="BI16" s="18">
        <f t="shared" si="282"/>
        <v>1949.6750000000175</v>
      </c>
      <c r="BJ16" s="18">
        <f t="shared" si="282"/>
        <v>1992.7820000000647</v>
      </c>
      <c r="BK16" s="18">
        <f t="shared" si="282"/>
        <v>1844.1840000000084</v>
      </c>
      <c r="BL16" s="18">
        <f t="shared" si="282"/>
        <v>2057.8920000000217</v>
      </c>
      <c r="BM16" s="18">
        <f t="shared" si="282"/>
        <v>2209.8049999999639</v>
      </c>
      <c r="BN16" s="89">
        <f>SUM(AJ16:BM16)</f>
        <v>85972.362000000052</v>
      </c>
      <c r="BO16" s="18">
        <f t="shared" ref="BO16:CS16" si="283">BO15+BO12+BO9+BO6</f>
        <v>1896.1620000000403</v>
      </c>
      <c r="BP16" s="18">
        <f t="shared" si="283"/>
        <v>2038.2319999999891</v>
      </c>
      <c r="BQ16" s="18">
        <f t="shared" si="283"/>
        <v>1984.4679999999935</v>
      </c>
      <c r="BR16" s="18">
        <f t="shared" si="283"/>
        <v>1885.9349999999686</v>
      </c>
      <c r="BS16" s="18">
        <f t="shared" si="283"/>
        <v>1792.4199999999837</v>
      </c>
      <c r="BT16" s="18">
        <f t="shared" si="283"/>
        <v>2103.1970000000438</v>
      </c>
      <c r="BU16" s="18">
        <f t="shared" si="283"/>
        <v>1828.2419999999111</v>
      </c>
      <c r="BV16" s="18">
        <f t="shared" si="283"/>
        <v>2090.7940000000817</v>
      </c>
      <c r="BW16" s="18">
        <f t="shared" si="283"/>
        <v>1940.5490000000282</v>
      </c>
      <c r="BX16" s="18">
        <f t="shared" si="283"/>
        <v>1744.6819999999425</v>
      </c>
      <c r="BY16" s="18">
        <f t="shared" si="283"/>
        <v>1724.216000000044</v>
      </c>
      <c r="BZ16" s="18">
        <f t="shared" si="283"/>
        <v>1783.0089999999327</v>
      </c>
      <c r="CA16" s="18">
        <f t="shared" si="283"/>
        <v>2058.3080000000482</v>
      </c>
      <c r="CB16" s="18">
        <f t="shared" si="283"/>
        <v>2062.2369999999646</v>
      </c>
      <c r="CC16" s="18">
        <f t="shared" si="283"/>
        <v>1972.3250000000116</v>
      </c>
      <c r="CD16" s="18">
        <f t="shared" si="283"/>
        <v>1861.4250000000757</v>
      </c>
      <c r="CE16" s="18">
        <f t="shared" si="283"/>
        <v>1979.5199999999313</v>
      </c>
      <c r="CF16" s="18">
        <f t="shared" si="283"/>
        <v>1727.4770000001008</v>
      </c>
      <c r="CG16" s="18">
        <f t="shared" si="283"/>
        <v>1761.4429999998829</v>
      </c>
      <c r="CH16" s="18">
        <f t="shared" si="283"/>
        <v>1883.9180000000051</v>
      </c>
      <c r="CI16" s="18">
        <f t="shared" si="283"/>
        <v>1967.0059999999357</v>
      </c>
      <c r="CJ16" s="18">
        <f t="shared" si="283"/>
        <v>2072.969000000041</v>
      </c>
      <c r="CK16" s="18">
        <f t="shared" si="283"/>
        <v>1756.4740000001038</v>
      </c>
      <c r="CL16" s="18">
        <f t="shared" si="283"/>
        <v>1968.658999999956</v>
      </c>
      <c r="CM16" s="18">
        <f t="shared" si="283"/>
        <v>1832.5890000000654</v>
      </c>
      <c r="CN16" s="18">
        <f t="shared" si="283"/>
        <v>1879.8129999999946</v>
      </c>
      <c r="CO16" s="18">
        <f t="shared" si="283"/>
        <v>1960.5429999999469</v>
      </c>
      <c r="CP16" s="18">
        <f t="shared" si="283"/>
        <v>2145.3869999999006</v>
      </c>
      <c r="CQ16" s="18">
        <f t="shared" si="283"/>
        <v>1875.3370000000868</v>
      </c>
      <c r="CR16" s="18">
        <f t="shared" si="283"/>
        <v>1975.6299999999756</v>
      </c>
      <c r="CS16" s="18">
        <f t="shared" si="283"/>
        <v>1812.8409999999858</v>
      </c>
      <c r="CT16" s="89">
        <f>SUM(BO16:CS16)</f>
        <v>59365.806999999972</v>
      </c>
      <c r="CU16" s="18">
        <f t="shared" ref="CU16:DX16" si="284">CU15+CU12+CU9+CU6</f>
        <v>1984.6310000000231</v>
      </c>
      <c r="CV16" s="18">
        <f t="shared" si="284"/>
        <v>1774.6489999999758</v>
      </c>
      <c r="CW16" s="18">
        <f t="shared" si="284"/>
        <v>2036.8670000000275</v>
      </c>
      <c r="CX16" s="18">
        <f t="shared" si="284"/>
        <v>2580.2030000000086</v>
      </c>
      <c r="CY16" s="18">
        <f t="shared" si="284"/>
        <v>2221.2740000000049</v>
      </c>
      <c r="CZ16" s="18">
        <f t="shared" si="284"/>
        <v>2031.4730000000563</v>
      </c>
      <c r="DA16" s="18">
        <f t="shared" si="284"/>
        <v>1811.5549999999639</v>
      </c>
      <c r="DB16" s="18">
        <f t="shared" si="284"/>
        <v>1897.6029999999737</v>
      </c>
      <c r="DC16" s="18">
        <f t="shared" si="284"/>
        <v>2069.5329999999376</v>
      </c>
      <c r="DD16" s="18">
        <f t="shared" si="284"/>
        <v>2154.6170000000566</v>
      </c>
      <c r="DE16" s="18">
        <f t="shared" si="284"/>
        <v>2222.435999999987</v>
      </c>
      <c r="DF16" s="18">
        <f t="shared" si="284"/>
        <v>1878.3369999999413</v>
      </c>
      <c r="DG16" s="18">
        <f t="shared" si="284"/>
        <v>1831.6640000000189</v>
      </c>
      <c r="DH16" s="18">
        <f t="shared" si="284"/>
        <v>2090.5280000000494</v>
      </c>
      <c r="DI16" s="18">
        <f t="shared" si="284"/>
        <v>1791.5830000000133</v>
      </c>
      <c r="DJ16" s="18">
        <f t="shared" si="284"/>
        <v>1200.2230000000563</v>
      </c>
      <c r="DK16" s="18">
        <f t="shared" si="284"/>
        <v>1279.5739999999641</v>
      </c>
      <c r="DL16" s="18">
        <f t="shared" si="284"/>
        <v>1880.1539999998931</v>
      </c>
      <c r="DM16" s="18">
        <f t="shared" si="284"/>
        <v>1597.1719999999623</v>
      </c>
      <c r="DN16" s="18">
        <f t="shared" si="284"/>
        <v>1719.8310000000056</v>
      </c>
      <c r="DO16" s="18">
        <f t="shared" si="284"/>
        <v>1413.1220000000321</v>
      </c>
      <c r="DP16" s="18">
        <f t="shared" si="284"/>
        <v>1780.7030000000668</v>
      </c>
      <c r="DQ16" s="18">
        <f t="shared" si="284"/>
        <v>1851.4770000001008</v>
      </c>
      <c r="DR16" s="18">
        <f t="shared" si="284"/>
        <v>1827.1629999998549</v>
      </c>
      <c r="DS16" s="18">
        <f t="shared" si="284"/>
        <v>2147.0460000000894</v>
      </c>
      <c r="DT16" s="18">
        <f t="shared" si="284"/>
        <v>1673.6210000000137</v>
      </c>
      <c r="DU16" s="18">
        <f t="shared" si="284"/>
        <v>1571.161999999953</v>
      </c>
      <c r="DV16" s="18">
        <f t="shared" si="284"/>
        <v>1448.7960000000603</v>
      </c>
      <c r="DW16" s="18">
        <f t="shared" si="284"/>
        <v>1348.1109999999753</v>
      </c>
      <c r="DX16" s="18">
        <f t="shared" si="284"/>
        <v>1769.3489999999001</v>
      </c>
      <c r="DY16" s="117"/>
      <c r="DZ16" s="18">
        <f t="shared" ref="DZ16:FD16" si="285">DZ15+DZ12+DZ9+DZ6</f>
        <v>1951.8110000000161</v>
      </c>
      <c r="EA16" s="18">
        <f t="shared" si="285"/>
        <v>1746.7599999999511</v>
      </c>
      <c r="EB16" s="18">
        <f t="shared" si="285"/>
        <v>1455.4300000001094</v>
      </c>
      <c r="EC16" s="18">
        <f t="shared" si="285"/>
        <v>1503.222999999969</v>
      </c>
      <c r="ED16" s="18">
        <f t="shared" si="285"/>
        <v>1514.4670000000042</v>
      </c>
      <c r="EE16" s="18">
        <f t="shared" si="285"/>
        <v>1680.0629999999073</v>
      </c>
      <c r="EF16" s="18">
        <f t="shared" si="285"/>
        <v>1631.3470000000088</v>
      </c>
      <c r="EG16" s="18">
        <f t="shared" si="285"/>
        <v>1895.8700000000827</v>
      </c>
      <c r="EH16" s="18">
        <f t="shared" si="285"/>
        <v>2167.4899999999907</v>
      </c>
      <c r="EI16" s="18">
        <f t="shared" si="285"/>
        <v>2043.6309999999939</v>
      </c>
      <c r="EJ16" s="18">
        <f t="shared" si="285"/>
        <v>1755.9329999999609</v>
      </c>
      <c r="EK16" s="18">
        <f t="shared" si="285"/>
        <v>2028.5110000001732</v>
      </c>
      <c r="EL16" s="18">
        <f t="shared" si="285"/>
        <v>1934.6149999999907</v>
      </c>
      <c r="EM16" s="18">
        <f t="shared" si="285"/>
        <v>1822.5469999999914</v>
      </c>
      <c r="EN16" s="18">
        <f t="shared" si="285"/>
        <v>2333.9719999999215</v>
      </c>
      <c r="EO16" s="18">
        <f t="shared" si="285"/>
        <v>2480.4439999999013</v>
      </c>
      <c r="EP16" s="18">
        <f t="shared" si="285"/>
        <v>2027.9810000001744</v>
      </c>
      <c r="EQ16" s="18">
        <f t="shared" si="285"/>
        <v>2295.2619999999297</v>
      </c>
      <c r="ER16" s="18">
        <f t="shared" si="285"/>
        <v>1747.1759999999776</v>
      </c>
      <c r="ES16" s="18">
        <f t="shared" si="285"/>
        <v>2257.0379999999423</v>
      </c>
      <c r="ET16" s="18">
        <f t="shared" si="285"/>
        <v>2410.9380000000237</v>
      </c>
      <c r="EU16" s="18">
        <f t="shared" si="285"/>
        <v>2816.9270000000542</v>
      </c>
      <c r="EV16" s="18">
        <f t="shared" si="285"/>
        <v>2781.7860000000219</v>
      </c>
      <c r="EW16" s="18">
        <f t="shared" si="285"/>
        <v>2579.6509999999253</v>
      </c>
      <c r="EX16" s="18">
        <f t="shared" si="285"/>
        <v>1920.8440000000701</v>
      </c>
      <c r="EY16" s="18">
        <f t="shared" si="285"/>
        <v>1519.1909999999625</v>
      </c>
      <c r="EZ16" s="18">
        <f t="shared" si="285"/>
        <v>1790.9210000000021</v>
      </c>
      <c r="FA16" s="18">
        <f t="shared" si="285"/>
        <v>1746.0899999999674</v>
      </c>
      <c r="FB16" s="18">
        <f t="shared" si="285"/>
        <v>1984.4010000000126</v>
      </c>
      <c r="FC16" s="18">
        <f t="shared" si="285"/>
        <v>1924.8220000001311</v>
      </c>
      <c r="FD16" s="18">
        <f t="shared" si="285"/>
        <v>2145.0129999998026</v>
      </c>
      <c r="FE16" s="127">
        <f>SUM(DZ16:FD16)</f>
        <v>61894.15499999997</v>
      </c>
      <c r="FF16" s="18">
        <f t="shared" ref="FF16:GJ16" si="286">FF15+FF12+FF9+FF6</f>
        <v>1837.7400000000198</v>
      </c>
      <c r="FG16" s="18">
        <f t="shared" si="286"/>
        <v>1939.7040000000561</v>
      </c>
      <c r="FH16" s="18">
        <f t="shared" si="286"/>
        <v>1573.5720000000147</v>
      </c>
      <c r="FI16" s="18">
        <f t="shared" si="286"/>
        <v>2007.180999999895</v>
      </c>
      <c r="FJ16" s="18">
        <f t="shared" si="286"/>
        <v>1980.6150000001071</v>
      </c>
      <c r="FK16" s="18">
        <f t="shared" si="286"/>
        <v>1941.4819999999308</v>
      </c>
      <c r="FL16" s="18">
        <f t="shared" si="286"/>
        <v>1914.1230000000505</v>
      </c>
      <c r="FM16" s="18">
        <f t="shared" si="286"/>
        <v>1966.039000000048</v>
      </c>
      <c r="FN16" s="18">
        <f t="shared" si="286"/>
        <v>1942.9090000000142</v>
      </c>
      <c r="FO16" s="18">
        <f t="shared" si="286"/>
        <v>1798.0210000000661</v>
      </c>
      <c r="FP16" s="18">
        <f t="shared" si="286"/>
        <v>1758.905999999959</v>
      </c>
      <c r="FQ16" s="18">
        <f t="shared" si="286"/>
        <v>1885.5269999998854</v>
      </c>
      <c r="FR16" s="18">
        <f t="shared" si="286"/>
        <v>2088.1040000001085</v>
      </c>
      <c r="FS16" s="18">
        <f t="shared" si="286"/>
        <v>1745.39300000004</v>
      </c>
      <c r="FT16" s="18">
        <f t="shared" si="286"/>
        <v>1557.8849999998929</v>
      </c>
      <c r="FU16" s="18">
        <f t="shared" si="286"/>
        <v>1851.1110000000917</v>
      </c>
      <c r="FV16" s="18">
        <f t="shared" si="286"/>
        <v>1466.9099999997707</v>
      </c>
      <c r="FW16" s="18">
        <f t="shared" si="286"/>
        <v>1732.1300000002084</v>
      </c>
      <c r="FX16" s="18">
        <f t="shared" si="286"/>
        <v>2018.3020000000251</v>
      </c>
      <c r="FY16" s="18">
        <f t="shared" si="286"/>
        <v>2231.9319999998843</v>
      </c>
      <c r="FZ16" s="18">
        <f t="shared" si="286"/>
        <v>1844.372999999905</v>
      </c>
      <c r="GA16" s="18">
        <f t="shared" si="286"/>
        <v>1658.5270000002638</v>
      </c>
      <c r="GB16" s="18">
        <f t="shared" si="286"/>
        <v>1871.0989999997546</v>
      </c>
      <c r="GC16" s="18">
        <f t="shared" si="286"/>
        <v>1613.6630000001751</v>
      </c>
      <c r="GD16" s="18">
        <f t="shared" si="286"/>
        <v>2249.7529999999097</v>
      </c>
      <c r="GE16" s="18">
        <f t="shared" si="286"/>
        <v>1976.2229999999399</v>
      </c>
      <c r="GF16" s="18">
        <f t="shared" si="286"/>
        <v>1698.9150000002119</v>
      </c>
      <c r="GG16" s="18">
        <f t="shared" si="286"/>
        <v>1783.7929999998305</v>
      </c>
      <c r="GH16" s="18">
        <f t="shared" si="286"/>
        <v>2027.4670000001497</v>
      </c>
      <c r="GI16" s="18">
        <f t="shared" si="286"/>
        <v>1734.7850000000326</v>
      </c>
      <c r="GJ16" s="18">
        <f t="shared" si="286"/>
        <v>1671.783999999956</v>
      </c>
      <c r="GK16" s="127">
        <f>SUM(FF16:GJ16)</f>
        <v>57367.968000000197</v>
      </c>
      <c r="GL16" s="18">
        <f t="shared" ref="GL16:HN16" si="287">GL15+GL12+GL9+GL6</f>
        <v>1807.9849999998114</v>
      </c>
      <c r="GM16" s="18">
        <f t="shared" si="287"/>
        <v>1925.2930000001506</v>
      </c>
      <c r="GN16" s="18">
        <f t="shared" si="287"/>
        <v>2708.4569999999949</v>
      </c>
      <c r="GO16" s="18">
        <f t="shared" si="287"/>
        <v>2259.8379999998142</v>
      </c>
      <c r="GP16" s="18">
        <f t="shared" si="287"/>
        <v>2119.0360000001092</v>
      </c>
      <c r="GQ16" s="18">
        <f t="shared" si="287"/>
        <v>2087.9839999999094</v>
      </c>
      <c r="GR16" s="18">
        <f t="shared" si="287"/>
        <v>2352.6100000001898</v>
      </c>
      <c r="GS16" s="18">
        <f t="shared" si="287"/>
        <v>1993.0989999999001</v>
      </c>
      <c r="GT16" s="18">
        <f t="shared" si="287"/>
        <v>2046.7529999999097</v>
      </c>
      <c r="GU16" s="18">
        <f t="shared" si="287"/>
        <v>1874.4230000000098</v>
      </c>
      <c r="GV16" s="18">
        <f t="shared" si="287"/>
        <v>1920.2820000001229</v>
      </c>
      <c r="GW16" s="18">
        <f t="shared" si="287"/>
        <v>1948.2109999999229</v>
      </c>
      <c r="GX16" s="18">
        <f t="shared" si="287"/>
        <v>2190.1770000001125</v>
      </c>
      <c r="GY16" s="18">
        <f t="shared" si="287"/>
        <v>1988.0599999997939</v>
      </c>
      <c r="GZ16" s="18">
        <f t="shared" si="287"/>
        <v>1779.060000000085</v>
      </c>
      <c r="HA16" s="18">
        <f t="shared" si="287"/>
        <v>1797.5520000000251</v>
      </c>
      <c r="HB16" s="18">
        <f t="shared" si="287"/>
        <v>2109.9379999999364</v>
      </c>
      <c r="HC16" s="18">
        <f t="shared" si="287"/>
        <v>1783.9160000000848</v>
      </c>
      <c r="HD16" s="18">
        <f t="shared" si="287"/>
        <v>1691.4269999999378</v>
      </c>
      <c r="HE16" s="18">
        <f t="shared" si="287"/>
        <v>2102.9460000000545</v>
      </c>
      <c r="HF16" s="18">
        <f t="shared" si="287"/>
        <v>1853.98199999996</v>
      </c>
      <c r="HG16" s="18">
        <f t="shared" si="287"/>
        <v>1862.7320000001346</v>
      </c>
      <c r="HH16" s="18">
        <f t="shared" si="287"/>
        <v>1910.7739999999467</v>
      </c>
      <c r="HI16" s="18">
        <f t="shared" si="287"/>
        <v>1947.097000000038</v>
      </c>
      <c r="HJ16" s="18">
        <f t="shared" si="287"/>
        <v>1514.5989999999292</v>
      </c>
      <c r="HK16" s="18">
        <f t="shared" si="287"/>
        <v>1945.8200000000652</v>
      </c>
      <c r="HL16" s="18">
        <f t="shared" si="287"/>
        <v>1788.1879999999364</v>
      </c>
      <c r="HM16" s="18">
        <f t="shared" si="287"/>
        <v>1742.8760000000766</v>
      </c>
      <c r="HN16" s="18">
        <f t="shared" si="287"/>
        <v>2029.3819999998668</v>
      </c>
      <c r="HO16" s="127">
        <f>SUM(GL16:HN16)</f>
        <v>57082.496999999828</v>
      </c>
      <c r="HP16" s="18">
        <f t="shared" ref="HP16:IT16" si="288">HP15+HP12+HP9+HP6</f>
        <v>2278.9950000000827</v>
      </c>
      <c r="HQ16" s="18">
        <f t="shared" si="288"/>
        <v>2331.9439999999886</v>
      </c>
      <c r="HR16" s="18">
        <f t="shared" si="288"/>
        <v>2198.3529999999155</v>
      </c>
      <c r="HS16" s="18">
        <f t="shared" si="288"/>
        <v>2083.3380000001052</v>
      </c>
      <c r="HT16" s="18">
        <f t="shared" si="288"/>
        <v>2058.2450000001118</v>
      </c>
      <c r="HU16" s="18">
        <f t="shared" si="288"/>
        <v>2059.7819999999774</v>
      </c>
      <c r="HV16" s="18">
        <f t="shared" si="288"/>
        <v>2346.3479999999399</v>
      </c>
      <c r="HW16" s="18">
        <f t="shared" si="288"/>
        <v>2092.8879999999772</v>
      </c>
      <c r="HX16" s="18">
        <f t="shared" si="288"/>
        <v>1982.3490000000456</v>
      </c>
      <c r="HY16" s="18">
        <f t="shared" si="288"/>
        <v>1894.8789999999281</v>
      </c>
      <c r="HZ16" s="18">
        <f t="shared" si="288"/>
        <v>1998.5509999999776</v>
      </c>
      <c r="IA16" s="18">
        <f t="shared" si="288"/>
        <v>1734.9940000000934</v>
      </c>
      <c r="IB16" s="18">
        <f t="shared" si="288"/>
        <v>1639.0789999999979</v>
      </c>
      <c r="IC16" s="18">
        <f t="shared" si="288"/>
        <v>1588.7099999999045</v>
      </c>
      <c r="ID16" s="18">
        <f t="shared" si="288"/>
        <v>2071.5479999999807</v>
      </c>
      <c r="IE16" s="18">
        <f t="shared" si="288"/>
        <v>1954.4960000000719</v>
      </c>
      <c r="IF16" s="18">
        <f t="shared" si="288"/>
        <v>1810.7749999998196</v>
      </c>
      <c r="IG16" s="18">
        <f t="shared" si="288"/>
        <v>2061.5070000000705</v>
      </c>
      <c r="IH16" s="18">
        <f t="shared" si="288"/>
        <v>1791.203000000125</v>
      </c>
      <c r="II16" s="18">
        <f t="shared" si="288"/>
        <v>1815.024999999936</v>
      </c>
      <c r="IJ16" s="18">
        <f t="shared" si="288"/>
        <v>1660.8670000000857</v>
      </c>
      <c r="IK16" s="18">
        <f t="shared" si="288"/>
        <v>2002.9359999998996</v>
      </c>
      <c r="IL16" s="18">
        <f t="shared" si="288"/>
        <v>2031.9760000001406</v>
      </c>
      <c r="IM16" s="18">
        <f t="shared" si="288"/>
        <v>1798.8259999999136</v>
      </c>
      <c r="IN16" s="18">
        <f t="shared" si="288"/>
        <v>1880.6899999998568</v>
      </c>
      <c r="IO16" s="18">
        <f t="shared" si="288"/>
        <v>1659.8489999999874</v>
      </c>
      <c r="IP16" s="18">
        <f t="shared" si="288"/>
        <v>1880.8760000001639</v>
      </c>
      <c r="IQ16" s="18">
        <f t="shared" si="288"/>
        <v>1844.5109999999404</v>
      </c>
      <c r="IR16" s="18">
        <f t="shared" si="288"/>
        <v>1640.3190000000759</v>
      </c>
      <c r="IS16" s="18">
        <f t="shared" si="288"/>
        <v>1954.7349999999278</v>
      </c>
      <c r="IT16" s="18">
        <f t="shared" si="288"/>
        <v>1357.1619999999821</v>
      </c>
      <c r="IU16" s="127">
        <f>SUM(HP16:IT16)</f>
        <v>59505.756000000023</v>
      </c>
      <c r="IV16" s="18">
        <f t="shared" ref="IV16:JY16" si="289">IV15+IV12+IV9+IV6</f>
        <v>1468.997000000003</v>
      </c>
      <c r="IW16" s="18">
        <f t="shared" si="289"/>
        <v>1862.4590000000026</v>
      </c>
      <c r="IX16" s="18">
        <f t="shared" si="289"/>
        <v>1649.4570000000531</v>
      </c>
      <c r="IY16" s="18">
        <f t="shared" si="289"/>
        <v>1645.4719999999506</v>
      </c>
      <c r="IZ16" s="18">
        <f t="shared" si="289"/>
        <v>1853.3479999999399</v>
      </c>
      <c r="JA16" s="18">
        <f t="shared" si="289"/>
        <v>2056.8160000000207</v>
      </c>
      <c r="JB16" s="18">
        <f t="shared" si="289"/>
        <v>1600.4979999999923</v>
      </c>
      <c r="JC16" s="18">
        <f t="shared" si="289"/>
        <v>1927.1240000000107</v>
      </c>
      <c r="JD16" s="18">
        <f t="shared" si="289"/>
        <v>1636.8770000000368</v>
      </c>
      <c r="JE16" s="18">
        <f t="shared" si="289"/>
        <v>1926.3210000000836</v>
      </c>
      <c r="JF16" s="18">
        <f t="shared" si="289"/>
        <v>1578.7939999999362</v>
      </c>
      <c r="JG16" s="18">
        <f t="shared" si="289"/>
        <v>1781.0480000001553</v>
      </c>
      <c r="JH16" s="18">
        <f t="shared" si="289"/>
        <v>1736.1959999997925</v>
      </c>
      <c r="JI16" s="18">
        <f t="shared" si="289"/>
        <v>1275.0760000002047</v>
      </c>
      <c r="JJ16" s="18">
        <f t="shared" si="289"/>
        <v>1937.2169999998005</v>
      </c>
      <c r="JK16" s="18">
        <f t="shared" si="289"/>
        <v>1626.2510000000766</v>
      </c>
      <c r="JL16" s="18">
        <f t="shared" si="289"/>
        <v>1562.6399999999558</v>
      </c>
      <c r="JM16" s="18">
        <f t="shared" si="289"/>
        <v>1515.9640000001818</v>
      </c>
      <c r="JN16" s="18">
        <f t="shared" si="289"/>
        <v>1888.8639999998268</v>
      </c>
      <c r="JO16" s="18">
        <f t="shared" si="289"/>
        <v>1569.0490000000864</v>
      </c>
      <c r="JP16" s="18">
        <f t="shared" si="289"/>
        <v>1444.5010000000184</v>
      </c>
      <c r="JQ16" s="18">
        <f t="shared" si="289"/>
        <v>1751.875999999902</v>
      </c>
      <c r="JR16" s="18">
        <f t="shared" si="289"/>
        <v>1468.9880000000703</v>
      </c>
      <c r="JS16" s="18">
        <f t="shared" si="289"/>
        <v>1731.4620000001159</v>
      </c>
      <c r="JT16" s="18">
        <f t="shared" si="289"/>
        <v>1747.336999999854</v>
      </c>
      <c r="JU16" s="18">
        <f t="shared" si="289"/>
        <v>1965.0909999999276</v>
      </c>
      <c r="JV16" s="18">
        <f t="shared" si="289"/>
        <v>2487.512999999919</v>
      </c>
      <c r="JW16" s="18">
        <f t="shared" si="289"/>
        <v>1831.7090000000608</v>
      </c>
      <c r="JX16" s="18">
        <f t="shared" si="289"/>
        <v>1588.4219999999623</v>
      </c>
      <c r="JY16" s="18">
        <f t="shared" si="289"/>
        <v>1728.5740000000515</v>
      </c>
      <c r="JZ16" s="127">
        <v>0</v>
      </c>
      <c r="KA16" s="18">
        <f t="shared" ref="KA16:LE16" si="290">KA15+KA12+KA9+KA6</f>
        <v>1763.6549999999988</v>
      </c>
      <c r="KB16" s="18">
        <f t="shared" si="290"/>
        <v>1826.0380000000587</v>
      </c>
      <c r="KC16" s="18">
        <f t="shared" si="290"/>
        <v>1711.653999999864</v>
      </c>
      <c r="KD16" s="18">
        <f t="shared" si="290"/>
        <v>1795.3479999999981</v>
      </c>
      <c r="KE16" s="18">
        <f t="shared" si="290"/>
        <v>1882.9480000000913</v>
      </c>
      <c r="KF16" s="18">
        <f t="shared" si="290"/>
        <v>1794.7630000001809</v>
      </c>
      <c r="KG16" s="18">
        <f t="shared" si="290"/>
        <v>1815.3049999999639</v>
      </c>
      <c r="KH16" s="18">
        <f t="shared" si="290"/>
        <v>1575.8519999998389</v>
      </c>
      <c r="KI16" s="18">
        <f t="shared" si="290"/>
        <v>1795.2250000000058</v>
      </c>
      <c r="KJ16" s="18">
        <f t="shared" si="290"/>
        <v>1727.5320000000356</v>
      </c>
      <c r="KK16" s="18">
        <f t="shared" si="290"/>
        <v>2045.5680000000284</v>
      </c>
      <c r="KL16" s="18">
        <f t="shared" si="290"/>
        <v>1733.8899999999267</v>
      </c>
      <c r="KM16" s="18">
        <f t="shared" si="290"/>
        <v>1997.9429999998829</v>
      </c>
      <c r="KN16" s="18">
        <f t="shared" si="290"/>
        <v>1667.6190000002971</v>
      </c>
      <c r="KO16" s="18">
        <f t="shared" si="290"/>
        <v>1538.43299999999</v>
      </c>
      <c r="KP16" s="18">
        <f t="shared" si="290"/>
        <v>1742.2369999999646</v>
      </c>
      <c r="KQ16" s="18">
        <f t="shared" si="290"/>
        <v>1702.1179999998712</v>
      </c>
      <c r="KR16" s="18">
        <f t="shared" si="290"/>
        <v>1783.9379999999655</v>
      </c>
      <c r="KS16" s="18">
        <f t="shared" si="290"/>
        <v>1667.82600000003</v>
      </c>
      <c r="KT16" s="18">
        <f t="shared" si="290"/>
        <v>1914.614000000176</v>
      </c>
      <c r="KU16" s="18">
        <f t="shared" si="290"/>
        <v>1457.1589999998978</v>
      </c>
      <c r="KV16" s="18">
        <f t="shared" si="290"/>
        <v>1600.0749999998661</v>
      </c>
      <c r="KW16" s="18">
        <f t="shared" si="290"/>
        <v>1833.9650000001711</v>
      </c>
      <c r="KX16" s="18">
        <f t="shared" si="290"/>
        <v>1984.5729999999166</v>
      </c>
      <c r="KY16" s="18">
        <f t="shared" si="290"/>
        <v>1727.8739999999816</v>
      </c>
      <c r="KZ16" s="18">
        <f t="shared" si="290"/>
        <v>1922.3680000000459</v>
      </c>
      <c r="LA16" s="18">
        <f t="shared" si="290"/>
        <v>1869.0810000000056</v>
      </c>
      <c r="LB16" s="18">
        <f t="shared" si="290"/>
        <v>1816.4000000000233</v>
      </c>
      <c r="LC16" s="18">
        <f t="shared" si="290"/>
        <v>1720.8429999999644</v>
      </c>
      <c r="LD16" s="18">
        <f t="shared" si="290"/>
        <v>1817.9409999999043</v>
      </c>
      <c r="LE16" s="18">
        <f t="shared" si="290"/>
        <v>2259.8820000001288</v>
      </c>
      <c r="LF16" s="127">
        <v>0</v>
      </c>
      <c r="LG16" s="18">
        <f t="shared" ref="LG16:MJ16" si="291">LG15+LG12+LG9+LG6</f>
        <v>2428.6429999999527</v>
      </c>
      <c r="LH16" s="18">
        <f t="shared" si="291"/>
        <v>1842.9939999999769</v>
      </c>
      <c r="LI16" s="18">
        <f t="shared" si="291"/>
        <v>2134.1430000001274</v>
      </c>
      <c r="LJ16" s="18">
        <f t="shared" si="291"/>
        <v>2196.8519999999553</v>
      </c>
      <c r="LK16" s="18">
        <f t="shared" si="291"/>
        <v>1814.7359999998007</v>
      </c>
      <c r="LL16" s="18">
        <f t="shared" si="291"/>
        <v>1780.9450000000361</v>
      </c>
      <c r="LM16" s="18">
        <f t="shared" si="291"/>
        <v>2259.6270000001532</v>
      </c>
      <c r="LN16" s="18">
        <f t="shared" si="291"/>
        <v>2535.9169999999867</v>
      </c>
      <c r="LO16" s="18">
        <f t="shared" si="291"/>
        <v>2013.6580000001122</v>
      </c>
      <c r="LP16" s="18">
        <f t="shared" si="291"/>
        <v>2060.506999999925</v>
      </c>
      <c r="LQ16" s="18">
        <f t="shared" si="291"/>
        <v>1881.4099999997998</v>
      </c>
      <c r="LR16" s="18">
        <f t="shared" si="291"/>
        <v>1895.1740000001737</v>
      </c>
      <c r="LS16" s="18">
        <f t="shared" si="291"/>
        <v>1881.8389999998326</v>
      </c>
      <c r="LT16" s="18">
        <f t="shared" si="291"/>
        <v>2090.336000000214</v>
      </c>
      <c r="LU16" s="18">
        <f t="shared" si="291"/>
        <v>2541.2459999999264</v>
      </c>
      <c r="LV16" s="18">
        <f t="shared" si="291"/>
        <v>2026.1599999999453</v>
      </c>
      <c r="LW16" s="18">
        <f t="shared" si="291"/>
        <v>1809.7519999999495</v>
      </c>
      <c r="LX16" s="18">
        <f t="shared" si="291"/>
        <v>1992.0840000001481</v>
      </c>
      <c r="LY16" s="18">
        <f t="shared" si="291"/>
        <v>1852.4480000000913</v>
      </c>
      <c r="LZ16" s="18">
        <f t="shared" si="291"/>
        <v>2001.7139999997744</v>
      </c>
      <c r="MA16" s="18">
        <f t="shared" si="291"/>
        <v>2075.4700000001176</v>
      </c>
      <c r="MB16" s="18">
        <f t="shared" si="291"/>
        <v>2003.3389999998326</v>
      </c>
      <c r="MC16" s="18">
        <f t="shared" si="291"/>
        <v>2053.6290000001609</v>
      </c>
      <c r="MD16" s="18">
        <f t="shared" si="291"/>
        <v>2221.3950000001059</v>
      </c>
      <c r="ME16" s="18">
        <f t="shared" si="291"/>
        <v>1730.2049999999581</v>
      </c>
      <c r="MF16" s="18">
        <f t="shared" si="291"/>
        <v>1939.2749999998778</v>
      </c>
      <c r="MG16" s="18">
        <f t="shared" si="291"/>
        <v>1558.4469999999856</v>
      </c>
      <c r="MH16" s="18">
        <f t="shared" si="291"/>
        <v>1938.935000000085</v>
      </c>
      <c r="MI16" s="18">
        <f t="shared" si="291"/>
        <v>1951.0820000000822</v>
      </c>
      <c r="MJ16" s="18">
        <f t="shared" si="291"/>
        <v>1801.0859999998647</v>
      </c>
      <c r="MK16" s="127">
        <v>0</v>
      </c>
      <c r="ML16" s="18">
        <f t="shared" ref="ML16:NP16" si="292">ML15+ML12+ML9+ML6</f>
        <v>2189.9460000000545</v>
      </c>
      <c r="MM16" s="18">
        <f t="shared" si="292"/>
        <v>1930.987999999983</v>
      </c>
      <c r="MN16" s="18">
        <f t="shared" si="292"/>
        <v>1757.3420000000624</v>
      </c>
      <c r="MO16" s="18">
        <f t="shared" si="292"/>
        <v>1829.3569999999891</v>
      </c>
      <c r="MP16" s="18">
        <f t="shared" si="292"/>
        <v>2055.3739999998943</v>
      </c>
      <c r="MQ16" s="18">
        <f t="shared" si="292"/>
        <v>1915.3080000001064</v>
      </c>
      <c r="MR16" s="18">
        <f t="shared" si="292"/>
        <v>1987.0559999998077</v>
      </c>
      <c r="MS16" s="18">
        <f t="shared" si="292"/>
        <v>1889.9200000001001</v>
      </c>
      <c r="MT16" s="18">
        <f t="shared" si="292"/>
        <v>1723.8770000000368</v>
      </c>
      <c r="MU16" s="18">
        <f t="shared" si="292"/>
        <v>1554.0849999999045</v>
      </c>
      <c r="MV16" s="18">
        <f t="shared" si="292"/>
        <v>1788.7060000001511</v>
      </c>
      <c r="MW16" s="18">
        <f t="shared" si="292"/>
        <v>1930.424999999901</v>
      </c>
      <c r="MX16" s="18">
        <f t="shared" si="292"/>
        <v>2385.9340000000084</v>
      </c>
      <c r="MY16" s="18">
        <f t="shared" si="292"/>
        <v>1500.3539999999339</v>
      </c>
      <c r="MZ16" s="18">
        <f t="shared" si="292"/>
        <v>1628.730000000156</v>
      </c>
      <c r="NA16" s="18">
        <f t="shared" si="292"/>
        <v>2012.104999999865</v>
      </c>
      <c r="NB16" s="18">
        <f t="shared" si="292"/>
        <v>1663.139000000112</v>
      </c>
      <c r="NC16" s="18">
        <f t="shared" si="292"/>
        <v>1976.9399999998277</v>
      </c>
      <c r="ND16" s="18">
        <f t="shared" si="292"/>
        <v>1855.2760000001872</v>
      </c>
      <c r="NE16" s="18">
        <f t="shared" si="292"/>
        <v>2026.1699999998964</v>
      </c>
      <c r="NF16" s="18">
        <f t="shared" si="292"/>
        <v>1539.9280000000144</v>
      </c>
      <c r="NG16" s="18">
        <f t="shared" si="292"/>
        <v>1643.5639999999257</v>
      </c>
      <c r="NH16" s="18">
        <f t="shared" si="292"/>
        <v>1532.8440000002447</v>
      </c>
      <c r="NI16" s="18">
        <f t="shared" si="292"/>
        <v>1550.4629999998142</v>
      </c>
      <c r="NJ16" s="18">
        <f t="shared" si="292"/>
        <v>1783.8890000000829</v>
      </c>
      <c r="NK16" s="18">
        <f t="shared" si="292"/>
        <v>1930.5329999998503</v>
      </c>
      <c r="NL16" s="18">
        <f t="shared" si="292"/>
        <v>2284.4120000000403</v>
      </c>
      <c r="NM16" s="18">
        <f t="shared" si="292"/>
        <v>1425.4040000002133</v>
      </c>
      <c r="NN16" s="18">
        <f t="shared" si="292"/>
        <v>1958.9449999998324</v>
      </c>
      <c r="NO16" s="18">
        <f t="shared" si="292"/>
        <v>1721.1140000000887</v>
      </c>
      <c r="NP16" s="18">
        <f t="shared" si="292"/>
        <v>1370.8809999999357</v>
      </c>
      <c r="NQ16" s="127">
        <v>0</v>
      </c>
      <c r="NR16" s="18">
        <f t="shared" ref="NR16:OV16" si="293">NR15+NR12+NR9+NR6</f>
        <v>1796.6559999999299</v>
      </c>
      <c r="NS16" s="18">
        <f t="shared" si="293"/>
        <v>1774.2400000001071</v>
      </c>
      <c r="NT16" s="18">
        <f t="shared" si="293"/>
        <v>2174.3570000000473</v>
      </c>
      <c r="NU16" s="18">
        <f t="shared" si="293"/>
        <v>1755.2449999999953</v>
      </c>
      <c r="NV16" s="18">
        <f t="shared" si="293"/>
        <v>1860.8999999998778</v>
      </c>
      <c r="NW16" s="18">
        <f t="shared" si="293"/>
        <v>2223.0799999999581</v>
      </c>
      <c r="NX16" s="18">
        <f t="shared" si="293"/>
        <v>1671.3940000000875</v>
      </c>
      <c r="NY16" s="18">
        <f t="shared" si="293"/>
        <v>1891.2829999999667</v>
      </c>
      <c r="NZ16" s="18">
        <f t="shared" si="293"/>
        <v>2064.8940000000293</v>
      </c>
      <c r="OA16" s="18">
        <f t="shared" si="293"/>
        <v>2098.3849999999511</v>
      </c>
      <c r="OB16" s="18">
        <f t="shared" si="293"/>
        <v>1737.5220000000554</v>
      </c>
      <c r="OC16" s="18">
        <f t="shared" si="293"/>
        <v>1781.3280000000377</v>
      </c>
      <c r="OD16" s="18">
        <f t="shared" si="293"/>
        <v>1911.2009999999427</v>
      </c>
      <c r="OE16" s="18">
        <f t="shared" si="293"/>
        <v>1956.721000000136</v>
      </c>
      <c r="OF16" s="18">
        <f t="shared" si="293"/>
        <v>1893.0019999997749</v>
      </c>
      <c r="OG16" s="18">
        <f t="shared" si="293"/>
        <v>2056.5920000001497</v>
      </c>
      <c r="OH16" s="18">
        <f t="shared" si="293"/>
        <v>2139.1030000000319</v>
      </c>
      <c r="OI16" s="18">
        <f t="shared" si="293"/>
        <v>1757.4399999998277</v>
      </c>
      <c r="OJ16" s="18">
        <f t="shared" si="293"/>
        <v>1990.25400000019</v>
      </c>
      <c r="OK16" s="18">
        <f t="shared" si="293"/>
        <v>1814.5350000000035</v>
      </c>
      <c r="OL16" s="18">
        <f t="shared" si="293"/>
        <v>1708.6169999998529</v>
      </c>
      <c r="OM16" s="18">
        <f t="shared" si="293"/>
        <v>1929.0230000001029</v>
      </c>
      <c r="ON16" s="18">
        <f t="shared" si="293"/>
        <v>1793.3760000000766</v>
      </c>
      <c r="OO16" s="18">
        <f t="shared" si="293"/>
        <v>2031.791999999783</v>
      </c>
      <c r="OP16" s="18">
        <f t="shared" si="293"/>
        <v>1376.5460000000021</v>
      </c>
      <c r="OQ16" s="18">
        <f t="shared" si="293"/>
        <v>1799.1449999998731</v>
      </c>
      <c r="OR16" s="18">
        <f t="shared" si="293"/>
        <v>1868.1030000002647</v>
      </c>
      <c r="OS16" s="18">
        <f t="shared" si="293"/>
        <v>1605.4269999999669</v>
      </c>
      <c r="OT16" s="18">
        <f t="shared" si="293"/>
        <v>1958.8889999999956</v>
      </c>
      <c r="OU16" s="18">
        <f t="shared" si="293"/>
        <v>1831.176999999996</v>
      </c>
      <c r="OV16" s="18">
        <f t="shared" si="293"/>
        <v>2132.3409999998403</v>
      </c>
      <c r="OW16" s="127">
        <v>0</v>
      </c>
      <c r="OX16" s="18">
        <f t="shared" ref="OX16:QA16" si="294">OX15+OX12+OX9+OX6</f>
        <v>1708.6050000001269</v>
      </c>
      <c r="OY16" s="18">
        <f t="shared" si="294"/>
        <v>1904.4049999999988</v>
      </c>
      <c r="OZ16" s="18">
        <f t="shared" si="294"/>
        <v>1840.9350000000268</v>
      </c>
      <c r="PA16" s="18">
        <f t="shared" si="294"/>
        <v>1758.3039999999455</v>
      </c>
      <c r="PB16" s="18">
        <f t="shared" si="294"/>
        <v>1832.625</v>
      </c>
      <c r="PC16" s="18">
        <f t="shared" si="294"/>
        <v>1983.163000000146</v>
      </c>
      <c r="PD16" s="18">
        <f t="shared" si="294"/>
        <v>1988.4119999998074</v>
      </c>
      <c r="PE16" s="18">
        <f t="shared" si="294"/>
        <v>1730.6600000002072</v>
      </c>
      <c r="PF16" s="18">
        <f t="shared" si="294"/>
        <v>2068.5279999998165</v>
      </c>
      <c r="PG16" s="18">
        <f t="shared" si="294"/>
        <v>1730.7260000001406</v>
      </c>
      <c r="PH16" s="18">
        <f t="shared" si="294"/>
        <v>1583.216999999946</v>
      </c>
      <c r="PI16" s="18">
        <f t="shared" si="294"/>
        <v>1600.0890000000072</v>
      </c>
      <c r="PJ16" s="18">
        <f t="shared" si="294"/>
        <v>2133.1889999999548</v>
      </c>
      <c r="PK16" s="18">
        <f t="shared" si="294"/>
        <v>1990.9460000000836</v>
      </c>
      <c r="PL16" s="18">
        <f t="shared" si="294"/>
        <v>1539.9779999999446</v>
      </c>
      <c r="PM16" s="18">
        <f t="shared" si="294"/>
        <v>1999.1449999999895</v>
      </c>
      <c r="PN16" s="18">
        <f t="shared" si="294"/>
        <v>1859.939999999915</v>
      </c>
      <c r="PO16" s="18">
        <f t="shared" si="294"/>
        <v>1581.5640000001877</v>
      </c>
      <c r="PP16" s="18">
        <f t="shared" si="294"/>
        <v>1531.9119999999239</v>
      </c>
      <c r="PQ16" s="18">
        <f t="shared" si="294"/>
        <v>1633.2209999999905</v>
      </c>
      <c r="PR16" s="18">
        <f t="shared" si="294"/>
        <v>1428.4089999998687</v>
      </c>
      <c r="PS16" s="18">
        <f t="shared" si="294"/>
        <v>1351.6670000001614</v>
      </c>
      <c r="PT16" s="18">
        <f t="shared" si="294"/>
        <v>1568.3809999998775</v>
      </c>
      <c r="PU16" s="18">
        <f t="shared" si="294"/>
        <v>1708.9530000000377</v>
      </c>
      <c r="PV16" s="18">
        <f t="shared" si="294"/>
        <v>1363.2260000000824</v>
      </c>
      <c r="PW16" s="18">
        <f t="shared" si="294"/>
        <v>1325.7109999999229</v>
      </c>
      <c r="PX16" s="18">
        <f t="shared" si="294"/>
        <v>1754.0229999998992</v>
      </c>
      <c r="PY16" s="18">
        <f t="shared" si="294"/>
        <v>1454.5680000001157</v>
      </c>
      <c r="PZ16" s="18">
        <f t="shared" si="294"/>
        <v>897.55300000004354</v>
      </c>
      <c r="QA16" s="18">
        <f t="shared" si="294"/>
        <v>1691.3589999998803</v>
      </c>
      <c r="QB16" s="127">
        <v>0</v>
      </c>
      <c r="QC16" s="18">
        <f t="shared" ref="QC16:RG16" si="295">QC15+QC12+QC9+QC6</f>
        <v>1430.0030000000843</v>
      </c>
      <c r="QD16" s="18">
        <f t="shared" si="295"/>
        <v>1355.8379999999306</v>
      </c>
      <c r="QE16" s="18">
        <f t="shared" si="295"/>
        <v>1600.4890000001469</v>
      </c>
      <c r="QF16" s="18">
        <f t="shared" si="295"/>
        <v>2190.2709999999206</v>
      </c>
      <c r="QG16" s="18">
        <f t="shared" si="295"/>
        <v>2226.8630000000121</v>
      </c>
      <c r="QH16" s="18">
        <f t="shared" si="295"/>
        <v>1656.7460000000428</v>
      </c>
      <c r="QI16" s="18">
        <f t="shared" si="295"/>
        <v>2188.4540000000561</v>
      </c>
      <c r="QJ16" s="18">
        <f t="shared" si="295"/>
        <v>1742.899999999936</v>
      </c>
      <c r="QK16" s="18">
        <f t="shared" si="295"/>
        <v>1769.8970000000263</v>
      </c>
      <c r="QL16" s="18">
        <f t="shared" si="295"/>
        <v>1747.1439999998547</v>
      </c>
      <c r="QM16" s="18">
        <f t="shared" si="295"/>
        <v>2121.7240000000456</v>
      </c>
      <c r="QN16" s="18">
        <f t="shared" si="295"/>
        <v>1979.940000000177</v>
      </c>
      <c r="QO16" s="18">
        <f t="shared" si="295"/>
        <v>1836.8869999999006</v>
      </c>
      <c r="QP16" s="18">
        <f t="shared" si="295"/>
        <v>2082.4369999999763</v>
      </c>
      <c r="QQ16" s="18">
        <f t="shared" si="295"/>
        <v>1832.1859999999288</v>
      </c>
      <c r="QR16" s="18">
        <f t="shared" si="295"/>
        <v>1457.5070000000997</v>
      </c>
      <c r="QS16" s="18">
        <f t="shared" si="295"/>
        <v>1641.4900000000489</v>
      </c>
      <c r="QT16" s="18">
        <f t="shared" si="295"/>
        <v>2025.4279999998398</v>
      </c>
      <c r="QU16" s="18">
        <f t="shared" si="295"/>
        <v>1880.3940000001458</v>
      </c>
      <c r="QV16" s="18">
        <f t="shared" si="295"/>
        <v>1635.5809999999474</v>
      </c>
      <c r="QW16" s="18">
        <f t="shared" si="295"/>
        <v>1584.585999999952</v>
      </c>
      <c r="QX16" s="18">
        <f t="shared" si="295"/>
        <v>1446.8319999999367</v>
      </c>
      <c r="QY16" s="18">
        <f t="shared" si="295"/>
        <v>1617.6710000002058</v>
      </c>
      <c r="QZ16" s="18">
        <f t="shared" si="295"/>
        <v>1549.0139999999083</v>
      </c>
      <c r="RA16" s="18">
        <f t="shared" si="295"/>
        <v>2260.2139999998617</v>
      </c>
      <c r="RB16" s="18">
        <f t="shared" si="295"/>
        <v>1793.377000000095</v>
      </c>
      <c r="RC16" s="18">
        <f t="shared" si="295"/>
        <v>1448.9440000000759</v>
      </c>
      <c r="RD16" s="18">
        <f t="shared" si="295"/>
        <v>1562.6839999998338</v>
      </c>
      <c r="RE16" s="18">
        <f t="shared" si="295"/>
        <v>1636.0439999999944</v>
      </c>
      <c r="RF16" s="18">
        <f t="shared" si="295"/>
        <v>1260.963000000047</v>
      </c>
      <c r="RG16" s="18">
        <f t="shared" si="295"/>
        <v>1750.5970000000088</v>
      </c>
      <c r="RH16" s="127">
        <v>0</v>
      </c>
      <c r="RI16" s="18">
        <f t="shared" ref="RI16:SL16" si="296">RI15+RI12+RI9+RI6</f>
        <v>1904.6920000001555</v>
      </c>
      <c r="RJ16" s="18">
        <f t="shared" si="296"/>
        <v>1925.0999999999185</v>
      </c>
      <c r="RK16" s="18">
        <f t="shared" si="296"/>
        <v>1624.1710000000312</v>
      </c>
      <c r="RL16" s="18">
        <f t="shared" si="296"/>
        <v>1932.5999999998603</v>
      </c>
      <c r="RM16" s="18">
        <f t="shared" si="296"/>
        <v>1552.00400000019</v>
      </c>
      <c r="RN16" s="18">
        <f t="shared" si="296"/>
        <v>1430.9859999999753</v>
      </c>
      <c r="RO16" s="18">
        <f t="shared" si="296"/>
        <v>1268.9919999997946</v>
      </c>
      <c r="RP16" s="18">
        <f t="shared" si="296"/>
        <v>1723.6960000001127</v>
      </c>
      <c r="RQ16" s="18">
        <f t="shared" si="296"/>
        <v>1751.8550000000396</v>
      </c>
      <c r="RR16" s="18">
        <f t="shared" si="296"/>
        <v>1595.4299999999348</v>
      </c>
      <c r="RS16" s="18">
        <f t="shared" si="296"/>
        <v>1642.0590000000084</v>
      </c>
      <c r="RT16" s="18">
        <f t="shared" si="296"/>
        <v>1505.8860000000568</v>
      </c>
      <c r="RU16" s="18">
        <f t="shared" si="296"/>
        <v>1612.9749999999185</v>
      </c>
      <c r="RV16" s="18">
        <f t="shared" si="296"/>
        <v>1332.8740000001271</v>
      </c>
      <c r="RW16" s="18">
        <f t="shared" si="296"/>
        <v>1709.7089999999735</v>
      </c>
      <c r="RX16" s="18">
        <f t="shared" si="296"/>
        <v>1660.076999999932</v>
      </c>
      <c r="RY16" s="18">
        <f t="shared" si="296"/>
        <v>1506.8759999999893</v>
      </c>
      <c r="RZ16" s="18">
        <f t="shared" si="296"/>
        <v>1612.3800000001211</v>
      </c>
      <c r="SA16" s="18">
        <f t="shared" si="296"/>
        <v>1940.6869999998016</v>
      </c>
      <c r="SB16" s="18">
        <f t="shared" si="296"/>
        <v>1566.283000000054</v>
      </c>
      <c r="SC16" s="18">
        <f t="shared" si="296"/>
        <v>1482.7520000000368</v>
      </c>
      <c r="SD16" s="18">
        <f t="shared" si="296"/>
        <v>1950.2210000000196</v>
      </c>
      <c r="SE16" s="18">
        <f t="shared" si="296"/>
        <v>1969.335000000021</v>
      </c>
      <c r="SF16" s="18">
        <f t="shared" si="296"/>
        <v>1482.914000000048</v>
      </c>
      <c r="SG16" s="18">
        <f t="shared" si="296"/>
        <v>1685.4500000000116</v>
      </c>
      <c r="SH16" s="18">
        <f t="shared" si="296"/>
        <v>1768.2969999998459</v>
      </c>
      <c r="SI16" s="18">
        <f t="shared" si="296"/>
        <v>1633.8840000000782</v>
      </c>
      <c r="SJ16" s="18">
        <f t="shared" si="296"/>
        <v>1759.015000000014</v>
      </c>
      <c r="SK16" s="18">
        <f t="shared" si="296"/>
        <v>1810.9949999998789</v>
      </c>
      <c r="SL16" s="18">
        <f t="shared" si="296"/>
        <v>2096.5130000001518</v>
      </c>
      <c r="SM16" s="127">
        <v>0</v>
      </c>
      <c r="SN16" s="18">
        <f t="shared" ref="SN16:TR16" si="297">SN15+SN12+SN9+SN6</f>
        <v>1580.7300000000978</v>
      </c>
      <c r="SO16" s="18">
        <f t="shared" si="297"/>
        <v>1789.9479999998002</v>
      </c>
      <c r="SP16" s="18">
        <f t="shared" si="297"/>
        <v>1563.1090000001132</v>
      </c>
      <c r="SQ16" s="18">
        <f t="shared" si="297"/>
        <v>1730.705999999831</v>
      </c>
      <c r="SR16" s="18">
        <f t="shared" si="297"/>
        <v>1541.7430000001332</v>
      </c>
      <c r="SS16" s="18">
        <f t="shared" si="297"/>
        <v>1816.4240000001155</v>
      </c>
      <c r="ST16" s="18">
        <f t="shared" si="297"/>
        <v>2153.6219999997993</v>
      </c>
      <c r="SU16" s="18">
        <f t="shared" si="297"/>
        <v>1684.4840000000549</v>
      </c>
      <c r="SV16" s="18">
        <f t="shared" si="297"/>
        <v>1921.4769999999553</v>
      </c>
      <c r="SW16" s="18">
        <f t="shared" si="297"/>
        <v>1648.5100000000675</v>
      </c>
      <c r="SX16" s="18">
        <f t="shared" si="297"/>
        <v>1731.8409999998985</v>
      </c>
      <c r="SY16" s="18">
        <f t="shared" si="297"/>
        <v>1788.4520000001066</v>
      </c>
      <c r="SZ16" s="18">
        <f t="shared" si="297"/>
        <v>2036.8309999998892</v>
      </c>
      <c r="TA16" s="18">
        <f t="shared" si="297"/>
        <v>1955.2530000003171</v>
      </c>
      <c r="TB16" s="18">
        <f t="shared" si="297"/>
        <v>1576.808999999892</v>
      </c>
      <c r="TC16" s="18">
        <f t="shared" si="297"/>
        <v>1711.7679999998072</v>
      </c>
      <c r="TD16" s="18">
        <f t="shared" si="297"/>
        <v>1858.5290000001551</v>
      </c>
      <c r="TE16" s="18">
        <f t="shared" si="297"/>
        <v>1776.4129999998841</v>
      </c>
      <c r="TF16" s="18">
        <f t="shared" si="297"/>
        <v>1945.354999999865</v>
      </c>
      <c r="TG16" s="18">
        <f t="shared" si="297"/>
        <v>1949.184000000183</v>
      </c>
      <c r="TH16" s="18">
        <f t="shared" si="297"/>
        <v>2099.7470000000321</v>
      </c>
      <c r="TI16" s="18">
        <f t="shared" si="297"/>
        <v>2053.8539999999339</v>
      </c>
      <c r="TJ16" s="18">
        <f t="shared" si="297"/>
        <v>2112.3130000000237</v>
      </c>
      <c r="TK16" s="18">
        <f t="shared" si="297"/>
        <v>1994.2679999998072</v>
      </c>
      <c r="TL16" s="18">
        <f t="shared" si="297"/>
        <v>1599.6340000000782</v>
      </c>
      <c r="TM16" s="18">
        <f t="shared" si="297"/>
        <v>1476.3050000000512</v>
      </c>
      <c r="TN16" s="18">
        <f t="shared" si="297"/>
        <v>1619.7360000000917</v>
      </c>
      <c r="TO16" s="18">
        <f t="shared" si="297"/>
        <v>1626.8630000000703</v>
      </c>
      <c r="TP16" s="18">
        <f t="shared" si="297"/>
        <v>1368.8849999998929</v>
      </c>
      <c r="TQ16" s="18">
        <f t="shared" si="297"/>
        <v>1640.7190000001574</v>
      </c>
      <c r="TR16" s="18">
        <f t="shared" si="297"/>
        <v>1834.3739999997779</v>
      </c>
      <c r="TS16" s="127">
        <v>0</v>
      </c>
      <c r="TT16" s="18">
        <f t="shared" ref="TT16:UX16" si="298">TT15+TT12+TT9+TT6</f>
        <v>1300.9000000001979</v>
      </c>
      <c r="TU16" s="18">
        <f t="shared" si="298"/>
        <v>1437.359999999986</v>
      </c>
      <c r="TV16" s="18">
        <f t="shared" si="298"/>
        <v>1577.9369999999763</v>
      </c>
      <c r="TW16" s="18">
        <f t="shared" si="298"/>
        <v>1688.1179999997257</v>
      </c>
      <c r="TX16" s="18">
        <f t="shared" si="298"/>
        <v>1400.191000000108</v>
      </c>
      <c r="TY16" s="18">
        <f t="shared" si="298"/>
        <v>1761.0659999999916</v>
      </c>
      <c r="TZ16" s="18">
        <f t="shared" si="298"/>
        <v>1866.7260000000824</v>
      </c>
      <c r="UA16" s="18">
        <f t="shared" si="298"/>
        <v>1658.0889999999781</v>
      </c>
      <c r="UB16" s="18">
        <f t="shared" si="298"/>
        <v>1652.0050000002375</v>
      </c>
      <c r="UC16" s="18">
        <f t="shared" si="298"/>
        <v>1789.332999999926</v>
      </c>
      <c r="UD16" s="18">
        <f t="shared" si="298"/>
        <v>1971.1609999999637</v>
      </c>
      <c r="UE16" s="18">
        <f t="shared" si="298"/>
        <v>1471.3449999999721</v>
      </c>
      <c r="UF16" s="18">
        <f t="shared" si="298"/>
        <v>1706.6729999999516</v>
      </c>
      <c r="UG16" s="18">
        <f t="shared" si="298"/>
        <v>1822.9309999999241</v>
      </c>
      <c r="UH16" s="18">
        <f t="shared" si="298"/>
        <v>1826.0230000000447</v>
      </c>
      <c r="UI16" s="18">
        <f t="shared" si="298"/>
        <v>1746.9479999999749</v>
      </c>
      <c r="UJ16" s="18">
        <f t="shared" si="298"/>
        <v>1906.9089999999269</v>
      </c>
      <c r="UK16" s="18">
        <f t="shared" si="298"/>
        <v>1910.3410000001313</v>
      </c>
      <c r="UL16" s="18">
        <f t="shared" si="298"/>
        <v>1845.8789999999572</v>
      </c>
      <c r="UM16" s="18">
        <f t="shared" si="298"/>
        <v>1554.0419999999576</v>
      </c>
      <c r="UN16" s="18">
        <f t="shared" si="298"/>
        <v>1597.2140000000945</v>
      </c>
      <c r="UO16" s="18">
        <f t="shared" si="298"/>
        <v>1710.963000000047</v>
      </c>
      <c r="UP16" s="18">
        <f t="shared" si="298"/>
        <v>1730.8889999998501</v>
      </c>
      <c r="UQ16" s="18">
        <f t="shared" si="298"/>
        <v>2041.6840000002412</v>
      </c>
      <c r="UR16" s="18">
        <f t="shared" si="298"/>
        <v>1739.2389999997104</v>
      </c>
      <c r="US16" s="18">
        <f t="shared" si="298"/>
        <v>1645.480000000156</v>
      </c>
      <c r="UT16" s="18">
        <f t="shared" si="298"/>
        <v>1878.7589999999618</v>
      </c>
      <c r="UU16" s="18">
        <f t="shared" si="298"/>
        <v>1635.3420000000624</v>
      </c>
      <c r="UV16" s="18">
        <f t="shared" si="298"/>
        <v>1614.9089999998687</v>
      </c>
      <c r="UW16" s="18">
        <f t="shared" si="298"/>
        <v>1724.1419999999925</v>
      </c>
      <c r="UX16" s="18">
        <f t="shared" si="298"/>
        <v>1889.8820000000997</v>
      </c>
      <c r="UY16" s="127">
        <v>0</v>
      </c>
      <c r="UZ16" s="18">
        <f t="shared" ref="UZ16:WA16" si="299">UZ15+UZ12+UZ9+UZ6</f>
        <v>1946.0080000000307</v>
      </c>
      <c r="VA16" s="18">
        <f t="shared" si="299"/>
        <v>1672.0379999999423</v>
      </c>
      <c r="VB16" s="18">
        <f t="shared" si="299"/>
        <v>1948.6829999999609</v>
      </c>
      <c r="VC16" s="18">
        <f t="shared" si="299"/>
        <v>1589.5559999999823</v>
      </c>
      <c r="VD16" s="18">
        <f t="shared" si="299"/>
        <v>1808.3940000000875</v>
      </c>
      <c r="VE16" s="18">
        <f t="shared" si="299"/>
        <v>1768.030999999959</v>
      </c>
      <c r="VF16" s="18">
        <f t="shared" si="299"/>
        <v>1839.905999999959</v>
      </c>
      <c r="VG16" s="18">
        <f t="shared" si="299"/>
        <v>1760.939000000013</v>
      </c>
      <c r="VH16" s="18">
        <f t="shared" si="299"/>
        <v>1635.2670000000508</v>
      </c>
      <c r="VI16" s="18">
        <f t="shared" si="299"/>
        <v>1736.6339999999036</v>
      </c>
      <c r="VJ16" s="18">
        <f t="shared" si="299"/>
        <v>1554.0409999999683</v>
      </c>
      <c r="VK16" s="18">
        <f t="shared" si="299"/>
        <v>1658.1520000000601</v>
      </c>
      <c r="VL16" s="18">
        <f t="shared" si="299"/>
        <v>1658.9310000001569</v>
      </c>
      <c r="VM16" s="18">
        <f t="shared" si="299"/>
        <v>2338.5179999998072</v>
      </c>
      <c r="VN16" s="18">
        <f t="shared" si="299"/>
        <v>1411.9130000001751</v>
      </c>
      <c r="VO16" s="18">
        <f t="shared" si="299"/>
        <v>1946.9229999996605</v>
      </c>
      <c r="VP16" s="18">
        <f t="shared" si="299"/>
        <v>1883.7350000002189</v>
      </c>
      <c r="VQ16" s="18">
        <f t="shared" si="299"/>
        <v>1636.2119999999413</v>
      </c>
      <c r="VR16" s="18">
        <f t="shared" si="299"/>
        <v>1670.5909999999567</v>
      </c>
      <c r="VS16" s="18">
        <f t="shared" si="299"/>
        <v>1670.2100000001374</v>
      </c>
      <c r="VT16" s="18">
        <f t="shared" si="299"/>
        <v>1679.9019999999437</v>
      </c>
      <c r="VU16" s="18">
        <f t="shared" si="299"/>
        <v>2010.1099999999278</v>
      </c>
      <c r="VV16" s="18">
        <f t="shared" si="299"/>
        <v>1532.975999999966</v>
      </c>
      <c r="VW16" s="18">
        <f t="shared" si="299"/>
        <v>1641.7560000001686</v>
      </c>
      <c r="VX16" s="18">
        <f t="shared" si="299"/>
        <v>1675.7359999999171</v>
      </c>
      <c r="VY16" s="18">
        <f t="shared" si="299"/>
        <v>1561.8079999999609</v>
      </c>
      <c r="VZ16" s="18">
        <f t="shared" si="299"/>
        <v>1863.8329999999842</v>
      </c>
      <c r="WA16" s="18">
        <f t="shared" si="299"/>
        <v>1638.2710000001243</v>
      </c>
      <c r="WB16" s="127">
        <v>0</v>
      </c>
      <c r="WC16" s="18">
        <f t="shared" ref="WC16:XG16" si="300">WC15+WC12+WC9+WC6</f>
        <v>1858.3310000000056</v>
      </c>
      <c r="WD16" s="18">
        <f t="shared" si="300"/>
        <v>1490.5630000000237</v>
      </c>
      <c r="WE16" s="18">
        <f t="shared" si="300"/>
        <v>1697.769999999844</v>
      </c>
      <c r="WF16" s="18">
        <f t="shared" si="300"/>
        <v>1507.2920000002487</v>
      </c>
      <c r="WG16" s="18">
        <f t="shared" si="300"/>
        <v>1342.3209999998799</v>
      </c>
      <c r="WH16" s="18">
        <f t="shared" si="300"/>
        <v>1623.9980000001378</v>
      </c>
      <c r="WI16" s="18">
        <f t="shared" si="300"/>
        <v>1698.6249999997672</v>
      </c>
      <c r="WJ16" s="18">
        <f t="shared" si="300"/>
        <v>1523.3960000000661</v>
      </c>
      <c r="WK16" s="18">
        <f t="shared" si="300"/>
        <v>1598.8630000000703</v>
      </c>
      <c r="WL16" s="18">
        <f t="shared" si="300"/>
        <v>1801.39300000004</v>
      </c>
      <c r="WM16" s="18">
        <f t="shared" si="300"/>
        <v>1860.9370000001509</v>
      </c>
      <c r="WN16" s="18">
        <f t="shared" si="300"/>
        <v>1461.5380000000005</v>
      </c>
      <c r="WO16" s="18">
        <f t="shared" si="300"/>
        <v>1456.49099999998</v>
      </c>
      <c r="WP16" s="18">
        <f t="shared" si="300"/>
        <v>1699.8959999997169</v>
      </c>
      <c r="WQ16" s="18">
        <f t="shared" si="300"/>
        <v>1906.3979999999283</v>
      </c>
      <c r="WR16" s="18">
        <f t="shared" si="300"/>
        <v>1401.0950000000303</v>
      </c>
      <c r="WS16" s="18">
        <f t="shared" si="300"/>
        <v>1423.5599999999977</v>
      </c>
      <c r="WT16" s="18">
        <f t="shared" si="300"/>
        <v>1489.9049999999115</v>
      </c>
      <c r="WU16" s="18">
        <f t="shared" si="300"/>
        <v>1627.8340000003227</v>
      </c>
      <c r="WV16" s="18">
        <f t="shared" si="300"/>
        <v>1537.9129999998841</v>
      </c>
      <c r="WW16" s="18">
        <f t="shared" si="300"/>
        <v>1545.9949999999371</v>
      </c>
      <c r="WX16" s="18">
        <f t="shared" si="300"/>
        <v>1818.7750000000233</v>
      </c>
      <c r="WY16" s="18">
        <f t="shared" si="300"/>
        <v>1681.4139999999315</v>
      </c>
      <c r="WZ16" s="18">
        <f t="shared" si="300"/>
        <v>1708.1340000001364</v>
      </c>
      <c r="XA16" s="18">
        <f t="shared" si="300"/>
        <v>1547.2270000000717</v>
      </c>
      <c r="XB16" s="18">
        <f t="shared" si="300"/>
        <v>1529.2679999999818</v>
      </c>
      <c r="XC16" s="18">
        <f t="shared" si="300"/>
        <v>1871.7970000000787</v>
      </c>
      <c r="XD16" s="18">
        <f t="shared" si="300"/>
        <v>2079.9039999998058</v>
      </c>
      <c r="XE16" s="18">
        <f t="shared" si="300"/>
        <v>2021.9689999999828</v>
      </c>
      <c r="XF16" s="18">
        <f t="shared" si="300"/>
        <v>1703.8580000001821</v>
      </c>
      <c r="XG16" s="18">
        <f t="shared" si="300"/>
        <v>1341.5449999999255</v>
      </c>
      <c r="XH16" s="127">
        <v>0</v>
      </c>
      <c r="XI16" s="18">
        <f t="shared" ref="XI16:YL16" si="301">XI15+XI12+XI9+XI6</f>
        <v>1692.2409999998054</v>
      </c>
      <c r="XJ16" s="18">
        <f t="shared" si="301"/>
        <v>1506.2030000000377</v>
      </c>
      <c r="XK16" s="18">
        <f t="shared" si="301"/>
        <v>1711.5090000000782</v>
      </c>
      <c r="XL16" s="18">
        <f t="shared" si="301"/>
        <v>1680.3559999999707</v>
      </c>
      <c r="XM16" s="18">
        <f t="shared" si="301"/>
        <v>1820.1860000001034</v>
      </c>
      <c r="XN16" s="18">
        <f t="shared" si="301"/>
        <v>1590.1610000000801</v>
      </c>
      <c r="XO16" s="18">
        <f t="shared" si="301"/>
        <v>1904.0979999997653</v>
      </c>
      <c r="XP16" s="18">
        <f t="shared" si="301"/>
        <v>1588.1199999999953</v>
      </c>
      <c r="XQ16" s="18">
        <f t="shared" si="301"/>
        <v>1520.6850000001141</v>
      </c>
      <c r="XR16" s="18">
        <f t="shared" si="301"/>
        <v>1763.6979999999749</v>
      </c>
      <c r="XS16" s="18">
        <f t="shared" si="301"/>
        <v>1899.9039999999804</v>
      </c>
      <c r="XT16" s="18">
        <f t="shared" si="301"/>
        <v>1826.386000000115</v>
      </c>
      <c r="XU16" s="18">
        <f t="shared" si="301"/>
        <v>1692.4009999998379</v>
      </c>
      <c r="XV16" s="18">
        <f t="shared" si="301"/>
        <v>1598.5230000000447</v>
      </c>
      <c r="XW16" s="18">
        <f t="shared" si="301"/>
        <v>1693.7560000001104</v>
      </c>
      <c r="XX16" s="18">
        <f t="shared" si="301"/>
        <v>1913.1249999997672</v>
      </c>
      <c r="XY16" s="18">
        <f t="shared" si="301"/>
        <v>1796.4920000001439</v>
      </c>
      <c r="XZ16" s="18">
        <f t="shared" si="301"/>
        <v>1646.5489999999409</v>
      </c>
      <c r="YA16" s="18">
        <f t="shared" si="301"/>
        <v>2097.1949999999488</v>
      </c>
      <c r="YB16" s="18">
        <f t="shared" si="301"/>
        <v>1299.4640000001527</v>
      </c>
      <c r="YC16" s="18">
        <f t="shared" si="301"/>
        <v>1657.9019999998854</v>
      </c>
      <c r="YD16" s="18">
        <f t="shared" si="301"/>
        <v>1626.0690000000759</v>
      </c>
      <c r="YE16" s="18">
        <f t="shared" si="301"/>
        <v>1460.0790000002016</v>
      </c>
      <c r="YF16" s="18">
        <f t="shared" si="301"/>
        <v>1800.1049999997485</v>
      </c>
      <c r="YG16" s="18">
        <f t="shared" si="301"/>
        <v>1998.8780000000261</v>
      </c>
      <c r="YH16" s="18">
        <f t="shared" si="301"/>
        <v>1835.5479999998934</v>
      </c>
      <c r="YI16" s="18">
        <f t="shared" si="301"/>
        <v>1678.8930000002147</v>
      </c>
      <c r="YJ16" s="18">
        <f t="shared" si="301"/>
        <v>1550.3559999997378</v>
      </c>
      <c r="YK16" s="18">
        <f t="shared" si="301"/>
        <v>1664.5949999999721</v>
      </c>
      <c r="YL16" s="18">
        <f t="shared" si="301"/>
        <v>1649.1830000002519</v>
      </c>
      <c r="YM16" s="127">
        <v>0</v>
      </c>
      <c r="YN16" s="18">
        <f t="shared" ref="YN16:ZR16" si="302">YN15+YN12+YN9+YN6</f>
        <v>1616.1609999999055</v>
      </c>
      <c r="YO16" s="18">
        <f t="shared" si="302"/>
        <v>2148.1169999999693</v>
      </c>
      <c r="YP16" s="18">
        <f t="shared" si="302"/>
        <v>1845.8790000000736</v>
      </c>
      <c r="YQ16" s="18">
        <f t="shared" si="302"/>
        <v>2019.9130000000005</v>
      </c>
      <c r="YR16" s="18">
        <f t="shared" si="302"/>
        <v>2277.8149999998277</v>
      </c>
      <c r="YS16" s="18">
        <f t="shared" si="302"/>
        <v>2105.6240000000689</v>
      </c>
      <c r="YT16" s="18">
        <f t="shared" si="302"/>
        <v>1506.4140000002226</v>
      </c>
      <c r="YU16" s="18">
        <f t="shared" si="302"/>
        <v>0</v>
      </c>
      <c r="YV16" s="18">
        <f t="shared" si="302"/>
        <v>1219.4219999999623</v>
      </c>
      <c r="YW16" s="18">
        <f t="shared" si="302"/>
        <v>1929.8150000000023</v>
      </c>
      <c r="YX16" s="18">
        <f t="shared" si="302"/>
        <v>1330.7189999998664</v>
      </c>
      <c r="YY16" s="18">
        <f t="shared" si="302"/>
        <v>1839.5610000000452</v>
      </c>
      <c r="YZ16" s="18">
        <f t="shared" si="302"/>
        <v>1434.5270000000601</v>
      </c>
      <c r="ZA16" s="18">
        <f t="shared" si="302"/>
        <v>1625.2979999999516</v>
      </c>
      <c r="ZB16" s="18">
        <f t="shared" si="302"/>
        <v>1678.1989999999059</v>
      </c>
      <c r="ZC16" s="18">
        <f t="shared" si="302"/>
        <v>1619.978000000061</v>
      </c>
      <c r="ZD16" s="18">
        <f t="shared" si="302"/>
        <v>1863.4360000000452</v>
      </c>
      <c r="ZE16" s="18">
        <f t="shared" si="302"/>
        <v>1814.9360000000452</v>
      </c>
      <c r="ZF16" s="18">
        <f t="shared" si="302"/>
        <v>1954.1760000000359</v>
      </c>
      <c r="ZG16" s="18">
        <f t="shared" si="302"/>
        <v>1807.128999999899</v>
      </c>
      <c r="ZH16" s="18">
        <f t="shared" si="302"/>
        <v>1706.2339999998803</v>
      </c>
      <c r="ZI16" s="18">
        <f t="shared" si="302"/>
        <v>1786.024000000034</v>
      </c>
      <c r="ZJ16" s="18">
        <f t="shared" si="302"/>
        <v>2210.6350000000675</v>
      </c>
      <c r="ZK16" s="18">
        <f t="shared" si="302"/>
        <v>2536.7269999999553</v>
      </c>
      <c r="ZL16" s="18">
        <f t="shared" si="302"/>
        <v>2154.2029999998631</v>
      </c>
      <c r="ZM16" s="18">
        <f t="shared" si="302"/>
        <v>2091.8040000001201</v>
      </c>
      <c r="ZN16" s="18">
        <f t="shared" si="302"/>
        <v>1778.1150000001071</v>
      </c>
      <c r="ZO16" s="18">
        <f t="shared" si="302"/>
        <v>2067.75</v>
      </c>
      <c r="ZP16" s="18">
        <f t="shared" si="302"/>
        <v>1811.1780000000144</v>
      </c>
      <c r="ZQ16" s="18">
        <f t="shared" si="302"/>
        <v>1956.3830000000889</v>
      </c>
      <c r="ZR16" s="18">
        <f t="shared" si="302"/>
        <v>2094.5599999999977</v>
      </c>
      <c r="ZS16" s="127">
        <v>0</v>
      </c>
      <c r="ZT16" s="18">
        <f t="shared" ref="ZT16:AAW16" si="303">ZT15+ZT12+ZT9+ZT6</f>
        <v>1865.0989999999292</v>
      </c>
      <c r="ZU16" s="18">
        <f t="shared" si="303"/>
        <v>1836.0799999998417</v>
      </c>
      <c r="ZV16" s="18">
        <f t="shared" si="303"/>
        <v>2005.3750000000582</v>
      </c>
      <c r="ZW16" s="18">
        <f t="shared" si="303"/>
        <v>1910.0080000000307</v>
      </c>
      <c r="ZX16" s="18">
        <f t="shared" si="303"/>
        <v>2212.2810000001336</v>
      </c>
      <c r="ZY16" s="18">
        <f t="shared" si="303"/>
        <v>1963.1799999998184</v>
      </c>
      <c r="ZZ16" s="18">
        <f t="shared" si="303"/>
        <v>1978.6169999999693</v>
      </c>
      <c r="AAA16" s="18">
        <f t="shared" si="303"/>
        <v>1939.7380000003031</v>
      </c>
      <c r="AAB16" s="18">
        <f t="shared" si="303"/>
        <v>1745.2639999997336</v>
      </c>
      <c r="AAC16" s="18">
        <f t="shared" si="303"/>
        <v>1887.3520000000717</v>
      </c>
      <c r="AAD16" s="18">
        <f t="shared" si="303"/>
        <v>1711.8620000000228</v>
      </c>
      <c r="AAE16" s="18">
        <f t="shared" si="303"/>
        <v>1643.5100000000675</v>
      </c>
      <c r="AAF16" s="18">
        <f t="shared" si="303"/>
        <v>2240.4919999997364</v>
      </c>
      <c r="AAG16" s="18">
        <f t="shared" si="303"/>
        <v>2257.6790000002366</v>
      </c>
      <c r="AAH16" s="18">
        <f t="shared" si="303"/>
        <v>2004.5559999998659</v>
      </c>
      <c r="AAI16" s="18">
        <f t="shared" si="303"/>
        <v>1909.1040000001667</v>
      </c>
      <c r="AAJ16" s="18">
        <f t="shared" si="303"/>
        <v>1940.7549999997718</v>
      </c>
      <c r="AAK16" s="18">
        <f t="shared" si="303"/>
        <v>1862.7230000002892</v>
      </c>
      <c r="AAL16" s="18">
        <f t="shared" si="303"/>
        <v>2062.4919999997364</v>
      </c>
      <c r="AAM16" s="18">
        <f t="shared" si="303"/>
        <v>1964.144000000204</v>
      </c>
      <c r="AAN16" s="18">
        <f t="shared" si="303"/>
        <v>2180.9720000000088</v>
      </c>
      <c r="AAO16" s="18">
        <f t="shared" si="303"/>
        <v>1641.8499999999185</v>
      </c>
      <c r="AAP16" s="18">
        <f t="shared" si="303"/>
        <v>1920.2529999997932</v>
      </c>
      <c r="AAQ16" s="18">
        <f t="shared" si="303"/>
        <v>1772.7320000000182</v>
      </c>
      <c r="AAR16" s="18">
        <f t="shared" si="303"/>
        <v>1964.2879999999423</v>
      </c>
      <c r="AAS16" s="18">
        <f t="shared" si="303"/>
        <v>1914.6890000001877</v>
      </c>
      <c r="AAT16" s="18">
        <f t="shared" si="303"/>
        <v>2074.1969999999856</v>
      </c>
      <c r="AAU16" s="18">
        <f t="shared" si="303"/>
        <v>2266.3080000000191</v>
      </c>
      <c r="AAV16" s="18">
        <f t="shared" si="303"/>
        <v>1800.1040000003413</v>
      </c>
      <c r="AAW16" s="18">
        <f t="shared" si="303"/>
        <v>1871.7499999997672</v>
      </c>
      <c r="AAX16" s="127">
        <v>0</v>
      </c>
      <c r="AAY16" s="18">
        <f t="shared" ref="AAY16:ACC16" si="304">AAY15+AAY12+AAY9+AAY6</f>
        <v>1988.5240000000922</v>
      </c>
      <c r="AAZ16" s="18">
        <f t="shared" si="304"/>
        <v>1730.1829999999609</v>
      </c>
      <c r="ABA16" s="18">
        <f t="shared" si="304"/>
        <v>1793.723999999871</v>
      </c>
      <c r="ABB16" s="18">
        <f t="shared" si="304"/>
        <v>2018.6749999999884</v>
      </c>
      <c r="ABC16" s="18">
        <f t="shared" si="304"/>
        <v>2648.5220000001136</v>
      </c>
      <c r="ABD16" s="18">
        <f t="shared" si="304"/>
        <v>2104.4649999999092</v>
      </c>
      <c r="ABE16" s="18">
        <f t="shared" si="304"/>
        <v>1824.5999999999767</v>
      </c>
      <c r="ABF16" s="18">
        <f t="shared" si="304"/>
        <v>2053.2250000000349</v>
      </c>
      <c r="ABG16" s="18">
        <f t="shared" si="304"/>
        <v>1908.3759999998729</v>
      </c>
      <c r="ABH16" s="18">
        <f t="shared" si="304"/>
        <v>1877.5170000002254</v>
      </c>
      <c r="ABI16" s="18">
        <f t="shared" si="304"/>
        <v>1976.3429999997607</v>
      </c>
      <c r="ABJ16" s="18">
        <f t="shared" si="304"/>
        <v>1211.0789999999106</v>
      </c>
      <c r="ABK16" s="18">
        <f t="shared" si="304"/>
        <v>2024.9700000001467</v>
      </c>
      <c r="ABL16" s="18">
        <f t="shared" si="304"/>
        <v>1791.4649999999674</v>
      </c>
      <c r="ABM16" s="18">
        <f t="shared" si="304"/>
        <v>1920.7970000001369</v>
      </c>
      <c r="ABN16" s="18">
        <f t="shared" si="304"/>
        <v>1877.0729999998002</v>
      </c>
      <c r="ABO16" s="18">
        <f t="shared" si="304"/>
        <v>2042.4820000001346</v>
      </c>
      <c r="ABP16" s="18">
        <f t="shared" si="304"/>
        <v>2087.2250000000349</v>
      </c>
      <c r="ABQ16" s="18">
        <f t="shared" si="304"/>
        <v>1904.5940000000992</v>
      </c>
      <c r="ABR16" s="18">
        <f t="shared" si="304"/>
        <v>2019.6569999998319</v>
      </c>
      <c r="ABS16" s="18">
        <f t="shared" si="304"/>
        <v>1896.4790000001667</v>
      </c>
      <c r="ABT16" s="18">
        <f t="shared" si="304"/>
        <v>1849.2929999997723</v>
      </c>
      <c r="ABU16" s="18">
        <f t="shared" si="304"/>
        <v>2032.5780000000959</v>
      </c>
      <c r="ABV16" s="18">
        <f t="shared" si="304"/>
        <v>2025.8030000000726</v>
      </c>
      <c r="ABW16" s="18">
        <f t="shared" si="304"/>
        <v>2418.7089999997988</v>
      </c>
      <c r="ABX16" s="18">
        <f t="shared" si="304"/>
        <v>2166.9360000003362</v>
      </c>
      <c r="ABY16" s="18">
        <f t="shared" si="304"/>
        <v>1904.0869999997667</v>
      </c>
      <c r="ABZ16" s="18">
        <f t="shared" si="304"/>
        <v>1995.1049999999814</v>
      </c>
      <c r="ACA16" s="18">
        <f t="shared" si="304"/>
        <v>1779.3199999998906</v>
      </c>
      <c r="ACB16" s="18">
        <f t="shared" si="304"/>
        <v>1782.9020000002347</v>
      </c>
      <c r="ACC16" s="18">
        <f t="shared" si="304"/>
        <v>1988.3319999999367</v>
      </c>
      <c r="ACD16" s="127">
        <v>0</v>
      </c>
      <c r="ACE16" s="18">
        <f t="shared" ref="ACE16:ADI16" si="305">ACE15+ACE12+ACE9+ACE6</f>
        <v>1953.9670000000624</v>
      </c>
      <c r="ACF16" s="18">
        <f t="shared" si="305"/>
        <v>2386.9700000000303</v>
      </c>
      <c r="ACG16" s="18">
        <f t="shared" si="305"/>
        <v>2115.6889999998966</v>
      </c>
      <c r="ACH16" s="18">
        <f t="shared" si="305"/>
        <v>2127.7360000000335</v>
      </c>
      <c r="ACI16" s="18">
        <f t="shared" si="305"/>
        <v>2285.0239999999758</v>
      </c>
      <c r="ACJ16" s="18">
        <f t="shared" si="305"/>
        <v>1635.4900000001071</v>
      </c>
      <c r="ACK16" s="18">
        <f t="shared" si="305"/>
        <v>1930.3510000000824</v>
      </c>
      <c r="ACL16" s="18">
        <f t="shared" si="305"/>
        <v>2049.7789999997476</v>
      </c>
      <c r="ACM16" s="18">
        <f t="shared" si="305"/>
        <v>1822.767000000109</v>
      </c>
      <c r="ACN16" s="18">
        <f t="shared" si="305"/>
        <v>1662.9329999998445</v>
      </c>
      <c r="ACO16" s="18">
        <f t="shared" si="305"/>
        <v>2228.4670000001788</v>
      </c>
      <c r="ACP16" s="18">
        <f t="shared" si="305"/>
        <v>1586.0629999998491</v>
      </c>
      <c r="ACQ16" s="18">
        <f t="shared" si="305"/>
        <v>1595.7790000000969</v>
      </c>
      <c r="ACR16" s="18">
        <f t="shared" si="305"/>
        <v>1854.4519999999902</v>
      </c>
      <c r="ACS16" s="18">
        <f t="shared" si="305"/>
        <v>2094.6779999999562</v>
      </c>
      <c r="ACT16" s="18">
        <f t="shared" si="305"/>
        <v>1662.0799999999581</v>
      </c>
      <c r="ACU16" s="18">
        <f t="shared" si="305"/>
        <v>1822.5410000002012</v>
      </c>
      <c r="ACV16" s="18">
        <f t="shared" si="305"/>
        <v>1869.5569999999134</v>
      </c>
      <c r="ACW16" s="18">
        <f t="shared" si="305"/>
        <v>1371.5480000000098</v>
      </c>
      <c r="ACX16" s="18">
        <f t="shared" si="305"/>
        <v>1522.0469999999623</v>
      </c>
      <c r="ACY16" s="18">
        <f t="shared" si="305"/>
        <v>1749.3629999998375</v>
      </c>
      <c r="ACZ16" s="18">
        <f t="shared" si="305"/>
        <v>2015.5920000000624</v>
      </c>
      <c r="ADA16" s="18">
        <f t="shared" si="305"/>
        <v>1804.4480000000913</v>
      </c>
      <c r="ADB16" s="18">
        <f t="shared" si="305"/>
        <v>1532.3190000000759</v>
      </c>
      <c r="ADC16" s="18">
        <f t="shared" si="305"/>
        <v>1394.3820000000997</v>
      </c>
      <c r="ADD16" s="18">
        <f t="shared" si="305"/>
        <v>1698.6549999998533</v>
      </c>
      <c r="ADE16" s="18">
        <f t="shared" si="305"/>
        <v>1783.6680000000051</v>
      </c>
      <c r="ADF16" s="18">
        <f t="shared" si="305"/>
        <v>1438.0650000001187</v>
      </c>
      <c r="ADG16" s="18">
        <f t="shared" si="305"/>
        <v>1911.0619999998598</v>
      </c>
      <c r="ADH16" s="18">
        <f t="shared" si="305"/>
        <v>1924.0450000000419</v>
      </c>
      <c r="ADI16" s="18">
        <f t="shared" si="305"/>
        <v>1625.4469999999274</v>
      </c>
      <c r="ADJ16" s="127">
        <v>0</v>
      </c>
      <c r="ADK16" s="18">
        <f t="shared" ref="ADK16:AEN16" si="306">ADK15+ADK12+ADK9+ADK6</f>
        <v>1653.5039999999572</v>
      </c>
      <c r="ADL16" s="18">
        <f t="shared" si="306"/>
        <v>1537.3820000000997</v>
      </c>
      <c r="ADM16" s="18">
        <f t="shared" si="306"/>
        <v>1398.155999999959</v>
      </c>
      <c r="ADN16" s="18">
        <f t="shared" si="306"/>
        <v>1820.4850000000442</v>
      </c>
      <c r="ADO16" s="18">
        <f t="shared" si="306"/>
        <v>1760.3299999998999</v>
      </c>
      <c r="ADP16" s="18">
        <f t="shared" si="306"/>
        <v>1975.5430000001797</v>
      </c>
      <c r="ADQ16" s="18">
        <f t="shared" si="306"/>
        <v>1738.3680000000168</v>
      </c>
      <c r="ADR16" s="18">
        <f t="shared" si="306"/>
        <v>1713.75499999983</v>
      </c>
      <c r="ADS16" s="18">
        <f t="shared" si="306"/>
        <v>1513.8320000000531</v>
      </c>
      <c r="ADT16" s="18">
        <f t="shared" si="306"/>
        <v>1380.710999999952</v>
      </c>
      <c r="ADU16" s="18">
        <f t="shared" si="306"/>
        <v>1577.3600000000442</v>
      </c>
      <c r="ADV16" s="18">
        <f t="shared" si="306"/>
        <v>1705.4050000002026</v>
      </c>
      <c r="ADW16" s="18">
        <f t="shared" si="306"/>
        <v>1869.6599999996834</v>
      </c>
      <c r="ADX16" s="18">
        <f t="shared" si="306"/>
        <v>1551.8129999999655</v>
      </c>
      <c r="ADY16" s="18">
        <f t="shared" si="306"/>
        <v>1749.2879999999423</v>
      </c>
      <c r="ADZ16" s="18">
        <f t="shared" si="306"/>
        <v>1503.4570000003441</v>
      </c>
      <c r="AEA16" s="18">
        <f t="shared" si="306"/>
        <v>1265.4729999998817</v>
      </c>
      <c r="AEB16" s="18">
        <f t="shared" si="306"/>
        <v>1627.4379999999073</v>
      </c>
      <c r="AEC16" s="18">
        <f t="shared" si="306"/>
        <v>1441.3650000001653</v>
      </c>
      <c r="AED16" s="18">
        <f t="shared" si="306"/>
        <v>1446.7639999997918</v>
      </c>
      <c r="AEE16" s="18">
        <f t="shared" si="306"/>
        <v>1511.9390000001295</v>
      </c>
      <c r="AEF16" s="18">
        <f t="shared" si="306"/>
        <v>1656.4689999999828</v>
      </c>
      <c r="AEG16" s="18">
        <f t="shared" si="306"/>
        <v>1560.4409999999334</v>
      </c>
      <c r="AEH16" s="18">
        <f t="shared" si="306"/>
        <v>1460.1000000000349</v>
      </c>
      <c r="AEI16" s="18">
        <f t="shared" si="306"/>
        <v>1550.4130000001169</v>
      </c>
      <c r="AEJ16" s="18">
        <f t="shared" si="306"/>
        <v>1811.5279999999912</v>
      </c>
      <c r="AEK16" s="18">
        <f t="shared" si="306"/>
        <v>1657.6899999998859</v>
      </c>
      <c r="AEL16" s="18">
        <f t="shared" si="306"/>
        <v>1584.6990000000806</v>
      </c>
      <c r="AEM16" s="18">
        <f t="shared" si="306"/>
        <v>1863.414000000048</v>
      </c>
      <c r="AEN16" s="18">
        <f t="shared" si="306"/>
        <v>1449.3929999998072</v>
      </c>
      <c r="AEO16" s="127">
        <v>0</v>
      </c>
      <c r="AEP16" s="18">
        <f t="shared" ref="AEP16:AFT16" si="307">AEP15+AEP12+AEP9+AEP6</f>
        <v>1414.0800000001327</v>
      </c>
      <c r="AEQ16" s="18">
        <f t="shared" si="307"/>
        <v>1511.4299999998766</v>
      </c>
      <c r="AER16" s="18">
        <f t="shared" si="307"/>
        <v>1717.2049999999581</v>
      </c>
      <c r="AES16" s="18">
        <f t="shared" si="307"/>
        <v>1832.7470000001485</v>
      </c>
      <c r="AET16" s="18">
        <f t="shared" si="307"/>
        <v>1543.0910000000149</v>
      </c>
      <c r="AEU16" s="18">
        <f t="shared" si="307"/>
        <v>1744.1169999999111</v>
      </c>
      <c r="AEV16" s="18">
        <f t="shared" si="307"/>
        <v>1488.4690000000992</v>
      </c>
      <c r="AEW16" s="18">
        <f t="shared" si="307"/>
        <v>1576.2820000000647</v>
      </c>
      <c r="AEX16" s="18">
        <f t="shared" si="307"/>
        <v>1749.3989999999176</v>
      </c>
      <c r="AEY16" s="18">
        <f t="shared" si="307"/>
        <v>1987.23199999996</v>
      </c>
      <c r="AEZ16" s="18">
        <f t="shared" si="307"/>
        <v>1675.5830000000424</v>
      </c>
      <c r="AFA16" s="18">
        <f t="shared" si="307"/>
        <v>1564.1289999999572</v>
      </c>
      <c r="AFB16" s="18">
        <f t="shared" si="307"/>
        <v>1564.1990000000224</v>
      </c>
      <c r="AFC16" s="18">
        <f t="shared" si="307"/>
        <v>1607.6819999999716</v>
      </c>
      <c r="AFD16" s="18">
        <f t="shared" si="307"/>
        <v>1672.7430000001332</v>
      </c>
      <c r="AFE16" s="18">
        <f t="shared" si="307"/>
        <v>1666.6790000000037</v>
      </c>
      <c r="AFF16" s="18">
        <f t="shared" si="307"/>
        <v>1486.9159999999683</v>
      </c>
      <c r="AFG16" s="18">
        <f t="shared" si="307"/>
        <v>1662.7000000000116</v>
      </c>
      <c r="AFH16" s="18">
        <f t="shared" si="307"/>
        <v>1575.5620000000927</v>
      </c>
      <c r="AFI16" s="18">
        <f t="shared" si="307"/>
        <v>1515.6799999998184</v>
      </c>
      <c r="AFJ16" s="18">
        <f t="shared" si="307"/>
        <v>1726.6690000001108</v>
      </c>
      <c r="AFK16" s="18">
        <f t="shared" si="307"/>
        <v>1524.9339999997173</v>
      </c>
      <c r="AFL16" s="18">
        <f t="shared" si="307"/>
        <v>1423.873000000196</v>
      </c>
      <c r="AFM16" s="18">
        <f t="shared" si="307"/>
        <v>1724.3009999999776</v>
      </c>
      <c r="AFN16" s="18">
        <f t="shared" si="307"/>
        <v>2019.545999999973</v>
      </c>
      <c r="AFO16" s="18">
        <f t="shared" si="307"/>
        <v>1699.8269999998738</v>
      </c>
      <c r="AFP16" s="18">
        <f t="shared" si="307"/>
        <v>1594.0169999999925</v>
      </c>
      <c r="AFQ16" s="18">
        <f t="shared" si="307"/>
        <v>1547.0380000002915</v>
      </c>
      <c r="AFR16" s="18">
        <f t="shared" si="307"/>
        <v>1421.3029999996652</v>
      </c>
      <c r="AFS16" s="18">
        <f t="shared" si="307"/>
        <v>1551.8060000002733</v>
      </c>
      <c r="AFT16" s="18">
        <f t="shared" si="307"/>
        <v>1787.210000000021</v>
      </c>
      <c r="AFU16" s="127">
        <v>0</v>
      </c>
      <c r="AFV16" s="18">
        <f t="shared" ref="AFV16:AGY16" si="308">AFV15+AFV12+AFV9+AFV6</f>
        <v>1788.0129999998608</v>
      </c>
      <c r="AFW16" s="18">
        <f t="shared" si="308"/>
        <v>1773.5330000001122</v>
      </c>
      <c r="AFX16" s="18">
        <f t="shared" si="308"/>
        <v>1634.6480000000447</v>
      </c>
      <c r="AFY16" s="18">
        <f t="shared" si="308"/>
        <v>1639.534999999858</v>
      </c>
      <c r="AFZ16" s="18">
        <f t="shared" si="308"/>
        <v>1747.0619999998016</v>
      </c>
      <c r="AGA16" s="18">
        <f t="shared" si="308"/>
        <v>1694.2430000003078</v>
      </c>
      <c r="AGB16" s="18">
        <f t="shared" si="308"/>
        <v>1784.1099999998114</v>
      </c>
      <c r="AGC16" s="18">
        <f t="shared" si="308"/>
        <v>1448.2120000001742</v>
      </c>
      <c r="AGD16" s="18">
        <f t="shared" si="308"/>
        <v>1869.2049999997835</v>
      </c>
      <c r="AGE16" s="18">
        <f t="shared" si="308"/>
        <v>1786.4410000001662</v>
      </c>
      <c r="AGF16" s="18">
        <f t="shared" si="308"/>
        <v>1615.564000000013</v>
      </c>
      <c r="AGG16" s="18">
        <f t="shared" si="308"/>
        <v>1338.1289999999572</v>
      </c>
      <c r="AGH16" s="18">
        <f t="shared" si="308"/>
        <v>1567.2889999998733</v>
      </c>
      <c r="AGI16" s="18">
        <f t="shared" si="308"/>
        <v>1639.9740000002203</v>
      </c>
      <c r="AGJ16" s="18">
        <f t="shared" si="308"/>
        <v>1541.5569999999134</v>
      </c>
      <c r="AGK16" s="18">
        <f t="shared" si="308"/>
        <v>1540.0489999999991</v>
      </c>
      <c r="AGL16" s="18">
        <f t="shared" si="308"/>
        <v>1888.5770000001066</v>
      </c>
      <c r="AGM16" s="18">
        <f t="shared" si="308"/>
        <v>1723.1840000000084</v>
      </c>
      <c r="AGN16" s="18">
        <f t="shared" si="308"/>
        <v>1644.6139999997686</v>
      </c>
      <c r="AGO16" s="18">
        <f t="shared" si="308"/>
        <v>1827.225999999966</v>
      </c>
      <c r="AGP16" s="18">
        <f t="shared" si="308"/>
        <v>1887.6280000002007</v>
      </c>
      <c r="AGQ16" s="18">
        <f t="shared" si="308"/>
        <v>2036.8499999997439</v>
      </c>
      <c r="AGR16" s="18">
        <f t="shared" si="308"/>
        <v>1527.0450000001583</v>
      </c>
      <c r="AGS16" s="18">
        <f t="shared" si="308"/>
        <v>1624.9870000001974</v>
      </c>
      <c r="AGT16" s="18">
        <f t="shared" si="308"/>
        <v>1895.0689999997267</v>
      </c>
      <c r="AGU16" s="18">
        <f t="shared" si="308"/>
        <v>1652.7930000001215</v>
      </c>
      <c r="AGV16" s="18">
        <f t="shared" si="308"/>
        <v>1804.0810000000056</v>
      </c>
      <c r="AGW16" s="18">
        <f t="shared" si="308"/>
        <v>2122.478000000061</v>
      </c>
      <c r="AGX16" s="18">
        <f t="shared" si="308"/>
        <v>2078.5289999998058</v>
      </c>
      <c r="AGY16" s="18">
        <f t="shared" si="308"/>
        <v>1693.8270000001066</v>
      </c>
      <c r="AGZ16" s="127">
        <v>0</v>
      </c>
      <c r="AHA16" s="18">
        <f t="shared" ref="AHA16:AIE16" si="309">AHA15+AHA12+AHA9+AHA6</f>
        <v>1855.7019999998738</v>
      </c>
      <c r="AHB16" s="18">
        <f t="shared" si="309"/>
        <v>1762.6859999999288</v>
      </c>
      <c r="AHC16" s="18">
        <f t="shared" si="309"/>
        <v>1549.7120000002324</v>
      </c>
      <c r="AHD16" s="18">
        <f t="shared" si="309"/>
        <v>1981.433999999892</v>
      </c>
      <c r="AHE16" s="18">
        <f t="shared" si="309"/>
        <v>2122.5430000001797</v>
      </c>
      <c r="AHF16" s="18">
        <f t="shared" si="309"/>
        <v>1936.8949999999022</v>
      </c>
      <c r="AHG16" s="18">
        <f t="shared" si="309"/>
        <v>1738.8640000001178</v>
      </c>
      <c r="AHH16" s="18">
        <f t="shared" si="309"/>
        <v>1874.2889999997569</v>
      </c>
      <c r="AHI16" s="18">
        <f t="shared" si="309"/>
        <v>1543.6370000001043</v>
      </c>
      <c r="AHJ16" s="18">
        <f t="shared" si="309"/>
        <v>1810.0720000000438</v>
      </c>
      <c r="AHK16" s="18">
        <f t="shared" si="309"/>
        <v>2033.381999999925</v>
      </c>
      <c r="AHL16" s="18">
        <f t="shared" si="309"/>
        <v>2028.8789999999572</v>
      </c>
      <c r="AHM16" s="18">
        <f t="shared" si="309"/>
        <v>2092.3769999999786</v>
      </c>
      <c r="AHN16" s="18">
        <f t="shared" si="309"/>
        <v>1759.7630000002682</v>
      </c>
      <c r="AHO16" s="18">
        <f t="shared" si="309"/>
        <v>1794.4319999999134</v>
      </c>
      <c r="AHP16" s="18">
        <f t="shared" si="309"/>
        <v>1701.1089999998221</v>
      </c>
      <c r="AHQ16" s="18">
        <f t="shared" si="309"/>
        <v>1554.7240000002203</v>
      </c>
      <c r="AHR16" s="18">
        <f t="shared" si="309"/>
        <v>2043.4239999999991</v>
      </c>
      <c r="AHS16" s="18">
        <f t="shared" si="309"/>
        <v>2113.372999999905</v>
      </c>
      <c r="AHT16" s="18">
        <f t="shared" si="309"/>
        <v>1940.8040000000619</v>
      </c>
      <c r="AHU16" s="18">
        <f t="shared" si="309"/>
        <v>1976.743000000075</v>
      </c>
      <c r="AHV16" s="18">
        <f t="shared" si="309"/>
        <v>2111.677999999898</v>
      </c>
      <c r="AHW16" s="18">
        <f t="shared" si="309"/>
        <v>2360.8650000000489</v>
      </c>
      <c r="AHX16" s="18">
        <f t="shared" si="309"/>
        <v>2378.9220000000205</v>
      </c>
      <c r="AHY16" s="18">
        <f t="shared" si="309"/>
        <v>1711.0600000000559</v>
      </c>
      <c r="AHZ16" s="18">
        <f t="shared" si="309"/>
        <v>1715.2690000000293</v>
      </c>
      <c r="AIA16" s="18">
        <f t="shared" si="309"/>
        <v>1514.5339999996941</v>
      </c>
      <c r="AIB16" s="18">
        <f t="shared" si="309"/>
        <v>1364.0270000001765</v>
      </c>
      <c r="AIC16" s="18">
        <f t="shared" si="309"/>
        <v>1432.6819999999716</v>
      </c>
      <c r="AID16" s="18">
        <f t="shared" si="309"/>
        <v>1671.9069999998901</v>
      </c>
      <c r="AIE16" s="18">
        <f t="shared" si="309"/>
        <v>2022.9660000001313</v>
      </c>
      <c r="AIF16" s="127">
        <v>0</v>
      </c>
      <c r="AIG16" s="18">
        <f t="shared" ref="AIG16:AJK16" si="310">AIG15+AIG12+AIG9+AIG6</f>
        <v>1477.3299999998999</v>
      </c>
      <c r="AIH16" s="18">
        <f t="shared" si="310"/>
        <v>1634.1359999999404</v>
      </c>
      <c r="AII16" s="18">
        <f t="shared" si="310"/>
        <v>1632.5020000002114</v>
      </c>
      <c r="AIJ16" s="18">
        <f t="shared" si="310"/>
        <v>1720.3720000000903</v>
      </c>
      <c r="AIK16" s="18">
        <f t="shared" si="310"/>
        <v>2000.4259999995702</v>
      </c>
      <c r="AIL16" s="18">
        <f t="shared" si="310"/>
        <v>1963.6010000003153</v>
      </c>
      <c r="AIM16" s="18">
        <f t="shared" si="310"/>
        <v>1952.5789999999688</v>
      </c>
      <c r="AIN16" s="18">
        <f t="shared" si="310"/>
        <v>1884.0770000001066</v>
      </c>
      <c r="AIO16" s="18">
        <f t="shared" si="310"/>
        <v>1672.3379999998142</v>
      </c>
      <c r="AIP16" s="18">
        <f t="shared" si="310"/>
        <v>2307.0019999998622</v>
      </c>
      <c r="AIQ16" s="18">
        <f t="shared" si="310"/>
        <v>1874.3760000002803</v>
      </c>
      <c r="AIR16" s="18">
        <f t="shared" si="310"/>
        <v>1701.434999999823</v>
      </c>
      <c r="AIS16" s="18">
        <f t="shared" si="310"/>
        <v>1871.5509999999776</v>
      </c>
      <c r="AIT16" s="18">
        <f t="shared" si="310"/>
        <v>1809.2200000000885</v>
      </c>
      <c r="AIU16" s="18">
        <f t="shared" si="310"/>
        <v>1090.2360000000917</v>
      </c>
      <c r="AIV16" s="18">
        <f t="shared" si="310"/>
        <v>1530.3800000000629</v>
      </c>
      <c r="AIW16" s="18">
        <f t="shared" si="310"/>
        <v>858.24799999996321</v>
      </c>
      <c r="AIX16" s="18">
        <f t="shared" si="310"/>
        <v>1029.6279999998515</v>
      </c>
      <c r="AIY16" s="18">
        <f t="shared" si="310"/>
        <v>1638.7080000001006</v>
      </c>
      <c r="AIZ16" s="18">
        <f t="shared" si="310"/>
        <v>1643.4249999999302</v>
      </c>
      <c r="AJA16" s="18">
        <f t="shared" si="310"/>
        <v>1905.3779999999679</v>
      </c>
      <c r="AJB16" s="18">
        <f t="shared" si="310"/>
        <v>1784.7359999999753</v>
      </c>
      <c r="AJC16" s="18">
        <f t="shared" si="310"/>
        <v>1885.3010000001523</v>
      </c>
      <c r="AJD16" s="18">
        <f t="shared" si="310"/>
        <v>1983.4619999998249</v>
      </c>
      <c r="AJE16" s="18">
        <f t="shared" si="310"/>
        <v>1826.6610000000801</v>
      </c>
      <c r="AJF16" s="18">
        <f t="shared" si="310"/>
        <v>1652.5849999998463</v>
      </c>
      <c r="AJG16" s="18">
        <f t="shared" si="310"/>
        <v>1881.7430000001914</v>
      </c>
      <c r="AJH16" s="18">
        <f t="shared" si="310"/>
        <v>1663.5029999998515</v>
      </c>
      <c r="AJI16" s="18">
        <f t="shared" si="310"/>
        <v>1653.2360000001499</v>
      </c>
      <c r="AJJ16" s="18">
        <f t="shared" si="310"/>
        <v>1637.0659999999916</v>
      </c>
      <c r="AJK16" s="18">
        <f t="shared" si="310"/>
        <v>1678.034999999858</v>
      </c>
      <c r="AJL16" s="127">
        <v>0</v>
      </c>
      <c r="AJM16" s="18">
        <f t="shared" ref="AJM16:AKN16" si="311">AJM15+AJM12+AJM9+AJM6</f>
        <v>1444.4250000001048</v>
      </c>
      <c r="AJN16" s="18">
        <f t="shared" si="311"/>
        <v>1739.6950000001816</v>
      </c>
      <c r="AJO16" s="18">
        <f t="shared" si="311"/>
        <v>1894.7479999997886</v>
      </c>
      <c r="AJP16" s="18">
        <f t="shared" si="311"/>
        <v>1706.9740000002785</v>
      </c>
      <c r="AJQ16" s="18">
        <f t="shared" si="311"/>
        <v>1615.0059999999357</v>
      </c>
      <c r="AJR16" s="18">
        <f t="shared" si="311"/>
        <v>1517.4709999998449</v>
      </c>
      <c r="AJS16" s="18">
        <f t="shared" si="311"/>
        <v>1967.8330000001006</v>
      </c>
      <c r="AJT16" s="18">
        <f t="shared" si="311"/>
        <v>1714.3969999997644</v>
      </c>
      <c r="AJU16" s="18">
        <f t="shared" si="311"/>
        <v>1873.8700000001118</v>
      </c>
      <c r="AJV16" s="18">
        <f t="shared" si="311"/>
        <v>1748.6100000000442</v>
      </c>
      <c r="AJW16" s="18">
        <f t="shared" si="311"/>
        <v>1636.376999999804</v>
      </c>
      <c r="AJX16" s="18">
        <f t="shared" si="311"/>
        <v>1740.0300000000279</v>
      </c>
      <c r="AJY16" s="18">
        <f t="shared" si="311"/>
        <v>1952.7450000000536</v>
      </c>
      <c r="AJZ16" s="18">
        <f t="shared" si="311"/>
        <v>1695.5880000001052</v>
      </c>
      <c r="AKA16" s="18">
        <f t="shared" si="311"/>
        <v>1635.438000000082</v>
      </c>
      <c r="AKB16" s="18">
        <f t="shared" si="311"/>
        <v>1551.0099999998929</v>
      </c>
      <c r="AKC16" s="18">
        <f t="shared" si="311"/>
        <v>1773.0269999998854</v>
      </c>
      <c r="AKD16" s="18">
        <f t="shared" si="311"/>
        <v>1621.4940000001807</v>
      </c>
      <c r="AKE16" s="18">
        <f t="shared" si="311"/>
        <v>1441.3450000000303</v>
      </c>
      <c r="AKF16" s="18">
        <f t="shared" si="311"/>
        <v>1404.2680000000983</v>
      </c>
      <c r="AKG16" s="18">
        <f t="shared" si="311"/>
        <v>1760.021999999648</v>
      </c>
      <c r="AKH16" s="18">
        <f t="shared" si="311"/>
        <v>1304.5140000001993</v>
      </c>
      <c r="AKI16" s="18">
        <f t="shared" si="311"/>
        <v>1579.1910000000498</v>
      </c>
      <c r="AKJ16" s="18">
        <f t="shared" si="311"/>
        <v>1517.4469999998109</v>
      </c>
      <c r="AKK16" s="18">
        <f t="shared" si="311"/>
        <v>1594.9890000002342</v>
      </c>
      <c r="AKL16" s="18">
        <f t="shared" si="311"/>
        <v>1513.3609999999753</v>
      </c>
      <c r="AKM16" s="18">
        <f t="shared" si="311"/>
        <v>1410.0099999997765</v>
      </c>
      <c r="AKN16" s="18">
        <f t="shared" si="311"/>
        <v>1349.0910000000149</v>
      </c>
      <c r="AKO16" s="127">
        <v>0</v>
      </c>
      <c r="AKP16" s="18">
        <f t="shared" ref="AKP16:ALT16" si="312">AKP15+AKP12+AKP9+AKP6</f>
        <v>1571.7429999999586</v>
      </c>
      <c r="AKQ16" s="18">
        <f t="shared" si="312"/>
        <v>1515.25</v>
      </c>
      <c r="AKR16" s="18">
        <f t="shared" si="312"/>
        <v>1583.7430000002496</v>
      </c>
      <c r="AKS16" s="18">
        <f t="shared" si="312"/>
        <v>1513.3400000000256</v>
      </c>
      <c r="AKT16" s="18">
        <f t="shared" si="312"/>
        <v>1497.8629999997793</v>
      </c>
      <c r="AKU16" s="18">
        <f t="shared" si="312"/>
        <v>1497.8320000001695</v>
      </c>
      <c r="AKV16" s="18">
        <f t="shared" si="312"/>
        <v>1519.7199999997392</v>
      </c>
      <c r="AKW16" s="18">
        <f t="shared" si="312"/>
        <v>1637.9640000000945</v>
      </c>
      <c r="AKX16" s="18">
        <f t="shared" si="312"/>
        <v>1774.1020000001881</v>
      </c>
      <c r="AKY16" s="18">
        <f t="shared" si="312"/>
        <v>1481.238999999885</v>
      </c>
      <c r="AKZ16" s="18">
        <f t="shared" si="312"/>
        <v>1422.3460000000196</v>
      </c>
      <c r="ALA16" s="18">
        <f t="shared" si="312"/>
        <v>1567.7879999999423</v>
      </c>
      <c r="ALB16" s="18">
        <f t="shared" si="312"/>
        <v>1748.0610000002198</v>
      </c>
      <c r="ALC16" s="18">
        <f t="shared" si="312"/>
        <v>1981.4879999999539</v>
      </c>
      <c r="ALD16" s="18">
        <f t="shared" si="312"/>
        <v>1624.7899999998044</v>
      </c>
      <c r="ALE16" s="18">
        <f t="shared" si="312"/>
        <v>2192.6900000001187</v>
      </c>
      <c r="ALF16" s="18">
        <f t="shared" si="312"/>
        <v>1858.0160000000033</v>
      </c>
      <c r="ALG16" s="18">
        <f t="shared" si="312"/>
        <v>1473.5899999997928</v>
      </c>
      <c r="ALH16" s="18">
        <f t="shared" si="312"/>
        <v>1932.5190000000875</v>
      </c>
      <c r="ALI16" s="18">
        <f t="shared" si="312"/>
        <v>1667.4760000000824</v>
      </c>
      <c r="ALJ16" s="18">
        <f t="shared" si="312"/>
        <v>1769.8499999999767</v>
      </c>
      <c r="ALK16" s="18">
        <f t="shared" si="312"/>
        <v>1359.5580000000191</v>
      </c>
      <c r="ALL16" s="18">
        <f t="shared" si="312"/>
        <v>1826.2329999998328</v>
      </c>
      <c r="ALM16" s="18">
        <f t="shared" si="312"/>
        <v>1827.6130000003031</v>
      </c>
      <c r="ALN16" s="18">
        <f t="shared" si="312"/>
        <v>1885.7869999997783</v>
      </c>
      <c r="ALO16" s="18">
        <f t="shared" si="312"/>
        <v>1866.5989999999874</v>
      </c>
      <c r="ALP16" s="18">
        <f t="shared" si="312"/>
        <v>1902.5370000003022</v>
      </c>
      <c r="ALQ16" s="18">
        <f t="shared" si="312"/>
        <v>2125.0419999998994</v>
      </c>
      <c r="ALR16" s="18">
        <f t="shared" si="312"/>
        <v>2431.1689999999944</v>
      </c>
      <c r="ALS16" s="18">
        <f t="shared" si="312"/>
        <v>2363.1859999998705</v>
      </c>
      <c r="ALT16" s="18">
        <f t="shared" si="312"/>
        <v>1743.7480000000214</v>
      </c>
      <c r="ALU16" s="127">
        <v>0</v>
      </c>
      <c r="ALV16" s="18">
        <f t="shared" ref="ALV16:AMY16" si="313">ALV15+ALV12+ALV9+ALV6</f>
        <v>2315.4899999999325</v>
      </c>
      <c r="ALW16" s="18">
        <f t="shared" si="313"/>
        <v>1748.5659999999916</v>
      </c>
      <c r="ALX16" s="18">
        <f t="shared" si="313"/>
        <v>1916.2020000000484</v>
      </c>
      <c r="ALY16" s="18">
        <f t="shared" si="313"/>
        <v>1958.804999999993</v>
      </c>
      <c r="ALZ16" s="18">
        <f t="shared" si="313"/>
        <v>1211.2110000001849</v>
      </c>
      <c r="AMA16" s="18">
        <f t="shared" si="313"/>
        <v>1363.9329999999609</v>
      </c>
      <c r="AMB16" s="18">
        <f t="shared" si="313"/>
        <v>2124.1750000001048</v>
      </c>
      <c r="AMC16" s="18">
        <f t="shared" si="313"/>
        <v>1932.1119999996154</v>
      </c>
      <c r="AMD16" s="18">
        <f t="shared" si="313"/>
        <v>2194.5750000001281</v>
      </c>
      <c r="AME16" s="18">
        <f t="shared" si="313"/>
        <v>2154.9839999998803</v>
      </c>
      <c r="AMF16" s="18">
        <f t="shared" si="313"/>
        <v>2138.8660000001546</v>
      </c>
      <c r="AMG16" s="18">
        <f t="shared" si="313"/>
        <v>2238.4890000000596</v>
      </c>
      <c r="AMH16" s="18">
        <f t="shared" si="313"/>
        <v>2315.9659999998403</v>
      </c>
      <c r="AMI16" s="18">
        <f t="shared" si="313"/>
        <v>1532.7530000001425</v>
      </c>
      <c r="AMJ16" s="18">
        <f t="shared" si="313"/>
        <v>1772.7919999999576</v>
      </c>
      <c r="AMK16" s="18">
        <f t="shared" si="313"/>
        <v>1664.3329999998678</v>
      </c>
      <c r="AML16" s="18">
        <f t="shared" si="313"/>
        <v>1945.6340000002529</v>
      </c>
      <c r="AMM16" s="18">
        <f t="shared" si="313"/>
        <v>2276.7419999999693</v>
      </c>
      <c r="AMN16" s="18">
        <f t="shared" si="313"/>
        <v>2169.4229999998352</v>
      </c>
      <c r="AMO16" s="18">
        <f t="shared" si="313"/>
        <v>3910.4140000002226</v>
      </c>
      <c r="AMP16" s="18">
        <f t="shared" si="313"/>
        <v>4834.2999999999884</v>
      </c>
      <c r="AMQ16" s="18">
        <f t="shared" si="313"/>
        <v>3272.4169999999576</v>
      </c>
      <c r="AMR16" s="18">
        <f t="shared" si="313"/>
        <v>4401.1479999997537</v>
      </c>
      <c r="AMS16" s="18">
        <f t="shared" si="313"/>
        <v>4654.7459999999846</v>
      </c>
      <c r="AMT16" s="18">
        <f t="shared" si="313"/>
        <v>4782.7690000001458</v>
      </c>
      <c r="AMU16" s="18">
        <f t="shared" si="313"/>
        <v>4185.637999999919</v>
      </c>
      <c r="AMV16" s="18">
        <f t="shared" si="313"/>
        <v>1908.8260000001756</v>
      </c>
      <c r="AMW16" s="18">
        <f t="shared" si="313"/>
        <v>1747.0220000000554</v>
      </c>
      <c r="AMX16" s="18">
        <f t="shared" si="313"/>
        <v>3965.683999999892</v>
      </c>
      <c r="AMY16" s="18">
        <f t="shared" si="313"/>
        <v>3168.1719999999623</v>
      </c>
      <c r="AMZ16" s="127">
        <v>0</v>
      </c>
      <c r="ANA16" s="18">
        <f t="shared" ref="ANA16:AOC16" si="314">ANA15+ANA12+ANA9+ANA6</f>
        <v>1804.1289999999572</v>
      </c>
      <c r="ANB16" s="18">
        <f t="shared" si="314"/>
        <v>2060.4980000000796</v>
      </c>
      <c r="ANC16" s="18">
        <f t="shared" si="314"/>
        <v>1745.4119999998366</v>
      </c>
      <c r="AND16" s="18">
        <f t="shared" si="314"/>
        <v>2176.8710000000428</v>
      </c>
      <c r="ANE16" s="18">
        <f t="shared" si="314"/>
        <v>2035.706000000122</v>
      </c>
      <c r="ANF16" s="18">
        <f t="shared" si="314"/>
        <v>2260.0789999999688</v>
      </c>
      <c r="ANG16" s="18">
        <f t="shared" si="314"/>
        <v>2142.6449999999604</v>
      </c>
      <c r="ANH16" s="18">
        <f t="shared" si="314"/>
        <v>1966.3360000001267</v>
      </c>
      <c r="ANI16" s="18">
        <f t="shared" si="314"/>
        <v>2303.6399999998393</v>
      </c>
      <c r="ANJ16" s="18">
        <f t="shared" si="314"/>
        <v>1806.1300000001211</v>
      </c>
      <c r="ANK16" s="18">
        <f t="shared" si="314"/>
        <v>2027.9880000000121</v>
      </c>
      <c r="ANL16" s="18">
        <f t="shared" si="314"/>
        <v>1894.0440000001108</v>
      </c>
      <c r="ANM16" s="18">
        <f t="shared" si="314"/>
        <v>2040.5849999997881</v>
      </c>
      <c r="ANN16" s="18">
        <f t="shared" si="314"/>
        <v>2248.5450000002747</v>
      </c>
      <c r="ANO16" s="18">
        <f t="shared" si="314"/>
        <v>2271.6529999998165</v>
      </c>
      <c r="ANP16" s="18">
        <f t="shared" si="314"/>
        <v>1701.3330000000424</v>
      </c>
      <c r="ANQ16" s="18">
        <f t="shared" si="314"/>
        <v>1086.4589999999735</v>
      </c>
      <c r="ANR16" s="18">
        <f t="shared" si="314"/>
        <v>1333.131999999925</v>
      </c>
      <c r="ANS16" s="18">
        <f t="shared" si="314"/>
        <v>1239.1790000000619</v>
      </c>
      <c r="ANT16" s="18">
        <f t="shared" si="314"/>
        <v>1311.6609999999055</v>
      </c>
      <c r="ANU16" s="18">
        <f t="shared" si="314"/>
        <v>1119.285000000149</v>
      </c>
      <c r="ANV16" s="18">
        <f t="shared" si="314"/>
        <v>1718.9539999998524</v>
      </c>
      <c r="ANW16" s="18">
        <f t="shared" si="314"/>
        <v>1406.5129999999772</v>
      </c>
      <c r="ANX16" s="18">
        <f t="shared" si="314"/>
        <v>1385.8450000001467</v>
      </c>
      <c r="ANY16" s="18">
        <f t="shared" si="314"/>
        <v>1542.7170000001788</v>
      </c>
      <c r="ANZ16" s="18">
        <f t="shared" si="314"/>
        <v>1925.4689999996917</v>
      </c>
      <c r="AOA16" s="18">
        <f t="shared" si="314"/>
        <v>1328.8590000001132</v>
      </c>
      <c r="AOB16" s="18">
        <f t="shared" si="314"/>
        <v>1260.0029999998515</v>
      </c>
      <c r="AOC16" s="18">
        <f t="shared" si="314"/>
        <v>1540.739000000176</v>
      </c>
      <c r="AOD16" s="18">
        <f>AOD6+AOD9+AOD12+AOD15</f>
        <v>1826.1869999999763</v>
      </c>
      <c r="AOE16">
        <f>AOE6+AOE9+AOE12+AOE15</f>
        <v>1826.1869999999763</v>
      </c>
      <c r="AOF16">
        <f>AOF6+AOF9+AOF12+AOF15</f>
        <v>-2062711.446</v>
      </c>
    </row>
    <row r="17" spans="1:1072" x14ac:dyDescent="0.2">
      <c r="A17" s="157"/>
      <c r="B17" s="5"/>
      <c r="C17" s="11" t="s">
        <v>766</v>
      </c>
      <c r="D17" s="48">
        <v>0</v>
      </c>
      <c r="E17" s="48">
        <v>0</v>
      </c>
      <c r="F17" s="48">
        <v>0</v>
      </c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9">
        <f>SUM(D17:AF17)</f>
        <v>0</v>
      </c>
      <c r="AP17">
        <v>340</v>
      </c>
      <c r="AU17">
        <v>15</v>
      </c>
      <c r="BA17">
        <v>55.186</v>
      </c>
      <c r="BB17">
        <v>9.6969999999999992</v>
      </c>
      <c r="BG17">
        <v>20</v>
      </c>
      <c r="CK17">
        <v>6.49</v>
      </c>
      <c r="DY17" s="116">
        <f>SUM(CU17:DX17)</f>
        <v>0</v>
      </c>
      <c r="FE17" s="126"/>
      <c r="GK17" s="127">
        <f>SUM(FF17:GJ17)</f>
        <v>0</v>
      </c>
      <c r="GN17">
        <v>5.38</v>
      </c>
      <c r="HO17" s="127">
        <f>SUM(GJ17:HN17)</f>
        <v>5.38</v>
      </c>
      <c r="IU17" s="127">
        <f>SUM(HP17:IT17)</f>
        <v>0</v>
      </c>
      <c r="JC17">
        <v>60</v>
      </c>
      <c r="JZ17" s="127">
        <f>SUM(IU17:JY17)</f>
        <v>60</v>
      </c>
      <c r="KZ17">
        <v>20</v>
      </c>
      <c r="LF17" s="127">
        <f>SUM(KA17:LE17)</f>
        <v>20</v>
      </c>
      <c r="MK17" s="127">
        <f>SUM(LF17:MJ17)</f>
        <v>20</v>
      </c>
      <c r="MU17">
        <v>45.06</v>
      </c>
      <c r="MV17">
        <v>32.906999999999996</v>
      </c>
      <c r="NQ17" s="127">
        <f>SUM(ML17:NP17)</f>
        <v>77.966999999999999</v>
      </c>
      <c r="OW17" s="127">
        <f>SUM(NR17:OV17)</f>
        <v>0</v>
      </c>
      <c r="PU17">
        <v>15.885999999999999</v>
      </c>
      <c r="PZ17">
        <v>19.84</v>
      </c>
      <c r="QA17">
        <v>8</v>
      </c>
      <c r="QB17" s="127">
        <f>SUM(OW17:QA17)</f>
        <v>43.725999999999999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 s="127">
        <f>SUM(QC17:RG17)</f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20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 s="127">
        <f>SUM(RH17:SL17)</f>
        <v>20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 s="127">
        <f>SUM(SN17:TR17)</f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 s="127">
        <f>SUM(TT17:UX17)</f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16.981000000000002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 s="127">
        <f>SUM(UW17:WA17)</f>
        <v>16.981000000000002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24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 s="127">
        <f>SUM(WC17:XG17)</f>
        <v>24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 s="127">
        <f>SUM(XH17:YL17)</f>
        <v>24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 s="127">
        <f>SUM(YN17:ZR17)</f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 s="127">
        <f>SUM(ZS17:AAW17)</f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20</v>
      </c>
      <c r="ABK17">
        <v>0</v>
      </c>
      <c r="ABL17">
        <v>0</v>
      </c>
      <c r="ABM17">
        <v>0</v>
      </c>
      <c r="ABN17">
        <v>0</v>
      </c>
      <c r="ABO17">
        <v>54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19.004999999999999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 s="127">
        <f>SUM(AAY17:ACC17)</f>
        <v>93.004999999999995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40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 s="127">
        <f>SUM(ACE17:ADI17)</f>
        <v>40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53.896999999999998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 s="127">
        <f>SUM(ADK17:AEN17)</f>
        <v>53.896999999999998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 s="127">
        <f>SUM(AEQ17:AFT17)</f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7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5.992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 s="127">
        <f>SUM(AFV17:AGY17)</f>
        <v>12.992000000000001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 s="127">
        <f>SUM(AHB17:AIE17)</f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40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15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15.5</v>
      </c>
      <c r="AJI17">
        <v>0</v>
      </c>
      <c r="AJJ17">
        <v>0</v>
      </c>
      <c r="AJK17">
        <v>0</v>
      </c>
      <c r="AJL17" s="127">
        <f>SUM(AIH17:AJK17)</f>
        <v>70.5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23.23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 s="127">
        <f>SUM(AJM17:AKN17)</f>
        <v>23.23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61.951999999999998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10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 s="127">
        <f>SUM(AKP17:ALT17)</f>
        <v>71.951999999999998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95.878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 s="127">
        <f>SUM(ALV17:AMY17)</f>
        <v>95.878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-7</v>
      </c>
    </row>
    <row r="18" spans="1:1072" ht="16" customHeight="1" thickBot="1" x14ac:dyDescent="0.25">
      <c r="A18" s="158"/>
      <c r="B18" s="7"/>
      <c r="C18" s="8" t="s">
        <v>767</v>
      </c>
      <c r="D18" s="9">
        <f t="shared" ref="D18:AH18" si="315">D16-D17</f>
        <v>2515.9920000000566</v>
      </c>
      <c r="E18" s="9">
        <f t="shared" si="315"/>
        <v>2602.7119999999995</v>
      </c>
      <c r="F18" s="9">
        <f t="shared" si="315"/>
        <v>2463.9309999999823</v>
      </c>
      <c r="G18" s="9">
        <f t="shared" si="315"/>
        <v>2646.283000000054</v>
      </c>
      <c r="H18" s="9">
        <f t="shared" si="315"/>
        <v>2707.9720000000088</v>
      </c>
      <c r="I18" s="9">
        <f t="shared" si="315"/>
        <v>2924.6559999999299</v>
      </c>
      <c r="J18" s="9">
        <f t="shared" si="315"/>
        <v>2531.3330000000715</v>
      </c>
      <c r="K18" s="9">
        <f t="shared" si="315"/>
        <v>2074.2060000000056</v>
      </c>
      <c r="L18" s="9">
        <f t="shared" si="315"/>
        <v>2119.2049999999872</v>
      </c>
      <c r="M18" s="9">
        <f t="shared" si="315"/>
        <v>2367.5359999999928</v>
      </c>
      <c r="N18" s="9">
        <f t="shared" si="315"/>
        <v>2401.3019999999378</v>
      </c>
      <c r="O18" s="9">
        <f t="shared" si="315"/>
        <v>2763.7470000001194</v>
      </c>
      <c r="P18" s="9">
        <f t="shared" si="315"/>
        <v>2484.146000000037</v>
      </c>
      <c r="Q18" s="9">
        <f t="shared" si="315"/>
        <v>2667.1489999999758</v>
      </c>
      <c r="R18" s="9">
        <f t="shared" si="315"/>
        <v>2297.0429999999469</v>
      </c>
      <c r="S18" s="9">
        <f t="shared" si="315"/>
        <v>2449.0470000000205</v>
      </c>
      <c r="T18" s="9">
        <f t="shared" si="315"/>
        <v>2391.0480000000098</v>
      </c>
      <c r="U18" s="9">
        <f t="shared" si="315"/>
        <v>2805.2589999998745</v>
      </c>
      <c r="V18" s="9">
        <f t="shared" si="315"/>
        <v>2358.7680000000109</v>
      </c>
      <c r="W18" s="9">
        <f t="shared" si="315"/>
        <v>2156.3570000000473</v>
      </c>
      <c r="X18" s="9">
        <f t="shared" si="315"/>
        <v>1917.8290000000852</v>
      </c>
      <c r="Y18" s="9">
        <f t="shared" si="315"/>
        <v>2097.9469999999274</v>
      </c>
      <c r="Z18" s="9">
        <f t="shared" si="315"/>
        <v>2254.5150000001013</v>
      </c>
      <c r="AA18" s="9">
        <f t="shared" si="315"/>
        <v>2294.7610000000277</v>
      </c>
      <c r="AB18" s="9">
        <f t="shared" si="315"/>
        <v>2808.735999999888</v>
      </c>
      <c r="AC18" s="9">
        <f t="shared" si="315"/>
        <v>2826.5720000000147</v>
      </c>
      <c r="AD18" s="9">
        <f t="shared" si="315"/>
        <v>2551.2730000000156</v>
      </c>
      <c r="AE18" s="9">
        <f t="shared" si="315"/>
        <v>2109.6019999999553</v>
      </c>
      <c r="AF18" s="9">
        <f t="shared" si="315"/>
        <v>2161.3019999999378</v>
      </c>
      <c r="AG18" s="9">
        <f t="shared" si="315"/>
        <v>2107.965000000142</v>
      </c>
      <c r="AH18" s="9">
        <f t="shared" si="315"/>
        <v>2506.5579999999027</v>
      </c>
      <c r="AI18" s="17">
        <f>SUM(D18:AH18)</f>
        <v>75364.752000000066</v>
      </c>
      <c r="AJ18" s="9">
        <f t="shared" ref="AJ18:BM18" si="316">AJ16-AJ17</f>
        <v>2969.1580000000831</v>
      </c>
      <c r="AK18" s="9">
        <f t="shared" si="316"/>
        <v>2698.1450000000186</v>
      </c>
      <c r="AL18" s="9">
        <f t="shared" si="316"/>
        <v>2582.4199999999546</v>
      </c>
      <c r="AM18" s="9">
        <f t="shared" si="316"/>
        <v>2546.7720000000554</v>
      </c>
      <c r="AN18" s="9">
        <f t="shared" si="316"/>
        <v>2375.1819999999134</v>
      </c>
      <c r="AO18" s="9">
        <f t="shared" si="316"/>
        <v>1841.4459999999963</v>
      </c>
      <c r="AP18" s="9">
        <f t="shared" si="316"/>
        <v>12384.530999999959</v>
      </c>
      <c r="AQ18" s="9">
        <f t="shared" si="316"/>
        <v>2964.377999999997</v>
      </c>
      <c r="AR18" s="9">
        <f t="shared" si="316"/>
        <v>2587.7720000000554</v>
      </c>
      <c r="AS18" s="9">
        <f t="shared" si="316"/>
        <v>2209.6530000000494</v>
      </c>
      <c r="AT18" s="9">
        <f t="shared" si="316"/>
        <v>2037.8069999999134</v>
      </c>
      <c r="AU18" s="9">
        <f t="shared" si="316"/>
        <v>1650.3730000001087</v>
      </c>
      <c r="AV18" s="9">
        <f t="shared" si="316"/>
        <v>11893.728999999905</v>
      </c>
      <c r="AW18" s="9">
        <f t="shared" si="316"/>
        <v>2006.9279999999853</v>
      </c>
      <c r="AX18" s="9">
        <f t="shared" si="316"/>
        <v>2152.9230000000971</v>
      </c>
      <c r="AY18" s="9">
        <f t="shared" si="316"/>
        <v>2232.3069999999716</v>
      </c>
      <c r="AZ18" s="9">
        <f t="shared" si="316"/>
        <v>1988.0550000000221</v>
      </c>
      <c r="BA18" s="9">
        <f t="shared" si="316"/>
        <v>2149.3840000000068</v>
      </c>
      <c r="BB18" s="9">
        <f t="shared" si="316"/>
        <v>1822.4059999999156</v>
      </c>
      <c r="BC18" s="9">
        <f t="shared" si="316"/>
        <v>1922.8449999999721</v>
      </c>
      <c r="BD18" s="9">
        <f t="shared" si="316"/>
        <v>1959.0540000001492</v>
      </c>
      <c r="BE18" s="9">
        <f t="shared" si="316"/>
        <v>2289.8449999999721</v>
      </c>
      <c r="BF18" s="9">
        <f t="shared" si="316"/>
        <v>2263.4409999999043</v>
      </c>
      <c r="BG18" s="9">
        <f t="shared" si="316"/>
        <v>1913.8750000000582</v>
      </c>
      <c r="BH18" s="9">
        <f t="shared" si="316"/>
        <v>2035.7119999999122</v>
      </c>
      <c r="BI18" s="9">
        <f t="shared" si="316"/>
        <v>1949.6750000000175</v>
      </c>
      <c r="BJ18" s="9">
        <f t="shared" si="316"/>
        <v>1992.7820000000647</v>
      </c>
      <c r="BK18" s="9">
        <f t="shared" si="316"/>
        <v>1844.1840000000084</v>
      </c>
      <c r="BL18" s="9">
        <f t="shared" si="316"/>
        <v>2057.8920000000217</v>
      </c>
      <c r="BM18" s="9">
        <f t="shared" si="316"/>
        <v>2209.8049999999639</v>
      </c>
      <c r="BN18" s="89">
        <f>SUM(AJ18:BM18)</f>
        <v>85532.47900000005</v>
      </c>
      <c r="BO18" s="9">
        <f t="shared" ref="BO18:CS18" si="317">BO16-BO17</f>
        <v>1896.1620000000403</v>
      </c>
      <c r="BP18" s="9">
        <f t="shared" si="317"/>
        <v>2038.2319999999891</v>
      </c>
      <c r="BQ18" s="9">
        <f t="shared" si="317"/>
        <v>1984.4679999999935</v>
      </c>
      <c r="BR18" s="9">
        <f t="shared" si="317"/>
        <v>1885.9349999999686</v>
      </c>
      <c r="BS18" s="9">
        <f t="shared" si="317"/>
        <v>1792.4199999999837</v>
      </c>
      <c r="BT18" s="9">
        <f t="shared" si="317"/>
        <v>2103.1970000000438</v>
      </c>
      <c r="BU18" s="9">
        <f t="shared" si="317"/>
        <v>1828.2419999999111</v>
      </c>
      <c r="BV18" s="9">
        <f t="shared" si="317"/>
        <v>2090.7940000000817</v>
      </c>
      <c r="BW18" s="9">
        <f t="shared" si="317"/>
        <v>1940.5490000000282</v>
      </c>
      <c r="BX18" s="9">
        <f t="shared" si="317"/>
        <v>1744.6819999999425</v>
      </c>
      <c r="BY18" s="9">
        <f t="shared" si="317"/>
        <v>1724.216000000044</v>
      </c>
      <c r="BZ18" s="9">
        <f t="shared" si="317"/>
        <v>1783.0089999999327</v>
      </c>
      <c r="CA18" s="9">
        <f t="shared" si="317"/>
        <v>2058.3080000000482</v>
      </c>
      <c r="CB18" s="9">
        <f t="shared" si="317"/>
        <v>2062.2369999999646</v>
      </c>
      <c r="CC18" s="9">
        <f t="shared" si="317"/>
        <v>1972.3250000000116</v>
      </c>
      <c r="CD18" s="9">
        <f t="shared" si="317"/>
        <v>1861.4250000000757</v>
      </c>
      <c r="CE18" s="9">
        <f t="shared" si="317"/>
        <v>1979.5199999999313</v>
      </c>
      <c r="CF18" s="9">
        <f t="shared" si="317"/>
        <v>1727.4770000001008</v>
      </c>
      <c r="CG18" s="9">
        <f t="shared" si="317"/>
        <v>1761.4429999998829</v>
      </c>
      <c r="CH18" s="9">
        <f t="shared" si="317"/>
        <v>1883.9180000000051</v>
      </c>
      <c r="CI18" s="9">
        <f t="shared" si="317"/>
        <v>1967.0059999999357</v>
      </c>
      <c r="CJ18" s="9">
        <f t="shared" si="317"/>
        <v>2072.969000000041</v>
      </c>
      <c r="CK18" s="9">
        <f t="shared" si="317"/>
        <v>1749.9840000001038</v>
      </c>
      <c r="CL18" s="9">
        <f t="shared" si="317"/>
        <v>1968.658999999956</v>
      </c>
      <c r="CM18" s="9">
        <f t="shared" si="317"/>
        <v>1832.5890000000654</v>
      </c>
      <c r="CN18" s="9">
        <f t="shared" si="317"/>
        <v>1879.8129999999946</v>
      </c>
      <c r="CO18" s="9">
        <f t="shared" si="317"/>
        <v>1960.5429999999469</v>
      </c>
      <c r="CP18" s="9">
        <f t="shared" si="317"/>
        <v>2145.3869999999006</v>
      </c>
      <c r="CQ18" s="9">
        <f t="shared" si="317"/>
        <v>1875.3370000000868</v>
      </c>
      <c r="CR18" s="9">
        <f t="shared" si="317"/>
        <v>1975.6299999999756</v>
      </c>
      <c r="CS18" s="9">
        <f t="shared" si="317"/>
        <v>1812.8409999999858</v>
      </c>
      <c r="CT18" s="89">
        <f>SUM(BO18:CS18)</f>
        <v>59359.316999999974</v>
      </c>
      <c r="CU18" s="9">
        <f t="shared" ref="CU18:DX18" si="318">CU16-CU17</f>
        <v>1984.6310000000231</v>
      </c>
      <c r="CV18" s="9">
        <f t="shared" si="318"/>
        <v>1774.6489999999758</v>
      </c>
      <c r="CW18" s="9">
        <f t="shared" si="318"/>
        <v>2036.8670000000275</v>
      </c>
      <c r="CX18" s="9">
        <f t="shared" si="318"/>
        <v>2580.2030000000086</v>
      </c>
      <c r="CY18" s="9">
        <f t="shared" si="318"/>
        <v>2221.2740000000049</v>
      </c>
      <c r="CZ18" s="9">
        <f t="shared" si="318"/>
        <v>2031.4730000000563</v>
      </c>
      <c r="DA18" s="9">
        <f t="shared" si="318"/>
        <v>1811.5549999999639</v>
      </c>
      <c r="DB18" s="9">
        <f t="shared" si="318"/>
        <v>1897.6029999999737</v>
      </c>
      <c r="DC18" s="9">
        <f t="shared" si="318"/>
        <v>2069.5329999999376</v>
      </c>
      <c r="DD18" s="9">
        <f t="shared" si="318"/>
        <v>2154.6170000000566</v>
      </c>
      <c r="DE18" s="9">
        <f t="shared" si="318"/>
        <v>2222.435999999987</v>
      </c>
      <c r="DF18" s="9">
        <f t="shared" si="318"/>
        <v>1878.3369999999413</v>
      </c>
      <c r="DG18" s="9">
        <f t="shared" si="318"/>
        <v>1831.6640000000189</v>
      </c>
      <c r="DH18" s="9">
        <f t="shared" si="318"/>
        <v>2090.5280000000494</v>
      </c>
      <c r="DI18" s="9">
        <f t="shared" si="318"/>
        <v>1791.5830000000133</v>
      </c>
      <c r="DJ18" s="9">
        <f t="shared" si="318"/>
        <v>1200.2230000000563</v>
      </c>
      <c r="DK18" s="9">
        <f t="shared" si="318"/>
        <v>1279.5739999999641</v>
      </c>
      <c r="DL18" s="9">
        <f t="shared" si="318"/>
        <v>1880.1539999998931</v>
      </c>
      <c r="DM18" s="9">
        <f t="shared" si="318"/>
        <v>1597.1719999999623</v>
      </c>
      <c r="DN18" s="9">
        <f t="shared" si="318"/>
        <v>1719.8310000000056</v>
      </c>
      <c r="DO18" s="9">
        <f t="shared" si="318"/>
        <v>1413.1220000000321</v>
      </c>
      <c r="DP18" s="9">
        <f t="shared" si="318"/>
        <v>1780.7030000000668</v>
      </c>
      <c r="DQ18" s="9">
        <f t="shared" si="318"/>
        <v>1851.4770000001008</v>
      </c>
      <c r="DR18" s="9">
        <f t="shared" si="318"/>
        <v>1827.1629999998549</v>
      </c>
      <c r="DS18" s="9">
        <f t="shared" si="318"/>
        <v>2147.0460000000894</v>
      </c>
      <c r="DT18" s="9">
        <f t="shared" si="318"/>
        <v>1673.6210000000137</v>
      </c>
      <c r="DU18" s="9">
        <f t="shared" si="318"/>
        <v>1571.161999999953</v>
      </c>
      <c r="DV18" s="9">
        <f t="shared" si="318"/>
        <v>1448.7960000000603</v>
      </c>
      <c r="DW18" s="9">
        <f t="shared" si="318"/>
        <v>1348.1109999999753</v>
      </c>
      <c r="DX18" s="9">
        <f t="shared" si="318"/>
        <v>1769.3489999999001</v>
      </c>
      <c r="DY18" s="116">
        <f>SUM(CU18:DX18)</f>
        <v>54884.456999999966</v>
      </c>
      <c r="DZ18" s="9">
        <f t="shared" ref="DZ18:FD18" si="319">DZ16-DZ17</f>
        <v>1951.8110000000161</v>
      </c>
      <c r="EA18" s="9">
        <f t="shared" si="319"/>
        <v>1746.7599999999511</v>
      </c>
      <c r="EB18" s="9">
        <f t="shared" si="319"/>
        <v>1455.4300000001094</v>
      </c>
      <c r="EC18" s="9">
        <f t="shared" si="319"/>
        <v>1503.222999999969</v>
      </c>
      <c r="ED18" s="9">
        <f t="shared" si="319"/>
        <v>1514.4670000000042</v>
      </c>
      <c r="EE18" s="9">
        <f t="shared" si="319"/>
        <v>1680.0629999999073</v>
      </c>
      <c r="EF18" s="9">
        <f t="shared" si="319"/>
        <v>1631.3470000000088</v>
      </c>
      <c r="EG18" s="9">
        <f t="shared" si="319"/>
        <v>1895.8700000000827</v>
      </c>
      <c r="EH18" s="9">
        <f t="shared" si="319"/>
        <v>2167.4899999999907</v>
      </c>
      <c r="EI18" s="9">
        <f t="shared" si="319"/>
        <v>2043.6309999999939</v>
      </c>
      <c r="EJ18" s="9">
        <f t="shared" si="319"/>
        <v>1755.9329999999609</v>
      </c>
      <c r="EK18" s="9">
        <f t="shared" si="319"/>
        <v>2028.5110000001732</v>
      </c>
      <c r="EL18" s="9">
        <f t="shared" si="319"/>
        <v>1934.6149999999907</v>
      </c>
      <c r="EM18" s="9">
        <f t="shared" si="319"/>
        <v>1822.5469999999914</v>
      </c>
      <c r="EN18" s="9">
        <f t="shared" si="319"/>
        <v>2333.9719999999215</v>
      </c>
      <c r="EO18" s="9">
        <f t="shared" si="319"/>
        <v>2480.4439999999013</v>
      </c>
      <c r="EP18" s="9">
        <f t="shared" si="319"/>
        <v>2027.9810000001744</v>
      </c>
      <c r="EQ18" s="9">
        <f t="shared" si="319"/>
        <v>2295.2619999999297</v>
      </c>
      <c r="ER18" s="9">
        <f t="shared" si="319"/>
        <v>1747.1759999999776</v>
      </c>
      <c r="ES18" s="9">
        <f t="shared" si="319"/>
        <v>2257.0379999999423</v>
      </c>
      <c r="ET18" s="9">
        <f t="shared" si="319"/>
        <v>2410.9380000000237</v>
      </c>
      <c r="EU18" s="9">
        <f t="shared" si="319"/>
        <v>2816.9270000000542</v>
      </c>
      <c r="EV18" s="9">
        <f t="shared" si="319"/>
        <v>2781.7860000000219</v>
      </c>
      <c r="EW18" s="9">
        <f t="shared" si="319"/>
        <v>2579.6509999999253</v>
      </c>
      <c r="EX18" s="9">
        <f t="shared" si="319"/>
        <v>1920.8440000000701</v>
      </c>
      <c r="EY18" s="9">
        <f t="shared" si="319"/>
        <v>1519.1909999999625</v>
      </c>
      <c r="EZ18" s="9">
        <f t="shared" si="319"/>
        <v>1790.9210000000021</v>
      </c>
      <c r="FA18" s="9">
        <f t="shared" si="319"/>
        <v>1746.0899999999674</v>
      </c>
      <c r="FB18" s="9">
        <f t="shared" si="319"/>
        <v>1984.4010000000126</v>
      </c>
      <c r="FC18" s="9">
        <f t="shared" si="319"/>
        <v>1924.8220000001311</v>
      </c>
      <c r="FD18" s="9">
        <f t="shared" si="319"/>
        <v>2145.0129999998026</v>
      </c>
      <c r="FE18" s="127">
        <f>SUM(DZ18:FD18)</f>
        <v>61894.15499999997</v>
      </c>
      <c r="FF18" s="9">
        <f t="shared" ref="FF18:GJ18" si="320">FF16-FF17</f>
        <v>1837.7400000000198</v>
      </c>
      <c r="FG18" s="9">
        <f t="shared" si="320"/>
        <v>1939.7040000000561</v>
      </c>
      <c r="FH18" s="9">
        <f t="shared" si="320"/>
        <v>1573.5720000000147</v>
      </c>
      <c r="FI18" s="9">
        <f t="shared" si="320"/>
        <v>2007.180999999895</v>
      </c>
      <c r="FJ18" s="9">
        <f t="shared" si="320"/>
        <v>1980.6150000001071</v>
      </c>
      <c r="FK18" s="9">
        <f t="shared" si="320"/>
        <v>1941.4819999999308</v>
      </c>
      <c r="FL18" s="9">
        <f t="shared" si="320"/>
        <v>1914.1230000000505</v>
      </c>
      <c r="FM18" s="9">
        <f t="shared" si="320"/>
        <v>1966.039000000048</v>
      </c>
      <c r="FN18" s="9">
        <f t="shared" si="320"/>
        <v>1942.9090000000142</v>
      </c>
      <c r="FO18" s="9">
        <f t="shared" si="320"/>
        <v>1798.0210000000661</v>
      </c>
      <c r="FP18" s="9">
        <f t="shared" si="320"/>
        <v>1758.905999999959</v>
      </c>
      <c r="FQ18" s="9">
        <f t="shared" si="320"/>
        <v>1885.5269999998854</v>
      </c>
      <c r="FR18" s="9">
        <f t="shared" si="320"/>
        <v>2088.1040000001085</v>
      </c>
      <c r="FS18" s="9">
        <f t="shared" si="320"/>
        <v>1745.39300000004</v>
      </c>
      <c r="FT18" s="9">
        <f t="shared" si="320"/>
        <v>1557.8849999998929</v>
      </c>
      <c r="FU18" s="9">
        <f t="shared" si="320"/>
        <v>1851.1110000000917</v>
      </c>
      <c r="FV18" s="9">
        <f t="shared" si="320"/>
        <v>1466.9099999997707</v>
      </c>
      <c r="FW18" s="9">
        <f t="shared" si="320"/>
        <v>1732.1300000002084</v>
      </c>
      <c r="FX18" s="9">
        <f t="shared" si="320"/>
        <v>2018.3020000000251</v>
      </c>
      <c r="FY18" s="9">
        <f t="shared" si="320"/>
        <v>2231.9319999998843</v>
      </c>
      <c r="FZ18" s="9">
        <f t="shared" si="320"/>
        <v>1844.372999999905</v>
      </c>
      <c r="GA18" s="9">
        <f t="shared" si="320"/>
        <v>1658.5270000002638</v>
      </c>
      <c r="GB18" s="9">
        <f t="shared" si="320"/>
        <v>1871.0989999997546</v>
      </c>
      <c r="GC18" s="9">
        <f t="shared" si="320"/>
        <v>1613.6630000001751</v>
      </c>
      <c r="GD18" s="9">
        <f t="shared" si="320"/>
        <v>2249.7529999999097</v>
      </c>
      <c r="GE18" s="9">
        <f t="shared" si="320"/>
        <v>1976.2229999999399</v>
      </c>
      <c r="GF18" s="9">
        <f t="shared" si="320"/>
        <v>1698.9150000002119</v>
      </c>
      <c r="GG18" s="9">
        <f t="shared" si="320"/>
        <v>1783.7929999998305</v>
      </c>
      <c r="GH18" s="9">
        <f t="shared" si="320"/>
        <v>2027.4670000001497</v>
      </c>
      <c r="GI18" s="9">
        <f t="shared" si="320"/>
        <v>1734.7850000000326</v>
      </c>
      <c r="GJ18" s="9">
        <f t="shared" si="320"/>
        <v>1671.783999999956</v>
      </c>
      <c r="GK18" s="126"/>
      <c r="GL18" s="9">
        <f t="shared" ref="GL18:HN18" si="321">GL16-GL17</f>
        <v>1807.9849999998114</v>
      </c>
      <c r="GM18" s="9">
        <f t="shared" si="321"/>
        <v>1925.2930000001506</v>
      </c>
      <c r="GN18" s="9">
        <f t="shared" si="321"/>
        <v>2703.0769999999948</v>
      </c>
      <c r="GO18" s="9">
        <f t="shared" si="321"/>
        <v>2259.8379999998142</v>
      </c>
      <c r="GP18" s="9">
        <f t="shared" si="321"/>
        <v>2119.0360000001092</v>
      </c>
      <c r="GQ18" s="9">
        <f t="shared" si="321"/>
        <v>2087.9839999999094</v>
      </c>
      <c r="GR18" s="9">
        <f t="shared" si="321"/>
        <v>2352.6100000001898</v>
      </c>
      <c r="GS18" s="9">
        <f t="shared" si="321"/>
        <v>1993.0989999999001</v>
      </c>
      <c r="GT18" s="9">
        <f t="shared" si="321"/>
        <v>2046.7529999999097</v>
      </c>
      <c r="GU18" s="9">
        <f t="shared" si="321"/>
        <v>1874.4230000000098</v>
      </c>
      <c r="GV18" s="9">
        <f t="shared" si="321"/>
        <v>1920.2820000001229</v>
      </c>
      <c r="GW18" s="9">
        <f t="shared" si="321"/>
        <v>1948.2109999999229</v>
      </c>
      <c r="GX18" s="9">
        <f t="shared" si="321"/>
        <v>2190.1770000001125</v>
      </c>
      <c r="GY18" s="9">
        <f t="shared" si="321"/>
        <v>1988.0599999997939</v>
      </c>
      <c r="GZ18" s="9">
        <f t="shared" si="321"/>
        <v>1779.060000000085</v>
      </c>
      <c r="HA18" s="9">
        <f t="shared" si="321"/>
        <v>1797.5520000000251</v>
      </c>
      <c r="HB18" s="9">
        <f t="shared" si="321"/>
        <v>2109.9379999999364</v>
      </c>
      <c r="HC18" s="9">
        <f t="shared" si="321"/>
        <v>1783.9160000000848</v>
      </c>
      <c r="HD18" s="9">
        <f t="shared" si="321"/>
        <v>1691.4269999999378</v>
      </c>
      <c r="HE18" s="9">
        <f t="shared" si="321"/>
        <v>2102.9460000000545</v>
      </c>
      <c r="HF18" s="9">
        <f t="shared" si="321"/>
        <v>1853.98199999996</v>
      </c>
      <c r="HG18" s="9">
        <f t="shared" si="321"/>
        <v>1862.7320000001346</v>
      </c>
      <c r="HH18" s="9">
        <f t="shared" si="321"/>
        <v>1910.7739999999467</v>
      </c>
      <c r="HI18" s="9">
        <f t="shared" si="321"/>
        <v>1947.097000000038</v>
      </c>
      <c r="HJ18" s="9">
        <f t="shared" si="321"/>
        <v>1514.5989999999292</v>
      </c>
      <c r="HK18" s="9">
        <f t="shared" si="321"/>
        <v>1945.8200000000652</v>
      </c>
      <c r="HL18" s="9">
        <f t="shared" si="321"/>
        <v>1788.1879999999364</v>
      </c>
      <c r="HM18" s="9">
        <f t="shared" si="321"/>
        <v>1742.8760000000766</v>
      </c>
      <c r="HN18" s="9">
        <f t="shared" si="321"/>
        <v>2029.3819999998668</v>
      </c>
      <c r="HO18" s="126"/>
      <c r="HP18" s="9">
        <f t="shared" ref="HP18:IT18" si="322">HP16-HP17</f>
        <v>2278.9950000000827</v>
      </c>
      <c r="HQ18" s="9">
        <f t="shared" si="322"/>
        <v>2331.9439999999886</v>
      </c>
      <c r="HR18" s="9">
        <f t="shared" si="322"/>
        <v>2198.3529999999155</v>
      </c>
      <c r="HS18" s="9">
        <f t="shared" si="322"/>
        <v>2083.3380000001052</v>
      </c>
      <c r="HT18" s="9">
        <f t="shared" si="322"/>
        <v>2058.2450000001118</v>
      </c>
      <c r="HU18" s="9">
        <f t="shared" si="322"/>
        <v>2059.7819999999774</v>
      </c>
      <c r="HV18" s="9">
        <f t="shared" si="322"/>
        <v>2346.3479999999399</v>
      </c>
      <c r="HW18" s="9">
        <f t="shared" si="322"/>
        <v>2092.8879999999772</v>
      </c>
      <c r="HX18" s="9">
        <f t="shared" si="322"/>
        <v>1982.3490000000456</v>
      </c>
      <c r="HY18" s="9">
        <f t="shared" si="322"/>
        <v>1894.8789999999281</v>
      </c>
      <c r="HZ18" s="9">
        <f t="shared" si="322"/>
        <v>1998.5509999999776</v>
      </c>
      <c r="IA18" s="9">
        <f t="shared" si="322"/>
        <v>1734.9940000000934</v>
      </c>
      <c r="IB18" s="9">
        <f t="shared" si="322"/>
        <v>1639.0789999999979</v>
      </c>
      <c r="IC18" s="9">
        <f t="shared" si="322"/>
        <v>1588.7099999999045</v>
      </c>
      <c r="ID18" s="9">
        <f t="shared" si="322"/>
        <v>2071.5479999999807</v>
      </c>
      <c r="IE18" s="9">
        <f t="shared" si="322"/>
        <v>1954.4960000000719</v>
      </c>
      <c r="IF18" s="9">
        <f t="shared" si="322"/>
        <v>1810.7749999998196</v>
      </c>
      <c r="IG18" s="9">
        <f t="shared" si="322"/>
        <v>2061.5070000000705</v>
      </c>
      <c r="IH18" s="9">
        <f t="shared" si="322"/>
        <v>1791.203000000125</v>
      </c>
      <c r="II18" s="9">
        <f t="shared" si="322"/>
        <v>1815.024999999936</v>
      </c>
      <c r="IJ18" s="9">
        <f t="shared" si="322"/>
        <v>1660.8670000000857</v>
      </c>
      <c r="IK18" s="9">
        <f t="shared" si="322"/>
        <v>2002.9359999998996</v>
      </c>
      <c r="IL18" s="9">
        <f t="shared" si="322"/>
        <v>2031.9760000001406</v>
      </c>
      <c r="IM18" s="9">
        <f t="shared" si="322"/>
        <v>1798.8259999999136</v>
      </c>
      <c r="IN18" s="9">
        <f t="shared" si="322"/>
        <v>1880.6899999998568</v>
      </c>
      <c r="IO18" s="9">
        <f t="shared" si="322"/>
        <v>1659.8489999999874</v>
      </c>
      <c r="IP18" s="9">
        <f t="shared" si="322"/>
        <v>1880.8760000001639</v>
      </c>
      <c r="IQ18" s="9">
        <f t="shared" si="322"/>
        <v>1844.5109999999404</v>
      </c>
      <c r="IR18" s="9">
        <f t="shared" si="322"/>
        <v>1640.3190000000759</v>
      </c>
      <c r="IS18" s="9">
        <f t="shared" si="322"/>
        <v>1954.7349999999278</v>
      </c>
      <c r="IT18" s="9">
        <f t="shared" si="322"/>
        <v>1357.1619999999821</v>
      </c>
      <c r="IU18" s="126"/>
      <c r="IV18" s="9">
        <f t="shared" ref="IV18:JY18" si="323">IV16-IV17</f>
        <v>1468.997000000003</v>
      </c>
      <c r="IW18" s="9">
        <f t="shared" si="323"/>
        <v>1862.4590000000026</v>
      </c>
      <c r="IX18" s="9">
        <f t="shared" si="323"/>
        <v>1649.4570000000531</v>
      </c>
      <c r="IY18" s="9">
        <f t="shared" si="323"/>
        <v>1645.4719999999506</v>
      </c>
      <c r="IZ18" s="9">
        <f t="shared" si="323"/>
        <v>1853.3479999999399</v>
      </c>
      <c r="JA18" s="9">
        <f t="shared" si="323"/>
        <v>2056.8160000000207</v>
      </c>
      <c r="JB18" s="9">
        <f t="shared" si="323"/>
        <v>1600.4979999999923</v>
      </c>
      <c r="JC18" s="9">
        <f t="shared" si="323"/>
        <v>1867.1240000000107</v>
      </c>
      <c r="JD18" s="9">
        <f t="shared" si="323"/>
        <v>1636.8770000000368</v>
      </c>
      <c r="JE18" s="9">
        <f t="shared" si="323"/>
        <v>1926.3210000000836</v>
      </c>
      <c r="JF18" s="9">
        <f t="shared" si="323"/>
        <v>1578.7939999999362</v>
      </c>
      <c r="JG18" s="9">
        <f t="shared" si="323"/>
        <v>1781.0480000001553</v>
      </c>
      <c r="JH18" s="9">
        <f t="shared" si="323"/>
        <v>1736.1959999997925</v>
      </c>
      <c r="JI18" s="9">
        <f t="shared" si="323"/>
        <v>1275.0760000002047</v>
      </c>
      <c r="JJ18" s="9">
        <f t="shared" si="323"/>
        <v>1937.2169999998005</v>
      </c>
      <c r="JK18" s="9">
        <f t="shared" si="323"/>
        <v>1626.2510000000766</v>
      </c>
      <c r="JL18" s="9">
        <f t="shared" si="323"/>
        <v>1562.6399999999558</v>
      </c>
      <c r="JM18" s="9">
        <f t="shared" si="323"/>
        <v>1515.9640000001818</v>
      </c>
      <c r="JN18" s="9">
        <f t="shared" si="323"/>
        <v>1888.8639999998268</v>
      </c>
      <c r="JO18" s="9">
        <f t="shared" si="323"/>
        <v>1569.0490000000864</v>
      </c>
      <c r="JP18" s="9">
        <f t="shared" si="323"/>
        <v>1444.5010000000184</v>
      </c>
      <c r="JQ18" s="9">
        <f t="shared" si="323"/>
        <v>1751.875999999902</v>
      </c>
      <c r="JR18" s="9">
        <f t="shared" si="323"/>
        <v>1468.9880000000703</v>
      </c>
      <c r="JS18" s="9">
        <f t="shared" si="323"/>
        <v>1731.4620000001159</v>
      </c>
      <c r="JT18" s="9">
        <f t="shared" si="323"/>
        <v>1747.336999999854</v>
      </c>
      <c r="JU18" s="9">
        <f t="shared" si="323"/>
        <v>1965.0909999999276</v>
      </c>
      <c r="JV18" s="9">
        <f t="shared" si="323"/>
        <v>2487.512999999919</v>
      </c>
      <c r="JW18" s="9">
        <f t="shared" si="323"/>
        <v>1831.7090000000608</v>
      </c>
      <c r="JX18" s="9">
        <f t="shared" si="323"/>
        <v>1588.4219999999623</v>
      </c>
      <c r="JY18" s="9">
        <f t="shared" si="323"/>
        <v>1728.5740000000515</v>
      </c>
      <c r="JZ18" s="144">
        <f>JZ6+JZ9+JZ12+JZ15-JZ17</f>
        <v>51783.940999999992</v>
      </c>
      <c r="KA18" s="9">
        <f t="shared" ref="KA18:LE18" si="324">KA16-KA17</f>
        <v>1763.6549999999988</v>
      </c>
      <c r="KB18" s="9">
        <f t="shared" si="324"/>
        <v>1826.0380000000587</v>
      </c>
      <c r="KC18" s="9">
        <f t="shared" si="324"/>
        <v>1711.653999999864</v>
      </c>
      <c r="KD18" s="9">
        <f t="shared" si="324"/>
        <v>1795.3479999999981</v>
      </c>
      <c r="KE18" s="9">
        <f t="shared" si="324"/>
        <v>1882.9480000000913</v>
      </c>
      <c r="KF18" s="9">
        <f t="shared" si="324"/>
        <v>1794.7630000001809</v>
      </c>
      <c r="KG18" s="9">
        <f t="shared" si="324"/>
        <v>1815.3049999999639</v>
      </c>
      <c r="KH18" s="9">
        <f t="shared" si="324"/>
        <v>1575.8519999998389</v>
      </c>
      <c r="KI18" s="9">
        <f t="shared" si="324"/>
        <v>1795.2250000000058</v>
      </c>
      <c r="KJ18" s="9">
        <f t="shared" si="324"/>
        <v>1727.5320000000356</v>
      </c>
      <c r="KK18" s="9">
        <f t="shared" si="324"/>
        <v>2045.5680000000284</v>
      </c>
      <c r="KL18" s="9">
        <f t="shared" si="324"/>
        <v>1733.8899999999267</v>
      </c>
      <c r="KM18" s="9">
        <f t="shared" si="324"/>
        <v>1997.9429999998829</v>
      </c>
      <c r="KN18" s="9">
        <f t="shared" si="324"/>
        <v>1667.6190000002971</v>
      </c>
      <c r="KO18" s="9">
        <f t="shared" si="324"/>
        <v>1538.43299999999</v>
      </c>
      <c r="KP18" s="9">
        <f t="shared" si="324"/>
        <v>1742.2369999999646</v>
      </c>
      <c r="KQ18" s="9">
        <f t="shared" si="324"/>
        <v>1702.1179999998712</v>
      </c>
      <c r="KR18" s="9">
        <f t="shared" si="324"/>
        <v>1783.9379999999655</v>
      </c>
      <c r="KS18" s="9">
        <f t="shared" si="324"/>
        <v>1667.82600000003</v>
      </c>
      <c r="KT18" s="9">
        <f t="shared" si="324"/>
        <v>1914.614000000176</v>
      </c>
      <c r="KU18" s="9">
        <f t="shared" si="324"/>
        <v>1457.1589999998978</v>
      </c>
      <c r="KV18" s="9">
        <f t="shared" si="324"/>
        <v>1600.0749999998661</v>
      </c>
      <c r="KW18" s="9">
        <f t="shared" si="324"/>
        <v>1833.9650000001711</v>
      </c>
      <c r="KX18" s="9">
        <f t="shared" si="324"/>
        <v>1984.5729999999166</v>
      </c>
      <c r="KY18" s="9">
        <f t="shared" si="324"/>
        <v>1727.8739999999816</v>
      </c>
      <c r="KZ18" s="9">
        <f t="shared" si="324"/>
        <v>1902.3680000000459</v>
      </c>
      <c r="LA18" s="9">
        <f t="shared" si="324"/>
        <v>1869.0810000000056</v>
      </c>
      <c r="LB18" s="9">
        <f t="shared" si="324"/>
        <v>1816.4000000000233</v>
      </c>
      <c r="LC18" s="9">
        <f t="shared" si="324"/>
        <v>1720.8429999999644</v>
      </c>
      <c r="LD18" s="9">
        <f t="shared" si="324"/>
        <v>1817.9409999999043</v>
      </c>
      <c r="LE18" s="9">
        <f t="shared" si="324"/>
        <v>2259.8820000001288</v>
      </c>
      <c r="LF18" s="144">
        <f>LF6+LF9+LF12+LF15-LF17</f>
        <v>55472.667000000074</v>
      </c>
      <c r="LG18" s="9">
        <f t="shared" ref="LG18:MJ18" si="325">LG16-LG17</f>
        <v>2428.6429999999527</v>
      </c>
      <c r="LH18" s="9">
        <f t="shared" si="325"/>
        <v>1842.9939999999769</v>
      </c>
      <c r="LI18" s="9">
        <f t="shared" si="325"/>
        <v>2134.1430000001274</v>
      </c>
      <c r="LJ18" s="9">
        <f t="shared" si="325"/>
        <v>2196.8519999999553</v>
      </c>
      <c r="LK18" s="9">
        <f t="shared" si="325"/>
        <v>1814.7359999998007</v>
      </c>
      <c r="LL18" s="9">
        <f t="shared" si="325"/>
        <v>1780.9450000000361</v>
      </c>
      <c r="LM18" s="9">
        <f t="shared" si="325"/>
        <v>2259.6270000001532</v>
      </c>
      <c r="LN18" s="9">
        <f t="shared" si="325"/>
        <v>2535.9169999999867</v>
      </c>
      <c r="LO18" s="9">
        <f t="shared" si="325"/>
        <v>2013.6580000001122</v>
      </c>
      <c r="LP18" s="9">
        <f t="shared" si="325"/>
        <v>2060.506999999925</v>
      </c>
      <c r="LQ18" s="9">
        <f t="shared" si="325"/>
        <v>1881.4099999997998</v>
      </c>
      <c r="LR18" s="9">
        <f t="shared" si="325"/>
        <v>1895.1740000001737</v>
      </c>
      <c r="LS18" s="9">
        <f t="shared" si="325"/>
        <v>1881.8389999998326</v>
      </c>
      <c r="LT18" s="9">
        <f t="shared" si="325"/>
        <v>2090.336000000214</v>
      </c>
      <c r="LU18" s="9">
        <f t="shared" si="325"/>
        <v>2541.2459999999264</v>
      </c>
      <c r="LV18" s="9">
        <f t="shared" si="325"/>
        <v>2026.1599999999453</v>
      </c>
      <c r="LW18" s="9">
        <f t="shared" si="325"/>
        <v>1809.7519999999495</v>
      </c>
      <c r="LX18" s="9">
        <f t="shared" si="325"/>
        <v>1992.0840000001481</v>
      </c>
      <c r="LY18" s="9">
        <f t="shared" si="325"/>
        <v>1852.4480000000913</v>
      </c>
      <c r="LZ18" s="9">
        <f t="shared" si="325"/>
        <v>2001.7139999997744</v>
      </c>
      <c r="MA18" s="9">
        <f t="shared" si="325"/>
        <v>2075.4700000001176</v>
      </c>
      <c r="MB18" s="9">
        <f t="shared" si="325"/>
        <v>2003.3389999998326</v>
      </c>
      <c r="MC18" s="9">
        <f t="shared" si="325"/>
        <v>2053.6290000001609</v>
      </c>
      <c r="MD18" s="9">
        <f t="shared" si="325"/>
        <v>2221.3950000001059</v>
      </c>
      <c r="ME18" s="9">
        <f t="shared" si="325"/>
        <v>1730.2049999999581</v>
      </c>
      <c r="MF18" s="9">
        <f t="shared" si="325"/>
        <v>1939.2749999998778</v>
      </c>
      <c r="MG18" s="9">
        <f t="shared" si="325"/>
        <v>1558.4469999999856</v>
      </c>
      <c r="MH18" s="9">
        <f t="shared" si="325"/>
        <v>1938.935000000085</v>
      </c>
      <c r="MI18" s="9">
        <f t="shared" si="325"/>
        <v>1951.0820000000822</v>
      </c>
      <c r="MJ18" s="9">
        <f t="shared" si="325"/>
        <v>1801.0859999998647</v>
      </c>
      <c r="MK18" s="144">
        <f>MK6+MK9+MK12+MK15-MK17</f>
        <v>115785.71500000003</v>
      </c>
      <c r="ML18" s="9">
        <f t="shared" ref="ML18:NP18" si="326">ML16-ML17</f>
        <v>2189.9460000000545</v>
      </c>
      <c r="MM18" s="9">
        <f t="shared" si="326"/>
        <v>1930.987999999983</v>
      </c>
      <c r="MN18" s="9">
        <f t="shared" si="326"/>
        <v>1757.3420000000624</v>
      </c>
      <c r="MO18" s="9">
        <f t="shared" si="326"/>
        <v>1829.3569999999891</v>
      </c>
      <c r="MP18" s="9">
        <f t="shared" si="326"/>
        <v>2055.3739999998943</v>
      </c>
      <c r="MQ18" s="9">
        <f t="shared" si="326"/>
        <v>1915.3080000001064</v>
      </c>
      <c r="MR18" s="9">
        <f t="shared" si="326"/>
        <v>1987.0559999998077</v>
      </c>
      <c r="MS18" s="9">
        <f t="shared" si="326"/>
        <v>1889.9200000001001</v>
      </c>
      <c r="MT18" s="9">
        <f t="shared" si="326"/>
        <v>1723.8770000000368</v>
      </c>
      <c r="MU18" s="9">
        <f t="shared" si="326"/>
        <v>1509.0249999999046</v>
      </c>
      <c r="MV18" s="9">
        <f t="shared" si="326"/>
        <v>1755.7990000001512</v>
      </c>
      <c r="MW18" s="9">
        <f t="shared" si="326"/>
        <v>1930.424999999901</v>
      </c>
      <c r="MX18" s="9">
        <f t="shared" si="326"/>
        <v>2385.9340000000084</v>
      </c>
      <c r="MY18" s="9">
        <f t="shared" si="326"/>
        <v>1500.3539999999339</v>
      </c>
      <c r="MZ18" s="9">
        <f t="shared" si="326"/>
        <v>1628.730000000156</v>
      </c>
      <c r="NA18" s="9">
        <f t="shared" si="326"/>
        <v>2012.104999999865</v>
      </c>
      <c r="NB18" s="9">
        <f t="shared" si="326"/>
        <v>1663.139000000112</v>
      </c>
      <c r="NC18" s="9">
        <f t="shared" si="326"/>
        <v>1976.9399999998277</v>
      </c>
      <c r="ND18" s="9">
        <f t="shared" si="326"/>
        <v>1855.2760000001872</v>
      </c>
      <c r="NE18" s="9">
        <f t="shared" si="326"/>
        <v>2026.1699999998964</v>
      </c>
      <c r="NF18" s="9">
        <f t="shared" si="326"/>
        <v>1539.9280000000144</v>
      </c>
      <c r="NG18" s="9">
        <f t="shared" si="326"/>
        <v>1643.5639999999257</v>
      </c>
      <c r="NH18" s="9">
        <f t="shared" si="326"/>
        <v>1532.8440000002447</v>
      </c>
      <c r="NI18" s="9">
        <f t="shared" si="326"/>
        <v>1550.4629999998142</v>
      </c>
      <c r="NJ18" s="9">
        <f t="shared" si="326"/>
        <v>1783.8890000000829</v>
      </c>
      <c r="NK18" s="9">
        <f t="shared" si="326"/>
        <v>1930.5329999998503</v>
      </c>
      <c r="NL18" s="9">
        <f t="shared" si="326"/>
        <v>2284.4120000000403</v>
      </c>
      <c r="NM18" s="9">
        <f t="shared" si="326"/>
        <v>1425.4040000002133</v>
      </c>
      <c r="NN18" s="9">
        <f t="shared" si="326"/>
        <v>1958.9449999998324</v>
      </c>
      <c r="NO18" s="9">
        <f t="shared" si="326"/>
        <v>1721.1140000000887</v>
      </c>
      <c r="NP18" s="9">
        <f t="shared" si="326"/>
        <v>1370.8809999999357</v>
      </c>
      <c r="NQ18" s="144">
        <f>NQ6+NQ9+NQ12+NQ15-NQ17</f>
        <v>56265.042000000023</v>
      </c>
      <c r="NR18" s="9">
        <f t="shared" ref="NR18:OV18" si="327">NR16-NR17</f>
        <v>1796.6559999999299</v>
      </c>
      <c r="NS18" s="9">
        <f t="shared" si="327"/>
        <v>1774.2400000001071</v>
      </c>
      <c r="NT18" s="9">
        <f t="shared" si="327"/>
        <v>2174.3570000000473</v>
      </c>
      <c r="NU18" s="9">
        <f t="shared" si="327"/>
        <v>1755.2449999999953</v>
      </c>
      <c r="NV18" s="9">
        <f t="shared" si="327"/>
        <v>1860.8999999998778</v>
      </c>
      <c r="NW18" s="9">
        <f t="shared" si="327"/>
        <v>2223.0799999999581</v>
      </c>
      <c r="NX18" s="9">
        <f t="shared" si="327"/>
        <v>1671.3940000000875</v>
      </c>
      <c r="NY18" s="9">
        <f t="shared" si="327"/>
        <v>1891.2829999999667</v>
      </c>
      <c r="NZ18" s="9">
        <f t="shared" si="327"/>
        <v>2064.8940000000293</v>
      </c>
      <c r="OA18" s="9">
        <f t="shared" si="327"/>
        <v>2098.3849999999511</v>
      </c>
      <c r="OB18" s="9">
        <f t="shared" si="327"/>
        <v>1737.5220000000554</v>
      </c>
      <c r="OC18" s="9">
        <f t="shared" si="327"/>
        <v>1781.3280000000377</v>
      </c>
      <c r="OD18" s="9">
        <f t="shared" si="327"/>
        <v>1911.2009999999427</v>
      </c>
      <c r="OE18" s="9">
        <f t="shared" si="327"/>
        <v>1956.721000000136</v>
      </c>
      <c r="OF18" s="9">
        <f t="shared" si="327"/>
        <v>1893.0019999997749</v>
      </c>
      <c r="OG18" s="9">
        <f t="shared" si="327"/>
        <v>2056.5920000001497</v>
      </c>
      <c r="OH18" s="9">
        <f t="shared" si="327"/>
        <v>2139.1030000000319</v>
      </c>
      <c r="OI18" s="9">
        <f t="shared" si="327"/>
        <v>1757.4399999998277</v>
      </c>
      <c r="OJ18" s="9">
        <f t="shared" si="327"/>
        <v>1990.25400000019</v>
      </c>
      <c r="OK18" s="9">
        <f t="shared" si="327"/>
        <v>1814.5350000000035</v>
      </c>
      <c r="OL18" s="9">
        <f t="shared" si="327"/>
        <v>1708.6169999998529</v>
      </c>
      <c r="OM18" s="9">
        <f t="shared" si="327"/>
        <v>1929.0230000001029</v>
      </c>
      <c r="ON18" s="9">
        <f t="shared" si="327"/>
        <v>1793.3760000000766</v>
      </c>
      <c r="OO18" s="9">
        <f t="shared" si="327"/>
        <v>2031.791999999783</v>
      </c>
      <c r="OP18" s="9">
        <f t="shared" si="327"/>
        <v>1376.5460000000021</v>
      </c>
      <c r="OQ18" s="9">
        <f t="shared" si="327"/>
        <v>1799.1449999998731</v>
      </c>
      <c r="OR18" s="9">
        <f t="shared" si="327"/>
        <v>1868.1030000002647</v>
      </c>
      <c r="OS18" s="9">
        <f t="shared" si="327"/>
        <v>1605.4269999999669</v>
      </c>
      <c r="OT18" s="9">
        <f t="shared" si="327"/>
        <v>1958.8889999999956</v>
      </c>
      <c r="OU18" s="9">
        <f t="shared" si="327"/>
        <v>1831.176999999996</v>
      </c>
      <c r="OV18" s="9">
        <f t="shared" si="327"/>
        <v>2132.3409999998403</v>
      </c>
      <c r="OW18" s="144">
        <f>OW6+OW9+OW12+OW15-OW17</f>
        <v>58382.567999999854</v>
      </c>
      <c r="OX18" s="9">
        <f t="shared" ref="OX18:QA18" si="328">OX16-OX17</f>
        <v>1708.6050000001269</v>
      </c>
      <c r="OY18" s="9">
        <f t="shared" si="328"/>
        <v>1904.4049999999988</v>
      </c>
      <c r="OZ18" s="9">
        <f t="shared" si="328"/>
        <v>1840.9350000000268</v>
      </c>
      <c r="PA18" s="9">
        <f t="shared" si="328"/>
        <v>1758.3039999999455</v>
      </c>
      <c r="PB18" s="9">
        <f t="shared" si="328"/>
        <v>1832.625</v>
      </c>
      <c r="PC18" s="9">
        <f t="shared" si="328"/>
        <v>1983.163000000146</v>
      </c>
      <c r="PD18" s="9">
        <f t="shared" si="328"/>
        <v>1988.4119999998074</v>
      </c>
      <c r="PE18" s="9">
        <f t="shared" si="328"/>
        <v>1730.6600000002072</v>
      </c>
      <c r="PF18" s="9">
        <f t="shared" si="328"/>
        <v>2068.5279999998165</v>
      </c>
      <c r="PG18" s="9">
        <f t="shared" si="328"/>
        <v>1730.7260000001406</v>
      </c>
      <c r="PH18" s="9">
        <f t="shared" si="328"/>
        <v>1583.216999999946</v>
      </c>
      <c r="PI18" s="9">
        <f t="shared" si="328"/>
        <v>1600.0890000000072</v>
      </c>
      <c r="PJ18" s="9">
        <f t="shared" si="328"/>
        <v>2133.1889999999548</v>
      </c>
      <c r="PK18" s="9">
        <f t="shared" si="328"/>
        <v>1990.9460000000836</v>
      </c>
      <c r="PL18" s="9">
        <f t="shared" si="328"/>
        <v>1539.9779999999446</v>
      </c>
      <c r="PM18" s="9">
        <f t="shared" si="328"/>
        <v>1999.1449999999895</v>
      </c>
      <c r="PN18" s="9">
        <f t="shared" si="328"/>
        <v>1859.939999999915</v>
      </c>
      <c r="PO18" s="9">
        <f t="shared" si="328"/>
        <v>1581.5640000001877</v>
      </c>
      <c r="PP18" s="9">
        <f t="shared" si="328"/>
        <v>1531.9119999999239</v>
      </c>
      <c r="PQ18" s="9">
        <f t="shared" si="328"/>
        <v>1633.2209999999905</v>
      </c>
      <c r="PR18" s="9">
        <f t="shared" si="328"/>
        <v>1428.4089999998687</v>
      </c>
      <c r="PS18" s="9">
        <f t="shared" si="328"/>
        <v>1351.6670000001614</v>
      </c>
      <c r="PT18" s="9">
        <f t="shared" si="328"/>
        <v>1568.3809999998775</v>
      </c>
      <c r="PU18" s="9">
        <f t="shared" si="328"/>
        <v>1693.0670000000378</v>
      </c>
      <c r="PV18" s="9">
        <f t="shared" si="328"/>
        <v>1363.2260000000824</v>
      </c>
      <c r="PW18" s="9">
        <f t="shared" si="328"/>
        <v>1325.7109999999229</v>
      </c>
      <c r="PX18" s="9">
        <f t="shared" si="328"/>
        <v>1754.0229999998992</v>
      </c>
      <c r="PY18" s="9">
        <f t="shared" si="328"/>
        <v>1454.5680000001157</v>
      </c>
      <c r="PZ18" s="9">
        <f t="shared" si="328"/>
        <v>877.71300000004351</v>
      </c>
      <c r="QA18" s="9">
        <f t="shared" si="328"/>
        <v>1683.3589999998803</v>
      </c>
      <c r="QB18" s="144">
        <f>QB6+QB9+QB12+QB15-QB17</f>
        <v>50499.688000000046</v>
      </c>
      <c r="QC18" s="9">
        <f t="shared" ref="QC18:RG18" si="329">QC16-QC17</f>
        <v>1430.0030000000843</v>
      </c>
      <c r="QD18" s="9">
        <f t="shared" si="329"/>
        <v>1355.8379999999306</v>
      </c>
      <c r="QE18" s="9">
        <f t="shared" si="329"/>
        <v>1600.4890000001469</v>
      </c>
      <c r="QF18" s="9">
        <f t="shared" si="329"/>
        <v>2190.2709999999206</v>
      </c>
      <c r="QG18" s="9">
        <f t="shared" si="329"/>
        <v>2226.8630000000121</v>
      </c>
      <c r="QH18" s="9">
        <f t="shared" si="329"/>
        <v>1656.7460000000428</v>
      </c>
      <c r="QI18" s="9">
        <f t="shared" si="329"/>
        <v>2188.4540000000561</v>
      </c>
      <c r="QJ18" s="9">
        <f t="shared" si="329"/>
        <v>1742.899999999936</v>
      </c>
      <c r="QK18" s="9">
        <f t="shared" si="329"/>
        <v>1769.8970000000263</v>
      </c>
      <c r="QL18" s="9">
        <f t="shared" si="329"/>
        <v>1747.1439999998547</v>
      </c>
      <c r="QM18" s="9">
        <f t="shared" si="329"/>
        <v>2121.7240000000456</v>
      </c>
      <c r="QN18" s="9">
        <f t="shared" si="329"/>
        <v>1979.940000000177</v>
      </c>
      <c r="QO18" s="9">
        <f t="shared" si="329"/>
        <v>1836.8869999999006</v>
      </c>
      <c r="QP18" s="9">
        <f t="shared" si="329"/>
        <v>2082.4369999999763</v>
      </c>
      <c r="QQ18" s="9">
        <f t="shared" si="329"/>
        <v>1832.1859999999288</v>
      </c>
      <c r="QR18" s="9">
        <f t="shared" si="329"/>
        <v>1457.5070000000997</v>
      </c>
      <c r="QS18" s="9">
        <f t="shared" si="329"/>
        <v>1641.4900000000489</v>
      </c>
      <c r="QT18" s="9">
        <f t="shared" si="329"/>
        <v>2025.4279999998398</v>
      </c>
      <c r="QU18" s="9">
        <f t="shared" si="329"/>
        <v>1880.3940000001458</v>
      </c>
      <c r="QV18" s="9">
        <f t="shared" si="329"/>
        <v>1635.5809999999474</v>
      </c>
      <c r="QW18" s="9">
        <f t="shared" si="329"/>
        <v>1584.585999999952</v>
      </c>
      <c r="QX18" s="9">
        <f t="shared" si="329"/>
        <v>1446.8319999999367</v>
      </c>
      <c r="QY18" s="9">
        <f t="shared" si="329"/>
        <v>1617.6710000002058</v>
      </c>
      <c r="QZ18" s="9">
        <f t="shared" si="329"/>
        <v>1549.0139999999083</v>
      </c>
      <c r="RA18" s="9">
        <f t="shared" si="329"/>
        <v>2260.2139999998617</v>
      </c>
      <c r="RB18" s="9">
        <f t="shared" si="329"/>
        <v>1793.377000000095</v>
      </c>
      <c r="RC18" s="9">
        <f t="shared" si="329"/>
        <v>1448.9440000000759</v>
      </c>
      <c r="RD18" s="9">
        <f t="shared" si="329"/>
        <v>1562.6839999998338</v>
      </c>
      <c r="RE18" s="9">
        <f t="shared" si="329"/>
        <v>1636.0439999999944</v>
      </c>
      <c r="RF18" s="9">
        <f t="shared" si="329"/>
        <v>1260.963000000047</v>
      </c>
      <c r="RG18" s="9">
        <f t="shared" si="329"/>
        <v>1750.5970000000088</v>
      </c>
      <c r="RH18" s="144">
        <f>RH6+RH9+RH12+RH15-RH17</f>
        <v>53574.584999999963</v>
      </c>
      <c r="RI18" s="9">
        <f t="shared" ref="RI18:SL18" si="330">RI16-RI17</f>
        <v>1904.6920000001555</v>
      </c>
      <c r="RJ18" s="9">
        <f t="shared" si="330"/>
        <v>1925.0999999999185</v>
      </c>
      <c r="RK18" s="9">
        <f t="shared" si="330"/>
        <v>1624.1710000000312</v>
      </c>
      <c r="RL18" s="9">
        <f t="shared" si="330"/>
        <v>1932.5999999998603</v>
      </c>
      <c r="RM18" s="9">
        <f t="shared" si="330"/>
        <v>1552.00400000019</v>
      </c>
      <c r="RN18" s="9">
        <f t="shared" si="330"/>
        <v>1430.9859999999753</v>
      </c>
      <c r="RO18" s="9">
        <f t="shared" si="330"/>
        <v>1248.9919999997946</v>
      </c>
      <c r="RP18" s="9">
        <f t="shared" si="330"/>
        <v>1723.6960000001127</v>
      </c>
      <c r="RQ18" s="9">
        <f t="shared" si="330"/>
        <v>1751.8550000000396</v>
      </c>
      <c r="RR18" s="9">
        <f t="shared" si="330"/>
        <v>1595.4299999999348</v>
      </c>
      <c r="RS18" s="9">
        <f t="shared" si="330"/>
        <v>1642.0590000000084</v>
      </c>
      <c r="RT18" s="9">
        <f t="shared" si="330"/>
        <v>1505.8860000000568</v>
      </c>
      <c r="RU18" s="9">
        <f t="shared" si="330"/>
        <v>1612.9749999999185</v>
      </c>
      <c r="RV18" s="9">
        <f t="shared" si="330"/>
        <v>1332.8740000001271</v>
      </c>
      <c r="RW18" s="9">
        <f t="shared" si="330"/>
        <v>1709.7089999999735</v>
      </c>
      <c r="RX18" s="9">
        <f t="shared" si="330"/>
        <v>1660.076999999932</v>
      </c>
      <c r="RY18" s="9">
        <f t="shared" si="330"/>
        <v>1506.8759999999893</v>
      </c>
      <c r="RZ18" s="9">
        <f t="shared" si="330"/>
        <v>1612.3800000001211</v>
      </c>
      <c r="SA18" s="9">
        <f t="shared" si="330"/>
        <v>1940.6869999998016</v>
      </c>
      <c r="SB18" s="9">
        <f t="shared" si="330"/>
        <v>1566.283000000054</v>
      </c>
      <c r="SC18" s="9">
        <f t="shared" si="330"/>
        <v>1482.7520000000368</v>
      </c>
      <c r="SD18" s="9">
        <f t="shared" si="330"/>
        <v>1950.2210000000196</v>
      </c>
      <c r="SE18" s="9">
        <f t="shared" si="330"/>
        <v>1969.335000000021</v>
      </c>
      <c r="SF18" s="9">
        <f t="shared" si="330"/>
        <v>1482.914000000048</v>
      </c>
      <c r="SG18" s="9">
        <f t="shared" si="330"/>
        <v>1685.4500000000116</v>
      </c>
      <c r="SH18" s="9">
        <f t="shared" si="330"/>
        <v>1768.2969999998459</v>
      </c>
      <c r="SI18" s="9">
        <f t="shared" si="330"/>
        <v>1633.8840000000782</v>
      </c>
      <c r="SJ18" s="9">
        <f t="shared" si="330"/>
        <v>1759.015000000014</v>
      </c>
      <c r="SK18" s="9">
        <f t="shared" si="330"/>
        <v>1810.9949999998789</v>
      </c>
      <c r="SL18" s="9">
        <f t="shared" si="330"/>
        <v>2096.5130000001518</v>
      </c>
      <c r="SM18" s="144">
        <f>SM6+SM9+SM12+SM15-SM17</f>
        <v>50418.708000000101</v>
      </c>
      <c r="SN18" s="9">
        <f t="shared" ref="SN18:TR18" si="331">SN16-SN17</f>
        <v>1580.7300000000978</v>
      </c>
      <c r="SO18" s="9">
        <f t="shared" si="331"/>
        <v>1789.9479999998002</v>
      </c>
      <c r="SP18" s="9">
        <f t="shared" si="331"/>
        <v>1563.1090000001132</v>
      </c>
      <c r="SQ18" s="9">
        <f t="shared" si="331"/>
        <v>1730.705999999831</v>
      </c>
      <c r="SR18" s="9">
        <f t="shared" si="331"/>
        <v>1541.7430000001332</v>
      </c>
      <c r="SS18" s="9">
        <f t="shared" si="331"/>
        <v>1816.4240000001155</v>
      </c>
      <c r="ST18" s="9">
        <f t="shared" si="331"/>
        <v>2153.6219999997993</v>
      </c>
      <c r="SU18" s="9">
        <f t="shared" si="331"/>
        <v>1684.4840000000549</v>
      </c>
      <c r="SV18" s="9">
        <f t="shared" si="331"/>
        <v>1921.4769999999553</v>
      </c>
      <c r="SW18" s="9">
        <f t="shared" si="331"/>
        <v>1648.5100000000675</v>
      </c>
      <c r="SX18" s="9">
        <f t="shared" si="331"/>
        <v>1731.8409999998985</v>
      </c>
      <c r="SY18" s="9">
        <f t="shared" si="331"/>
        <v>1788.4520000001066</v>
      </c>
      <c r="SZ18" s="9">
        <f t="shared" si="331"/>
        <v>2036.8309999998892</v>
      </c>
      <c r="TA18" s="9">
        <f t="shared" si="331"/>
        <v>1955.2530000003171</v>
      </c>
      <c r="TB18" s="9">
        <f t="shared" si="331"/>
        <v>1576.808999999892</v>
      </c>
      <c r="TC18" s="9">
        <f t="shared" si="331"/>
        <v>1711.7679999998072</v>
      </c>
      <c r="TD18" s="9">
        <f t="shared" si="331"/>
        <v>1858.5290000001551</v>
      </c>
      <c r="TE18" s="9">
        <f t="shared" si="331"/>
        <v>1776.4129999998841</v>
      </c>
      <c r="TF18" s="9">
        <f t="shared" si="331"/>
        <v>1945.354999999865</v>
      </c>
      <c r="TG18" s="9">
        <f t="shared" si="331"/>
        <v>1949.184000000183</v>
      </c>
      <c r="TH18" s="9">
        <f t="shared" si="331"/>
        <v>2099.7470000000321</v>
      </c>
      <c r="TI18" s="9">
        <f t="shared" si="331"/>
        <v>2053.8539999999339</v>
      </c>
      <c r="TJ18" s="9">
        <f t="shared" si="331"/>
        <v>2112.3130000000237</v>
      </c>
      <c r="TK18" s="9">
        <f t="shared" si="331"/>
        <v>1994.2679999998072</v>
      </c>
      <c r="TL18" s="9">
        <f t="shared" si="331"/>
        <v>1599.6340000000782</v>
      </c>
      <c r="TM18" s="9">
        <f t="shared" si="331"/>
        <v>1476.3050000000512</v>
      </c>
      <c r="TN18" s="9">
        <f t="shared" si="331"/>
        <v>1619.7360000000917</v>
      </c>
      <c r="TO18" s="9">
        <f t="shared" si="331"/>
        <v>1626.8630000000703</v>
      </c>
      <c r="TP18" s="9">
        <f t="shared" si="331"/>
        <v>1368.8849999998929</v>
      </c>
      <c r="TQ18" s="9">
        <f t="shared" si="331"/>
        <v>1640.7190000001574</v>
      </c>
      <c r="TR18" s="9">
        <f t="shared" si="331"/>
        <v>1834.3739999997779</v>
      </c>
      <c r="TS18" s="144">
        <f>TS6+TS9+TS12+TS15-TS17</f>
        <v>53607.155999999784</v>
      </c>
      <c r="TT18" s="9">
        <f t="shared" ref="TT18:UX18" si="332">TT16-TT17</f>
        <v>1300.9000000001979</v>
      </c>
      <c r="TU18" s="9">
        <f t="shared" si="332"/>
        <v>1437.359999999986</v>
      </c>
      <c r="TV18" s="9">
        <f t="shared" si="332"/>
        <v>1577.9369999999763</v>
      </c>
      <c r="TW18" s="9">
        <f t="shared" si="332"/>
        <v>1688.1179999997257</v>
      </c>
      <c r="TX18" s="9">
        <f t="shared" si="332"/>
        <v>1400.191000000108</v>
      </c>
      <c r="TY18" s="9">
        <f t="shared" si="332"/>
        <v>1761.0659999999916</v>
      </c>
      <c r="TZ18" s="9">
        <f t="shared" si="332"/>
        <v>1866.7260000000824</v>
      </c>
      <c r="UA18" s="9">
        <f t="shared" si="332"/>
        <v>1658.0889999999781</v>
      </c>
      <c r="UB18" s="9">
        <f t="shared" si="332"/>
        <v>1652.0050000002375</v>
      </c>
      <c r="UC18" s="9">
        <f t="shared" si="332"/>
        <v>1789.332999999926</v>
      </c>
      <c r="UD18" s="9">
        <f t="shared" si="332"/>
        <v>1971.1609999999637</v>
      </c>
      <c r="UE18" s="9">
        <f t="shared" si="332"/>
        <v>1471.3449999999721</v>
      </c>
      <c r="UF18" s="9">
        <f t="shared" si="332"/>
        <v>1706.6729999999516</v>
      </c>
      <c r="UG18" s="9">
        <f t="shared" si="332"/>
        <v>1822.9309999999241</v>
      </c>
      <c r="UH18" s="9">
        <f t="shared" si="332"/>
        <v>1826.0230000000447</v>
      </c>
      <c r="UI18" s="9">
        <f t="shared" si="332"/>
        <v>1746.9479999999749</v>
      </c>
      <c r="UJ18" s="9">
        <f t="shared" si="332"/>
        <v>1906.9089999999269</v>
      </c>
      <c r="UK18" s="9">
        <f t="shared" si="332"/>
        <v>1910.3410000001313</v>
      </c>
      <c r="UL18" s="9">
        <f t="shared" si="332"/>
        <v>1845.8789999999572</v>
      </c>
      <c r="UM18" s="9">
        <f t="shared" si="332"/>
        <v>1554.0419999999576</v>
      </c>
      <c r="UN18" s="9">
        <f t="shared" si="332"/>
        <v>1597.2140000000945</v>
      </c>
      <c r="UO18" s="9">
        <f t="shared" si="332"/>
        <v>1710.963000000047</v>
      </c>
      <c r="UP18" s="9">
        <f t="shared" si="332"/>
        <v>1730.8889999998501</v>
      </c>
      <c r="UQ18" s="9">
        <f t="shared" si="332"/>
        <v>2041.6840000002412</v>
      </c>
      <c r="UR18" s="9">
        <f t="shared" si="332"/>
        <v>1739.2389999997104</v>
      </c>
      <c r="US18" s="9">
        <f t="shared" si="332"/>
        <v>1645.480000000156</v>
      </c>
      <c r="UT18" s="9">
        <f t="shared" si="332"/>
        <v>1878.7589999999618</v>
      </c>
      <c r="UU18" s="9">
        <f t="shared" si="332"/>
        <v>1635.3420000000624</v>
      </c>
      <c r="UV18" s="9">
        <f t="shared" si="332"/>
        <v>1614.9089999998687</v>
      </c>
      <c r="UW18" s="9">
        <f t="shared" si="332"/>
        <v>1724.1419999999925</v>
      </c>
      <c r="UX18" s="9">
        <f t="shared" si="332"/>
        <v>1889.8820000000997</v>
      </c>
      <c r="UY18" s="144">
        <f>UY6+UY9+UY12+UY15-UY17</f>
        <v>53102.480000000098</v>
      </c>
      <c r="UZ18" s="9">
        <f t="shared" ref="UZ18:WA18" si="333">UZ16-UZ17</f>
        <v>1946.0080000000307</v>
      </c>
      <c r="VA18" s="9">
        <f t="shared" si="333"/>
        <v>1672.0379999999423</v>
      </c>
      <c r="VB18" s="9">
        <f t="shared" si="333"/>
        <v>1948.6829999999609</v>
      </c>
      <c r="VC18" s="9">
        <f t="shared" si="333"/>
        <v>1589.5559999999823</v>
      </c>
      <c r="VD18" s="9">
        <f t="shared" si="333"/>
        <v>1808.3940000000875</v>
      </c>
      <c r="VE18" s="9">
        <f t="shared" si="333"/>
        <v>1768.030999999959</v>
      </c>
      <c r="VF18" s="9">
        <f t="shared" si="333"/>
        <v>1839.905999999959</v>
      </c>
      <c r="VG18" s="9">
        <f t="shared" si="333"/>
        <v>1760.939000000013</v>
      </c>
      <c r="VH18" s="9">
        <f t="shared" si="333"/>
        <v>1635.2670000000508</v>
      </c>
      <c r="VI18" s="9">
        <f t="shared" si="333"/>
        <v>1736.6339999999036</v>
      </c>
      <c r="VJ18" s="9">
        <f t="shared" si="333"/>
        <v>1554.0409999999683</v>
      </c>
      <c r="VK18" s="9">
        <f t="shared" si="333"/>
        <v>1658.1520000000601</v>
      </c>
      <c r="VL18" s="9">
        <f t="shared" si="333"/>
        <v>1658.9310000001569</v>
      </c>
      <c r="VM18" s="9">
        <f t="shared" si="333"/>
        <v>2338.5179999998072</v>
      </c>
      <c r="VN18" s="9">
        <f t="shared" si="333"/>
        <v>1411.9130000001751</v>
      </c>
      <c r="VO18" s="9">
        <f t="shared" si="333"/>
        <v>1946.9229999996605</v>
      </c>
      <c r="VP18" s="9">
        <f t="shared" si="333"/>
        <v>1866.7540000002189</v>
      </c>
      <c r="VQ18" s="9">
        <f t="shared" si="333"/>
        <v>1636.2119999999413</v>
      </c>
      <c r="VR18" s="9">
        <f t="shared" si="333"/>
        <v>1670.5909999999567</v>
      </c>
      <c r="VS18" s="9">
        <f t="shared" si="333"/>
        <v>1670.2100000001374</v>
      </c>
      <c r="VT18" s="9">
        <f t="shared" si="333"/>
        <v>1679.9019999999437</v>
      </c>
      <c r="VU18" s="9">
        <f t="shared" si="333"/>
        <v>2010.1099999999278</v>
      </c>
      <c r="VV18" s="9">
        <f t="shared" si="333"/>
        <v>1532.975999999966</v>
      </c>
      <c r="VW18" s="9">
        <f t="shared" si="333"/>
        <v>1641.7560000001686</v>
      </c>
      <c r="VX18" s="9">
        <f t="shared" si="333"/>
        <v>1675.7359999999171</v>
      </c>
      <c r="VY18" s="9">
        <f t="shared" si="333"/>
        <v>1561.8079999999609</v>
      </c>
      <c r="VZ18" s="9">
        <f t="shared" si="333"/>
        <v>1863.8329999999842</v>
      </c>
      <c r="WA18" s="9">
        <f t="shared" si="333"/>
        <v>1638.2710000001243</v>
      </c>
      <c r="WB18" s="144">
        <f>WB6+WB9+WB12+WB15-WB17</f>
        <v>48722.092999999964</v>
      </c>
      <c r="WC18" s="9">
        <f t="shared" ref="WC18:XG18" si="334">WC16-WC17</f>
        <v>1858.3310000000056</v>
      </c>
      <c r="WD18" s="9">
        <f t="shared" si="334"/>
        <v>1490.5630000000237</v>
      </c>
      <c r="WE18" s="9">
        <f t="shared" si="334"/>
        <v>1697.769999999844</v>
      </c>
      <c r="WF18" s="9">
        <f t="shared" si="334"/>
        <v>1507.2920000002487</v>
      </c>
      <c r="WG18" s="9">
        <f t="shared" si="334"/>
        <v>1342.3209999998799</v>
      </c>
      <c r="WH18" s="9">
        <f t="shared" si="334"/>
        <v>1623.9980000001378</v>
      </c>
      <c r="WI18" s="9">
        <f t="shared" si="334"/>
        <v>1698.6249999997672</v>
      </c>
      <c r="WJ18" s="9">
        <f t="shared" si="334"/>
        <v>1523.3960000000661</v>
      </c>
      <c r="WK18" s="9">
        <f t="shared" si="334"/>
        <v>1598.8630000000703</v>
      </c>
      <c r="WL18" s="9">
        <f t="shared" si="334"/>
        <v>1801.39300000004</v>
      </c>
      <c r="WM18" s="9">
        <f t="shared" si="334"/>
        <v>1860.9370000001509</v>
      </c>
      <c r="WN18" s="9">
        <f t="shared" si="334"/>
        <v>1437.5380000000005</v>
      </c>
      <c r="WO18" s="9">
        <f t="shared" si="334"/>
        <v>1456.49099999998</v>
      </c>
      <c r="WP18" s="9">
        <f t="shared" si="334"/>
        <v>1699.8959999997169</v>
      </c>
      <c r="WQ18" s="9">
        <f t="shared" si="334"/>
        <v>1906.3979999999283</v>
      </c>
      <c r="WR18" s="9">
        <f t="shared" si="334"/>
        <v>1401.0950000000303</v>
      </c>
      <c r="WS18" s="9">
        <f t="shared" si="334"/>
        <v>1423.5599999999977</v>
      </c>
      <c r="WT18" s="9">
        <f t="shared" si="334"/>
        <v>1489.9049999999115</v>
      </c>
      <c r="WU18" s="9">
        <f t="shared" si="334"/>
        <v>1627.8340000003227</v>
      </c>
      <c r="WV18" s="9">
        <f t="shared" si="334"/>
        <v>1537.9129999998841</v>
      </c>
      <c r="WW18" s="9">
        <f t="shared" si="334"/>
        <v>1545.9949999999371</v>
      </c>
      <c r="WX18" s="9">
        <f t="shared" si="334"/>
        <v>1818.7750000000233</v>
      </c>
      <c r="WY18" s="9">
        <f t="shared" si="334"/>
        <v>1681.4139999999315</v>
      </c>
      <c r="WZ18" s="9">
        <f t="shared" si="334"/>
        <v>1708.1340000001364</v>
      </c>
      <c r="XA18" s="9">
        <f t="shared" si="334"/>
        <v>1547.2270000000717</v>
      </c>
      <c r="XB18" s="9">
        <f t="shared" si="334"/>
        <v>1529.2679999999818</v>
      </c>
      <c r="XC18" s="9">
        <f t="shared" si="334"/>
        <v>1871.7970000000787</v>
      </c>
      <c r="XD18" s="9">
        <f t="shared" si="334"/>
        <v>2079.9039999998058</v>
      </c>
      <c r="XE18" s="9">
        <f t="shared" si="334"/>
        <v>2021.9689999999828</v>
      </c>
      <c r="XF18" s="9">
        <f t="shared" si="334"/>
        <v>1703.8580000001821</v>
      </c>
      <c r="XG18" s="9">
        <f t="shared" si="334"/>
        <v>1341.5449999999255</v>
      </c>
      <c r="XH18" s="127">
        <f>SUM(WC18:XG18)</f>
        <v>50834.005000000063</v>
      </c>
      <c r="XI18" s="9">
        <f t="shared" ref="XI18:YL18" si="335">XI16-XI17</f>
        <v>1692.2409999998054</v>
      </c>
      <c r="XJ18" s="9">
        <f t="shared" si="335"/>
        <v>1506.2030000000377</v>
      </c>
      <c r="XK18" s="9">
        <f t="shared" si="335"/>
        <v>1711.5090000000782</v>
      </c>
      <c r="XL18" s="9">
        <f t="shared" si="335"/>
        <v>1680.3559999999707</v>
      </c>
      <c r="XM18" s="9">
        <f t="shared" si="335"/>
        <v>1820.1860000001034</v>
      </c>
      <c r="XN18" s="9">
        <f t="shared" si="335"/>
        <v>1590.1610000000801</v>
      </c>
      <c r="XO18" s="9">
        <f t="shared" si="335"/>
        <v>1904.0979999997653</v>
      </c>
      <c r="XP18" s="9">
        <f t="shared" si="335"/>
        <v>1588.1199999999953</v>
      </c>
      <c r="XQ18" s="9">
        <f t="shared" si="335"/>
        <v>1520.6850000001141</v>
      </c>
      <c r="XR18" s="9">
        <f t="shared" si="335"/>
        <v>1763.6979999999749</v>
      </c>
      <c r="XS18" s="9">
        <f t="shared" si="335"/>
        <v>1899.9039999999804</v>
      </c>
      <c r="XT18" s="9">
        <f t="shared" si="335"/>
        <v>1826.386000000115</v>
      </c>
      <c r="XU18" s="9">
        <f t="shared" si="335"/>
        <v>1692.4009999998379</v>
      </c>
      <c r="XV18" s="9">
        <f t="shared" si="335"/>
        <v>1598.5230000000447</v>
      </c>
      <c r="XW18" s="9">
        <f t="shared" si="335"/>
        <v>1693.7560000001104</v>
      </c>
      <c r="XX18" s="9">
        <f t="shared" si="335"/>
        <v>1913.1249999997672</v>
      </c>
      <c r="XY18" s="9">
        <f t="shared" si="335"/>
        <v>1796.4920000001439</v>
      </c>
      <c r="XZ18" s="9">
        <f t="shared" si="335"/>
        <v>1646.5489999999409</v>
      </c>
      <c r="YA18" s="9">
        <f t="shared" si="335"/>
        <v>2097.1949999999488</v>
      </c>
      <c r="YB18" s="9">
        <f t="shared" si="335"/>
        <v>1299.4640000001527</v>
      </c>
      <c r="YC18" s="9">
        <f t="shared" si="335"/>
        <v>1657.9019999998854</v>
      </c>
      <c r="YD18" s="9">
        <f t="shared" si="335"/>
        <v>1626.0690000000759</v>
      </c>
      <c r="YE18" s="9">
        <f t="shared" si="335"/>
        <v>1460.0790000002016</v>
      </c>
      <c r="YF18" s="9">
        <f t="shared" si="335"/>
        <v>1800.1049999997485</v>
      </c>
      <c r="YG18" s="9">
        <f t="shared" si="335"/>
        <v>1998.8780000000261</v>
      </c>
      <c r="YH18" s="9">
        <f t="shared" si="335"/>
        <v>1835.5479999998934</v>
      </c>
      <c r="YI18" s="9">
        <f t="shared" si="335"/>
        <v>1678.8930000002147</v>
      </c>
      <c r="YJ18" s="9">
        <f t="shared" si="335"/>
        <v>1550.3559999997378</v>
      </c>
      <c r="YK18" s="9">
        <f t="shared" si="335"/>
        <v>1664.5949999999721</v>
      </c>
      <c r="YL18" s="9">
        <f t="shared" si="335"/>
        <v>1649.1830000002519</v>
      </c>
      <c r="YM18" s="127">
        <f>SUM(XH18:YL18)</f>
        <v>101996.66500000004</v>
      </c>
      <c r="YN18" s="9">
        <f t="shared" ref="YN18:ZR18" si="336">YN16-YN17</f>
        <v>1616.1609999999055</v>
      </c>
      <c r="YO18" s="9">
        <f t="shared" si="336"/>
        <v>2148.1169999999693</v>
      </c>
      <c r="YP18" s="9">
        <f t="shared" si="336"/>
        <v>1845.8790000000736</v>
      </c>
      <c r="YQ18" s="9">
        <f t="shared" si="336"/>
        <v>2019.9130000000005</v>
      </c>
      <c r="YR18" s="9">
        <f t="shared" si="336"/>
        <v>2277.8149999998277</v>
      </c>
      <c r="YS18" s="9">
        <f t="shared" si="336"/>
        <v>2105.6240000000689</v>
      </c>
      <c r="YT18" s="9">
        <f t="shared" si="336"/>
        <v>1506.4140000002226</v>
      </c>
      <c r="YU18" s="9">
        <f t="shared" si="336"/>
        <v>0</v>
      </c>
      <c r="YV18" s="9">
        <f t="shared" si="336"/>
        <v>1219.4219999999623</v>
      </c>
      <c r="YW18" s="9">
        <f t="shared" si="336"/>
        <v>1929.8150000000023</v>
      </c>
      <c r="YX18" s="9">
        <f t="shared" si="336"/>
        <v>1330.7189999998664</v>
      </c>
      <c r="YY18" s="9">
        <f t="shared" si="336"/>
        <v>1839.5610000000452</v>
      </c>
      <c r="YZ18" s="9">
        <f t="shared" si="336"/>
        <v>1434.5270000000601</v>
      </c>
      <c r="ZA18" s="9">
        <f t="shared" si="336"/>
        <v>1625.2979999999516</v>
      </c>
      <c r="ZB18" s="9">
        <f t="shared" si="336"/>
        <v>1678.1989999999059</v>
      </c>
      <c r="ZC18" s="9">
        <f t="shared" si="336"/>
        <v>1619.978000000061</v>
      </c>
      <c r="ZD18" s="9">
        <f t="shared" si="336"/>
        <v>1863.4360000000452</v>
      </c>
      <c r="ZE18" s="9">
        <f t="shared" si="336"/>
        <v>1814.9360000000452</v>
      </c>
      <c r="ZF18" s="9">
        <f t="shared" si="336"/>
        <v>1954.1760000000359</v>
      </c>
      <c r="ZG18" s="9">
        <f t="shared" si="336"/>
        <v>1807.128999999899</v>
      </c>
      <c r="ZH18" s="9">
        <f t="shared" si="336"/>
        <v>1706.2339999998803</v>
      </c>
      <c r="ZI18" s="9">
        <f t="shared" si="336"/>
        <v>1786.024000000034</v>
      </c>
      <c r="ZJ18" s="9">
        <f t="shared" si="336"/>
        <v>2210.6350000000675</v>
      </c>
      <c r="ZK18" s="9">
        <f t="shared" si="336"/>
        <v>2536.7269999999553</v>
      </c>
      <c r="ZL18" s="9">
        <f t="shared" si="336"/>
        <v>2154.2029999998631</v>
      </c>
      <c r="ZM18" s="9">
        <f t="shared" si="336"/>
        <v>2091.8040000001201</v>
      </c>
      <c r="ZN18" s="9">
        <f t="shared" si="336"/>
        <v>1778.1150000001071</v>
      </c>
      <c r="ZO18" s="9">
        <f t="shared" si="336"/>
        <v>2067.75</v>
      </c>
      <c r="ZP18" s="9">
        <f t="shared" si="336"/>
        <v>1811.1780000000144</v>
      </c>
      <c r="ZQ18" s="9">
        <f t="shared" si="336"/>
        <v>1956.3830000000889</v>
      </c>
      <c r="ZR18" s="9">
        <f t="shared" si="336"/>
        <v>2094.5599999999977</v>
      </c>
      <c r="ZS18" s="127">
        <f>SUM(YN18:ZR18)</f>
        <v>55830.732000000076</v>
      </c>
      <c r="ZT18" s="9">
        <f t="shared" ref="ZT18:AAW18" si="337">ZT16-ZT17</f>
        <v>1865.0989999999292</v>
      </c>
      <c r="ZU18" s="9">
        <f t="shared" si="337"/>
        <v>1836.0799999998417</v>
      </c>
      <c r="ZV18" s="9">
        <f t="shared" si="337"/>
        <v>2005.3750000000582</v>
      </c>
      <c r="ZW18" s="9">
        <f t="shared" si="337"/>
        <v>1910.0080000000307</v>
      </c>
      <c r="ZX18" s="9">
        <f t="shared" si="337"/>
        <v>2212.2810000001336</v>
      </c>
      <c r="ZY18" s="9">
        <f t="shared" si="337"/>
        <v>1963.1799999998184</v>
      </c>
      <c r="ZZ18" s="9">
        <f t="shared" si="337"/>
        <v>1978.6169999999693</v>
      </c>
      <c r="AAA18" s="9">
        <f t="shared" si="337"/>
        <v>1939.7380000003031</v>
      </c>
      <c r="AAB18" s="9">
        <f t="shared" si="337"/>
        <v>1745.2639999997336</v>
      </c>
      <c r="AAC18" s="9">
        <f t="shared" si="337"/>
        <v>1887.3520000000717</v>
      </c>
      <c r="AAD18" s="9">
        <f t="shared" si="337"/>
        <v>1711.8620000000228</v>
      </c>
      <c r="AAE18" s="9">
        <f t="shared" si="337"/>
        <v>1643.5100000000675</v>
      </c>
      <c r="AAF18" s="9">
        <f t="shared" si="337"/>
        <v>2240.4919999997364</v>
      </c>
      <c r="AAG18" s="9">
        <f t="shared" si="337"/>
        <v>2257.6790000002366</v>
      </c>
      <c r="AAH18" s="9">
        <f t="shared" si="337"/>
        <v>2004.5559999998659</v>
      </c>
      <c r="AAI18" s="9">
        <f t="shared" si="337"/>
        <v>1909.1040000001667</v>
      </c>
      <c r="AAJ18" s="9">
        <f t="shared" si="337"/>
        <v>1940.7549999997718</v>
      </c>
      <c r="AAK18" s="9">
        <f t="shared" si="337"/>
        <v>1862.7230000002892</v>
      </c>
      <c r="AAL18" s="9">
        <f t="shared" si="337"/>
        <v>2062.4919999997364</v>
      </c>
      <c r="AAM18" s="9">
        <f t="shared" si="337"/>
        <v>1964.144000000204</v>
      </c>
      <c r="AAN18" s="9">
        <f t="shared" si="337"/>
        <v>2180.9720000000088</v>
      </c>
      <c r="AAO18" s="9">
        <f t="shared" si="337"/>
        <v>1641.8499999999185</v>
      </c>
      <c r="AAP18" s="9">
        <f t="shared" si="337"/>
        <v>1920.2529999997932</v>
      </c>
      <c r="AAQ18" s="9">
        <f t="shared" si="337"/>
        <v>1772.7320000000182</v>
      </c>
      <c r="AAR18" s="9">
        <f t="shared" si="337"/>
        <v>1964.2879999999423</v>
      </c>
      <c r="AAS18" s="9">
        <f t="shared" si="337"/>
        <v>1914.6890000001877</v>
      </c>
      <c r="AAT18" s="9">
        <f t="shared" si="337"/>
        <v>2074.1969999999856</v>
      </c>
      <c r="AAU18" s="9">
        <f t="shared" si="337"/>
        <v>2266.3080000000191</v>
      </c>
      <c r="AAV18" s="9">
        <f t="shared" si="337"/>
        <v>1800.1040000003413</v>
      </c>
      <c r="AAW18" s="9">
        <f t="shared" si="337"/>
        <v>1871.7499999997672</v>
      </c>
      <c r="AAX18" s="127">
        <f>SUM(ZT18:AAW18)</f>
        <v>58347.453999999969</v>
      </c>
      <c r="AAY18" s="9">
        <f t="shared" ref="AAY18:ACC18" si="338">AAY16-AAY17</f>
        <v>1988.5240000000922</v>
      </c>
      <c r="AAZ18" s="9">
        <f t="shared" si="338"/>
        <v>1730.1829999999609</v>
      </c>
      <c r="ABA18" s="9">
        <f t="shared" si="338"/>
        <v>1793.723999999871</v>
      </c>
      <c r="ABB18" s="9">
        <f t="shared" si="338"/>
        <v>2018.6749999999884</v>
      </c>
      <c r="ABC18" s="9">
        <f t="shared" si="338"/>
        <v>2648.5220000001136</v>
      </c>
      <c r="ABD18" s="9">
        <f t="shared" si="338"/>
        <v>2104.4649999999092</v>
      </c>
      <c r="ABE18" s="9">
        <f t="shared" si="338"/>
        <v>1824.5999999999767</v>
      </c>
      <c r="ABF18" s="9">
        <f t="shared" si="338"/>
        <v>2053.2250000000349</v>
      </c>
      <c r="ABG18" s="9">
        <f t="shared" si="338"/>
        <v>1908.3759999998729</v>
      </c>
      <c r="ABH18" s="9">
        <f t="shared" si="338"/>
        <v>1877.5170000002254</v>
      </c>
      <c r="ABI18" s="9">
        <f t="shared" si="338"/>
        <v>1976.3429999997607</v>
      </c>
      <c r="ABJ18" s="9">
        <f t="shared" si="338"/>
        <v>1191.0789999999106</v>
      </c>
      <c r="ABK18" s="9">
        <f t="shared" si="338"/>
        <v>2024.9700000001467</v>
      </c>
      <c r="ABL18" s="9">
        <f t="shared" si="338"/>
        <v>1791.4649999999674</v>
      </c>
      <c r="ABM18" s="9">
        <f t="shared" si="338"/>
        <v>1920.7970000001369</v>
      </c>
      <c r="ABN18" s="9">
        <f t="shared" si="338"/>
        <v>1877.0729999998002</v>
      </c>
      <c r="ABO18" s="9">
        <f t="shared" si="338"/>
        <v>1988.4820000001346</v>
      </c>
      <c r="ABP18" s="9">
        <f t="shared" si="338"/>
        <v>2087.2250000000349</v>
      </c>
      <c r="ABQ18" s="9">
        <f t="shared" si="338"/>
        <v>1904.5940000000992</v>
      </c>
      <c r="ABR18" s="9">
        <f t="shared" si="338"/>
        <v>2019.6569999998319</v>
      </c>
      <c r="ABS18" s="9">
        <f t="shared" si="338"/>
        <v>1896.4790000001667</v>
      </c>
      <c r="ABT18" s="9">
        <f t="shared" si="338"/>
        <v>1849.2929999997723</v>
      </c>
      <c r="ABU18" s="9">
        <f t="shared" si="338"/>
        <v>2032.5780000000959</v>
      </c>
      <c r="ABV18" s="9">
        <f t="shared" si="338"/>
        <v>2025.8030000000726</v>
      </c>
      <c r="ABW18" s="9">
        <f t="shared" si="338"/>
        <v>2399.7039999997987</v>
      </c>
      <c r="ABX18" s="9">
        <f t="shared" si="338"/>
        <v>2166.9360000003362</v>
      </c>
      <c r="ABY18" s="9">
        <f t="shared" si="338"/>
        <v>1904.0869999997667</v>
      </c>
      <c r="ABZ18" s="9">
        <f t="shared" si="338"/>
        <v>1995.1049999999814</v>
      </c>
      <c r="ACA18" s="9">
        <f t="shared" si="338"/>
        <v>1779.3199999998906</v>
      </c>
      <c r="ACB18" s="9">
        <f t="shared" si="338"/>
        <v>1782.9020000002347</v>
      </c>
      <c r="ACC18" s="9">
        <f t="shared" si="338"/>
        <v>1988.3319999999367</v>
      </c>
      <c r="ACD18" s="127">
        <f>SUM(AAY18:ACC18)</f>
        <v>60550.034999999923</v>
      </c>
      <c r="ACE18" s="9">
        <f t="shared" ref="ACE18:ADI18" si="339">ACE16-ACE17</f>
        <v>1953.9670000000624</v>
      </c>
      <c r="ACF18" s="9">
        <f t="shared" si="339"/>
        <v>2386.9700000000303</v>
      </c>
      <c r="ACG18" s="9">
        <f t="shared" si="339"/>
        <v>2115.6889999998966</v>
      </c>
      <c r="ACH18" s="9">
        <f t="shared" si="339"/>
        <v>2127.7360000000335</v>
      </c>
      <c r="ACI18" s="9">
        <f t="shared" si="339"/>
        <v>2285.0239999999758</v>
      </c>
      <c r="ACJ18" s="9">
        <f t="shared" si="339"/>
        <v>1635.4900000001071</v>
      </c>
      <c r="ACK18" s="9">
        <f t="shared" si="339"/>
        <v>1930.3510000000824</v>
      </c>
      <c r="ACL18" s="9">
        <f t="shared" si="339"/>
        <v>2049.7789999997476</v>
      </c>
      <c r="ACM18" s="9">
        <f t="shared" si="339"/>
        <v>1822.767000000109</v>
      </c>
      <c r="ACN18" s="9">
        <f t="shared" si="339"/>
        <v>1662.9329999998445</v>
      </c>
      <c r="ACO18" s="9">
        <f t="shared" si="339"/>
        <v>2228.4670000001788</v>
      </c>
      <c r="ACP18" s="9">
        <f t="shared" si="339"/>
        <v>1546.0629999998491</v>
      </c>
      <c r="ACQ18" s="9">
        <f t="shared" si="339"/>
        <v>1595.7790000000969</v>
      </c>
      <c r="ACR18" s="9">
        <f t="shared" si="339"/>
        <v>1854.4519999999902</v>
      </c>
      <c r="ACS18" s="9">
        <f t="shared" si="339"/>
        <v>2094.6779999999562</v>
      </c>
      <c r="ACT18" s="9">
        <f t="shared" si="339"/>
        <v>1662.0799999999581</v>
      </c>
      <c r="ACU18" s="9">
        <f t="shared" si="339"/>
        <v>1822.5410000002012</v>
      </c>
      <c r="ACV18" s="9">
        <f t="shared" si="339"/>
        <v>1869.5569999999134</v>
      </c>
      <c r="ACW18" s="9">
        <f t="shared" si="339"/>
        <v>1371.5480000000098</v>
      </c>
      <c r="ACX18" s="9">
        <f t="shared" si="339"/>
        <v>1522.0469999999623</v>
      </c>
      <c r="ACY18" s="9">
        <f t="shared" si="339"/>
        <v>1749.3629999998375</v>
      </c>
      <c r="ACZ18" s="9">
        <f t="shared" si="339"/>
        <v>2015.5920000000624</v>
      </c>
      <c r="ADA18" s="9">
        <f t="shared" si="339"/>
        <v>1804.4480000000913</v>
      </c>
      <c r="ADB18" s="9">
        <f t="shared" si="339"/>
        <v>1532.3190000000759</v>
      </c>
      <c r="ADC18" s="9">
        <f t="shared" si="339"/>
        <v>1394.3820000000997</v>
      </c>
      <c r="ADD18" s="9">
        <f t="shared" si="339"/>
        <v>1698.6549999998533</v>
      </c>
      <c r="ADE18" s="9">
        <f t="shared" si="339"/>
        <v>1783.6680000000051</v>
      </c>
      <c r="ADF18" s="9">
        <f t="shared" si="339"/>
        <v>1438.0650000001187</v>
      </c>
      <c r="ADG18" s="9">
        <f t="shared" si="339"/>
        <v>1911.0619999998598</v>
      </c>
      <c r="ADH18" s="9">
        <f t="shared" si="339"/>
        <v>1924.0450000000419</v>
      </c>
      <c r="ADI18" s="9">
        <f t="shared" si="339"/>
        <v>1625.4469999999274</v>
      </c>
      <c r="ADJ18" s="127">
        <f>SUM(ACE18:ADI18)</f>
        <v>56414.963999999978</v>
      </c>
      <c r="ADK18" s="9">
        <f t="shared" ref="ADK18:AEN18" si="340">ADK16-ADK17</f>
        <v>1653.5039999999572</v>
      </c>
      <c r="ADL18" s="9">
        <f t="shared" si="340"/>
        <v>1537.3820000000997</v>
      </c>
      <c r="ADM18" s="9">
        <f t="shared" si="340"/>
        <v>1398.155999999959</v>
      </c>
      <c r="ADN18" s="9">
        <f t="shared" si="340"/>
        <v>1820.4850000000442</v>
      </c>
      <c r="ADO18" s="9">
        <f t="shared" si="340"/>
        <v>1760.3299999998999</v>
      </c>
      <c r="ADP18" s="9">
        <f t="shared" si="340"/>
        <v>1975.5430000001797</v>
      </c>
      <c r="ADQ18" s="9">
        <f t="shared" si="340"/>
        <v>1738.3680000000168</v>
      </c>
      <c r="ADR18" s="9">
        <f t="shared" si="340"/>
        <v>1713.75499999983</v>
      </c>
      <c r="ADS18" s="9">
        <f t="shared" si="340"/>
        <v>1513.8320000000531</v>
      </c>
      <c r="ADT18" s="9">
        <f t="shared" si="340"/>
        <v>1380.710999999952</v>
      </c>
      <c r="ADU18" s="9">
        <f t="shared" si="340"/>
        <v>1577.3600000000442</v>
      </c>
      <c r="ADV18" s="9">
        <f t="shared" si="340"/>
        <v>1705.4050000002026</v>
      </c>
      <c r="ADW18" s="9">
        <f t="shared" si="340"/>
        <v>1869.6599999996834</v>
      </c>
      <c r="ADX18" s="9">
        <f t="shared" si="340"/>
        <v>1551.8129999999655</v>
      </c>
      <c r="ADY18" s="9">
        <f t="shared" si="340"/>
        <v>1749.2879999999423</v>
      </c>
      <c r="ADZ18" s="9">
        <f t="shared" si="340"/>
        <v>1503.4570000003441</v>
      </c>
      <c r="AEA18" s="9">
        <f t="shared" si="340"/>
        <v>1265.4729999998817</v>
      </c>
      <c r="AEB18" s="9">
        <f t="shared" si="340"/>
        <v>1627.4379999999073</v>
      </c>
      <c r="AEC18" s="9">
        <f t="shared" si="340"/>
        <v>1441.3650000001653</v>
      </c>
      <c r="AED18" s="9">
        <f t="shared" si="340"/>
        <v>1446.7639999997918</v>
      </c>
      <c r="AEE18" s="9">
        <f t="shared" si="340"/>
        <v>1511.9390000001295</v>
      </c>
      <c r="AEF18" s="9">
        <f t="shared" si="340"/>
        <v>1602.5719999999828</v>
      </c>
      <c r="AEG18" s="9">
        <f t="shared" si="340"/>
        <v>1560.4409999999334</v>
      </c>
      <c r="AEH18" s="9">
        <f t="shared" si="340"/>
        <v>1460.1000000000349</v>
      </c>
      <c r="AEI18" s="9">
        <f t="shared" si="340"/>
        <v>1550.4130000001169</v>
      </c>
      <c r="AEJ18" s="9">
        <f t="shared" si="340"/>
        <v>1811.5279999999912</v>
      </c>
      <c r="AEK18" s="9">
        <f t="shared" si="340"/>
        <v>1657.6899999998859</v>
      </c>
      <c r="AEL18" s="9">
        <f t="shared" si="340"/>
        <v>1584.6990000000806</v>
      </c>
      <c r="AEM18" s="9">
        <f t="shared" si="340"/>
        <v>1863.414000000048</v>
      </c>
      <c r="AEN18" s="9">
        <f t="shared" si="340"/>
        <v>1449.3929999998072</v>
      </c>
      <c r="AEO18" s="127">
        <f>SUM(ADK18:AEN18)</f>
        <v>48282.277999999933</v>
      </c>
      <c r="AEP18" s="9">
        <f t="shared" ref="AEP18:AFT18" si="341">AEP16-AEP17</f>
        <v>1414.0800000001327</v>
      </c>
      <c r="AEQ18" s="9">
        <f t="shared" si="341"/>
        <v>1511.4299999998766</v>
      </c>
      <c r="AER18" s="9">
        <f t="shared" si="341"/>
        <v>1717.2049999999581</v>
      </c>
      <c r="AES18" s="9">
        <f t="shared" si="341"/>
        <v>1832.7470000001485</v>
      </c>
      <c r="AET18" s="9">
        <f t="shared" si="341"/>
        <v>1543.0910000000149</v>
      </c>
      <c r="AEU18" s="9">
        <f t="shared" si="341"/>
        <v>1744.1169999999111</v>
      </c>
      <c r="AEV18" s="9">
        <f t="shared" si="341"/>
        <v>1488.4690000000992</v>
      </c>
      <c r="AEW18" s="9">
        <f t="shared" si="341"/>
        <v>1576.2820000000647</v>
      </c>
      <c r="AEX18" s="9">
        <f t="shared" si="341"/>
        <v>1749.3989999999176</v>
      </c>
      <c r="AEY18" s="9">
        <f t="shared" si="341"/>
        <v>1987.23199999996</v>
      </c>
      <c r="AEZ18" s="9">
        <f t="shared" si="341"/>
        <v>1675.5830000000424</v>
      </c>
      <c r="AFA18" s="9">
        <f t="shared" si="341"/>
        <v>1564.1289999999572</v>
      </c>
      <c r="AFB18" s="9">
        <f t="shared" si="341"/>
        <v>1564.1990000000224</v>
      </c>
      <c r="AFC18" s="9">
        <f t="shared" si="341"/>
        <v>1607.6819999999716</v>
      </c>
      <c r="AFD18" s="9">
        <f t="shared" si="341"/>
        <v>1672.7430000001332</v>
      </c>
      <c r="AFE18" s="9">
        <f t="shared" si="341"/>
        <v>1666.6790000000037</v>
      </c>
      <c r="AFF18" s="9">
        <f t="shared" si="341"/>
        <v>1486.9159999999683</v>
      </c>
      <c r="AFG18" s="9">
        <f t="shared" si="341"/>
        <v>1662.7000000000116</v>
      </c>
      <c r="AFH18" s="9">
        <f t="shared" si="341"/>
        <v>1575.5620000000927</v>
      </c>
      <c r="AFI18" s="9">
        <f t="shared" si="341"/>
        <v>1515.6799999998184</v>
      </c>
      <c r="AFJ18" s="9">
        <f t="shared" si="341"/>
        <v>1726.6690000001108</v>
      </c>
      <c r="AFK18" s="9">
        <f t="shared" si="341"/>
        <v>1524.9339999997173</v>
      </c>
      <c r="AFL18" s="9">
        <f t="shared" si="341"/>
        <v>1423.873000000196</v>
      </c>
      <c r="AFM18" s="9">
        <f t="shared" si="341"/>
        <v>1724.3009999999776</v>
      </c>
      <c r="AFN18" s="9">
        <f t="shared" si="341"/>
        <v>2019.545999999973</v>
      </c>
      <c r="AFO18" s="9">
        <f t="shared" si="341"/>
        <v>1699.8269999998738</v>
      </c>
      <c r="AFP18" s="9">
        <f t="shared" si="341"/>
        <v>1594.0169999999925</v>
      </c>
      <c r="AFQ18" s="9">
        <f t="shared" si="341"/>
        <v>1547.0380000002915</v>
      </c>
      <c r="AFR18" s="9">
        <f t="shared" si="341"/>
        <v>1421.3029999996652</v>
      </c>
      <c r="AFS18" s="9">
        <f t="shared" si="341"/>
        <v>1551.8060000002733</v>
      </c>
      <c r="AFT18" s="9">
        <f t="shared" si="341"/>
        <v>1787.210000000021</v>
      </c>
      <c r="AFU18" s="127">
        <f>SUM(AEP18:AFT18)</f>
        <v>50576.449000000197</v>
      </c>
      <c r="AFV18" s="9">
        <f t="shared" ref="AFV18:AGY18" si="342">AFV16-AFV17</f>
        <v>1788.0129999998608</v>
      </c>
      <c r="AFW18" s="9">
        <f t="shared" si="342"/>
        <v>1773.5330000001122</v>
      </c>
      <c r="AFX18" s="9">
        <f t="shared" si="342"/>
        <v>1634.6480000000447</v>
      </c>
      <c r="AFY18" s="9">
        <f t="shared" si="342"/>
        <v>1639.534999999858</v>
      </c>
      <c r="AFZ18" s="9">
        <f t="shared" si="342"/>
        <v>1747.0619999998016</v>
      </c>
      <c r="AGA18" s="9">
        <f t="shared" si="342"/>
        <v>1694.2430000003078</v>
      </c>
      <c r="AGB18" s="9">
        <f t="shared" si="342"/>
        <v>1784.1099999998114</v>
      </c>
      <c r="AGC18" s="9">
        <f t="shared" si="342"/>
        <v>1441.2120000001742</v>
      </c>
      <c r="AGD18" s="9">
        <f t="shared" si="342"/>
        <v>1869.2049999997835</v>
      </c>
      <c r="AGE18" s="9">
        <f t="shared" si="342"/>
        <v>1786.4410000001662</v>
      </c>
      <c r="AGF18" s="9">
        <f t="shared" si="342"/>
        <v>1615.564000000013</v>
      </c>
      <c r="AGG18" s="9">
        <f t="shared" si="342"/>
        <v>1338.1289999999572</v>
      </c>
      <c r="AGH18" s="9">
        <f t="shared" si="342"/>
        <v>1567.2889999998733</v>
      </c>
      <c r="AGI18" s="9">
        <f t="shared" si="342"/>
        <v>1633.9820000002203</v>
      </c>
      <c r="AGJ18" s="9">
        <f t="shared" si="342"/>
        <v>1541.5569999999134</v>
      </c>
      <c r="AGK18" s="9">
        <f t="shared" si="342"/>
        <v>1540.0489999999991</v>
      </c>
      <c r="AGL18" s="9">
        <f t="shared" si="342"/>
        <v>1888.5770000001066</v>
      </c>
      <c r="AGM18" s="9">
        <f t="shared" si="342"/>
        <v>1723.1840000000084</v>
      </c>
      <c r="AGN18" s="9">
        <f t="shared" si="342"/>
        <v>1644.6139999997686</v>
      </c>
      <c r="AGO18" s="9">
        <f t="shared" si="342"/>
        <v>1827.225999999966</v>
      </c>
      <c r="AGP18" s="9">
        <f t="shared" si="342"/>
        <v>1887.6280000002007</v>
      </c>
      <c r="AGQ18" s="9">
        <f t="shared" si="342"/>
        <v>2036.8499999997439</v>
      </c>
      <c r="AGR18" s="9">
        <f t="shared" si="342"/>
        <v>1527.0450000001583</v>
      </c>
      <c r="AGS18" s="9">
        <f t="shared" si="342"/>
        <v>1624.9870000001974</v>
      </c>
      <c r="AGT18" s="9">
        <f t="shared" si="342"/>
        <v>1895.0689999997267</v>
      </c>
      <c r="AGU18" s="9">
        <f t="shared" si="342"/>
        <v>1652.7930000001215</v>
      </c>
      <c r="AGV18" s="9">
        <f t="shared" si="342"/>
        <v>1804.0810000000056</v>
      </c>
      <c r="AGW18" s="9">
        <f t="shared" si="342"/>
        <v>2122.478000000061</v>
      </c>
      <c r="AGX18" s="9">
        <f t="shared" si="342"/>
        <v>2078.5289999998058</v>
      </c>
      <c r="AGY18" s="9">
        <f t="shared" si="342"/>
        <v>1693.8270000001066</v>
      </c>
      <c r="AGZ18" s="127">
        <f>SUM(AFV18:AGY18)</f>
        <v>51801.459999999875</v>
      </c>
      <c r="AHA18" s="9">
        <f t="shared" ref="AHA18:AIE18" si="343">AHA16-AHA17</f>
        <v>1855.7019999998738</v>
      </c>
      <c r="AHB18" s="9">
        <f t="shared" si="343"/>
        <v>1762.6859999999288</v>
      </c>
      <c r="AHC18" s="9">
        <f t="shared" si="343"/>
        <v>1549.7120000002324</v>
      </c>
      <c r="AHD18" s="9">
        <f t="shared" si="343"/>
        <v>1981.433999999892</v>
      </c>
      <c r="AHE18" s="9">
        <f t="shared" si="343"/>
        <v>2122.5430000001797</v>
      </c>
      <c r="AHF18" s="9">
        <f t="shared" si="343"/>
        <v>1936.8949999999022</v>
      </c>
      <c r="AHG18" s="9">
        <f t="shared" si="343"/>
        <v>1738.8640000001178</v>
      </c>
      <c r="AHH18" s="9">
        <f t="shared" si="343"/>
        <v>1874.2889999997569</v>
      </c>
      <c r="AHI18" s="9">
        <f t="shared" si="343"/>
        <v>1543.6370000001043</v>
      </c>
      <c r="AHJ18" s="9">
        <f t="shared" si="343"/>
        <v>1810.0720000000438</v>
      </c>
      <c r="AHK18" s="9">
        <f t="shared" si="343"/>
        <v>2033.381999999925</v>
      </c>
      <c r="AHL18" s="9">
        <f t="shared" si="343"/>
        <v>2028.8789999999572</v>
      </c>
      <c r="AHM18" s="9">
        <f t="shared" si="343"/>
        <v>2092.3769999999786</v>
      </c>
      <c r="AHN18" s="9">
        <f t="shared" si="343"/>
        <v>1759.7630000002682</v>
      </c>
      <c r="AHO18" s="9">
        <f t="shared" si="343"/>
        <v>1794.4319999999134</v>
      </c>
      <c r="AHP18" s="9">
        <f t="shared" si="343"/>
        <v>1701.1089999998221</v>
      </c>
      <c r="AHQ18" s="9">
        <f t="shared" si="343"/>
        <v>1554.7240000002203</v>
      </c>
      <c r="AHR18" s="9">
        <f t="shared" si="343"/>
        <v>2043.4239999999991</v>
      </c>
      <c r="AHS18" s="9">
        <f t="shared" si="343"/>
        <v>2113.372999999905</v>
      </c>
      <c r="AHT18" s="9">
        <f t="shared" si="343"/>
        <v>1940.8040000000619</v>
      </c>
      <c r="AHU18" s="9">
        <f t="shared" si="343"/>
        <v>1976.743000000075</v>
      </c>
      <c r="AHV18" s="9">
        <f t="shared" si="343"/>
        <v>2111.677999999898</v>
      </c>
      <c r="AHW18" s="9">
        <f t="shared" si="343"/>
        <v>2360.8650000000489</v>
      </c>
      <c r="AHX18" s="9">
        <f t="shared" si="343"/>
        <v>2378.9220000000205</v>
      </c>
      <c r="AHY18" s="9">
        <f t="shared" si="343"/>
        <v>1711.0600000000559</v>
      </c>
      <c r="AHZ18" s="9">
        <f t="shared" si="343"/>
        <v>1715.2690000000293</v>
      </c>
      <c r="AIA18" s="9">
        <f t="shared" si="343"/>
        <v>1514.5339999996941</v>
      </c>
      <c r="AIB18" s="9">
        <f t="shared" si="343"/>
        <v>1364.0270000001765</v>
      </c>
      <c r="AIC18" s="9">
        <f t="shared" si="343"/>
        <v>1432.6819999999716</v>
      </c>
      <c r="AID18" s="9">
        <f t="shared" si="343"/>
        <v>1671.9069999998901</v>
      </c>
      <c r="AIE18" s="9">
        <f t="shared" si="343"/>
        <v>2022.9660000001313</v>
      </c>
      <c r="AIF18" s="127">
        <f>SUM(AHA18:AIE18)</f>
        <v>57498.754000000074</v>
      </c>
      <c r="AIG18" s="9">
        <f t="shared" ref="AIG18:AJK18" si="344">AIG16-AIG17</f>
        <v>1477.3299999998999</v>
      </c>
      <c r="AIH18" s="9">
        <f t="shared" si="344"/>
        <v>1634.1359999999404</v>
      </c>
      <c r="AII18" s="9">
        <f t="shared" si="344"/>
        <v>1632.5020000002114</v>
      </c>
      <c r="AIJ18" s="9">
        <f t="shared" si="344"/>
        <v>1720.3720000000903</v>
      </c>
      <c r="AIK18" s="9">
        <f t="shared" si="344"/>
        <v>2000.4259999995702</v>
      </c>
      <c r="AIL18" s="9">
        <f t="shared" si="344"/>
        <v>1963.6010000003153</v>
      </c>
      <c r="AIM18" s="9">
        <f t="shared" si="344"/>
        <v>1952.5789999999688</v>
      </c>
      <c r="AIN18" s="9">
        <f t="shared" si="344"/>
        <v>1884.0770000001066</v>
      </c>
      <c r="AIO18" s="9">
        <f t="shared" si="344"/>
        <v>1672.3379999998142</v>
      </c>
      <c r="AIP18" s="9">
        <f t="shared" si="344"/>
        <v>2307.0019999998622</v>
      </c>
      <c r="AIQ18" s="9">
        <f t="shared" si="344"/>
        <v>1874.3760000002803</v>
      </c>
      <c r="AIR18" s="9">
        <f t="shared" si="344"/>
        <v>1701.434999999823</v>
      </c>
      <c r="AIS18" s="9">
        <f t="shared" si="344"/>
        <v>1871.5509999999776</v>
      </c>
      <c r="AIT18" s="9">
        <f t="shared" si="344"/>
        <v>1769.2200000000885</v>
      </c>
      <c r="AIU18" s="9">
        <f t="shared" si="344"/>
        <v>1090.2360000000917</v>
      </c>
      <c r="AIV18" s="9">
        <f t="shared" si="344"/>
        <v>1530.3800000000629</v>
      </c>
      <c r="AIW18" s="9">
        <f t="shared" si="344"/>
        <v>858.24799999996321</v>
      </c>
      <c r="AIX18" s="9">
        <f t="shared" si="344"/>
        <v>1029.6279999998515</v>
      </c>
      <c r="AIY18" s="9">
        <f t="shared" si="344"/>
        <v>1638.7080000001006</v>
      </c>
      <c r="AIZ18" s="9">
        <f t="shared" si="344"/>
        <v>1643.4249999999302</v>
      </c>
      <c r="AJA18" s="9">
        <f t="shared" si="344"/>
        <v>1890.3779999999679</v>
      </c>
      <c r="AJB18" s="9">
        <f t="shared" si="344"/>
        <v>1784.7359999999753</v>
      </c>
      <c r="AJC18" s="9">
        <f t="shared" si="344"/>
        <v>1885.3010000001523</v>
      </c>
      <c r="AJD18" s="9">
        <f t="shared" si="344"/>
        <v>1983.4619999998249</v>
      </c>
      <c r="AJE18" s="9">
        <f t="shared" si="344"/>
        <v>1826.6610000000801</v>
      </c>
      <c r="AJF18" s="9">
        <f t="shared" si="344"/>
        <v>1652.5849999998463</v>
      </c>
      <c r="AJG18" s="9">
        <f t="shared" si="344"/>
        <v>1881.7430000001914</v>
      </c>
      <c r="AJH18" s="9">
        <f t="shared" si="344"/>
        <v>1648.0029999998515</v>
      </c>
      <c r="AJI18" s="9">
        <f t="shared" si="344"/>
        <v>1653.2360000001499</v>
      </c>
      <c r="AJJ18" s="9">
        <f t="shared" si="344"/>
        <v>1637.0659999999916</v>
      </c>
      <c r="AJK18" s="9">
        <f t="shared" si="344"/>
        <v>1678.034999999858</v>
      </c>
      <c r="AJL18" s="127">
        <f>SUM(AIG18:AJK18)</f>
        <v>52772.775999999838</v>
      </c>
      <c r="AJM18" s="9">
        <f t="shared" ref="AJM18:AKN18" si="345">AJM16-AJM17</f>
        <v>1444.4250000001048</v>
      </c>
      <c r="AJN18" s="9">
        <f t="shared" si="345"/>
        <v>1739.6950000001816</v>
      </c>
      <c r="AJO18" s="9">
        <f t="shared" si="345"/>
        <v>1894.7479999997886</v>
      </c>
      <c r="AJP18" s="9">
        <f t="shared" si="345"/>
        <v>1706.9740000002785</v>
      </c>
      <c r="AJQ18" s="9">
        <f t="shared" si="345"/>
        <v>1615.0059999999357</v>
      </c>
      <c r="AJR18" s="9">
        <f t="shared" si="345"/>
        <v>1517.4709999998449</v>
      </c>
      <c r="AJS18" s="9">
        <f t="shared" si="345"/>
        <v>1967.8330000001006</v>
      </c>
      <c r="AJT18" s="9">
        <f t="shared" si="345"/>
        <v>1714.3969999997644</v>
      </c>
      <c r="AJU18" s="9">
        <f t="shared" si="345"/>
        <v>1873.8700000001118</v>
      </c>
      <c r="AJV18" s="9">
        <f t="shared" si="345"/>
        <v>1748.6100000000442</v>
      </c>
      <c r="AJW18" s="9">
        <f t="shared" si="345"/>
        <v>1636.376999999804</v>
      </c>
      <c r="AJX18" s="9">
        <f t="shared" si="345"/>
        <v>1740.0300000000279</v>
      </c>
      <c r="AJY18" s="9">
        <f t="shared" si="345"/>
        <v>1952.7450000000536</v>
      </c>
      <c r="AJZ18" s="9">
        <f t="shared" si="345"/>
        <v>1695.5880000001052</v>
      </c>
      <c r="AKA18" s="9">
        <f t="shared" si="345"/>
        <v>1635.438000000082</v>
      </c>
      <c r="AKB18" s="9">
        <f t="shared" si="345"/>
        <v>1551.0099999998929</v>
      </c>
      <c r="AKC18" s="9">
        <f t="shared" si="345"/>
        <v>1773.0269999998854</v>
      </c>
      <c r="AKD18" s="9">
        <f t="shared" si="345"/>
        <v>1621.4940000001807</v>
      </c>
      <c r="AKE18" s="9">
        <f t="shared" si="345"/>
        <v>1441.3450000000303</v>
      </c>
      <c r="AKF18" s="9">
        <f t="shared" si="345"/>
        <v>1404.2680000000983</v>
      </c>
      <c r="AKG18" s="9">
        <f t="shared" si="345"/>
        <v>1736.7919999996479</v>
      </c>
      <c r="AKH18" s="9">
        <f t="shared" si="345"/>
        <v>1304.5140000001993</v>
      </c>
      <c r="AKI18" s="9">
        <f t="shared" si="345"/>
        <v>1579.1910000000498</v>
      </c>
      <c r="AKJ18" s="9">
        <f t="shared" si="345"/>
        <v>1517.4469999998109</v>
      </c>
      <c r="AKK18" s="9">
        <f t="shared" si="345"/>
        <v>1594.9890000002342</v>
      </c>
      <c r="AKL18" s="9">
        <f t="shared" si="345"/>
        <v>1513.3609999999753</v>
      </c>
      <c r="AKM18" s="9">
        <f t="shared" si="345"/>
        <v>1410.0099999997765</v>
      </c>
      <c r="AKN18" s="9">
        <f t="shared" si="345"/>
        <v>1349.0910000000149</v>
      </c>
      <c r="AKO18" s="127">
        <f>SUM(AJM18:AKN18)</f>
        <v>45679.746000000021</v>
      </c>
      <c r="AKP18" s="9">
        <f t="shared" ref="AKP18:ALT18" si="346">AKP16-AKP17</f>
        <v>1571.7429999999586</v>
      </c>
      <c r="AKQ18" s="9">
        <f t="shared" si="346"/>
        <v>1515.25</v>
      </c>
      <c r="AKR18" s="9">
        <f t="shared" si="346"/>
        <v>1583.7430000002496</v>
      </c>
      <c r="AKS18" s="9">
        <f t="shared" si="346"/>
        <v>1513.3400000000256</v>
      </c>
      <c r="AKT18" s="9">
        <f t="shared" si="346"/>
        <v>1497.8629999997793</v>
      </c>
      <c r="AKU18" s="9">
        <f t="shared" si="346"/>
        <v>1497.8320000001695</v>
      </c>
      <c r="AKV18" s="9">
        <f t="shared" si="346"/>
        <v>1519.7199999997392</v>
      </c>
      <c r="AKW18" s="9">
        <f t="shared" si="346"/>
        <v>1637.9640000000945</v>
      </c>
      <c r="AKX18" s="9">
        <f t="shared" si="346"/>
        <v>1712.1500000001881</v>
      </c>
      <c r="AKY18" s="9">
        <f t="shared" si="346"/>
        <v>1481.238999999885</v>
      </c>
      <c r="AKZ18" s="9">
        <f t="shared" si="346"/>
        <v>1422.3460000000196</v>
      </c>
      <c r="ALA18" s="9">
        <f t="shared" si="346"/>
        <v>1567.7879999999423</v>
      </c>
      <c r="ALB18" s="9">
        <f t="shared" si="346"/>
        <v>1748.0610000002198</v>
      </c>
      <c r="ALC18" s="9">
        <f t="shared" si="346"/>
        <v>1981.4879999999539</v>
      </c>
      <c r="ALD18" s="9">
        <f t="shared" si="346"/>
        <v>1624.7899999998044</v>
      </c>
      <c r="ALE18" s="9">
        <f t="shared" si="346"/>
        <v>2192.6900000001187</v>
      </c>
      <c r="ALF18" s="9">
        <f t="shared" si="346"/>
        <v>1858.0160000000033</v>
      </c>
      <c r="ALG18" s="9">
        <f t="shared" si="346"/>
        <v>1473.5899999997928</v>
      </c>
      <c r="ALH18" s="9">
        <f t="shared" si="346"/>
        <v>1932.5190000000875</v>
      </c>
      <c r="ALI18" s="9">
        <f t="shared" si="346"/>
        <v>1667.4760000000824</v>
      </c>
      <c r="ALJ18" s="9">
        <f t="shared" si="346"/>
        <v>1769.8499999999767</v>
      </c>
      <c r="ALK18" s="9">
        <f t="shared" si="346"/>
        <v>1359.5580000000191</v>
      </c>
      <c r="ALL18" s="9">
        <f t="shared" si="346"/>
        <v>1826.2329999998328</v>
      </c>
      <c r="ALM18" s="9">
        <f t="shared" si="346"/>
        <v>1827.6130000003031</v>
      </c>
      <c r="ALN18" s="9">
        <f t="shared" si="346"/>
        <v>1875.7869999997783</v>
      </c>
      <c r="ALO18" s="9">
        <f t="shared" si="346"/>
        <v>1866.5989999999874</v>
      </c>
      <c r="ALP18" s="9">
        <f t="shared" si="346"/>
        <v>1902.5370000003022</v>
      </c>
      <c r="ALQ18" s="9">
        <f t="shared" si="346"/>
        <v>2125.0419999998994</v>
      </c>
      <c r="ALR18" s="9">
        <f t="shared" si="346"/>
        <v>2431.1689999999944</v>
      </c>
      <c r="ALS18" s="9">
        <f t="shared" si="346"/>
        <v>2363.1859999998705</v>
      </c>
      <c r="ALT18" s="9">
        <f t="shared" si="346"/>
        <v>1743.7480000000214</v>
      </c>
      <c r="ALU18" s="127">
        <f>SUM(AKP18:ALT18)</f>
        <v>54090.930000000102</v>
      </c>
      <c r="ALV18" s="9">
        <f t="shared" ref="ALV18:AMY18" si="347">ALV16-ALV17</f>
        <v>2315.4899999999325</v>
      </c>
      <c r="ALW18" s="9">
        <f t="shared" si="347"/>
        <v>1748.5659999999916</v>
      </c>
      <c r="ALX18" s="9">
        <f t="shared" si="347"/>
        <v>1916.2020000000484</v>
      </c>
      <c r="ALY18" s="9">
        <f t="shared" si="347"/>
        <v>1958.804999999993</v>
      </c>
      <c r="ALZ18" s="9">
        <f t="shared" si="347"/>
        <v>1211.2110000001849</v>
      </c>
      <c r="AMA18" s="9">
        <f t="shared" si="347"/>
        <v>1268.054999999961</v>
      </c>
      <c r="AMB18" s="9">
        <f t="shared" si="347"/>
        <v>2124.1750000001048</v>
      </c>
      <c r="AMC18" s="9">
        <f t="shared" si="347"/>
        <v>1932.1119999996154</v>
      </c>
      <c r="AMD18" s="9">
        <f t="shared" si="347"/>
        <v>2194.5750000001281</v>
      </c>
      <c r="AME18" s="9">
        <f t="shared" si="347"/>
        <v>2154.9839999998803</v>
      </c>
      <c r="AMF18" s="9">
        <f t="shared" si="347"/>
        <v>2138.8660000001546</v>
      </c>
      <c r="AMG18" s="9">
        <f t="shared" si="347"/>
        <v>2238.4890000000596</v>
      </c>
      <c r="AMH18" s="9">
        <f t="shared" si="347"/>
        <v>2315.9659999998403</v>
      </c>
      <c r="AMI18" s="9">
        <f t="shared" si="347"/>
        <v>1532.7530000001425</v>
      </c>
      <c r="AMJ18" s="9">
        <f t="shared" si="347"/>
        <v>1772.7919999999576</v>
      </c>
      <c r="AMK18" s="9">
        <f t="shared" si="347"/>
        <v>1664.3329999998678</v>
      </c>
      <c r="AML18" s="9">
        <f t="shared" si="347"/>
        <v>1945.6340000002529</v>
      </c>
      <c r="AMM18" s="9">
        <f t="shared" si="347"/>
        <v>2276.7419999999693</v>
      </c>
      <c r="AMN18" s="9">
        <f t="shared" si="347"/>
        <v>2169.4229999998352</v>
      </c>
      <c r="AMO18" s="9">
        <f t="shared" si="347"/>
        <v>3910.4140000002226</v>
      </c>
      <c r="AMP18" s="9">
        <f t="shared" si="347"/>
        <v>4834.2999999999884</v>
      </c>
      <c r="AMQ18" s="9">
        <f t="shared" si="347"/>
        <v>3272.4169999999576</v>
      </c>
      <c r="AMR18" s="9">
        <f t="shared" si="347"/>
        <v>4401.1479999997537</v>
      </c>
      <c r="AMS18" s="9">
        <f t="shared" si="347"/>
        <v>4654.7459999999846</v>
      </c>
      <c r="AMT18" s="9">
        <f t="shared" si="347"/>
        <v>4782.7690000001458</v>
      </c>
      <c r="AMU18" s="9">
        <f t="shared" si="347"/>
        <v>4185.637999999919</v>
      </c>
      <c r="AMV18" s="9">
        <f t="shared" si="347"/>
        <v>1908.8260000001756</v>
      </c>
      <c r="AMW18" s="9">
        <f t="shared" si="347"/>
        <v>1747.0220000000554</v>
      </c>
      <c r="AMX18" s="9">
        <f t="shared" si="347"/>
        <v>3965.683999999892</v>
      </c>
      <c r="AMY18" s="9">
        <f t="shared" si="347"/>
        <v>3168.1719999999623</v>
      </c>
      <c r="AMZ18" s="127">
        <f>SUM(ALV18:AMY18)</f>
        <v>77710.308999999979</v>
      </c>
      <c r="ANA18" s="9">
        <f t="shared" ref="ANA18:AOF18" si="348">ANA16-ANA17</f>
        <v>1804.1289999999572</v>
      </c>
      <c r="ANB18" s="9">
        <f t="shared" si="348"/>
        <v>2060.4980000000796</v>
      </c>
      <c r="ANC18" s="9">
        <f t="shared" si="348"/>
        <v>1745.4119999998366</v>
      </c>
      <c r="AND18" s="9">
        <f t="shared" si="348"/>
        <v>2176.8710000000428</v>
      </c>
      <c r="ANE18" s="9">
        <f t="shared" si="348"/>
        <v>2035.706000000122</v>
      </c>
      <c r="ANF18" s="9">
        <f t="shared" si="348"/>
        <v>2260.0789999999688</v>
      </c>
      <c r="ANG18" s="9">
        <f t="shared" si="348"/>
        <v>2142.6449999999604</v>
      </c>
      <c r="ANH18" s="9">
        <f t="shared" si="348"/>
        <v>1966.3360000001267</v>
      </c>
      <c r="ANI18" s="9">
        <f t="shared" si="348"/>
        <v>2303.6399999998393</v>
      </c>
      <c r="ANJ18" s="9">
        <f t="shared" si="348"/>
        <v>1806.1300000001211</v>
      </c>
      <c r="ANK18" s="9">
        <f t="shared" si="348"/>
        <v>2027.9880000000121</v>
      </c>
      <c r="ANL18" s="9">
        <f t="shared" si="348"/>
        <v>1894.0440000001108</v>
      </c>
      <c r="ANM18" s="9">
        <f t="shared" si="348"/>
        <v>2040.5849999997881</v>
      </c>
      <c r="ANN18" s="9">
        <f t="shared" si="348"/>
        <v>2248.5450000002747</v>
      </c>
      <c r="ANO18" s="9">
        <f t="shared" si="348"/>
        <v>2271.6529999998165</v>
      </c>
      <c r="ANP18" s="9">
        <f t="shared" si="348"/>
        <v>1701.3330000000424</v>
      </c>
      <c r="ANQ18" s="9">
        <f t="shared" si="348"/>
        <v>1086.4589999999735</v>
      </c>
      <c r="ANR18" s="9">
        <f t="shared" si="348"/>
        <v>1333.131999999925</v>
      </c>
      <c r="ANS18" s="9">
        <f t="shared" si="348"/>
        <v>1239.1790000000619</v>
      </c>
      <c r="ANT18" s="9">
        <f t="shared" si="348"/>
        <v>1311.6609999999055</v>
      </c>
      <c r="ANU18" s="9">
        <f t="shared" si="348"/>
        <v>1119.285000000149</v>
      </c>
      <c r="ANV18" s="9">
        <f t="shared" si="348"/>
        <v>1718.9539999998524</v>
      </c>
      <c r="ANW18" s="9">
        <f t="shared" si="348"/>
        <v>1406.5129999999772</v>
      </c>
      <c r="ANX18" s="9">
        <f t="shared" si="348"/>
        <v>1385.8450000001467</v>
      </c>
      <c r="ANY18" s="9">
        <f t="shared" si="348"/>
        <v>1542.7170000001788</v>
      </c>
      <c r="ANZ18" s="9">
        <f t="shared" si="348"/>
        <v>1925.4689999996917</v>
      </c>
      <c r="AOA18" s="9">
        <f t="shared" si="348"/>
        <v>1328.8590000001132</v>
      </c>
      <c r="AOB18" s="9">
        <f t="shared" si="348"/>
        <v>1260.0029999998515</v>
      </c>
      <c r="AOC18" s="9">
        <f t="shared" si="348"/>
        <v>1540.739000000176</v>
      </c>
      <c r="AOD18" s="9">
        <f t="shared" si="348"/>
        <v>1826.1869999999763</v>
      </c>
      <c r="AOE18">
        <f t="shared" si="348"/>
        <v>1826.1869999999763</v>
      </c>
      <c r="AOF18">
        <f t="shared" si="348"/>
        <v>-2062704.446</v>
      </c>
    </row>
    <row r="19" spans="1:1072" ht="16" customHeight="1" thickBot="1" x14ac:dyDescent="0.25">
      <c r="A19" s="10"/>
      <c r="B19" s="5"/>
      <c r="C19" s="11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3"/>
      <c r="AK19" s="13"/>
      <c r="DY19" s="117"/>
      <c r="FE19" s="126"/>
      <c r="GK19" s="127">
        <f>SUM(FF19:GJ19)</f>
        <v>0</v>
      </c>
      <c r="HO19" s="127">
        <f>SUM(GJ19:HN19)</f>
        <v>0</v>
      </c>
      <c r="IU19" s="127">
        <f>SUM(HP19:IT19)</f>
        <v>0</v>
      </c>
      <c r="JZ19" s="127">
        <f>SUM(IU19:JY19)</f>
        <v>0</v>
      </c>
      <c r="LF19" s="127">
        <f>SUM(KA19:LE19)</f>
        <v>0</v>
      </c>
      <c r="MK19" s="127">
        <f>SUM(LF19:MJ19)</f>
        <v>0</v>
      </c>
      <c r="NQ19" s="127">
        <f>SUM(ML19:NP19)</f>
        <v>0</v>
      </c>
      <c r="OW19" s="127">
        <f>SUM(NR19:OV19)</f>
        <v>0</v>
      </c>
      <c r="QB19" s="127">
        <f>SUM(OW19:QA19)</f>
        <v>0</v>
      </c>
      <c r="RH19" s="127">
        <f>SUM(QC19:RG19)</f>
        <v>0</v>
      </c>
      <c r="SM19" s="127">
        <f>SUM(RH19:SL19)</f>
        <v>0</v>
      </c>
      <c r="TS19" s="127">
        <f>SUM(SN19:TR19)</f>
        <v>0</v>
      </c>
      <c r="UY19" s="127">
        <f>SUM(TT19:UX19)</f>
        <v>0</v>
      </c>
      <c r="WB19" s="127">
        <f>SUM(UW19:WA19)</f>
        <v>0</v>
      </c>
      <c r="XH19" s="127">
        <f>SUM(WC19:XG19)</f>
        <v>0</v>
      </c>
      <c r="YM19" s="127">
        <f>SUM(XH19:YL19)</f>
        <v>0</v>
      </c>
      <c r="ZS19" s="127">
        <f>SUM(YN19:ZR19)</f>
        <v>0</v>
      </c>
      <c r="AAX19" s="127">
        <f>SUM(ZS19:AAW19)</f>
        <v>0</v>
      </c>
      <c r="ACD19" s="127">
        <f>SUM(AAY19:ACC19)</f>
        <v>0</v>
      </c>
      <c r="ADJ19" s="127">
        <f>SUM(ACE19:ADI19)</f>
        <v>0</v>
      </c>
      <c r="AEO19" s="127">
        <f>SUM(ADJ19:AEN19)</f>
        <v>0</v>
      </c>
      <c r="AFU19" s="127">
        <f>SUM(AEP19:AFT19)</f>
        <v>0</v>
      </c>
      <c r="AGZ19" s="127">
        <f>SUM(AFU19:AGY19)</f>
        <v>0</v>
      </c>
      <c r="AIF19" s="127">
        <f>SUM(AHA19:AIE19)</f>
        <v>0</v>
      </c>
      <c r="AJL19" s="127">
        <f>SUM(AIG19:AJK19)</f>
        <v>0</v>
      </c>
      <c r="AKO19" s="127">
        <f>SUM(AJJ19:AKN19)</f>
        <v>0</v>
      </c>
      <c r="ALU19" s="127">
        <f>SUM(AKP19:ALT19)</f>
        <v>0</v>
      </c>
      <c r="AMZ19" s="127">
        <f>SUM(ALU19:AMY19)</f>
        <v>0</v>
      </c>
    </row>
    <row r="20" spans="1:1072" ht="16" customHeight="1" thickBot="1" x14ac:dyDescent="0.25">
      <c r="A20" s="156" t="s">
        <v>768</v>
      </c>
      <c r="B20" s="161" t="s">
        <v>769</v>
      </c>
      <c r="C20" s="44" t="s">
        <v>756</v>
      </c>
      <c r="D20" s="45">
        <v>416894.446</v>
      </c>
      <c r="E20" s="14">
        <f t="shared" ref="E20:AH20" si="349">D21</f>
        <v>417275.02899999998</v>
      </c>
      <c r="F20" s="14">
        <f t="shared" si="349"/>
        <v>417746.11300000001</v>
      </c>
      <c r="G20" s="14">
        <f t="shared" si="349"/>
        <v>418113.859</v>
      </c>
      <c r="H20" s="14">
        <f t="shared" si="349"/>
        <v>418550.41899999999</v>
      </c>
      <c r="I20" s="14">
        <f t="shared" si="349"/>
        <v>418959.11599999998</v>
      </c>
      <c r="J20" s="14">
        <f t="shared" si="349"/>
        <v>419140.14399999997</v>
      </c>
      <c r="K20" s="14">
        <f t="shared" si="349"/>
        <v>419472.95799999998</v>
      </c>
      <c r="L20" s="14">
        <f t="shared" si="349"/>
        <v>419726.49099999998</v>
      </c>
      <c r="M20" s="14">
        <f t="shared" si="349"/>
        <v>419977.32900000003</v>
      </c>
      <c r="N20" s="14">
        <f t="shared" si="349"/>
        <v>420328.24099999998</v>
      </c>
      <c r="O20" s="14">
        <f t="shared" si="349"/>
        <v>420797.34899999999</v>
      </c>
      <c r="P20" s="14">
        <f t="shared" si="349"/>
        <v>421083.614</v>
      </c>
      <c r="Q20" s="14">
        <f t="shared" si="349"/>
        <v>421383.8</v>
      </c>
      <c r="R20" s="14">
        <f t="shared" si="349"/>
        <v>421756.804</v>
      </c>
      <c r="S20" s="14">
        <f t="shared" si="349"/>
        <v>422016.04700000002</v>
      </c>
      <c r="T20" s="14">
        <f t="shared" si="349"/>
        <v>422311.63900000002</v>
      </c>
      <c r="U20" s="14">
        <f t="shared" si="349"/>
        <v>422920.13099999999</v>
      </c>
      <c r="V20" s="14">
        <f t="shared" si="349"/>
        <v>423169.77600000001</v>
      </c>
      <c r="W20" s="14">
        <f t="shared" si="349"/>
        <v>423424.59</v>
      </c>
      <c r="X20" s="14">
        <f t="shared" si="349"/>
        <v>423957.92099999997</v>
      </c>
      <c r="Y20" s="14">
        <f t="shared" si="349"/>
        <v>424337.522</v>
      </c>
      <c r="Z20" s="14">
        <f t="shared" si="349"/>
        <v>424553.40700000001</v>
      </c>
      <c r="AA20" s="14">
        <f t="shared" si="349"/>
        <v>424819.77</v>
      </c>
      <c r="AB20" s="14">
        <f t="shared" si="349"/>
        <v>425162.55099999998</v>
      </c>
      <c r="AC20" s="14">
        <f t="shared" si="349"/>
        <v>425623.49900000001</v>
      </c>
      <c r="AD20" s="14">
        <f t="shared" si="349"/>
        <v>425958.54300000001</v>
      </c>
      <c r="AE20" s="14">
        <f t="shared" si="349"/>
        <v>426394.65700000001</v>
      </c>
      <c r="AF20" s="14">
        <f t="shared" si="349"/>
        <v>426911.48599999998</v>
      </c>
      <c r="AG20" s="14">
        <f t="shared" si="349"/>
        <v>427506.636</v>
      </c>
      <c r="AH20" s="14">
        <f t="shared" si="349"/>
        <v>427815.36800000002</v>
      </c>
      <c r="AI20" s="15"/>
      <c r="AJ20" s="90">
        <f>AH21</f>
        <v>428251.179</v>
      </c>
      <c r="AK20" s="13">
        <f t="shared" ref="AK20:BM20" si="350">AJ21</f>
        <v>428643.70299999998</v>
      </c>
      <c r="AL20" s="13">
        <f t="shared" si="350"/>
        <v>429110.52899999998</v>
      </c>
      <c r="AM20" s="13">
        <f t="shared" si="350"/>
        <v>429536.96600000001</v>
      </c>
      <c r="AN20" s="13">
        <f t="shared" si="350"/>
        <v>430202.19699999999</v>
      </c>
      <c r="AO20" s="13">
        <f t="shared" si="350"/>
        <v>430727.91399999999</v>
      </c>
      <c r="AP20" s="13">
        <f t="shared" si="350"/>
        <v>431681.63500000001</v>
      </c>
      <c r="AQ20" s="13">
        <f t="shared" si="350"/>
        <v>432370.10200000001</v>
      </c>
      <c r="AR20" s="13">
        <f t="shared" si="350"/>
        <v>433231.05599999998</v>
      </c>
      <c r="AS20" s="13">
        <f t="shared" si="350"/>
        <v>433721.54800000001</v>
      </c>
      <c r="AT20" s="13">
        <f t="shared" si="350"/>
        <v>434025.72899999999</v>
      </c>
      <c r="AU20" s="13">
        <f t="shared" si="350"/>
        <v>434566.93699999998</v>
      </c>
      <c r="AV20" s="13">
        <f t="shared" si="350"/>
        <v>434952.652</v>
      </c>
      <c r="AW20" s="13">
        <f t="shared" si="350"/>
        <v>435313.505</v>
      </c>
      <c r="AX20" s="13">
        <f t="shared" si="350"/>
        <v>435667.57299999997</v>
      </c>
      <c r="AY20" s="13">
        <f t="shared" si="350"/>
        <v>436005.53200000001</v>
      </c>
      <c r="AZ20" s="13">
        <f t="shared" si="350"/>
        <v>436368.46100000001</v>
      </c>
      <c r="BA20" s="13">
        <f t="shared" si="350"/>
        <v>436808.64899999998</v>
      </c>
      <c r="BB20" s="13">
        <f t="shared" si="350"/>
        <v>437428.37599999999</v>
      </c>
      <c r="BC20" s="13">
        <f t="shared" si="350"/>
        <v>437869.37599999999</v>
      </c>
      <c r="BD20" s="13">
        <f t="shared" si="350"/>
        <v>438276.41100000002</v>
      </c>
      <c r="BE20" s="13">
        <f t="shared" si="350"/>
        <v>438585.98200000002</v>
      </c>
      <c r="BF20" s="13">
        <f t="shared" si="350"/>
        <v>439065.45600000001</v>
      </c>
      <c r="BG20" s="13">
        <f t="shared" si="350"/>
        <v>439701.35600000003</v>
      </c>
      <c r="BH20" s="13">
        <f t="shared" si="350"/>
        <v>440069.304</v>
      </c>
      <c r="BI20" s="13">
        <f t="shared" si="350"/>
        <v>440428.87900000002</v>
      </c>
      <c r="BJ20" s="13">
        <f t="shared" si="350"/>
        <v>440779.87699999998</v>
      </c>
      <c r="BK20" s="13">
        <f t="shared" si="350"/>
        <v>441344.75300000003</v>
      </c>
      <c r="BL20" s="13">
        <f t="shared" si="350"/>
        <v>441949.84</v>
      </c>
      <c r="BM20" s="13">
        <f t="shared" si="350"/>
        <v>442599.70600000001</v>
      </c>
      <c r="BO20" s="13">
        <f>BM21</f>
        <v>442982.20199999999</v>
      </c>
      <c r="BP20">
        <f t="shared" ref="BP20:CS20" si="351">BO21</f>
        <v>443345.32500000001</v>
      </c>
      <c r="BQ20">
        <f t="shared" si="351"/>
        <v>443766.12099999998</v>
      </c>
      <c r="BR20">
        <f t="shared" si="351"/>
        <v>444214.99200000003</v>
      </c>
      <c r="BS20">
        <f t="shared" si="351"/>
        <v>444660.364</v>
      </c>
      <c r="BT20">
        <f t="shared" si="351"/>
        <v>445530.25599999999</v>
      </c>
      <c r="BU20">
        <f t="shared" si="351"/>
        <v>446056.038</v>
      </c>
      <c r="BV20">
        <f t="shared" si="351"/>
        <v>446549.34299999999</v>
      </c>
      <c r="BW20">
        <f t="shared" si="351"/>
        <v>446853.35200000001</v>
      </c>
      <c r="BX20">
        <f t="shared" si="351"/>
        <v>447577.97399999999</v>
      </c>
      <c r="BY20">
        <f t="shared" si="351"/>
        <v>448024.103</v>
      </c>
      <c r="BZ20">
        <f t="shared" si="351"/>
        <v>448346.70500000002</v>
      </c>
      <c r="CA20">
        <f t="shared" si="351"/>
        <v>448662.84100000001</v>
      </c>
      <c r="CB20">
        <f t="shared" si="351"/>
        <v>449076.549</v>
      </c>
      <c r="CC20">
        <f t="shared" si="351"/>
        <v>449399.75599999999</v>
      </c>
      <c r="CD20">
        <f t="shared" si="351"/>
        <v>449752.35600000003</v>
      </c>
      <c r="CE20">
        <f t="shared" si="351"/>
        <v>450147.696</v>
      </c>
      <c r="CF20">
        <f t="shared" si="351"/>
        <v>450491.34600000002</v>
      </c>
      <c r="CG20">
        <f t="shared" si="351"/>
        <v>451031.54599999997</v>
      </c>
      <c r="CH20">
        <f t="shared" si="351"/>
        <v>451274.75799999997</v>
      </c>
      <c r="CI20">
        <f t="shared" si="351"/>
        <v>451776.429</v>
      </c>
      <c r="CJ20">
        <f t="shared" si="351"/>
        <v>452070.35100000002</v>
      </c>
      <c r="CK20">
        <f t="shared" si="351"/>
        <v>452351.74400000001</v>
      </c>
      <c r="CL20">
        <f t="shared" si="351"/>
        <v>452703.071</v>
      </c>
      <c r="CM20">
        <f t="shared" si="351"/>
        <v>453195.36900000001</v>
      </c>
      <c r="CN20">
        <f t="shared" si="351"/>
        <v>453408.58899999998</v>
      </c>
      <c r="CO20">
        <f t="shared" si="351"/>
        <v>453716.04399999999</v>
      </c>
      <c r="CP20">
        <f t="shared" si="351"/>
        <v>454076.43199999997</v>
      </c>
      <c r="CQ20">
        <f t="shared" si="351"/>
        <v>454534.39199999999</v>
      </c>
      <c r="CR20">
        <f t="shared" si="351"/>
        <v>454860.03</v>
      </c>
      <c r="CS20">
        <f t="shared" si="351"/>
        <v>455225.48</v>
      </c>
      <c r="CU20" s="13">
        <f>CS21</f>
        <v>455571.31300000002</v>
      </c>
      <c r="CV20">
        <f t="shared" ref="CV20:DX20" si="352">CU21</f>
        <v>455928.64299999998</v>
      </c>
      <c r="CW20">
        <f t="shared" si="352"/>
        <v>456335.91200000001</v>
      </c>
      <c r="CX20">
        <f t="shared" si="352"/>
        <v>456702.375</v>
      </c>
      <c r="CY20">
        <f t="shared" si="352"/>
        <v>457099.723</v>
      </c>
      <c r="CZ20">
        <f t="shared" si="352"/>
        <v>457541.96799999999</v>
      </c>
      <c r="DA20">
        <f t="shared" si="352"/>
        <v>457994.353</v>
      </c>
      <c r="DB20">
        <f t="shared" si="352"/>
        <v>458630.09600000002</v>
      </c>
      <c r="DC20">
        <f t="shared" si="352"/>
        <v>458910.87800000003</v>
      </c>
      <c r="DD20">
        <f t="shared" si="352"/>
        <v>459456.864</v>
      </c>
      <c r="DE20">
        <f t="shared" si="352"/>
        <v>459899.15700000001</v>
      </c>
      <c r="DF20">
        <f t="shared" si="352"/>
        <v>460358.946</v>
      </c>
      <c r="DG20">
        <f t="shared" si="352"/>
        <v>460564.283</v>
      </c>
      <c r="DH20">
        <f t="shared" si="352"/>
        <v>460745.30699999997</v>
      </c>
      <c r="DI20">
        <f t="shared" si="352"/>
        <v>461139.93099999998</v>
      </c>
      <c r="DJ20">
        <f t="shared" si="352"/>
        <v>461455.609</v>
      </c>
      <c r="DK20">
        <f t="shared" si="352"/>
        <v>461707.11</v>
      </c>
      <c r="DL20">
        <f t="shared" si="352"/>
        <v>462674.92599999998</v>
      </c>
      <c r="DM20">
        <f t="shared" si="352"/>
        <v>462972.30300000001</v>
      </c>
      <c r="DN20">
        <f t="shared" si="352"/>
        <v>463171.52600000001</v>
      </c>
      <c r="DO20">
        <f t="shared" si="352"/>
        <v>463692.098</v>
      </c>
      <c r="DP20">
        <f t="shared" si="352"/>
        <v>464016.72399999999</v>
      </c>
      <c r="DQ20">
        <f t="shared" si="352"/>
        <v>464568.60399999999</v>
      </c>
      <c r="DR20">
        <f t="shared" si="352"/>
        <v>465026.54</v>
      </c>
      <c r="DS20">
        <f t="shared" si="352"/>
        <v>465454.38199999998</v>
      </c>
      <c r="DT20">
        <f t="shared" si="352"/>
        <v>465764.94900000002</v>
      </c>
      <c r="DU20">
        <f t="shared" si="352"/>
        <v>466132.27</v>
      </c>
      <c r="DV20">
        <f t="shared" si="352"/>
        <v>466453.87099999998</v>
      </c>
      <c r="DW20">
        <f t="shared" si="352"/>
        <v>466970.38199999998</v>
      </c>
      <c r="DX20">
        <f t="shared" si="352"/>
        <v>467319.27899999998</v>
      </c>
      <c r="DY20" s="117"/>
      <c r="DZ20">
        <f>DX21</f>
        <v>467692.89399999997</v>
      </c>
      <c r="EA20">
        <f t="shared" ref="EA20:FD20" si="353">DZ21</f>
        <v>468017.13299999997</v>
      </c>
      <c r="EB20">
        <f t="shared" si="353"/>
        <v>468547.19199999998</v>
      </c>
      <c r="EC20">
        <f t="shared" si="353"/>
        <v>468828.147</v>
      </c>
      <c r="ED20">
        <f t="shared" si="353"/>
        <v>469303.90899999999</v>
      </c>
      <c r="EE20">
        <f t="shared" si="353"/>
        <v>469685.28499999997</v>
      </c>
      <c r="EF20">
        <f t="shared" si="353"/>
        <v>470050.70600000001</v>
      </c>
      <c r="EG20">
        <f t="shared" si="353"/>
        <v>470471.00099999999</v>
      </c>
      <c r="EH20">
        <f t="shared" si="353"/>
        <v>470935.91600000003</v>
      </c>
      <c r="EI20">
        <f t="shared" si="353"/>
        <v>471367.30599999998</v>
      </c>
      <c r="EJ20">
        <f t="shared" si="353"/>
        <v>471858.201</v>
      </c>
      <c r="EK20">
        <f t="shared" si="353"/>
        <v>472311.97399999999</v>
      </c>
      <c r="EL20">
        <f t="shared" si="353"/>
        <v>473125.592</v>
      </c>
      <c r="EM20">
        <f t="shared" si="353"/>
        <v>473661.44900000002</v>
      </c>
      <c r="EN20">
        <f t="shared" si="353"/>
        <v>474247.30099999998</v>
      </c>
      <c r="EO20">
        <f t="shared" si="353"/>
        <v>475103.451</v>
      </c>
      <c r="EP20">
        <f t="shared" si="353"/>
        <v>475624.45199999999</v>
      </c>
      <c r="EQ20">
        <f t="shared" si="353"/>
        <v>476117.61599999998</v>
      </c>
      <c r="ER20">
        <f t="shared" si="353"/>
        <v>476543.42</v>
      </c>
      <c r="ES20">
        <f t="shared" si="353"/>
        <v>477021.43599999999</v>
      </c>
      <c r="ET20">
        <f t="shared" si="353"/>
        <v>477586.22100000002</v>
      </c>
      <c r="EU20">
        <f t="shared" si="353"/>
        <v>478573.79200000002</v>
      </c>
      <c r="EV20">
        <f t="shared" si="353"/>
        <v>479359.40500000003</v>
      </c>
      <c r="EW20">
        <f t="shared" si="353"/>
        <v>480037.88699999999</v>
      </c>
      <c r="EX20">
        <f t="shared" si="353"/>
        <v>480484.20899999997</v>
      </c>
      <c r="EY20">
        <f t="shared" si="353"/>
        <v>480662.10499999998</v>
      </c>
      <c r="EZ20">
        <f t="shared" si="353"/>
        <v>480951.76400000002</v>
      </c>
      <c r="FA20">
        <f t="shared" si="353"/>
        <v>481385.06400000001</v>
      </c>
      <c r="FB20">
        <f t="shared" si="353"/>
        <v>481645.85600000003</v>
      </c>
      <c r="FC20">
        <f t="shared" si="353"/>
        <v>482045.36200000002</v>
      </c>
      <c r="FD20">
        <f t="shared" si="353"/>
        <v>482509.72600000002</v>
      </c>
      <c r="FE20" s="126"/>
      <c r="FF20">
        <f>FD21</f>
        <v>482831.11499999999</v>
      </c>
      <c r="FG20">
        <f t="shared" ref="FG20:GJ20" si="354">FF21</f>
        <v>483157.364</v>
      </c>
      <c r="FH20">
        <f t="shared" si="354"/>
        <v>483505.57900000003</v>
      </c>
      <c r="FI20">
        <f t="shared" si="354"/>
        <v>483996.17700000003</v>
      </c>
      <c r="FJ20">
        <f t="shared" si="354"/>
        <v>484390.72499999998</v>
      </c>
      <c r="FK20">
        <f t="shared" si="354"/>
        <v>484872.54399999999</v>
      </c>
      <c r="FL20">
        <f t="shared" si="354"/>
        <v>485415.38299999997</v>
      </c>
      <c r="FM20">
        <f t="shared" si="354"/>
        <v>485813.83600000001</v>
      </c>
      <c r="FN20">
        <f t="shared" si="354"/>
        <v>486230.66</v>
      </c>
      <c r="FO20">
        <f t="shared" si="354"/>
        <v>486657.951</v>
      </c>
      <c r="FP20">
        <f t="shared" si="354"/>
        <v>487012.66899999999</v>
      </c>
      <c r="FQ20">
        <f t="shared" si="354"/>
        <v>487404.18300000002</v>
      </c>
      <c r="FR20">
        <f t="shared" si="354"/>
        <v>488128.38199999998</v>
      </c>
      <c r="FS20">
        <f t="shared" si="354"/>
        <v>488447.53100000002</v>
      </c>
      <c r="FT20">
        <f t="shared" si="354"/>
        <v>489040.484</v>
      </c>
      <c r="FU20">
        <f t="shared" si="354"/>
        <v>489785.81300000002</v>
      </c>
      <c r="FV20">
        <f t="shared" si="354"/>
        <v>490221.54499999998</v>
      </c>
      <c r="FW20">
        <f t="shared" si="354"/>
        <v>490807.67700000003</v>
      </c>
      <c r="FX20">
        <f t="shared" si="354"/>
        <v>491285.36900000001</v>
      </c>
      <c r="FY20">
        <f t="shared" si="354"/>
        <v>491603.57500000001</v>
      </c>
      <c r="FZ20">
        <f t="shared" si="354"/>
        <v>492010.55</v>
      </c>
      <c r="GA20">
        <f t="shared" si="354"/>
        <v>492501.48800000001</v>
      </c>
      <c r="GB20">
        <f t="shared" si="354"/>
        <v>493225.38299999997</v>
      </c>
      <c r="GC20">
        <f t="shared" si="354"/>
        <v>493954.897</v>
      </c>
      <c r="GD20">
        <f t="shared" si="354"/>
        <v>494371.85</v>
      </c>
      <c r="GE20">
        <f t="shared" si="354"/>
        <v>494679.85600000003</v>
      </c>
      <c r="GF20">
        <f t="shared" si="354"/>
        <v>495015.087</v>
      </c>
      <c r="GG20">
        <f t="shared" si="354"/>
        <v>495613.60800000001</v>
      </c>
      <c r="GH20">
        <f t="shared" si="354"/>
        <v>496314.80300000001</v>
      </c>
      <c r="GI20">
        <f t="shared" si="354"/>
        <v>496883.158</v>
      </c>
      <c r="GJ20">
        <f t="shared" si="354"/>
        <v>497568.41600000003</v>
      </c>
      <c r="GK20" s="126"/>
      <c r="GL20">
        <f>GJ21</f>
        <v>497885.28399999999</v>
      </c>
      <c r="GM20">
        <f t="shared" ref="GM20:HN20" si="355">GL21</f>
        <v>498424.73499999999</v>
      </c>
      <c r="GN20">
        <f t="shared" si="355"/>
        <v>499186.38900000002</v>
      </c>
      <c r="GO20">
        <f t="shared" si="355"/>
        <v>499608.33600000001</v>
      </c>
      <c r="GP20">
        <f t="shared" si="355"/>
        <v>499948.58500000002</v>
      </c>
      <c r="GQ20">
        <f t="shared" si="355"/>
        <v>500388.64500000002</v>
      </c>
      <c r="GR20">
        <f t="shared" si="355"/>
        <v>500824.435</v>
      </c>
      <c r="GS20">
        <f t="shared" si="355"/>
        <v>501348.32500000001</v>
      </c>
      <c r="GT20">
        <f t="shared" si="355"/>
        <v>501782.43400000001</v>
      </c>
      <c r="GU20">
        <f t="shared" si="355"/>
        <v>502166.35399999999</v>
      </c>
      <c r="GV20">
        <f t="shared" si="355"/>
        <v>502950.23800000001</v>
      </c>
      <c r="GW20">
        <f t="shared" si="355"/>
        <v>503411.34600000002</v>
      </c>
      <c r="GX20">
        <f t="shared" si="355"/>
        <v>503823.26799999998</v>
      </c>
      <c r="GY20">
        <f t="shared" si="355"/>
        <v>504136.641</v>
      </c>
      <c r="GZ20">
        <f t="shared" si="355"/>
        <v>504790.804</v>
      </c>
      <c r="HA20">
        <f t="shared" si="355"/>
        <v>505141.08500000002</v>
      </c>
      <c r="HB20">
        <f t="shared" si="355"/>
        <v>505561.43900000001</v>
      </c>
      <c r="HC20">
        <f t="shared" si="355"/>
        <v>505895.79100000003</v>
      </c>
      <c r="HD20">
        <f t="shared" si="355"/>
        <v>506298.16100000002</v>
      </c>
      <c r="HE20">
        <f t="shared" si="355"/>
        <v>506955.14199999999</v>
      </c>
      <c r="HF20">
        <f t="shared" si="355"/>
        <v>507387.326</v>
      </c>
      <c r="HG20">
        <f t="shared" si="355"/>
        <v>507687.614</v>
      </c>
      <c r="HH20">
        <f t="shared" si="355"/>
        <v>508082.48599999998</v>
      </c>
      <c r="HI20">
        <f t="shared" si="355"/>
        <v>508473.78899999999</v>
      </c>
      <c r="HJ20">
        <f t="shared" si="355"/>
        <v>509453.40600000002</v>
      </c>
      <c r="HK20">
        <f t="shared" si="355"/>
        <v>509726.15500000003</v>
      </c>
      <c r="HL20">
        <f t="shared" si="355"/>
        <v>510256.83100000001</v>
      </c>
      <c r="HM20">
        <f t="shared" si="355"/>
        <v>510544.22399999999</v>
      </c>
      <c r="HN20">
        <f t="shared" si="355"/>
        <v>510834.70600000001</v>
      </c>
      <c r="HO20" s="126"/>
      <c r="HP20">
        <f>HN21</f>
        <v>511393.88099999999</v>
      </c>
      <c r="HQ20">
        <f t="shared" ref="HQ20:IT20" si="356">HP21</f>
        <v>511818.99300000002</v>
      </c>
      <c r="HR20">
        <f t="shared" si="356"/>
        <v>512297.24900000001</v>
      </c>
      <c r="HS20">
        <f t="shared" si="356"/>
        <v>512711.62800000003</v>
      </c>
      <c r="HT20">
        <f t="shared" si="356"/>
        <v>513485.05300000001</v>
      </c>
      <c r="HU20">
        <f t="shared" si="356"/>
        <v>513970.48300000001</v>
      </c>
      <c r="HV20">
        <f t="shared" si="356"/>
        <v>514531.67200000002</v>
      </c>
      <c r="HW20">
        <f t="shared" si="356"/>
        <v>515238.91</v>
      </c>
      <c r="HX20">
        <f t="shared" si="356"/>
        <v>515614.75199999998</v>
      </c>
      <c r="HY20">
        <f t="shared" si="356"/>
        <v>516462.77899999998</v>
      </c>
      <c r="HZ20">
        <f t="shared" si="356"/>
        <v>516909.53</v>
      </c>
      <c r="IA20">
        <f t="shared" si="356"/>
        <v>517500.33899999998</v>
      </c>
      <c r="IB20">
        <f t="shared" si="356"/>
        <v>517894.66499999998</v>
      </c>
      <c r="IC20">
        <f t="shared" si="356"/>
        <v>518135.255</v>
      </c>
      <c r="ID20">
        <f t="shared" si="356"/>
        <v>518599.10800000001</v>
      </c>
      <c r="IE20">
        <f t="shared" si="356"/>
        <v>518975.04499999998</v>
      </c>
      <c r="IF20">
        <f t="shared" si="356"/>
        <v>519313.40899999999</v>
      </c>
      <c r="IG20">
        <f t="shared" si="356"/>
        <v>519607.53100000002</v>
      </c>
      <c r="IH20">
        <f t="shared" si="356"/>
        <v>520144.17099999997</v>
      </c>
      <c r="II20">
        <f t="shared" si="356"/>
        <v>520522.728</v>
      </c>
      <c r="IJ20">
        <f t="shared" si="356"/>
        <v>520796.04300000001</v>
      </c>
      <c r="IK20">
        <f t="shared" si="356"/>
        <v>521067.33799999999</v>
      </c>
      <c r="IL20">
        <f t="shared" si="356"/>
        <v>521580.18900000001</v>
      </c>
      <c r="IM20">
        <f t="shared" si="356"/>
        <v>522105.212</v>
      </c>
      <c r="IN20">
        <f t="shared" si="356"/>
        <v>522389.473</v>
      </c>
      <c r="IO20">
        <f t="shared" si="356"/>
        <v>523038.23599999998</v>
      </c>
      <c r="IP20">
        <f t="shared" si="356"/>
        <v>523490.092</v>
      </c>
      <c r="IQ20">
        <f t="shared" si="356"/>
        <v>524012.78600000002</v>
      </c>
      <c r="IR20">
        <f t="shared" si="356"/>
        <v>524402.15099999995</v>
      </c>
      <c r="IS20">
        <f t="shared" si="356"/>
        <v>525244.42200000002</v>
      </c>
      <c r="IT20">
        <f t="shared" si="356"/>
        <v>525652.29200000002</v>
      </c>
      <c r="IU20" s="126"/>
      <c r="IV20">
        <f>IT21</f>
        <v>525936.83700000006</v>
      </c>
      <c r="IW20">
        <f t="shared" ref="IW20:JY20" si="357">IV21</f>
        <v>526322.6</v>
      </c>
      <c r="IX20">
        <f t="shared" si="357"/>
        <v>526893.929</v>
      </c>
      <c r="IY20">
        <f t="shared" si="357"/>
        <v>527214.571</v>
      </c>
      <c r="IZ20">
        <f t="shared" si="357"/>
        <v>527614.576</v>
      </c>
      <c r="JA20">
        <f t="shared" si="357"/>
        <v>528283.60499999998</v>
      </c>
      <c r="JB20">
        <f t="shared" si="357"/>
        <v>528561.06200000003</v>
      </c>
      <c r="JC20">
        <f t="shared" si="357"/>
        <v>528871.071</v>
      </c>
      <c r="JD20">
        <f t="shared" si="357"/>
        <v>529530.4</v>
      </c>
      <c r="JE20">
        <f t="shared" si="357"/>
        <v>529904.54299999995</v>
      </c>
      <c r="JF20">
        <f t="shared" si="357"/>
        <v>530400.73</v>
      </c>
      <c r="JG20">
        <f t="shared" si="357"/>
        <v>530988.44200000004</v>
      </c>
      <c r="JH20">
        <f t="shared" si="357"/>
        <v>531476.31599999999</v>
      </c>
      <c r="JI20">
        <f t="shared" si="357"/>
        <v>532330.40300000005</v>
      </c>
      <c r="JJ20">
        <f t="shared" si="357"/>
        <v>532760.65300000005</v>
      </c>
      <c r="JK20">
        <f t="shared" si="357"/>
        <v>533204.72600000002</v>
      </c>
      <c r="JL20">
        <f t="shared" si="357"/>
        <v>533626.51599999995</v>
      </c>
      <c r="JM20">
        <f t="shared" si="357"/>
        <v>534231.56000000006</v>
      </c>
      <c r="JN20">
        <f t="shared" si="357"/>
        <v>534674.03</v>
      </c>
      <c r="JO20">
        <f t="shared" si="357"/>
        <v>535216.76399999997</v>
      </c>
      <c r="JP20">
        <f t="shared" si="357"/>
        <v>535569.83900000004</v>
      </c>
      <c r="JQ20">
        <f t="shared" si="357"/>
        <v>535835.18200000003</v>
      </c>
      <c r="JR20">
        <f t="shared" si="357"/>
        <v>536613.18900000001</v>
      </c>
      <c r="JS20">
        <f t="shared" si="357"/>
        <v>537028.37100000004</v>
      </c>
      <c r="JT20">
        <f t="shared" si="357"/>
        <v>537317.73800000001</v>
      </c>
      <c r="JU20">
        <f t="shared" si="357"/>
        <v>537640.75399999996</v>
      </c>
      <c r="JV20">
        <f t="shared" si="357"/>
        <v>538108.05799999996</v>
      </c>
      <c r="JW20">
        <f t="shared" si="357"/>
        <v>538457.45900000003</v>
      </c>
      <c r="JX20">
        <f t="shared" si="357"/>
        <v>538831.03799999994</v>
      </c>
      <c r="JY20">
        <f t="shared" si="357"/>
        <v>539343.12399999995</v>
      </c>
      <c r="JZ20" s="126"/>
      <c r="KA20">
        <f>JY21</f>
        <v>539648.76500000001</v>
      </c>
      <c r="KB20">
        <f t="shared" ref="KB20:LE20" si="358">KA21</f>
        <v>539933.42799999996</v>
      </c>
      <c r="KC20">
        <f t="shared" si="358"/>
        <v>540348.33499999996</v>
      </c>
      <c r="KD20">
        <f t="shared" si="358"/>
        <v>540849.603</v>
      </c>
      <c r="KE20">
        <f t="shared" si="358"/>
        <v>541221.37399999995</v>
      </c>
      <c r="KF20">
        <f t="shared" si="358"/>
        <v>541687.55000000005</v>
      </c>
      <c r="KG20">
        <f t="shared" si="358"/>
        <v>542153.11</v>
      </c>
      <c r="KH20">
        <f t="shared" si="358"/>
        <v>542653.23300000001</v>
      </c>
      <c r="KI20">
        <f t="shared" si="358"/>
        <v>543120.11</v>
      </c>
      <c r="KJ20">
        <f t="shared" si="358"/>
        <v>543560.9</v>
      </c>
      <c r="KK20">
        <f t="shared" si="358"/>
        <v>544023.18999999994</v>
      </c>
      <c r="KL20">
        <f t="shared" si="358"/>
        <v>544424.11300000001</v>
      </c>
      <c r="KM20">
        <f t="shared" si="358"/>
        <v>544657.64300000004</v>
      </c>
      <c r="KN20">
        <f t="shared" si="358"/>
        <v>545375.91399999999</v>
      </c>
      <c r="KO20">
        <f t="shared" si="358"/>
        <v>545733.86699999997</v>
      </c>
      <c r="KP20">
        <f t="shared" si="358"/>
        <v>546114.70200000005</v>
      </c>
      <c r="KQ20">
        <f t="shared" si="358"/>
        <v>546505.15099999995</v>
      </c>
      <c r="KR20">
        <f t="shared" si="358"/>
        <v>546894.603</v>
      </c>
      <c r="KS20">
        <f t="shared" si="358"/>
        <v>547374.10699999996</v>
      </c>
      <c r="KT20">
        <f t="shared" si="358"/>
        <v>547766.89800000004</v>
      </c>
      <c r="KU20">
        <f t="shared" si="358"/>
        <v>548295.73</v>
      </c>
      <c r="KV20">
        <f t="shared" si="358"/>
        <v>548835.62800000003</v>
      </c>
      <c r="KW20">
        <f t="shared" si="358"/>
        <v>549396.73899999994</v>
      </c>
      <c r="KX20">
        <f t="shared" si="358"/>
        <v>550009.18299999996</v>
      </c>
      <c r="KY20">
        <f t="shared" si="358"/>
        <v>550511.15</v>
      </c>
      <c r="KZ20">
        <f t="shared" si="358"/>
        <v>550992.47400000005</v>
      </c>
      <c r="LA20">
        <f t="shared" si="358"/>
        <v>551481.223</v>
      </c>
      <c r="LB20">
        <f t="shared" si="358"/>
        <v>552036.24199999997</v>
      </c>
      <c r="LC20">
        <f t="shared" si="358"/>
        <v>552672.04799999995</v>
      </c>
      <c r="LD20">
        <f t="shared" si="358"/>
        <v>553140.21799999999</v>
      </c>
      <c r="LE20">
        <f t="shared" si="358"/>
        <v>553603.99300000002</v>
      </c>
      <c r="LF20" s="126"/>
      <c r="LG20">
        <f>LE21</f>
        <v>554090.69700000004</v>
      </c>
      <c r="LH20">
        <f t="shared" ref="LH20:MJ20" si="359">LG21</f>
        <v>554579.19400000002</v>
      </c>
      <c r="LI20">
        <f t="shared" si="359"/>
        <v>555022.66399999999</v>
      </c>
      <c r="LJ20">
        <f t="shared" si="359"/>
        <v>555623.36899999995</v>
      </c>
      <c r="LK20">
        <f t="shared" si="359"/>
        <v>556242.51699999999</v>
      </c>
      <c r="LL20">
        <f t="shared" si="359"/>
        <v>556584.147</v>
      </c>
      <c r="LM20">
        <f t="shared" si="359"/>
        <v>557070.66399999999</v>
      </c>
      <c r="LN20">
        <f t="shared" si="359"/>
        <v>557559.61800000002</v>
      </c>
      <c r="LO20">
        <f t="shared" si="359"/>
        <v>558152.46600000001</v>
      </c>
      <c r="LP20">
        <f t="shared" si="359"/>
        <v>558516.95299999998</v>
      </c>
      <c r="LQ20">
        <f t="shared" si="359"/>
        <v>559115.69200000004</v>
      </c>
      <c r="LR20">
        <f t="shared" si="359"/>
        <v>559708.83200000005</v>
      </c>
      <c r="LS20">
        <f t="shared" si="359"/>
        <v>560181.92799999996</v>
      </c>
      <c r="LT20">
        <f t="shared" si="359"/>
        <v>560661.26599999995</v>
      </c>
      <c r="LU20">
        <f t="shared" si="359"/>
        <v>561113.34600000002</v>
      </c>
      <c r="LV20">
        <f t="shared" si="359"/>
        <v>561562.91599999997</v>
      </c>
      <c r="LW20">
        <f t="shared" si="359"/>
        <v>562046.26599999995</v>
      </c>
      <c r="LX20">
        <f t="shared" si="359"/>
        <v>562471.82299999997</v>
      </c>
      <c r="LY20">
        <f t="shared" si="359"/>
        <v>562918.32299999997</v>
      </c>
      <c r="LZ20">
        <f t="shared" si="359"/>
        <v>563380.71</v>
      </c>
      <c r="MA20">
        <f t="shared" si="359"/>
        <v>564204.92200000002</v>
      </c>
      <c r="MB20">
        <f t="shared" si="359"/>
        <v>564820.049</v>
      </c>
      <c r="MC20">
        <f t="shared" si="359"/>
        <v>565309.41399999999</v>
      </c>
      <c r="MD20">
        <f t="shared" si="359"/>
        <v>565644.01699999999</v>
      </c>
      <c r="ME20">
        <f t="shared" si="359"/>
        <v>566209.25699999998</v>
      </c>
      <c r="MF20">
        <f t="shared" si="359"/>
        <v>566817.65300000005</v>
      </c>
      <c r="MG20">
        <f t="shared" si="359"/>
        <v>567203.70400000003</v>
      </c>
      <c r="MH20">
        <f t="shared" si="359"/>
        <v>567640.83400000003</v>
      </c>
      <c r="MI20">
        <f t="shared" si="359"/>
        <v>567993.64</v>
      </c>
      <c r="MJ20">
        <f t="shared" si="359"/>
        <v>568332.78200000001</v>
      </c>
      <c r="MK20" s="126"/>
      <c r="ML20">
        <f>MJ21</f>
        <v>568986.59</v>
      </c>
      <c r="MM20">
        <f t="shared" ref="MM20:NP20" si="360">ML21</f>
        <v>569614.11499999999</v>
      </c>
      <c r="MN20">
        <f t="shared" si="360"/>
        <v>570450.223</v>
      </c>
      <c r="MO20">
        <f t="shared" si="360"/>
        <v>570891.94999999995</v>
      </c>
      <c r="MP20">
        <f t="shared" si="360"/>
        <v>571416.76500000001</v>
      </c>
      <c r="MQ20">
        <f t="shared" si="360"/>
        <v>571960.55000000005</v>
      </c>
      <c r="MR20">
        <f t="shared" si="360"/>
        <v>572427.70600000001</v>
      </c>
      <c r="MS20">
        <f t="shared" si="360"/>
        <v>573029.09900000005</v>
      </c>
      <c r="MT20">
        <f t="shared" si="360"/>
        <v>573618.91299999994</v>
      </c>
      <c r="MU20">
        <f t="shared" si="360"/>
        <v>574151.24100000004</v>
      </c>
      <c r="MV20">
        <f t="shared" si="360"/>
        <v>574509.85400000005</v>
      </c>
      <c r="MW20">
        <f t="shared" si="360"/>
        <v>575024.35699999996</v>
      </c>
      <c r="MX20">
        <f t="shared" si="360"/>
        <v>575488.15800000005</v>
      </c>
      <c r="MY20">
        <f t="shared" si="360"/>
        <v>576040.42700000003</v>
      </c>
      <c r="MZ20">
        <f t="shared" si="360"/>
        <v>576376.33400000003</v>
      </c>
      <c r="NA20">
        <f t="shared" si="360"/>
        <v>576844.20900000003</v>
      </c>
      <c r="NB20">
        <f t="shared" si="360"/>
        <v>577445.14099999995</v>
      </c>
      <c r="NC20">
        <f t="shared" si="360"/>
        <v>577885.17599999998</v>
      </c>
      <c r="ND20">
        <f t="shared" si="360"/>
        <v>578320.27</v>
      </c>
      <c r="NE20">
        <f t="shared" si="360"/>
        <v>578815.78200000001</v>
      </c>
      <c r="NF20">
        <f t="shared" si="360"/>
        <v>579280.64199999999</v>
      </c>
      <c r="NG20">
        <f t="shared" si="360"/>
        <v>579642.10699999996</v>
      </c>
      <c r="NH20">
        <f t="shared" si="360"/>
        <v>580020.49800000002</v>
      </c>
      <c r="NI20">
        <f t="shared" si="360"/>
        <v>580382.63800000004</v>
      </c>
      <c r="NJ20">
        <f t="shared" si="360"/>
        <v>580759.27</v>
      </c>
      <c r="NK20">
        <f t="shared" si="360"/>
        <v>581296.85600000003</v>
      </c>
      <c r="NL20">
        <f t="shared" si="360"/>
        <v>581885.29700000002</v>
      </c>
      <c r="NM20">
        <f t="shared" si="360"/>
        <v>582167.14199999999</v>
      </c>
      <c r="NN20">
        <f t="shared" si="360"/>
        <v>582602.81400000001</v>
      </c>
      <c r="NO20">
        <f t="shared" si="360"/>
        <v>583018.08200000005</v>
      </c>
      <c r="NP20">
        <f t="shared" si="360"/>
        <v>583481.91399999999</v>
      </c>
      <c r="NQ20" s="126"/>
      <c r="NR20">
        <f>NP21</f>
        <v>583933.47100000002</v>
      </c>
      <c r="NS20">
        <f t="shared" ref="NS20:OV20" si="361">NR21</f>
        <v>584289.53899999999</v>
      </c>
      <c r="NT20">
        <f t="shared" si="361"/>
        <v>584848.13600000006</v>
      </c>
      <c r="NU20">
        <f t="shared" si="361"/>
        <v>585218.598</v>
      </c>
      <c r="NV20">
        <f t="shared" si="361"/>
        <v>585574.21499999997</v>
      </c>
      <c r="NW20">
        <f t="shared" si="361"/>
        <v>586050.99199999997</v>
      </c>
      <c r="NX20">
        <f t="shared" si="361"/>
        <v>586544.28</v>
      </c>
      <c r="NY20">
        <f t="shared" si="361"/>
        <v>587019.57400000002</v>
      </c>
      <c r="NZ20">
        <f t="shared" si="361"/>
        <v>587535.43500000006</v>
      </c>
      <c r="OA20">
        <f t="shared" si="361"/>
        <v>588069.51300000004</v>
      </c>
      <c r="OB20">
        <f t="shared" si="361"/>
        <v>588573.70299999998</v>
      </c>
      <c r="OC20">
        <f t="shared" si="361"/>
        <v>589023.34199999995</v>
      </c>
      <c r="OD20">
        <f t="shared" si="361"/>
        <v>589363.76300000004</v>
      </c>
      <c r="OE20">
        <f t="shared" si="361"/>
        <v>589696.32999999996</v>
      </c>
      <c r="OF20">
        <f t="shared" si="361"/>
        <v>590105.87300000002</v>
      </c>
      <c r="OG20">
        <f t="shared" si="361"/>
        <v>590461.09900000005</v>
      </c>
      <c r="OH20">
        <f t="shared" si="361"/>
        <v>590903.51800000004</v>
      </c>
      <c r="OI20">
        <f t="shared" si="361"/>
        <v>591258.853</v>
      </c>
      <c r="OJ20">
        <f t="shared" si="361"/>
        <v>591507.52</v>
      </c>
      <c r="OK20">
        <f t="shared" si="361"/>
        <v>591940.86</v>
      </c>
      <c r="OL20">
        <f t="shared" si="361"/>
        <v>592397.28899999999</v>
      </c>
      <c r="OM20">
        <f t="shared" si="361"/>
        <v>592893.53200000001</v>
      </c>
      <c r="ON20">
        <f t="shared" si="361"/>
        <v>593608.06999999995</v>
      </c>
      <c r="OO20">
        <f t="shared" si="361"/>
        <v>594082.27099999995</v>
      </c>
      <c r="OP20">
        <f t="shared" si="361"/>
        <v>594549.80900000001</v>
      </c>
      <c r="OQ20">
        <f t="shared" si="361"/>
        <v>594799.32200000004</v>
      </c>
      <c r="OR20">
        <f t="shared" si="361"/>
        <v>595285.47400000005</v>
      </c>
      <c r="OS20">
        <f t="shared" si="361"/>
        <v>595742.13899999997</v>
      </c>
      <c r="OT20">
        <f t="shared" si="361"/>
        <v>596152.20900000003</v>
      </c>
      <c r="OU20">
        <f t="shared" si="361"/>
        <v>596616.076</v>
      </c>
      <c r="OV20">
        <f t="shared" si="361"/>
        <v>597251.13899999997</v>
      </c>
      <c r="OW20" s="126"/>
      <c r="OX20">
        <f>OV21</f>
        <v>597771.57700000005</v>
      </c>
      <c r="OY20">
        <f t="shared" ref="OY20:QA20" si="362">OX21</f>
        <v>598233.55500000005</v>
      </c>
      <c r="OZ20">
        <f t="shared" si="362"/>
        <v>599084.90700000001</v>
      </c>
      <c r="PA20">
        <f t="shared" si="362"/>
        <v>599650.67299999995</v>
      </c>
      <c r="PB20">
        <f t="shared" si="362"/>
        <v>599993.30200000003</v>
      </c>
      <c r="PC20">
        <f t="shared" si="362"/>
        <v>600561.56400000001</v>
      </c>
      <c r="PD20">
        <f t="shared" si="362"/>
        <v>601222.71100000001</v>
      </c>
      <c r="PE20">
        <f t="shared" si="362"/>
        <v>601941.00399999996</v>
      </c>
      <c r="PF20">
        <f t="shared" si="362"/>
        <v>602484.49100000004</v>
      </c>
      <c r="PG20">
        <f t="shared" si="362"/>
        <v>603000.16799999995</v>
      </c>
      <c r="PH20">
        <f t="shared" si="362"/>
        <v>603612.96200000006</v>
      </c>
      <c r="PI20">
        <f t="shared" si="362"/>
        <v>604124.47</v>
      </c>
      <c r="PJ20">
        <f t="shared" si="362"/>
        <v>604491.21100000001</v>
      </c>
      <c r="PK20">
        <f t="shared" si="362"/>
        <v>605175.53</v>
      </c>
      <c r="PL20">
        <f t="shared" si="362"/>
        <v>605659.38899999997</v>
      </c>
      <c r="PM20">
        <f t="shared" si="362"/>
        <v>606109.14399999997</v>
      </c>
      <c r="PN20">
        <f t="shared" si="362"/>
        <v>606514.43900000001</v>
      </c>
      <c r="PO20">
        <f t="shared" si="362"/>
        <v>606899.59600000002</v>
      </c>
      <c r="PP20">
        <f t="shared" si="362"/>
        <v>607274.23100000003</v>
      </c>
      <c r="PQ20">
        <f t="shared" si="362"/>
        <v>607968.68500000006</v>
      </c>
      <c r="PR20">
        <f t="shared" si="362"/>
        <v>608480.29500000004</v>
      </c>
      <c r="PS20">
        <f t="shared" si="362"/>
        <v>608983.21600000001</v>
      </c>
      <c r="PT20">
        <f t="shared" si="362"/>
        <v>609299.69400000002</v>
      </c>
      <c r="PU20">
        <f t="shared" si="362"/>
        <v>609812.81200000003</v>
      </c>
      <c r="PV20">
        <f t="shared" si="362"/>
        <v>610415.21499999997</v>
      </c>
      <c r="PW20">
        <f t="shared" si="362"/>
        <v>610700.73600000003</v>
      </c>
      <c r="PX20">
        <f t="shared" si="362"/>
        <v>611098.20600000001</v>
      </c>
      <c r="PY20">
        <f t="shared" si="362"/>
        <v>611470.56799999997</v>
      </c>
      <c r="PZ20">
        <f t="shared" si="362"/>
        <v>611921.79500000004</v>
      </c>
      <c r="QA20">
        <f t="shared" si="362"/>
        <v>612224.15700000001</v>
      </c>
      <c r="QB20" s="126"/>
      <c r="QC20">
        <f>QA21</f>
        <v>612657.13100000005</v>
      </c>
      <c r="QD20">
        <f t="shared" ref="QD20:RG20" si="363">QC21</f>
        <v>613273.41500000004</v>
      </c>
      <c r="QE20">
        <f t="shared" si="363"/>
        <v>613771.19700000004</v>
      </c>
      <c r="QF20">
        <f t="shared" si="363"/>
        <v>614340.32200000004</v>
      </c>
      <c r="QG20">
        <f t="shared" si="363"/>
        <v>615088.43900000001</v>
      </c>
      <c r="QH20">
        <f t="shared" si="363"/>
        <v>615647.48100000003</v>
      </c>
      <c r="QI20">
        <f t="shared" si="363"/>
        <v>615966.56799999997</v>
      </c>
      <c r="QJ20">
        <f t="shared" si="363"/>
        <v>616414.00899999996</v>
      </c>
      <c r="QK20">
        <f t="shared" si="363"/>
        <v>616883.22</v>
      </c>
      <c r="QL20">
        <f t="shared" si="363"/>
        <v>617272.09900000005</v>
      </c>
      <c r="QM20">
        <f t="shared" si="363"/>
        <v>617652.598</v>
      </c>
      <c r="QN20">
        <f t="shared" si="363"/>
        <v>618084.60199999996</v>
      </c>
      <c r="QO20">
        <f t="shared" si="363"/>
        <v>618617.49</v>
      </c>
      <c r="QP20">
        <f t="shared" si="363"/>
        <v>619067.72100000002</v>
      </c>
      <c r="QQ20">
        <f t="shared" si="363"/>
        <v>619808.43000000005</v>
      </c>
      <c r="QR20">
        <f t="shared" si="363"/>
        <v>620256.33100000001</v>
      </c>
      <c r="QS20">
        <f t="shared" si="363"/>
        <v>620810.48600000003</v>
      </c>
      <c r="QT20">
        <f t="shared" si="363"/>
        <v>621168.58600000001</v>
      </c>
      <c r="QU20">
        <f t="shared" si="363"/>
        <v>621678.88600000006</v>
      </c>
      <c r="QV20">
        <f t="shared" si="363"/>
        <v>622336.99600000004</v>
      </c>
      <c r="QW20">
        <f t="shared" si="363"/>
        <v>622655.05000000005</v>
      </c>
      <c r="QX20">
        <f t="shared" si="363"/>
        <v>623143.71799999999</v>
      </c>
      <c r="QY20">
        <f t="shared" si="363"/>
        <v>623459.85400000005</v>
      </c>
      <c r="QZ20">
        <f t="shared" si="363"/>
        <v>623815.125</v>
      </c>
      <c r="RA20">
        <f t="shared" si="363"/>
        <v>624611.26500000001</v>
      </c>
      <c r="RB20">
        <f t="shared" si="363"/>
        <v>625255.95299999998</v>
      </c>
      <c r="RC20">
        <f t="shared" si="363"/>
        <v>625566.20700000005</v>
      </c>
      <c r="RD20">
        <f t="shared" si="363"/>
        <v>625937.78</v>
      </c>
      <c r="RE20">
        <f t="shared" si="363"/>
        <v>626326.973</v>
      </c>
      <c r="RF20">
        <f t="shared" si="363"/>
        <v>626860.97100000002</v>
      </c>
      <c r="RG20">
        <f t="shared" si="363"/>
        <v>627450.59199999995</v>
      </c>
      <c r="RH20" s="126"/>
      <c r="RI20">
        <f>RG21</f>
        <v>627925.00199999998</v>
      </c>
      <c r="RJ20">
        <f t="shared" ref="RJ20:SL20" si="364">RI21</f>
        <v>628408.57900000003</v>
      </c>
      <c r="RK20">
        <f t="shared" si="364"/>
        <v>628709.04500000004</v>
      </c>
      <c r="RL20">
        <f t="shared" si="364"/>
        <v>629189.23699999996</v>
      </c>
      <c r="RM20">
        <f t="shared" si="364"/>
        <v>630256.17000000004</v>
      </c>
      <c r="RN20">
        <f t="shared" si="364"/>
        <v>630805.85499999998</v>
      </c>
      <c r="RO20">
        <f t="shared" si="364"/>
        <v>631022.41399999999</v>
      </c>
      <c r="RP20">
        <f t="shared" si="364"/>
        <v>631298.97900000005</v>
      </c>
      <c r="RQ20">
        <f t="shared" si="364"/>
        <v>631606.647</v>
      </c>
      <c r="RR20">
        <f t="shared" si="364"/>
        <v>632030.32299999997</v>
      </c>
      <c r="RS20">
        <f t="shared" si="364"/>
        <v>632432.55500000005</v>
      </c>
      <c r="RT20">
        <f t="shared" si="364"/>
        <v>632944.80200000003</v>
      </c>
      <c r="RU20">
        <f t="shared" si="364"/>
        <v>633420.41500000004</v>
      </c>
      <c r="RV20">
        <f t="shared" si="364"/>
        <v>634096.55799999996</v>
      </c>
      <c r="RW20">
        <f t="shared" si="364"/>
        <v>634724.87199999997</v>
      </c>
      <c r="RX20">
        <f t="shared" si="364"/>
        <v>635289.74399999995</v>
      </c>
      <c r="RY20">
        <f t="shared" si="364"/>
        <v>636020.90800000005</v>
      </c>
      <c r="RZ20">
        <f t="shared" si="364"/>
        <v>636420.679</v>
      </c>
      <c r="SA20">
        <f t="shared" si="364"/>
        <v>636696.40399999998</v>
      </c>
      <c r="SB20">
        <f t="shared" si="364"/>
        <v>636987.71900000004</v>
      </c>
      <c r="SC20">
        <f t="shared" si="364"/>
        <v>637219.22400000005</v>
      </c>
      <c r="SD20">
        <f t="shared" si="364"/>
        <v>637621.52800000005</v>
      </c>
      <c r="SE20">
        <f t="shared" si="364"/>
        <v>637957.53300000005</v>
      </c>
      <c r="SF20">
        <f t="shared" si="364"/>
        <v>638341.86899999995</v>
      </c>
      <c r="SG20">
        <f t="shared" si="364"/>
        <v>638700.92000000004</v>
      </c>
      <c r="SH20">
        <f t="shared" si="364"/>
        <v>639044.277</v>
      </c>
      <c r="SI20">
        <f t="shared" si="364"/>
        <v>639700.27500000002</v>
      </c>
      <c r="SJ20">
        <f t="shared" si="364"/>
        <v>640059.24300000002</v>
      </c>
      <c r="SK20">
        <f t="shared" si="364"/>
        <v>640811.92000000004</v>
      </c>
      <c r="SL20">
        <f t="shared" si="364"/>
        <v>641313.97699999996</v>
      </c>
      <c r="SM20" s="126"/>
      <c r="SN20">
        <f>SL21</f>
        <v>641747.17799999996</v>
      </c>
      <c r="SO20">
        <f t="shared" ref="SO20:TR20" si="365">SN21</f>
        <v>642048.28500000003</v>
      </c>
      <c r="SP20">
        <f t="shared" si="365"/>
        <v>642640.74199999997</v>
      </c>
      <c r="SQ20">
        <f t="shared" si="365"/>
        <v>643273.10199999996</v>
      </c>
      <c r="SR20">
        <f t="shared" si="365"/>
        <v>644137.08299999998</v>
      </c>
      <c r="SS20">
        <f t="shared" si="365"/>
        <v>644673.48400000005</v>
      </c>
      <c r="ST20">
        <f t="shared" si="365"/>
        <v>645213.81299999997</v>
      </c>
      <c r="SU20">
        <f t="shared" si="365"/>
        <v>645648.88399999996</v>
      </c>
      <c r="SV20">
        <f t="shared" si="365"/>
        <v>646149.73100000003</v>
      </c>
      <c r="SW20">
        <f t="shared" si="365"/>
        <v>646983.07499999995</v>
      </c>
      <c r="SX20">
        <f t="shared" si="365"/>
        <v>647463.37</v>
      </c>
      <c r="SY20">
        <f t="shared" si="365"/>
        <v>647783.40800000005</v>
      </c>
      <c r="SZ20">
        <f t="shared" si="365"/>
        <v>648213.098</v>
      </c>
      <c r="TA20">
        <f t="shared" si="365"/>
        <v>648819.19099999999</v>
      </c>
      <c r="TB20">
        <f t="shared" si="365"/>
        <v>649199.13</v>
      </c>
      <c r="TC20">
        <f t="shared" si="365"/>
        <v>649694.76899999997</v>
      </c>
      <c r="TD20">
        <f t="shared" si="365"/>
        <v>650613.6</v>
      </c>
      <c r="TE20">
        <f t="shared" si="365"/>
        <v>651115.25699999998</v>
      </c>
      <c r="TF20">
        <f t="shared" si="365"/>
        <v>651588.33799999999</v>
      </c>
      <c r="TG20">
        <f t="shared" si="365"/>
        <v>652168.06299999997</v>
      </c>
      <c r="TH20">
        <f t="shared" si="365"/>
        <v>652716.78599999996</v>
      </c>
      <c r="TI20">
        <f t="shared" si="365"/>
        <v>653128.304</v>
      </c>
      <c r="TJ20">
        <f t="shared" si="365"/>
        <v>653572.23600000003</v>
      </c>
      <c r="TK20">
        <f t="shared" si="365"/>
        <v>653908.92500000005</v>
      </c>
      <c r="TL20">
        <f t="shared" si="365"/>
        <v>654345.79299999995</v>
      </c>
      <c r="TM20">
        <f t="shared" si="365"/>
        <v>654630.12</v>
      </c>
      <c r="TN20">
        <f t="shared" si="365"/>
        <v>655038.46</v>
      </c>
      <c r="TO20">
        <f t="shared" si="365"/>
        <v>655436.18700000003</v>
      </c>
      <c r="TP20">
        <f t="shared" si="365"/>
        <v>655826.88399999996</v>
      </c>
      <c r="TQ20">
        <f t="shared" si="365"/>
        <v>656100.12600000005</v>
      </c>
      <c r="TR20">
        <f t="shared" si="365"/>
        <v>656433.67700000003</v>
      </c>
      <c r="TS20" s="126"/>
      <c r="TT20">
        <f>TR21</f>
        <v>656975.04299999995</v>
      </c>
      <c r="TU20">
        <f t="shared" ref="TU20:UX20" si="366">TT21</f>
        <v>657246.40700000001</v>
      </c>
      <c r="TV20">
        <f t="shared" si="366"/>
        <v>657590.25199999998</v>
      </c>
      <c r="TW20">
        <f t="shared" si="366"/>
        <v>657974.61300000001</v>
      </c>
      <c r="TX20">
        <f t="shared" si="366"/>
        <v>658383.07799999998</v>
      </c>
      <c r="TY20">
        <f t="shared" si="366"/>
        <v>658653.99</v>
      </c>
      <c r="TZ20">
        <f t="shared" si="366"/>
        <v>659047.56700000004</v>
      </c>
      <c r="UA20">
        <f t="shared" si="366"/>
        <v>659576.054</v>
      </c>
      <c r="UB20">
        <f t="shared" si="366"/>
        <v>660330.51500000001</v>
      </c>
      <c r="UC20">
        <f t="shared" si="366"/>
        <v>660854.34199999995</v>
      </c>
      <c r="UD20">
        <f t="shared" si="366"/>
        <v>661410.92099999997</v>
      </c>
      <c r="UE20">
        <f t="shared" si="366"/>
        <v>661765.54500000004</v>
      </c>
      <c r="UF20">
        <f t="shared" si="366"/>
        <v>662277.18299999996</v>
      </c>
      <c r="UG20">
        <f t="shared" si="366"/>
        <v>663079.47900000005</v>
      </c>
      <c r="UH20">
        <f t="shared" si="366"/>
        <v>663498.61600000004</v>
      </c>
      <c r="UI20">
        <f t="shared" si="366"/>
        <v>663851.32799999998</v>
      </c>
      <c r="UJ20">
        <f t="shared" si="366"/>
        <v>664263.49100000004</v>
      </c>
      <c r="UK20">
        <f t="shared" si="366"/>
        <v>664769.91</v>
      </c>
      <c r="UL20">
        <f t="shared" si="366"/>
        <v>665291.30000000005</v>
      </c>
      <c r="UM20">
        <f t="shared" si="366"/>
        <v>665673.47600000002</v>
      </c>
      <c r="UN20">
        <f t="shared" si="366"/>
        <v>666225.63899999997</v>
      </c>
      <c r="UO20">
        <f t="shared" si="366"/>
        <v>666591.10499999998</v>
      </c>
      <c r="UP20">
        <f t="shared" si="366"/>
        <v>667056.13</v>
      </c>
      <c r="UQ20">
        <f t="shared" si="366"/>
        <v>667468.75399999996</v>
      </c>
      <c r="UR20">
        <f t="shared" si="366"/>
        <v>668024.42299999995</v>
      </c>
      <c r="US20">
        <f t="shared" si="366"/>
        <v>668648.78</v>
      </c>
      <c r="UT20">
        <f t="shared" si="366"/>
        <v>669522.88699999999</v>
      </c>
      <c r="UU20">
        <f t="shared" si="366"/>
        <v>669960.70900000003</v>
      </c>
      <c r="UV20">
        <f t="shared" si="366"/>
        <v>670471.06000000006</v>
      </c>
      <c r="UW20">
        <f t="shared" si="366"/>
        <v>670471.06000000006</v>
      </c>
      <c r="UX20">
        <f t="shared" si="366"/>
        <v>670819.48499999999</v>
      </c>
      <c r="UY20" s="126"/>
      <c r="UZ20" s="89">
        <f>UX21</f>
        <v>671276.929</v>
      </c>
      <c r="VA20" s="89">
        <f t="shared" ref="VA20:WA20" si="367">UZ21</f>
        <v>671730.05299999996</v>
      </c>
      <c r="VB20" s="89">
        <f t="shared" si="367"/>
        <v>672139.39599999995</v>
      </c>
      <c r="VC20" s="89">
        <f t="shared" si="367"/>
        <v>673269.56700000004</v>
      </c>
      <c r="VD20" s="89">
        <f t="shared" si="367"/>
        <v>673861.08700000006</v>
      </c>
      <c r="VE20" s="89">
        <f t="shared" si="367"/>
        <v>674330.59199999995</v>
      </c>
      <c r="VF20" s="89">
        <f t="shared" si="367"/>
        <v>674646.16</v>
      </c>
      <c r="VG20" s="89">
        <f t="shared" si="367"/>
        <v>675286.125</v>
      </c>
      <c r="VH20" s="89">
        <f t="shared" si="367"/>
        <v>675920.58799999999</v>
      </c>
      <c r="VI20" s="89">
        <f t="shared" si="367"/>
        <v>676345.84900000005</v>
      </c>
      <c r="VJ20" s="89">
        <f t="shared" si="367"/>
        <v>676744.95499999996</v>
      </c>
      <c r="VK20" s="89">
        <f t="shared" si="367"/>
        <v>677691.48699999996</v>
      </c>
      <c r="VL20" s="89">
        <f t="shared" si="367"/>
        <v>677975.44200000004</v>
      </c>
      <c r="VM20" s="89">
        <f t="shared" si="367"/>
        <v>678424.91299999994</v>
      </c>
      <c r="VN20" s="89">
        <f t="shared" si="367"/>
        <v>678864.7</v>
      </c>
      <c r="VO20" s="89">
        <f t="shared" si="367"/>
        <v>679337.42200000002</v>
      </c>
      <c r="VP20" s="89">
        <f t="shared" si="367"/>
        <v>679648.397</v>
      </c>
      <c r="VQ20" s="89">
        <f t="shared" si="367"/>
        <v>680218.31099999999</v>
      </c>
      <c r="VR20" s="89">
        <f t="shared" si="367"/>
        <v>680680.92099999997</v>
      </c>
      <c r="VS20" s="89">
        <f t="shared" si="367"/>
        <v>681396.755</v>
      </c>
      <c r="VT20" s="89">
        <f t="shared" si="367"/>
        <v>681794.53899999999</v>
      </c>
      <c r="VU20" s="89">
        <f t="shared" si="367"/>
        <v>682358.67799999996</v>
      </c>
      <c r="VV20" s="89">
        <f t="shared" si="367"/>
        <v>682912.21400000004</v>
      </c>
      <c r="VW20" s="89">
        <f t="shared" si="367"/>
        <v>683455.79500000004</v>
      </c>
      <c r="VX20" s="89">
        <f t="shared" si="367"/>
        <v>683923.40399999998</v>
      </c>
      <c r="VY20" s="89">
        <f t="shared" si="367"/>
        <v>684504.05500000005</v>
      </c>
      <c r="VZ20" s="89">
        <f t="shared" si="367"/>
        <v>684996.78899999999</v>
      </c>
      <c r="WA20" s="89">
        <f t="shared" si="367"/>
        <v>685340.62199999997</v>
      </c>
      <c r="WB20" s="126"/>
      <c r="WC20" s="89">
        <f>WA21</f>
        <v>685769.79099999997</v>
      </c>
      <c r="WD20" s="89">
        <f t="shared" ref="WD20:XG20" si="368">WC21</f>
        <v>686264.82799999998</v>
      </c>
      <c r="WE20" s="89">
        <f t="shared" si="368"/>
        <v>686642.83200000005</v>
      </c>
      <c r="WF20" s="89">
        <f t="shared" si="368"/>
        <v>687544.55599999998</v>
      </c>
      <c r="WG20" s="89">
        <f t="shared" si="368"/>
        <v>688015.15500000003</v>
      </c>
      <c r="WH20" s="89">
        <f t="shared" si="368"/>
        <v>688626.78300000005</v>
      </c>
      <c r="WI20" s="89">
        <f t="shared" si="368"/>
        <v>688626.18299999996</v>
      </c>
      <c r="WJ20" s="89">
        <f t="shared" si="368"/>
        <v>688932.72499999998</v>
      </c>
      <c r="WK20" s="89">
        <f t="shared" si="368"/>
        <v>689456.62199999997</v>
      </c>
      <c r="WL20" s="89">
        <f t="shared" si="368"/>
        <v>689900.995</v>
      </c>
      <c r="WM20" s="89">
        <f t="shared" si="368"/>
        <v>690475.96499999997</v>
      </c>
      <c r="WN20" s="89">
        <f t="shared" si="368"/>
        <v>691262.53899999999</v>
      </c>
      <c r="WO20" s="89">
        <f t="shared" si="368"/>
        <v>691588.223</v>
      </c>
      <c r="WP20" s="89">
        <f t="shared" si="368"/>
        <v>692105.96299999999</v>
      </c>
      <c r="WQ20" s="89">
        <f t="shared" si="368"/>
        <v>692504.06599999999</v>
      </c>
      <c r="WR20" s="89">
        <f t="shared" si="368"/>
        <v>693110.53</v>
      </c>
      <c r="WS20" s="89">
        <f t="shared" si="368"/>
        <v>693478.02099999995</v>
      </c>
      <c r="WT20" s="89">
        <f t="shared" si="368"/>
        <v>693987.90300000005</v>
      </c>
      <c r="WU20" s="89">
        <f t="shared" si="368"/>
        <v>694226.78</v>
      </c>
      <c r="WV20" s="89">
        <f t="shared" si="368"/>
        <v>694695.15099999995</v>
      </c>
      <c r="WW20" s="89">
        <f t="shared" si="368"/>
        <v>695192.13800000004</v>
      </c>
      <c r="WX20" s="89">
        <f t="shared" si="368"/>
        <v>695981.04099999997</v>
      </c>
      <c r="WY20" s="89">
        <f t="shared" si="368"/>
        <v>696488.09900000005</v>
      </c>
      <c r="WZ20" s="89">
        <f t="shared" si="368"/>
        <v>696976.71400000004</v>
      </c>
      <c r="XA20" s="89">
        <f t="shared" si="368"/>
        <v>697518.77500000002</v>
      </c>
      <c r="XB20" s="89">
        <f t="shared" si="368"/>
        <v>697970.07400000002</v>
      </c>
      <c r="XC20" s="89">
        <f t="shared" si="368"/>
        <v>698192.02399999998</v>
      </c>
      <c r="XD20" s="89">
        <f t="shared" si="368"/>
        <v>698779.30099999998</v>
      </c>
      <c r="XE20" s="89">
        <f t="shared" si="368"/>
        <v>699185.05599999998</v>
      </c>
      <c r="XF20" s="89">
        <f t="shared" si="368"/>
        <v>699544.88300000003</v>
      </c>
      <c r="XG20" s="89">
        <f t="shared" si="368"/>
        <v>699914.91</v>
      </c>
      <c r="XH20" s="126"/>
      <c r="XI20" s="89">
        <f>XG21</f>
        <v>700490.23</v>
      </c>
      <c r="XJ20" s="89">
        <f t="shared" ref="XJ20:YL20" si="369">XI21</f>
        <v>700735.29700000002</v>
      </c>
      <c r="XK20" s="89">
        <f t="shared" si="369"/>
        <v>700971.38899999997</v>
      </c>
      <c r="XL20" s="89">
        <f t="shared" si="369"/>
        <v>701342.69</v>
      </c>
      <c r="XM20" s="89">
        <f t="shared" si="369"/>
        <v>701778.30900000001</v>
      </c>
      <c r="XN20" s="89">
        <f t="shared" si="369"/>
        <v>702299.35900000005</v>
      </c>
      <c r="XO20" s="89">
        <f t="shared" si="369"/>
        <v>702656.41700000002</v>
      </c>
      <c r="XP20" s="89">
        <f t="shared" si="369"/>
        <v>702989.06499999994</v>
      </c>
      <c r="XQ20" s="89">
        <f t="shared" si="369"/>
        <v>703463.34699999995</v>
      </c>
      <c r="XR20" s="89">
        <f t="shared" si="369"/>
        <v>703774.848</v>
      </c>
      <c r="XS20" s="89">
        <f t="shared" si="369"/>
        <v>704096.59600000002</v>
      </c>
      <c r="XT20" s="89">
        <f t="shared" si="369"/>
        <v>704443.19900000002</v>
      </c>
      <c r="XU20" s="89">
        <f t="shared" si="369"/>
        <v>704932.45200000005</v>
      </c>
      <c r="XV20" s="89">
        <f t="shared" si="369"/>
        <v>705325.23800000001</v>
      </c>
      <c r="XW20" s="89">
        <f t="shared" si="369"/>
        <v>705670.21499999997</v>
      </c>
      <c r="XX20" s="89">
        <f t="shared" si="369"/>
        <v>706095.06700000004</v>
      </c>
      <c r="XY20" s="89">
        <f t="shared" si="369"/>
        <v>706551.30799999996</v>
      </c>
      <c r="XZ20" s="89">
        <f t="shared" si="369"/>
        <v>706955.179</v>
      </c>
      <c r="YA20" s="89">
        <f t="shared" si="369"/>
        <v>707225.26199999999</v>
      </c>
      <c r="YB20" s="89">
        <f t="shared" si="369"/>
        <v>707511.79299999995</v>
      </c>
      <c r="YC20" s="89">
        <f t="shared" si="369"/>
        <v>707826.81499999994</v>
      </c>
      <c r="YD20" s="89">
        <f t="shared" si="369"/>
        <v>708195.07499999995</v>
      </c>
      <c r="YE20" s="89">
        <f t="shared" si="369"/>
        <v>708445.58600000001</v>
      </c>
      <c r="YF20" s="89">
        <f t="shared" si="369"/>
        <v>708980.70499999996</v>
      </c>
      <c r="YG20" s="89">
        <f t="shared" si="369"/>
        <v>709250.78</v>
      </c>
      <c r="YH20" s="89">
        <f t="shared" si="369"/>
        <v>709716.98300000001</v>
      </c>
      <c r="YI20" s="89">
        <f t="shared" si="369"/>
        <v>710029.75699999998</v>
      </c>
      <c r="YJ20" s="89">
        <f t="shared" si="369"/>
        <v>710460.04</v>
      </c>
      <c r="YK20" s="89">
        <f t="shared" si="369"/>
        <v>710795.929</v>
      </c>
      <c r="YL20" s="89">
        <f t="shared" si="369"/>
        <v>711064.79500000004</v>
      </c>
      <c r="YM20" s="126"/>
      <c r="YN20" s="89">
        <f>YL21</f>
        <v>711265.41799999995</v>
      </c>
      <c r="YO20" s="89">
        <f t="shared" ref="YO20:ZR20" si="370">YN21</f>
        <v>711684.09199999995</v>
      </c>
      <c r="YP20" s="89">
        <f t="shared" si="370"/>
        <v>712121.40599999996</v>
      </c>
      <c r="YQ20" s="89">
        <f t="shared" si="370"/>
        <v>712570.40599999996</v>
      </c>
      <c r="YR20" s="89">
        <f t="shared" si="370"/>
        <v>712885.65500000003</v>
      </c>
      <c r="YS20" s="89">
        <f t="shared" si="370"/>
        <v>713231.55799999996</v>
      </c>
      <c r="YT20" s="89">
        <f t="shared" si="370"/>
        <v>713492.60199999996</v>
      </c>
      <c r="YU20" s="89">
        <f t="shared" si="370"/>
        <v>713923.98100000003</v>
      </c>
      <c r="YV20" s="89">
        <f t="shared" si="370"/>
        <v>714100.85100000002</v>
      </c>
      <c r="YW20" s="89">
        <f t="shared" si="370"/>
        <v>714395.98899999994</v>
      </c>
      <c r="YX20" s="89">
        <f t="shared" si="370"/>
        <v>714705.48499999999</v>
      </c>
      <c r="YY20" s="89">
        <f t="shared" si="370"/>
        <v>715043.99300000002</v>
      </c>
      <c r="YZ20" s="89">
        <f t="shared" si="370"/>
        <v>715330.63600000006</v>
      </c>
      <c r="ZA20" s="89">
        <f t="shared" si="370"/>
        <v>715671.90500000003</v>
      </c>
      <c r="ZB20" s="89">
        <f t="shared" si="370"/>
        <v>716029.52800000005</v>
      </c>
      <c r="ZC20" s="89">
        <f t="shared" si="370"/>
        <v>716276.82299999997</v>
      </c>
      <c r="ZD20" s="89">
        <f t="shared" si="370"/>
        <v>716698.35100000002</v>
      </c>
      <c r="ZE20" s="89">
        <f t="shared" si="370"/>
        <v>717031.66399999999</v>
      </c>
      <c r="ZF20" s="89">
        <f t="shared" si="370"/>
        <v>717240.89099999995</v>
      </c>
      <c r="ZG20" s="89">
        <f t="shared" si="370"/>
        <v>717613.98</v>
      </c>
      <c r="ZH20" s="89">
        <f t="shared" si="370"/>
        <v>717914.20299999998</v>
      </c>
      <c r="ZI20" s="89">
        <f t="shared" si="370"/>
        <v>718488.14899999998</v>
      </c>
      <c r="ZJ20" s="89">
        <f t="shared" si="370"/>
        <v>718835.75699999998</v>
      </c>
      <c r="ZK20" s="89">
        <f t="shared" si="370"/>
        <v>719100.92500000005</v>
      </c>
      <c r="ZL20" s="89">
        <f t="shared" si="370"/>
        <v>719471.06900000002</v>
      </c>
      <c r="ZM20" s="89">
        <f t="shared" si="370"/>
        <v>719698.152</v>
      </c>
      <c r="ZN20" s="89">
        <f t="shared" si="370"/>
        <v>720327.06599999999</v>
      </c>
      <c r="ZO20" s="89">
        <f t="shared" si="370"/>
        <v>720638.66099999996</v>
      </c>
      <c r="ZP20" s="89">
        <f t="shared" si="370"/>
        <v>721026.24</v>
      </c>
      <c r="ZQ20" s="89">
        <f t="shared" si="370"/>
        <v>721464.04399999999</v>
      </c>
      <c r="ZR20" s="89">
        <f t="shared" si="370"/>
        <v>721893.28899999999</v>
      </c>
      <c r="ZS20" s="126"/>
      <c r="ZT20" s="89">
        <f>ZR21</f>
        <v>722195.69900000002</v>
      </c>
      <c r="ZU20" s="89">
        <f t="shared" ref="ZU20:AAW20" si="371">ZT21</f>
        <v>722810.45700000005</v>
      </c>
      <c r="ZV20" s="89">
        <f t="shared" si="371"/>
        <v>723097.96100000001</v>
      </c>
      <c r="ZW20" s="89">
        <f t="shared" si="371"/>
        <v>723503.30200000003</v>
      </c>
      <c r="ZX20" s="89">
        <f t="shared" si="371"/>
        <v>723847.35800000001</v>
      </c>
      <c r="ZY20" s="89">
        <f t="shared" si="371"/>
        <v>724146.82799999998</v>
      </c>
      <c r="ZZ20" s="89">
        <f t="shared" si="371"/>
        <v>724620.85499999998</v>
      </c>
      <c r="AAA20" s="89">
        <f t="shared" si="371"/>
        <v>725085.98600000003</v>
      </c>
      <c r="AAB20" s="89">
        <f t="shared" si="371"/>
        <v>725536.27</v>
      </c>
      <c r="AAC20" s="89">
        <f t="shared" si="371"/>
        <v>725872.88699999999</v>
      </c>
      <c r="AAD20" s="89">
        <f t="shared" si="371"/>
        <v>726538.79200000002</v>
      </c>
      <c r="AAE20" s="89">
        <f t="shared" si="371"/>
        <v>727267.42299999995</v>
      </c>
      <c r="AAF20" s="89">
        <f t="shared" si="371"/>
        <v>727624.59900000005</v>
      </c>
      <c r="AAG20" s="89">
        <f t="shared" si="371"/>
        <v>728046.07400000002</v>
      </c>
      <c r="AAH20" s="89">
        <f t="shared" si="371"/>
        <v>728421.09900000005</v>
      </c>
      <c r="AAI20" s="89">
        <f t="shared" si="371"/>
        <v>728667.78</v>
      </c>
      <c r="AAJ20" s="89">
        <f t="shared" si="371"/>
        <v>729085.446</v>
      </c>
      <c r="AAK20" s="89">
        <f t="shared" si="371"/>
        <v>729481.21699999995</v>
      </c>
      <c r="AAL20" s="89">
        <f t="shared" si="371"/>
        <v>730190.61699999997</v>
      </c>
      <c r="AAM20" s="89">
        <f t="shared" si="371"/>
        <v>730523.04599999997</v>
      </c>
      <c r="AAN20" s="89">
        <f t="shared" si="371"/>
        <v>731095.06400000001</v>
      </c>
      <c r="AAO20" s="89">
        <f t="shared" si="371"/>
        <v>731446.005</v>
      </c>
      <c r="AAP20" s="89">
        <f t="shared" si="371"/>
        <v>731742.76500000001</v>
      </c>
      <c r="AAQ20" s="89">
        <f t="shared" si="371"/>
        <v>732299.59699999995</v>
      </c>
      <c r="AAR20" s="89">
        <f t="shared" si="371"/>
        <v>732604.94200000004</v>
      </c>
      <c r="AAS20" s="89">
        <f t="shared" si="371"/>
        <v>732959.43299999996</v>
      </c>
      <c r="AAT20" s="89">
        <f t="shared" si="371"/>
        <v>733385.82400000002</v>
      </c>
      <c r="AAU20" s="89">
        <f t="shared" si="371"/>
        <v>733762.57299999997</v>
      </c>
      <c r="AAV20" s="89">
        <f t="shared" si="371"/>
        <v>734173.50600000005</v>
      </c>
      <c r="AAW20" s="89">
        <f t="shared" si="371"/>
        <v>734451.11199999996</v>
      </c>
      <c r="AAX20" s="126"/>
      <c r="AAY20" s="89">
        <f>AAW21</f>
        <v>734817.81099999999</v>
      </c>
      <c r="AAZ20" s="89">
        <f t="shared" ref="AAZ20:ACC20" si="372">AAY21</f>
        <v>735186.49800000002</v>
      </c>
      <c r="ABA20" s="89">
        <f t="shared" si="372"/>
        <v>735506.04700000002</v>
      </c>
      <c r="ABB20" s="89">
        <f t="shared" si="372"/>
        <v>735779.78399999999</v>
      </c>
      <c r="ABC20" s="89">
        <f t="shared" si="372"/>
        <v>736173.73499999999</v>
      </c>
      <c r="ABD20" s="89">
        <f t="shared" si="372"/>
        <v>736582.95499999996</v>
      </c>
      <c r="ABE20" s="89">
        <f t="shared" si="372"/>
        <v>737106.14500000002</v>
      </c>
      <c r="ABF20" s="89">
        <f t="shared" si="372"/>
        <v>737542.03500000003</v>
      </c>
      <c r="ABG20" s="89">
        <f t="shared" si="372"/>
        <v>737935.34299999999</v>
      </c>
      <c r="ABH20" s="89">
        <f t="shared" si="372"/>
        <v>738279.41700000002</v>
      </c>
      <c r="ABI20" s="89">
        <f t="shared" si="372"/>
        <v>738607.74100000004</v>
      </c>
      <c r="ABJ20" s="89">
        <f t="shared" si="372"/>
        <v>738996.64</v>
      </c>
      <c r="ABK20" s="89">
        <f t="shared" si="372"/>
        <v>739275.60699999996</v>
      </c>
      <c r="ABL20" s="89">
        <f t="shared" si="372"/>
        <v>739817.30200000003</v>
      </c>
      <c r="ABM20" s="89">
        <f t="shared" si="372"/>
        <v>740281.37300000002</v>
      </c>
      <c r="ABN20" s="89">
        <f t="shared" si="372"/>
        <v>740618.98600000003</v>
      </c>
      <c r="ABO20" s="89">
        <f t="shared" si="372"/>
        <v>740938.52599999995</v>
      </c>
      <c r="ABP20" s="89">
        <f t="shared" si="372"/>
        <v>741316.49300000002</v>
      </c>
      <c r="ABQ20" s="89">
        <f t="shared" si="372"/>
        <v>742000.93</v>
      </c>
      <c r="ABR20" s="89">
        <f t="shared" si="372"/>
        <v>742556.91599999997</v>
      </c>
      <c r="ABS20" s="89">
        <f t="shared" si="372"/>
        <v>742993.93099999998</v>
      </c>
      <c r="ABT20" s="89">
        <f t="shared" si="372"/>
        <v>743206.59600000002</v>
      </c>
      <c r="ABU20" s="89">
        <f t="shared" si="372"/>
        <v>743517.321</v>
      </c>
      <c r="ABV20" s="89">
        <f t="shared" si="372"/>
        <v>743990.17099999997</v>
      </c>
      <c r="ABW20" s="89">
        <f t="shared" si="372"/>
        <v>744298.30700000003</v>
      </c>
      <c r="ABX20" s="89">
        <f t="shared" si="372"/>
        <v>744717.41700000002</v>
      </c>
      <c r="ABY20" s="89">
        <f t="shared" si="372"/>
        <v>745138.93299999996</v>
      </c>
      <c r="ABZ20" s="89">
        <f t="shared" si="372"/>
        <v>745510.73899999994</v>
      </c>
      <c r="ACA20" s="89">
        <f t="shared" si="372"/>
        <v>745997.82</v>
      </c>
      <c r="ACB20" s="89">
        <f t="shared" si="372"/>
        <v>746358.72400000005</v>
      </c>
      <c r="ACC20" s="89">
        <f t="shared" si="372"/>
        <v>746656.11499999999</v>
      </c>
      <c r="ACD20" s="126"/>
      <c r="ACE20" s="89">
        <f>ACC21</f>
        <v>746950.49600000004</v>
      </c>
      <c r="ACF20" s="89">
        <f t="shared" ref="ACF20:ADI20" si="373">ACE21</f>
        <v>747447.87399999995</v>
      </c>
      <c r="ACG20" s="89">
        <f t="shared" si="373"/>
        <v>748011.93299999996</v>
      </c>
      <c r="ACH20" s="89">
        <f t="shared" si="373"/>
        <v>748487.82</v>
      </c>
      <c r="ACI20" s="89">
        <f t="shared" si="373"/>
        <v>748847.429</v>
      </c>
      <c r="ACJ20" s="89">
        <f t="shared" si="373"/>
        <v>749129.98699999996</v>
      </c>
      <c r="ACK20" s="89">
        <f t="shared" si="373"/>
        <v>749455.54500000004</v>
      </c>
      <c r="ACL20" s="89">
        <f t="shared" si="373"/>
        <v>749835.08100000001</v>
      </c>
      <c r="ACM20" s="89">
        <f t="shared" si="373"/>
        <v>750318.05099999998</v>
      </c>
      <c r="ACN20" s="89">
        <f t="shared" si="373"/>
        <v>750725.76899999997</v>
      </c>
      <c r="ACO20" s="89">
        <f t="shared" si="373"/>
        <v>751156.06299999997</v>
      </c>
      <c r="ACP20" s="89">
        <f t="shared" si="373"/>
        <v>751492.59400000004</v>
      </c>
      <c r="ACQ20" s="89">
        <f t="shared" si="373"/>
        <v>751928.99</v>
      </c>
      <c r="ACR20" s="89">
        <f t="shared" si="373"/>
        <v>752302.93700000003</v>
      </c>
      <c r="ACS20" s="89">
        <f t="shared" si="373"/>
        <v>752681.59</v>
      </c>
      <c r="ACT20" s="89">
        <f t="shared" si="373"/>
        <v>753095.16599999997</v>
      </c>
      <c r="ACU20" s="89">
        <f t="shared" si="373"/>
        <v>753583.30099999998</v>
      </c>
      <c r="ACV20" s="89">
        <f t="shared" si="373"/>
        <v>753963.65300000005</v>
      </c>
      <c r="ACW20" s="89">
        <f t="shared" si="373"/>
        <v>754436.326</v>
      </c>
      <c r="ACX20" s="89">
        <f t="shared" si="373"/>
        <v>754831.82799999998</v>
      </c>
      <c r="ACY20" s="89">
        <f t="shared" si="373"/>
        <v>755217.603</v>
      </c>
      <c r="ACZ20" s="89">
        <f t="shared" si="373"/>
        <v>755630.478</v>
      </c>
      <c r="ADA20" s="89">
        <f t="shared" si="373"/>
        <v>756011.33299999998</v>
      </c>
      <c r="ADB20" s="89">
        <f t="shared" si="373"/>
        <v>756346.14099999995</v>
      </c>
      <c r="ADC20" s="89">
        <f t="shared" si="373"/>
        <v>756850.87300000002</v>
      </c>
      <c r="ADD20" s="89">
        <f t="shared" si="373"/>
        <v>757362.49699999997</v>
      </c>
      <c r="ADE20" s="89">
        <f t="shared" si="373"/>
        <v>757748.93400000001</v>
      </c>
      <c r="ADF20" s="89">
        <f t="shared" si="373"/>
        <v>758168.85199999996</v>
      </c>
      <c r="ADG20" s="89">
        <f t="shared" si="373"/>
        <v>758548.39099999995</v>
      </c>
      <c r="ADH20" s="89">
        <f t="shared" si="373"/>
        <v>758925.99800000002</v>
      </c>
      <c r="ADI20" s="89">
        <f t="shared" si="373"/>
        <v>759265.90500000003</v>
      </c>
      <c r="ADJ20" s="126"/>
      <c r="ADK20" s="89">
        <f>ADI21</f>
        <v>759649.38</v>
      </c>
      <c r="ADL20" s="89">
        <f t="shared" ref="ADL20:AEN20" si="374">ADK21</f>
        <v>760065.32700000005</v>
      </c>
      <c r="ADM20" s="89">
        <f t="shared" si="374"/>
        <v>760453.89899999998</v>
      </c>
      <c r="ADN20" s="89">
        <f t="shared" si="374"/>
        <v>760936.35100000002</v>
      </c>
      <c r="ADO20" s="89">
        <f t="shared" si="374"/>
        <v>761404.27399999998</v>
      </c>
      <c r="ADP20" s="89">
        <f t="shared" si="374"/>
        <v>762061.59400000004</v>
      </c>
      <c r="ADQ20" s="89">
        <f t="shared" si="374"/>
        <v>762559.98800000001</v>
      </c>
      <c r="ADR20" s="89">
        <f t="shared" si="374"/>
        <v>762883.39599999995</v>
      </c>
      <c r="ADS20" s="89">
        <f t="shared" si="374"/>
        <v>763111.978</v>
      </c>
      <c r="ADT20" s="89">
        <f t="shared" si="374"/>
        <v>763508.07299999997</v>
      </c>
      <c r="ADU20" s="89">
        <f t="shared" si="374"/>
        <v>763880.23600000003</v>
      </c>
      <c r="ADV20" s="89">
        <f t="shared" si="374"/>
        <v>764388.15700000001</v>
      </c>
      <c r="ADW20" s="89">
        <f t="shared" si="374"/>
        <v>764806.402</v>
      </c>
      <c r="ADX20" s="89">
        <f t="shared" si="374"/>
        <v>765208.74100000004</v>
      </c>
      <c r="ADY20" s="89">
        <f t="shared" si="374"/>
        <v>765533.43700000003</v>
      </c>
      <c r="ADZ20" s="89">
        <f t="shared" si="374"/>
        <v>766074.16500000004</v>
      </c>
      <c r="AEA20" s="89">
        <f t="shared" si="374"/>
        <v>766481.66299999994</v>
      </c>
      <c r="AEB20" s="89">
        <f t="shared" si="374"/>
        <v>766857.33100000001</v>
      </c>
      <c r="AEC20" s="89">
        <f t="shared" si="374"/>
        <v>767309.94299999997</v>
      </c>
      <c r="AED20" s="89">
        <f t="shared" si="374"/>
        <v>767609.92200000002</v>
      </c>
      <c r="AEE20" s="89">
        <f t="shared" si="374"/>
        <v>768149.73199999996</v>
      </c>
      <c r="AEF20" s="89">
        <f t="shared" si="374"/>
        <v>768481.96600000001</v>
      </c>
      <c r="AEG20" s="89">
        <f t="shared" si="374"/>
        <v>768875.55</v>
      </c>
      <c r="AEH20" s="89">
        <f t="shared" si="374"/>
        <v>769232.51500000001</v>
      </c>
      <c r="AEI20" s="89">
        <f t="shared" si="374"/>
        <v>769483.24</v>
      </c>
      <c r="AEJ20" s="89">
        <f t="shared" si="374"/>
        <v>769801.48</v>
      </c>
      <c r="AEK20" s="89">
        <f t="shared" si="374"/>
        <v>770250.41799999995</v>
      </c>
      <c r="AEL20" s="89">
        <f t="shared" si="374"/>
        <v>770600.495</v>
      </c>
      <c r="AEM20" s="89">
        <f t="shared" si="374"/>
        <v>770848.00199999998</v>
      </c>
      <c r="AEN20" s="89">
        <f t="shared" si="374"/>
        <v>771138.51199999999</v>
      </c>
      <c r="AEO20" s="126"/>
      <c r="AEP20" s="89">
        <f>AEN21</f>
        <v>771615.85</v>
      </c>
      <c r="AEQ20" s="89">
        <f t="shared" ref="AEQ20:AFT20" si="375">AEP21</f>
        <v>771812.81799999997</v>
      </c>
      <c r="AER20" s="89">
        <f t="shared" si="375"/>
        <v>772133.22</v>
      </c>
      <c r="AES20" s="89">
        <f t="shared" si="375"/>
        <v>772452.978</v>
      </c>
      <c r="AET20" s="89">
        <f t="shared" si="375"/>
        <v>772854.67299999995</v>
      </c>
      <c r="AEU20" s="89">
        <f t="shared" si="375"/>
        <v>773142.39099999995</v>
      </c>
      <c r="AEV20" s="89">
        <f t="shared" si="375"/>
        <v>773561.49600000004</v>
      </c>
      <c r="AEW20" s="89">
        <f t="shared" si="375"/>
        <v>773876.26</v>
      </c>
      <c r="AEX20" s="89">
        <f t="shared" si="375"/>
        <v>774262.89199999999</v>
      </c>
      <c r="AEY20" s="89">
        <f t="shared" si="375"/>
        <v>774658.34699999995</v>
      </c>
      <c r="AEZ20" s="89">
        <f t="shared" si="375"/>
        <v>775048.63100000005</v>
      </c>
      <c r="AFA20" s="89">
        <f t="shared" si="375"/>
        <v>775464.22199999995</v>
      </c>
      <c r="AFB20" s="89">
        <f t="shared" si="375"/>
        <v>775713.44400000002</v>
      </c>
      <c r="AFC20" s="89">
        <f t="shared" si="375"/>
        <v>775991.27</v>
      </c>
      <c r="AFD20" s="89">
        <f t="shared" si="375"/>
        <v>776271.46299999999</v>
      </c>
      <c r="AFE20" s="89">
        <f t="shared" si="375"/>
        <v>776587.13399999996</v>
      </c>
      <c r="AFF20" s="89">
        <f t="shared" si="375"/>
        <v>776967.321</v>
      </c>
      <c r="AFG20" s="89">
        <f t="shared" si="375"/>
        <v>777334.60699999996</v>
      </c>
      <c r="AFH20" s="89">
        <f t="shared" si="375"/>
        <v>777710.799</v>
      </c>
      <c r="AFI20" s="89">
        <f t="shared" si="375"/>
        <v>778167.98199999996</v>
      </c>
      <c r="AFJ20" s="89">
        <f t="shared" si="375"/>
        <v>778451.82700000005</v>
      </c>
      <c r="AFK20" s="89">
        <f t="shared" si="375"/>
        <v>778810.50899999996</v>
      </c>
      <c r="AFL20" s="89">
        <f t="shared" si="375"/>
        <v>779063.81900000002</v>
      </c>
      <c r="AFM20" s="89">
        <f t="shared" si="375"/>
        <v>779429.60100000002</v>
      </c>
      <c r="AFN20" s="89">
        <f t="shared" si="375"/>
        <v>779716.66399999999</v>
      </c>
      <c r="AFO20" s="89">
        <f t="shared" si="375"/>
        <v>780284.58499999996</v>
      </c>
      <c r="AFP20" s="89">
        <f t="shared" si="375"/>
        <v>780625.38500000001</v>
      </c>
      <c r="AFQ20" s="89">
        <f t="shared" si="375"/>
        <v>780981.05799999996</v>
      </c>
      <c r="AFR20" s="89">
        <f t="shared" si="375"/>
        <v>781367.60699999996</v>
      </c>
      <c r="AFS20" s="89">
        <f t="shared" si="375"/>
        <v>781528.66099999996</v>
      </c>
      <c r="AFT20" s="89">
        <f t="shared" si="375"/>
        <v>782087.54799999995</v>
      </c>
      <c r="AFU20" s="126"/>
      <c r="AFV20" s="89">
        <f>AFT21</f>
        <v>782413.76</v>
      </c>
      <c r="AFW20" s="89">
        <f t="shared" ref="AFW20:AGY20" si="376">AFV21</f>
        <v>782840.92799999996</v>
      </c>
      <c r="AFX20" s="89">
        <f t="shared" si="376"/>
        <v>783163.69900000002</v>
      </c>
      <c r="AFY20" s="89">
        <f t="shared" si="376"/>
        <v>783496.92200000002</v>
      </c>
      <c r="AFZ20" s="89">
        <f t="shared" si="376"/>
        <v>783793.61899999995</v>
      </c>
      <c r="AGA20" s="89">
        <f t="shared" si="376"/>
        <v>784135.08799999999</v>
      </c>
      <c r="AGB20" s="89">
        <f t="shared" si="376"/>
        <v>784403.98100000003</v>
      </c>
      <c r="AGC20" s="89">
        <f t="shared" si="376"/>
        <v>784746.67500000005</v>
      </c>
      <c r="AGD20" s="89">
        <f t="shared" si="376"/>
        <v>785053.098</v>
      </c>
      <c r="AGE20" s="89">
        <f t="shared" si="376"/>
        <v>785324.68599999999</v>
      </c>
      <c r="AGF20" s="89">
        <f t="shared" si="376"/>
        <v>785651.97</v>
      </c>
      <c r="AGG20" s="89">
        <f t="shared" si="376"/>
        <v>786053.05500000005</v>
      </c>
      <c r="AGH20" s="89">
        <f t="shared" si="376"/>
        <v>786343.99800000002</v>
      </c>
      <c r="AGI20" s="89">
        <f t="shared" si="376"/>
        <v>786577.80099999998</v>
      </c>
      <c r="AGJ20" s="89">
        <f t="shared" si="376"/>
        <v>786897.34299999999</v>
      </c>
      <c r="AGK20" s="89">
        <f t="shared" si="376"/>
        <v>787244.19499999995</v>
      </c>
      <c r="AGL20" s="89">
        <f t="shared" si="376"/>
        <v>787661.59</v>
      </c>
      <c r="AGM20" s="89">
        <f t="shared" si="376"/>
        <v>787918.76800000004</v>
      </c>
      <c r="AGN20" s="89">
        <f t="shared" si="376"/>
        <v>788209.09199999995</v>
      </c>
      <c r="AGO20" s="89">
        <f t="shared" si="376"/>
        <v>788486.66</v>
      </c>
      <c r="AGP20" s="89">
        <f t="shared" si="376"/>
        <v>788858.46299999999</v>
      </c>
      <c r="AGQ20" s="89">
        <f t="shared" si="376"/>
        <v>789258.11199999996</v>
      </c>
      <c r="AGR20" s="89">
        <f t="shared" si="376"/>
        <v>789638.61300000001</v>
      </c>
      <c r="AGS20" s="89">
        <f t="shared" si="376"/>
        <v>790002.10400000005</v>
      </c>
      <c r="AGT20" s="89">
        <f t="shared" si="376"/>
        <v>790323.70799999998</v>
      </c>
      <c r="AGU20" s="89">
        <f t="shared" si="376"/>
        <v>790736.53599999996</v>
      </c>
      <c r="AGV20" s="89">
        <f t="shared" si="376"/>
        <v>791012.505</v>
      </c>
      <c r="AGW20" s="89">
        <f t="shared" si="376"/>
        <v>791265.30200000003</v>
      </c>
      <c r="AGX20" s="89">
        <f t="shared" si="376"/>
        <v>791631.73300000001</v>
      </c>
      <c r="AGY20" s="89">
        <f t="shared" si="376"/>
        <v>792092.44299999997</v>
      </c>
      <c r="AGZ20" s="126"/>
      <c r="AHA20" s="89">
        <f>AGY21</f>
        <v>792536.34900000005</v>
      </c>
      <c r="AHB20" s="89">
        <f t="shared" ref="AHB20:AIE20" si="377">AHA21</f>
        <v>792795.51500000001</v>
      </c>
      <c r="AHC20" s="89">
        <f t="shared" si="377"/>
        <v>793173.08799999999</v>
      </c>
      <c r="AHD20" s="89">
        <f t="shared" si="377"/>
        <v>793712.79200000002</v>
      </c>
      <c r="AHE20" s="89">
        <f t="shared" si="377"/>
        <v>794047.06900000002</v>
      </c>
      <c r="AHF20" s="89">
        <f t="shared" si="377"/>
        <v>794636.08200000005</v>
      </c>
      <c r="AHG20" s="89">
        <f t="shared" si="377"/>
        <v>794918.69400000002</v>
      </c>
      <c r="AHH20" s="89">
        <f t="shared" si="377"/>
        <v>795214.59299999999</v>
      </c>
      <c r="AHI20" s="89">
        <f t="shared" si="377"/>
        <v>795566.07</v>
      </c>
      <c r="AHJ20" s="89">
        <f t="shared" si="377"/>
        <v>795937.37199999997</v>
      </c>
      <c r="AHK20" s="89">
        <f t="shared" si="377"/>
        <v>796289.82700000005</v>
      </c>
      <c r="AHL20" s="89">
        <f t="shared" si="377"/>
        <v>796515.11899999995</v>
      </c>
      <c r="AHM20" s="89">
        <f t="shared" si="377"/>
        <v>796953.74699999997</v>
      </c>
      <c r="AHN20" s="89">
        <f t="shared" si="377"/>
        <v>797409.76699999999</v>
      </c>
      <c r="AHO20" s="89">
        <f t="shared" si="377"/>
        <v>797681.47900000005</v>
      </c>
      <c r="AHP20" s="89">
        <f t="shared" si="377"/>
        <v>798002.22499999998</v>
      </c>
      <c r="AHQ20" s="89">
        <f t="shared" si="377"/>
        <v>798387.68700000003</v>
      </c>
      <c r="AHR20" s="89">
        <f t="shared" si="377"/>
        <v>798764.21799999999</v>
      </c>
      <c r="AHS20" s="89">
        <f t="shared" si="377"/>
        <v>799054.23400000005</v>
      </c>
      <c r="AHT20" s="89">
        <f t="shared" si="377"/>
        <v>799372.47499999998</v>
      </c>
      <c r="AHU20" s="89">
        <f t="shared" si="377"/>
        <v>799762.63899999997</v>
      </c>
      <c r="AHV20" s="89">
        <f t="shared" si="377"/>
        <v>800153.54</v>
      </c>
      <c r="AHW20" s="89">
        <f t="shared" si="377"/>
        <v>800622.24699999997</v>
      </c>
      <c r="AHX20" s="89">
        <f t="shared" si="377"/>
        <v>801121.46499999997</v>
      </c>
      <c r="AHY20" s="89">
        <f t="shared" si="377"/>
        <v>801438.723</v>
      </c>
      <c r="AHZ20" s="89">
        <f t="shared" si="377"/>
        <v>801720.46799999999</v>
      </c>
      <c r="AIA20" s="89">
        <f t="shared" si="377"/>
        <v>801921.36800000002</v>
      </c>
      <c r="AIB20" s="89">
        <f t="shared" si="377"/>
        <v>802118.38800000004</v>
      </c>
      <c r="AIC20" s="89">
        <f t="shared" si="377"/>
        <v>802289.66899999999</v>
      </c>
      <c r="AID20" s="89">
        <f t="shared" si="377"/>
        <v>802547.44</v>
      </c>
      <c r="AIE20" s="89">
        <f t="shared" si="377"/>
        <v>802917.87199999997</v>
      </c>
      <c r="AIF20" s="126"/>
      <c r="AIG20" s="89">
        <f>AIE21</f>
        <v>803298.53599999996</v>
      </c>
      <c r="AIH20" s="89">
        <f t="shared" ref="AIH20:AJK20" si="378">AIG21</f>
        <v>803587.67799999996</v>
      </c>
      <c r="AII20" s="89">
        <f t="shared" si="378"/>
        <v>803873.772</v>
      </c>
      <c r="AIJ20" s="89">
        <f t="shared" si="378"/>
        <v>804228.63</v>
      </c>
      <c r="AIK20" s="89">
        <f t="shared" si="378"/>
        <v>804396.03</v>
      </c>
      <c r="AIL20" s="89">
        <f t="shared" si="378"/>
        <v>804671.88300000003</v>
      </c>
      <c r="AIM20" s="89">
        <f t="shared" si="378"/>
        <v>805077.38100000005</v>
      </c>
      <c r="AIN20" s="89">
        <f t="shared" si="378"/>
        <v>805320.15500000003</v>
      </c>
      <c r="AIO20" s="89">
        <f t="shared" si="378"/>
        <v>805670.32799999998</v>
      </c>
      <c r="AIP20" s="89">
        <f t="shared" si="378"/>
        <v>806034.01300000004</v>
      </c>
      <c r="AIQ20" s="89">
        <f t="shared" si="378"/>
        <v>806475.22900000005</v>
      </c>
      <c r="AIR20" s="89">
        <f t="shared" si="378"/>
        <v>806654.12899999996</v>
      </c>
      <c r="AIS20" s="89">
        <f t="shared" si="378"/>
        <v>806865.41899999999</v>
      </c>
      <c r="AIT20" s="89">
        <f t="shared" si="378"/>
        <v>807134.29799999995</v>
      </c>
      <c r="AIU20" s="89">
        <f t="shared" si="378"/>
        <v>807369.98400000005</v>
      </c>
      <c r="AIV20" s="89">
        <f t="shared" si="378"/>
        <v>807506.522</v>
      </c>
      <c r="AIW20" s="89">
        <f t="shared" si="378"/>
        <v>807611.96900000004</v>
      </c>
      <c r="AIX20" s="89">
        <f t="shared" si="378"/>
        <v>807756.13199999998</v>
      </c>
      <c r="AIY20" s="89">
        <f t="shared" si="378"/>
        <v>807946.59100000001</v>
      </c>
      <c r="AIZ20" s="89">
        <f t="shared" si="378"/>
        <v>808181.2</v>
      </c>
      <c r="AJA20" s="89">
        <f t="shared" si="378"/>
        <v>808422.75</v>
      </c>
      <c r="AJB20" s="89">
        <f t="shared" si="378"/>
        <v>808812.076</v>
      </c>
      <c r="AJC20" s="89">
        <f t="shared" si="378"/>
        <v>809057.77099999995</v>
      </c>
      <c r="AJD20" s="89">
        <f t="shared" si="378"/>
        <v>809286.93799999997</v>
      </c>
      <c r="AJE20" s="89">
        <f t="shared" si="378"/>
        <v>809530.45700000005</v>
      </c>
      <c r="AJF20" s="89">
        <f t="shared" si="378"/>
        <v>809688.53799999994</v>
      </c>
      <c r="AJG20" s="89">
        <f t="shared" si="378"/>
        <v>809940.90899999999</v>
      </c>
      <c r="AJH20" s="89">
        <f t="shared" si="378"/>
        <v>810319.01500000001</v>
      </c>
      <c r="AJI20" s="89">
        <f t="shared" si="378"/>
        <v>810619.46400000004</v>
      </c>
      <c r="AJJ20" s="89">
        <f t="shared" si="378"/>
        <v>810819.59400000004</v>
      </c>
      <c r="AJK20" s="89">
        <f t="shared" si="378"/>
        <v>811116.61199999996</v>
      </c>
      <c r="AJL20" s="126"/>
      <c r="AJM20" s="89">
        <f>AJK21</f>
        <v>811407.97100000002</v>
      </c>
      <c r="AJN20" s="89">
        <f t="shared" ref="AJN20:AKN20" si="379">AJM21</f>
        <v>811739.33100000001</v>
      </c>
      <c r="AJO20" s="89">
        <f t="shared" si="379"/>
        <v>812129.15399999998</v>
      </c>
      <c r="AJP20" s="89">
        <f t="shared" si="379"/>
        <v>812391.36699999997</v>
      </c>
      <c r="AJQ20" s="89">
        <f t="shared" si="379"/>
        <v>812670.54</v>
      </c>
      <c r="AJR20" s="89">
        <f t="shared" si="379"/>
        <v>812946.22600000002</v>
      </c>
      <c r="AJS20" s="89">
        <f t="shared" si="379"/>
        <v>813170.39099999995</v>
      </c>
      <c r="AJT20" s="89">
        <f t="shared" si="379"/>
        <v>813414.34100000001</v>
      </c>
      <c r="AJU20" s="89">
        <f t="shared" si="379"/>
        <v>813780.35800000001</v>
      </c>
      <c r="AJV20" s="89">
        <f t="shared" si="379"/>
        <v>814125.87600000005</v>
      </c>
      <c r="AJW20" s="89">
        <f t="shared" si="379"/>
        <v>814515.505</v>
      </c>
      <c r="AJX20" s="89">
        <f t="shared" si="379"/>
        <v>814798.81499999994</v>
      </c>
      <c r="AJY20" s="89">
        <f t="shared" si="379"/>
        <v>815151.92099999997</v>
      </c>
      <c r="AJZ20" s="89">
        <f t="shared" si="379"/>
        <v>815511.11100000003</v>
      </c>
      <c r="AKA20" s="89">
        <f t="shared" si="379"/>
        <v>815789.84199999995</v>
      </c>
      <c r="AKB20" s="89">
        <f t="shared" si="379"/>
        <v>816129.89399999997</v>
      </c>
      <c r="AKC20" s="89">
        <f t="shared" si="379"/>
        <v>816398.28300000005</v>
      </c>
      <c r="AKD20" s="89">
        <f t="shared" si="379"/>
        <v>816652.03</v>
      </c>
      <c r="AKE20" s="89">
        <f t="shared" si="379"/>
        <v>816852.94499999995</v>
      </c>
      <c r="AKF20" s="89">
        <f t="shared" si="379"/>
        <v>817083.85699999996</v>
      </c>
      <c r="AKG20" s="89">
        <f t="shared" si="379"/>
        <v>817518.05299999996</v>
      </c>
      <c r="AKH20" s="89">
        <f t="shared" si="379"/>
        <v>817701.34100000001</v>
      </c>
      <c r="AKI20" s="89">
        <f t="shared" si="379"/>
        <v>817878.97600000002</v>
      </c>
      <c r="AKJ20" s="89">
        <f t="shared" si="379"/>
        <v>818196.451</v>
      </c>
      <c r="AKK20" s="89">
        <f t="shared" si="379"/>
        <v>818575.86300000001</v>
      </c>
      <c r="AKL20" s="89">
        <f t="shared" si="379"/>
        <v>818838.09299999999</v>
      </c>
      <c r="AKM20" s="89">
        <f t="shared" si="379"/>
        <v>819096.83799999999</v>
      </c>
      <c r="AKN20" s="89">
        <f t="shared" si="379"/>
        <v>819347.30500000005</v>
      </c>
      <c r="AKO20" s="126"/>
      <c r="AKP20" s="89">
        <f>AKN21</f>
        <v>819763.255</v>
      </c>
      <c r="AKQ20" s="89">
        <f t="shared" ref="AKQ20:ALT20" si="380">AKP21</f>
        <v>820087.87800000003</v>
      </c>
      <c r="AKR20" s="89">
        <f t="shared" si="380"/>
        <v>820463.80900000001</v>
      </c>
      <c r="AKS20" s="89">
        <f t="shared" si="380"/>
        <v>820823.43200000003</v>
      </c>
      <c r="AKT20" s="89">
        <f t="shared" si="380"/>
        <v>821050.86499999999</v>
      </c>
      <c r="AKU20" s="89">
        <f t="shared" si="380"/>
        <v>821365.24899999995</v>
      </c>
      <c r="AKV20" s="89">
        <f t="shared" si="380"/>
        <v>821621.353</v>
      </c>
      <c r="AKW20" s="89">
        <f t="shared" si="380"/>
        <v>822562.576</v>
      </c>
      <c r="AKX20" s="89">
        <f t="shared" si="380"/>
        <v>822879.73899999994</v>
      </c>
      <c r="AKY20" s="89">
        <f t="shared" si="380"/>
        <v>823058.24399999995</v>
      </c>
      <c r="AKZ20" s="89">
        <f t="shared" si="380"/>
        <v>823311.33400000003</v>
      </c>
      <c r="ALA20" s="89">
        <f t="shared" si="380"/>
        <v>823565.924</v>
      </c>
      <c r="ALB20" s="89">
        <f t="shared" si="380"/>
        <v>823879.94099999999</v>
      </c>
      <c r="ALC20" s="89">
        <f t="shared" si="380"/>
        <v>824176.65700000001</v>
      </c>
      <c r="ALD20" s="89">
        <f t="shared" si="380"/>
        <v>824624.701</v>
      </c>
      <c r="ALE20" s="89">
        <f t="shared" si="380"/>
        <v>825113.18900000001</v>
      </c>
      <c r="ALF20" s="89">
        <f t="shared" si="380"/>
        <v>825428.58299999998</v>
      </c>
      <c r="ALG20" s="89">
        <f t="shared" si="380"/>
        <v>825812.75300000003</v>
      </c>
      <c r="ALH20" s="89">
        <f t="shared" si="380"/>
        <v>826134.09100000001</v>
      </c>
      <c r="ALI20" s="89">
        <f t="shared" si="380"/>
        <v>826516.48400000005</v>
      </c>
      <c r="ALJ20" s="89">
        <f t="shared" si="380"/>
        <v>826808.43599999999</v>
      </c>
      <c r="ALK20" s="89">
        <f t="shared" si="380"/>
        <v>827196.97199999995</v>
      </c>
      <c r="ALL20" s="89">
        <f t="shared" si="380"/>
        <v>827630.88</v>
      </c>
      <c r="ALM20" s="89">
        <f t="shared" si="380"/>
        <v>828064.97499999998</v>
      </c>
      <c r="ALN20" s="89">
        <f t="shared" si="380"/>
        <v>828330.17500000005</v>
      </c>
      <c r="ALO20" s="89">
        <f t="shared" si="380"/>
        <v>828675.375</v>
      </c>
      <c r="ALP20" s="89">
        <f t="shared" si="380"/>
        <v>829063.375</v>
      </c>
      <c r="ALQ20" s="89">
        <f t="shared" si="380"/>
        <v>829469.97499999998</v>
      </c>
      <c r="ALR20" s="89">
        <f t="shared" si="380"/>
        <v>829812.48699999996</v>
      </c>
      <c r="ALS20" s="89">
        <f t="shared" si="380"/>
        <v>830160.88699999999</v>
      </c>
      <c r="ALT20" s="89">
        <f t="shared" si="380"/>
        <v>830590.08700000006</v>
      </c>
      <c r="ALU20" s="126"/>
      <c r="ALV20" s="89">
        <f>ALT21</f>
        <v>830865.20600000001</v>
      </c>
      <c r="ALW20" s="89">
        <f t="shared" ref="ALW20:AMY20" si="381">ALV21</f>
        <v>831263.04200000002</v>
      </c>
      <c r="ALX20" s="89">
        <f t="shared" si="381"/>
        <v>831618.31599999999</v>
      </c>
      <c r="ALY20" s="89">
        <f t="shared" si="381"/>
        <v>831974.25199999998</v>
      </c>
      <c r="ALZ20" s="89">
        <f t="shared" si="381"/>
        <v>832253.89800000004</v>
      </c>
      <c r="AMA20" s="89">
        <f t="shared" si="381"/>
        <v>832411.98899999994</v>
      </c>
      <c r="AMB20" s="89">
        <f t="shared" si="381"/>
        <v>832686.59600000002</v>
      </c>
      <c r="AMC20" s="89">
        <f t="shared" si="381"/>
        <v>833029.62899999996</v>
      </c>
      <c r="AMD20" s="89">
        <f t="shared" si="381"/>
        <v>833399.59900000005</v>
      </c>
      <c r="AME20" s="89">
        <f t="shared" si="381"/>
        <v>833853.83200000005</v>
      </c>
      <c r="AMF20" s="89">
        <f t="shared" si="381"/>
        <v>834182.61800000002</v>
      </c>
      <c r="AMG20" s="89">
        <f t="shared" si="381"/>
        <v>834730.28399999999</v>
      </c>
      <c r="AMH20" s="89">
        <f t="shared" si="381"/>
        <v>835103.255</v>
      </c>
      <c r="AMI20" s="89">
        <f t="shared" si="381"/>
        <v>835457.36300000001</v>
      </c>
      <c r="AMJ20" s="89">
        <f t="shared" si="381"/>
        <v>835735.13</v>
      </c>
      <c r="AMK20" s="89">
        <f t="shared" si="381"/>
        <v>836205.26199999999</v>
      </c>
      <c r="AML20" s="89">
        <f t="shared" si="381"/>
        <v>836753.027</v>
      </c>
      <c r="AMM20" s="89">
        <f t="shared" si="381"/>
        <v>836953.43700000003</v>
      </c>
      <c r="AMN20" s="89">
        <f t="shared" si="381"/>
        <v>837292.11899999995</v>
      </c>
      <c r="AMO20" s="89">
        <f t="shared" si="381"/>
        <v>837678.28799999994</v>
      </c>
      <c r="AMP20" s="89">
        <f t="shared" si="381"/>
        <v>837932.12300000002</v>
      </c>
      <c r="AMQ20" s="89">
        <f t="shared" si="381"/>
        <v>838185.86399999994</v>
      </c>
      <c r="AMR20" s="89">
        <f t="shared" si="381"/>
        <v>838657.09600000002</v>
      </c>
      <c r="AMS20" s="89">
        <f t="shared" si="381"/>
        <v>838991.03799999994</v>
      </c>
      <c r="AMT20" s="89">
        <f t="shared" si="381"/>
        <v>839366.45200000005</v>
      </c>
      <c r="AMU20" s="89">
        <f t="shared" si="381"/>
        <v>839930.54099999997</v>
      </c>
      <c r="AMV20" s="89">
        <f t="shared" si="381"/>
        <v>840246.62</v>
      </c>
      <c r="AMW20" s="89">
        <f t="shared" si="381"/>
        <v>840687.01100000006</v>
      </c>
      <c r="AMX20" s="89">
        <f t="shared" si="381"/>
        <v>841198.35900000005</v>
      </c>
      <c r="AMY20" s="89">
        <f t="shared" si="381"/>
        <v>841591.89300000004</v>
      </c>
      <c r="AMZ20" s="126"/>
      <c r="ANA20" s="89">
        <f>AMY21</f>
        <v>841937.00600000005</v>
      </c>
      <c r="ANB20" s="89">
        <f t="shared" ref="ANB20:AOD20" si="382">ANA21</f>
        <v>842242.96400000004</v>
      </c>
      <c r="ANC20" s="89">
        <f t="shared" si="382"/>
        <v>842510.69200000004</v>
      </c>
      <c r="AND20" s="89">
        <f t="shared" si="382"/>
        <v>842654.402</v>
      </c>
      <c r="ANE20" s="89">
        <f t="shared" si="382"/>
        <v>842906.47199999995</v>
      </c>
      <c r="ANF20" s="89">
        <f t="shared" si="382"/>
        <v>843015.54599999997</v>
      </c>
      <c r="ANG20" s="89">
        <f t="shared" si="382"/>
        <v>843272.62199999997</v>
      </c>
      <c r="ANH20" s="89">
        <f t="shared" si="382"/>
        <v>843460.91700000002</v>
      </c>
      <c r="ANI20" s="89">
        <f t="shared" si="382"/>
        <v>843642.07</v>
      </c>
      <c r="ANJ20" s="89">
        <f t="shared" si="382"/>
        <v>843956.36100000003</v>
      </c>
      <c r="ANK20" s="89">
        <f t="shared" si="382"/>
        <v>844236.18900000001</v>
      </c>
      <c r="ANL20" s="89">
        <f t="shared" si="382"/>
        <v>844468.36199999996</v>
      </c>
      <c r="ANM20" s="89">
        <f t="shared" si="382"/>
        <v>844668.38500000001</v>
      </c>
      <c r="ANN20" s="89">
        <f t="shared" si="382"/>
        <v>844908.24899999995</v>
      </c>
      <c r="ANO20" s="89">
        <f t="shared" si="382"/>
        <v>845128.52500000002</v>
      </c>
      <c r="ANP20" s="89">
        <f t="shared" si="382"/>
        <v>845375.60900000005</v>
      </c>
      <c r="ANQ20" s="89">
        <f t="shared" si="382"/>
        <v>845662.70200000005</v>
      </c>
      <c r="ANR20" s="89">
        <f t="shared" si="382"/>
        <v>845882.26699999999</v>
      </c>
      <c r="ANS20" s="89">
        <f t="shared" si="382"/>
        <v>846122.61199999996</v>
      </c>
      <c r="ANT20" s="89">
        <f t="shared" si="382"/>
        <v>846499.75199999998</v>
      </c>
      <c r="ANU20" s="89">
        <f t="shared" si="382"/>
        <v>846832.71</v>
      </c>
      <c r="ANV20" s="89">
        <f t="shared" si="382"/>
        <v>847117.80599999998</v>
      </c>
      <c r="ANW20" s="89">
        <f t="shared" si="382"/>
        <v>847654.647</v>
      </c>
      <c r="ANX20" s="89">
        <f t="shared" si="382"/>
        <v>847987.527</v>
      </c>
      <c r="ANY20" s="89">
        <f t="shared" si="382"/>
        <v>848292.83299999998</v>
      </c>
      <c r="ANZ20" s="89">
        <f t="shared" si="382"/>
        <v>848565.56799999997</v>
      </c>
      <c r="AOA20" s="89">
        <f t="shared" si="382"/>
        <v>849066.652</v>
      </c>
      <c r="AOB20" s="89">
        <f t="shared" si="382"/>
        <v>849304.10400000005</v>
      </c>
      <c r="AOC20" s="89">
        <f t="shared" si="382"/>
        <v>849638.30900000001</v>
      </c>
      <c r="AOD20" s="89">
        <f t="shared" si="382"/>
        <v>850051.70200000005</v>
      </c>
    </row>
    <row r="21" spans="1:1072" x14ac:dyDescent="0.2">
      <c r="A21" s="157"/>
      <c r="B21" s="160"/>
      <c r="C21" s="47" t="s">
        <v>757</v>
      </c>
      <c r="D21" s="48">
        <v>417275.02899999998</v>
      </c>
      <c r="E21" s="18">
        <v>417746.11300000001</v>
      </c>
      <c r="F21" s="18">
        <v>418113.859</v>
      </c>
      <c r="G21" s="18">
        <v>418550.41899999999</v>
      </c>
      <c r="H21" s="18">
        <v>418959.11599999998</v>
      </c>
      <c r="I21" s="18">
        <v>419140.14399999997</v>
      </c>
      <c r="J21" s="18">
        <v>419472.95799999998</v>
      </c>
      <c r="K21" s="18">
        <v>419726.49099999998</v>
      </c>
      <c r="L21" s="18">
        <v>419977.32900000003</v>
      </c>
      <c r="M21" s="18">
        <v>420328.24099999998</v>
      </c>
      <c r="N21" s="18">
        <v>420797.34899999999</v>
      </c>
      <c r="O21" s="18">
        <v>421083.614</v>
      </c>
      <c r="P21" s="18">
        <v>421383.8</v>
      </c>
      <c r="Q21" s="18">
        <v>421756.804</v>
      </c>
      <c r="R21" s="18">
        <v>422016.04700000002</v>
      </c>
      <c r="S21" s="18">
        <v>422311.63900000002</v>
      </c>
      <c r="T21" s="18">
        <v>422920.13099999999</v>
      </c>
      <c r="U21" s="18">
        <v>423169.77600000001</v>
      </c>
      <c r="V21" s="18">
        <v>423424.59</v>
      </c>
      <c r="W21" s="18">
        <v>423957.92099999997</v>
      </c>
      <c r="X21" s="18">
        <v>424337.522</v>
      </c>
      <c r="Y21" s="18">
        <v>424553.40700000001</v>
      </c>
      <c r="Z21" s="18">
        <v>424819.77</v>
      </c>
      <c r="AA21" s="18">
        <v>425162.55099999998</v>
      </c>
      <c r="AB21" s="18">
        <v>425623.49900000001</v>
      </c>
      <c r="AC21" s="18">
        <v>425958.54300000001</v>
      </c>
      <c r="AD21" s="18">
        <v>426394.65700000001</v>
      </c>
      <c r="AE21" s="18">
        <v>426911.48599999998</v>
      </c>
      <c r="AF21" s="18">
        <v>427506.636</v>
      </c>
      <c r="AG21" s="18">
        <v>427815.36800000002</v>
      </c>
      <c r="AH21" s="18">
        <v>428251.179</v>
      </c>
      <c r="AI21" s="17"/>
      <c r="AJ21" s="13">
        <v>428643.70299999998</v>
      </c>
      <c r="AK21" s="13">
        <v>429110.52899999998</v>
      </c>
      <c r="AL21" s="13">
        <v>429536.96600000001</v>
      </c>
      <c r="AM21" s="13">
        <v>430202.19699999999</v>
      </c>
      <c r="AN21" s="13">
        <v>430727.91399999999</v>
      </c>
      <c r="AO21" s="13">
        <v>431681.63500000001</v>
      </c>
      <c r="AP21" s="13">
        <v>432370.10200000001</v>
      </c>
      <c r="AQ21" s="13">
        <v>433231.05599999998</v>
      </c>
      <c r="AR21" s="13">
        <v>433721.54800000001</v>
      </c>
      <c r="AS21" s="13">
        <v>434025.72899999999</v>
      </c>
      <c r="AT21" s="13">
        <v>434566.93699999998</v>
      </c>
      <c r="AU21" s="13">
        <v>434952.652</v>
      </c>
      <c r="AV21" s="13">
        <v>435313.505</v>
      </c>
      <c r="AW21" s="13">
        <v>435667.57299999997</v>
      </c>
      <c r="AX21" s="13">
        <v>436005.53200000001</v>
      </c>
      <c r="AY21" s="13">
        <v>436368.46100000001</v>
      </c>
      <c r="AZ21" s="13">
        <v>436808.64899999998</v>
      </c>
      <c r="BA21" s="13">
        <v>437428.37599999999</v>
      </c>
      <c r="BB21" s="13">
        <v>437869.37599999999</v>
      </c>
      <c r="BC21" s="13">
        <v>438276.41100000002</v>
      </c>
      <c r="BD21" s="13">
        <v>438585.98200000002</v>
      </c>
      <c r="BE21" s="13">
        <v>439065.45600000001</v>
      </c>
      <c r="BF21" s="13">
        <v>439701.35600000003</v>
      </c>
      <c r="BG21" s="13">
        <v>440069.304</v>
      </c>
      <c r="BH21" s="13">
        <v>440428.87900000002</v>
      </c>
      <c r="BI21" s="13">
        <v>440779.87699999998</v>
      </c>
      <c r="BJ21" s="13">
        <v>441344.75300000003</v>
      </c>
      <c r="BK21" s="13">
        <v>441949.84</v>
      </c>
      <c r="BL21" s="13">
        <v>442599.70600000001</v>
      </c>
      <c r="BM21" s="13">
        <v>442982.20199999999</v>
      </c>
      <c r="BO21" s="13">
        <v>443345.32500000001</v>
      </c>
      <c r="BP21" s="13">
        <v>443766.12099999998</v>
      </c>
      <c r="BQ21" s="13">
        <v>444214.99200000003</v>
      </c>
      <c r="BR21" s="13">
        <v>444660.364</v>
      </c>
      <c r="BS21" s="13">
        <v>445530.25599999999</v>
      </c>
      <c r="BT21" s="13">
        <v>446056.038</v>
      </c>
      <c r="BU21" s="13">
        <v>446549.34299999999</v>
      </c>
      <c r="BV21" s="13">
        <v>446853.35200000001</v>
      </c>
      <c r="BW21" s="13">
        <v>447577.97399999999</v>
      </c>
      <c r="BX21" s="13">
        <v>448024.103</v>
      </c>
      <c r="BY21" s="13">
        <v>448346.70500000002</v>
      </c>
      <c r="BZ21" s="13">
        <v>448662.84100000001</v>
      </c>
      <c r="CA21" s="13">
        <v>449076.549</v>
      </c>
      <c r="CB21" s="13">
        <v>449399.75599999999</v>
      </c>
      <c r="CC21" s="13">
        <v>449752.35600000003</v>
      </c>
      <c r="CD21" s="13">
        <v>450147.696</v>
      </c>
      <c r="CE21" s="13">
        <v>450491.34600000002</v>
      </c>
      <c r="CF21" s="13">
        <v>451031.54599999997</v>
      </c>
      <c r="CG21" s="13">
        <v>451274.75799999997</v>
      </c>
      <c r="CH21" s="13">
        <v>451776.429</v>
      </c>
      <c r="CI21" s="13">
        <v>452070.35100000002</v>
      </c>
      <c r="CJ21" s="13">
        <v>452351.74400000001</v>
      </c>
      <c r="CK21" s="13">
        <v>452703.071</v>
      </c>
      <c r="CL21" s="13">
        <v>453195.36900000001</v>
      </c>
      <c r="CM21" s="13">
        <v>453408.58899999998</v>
      </c>
      <c r="CN21" s="13">
        <v>453716.04399999999</v>
      </c>
      <c r="CO21" s="13">
        <v>454076.43199999997</v>
      </c>
      <c r="CP21" s="13">
        <v>454534.39199999999</v>
      </c>
      <c r="CQ21" s="13">
        <v>454860.03</v>
      </c>
      <c r="CR21" s="13">
        <v>455225.48</v>
      </c>
      <c r="CS21" s="13">
        <v>455571.31300000002</v>
      </c>
      <c r="CU21" s="13">
        <v>455928.64299999998</v>
      </c>
      <c r="CV21" s="13">
        <v>456335.91200000001</v>
      </c>
      <c r="CW21" s="13">
        <v>456702.375</v>
      </c>
      <c r="CX21" s="13">
        <v>457099.723</v>
      </c>
      <c r="CY21" s="13">
        <v>457541.96799999999</v>
      </c>
      <c r="CZ21" s="13">
        <v>457994.353</v>
      </c>
      <c r="DA21" s="13">
        <v>458630.09600000002</v>
      </c>
      <c r="DB21" s="13">
        <v>458910.87800000003</v>
      </c>
      <c r="DC21" s="13">
        <v>459456.864</v>
      </c>
      <c r="DD21" s="13">
        <v>459899.15700000001</v>
      </c>
      <c r="DE21" s="13">
        <v>460358.946</v>
      </c>
      <c r="DF21" s="13">
        <v>460564.283</v>
      </c>
      <c r="DG21" s="13">
        <v>460745.30699999997</v>
      </c>
      <c r="DH21" s="13">
        <v>461139.93099999998</v>
      </c>
      <c r="DI21" s="13">
        <v>461455.609</v>
      </c>
      <c r="DJ21" s="13">
        <v>461707.11</v>
      </c>
      <c r="DK21" s="13">
        <v>462674.92599999998</v>
      </c>
      <c r="DL21" s="13">
        <v>462972.30300000001</v>
      </c>
      <c r="DM21" s="13">
        <v>463171.52600000001</v>
      </c>
      <c r="DN21" s="13">
        <v>463692.098</v>
      </c>
      <c r="DO21" s="13">
        <v>464016.72399999999</v>
      </c>
      <c r="DP21" s="13">
        <v>464568.60399999999</v>
      </c>
      <c r="DQ21" s="13">
        <v>465026.54</v>
      </c>
      <c r="DR21" s="13">
        <v>465454.38199999998</v>
      </c>
      <c r="DS21" s="13">
        <v>465764.94900000002</v>
      </c>
      <c r="DT21" s="13">
        <v>466132.27</v>
      </c>
      <c r="DU21" s="13">
        <v>466453.87099999998</v>
      </c>
      <c r="DV21" s="13">
        <v>466970.38199999998</v>
      </c>
      <c r="DW21" s="13">
        <v>467319.27899999998</v>
      </c>
      <c r="DX21" s="13">
        <v>467692.89399999997</v>
      </c>
      <c r="DY21" s="117"/>
      <c r="DZ21" s="13">
        <v>468017.13299999997</v>
      </c>
      <c r="EA21" s="13">
        <v>468547.19199999998</v>
      </c>
      <c r="EB21" s="13">
        <v>468828.147</v>
      </c>
      <c r="EC21" s="13">
        <v>469303.90899999999</v>
      </c>
      <c r="ED21" s="13">
        <v>469685.28499999997</v>
      </c>
      <c r="EE21" s="13">
        <v>470050.70600000001</v>
      </c>
      <c r="EF21" s="13">
        <v>470471.00099999999</v>
      </c>
      <c r="EG21" s="13">
        <v>470935.91600000003</v>
      </c>
      <c r="EH21" s="13">
        <v>471367.30599999998</v>
      </c>
      <c r="EI21" s="13">
        <v>471858.201</v>
      </c>
      <c r="EJ21" s="13">
        <v>472311.97399999999</v>
      </c>
      <c r="EK21" s="13">
        <v>473125.592</v>
      </c>
      <c r="EL21" s="13">
        <v>473661.44900000002</v>
      </c>
      <c r="EM21" s="13">
        <v>474247.30099999998</v>
      </c>
      <c r="EN21" s="13">
        <v>475103.451</v>
      </c>
      <c r="EO21" s="13">
        <v>475624.45199999999</v>
      </c>
      <c r="EP21" s="13">
        <v>476117.61599999998</v>
      </c>
      <c r="EQ21" s="13">
        <v>476543.42</v>
      </c>
      <c r="ER21" s="13">
        <v>477021.43599999999</v>
      </c>
      <c r="ES21" s="13">
        <v>477586.22100000002</v>
      </c>
      <c r="ET21" s="13">
        <v>478573.79200000002</v>
      </c>
      <c r="EU21" s="13">
        <v>479359.40500000003</v>
      </c>
      <c r="EV21" s="13">
        <v>480037.88699999999</v>
      </c>
      <c r="EW21" s="13">
        <v>480484.20899999997</v>
      </c>
      <c r="EX21" s="13">
        <v>480662.10499999998</v>
      </c>
      <c r="EY21" s="13">
        <v>480951.76400000002</v>
      </c>
      <c r="EZ21" s="13">
        <v>481385.06400000001</v>
      </c>
      <c r="FA21" s="13">
        <v>481645.85600000003</v>
      </c>
      <c r="FB21" s="13">
        <v>482045.36200000002</v>
      </c>
      <c r="FC21" s="13">
        <v>482509.72600000002</v>
      </c>
      <c r="FD21" s="13">
        <v>482831.11499999999</v>
      </c>
      <c r="FE21" s="126"/>
      <c r="FF21" s="13">
        <v>483157.364</v>
      </c>
      <c r="FG21" s="13">
        <v>483505.57900000003</v>
      </c>
      <c r="FH21" s="13">
        <v>483996.17700000003</v>
      </c>
      <c r="FI21" s="13">
        <v>484390.72499999998</v>
      </c>
      <c r="FJ21" s="13">
        <v>484872.54399999999</v>
      </c>
      <c r="FK21" s="13">
        <v>485415.38299999997</v>
      </c>
      <c r="FL21" s="13">
        <v>485813.83600000001</v>
      </c>
      <c r="FM21" s="13">
        <v>486230.66</v>
      </c>
      <c r="FN21" s="13">
        <v>486657.951</v>
      </c>
      <c r="FO21" s="13">
        <v>487012.66899999999</v>
      </c>
      <c r="FP21" s="13">
        <v>487404.18300000002</v>
      </c>
      <c r="FQ21" s="13">
        <v>488128.38199999998</v>
      </c>
      <c r="FR21" s="13">
        <v>488447.53100000002</v>
      </c>
      <c r="FS21" s="13">
        <v>489040.484</v>
      </c>
      <c r="FT21" s="13">
        <v>489785.81300000002</v>
      </c>
      <c r="FU21" s="13">
        <v>490221.54499999998</v>
      </c>
      <c r="FV21" s="13">
        <v>490807.67700000003</v>
      </c>
      <c r="FW21" s="13">
        <v>491285.36900000001</v>
      </c>
      <c r="FX21" s="13">
        <v>491603.57500000001</v>
      </c>
      <c r="FY21" s="13">
        <v>492010.55</v>
      </c>
      <c r="FZ21" s="13">
        <v>492501.48800000001</v>
      </c>
      <c r="GA21" s="13">
        <v>493225.38299999997</v>
      </c>
      <c r="GB21" s="13">
        <v>493954.897</v>
      </c>
      <c r="GC21" s="13">
        <v>494371.85</v>
      </c>
      <c r="GD21" s="13">
        <v>494679.85600000003</v>
      </c>
      <c r="GE21" s="13">
        <v>495015.087</v>
      </c>
      <c r="GF21" s="13">
        <v>495613.60800000001</v>
      </c>
      <c r="GG21" s="13">
        <v>496314.80300000001</v>
      </c>
      <c r="GH21" s="13">
        <v>496883.158</v>
      </c>
      <c r="GI21" s="13">
        <v>497568.41600000003</v>
      </c>
      <c r="GJ21" s="13">
        <v>497885.28399999999</v>
      </c>
      <c r="GK21" s="126"/>
      <c r="GL21" s="13">
        <v>498424.73499999999</v>
      </c>
      <c r="GM21" s="13">
        <v>499186.38900000002</v>
      </c>
      <c r="GN21" s="13">
        <v>499608.33600000001</v>
      </c>
      <c r="GO21" s="13">
        <v>499948.58500000002</v>
      </c>
      <c r="GP21" s="13">
        <v>500388.64500000002</v>
      </c>
      <c r="GQ21" s="13">
        <v>500824.435</v>
      </c>
      <c r="GR21" s="13">
        <v>501348.32500000001</v>
      </c>
      <c r="GS21" s="13">
        <v>501782.43400000001</v>
      </c>
      <c r="GT21" s="13">
        <v>502166.35399999999</v>
      </c>
      <c r="GU21" s="13">
        <v>502950.23800000001</v>
      </c>
      <c r="GV21" s="13">
        <v>503411.34600000002</v>
      </c>
      <c r="GW21" s="13">
        <v>503823.26799999998</v>
      </c>
      <c r="GX21" s="13">
        <v>504136.641</v>
      </c>
      <c r="GY21" s="13">
        <v>504790.804</v>
      </c>
      <c r="GZ21" s="13">
        <v>505141.08500000002</v>
      </c>
      <c r="HA21" s="13">
        <v>505561.43900000001</v>
      </c>
      <c r="HB21" s="13">
        <v>505895.79100000003</v>
      </c>
      <c r="HC21" s="13">
        <v>506298.16100000002</v>
      </c>
      <c r="HD21" s="13">
        <v>506955.14199999999</v>
      </c>
      <c r="HE21" s="13">
        <v>507387.326</v>
      </c>
      <c r="HF21" s="13">
        <v>507687.614</v>
      </c>
      <c r="HG21" s="13">
        <v>508082.48599999998</v>
      </c>
      <c r="HH21" s="13">
        <v>508473.78899999999</v>
      </c>
      <c r="HI21" s="13">
        <v>509453.40600000002</v>
      </c>
      <c r="HJ21" s="13">
        <v>509726.15500000003</v>
      </c>
      <c r="HK21" s="13">
        <v>510256.83100000001</v>
      </c>
      <c r="HL21" s="13">
        <v>510544.22399999999</v>
      </c>
      <c r="HM21" s="13">
        <v>510834.70600000001</v>
      </c>
      <c r="HN21" s="13">
        <v>511393.88099999999</v>
      </c>
      <c r="HO21" s="126"/>
      <c r="HP21" s="13">
        <v>511818.99300000002</v>
      </c>
      <c r="HQ21" s="13">
        <v>512297.24900000001</v>
      </c>
      <c r="HR21" s="13">
        <v>512711.62800000003</v>
      </c>
      <c r="HS21" s="13">
        <v>513485.05300000001</v>
      </c>
      <c r="HT21" s="13">
        <v>513970.48300000001</v>
      </c>
      <c r="HU21" s="13">
        <v>514531.67200000002</v>
      </c>
      <c r="HV21" s="13">
        <v>515238.91</v>
      </c>
      <c r="HW21" s="13">
        <v>515614.75199999998</v>
      </c>
      <c r="HX21" s="13">
        <v>516462.77899999998</v>
      </c>
      <c r="HY21" s="13">
        <v>516909.53</v>
      </c>
      <c r="HZ21" s="13">
        <v>517500.33899999998</v>
      </c>
      <c r="IA21" s="13">
        <v>517894.66499999998</v>
      </c>
      <c r="IB21" s="13">
        <v>518135.255</v>
      </c>
      <c r="IC21" s="13">
        <v>518599.10800000001</v>
      </c>
      <c r="ID21" s="13">
        <v>518975.04499999998</v>
      </c>
      <c r="IE21" s="13">
        <v>519313.40899999999</v>
      </c>
      <c r="IF21" s="13">
        <v>519607.53100000002</v>
      </c>
      <c r="IG21" s="13">
        <v>520144.17099999997</v>
      </c>
      <c r="IH21" s="13">
        <v>520522.728</v>
      </c>
      <c r="II21" s="13">
        <v>520796.04300000001</v>
      </c>
      <c r="IJ21" s="13">
        <v>521067.33799999999</v>
      </c>
      <c r="IK21" s="13">
        <v>521580.18900000001</v>
      </c>
      <c r="IL21" s="13">
        <v>522105.212</v>
      </c>
      <c r="IM21" s="13">
        <v>522389.473</v>
      </c>
      <c r="IN21" s="13">
        <v>523038.23599999998</v>
      </c>
      <c r="IO21" s="13">
        <v>523490.092</v>
      </c>
      <c r="IP21" s="13">
        <v>524012.78600000002</v>
      </c>
      <c r="IQ21" s="13">
        <v>524402.15099999995</v>
      </c>
      <c r="IR21" s="13">
        <v>525244.42200000002</v>
      </c>
      <c r="IS21" s="13">
        <v>525652.29200000002</v>
      </c>
      <c r="IT21" s="13">
        <v>525936.83700000006</v>
      </c>
      <c r="IU21" s="126"/>
      <c r="IV21" s="13">
        <v>526322.6</v>
      </c>
      <c r="IW21" s="13">
        <v>526893.929</v>
      </c>
      <c r="IX21" s="13">
        <v>527214.571</v>
      </c>
      <c r="IY21" s="13">
        <v>527614.576</v>
      </c>
      <c r="IZ21" s="13">
        <v>528283.60499999998</v>
      </c>
      <c r="JA21" s="13">
        <v>528561.06200000003</v>
      </c>
      <c r="JB21" s="13">
        <v>528871.071</v>
      </c>
      <c r="JC21" s="13">
        <v>529530.4</v>
      </c>
      <c r="JD21" s="13">
        <v>529904.54299999995</v>
      </c>
      <c r="JE21" s="13">
        <v>530400.73</v>
      </c>
      <c r="JF21" s="13">
        <v>530988.44200000004</v>
      </c>
      <c r="JG21" s="13">
        <v>531476.31599999999</v>
      </c>
      <c r="JH21" s="13">
        <v>532330.40300000005</v>
      </c>
      <c r="JI21" s="13">
        <v>532760.65300000005</v>
      </c>
      <c r="JJ21" s="13">
        <v>533204.72600000002</v>
      </c>
      <c r="JK21" s="13">
        <v>533626.51599999995</v>
      </c>
      <c r="JL21" s="13">
        <v>534231.56000000006</v>
      </c>
      <c r="JM21" s="13">
        <v>534674.03</v>
      </c>
      <c r="JN21" s="13">
        <v>535216.76399999997</v>
      </c>
      <c r="JO21" s="13">
        <v>535569.83900000004</v>
      </c>
      <c r="JP21" s="13">
        <v>535835.18200000003</v>
      </c>
      <c r="JQ21" s="13">
        <v>536613.18900000001</v>
      </c>
      <c r="JR21" s="13">
        <v>537028.37100000004</v>
      </c>
      <c r="JS21" s="13">
        <v>537317.73800000001</v>
      </c>
      <c r="JT21" s="13">
        <v>537640.75399999996</v>
      </c>
      <c r="JU21" s="13">
        <v>538108.05799999996</v>
      </c>
      <c r="JV21" s="13">
        <v>538457.45900000003</v>
      </c>
      <c r="JW21" s="13">
        <v>538831.03799999994</v>
      </c>
      <c r="JX21" s="13">
        <v>539343.12399999995</v>
      </c>
      <c r="JY21" s="13">
        <v>539648.76500000001</v>
      </c>
      <c r="JZ21" s="126"/>
      <c r="KA21" s="13">
        <v>539933.42799999996</v>
      </c>
      <c r="KB21" s="13">
        <v>540348.33499999996</v>
      </c>
      <c r="KC21" s="13">
        <v>540849.603</v>
      </c>
      <c r="KD21" s="13">
        <v>541221.37399999995</v>
      </c>
      <c r="KE21" s="13">
        <v>541687.55000000005</v>
      </c>
      <c r="KF21" s="13">
        <v>542153.11</v>
      </c>
      <c r="KG21" s="13">
        <v>542653.23300000001</v>
      </c>
      <c r="KH21" s="13">
        <v>543120.11</v>
      </c>
      <c r="KI21" s="13">
        <v>543560.9</v>
      </c>
      <c r="KJ21" s="13">
        <v>544023.18999999994</v>
      </c>
      <c r="KK21" s="13">
        <v>544424.11300000001</v>
      </c>
      <c r="KL21" s="13">
        <v>544657.64300000004</v>
      </c>
      <c r="KM21" s="13">
        <v>545375.91399999999</v>
      </c>
      <c r="KN21" s="13">
        <v>545733.86699999997</v>
      </c>
      <c r="KO21" s="13">
        <v>546114.70200000005</v>
      </c>
      <c r="KP21" s="13">
        <v>546505.15099999995</v>
      </c>
      <c r="KQ21" s="13">
        <v>546894.603</v>
      </c>
      <c r="KR21" s="13">
        <v>547374.10699999996</v>
      </c>
      <c r="KS21" s="13">
        <v>547766.89800000004</v>
      </c>
      <c r="KT21" s="13">
        <v>548295.73</v>
      </c>
      <c r="KU21" s="13">
        <v>548835.62800000003</v>
      </c>
      <c r="KV21" s="13">
        <v>549396.73899999994</v>
      </c>
      <c r="KW21" s="13">
        <v>550009.18299999996</v>
      </c>
      <c r="KX21" s="13">
        <v>550511.15</v>
      </c>
      <c r="KY21" s="13">
        <v>550992.47400000005</v>
      </c>
      <c r="KZ21" s="13">
        <v>551481.223</v>
      </c>
      <c r="LA21" s="13">
        <v>552036.24199999997</v>
      </c>
      <c r="LB21" s="13">
        <v>552672.04799999995</v>
      </c>
      <c r="LC21" s="13">
        <v>553140.21799999999</v>
      </c>
      <c r="LD21" s="13">
        <v>553603.99300000002</v>
      </c>
      <c r="LE21" s="13">
        <v>554090.69700000004</v>
      </c>
      <c r="LF21" s="126"/>
      <c r="LG21" s="13">
        <v>554579.19400000002</v>
      </c>
      <c r="LH21" s="13">
        <v>555022.66399999999</v>
      </c>
      <c r="LI21" s="13">
        <v>555623.36899999995</v>
      </c>
      <c r="LJ21" s="13">
        <v>556242.51699999999</v>
      </c>
      <c r="LK21" s="13">
        <v>556584.147</v>
      </c>
      <c r="LL21" s="13">
        <v>557070.66399999999</v>
      </c>
      <c r="LM21" s="13">
        <v>557559.61800000002</v>
      </c>
      <c r="LN21" s="13">
        <v>558152.46600000001</v>
      </c>
      <c r="LO21" s="13">
        <v>558516.95299999998</v>
      </c>
      <c r="LP21" s="13">
        <v>559115.69200000004</v>
      </c>
      <c r="LQ21" s="13">
        <v>559708.83200000005</v>
      </c>
      <c r="LR21" s="13">
        <v>560181.92799999996</v>
      </c>
      <c r="LS21" s="13">
        <v>560661.26599999995</v>
      </c>
      <c r="LT21" s="13">
        <v>561113.34600000002</v>
      </c>
      <c r="LU21" s="13">
        <v>561562.91599999997</v>
      </c>
      <c r="LV21" s="13">
        <v>562046.26599999995</v>
      </c>
      <c r="LW21" s="13">
        <v>562471.82299999997</v>
      </c>
      <c r="LX21" s="13">
        <v>562918.32299999997</v>
      </c>
      <c r="LY21" s="13">
        <v>563380.71</v>
      </c>
      <c r="LZ21" s="13">
        <v>564204.92200000002</v>
      </c>
      <c r="MA21" s="13">
        <v>564820.049</v>
      </c>
      <c r="MB21" s="13">
        <v>565309.41399999999</v>
      </c>
      <c r="MC21" s="13">
        <v>565644.01699999999</v>
      </c>
      <c r="MD21" s="13">
        <v>566209.25699999998</v>
      </c>
      <c r="ME21" s="13">
        <v>566817.65300000005</v>
      </c>
      <c r="MF21" s="13">
        <v>567203.70400000003</v>
      </c>
      <c r="MG21" s="13">
        <v>567640.83400000003</v>
      </c>
      <c r="MH21" s="13">
        <v>567993.64</v>
      </c>
      <c r="MI21" s="13">
        <v>568332.78200000001</v>
      </c>
      <c r="MJ21" s="13">
        <v>568986.59</v>
      </c>
      <c r="MK21" s="126"/>
      <c r="ML21" s="13">
        <v>569614.11499999999</v>
      </c>
      <c r="MM21" s="13">
        <v>570450.223</v>
      </c>
      <c r="MN21" s="13">
        <v>570891.94999999995</v>
      </c>
      <c r="MO21" s="13">
        <v>571416.76500000001</v>
      </c>
      <c r="MP21" s="13">
        <v>571960.55000000005</v>
      </c>
      <c r="MQ21" s="13">
        <v>572427.70600000001</v>
      </c>
      <c r="MR21" s="13">
        <v>573029.09900000005</v>
      </c>
      <c r="MS21" s="13">
        <v>573618.91299999994</v>
      </c>
      <c r="MT21" s="13">
        <v>574151.24100000004</v>
      </c>
      <c r="MU21" s="13">
        <v>574509.85400000005</v>
      </c>
      <c r="MV21" s="13">
        <v>575024.35699999996</v>
      </c>
      <c r="MW21" s="13">
        <v>575488.15800000005</v>
      </c>
      <c r="MX21" s="13">
        <v>576040.42700000003</v>
      </c>
      <c r="MY21" s="13">
        <v>576376.33400000003</v>
      </c>
      <c r="MZ21" s="13">
        <v>576844.20900000003</v>
      </c>
      <c r="NA21" s="13">
        <v>577445.14099999995</v>
      </c>
      <c r="NB21" s="13">
        <v>577885.17599999998</v>
      </c>
      <c r="NC21" s="13">
        <v>578320.27</v>
      </c>
      <c r="ND21" s="13">
        <v>578815.78200000001</v>
      </c>
      <c r="NE21" s="13">
        <v>579280.64199999999</v>
      </c>
      <c r="NF21" s="13">
        <v>579642.10699999996</v>
      </c>
      <c r="NG21" s="13">
        <v>580020.49800000002</v>
      </c>
      <c r="NH21" s="13">
        <v>580382.63800000004</v>
      </c>
      <c r="NI21" s="13">
        <v>580759.27</v>
      </c>
      <c r="NJ21" s="13">
        <v>581296.85600000003</v>
      </c>
      <c r="NK21" s="13">
        <v>581885.29700000002</v>
      </c>
      <c r="NL21" s="13">
        <v>582167.14199999999</v>
      </c>
      <c r="NM21" s="13">
        <v>582602.81400000001</v>
      </c>
      <c r="NN21" s="13">
        <v>583018.08200000005</v>
      </c>
      <c r="NO21" s="13">
        <v>583481.91399999999</v>
      </c>
      <c r="NP21" s="13">
        <v>583933.47100000002</v>
      </c>
      <c r="NQ21" s="126"/>
      <c r="NR21" s="13">
        <v>584289.53899999999</v>
      </c>
      <c r="NS21" s="13">
        <v>584848.13600000006</v>
      </c>
      <c r="NT21" s="13">
        <v>585218.598</v>
      </c>
      <c r="NU21" s="13">
        <v>585574.21499999997</v>
      </c>
      <c r="NV21" s="13">
        <v>586050.99199999997</v>
      </c>
      <c r="NW21" s="13">
        <v>586544.28</v>
      </c>
      <c r="NX21" s="13">
        <v>587019.57400000002</v>
      </c>
      <c r="NY21" s="13">
        <v>587535.43500000006</v>
      </c>
      <c r="NZ21" s="13">
        <v>588069.51300000004</v>
      </c>
      <c r="OA21" s="13">
        <v>588573.70299999998</v>
      </c>
      <c r="OB21" s="13">
        <v>589023.34199999995</v>
      </c>
      <c r="OC21" s="13">
        <v>589363.76300000004</v>
      </c>
      <c r="OD21" s="13">
        <v>589696.32999999996</v>
      </c>
      <c r="OE21" s="13">
        <v>590105.87300000002</v>
      </c>
      <c r="OF21" s="13">
        <v>590461.09900000005</v>
      </c>
      <c r="OG21" s="13">
        <v>590903.51800000004</v>
      </c>
      <c r="OH21" s="13">
        <v>591258.853</v>
      </c>
      <c r="OI21" s="13">
        <v>591507.52</v>
      </c>
      <c r="OJ21" s="13">
        <v>591940.86</v>
      </c>
      <c r="OK21" s="13">
        <v>592397.28899999999</v>
      </c>
      <c r="OL21" s="13">
        <v>592893.53200000001</v>
      </c>
      <c r="OM21" s="13">
        <v>593608.06999999995</v>
      </c>
      <c r="ON21" s="13">
        <v>594082.27099999995</v>
      </c>
      <c r="OO21" s="13">
        <v>594549.80900000001</v>
      </c>
      <c r="OP21" s="13">
        <v>594799.32200000004</v>
      </c>
      <c r="OQ21" s="13">
        <v>595285.47400000005</v>
      </c>
      <c r="OR21" s="13">
        <v>595742.13899999997</v>
      </c>
      <c r="OS21" s="13">
        <v>596152.20900000003</v>
      </c>
      <c r="OT21" s="13">
        <v>596616.076</v>
      </c>
      <c r="OU21" s="13">
        <v>597251.13899999997</v>
      </c>
      <c r="OV21" s="13">
        <v>597771.57700000005</v>
      </c>
      <c r="OW21" s="126"/>
      <c r="OX21" s="13">
        <v>598233.55500000005</v>
      </c>
      <c r="OY21" s="13">
        <v>599084.90700000001</v>
      </c>
      <c r="OZ21" s="13">
        <v>599650.67299999995</v>
      </c>
      <c r="PA21" s="13">
        <v>599993.30200000003</v>
      </c>
      <c r="PB21" s="13">
        <v>600561.56400000001</v>
      </c>
      <c r="PC21" s="13">
        <v>601222.71100000001</v>
      </c>
      <c r="PD21" s="13">
        <v>601941.00399999996</v>
      </c>
      <c r="PE21" s="13">
        <v>602484.49100000004</v>
      </c>
      <c r="PF21" s="13">
        <v>603000.16799999995</v>
      </c>
      <c r="PG21" s="13">
        <v>603612.96200000006</v>
      </c>
      <c r="PH21" s="13">
        <v>604124.47</v>
      </c>
      <c r="PI21" s="13">
        <v>604491.21100000001</v>
      </c>
      <c r="PJ21" s="13">
        <v>605175.53</v>
      </c>
      <c r="PK21" s="13">
        <v>605659.38899999997</v>
      </c>
      <c r="PL21" s="13">
        <v>606109.14399999997</v>
      </c>
      <c r="PM21" s="13">
        <v>606514.43900000001</v>
      </c>
      <c r="PN21" s="13">
        <v>606899.59600000002</v>
      </c>
      <c r="PO21" s="13">
        <v>607274.23100000003</v>
      </c>
      <c r="PP21" s="13">
        <v>607968.68500000006</v>
      </c>
      <c r="PQ21" s="13">
        <v>608480.29500000004</v>
      </c>
      <c r="PR21" s="13">
        <v>608983.21600000001</v>
      </c>
      <c r="PS21" s="13">
        <v>609299.69400000002</v>
      </c>
      <c r="PT21" s="13">
        <v>609812.81200000003</v>
      </c>
      <c r="PU21" s="13">
        <v>610415.21499999997</v>
      </c>
      <c r="PV21" s="13">
        <v>610700.73600000003</v>
      </c>
      <c r="PW21" s="13">
        <v>611098.20600000001</v>
      </c>
      <c r="PX21" s="13">
        <v>611470.56799999997</v>
      </c>
      <c r="PY21" s="13">
        <v>611921.79500000004</v>
      </c>
      <c r="PZ21" s="13">
        <v>612224.15700000001</v>
      </c>
      <c r="QA21" s="13">
        <v>612657.13100000005</v>
      </c>
      <c r="QB21" s="126"/>
      <c r="QC21" s="13">
        <v>613273.41500000004</v>
      </c>
      <c r="QD21" s="13">
        <v>613771.19700000004</v>
      </c>
      <c r="QE21" s="13">
        <v>614340.32200000004</v>
      </c>
      <c r="QF21" s="13">
        <v>615088.43900000001</v>
      </c>
      <c r="QG21" s="13">
        <v>615647.48100000003</v>
      </c>
      <c r="QH21" s="13">
        <v>615966.56799999997</v>
      </c>
      <c r="QI21" s="13">
        <v>616414.00899999996</v>
      </c>
      <c r="QJ21" s="13">
        <v>616883.22</v>
      </c>
      <c r="QK21" s="13">
        <v>617272.09900000005</v>
      </c>
      <c r="QL21" s="13">
        <v>617652.598</v>
      </c>
      <c r="QM21" s="13">
        <v>618084.60199999996</v>
      </c>
      <c r="QN21" s="13">
        <v>618617.49</v>
      </c>
      <c r="QO21" s="13">
        <v>619067.72100000002</v>
      </c>
      <c r="QP21" s="13">
        <v>619808.43000000005</v>
      </c>
      <c r="QQ21" s="13">
        <v>620256.33100000001</v>
      </c>
      <c r="QR21" s="13">
        <v>620810.48600000003</v>
      </c>
      <c r="QS21" s="13">
        <v>621168.58600000001</v>
      </c>
      <c r="QT21" s="13">
        <v>621678.88600000006</v>
      </c>
      <c r="QU21" s="13">
        <v>622336.99600000004</v>
      </c>
      <c r="QV21" s="13">
        <v>622655.05000000005</v>
      </c>
      <c r="QW21" s="13">
        <v>623143.71799999999</v>
      </c>
      <c r="QX21" s="13">
        <v>623459.85400000005</v>
      </c>
      <c r="QY21" s="13">
        <v>623815.125</v>
      </c>
      <c r="QZ21" s="13">
        <v>624611.26500000001</v>
      </c>
      <c r="RA21" s="13">
        <v>625255.95299999998</v>
      </c>
      <c r="RB21" s="13">
        <v>625566.20700000005</v>
      </c>
      <c r="RC21" s="13">
        <v>625937.78</v>
      </c>
      <c r="RD21" s="13">
        <v>626326.973</v>
      </c>
      <c r="RE21" s="13">
        <v>626860.97100000002</v>
      </c>
      <c r="RF21" s="13">
        <v>627450.59199999995</v>
      </c>
      <c r="RG21" s="13">
        <v>627925.00199999998</v>
      </c>
      <c r="RH21" s="126"/>
      <c r="RI21" s="13">
        <v>628408.57900000003</v>
      </c>
      <c r="RJ21" s="13">
        <v>628709.04500000004</v>
      </c>
      <c r="RK21" s="13">
        <v>629189.23699999996</v>
      </c>
      <c r="RL21" s="13">
        <v>630256.17000000004</v>
      </c>
      <c r="RM21" s="13">
        <v>630805.85499999998</v>
      </c>
      <c r="RN21" s="13">
        <v>631022.41399999999</v>
      </c>
      <c r="RO21" s="13">
        <v>631298.97900000005</v>
      </c>
      <c r="RP21" s="13">
        <v>631606.647</v>
      </c>
      <c r="RQ21" s="13">
        <v>632030.32299999997</v>
      </c>
      <c r="RR21" s="13">
        <v>632432.55500000005</v>
      </c>
      <c r="RS21" s="13">
        <v>632944.80200000003</v>
      </c>
      <c r="RT21" s="13">
        <v>633420.41500000004</v>
      </c>
      <c r="RU21" s="13">
        <v>634096.55799999996</v>
      </c>
      <c r="RV21" s="13">
        <v>634724.87199999997</v>
      </c>
      <c r="RW21" s="13">
        <v>635289.74399999995</v>
      </c>
      <c r="RX21" s="13">
        <v>636020.90800000005</v>
      </c>
      <c r="RY21" s="13">
        <v>636420.679</v>
      </c>
      <c r="RZ21" s="13">
        <v>636696.40399999998</v>
      </c>
      <c r="SA21" s="13">
        <v>636987.71900000004</v>
      </c>
      <c r="SB21" s="13">
        <v>637219.22400000005</v>
      </c>
      <c r="SC21" s="13">
        <v>637621.52800000005</v>
      </c>
      <c r="SD21" s="13">
        <v>637957.53300000005</v>
      </c>
      <c r="SE21" s="13">
        <v>638341.86899999995</v>
      </c>
      <c r="SF21" s="13">
        <v>638700.92000000004</v>
      </c>
      <c r="SG21" s="13">
        <v>639044.277</v>
      </c>
      <c r="SH21" s="13">
        <v>639700.27500000002</v>
      </c>
      <c r="SI21" s="13">
        <v>640059.24300000002</v>
      </c>
      <c r="SJ21" s="13">
        <v>640811.92000000004</v>
      </c>
      <c r="SK21" s="13">
        <v>641313.97699999996</v>
      </c>
      <c r="SL21" s="13">
        <v>641747.17799999996</v>
      </c>
      <c r="SM21" s="126"/>
      <c r="SN21" s="13">
        <v>642048.28500000003</v>
      </c>
      <c r="SO21" s="13">
        <v>642640.74199999997</v>
      </c>
      <c r="SP21" s="13">
        <v>643273.10199999996</v>
      </c>
      <c r="SQ21" s="13">
        <v>644137.08299999998</v>
      </c>
      <c r="SR21" s="13">
        <v>644673.48400000005</v>
      </c>
      <c r="SS21" s="13">
        <v>645213.81299999997</v>
      </c>
      <c r="ST21" s="13">
        <v>645648.88399999996</v>
      </c>
      <c r="SU21" s="13">
        <v>646149.73100000003</v>
      </c>
      <c r="SV21" s="13">
        <v>646983.07499999995</v>
      </c>
      <c r="SW21" s="13">
        <v>647463.37</v>
      </c>
      <c r="SX21" s="13">
        <v>647783.40800000005</v>
      </c>
      <c r="SY21" s="13">
        <v>648213.098</v>
      </c>
      <c r="SZ21" s="13">
        <v>648819.19099999999</v>
      </c>
      <c r="TA21" s="13">
        <v>649199.13</v>
      </c>
      <c r="TB21" s="13">
        <v>649694.76899999997</v>
      </c>
      <c r="TC21" s="13">
        <v>650613.6</v>
      </c>
      <c r="TD21" s="13">
        <v>651115.25699999998</v>
      </c>
      <c r="TE21" s="13">
        <v>651588.33799999999</v>
      </c>
      <c r="TF21" s="13">
        <v>652168.06299999997</v>
      </c>
      <c r="TG21" s="13">
        <v>652716.78599999996</v>
      </c>
      <c r="TH21" s="13">
        <v>653128.304</v>
      </c>
      <c r="TI21" s="13">
        <v>653572.23600000003</v>
      </c>
      <c r="TJ21" s="13">
        <v>653908.92500000005</v>
      </c>
      <c r="TK21" s="13">
        <v>654345.79299999995</v>
      </c>
      <c r="TL21" s="13">
        <v>654630.12</v>
      </c>
      <c r="TM21" s="13">
        <v>655038.46</v>
      </c>
      <c r="TN21" s="13">
        <v>655436.18700000003</v>
      </c>
      <c r="TO21" s="13">
        <v>655826.88399999996</v>
      </c>
      <c r="TP21" s="13">
        <v>656100.12600000005</v>
      </c>
      <c r="TQ21" s="13">
        <v>656433.67700000003</v>
      </c>
      <c r="TR21" s="13">
        <v>656975.04299999995</v>
      </c>
      <c r="TS21" s="126"/>
      <c r="TT21" s="13">
        <v>657246.40700000001</v>
      </c>
      <c r="TU21" s="13">
        <v>657590.25199999998</v>
      </c>
      <c r="TV21" s="13">
        <v>657974.61300000001</v>
      </c>
      <c r="TW21" s="13">
        <v>658383.07799999998</v>
      </c>
      <c r="TX21" s="13">
        <v>658653.99</v>
      </c>
      <c r="TY21" s="13">
        <v>659047.56700000004</v>
      </c>
      <c r="TZ21" s="13">
        <v>659576.054</v>
      </c>
      <c r="UA21" s="13">
        <v>660330.51500000001</v>
      </c>
      <c r="UB21" s="13">
        <v>660854.34199999995</v>
      </c>
      <c r="UC21" s="13">
        <v>661410.92099999997</v>
      </c>
      <c r="UD21" s="13">
        <v>661765.54500000004</v>
      </c>
      <c r="UE21" s="13">
        <v>662277.18299999996</v>
      </c>
      <c r="UF21" s="13">
        <v>663079.47900000005</v>
      </c>
      <c r="UG21" s="13">
        <v>663498.61600000004</v>
      </c>
      <c r="UH21" s="13">
        <v>663851.32799999998</v>
      </c>
      <c r="UI21" s="13">
        <v>664263.49100000004</v>
      </c>
      <c r="UJ21" s="13">
        <v>664769.91</v>
      </c>
      <c r="UK21" s="13">
        <v>665291.30000000005</v>
      </c>
      <c r="UL21" s="13">
        <v>665673.47600000002</v>
      </c>
      <c r="UM21" s="13">
        <v>666225.63899999997</v>
      </c>
      <c r="UN21" s="13">
        <v>666591.10499999998</v>
      </c>
      <c r="UO21" s="13">
        <v>667056.13</v>
      </c>
      <c r="UP21" s="13">
        <v>667468.75399999996</v>
      </c>
      <c r="UQ21" s="13">
        <v>668024.42299999995</v>
      </c>
      <c r="UR21" s="13">
        <v>668648.78</v>
      </c>
      <c r="US21" s="13">
        <v>669522.88699999999</v>
      </c>
      <c r="UT21" s="13">
        <v>669960.70900000003</v>
      </c>
      <c r="UU21" s="13">
        <v>670471.06000000006</v>
      </c>
      <c r="UV21" s="13">
        <v>670471.06000000006</v>
      </c>
      <c r="UW21" s="13">
        <v>670819.48499999999</v>
      </c>
      <c r="UX21" s="13">
        <v>671276.929</v>
      </c>
      <c r="UY21" s="126"/>
      <c r="UZ21" s="13">
        <v>671730.05299999996</v>
      </c>
      <c r="VA21" s="13">
        <v>672139.39599999995</v>
      </c>
      <c r="VB21" s="13">
        <v>673269.56700000004</v>
      </c>
      <c r="VC21" s="13">
        <v>673861.08700000006</v>
      </c>
      <c r="VD21" s="13">
        <v>674330.59199999995</v>
      </c>
      <c r="VE21" s="13">
        <v>674646.16</v>
      </c>
      <c r="VF21" s="13">
        <v>675286.125</v>
      </c>
      <c r="VG21" s="13">
        <v>675920.58799999999</v>
      </c>
      <c r="VH21" s="13">
        <v>676345.84900000005</v>
      </c>
      <c r="VI21" s="13">
        <v>676744.95499999996</v>
      </c>
      <c r="VJ21" s="13">
        <v>677691.48699999996</v>
      </c>
      <c r="VK21" s="13">
        <v>677975.44200000004</v>
      </c>
      <c r="VL21" s="13">
        <v>678424.91299999994</v>
      </c>
      <c r="VM21" s="13">
        <v>678864.7</v>
      </c>
      <c r="VN21" s="13">
        <v>679337.42200000002</v>
      </c>
      <c r="VO21" s="13">
        <v>679648.397</v>
      </c>
      <c r="VP21" s="13">
        <v>680218.31099999999</v>
      </c>
      <c r="VQ21" s="13">
        <v>680680.92099999997</v>
      </c>
      <c r="VR21" s="13">
        <v>681396.755</v>
      </c>
      <c r="VS21" s="13">
        <v>681794.53899999999</v>
      </c>
      <c r="VT21" s="13">
        <v>682358.67799999996</v>
      </c>
      <c r="VU21" s="13">
        <v>682912.21400000004</v>
      </c>
      <c r="VV21" s="13">
        <v>683455.79500000004</v>
      </c>
      <c r="VW21" s="13">
        <v>683923.40399999998</v>
      </c>
      <c r="VX21" s="13">
        <v>684504.05500000005</v>
      </c>
      <c r="VY21" s="13">
        <v>684996.78899999999</v>
      </c>
      <c r="VZ21" s="13">
        <v>685340.62199999997</v>
      </c>
      <c r="WA21" s="13">
        <v>685769.79099999997</v>
      </c>
      <c r="WB21" s="126"/>
      <c r="WC21" s="13">
        <v>686264.82799999998</v>
      </c>
      <c r="WD21" s="13">
        <v>686642.83200000005</v>
      </c>
      <c r="WE21" s="13">
        <v>687544.55599999998</v>
      </c>
      <c r="WF21" s="13">
        <v>688015.15500000003</v>
      </c>
      <c r="WG21" s="13">
        <v>688626.78300000005</v>
      </c>
      <c r="WH21" s="13">
        <v>688626.18299999996</v>
      </c>
      <c r="WI21" s="13">
        <v>688932.72499999998</v>
      </c>
      <c r="WJ21" s="13">
        <v>689456.62199999997</v>
      </c>
      <c r="WK21" s="13">
        <v>689900.995</v>
      </c>
      <c r="WL21" s="13">
        <v>690475.96499999997</v>
      </c>
      <c r="WM21" s="13">
        <v>691262.53899999999</v>
      </c>
      <c r="WN21" s="13">
        <v>691588.223</v>
      </c>
      <c r="WO21" s="13">
        <v>692105.96299999999</v>
      </c>
      <c r="WP21" s="13">
        <v>692504.06599999999</v>
      </c>
      <c r="WQ21" s="13">
        <v>693110.53</v>
      </c>
      <c r="WR21" s="13">
        <v>693478.02099999995</v>
      </c>
      <c r="WS21" s="13">
        <v>693987.90300000005</v>
      </c>
      <c r="WT21" s="13">
        <v>694226.78</v>
      </c>
      <c r="WU21" s="13">
        <v>694695.15099999995</v>
      </c>
      <c r="WV21" s="13">
        <v>695192.13800000004</v>
      </c>
      <c r="WW21" s="13">
        <v>695981.04099999997</v>
      </c>
      <c r="WX21" s="13">
        <v>696488.09900000005</v>
      </c>
      <c r="WY21" s="13">
        <v>696976.71400000004</v>
      </c>
      <c r="WZ21" s="13">
        <v>697518.77500000002</v>
      </c>
      <c r="XA21" s="13">
        <v>697970.07400000002</v>
      </c>
      <c r="XB21" s="13">
        <v>698192.02399999998</v>
      </c>
      <c r="XC21" s="13">
        <v>698779.30099999998</v>
      </c>
      <c r="XD21" s="13">
        <v>699185.05599999998</v>
      </c>
      <c r="XE21" s="13">
        <v>699544.88300000003</v>
      </c>
      <c r="XF21" s="13">
        <v>699914.91</v>
      </c>
      <c r="XG21" s="13">
        <v>700490.23</v>
      </c>
      <c r="XH21" s="126"/>
      <c r="XI21" s="13">
        <v>700735.29700000002</v>
      </c>
      <c r="XJ21" s="13">
        <v>700971.38899999997</v>
      </c>
      <c r="XK21" s="13">
        <v>701342.69</v>
      </c>
      <c r="XL21" s="13">
        <v>701778.30900000001</v>
      </c>
      <c r="XM21" s="13">
        <v>702299.35900000005</v>
      </c>
      <c r="XN21" s="13">
        <v>702656.41700000002</v>
      </c>
      <c r="XO21" s="13">
        <v>702989.06499999994</v>
      </c>
      <c r="XP21" s="13">
        <v>703463.34699999995</v>
      </c>
      <c r="XQ21" s="13">
        <v>703774.848</v>
      </c>
      <c r="XR21" s="13">
        <v>704096.59600000002</v>
      </c>
      <c r="XS21" s="13">
        <v>704443.19900000002</v>
      </c>
      <c r="XT21" s="13">
        <v>704932.45200000005</v>
      </c>
      <c r="XU21" s="13">
        <v>705325.23800000001</v>
      </c>
      <c r="XV21" s="13">
        <v>705670.21499999997</v>
      </c>
      <c r="XW21" s="13">
        <v>706095.06700000004</v>
      </c>
      <c r="XX21" s="13">
        <v>706551.30799999996</v>
      </c>
      <c r="XY21" s="13">
        <v>706955.179</v>
      </c>
      <c r="XZ21" s="13">
        <v>707225.26199999999</v>
      </c>
      <c r="YA21" s="13">
        <v>707511.79299999995</v>
      </c>
      <c r="YB21" s="13">
        <v>707826.81499999994</v>
      </c>
      <c r="YC21" s="13">
        <v>708195.07499999995</v>
      </c>
      <c r="YD21" s="13">
        <v>708445.58600000001</v>
      </c>
      <c r="YE21" s="13">
        <v>708980.70499999996</v>
      </c>
      <c r="YF21" s="13">
        <v>709250.78</v>
      </c>
      <c r="YG21" s="13">
        <v>709716.98300000001</v>
      </c>
      <c r="YH21" s="13">
        <v>710029.75699999998</v>
      </c>
      <c r="YI21" s="13">
        <v>710460.04</v>
      </c>
      <c r="YJ21" s="13">
        <v>710795.929</v>
      </c>
      <c r="YK21" s="13">
        <v>711064.79500000004</v>
      </c>
      <c r="YL21" s="13">
        <v>711265.41799999995</v>
      </c>
      <c r="YM21" s="126"/>
      <c r="YN21" s="13">
        <v>711684.09199999995</v>
      </c>
      <c r="YO21" s="13">
        <v>712121.40599999996</v>
      </c>
      <c r="YP21" s="13">
        <v>712570.40599999996</v>
      </c>
      <c r="YQ21" s="13">
        <v>712885.65500000003</v>
      </c>
      <c r="YR21" s="13">
        <v>713231.55799999996</v>
      </c>
      <c r="YS21" s="13">
        <v>713492.60199999996</v>
      </c>
      <c r="YT21" s="13">
        <v>713923.98100000003</v>
      </c>
      <c r="YU21" s="13">
        <v>714100.85100000002</v>
      </c>
      <c r="YV21" s="13">
        <v>714395.98899999994</v>
      </c>
      <c r="YW21" s="13">
        <v>714705.48499999999</v>
      </c>
      <c r="YX21" s="13">
        <v>715043.99300000002</v>
      </c>
      <c r="YY21" s="13">
        <v>715330.63600000006</v>
      </c>
      <c r="YZ21" s="13">
        <v>715671.90500000003</v>
      </c>
      <c r="ZA21" s="13">
        <v>716029.52800000005</v>
      </c>
      <c r="ZB21" s="13">
        <v>716276.82299999997</v>
      </c>
      <c r="ZC21" s="13">
        <v>716698.35100000002</v>
      </c>
      <c r="ZD21" s="13">
        <v>717031.66399999999</v>
      </c>
      <c r="ZE21" s="13">
        <v>717240.89099999995</v>
      </c>
      <c r="ZF21" s="13">
        <v>717613.98</v>
      </c>
      <c r="ZG21" s="13">
        <v>717914.20299999998</v>
      </c>
      <c r="ZH21" s="13">
        <v>718488.14899999998</v>
      </c>
      <c r="ZI21" s="13">
        <v>718835.75699999998</v>
      </c>
      <c r="ZJ21" s="13">
        <v>719100.92500000005</v>
      </c>
      <c r="ZK21" s="13">
        <v>719471.06900000002</v>
      </c>
      <c r="ZL21" s="13">
        <v>719698.152</v>
      </c>
      <c r="ZM21" s="13">
        <v>720327.06599999999</v>
      </c>
      <c r="ZN21" s="13">
        <v>720638.66099999996</v>
      </c>
      <c r="ZO21" s="13">
        <v>721026.24</v>
      </c>
      <c r="ZP21" s="13">
        <v>721464.04399999999</v>
      </c>
      <c r="ZQ21" s="13">
        <v>721893.28899999999</v>
      </c>
      <c r="ZR21" s="13">
        <v>722195.69900000002</v>
      </c>
      <c r="ZS21" s="126"/>
      <c r="ZT21" s="13">
        <v>722810.45700000005</v>
      </c>
      <c r="ZU21" s="13">
        <v>723097.96100000001</v>
      </c>
      <c r="ZV21" s="13">
        <v>723503.30200000003</v>
      </c>
      <c r="ZW21" s="13">
        <v>723847.35800000001</v>
      </c>
      <c r="ZX21" s="13">
        <v>724146.82799999998</v>
      </c>
      <c r="ZY21" s="13">
        <v>724620.85499999998</v>
      </c>
      <c r="ZZ21" s="13">
        <v>725085.98600000003</v>
      </c>
      <c r="AAA21" s="13">
        <v>725536.27</v>
      </c>
      <c r="AAB21" s="13">
        <v>725872.88699999999</v>
      </c>
      <c r="AAC21" s="13">
        <v>726538.79200000002</v>
      </c>
      <c r="AAD21" s="13">
        <v>727267.42299999995</v>
      </c>
      <c r="AAE21" s="13">
        <v>727624.59900000005</v>
      </c>
      <c r="AAF21" s="13">
        <v>728046.07400000002</v>
      </c>
      <c r="AAG21" s="13">
        <v>728421.09900000005</v>
      </c>
      <c r="AAH21" s="13">
        <v>728667.78</v>
      </c>
      <c r="AAI21" s="13">
        <v>729085.446</v>
      </c>
      <c r="AAJ21" s="13">
        <v>729481.21699999995</v>
      </c>
      <c r="AAK21" s="13">
        <v>730190.61699999997</v>
      </c>
      <c r="AAL21" s="13">
        <v>730523.04599999997</v>
      </c>
      <c r="AAM21" s="13">
        <v>731095.06400000001</v>
      </c>
      <c r="AAN21" s="13">
        <v>731446.005</v>
      </c>
      <c r="AAO21" s="13">
        <v>731742.76500000001</v>
      </c>
      <c r="AAP21" s="13">
        <v>732299.59699999995</v>
      </c>
      <c r="AAQ21" s="13">
        <v>732604.94200000004</v>
      </c>
      <c r="AAR21" s="13">
        <v>732959.43299999996</v>
      </c>
      <c r="AAS21" s="13">
        <v>733385.82400000002</v>
      </c>
      <c r="AAT21" s="13">
        <v>733762.57299999997</v>
      </c>
      <c r="AAU21" s="13">
        <v>734173.50600000005</v>
      </c>
      <c r="AAV21" s="13">
        <v>734451.11199999996</v>
      </c>
      <c r="AAW21" s="13">
        <v>734817.81099999999</v>
      </c>
      <c r="AAX21" s="126"/>
      <c r="AAY21" s="13">
        <v>735186.49800000002</v>
      </c>
      <c r="AAZ21" s="13">
        <v>735506.04700000002</v>
      </c>
      <c r="ABA21" s="13">
        <v>735779.78399999999</v>
      </c>
      <c r="ABB21" s="13">
        <v>736173.73499999999</v>
      </c>
      <c r="ABC21" s="13">
        <v>736582.95499999996</v>
      </c>
      <c r="ABD21" s="13">
        <v>737106.14500000002</v>
      </c>
      <c r="ABE21" s="13">
        <v>737542.03500000003</v>
      </c>
      <c r="ABF21" s="13">
        <v>737935.34299999999</v>
      </c>
      <c r="ABG21" s="13">
        <v>738279.41700000002</v>
      </c>
      <c r="ABH21" s="13">
        <v>738607.74100000004</v>
      </c>
      <c r="ABI21" s="13">
        <v>738996.64</v>
      </c>
      <c r="ABJ21" s="13">
        <v>739275.60699999996</v>
      </c>
      <c r="ABK21" s="13">
        <v>739817.30200000003</v>
      </c>
      <c r="ABL21" s="13">
        <v>740281.37300000002</v>
      </c>
      <c r="ABM21" s="13">
        <v>740618.98600000003</v>
      </c>
      <c r="ABN21" s="13">
        <v>740938.52599999995</v>
      </c>
      <c r="ABO21" s="13">
        <v>741316.49300000002</v>
      </c>
      <c r="ABP21" s="13">
        <v>742000.93</v>
      </c>
      <c r="ABQ21" s="13">
        <v>742556.91599999997</v>
      </c>
      <c r="ABR21" s="13">
        <v>742993.93099999998</v>
      </c>
      <c r="ABS21" s="13">
        <v>743206.59600000002</v>
      </c>
      <c r="ABT21" s="13">
        <v>743517.321</v>
      </c>
      <c r="ABU21" s="13">
        <v>743990.17099999997</v>
      </c>
      <c r="ABV21" s="13">
        <v>744298.30700000003</v>
      </c>
      <c r="ABW21" s="13">
        <v>744717.41700000002</v>
      </c>
      <c r="ABX21" s="13">
        <v>745138.93299999996</v>
      </c>
      <c r="ABY21" s="13">
        <v>745510.73899999994</v>
      </c>
      <c r="ABZ21" s="13">
        <v>745997.82</v>
      </c>
      <c r="ACA21" s="13">
        <v>746358.72400000005</v>
      </c>
      <c r="ACB21" s="13">
        <v>746656.11499999999</v>
      </c>
      <c r="ACC21" s="13">
        <v>746950.49600000004</v>
      </c>
      <c r="ACD21" s="126"/>
      <c r="ACE21" s="13">
        <v>747447.87399999995</v>
      </c>
      <c r="ACF21" s="13">
        <v>748011.93299999996</v>
      </c>
      <c r="ACG21" s="13">
        <v>748487.82</v>
      </c>
      <c r="ACH21" s="13">
        <v>748847.429</v>
      </c>
      <c r="ACI21" s="13">
        <v>749129.98699999996</v>
      </c>
      <c r="ACJ21" s="13">
        <v>749455.54500000004</v>
      </c>
      <c r="ACK21" s="13">
        <v>749835.08100000001</v>
      </c>
      <c r="ACL21" s="13">
        <v>750318.05099999998</v>
      </c>
      <c r="ACM21" s="13">
        <v>750725.76899999997</v>
      </c>
      <c r="ACN21" s="13">
        <v>751156.06299999997</v>
      </c>
      <c r="ACO21" s="13">
        <v>751492.59400000004</v>
      </c>
      <c r="ACP21" s="13">
        <v>751928.99</v>
      </c>
      <c r="ACQ21" s="13">
        <v>752302.93700000003</v>
      </c>
      <c r="ACR21" s="13">
        <v>752681.59</v>
      </c>
      <c r="ACS21" s="13">
        <v>753095.16599999997</v>
      </c>
      <c r="ACT21" s="13">
        <v>753583.30099999998</v>
      </c>
      <c r="ACU21" s="13">
        <v>753963.65300000005</v>
      </c>
      <c r="ACV21" s="13">
        <v>754436.326</v>
      </c>
      <c r="ACW21" s="13">
        <v>754831.82799999998</v>
      </c>
      <c r="ACX21" s="13">
        <v>755217.603</v>
      </c>
      <c r="ACY21" s="13">
        <v>755630.478</v>
      </c>
      <c r="ACZ21" s="13">
        <v>756011.33299999998</v>
      </c>
      <c r="ADA21" s="13">
        <v>756346.14099999995</v>
      </c>
      <c r="ADB21" s="13">
        <v>756850.87300000002</v>
      </c>
      <c r="ADC21" s="13">
        <v>757362.49699999997</v>
      </c>
      <c r="ADD21" s="13">
        <v>757748.93400000001</v>
      </c>
      <c r="ADE21" s="13">
        <v>758168.85199999996</v>
      </c>
      <c r="ADF21" s="13">
        <v>758548.39099999995</v>
      </c>
      <c r="ADG21" s="13">
        <v>758925.99800000002</v>
      </c>
      <c r="ADH21" s="13">
        <v>759265.90500000003</v>
      </c>
      <c r="ADI21" s="13">
        <v>759649.38</v>
      </c>
      <c r="ADJ21" s="126"/>
      <c r="ADK21" s="13">
        <v>760065.32700000005</v>
      </c>
      <c r="ADL21" s="13">
        <v>760453.89899999998</v>
      </c>
      <c r="ADM21" s="13">
        <v>760936.35100000002</v>
      </c>
      <c r="ADN21" s="13">
        <v>761404.27399999998</v>
      </c>
      <c r="ADO21" s="13">
        <v>762061.59400000004</v>
      </c>
      <c r="ADP21" s="13">
        <v>762559.98800000001</v>
      </c>
      <c r="ADQ21" s="13">
        <v>762883.39599999995</v>
      </c>
      <c r="ADR21" s="13">
        <v>763111.978</v>
      </c>
      <c r="ADS21" s="13">
        <v>763508.07299999997</v>
      </c>
      <c r="ADT21" s="13">
        <v>763880.23600000003</v>
      </c>
      <c r="ADU21" s="13">
        <v>764388.15700000001</v>
      </c>
      <c r="ADV21" s="13">
        <v>764806.402</v>
      </c>
      <c r="ADW21" s="13">
        <v>765208.74100000004</v>
      </c>
      <c r="ADX21" s="13">
        <v>765533.43700000003</v>
      </c>
      <c r="ADY21" s="13">
        <v>766074.16500000004</v>
      </c>
      <c r="ADZ21" s="13">
        <v>766481.66299999994</v>
      </c>
      <c r="AEA21" s="13">
        <v>766857.33100000001</v>
      </c>
      <c r="AEB21" s="13">
        <v>767309.94299999997</v>
      </c>
      <c r="AEC21" s="13">
        <v>767609.92200000002</v>
      </c>
      <c r="AED21" s="13">
        <v>768149.73199999996</v>
      </c>
      <c r="AEE21" s="13">
        <v>768481.96600000001</v>
      </c>
      <c r="AEF21" s="13">
        <v>768875.55</v>
      </c>
      <c r="AEG21" s="13">
        <v>769232.51500000001</v>
      </c>
      <c r="AEH21" s="13">
        <v>769483.24</v>
      </c>
      <c r="AEI21" s="13">
        <v>769801.48</v>
      </c>
      <c r="AEJ21" s="13">
        <v>770250.41799999995</v>
      </c>
      <c r="AEK21" s="13">
        <v>770600.495</v>
      </c>
      <c r="AEL21" s="13">
        <v>770848.00199999998</v>
      </c>
      <c r="AEM21" s="13">
        <v>771138.51199999999</v>
      </c>
      <c r="AEN21" s="13">
        <v>771615.85</v>
      </c>
      <c r="AEO21" s="126"/>
      <c r="AEP21" s="13">
        <v>771812.81799999997</v>
      </c>
      <c r="AEQ21" s="13">
        <v>772133.22</v>
      </c>
      <c r="AER21" s="13">
        <v>772452.978</v>
      </c>
      <c r="AES21" s="13">
        <v>772854.67299999995</v>
      </c>
      <c r="AET21" s="13">
        <v>773142.39099999995</v>
      </c>
      <c r="AEU21" s="13">
        <v>773561.49600000004</v>
      </c>
      <c r="AEV21" s="13">
        <v>773876.26</v>
      </c>
      <c r="AEW21" s="13">
        <v>774262.89199999999</v>
      </c>
      <c r="AEX21" s="13">
        <v>774658.34699999995</v>
      </c>
      <c r="AEY21" s="13">
        <v>775048.63100000005</v>
      </c>
      <c r="AEZ21" s="13">
        <v>775464.22199999995</v>
      </c>
      <c r="AFA21" s="13">
        <v>775713.44400000002</v>
      </c>
      <c r="AFB21" s="13">
        <v>775991.27</v>
      </c>
      <c r="AFC21" s="13">
        <v>776271.46299999999</v>
      </c>
      <c r="AFD21" s="13">
        <v>776587.13399999996</v>
      </c>
      <c r="AFE21" s="13">
        <v>776967.321</v>
      </c>
      <c r="AFF21" s="13">
        <v>777334.60699999996</v>
      </c>
      <c r="AFG21" s="13">
        <v>777710.799</v>
      </c>
      <c r="AFH21" s="13">
        <v>778167.98199999996</v>
      </c>
      <c r="AFI21" s="13">
        <v>778451.82700000005</v>
      </c>
      <c r="AFJ21" s="13">
        <v>778810.50899999996</v>
      </c>
      <c r="AFK21" s="13">
        <v>779063.81900000002</v>
      </c>
      <c r="AFL21" s="13">
        <v>779429.60100000002</v>
      </c>
      <c r="AFM21" s="13">
        <v>779716.66399999999</v>
      </c>
      <c r="AFN21" s="13">
        <v>780284.58499999996</v>
      </c>
      <c r="AFO21" s="13">
        <v>780625.38500000001</v>
      </c>
      <c r="AFP21" s="13">
        <v>780981.05799999996</v>
      </c>
      <c r="AFQ21" s="13">
        <v>781367.60699999996</v>
      </c>
      <c r="AFR21" s="13">
        <v>781528.66099999996</v>
      </c>
      <c r="AFS21" s="13">
        <v>782087.54799999995</v>
      </c>
      <c r="AFT21" s="13">
        <v>782413.76</v>
      </c>
      <c r="AFU21" s="126"/>
      <c r="AFV21" s="13">
        <v>782840.92799999996</v>
      </c>
      <c r="AFW21" s="13">
        <v>783163.69900000002</v>
      </c>
      <c r="AFX21" s="13">
        <v>783496.92200000002</v>
      </c>
      <c r="AFY21" s="13">
        <v>783793.61899999995</v>
      </c>
      <c r="AFZ21" s="13">
        <v>784135.08799999999</v>
      </c>
      <c r="AGA21" s="13">
        <v>784403.98100000003</v>
      </c>
      <c r="AGB21" s="13">
        <v>784746.67500000005</v>
      </c>
      <c r="AGC21" s="13">
        <v>785053.098</v>
      </c>
      <c r="AGD21" s="13">
        <v>785324.68599999999</v>
      </c>
      <c r="AGE21" s="13">
        <v>785651.97</v>
      </c>
      <c r="AGF21" s="13">
        <v>786053.05500000005</v>
      </c>
      <c r="AGG21" s="13">
        <v>786343.99800000002</v>
      </c>
      <c r="AGH21" s="13">
        <v>786577.80099999998</v>
      </c>
      <c r="AGI21" s="13">
        <v>786897.34299999999</v>
      </c>
      <c r="AGJ21" s="13">
        <v>787244.19499999995</v>
      </c>
      <c r="AGK21" s="13">
        <v>787661.59</v>
      </c>
      <c r="AGL21" s="13">
        <v>787918.76800000004</v>
      </c>
      <c r="AGM21" s="13">
        <v>788209.09199999995</v>
      </c>
      <c r="AGN21" s="13">
        <v>788486.66</v>
      </c>
      <c r="AGO21" s="13">
        <v>788858.46299999999</v>
      </c>
      <c r="AGP21" s="13">
        <v>789258.11199999996</v>
      </c>
      <c r="AGQ21" s="13">
        <v>789638.61300000001</v>
      </c>
      <c r="AGR21" s="13">
        <v>790002.10400000005</v>
      </c>
      <c r="AGS21" s="13">
        <v>790323.70799999998</v>
      </c>
      <c r="AGT21" s="13">
        <v>790736.53599999996</v>
      </c>
      <c r="AGU21" s="13">
        <v>791012.505</v>
      </c>
      <c r="AGV21" s="13">
        <v>791265.30200000003</v>
      </c>
      <c r="AGW21" s="13">
        <v>791631.73300000001</v>
      </c>
      <c r="AGX21" s="13">
        <v>792092.44299999997</v>
      </c>
      <c r="AGY21" s="13">
        <v>792536.34900000005</v>
      </c>
      <c r="AGZ21" s="126"/>
      <c r="AHA21" s="13">
        <v>792795.51500000001</v>
      </c>
      <c r="AHB21" s="13">
        <v>793173.08799999999</v>
      </c>
      <c r="AHC21" s="13">
        <v>793712.79200000002</v>
      </c>
      <c r="AHD21" s="13">
        <v>794047.06900000002</v>
      </c>
      <c r="AHE21" s="13">
        <v>794636.08200000005</v>
      </c>
      <c r="AHF21" s="13">
        <v>794918.69400000002</v>
      </c>
      <c r="AHG21" s="13">
        <v>795214.59299999999</v>
      </c>
      <c r="AHH21" s="13">
        <v>795566.07</v>
      </c>
      <c r="AHI21" s="13">
        <v>795937.37199999997</v>
      </c>
      <c r="AHJ21" s="13">
        <v>796289.82700000005</v>
      </c>
      <c r="AHK21" s="13">
        <v>796515.11899999995</v>
      </c>
      <c r="AHL21" s="13">
        <v>796953.74699999997</v>
      </c>
      <c r="AHM21" s="13">
        <v>797409.76699999999</v>
      </c>
      <c r="AHN21" s="13">
        <v>797681.47900000005</v>
      </c>
      <c r="AHO21" s="13">
        <v>798002.22499999998</v>
      </c>
      <c r="AHP21" s="13">
        <v>798387.68700000003</v>
      </c>
      <c r="AHQ21" s="13">
        <v>798764.21799999999</v>
      </c>
      <c r="AHR21" s="13">
        <v>799054.23400000005</v>
      </c>
      <c r="AHS21" s="13">
        <v>799372.47499999998</v>
      </c>
      <c r="AHT21" s="13">
        <v>799762.63899999997</v>
      </c>
      <c r="AHU21" s="13">
        <v>800153.54</v>
      </c>
      <c r="AHV21" s="13">
        <v>800622.24699999997</v>
      </c>
      <c r="AHW21" s="13">
        <v>801121.46499999997</v>
      </c>
      <c r="AHX21" s="13">
        <v>801438.723</v>
      </c>
      <c r="AHY21" s="13">
        <v>801720.46799999999</v>
      </c>
      <c r="AHZ21" s="13">
        <v>801921.36800000002</v>
      </c>
      <c r="AIA21" s="13">
        <v>802118.38800000004</v>
      </c>
      <c r="AIB21" s="13">
        <v>802289.66899999999</v>
      </c>
      <c r="AIC21" s="13">
        <v>802547.44</v>
      </c>
      <c r="AID21" s="13">
        <v>802917.87199999997</v>
      </c>
      <c r="AIE21" s="13">
        <v>803298.53599999996</v>
      </c>
      <c r="AIF21" s="126"/>
      <c r="AIG21" s="13">
        <v>803587.67799999996</v>
      </c>
      <c r="AIH21" s="13">
        <v>803873.772</v>
      </c>
      <c r="AII21" s="13">
        <v>804228.63</v>
      </c>
      <c r="AIJ21" s="13">
        <v>804396.03</v>
      </c>
      <c r="AIK21" s="13">
        <v>804671.88300000003</v>
      </c>
      <c r="AIL21" s="13">
        <v>805077.38100000005</v>
      </c>
      <c r="AIM21" s="13">
        <v>805320.15500000003</v>
      </c>
      <c r="AIN21" s="13">
        <v>805670.32799999998</v>
      </c>
      <c r="AIO21" s="13">
        <v>806034.01300000004</v>
      </c>
      <c r="AIP21" s="13">
        <v>806475.22900000005</v>
      </c>
      <c r="AIQ21" s="13">
        <v>806654.12899999996</v>
      </c>
      <c r="AIR21" s="13">
        <v>806865.41899999999</v>
      </c>
      <c r="AIS21" s="13">
        <v>807134.29799999995</v>
      </c>
      <c r="AIT21" s="13">
        <v>807369.98400000005</v>
      </c>
      <c r="AIU21" s="13">
        <v>807506.522</v>
      </c>
      <c r="AIV21" s="13">
        <v>807611.96900000004</v>
      </c>
      <c r="AIW21" s="13">
        <v>807756.13199999998</v>
      </c>
      <c r="AIX21" s="13">
        <v>807946.59100000001</v>
      </c>
      <c r="AIY21" s="13">
        <v>808181.2</v>
      </c>
      <c r="AIZ21" s="13">
        <v>808422.75</v>
      </c>
      <c r="AJA21" s="13">
        <v>808812.076</v>
      </c>
      <c r="AJB21" s="13">
        <v>809057.77099999995</v>
      </c>
      <c r="AJC21" s="13">
        <v>809286.93799999997</v>
      </c>
      <c r="AJD21" s="13">
        <v>809530.45700000005</v>
      </c>
      <c r="AJE21" s="13">
        <v>809688.53799999994</v>
      </c>
      <c r="AJF21" s="13">
        <v>809940.90899999999</v>
      </c>
      <c r="AJG21" s="13">
        <v>810319.01500000001</v>
      </c>
      <c r="AJH21" s="13">
        <v>810619.46400000004</v>
      </c>
      <c r="AJI21" s="13">
        <v>810819.59400000004</v>
      </c>
      <c r="AJJ21" s="13">
        <v>811116.61199999996</v>
      </c>
      <c r="AJK21" s="13">
        <v>811407.97100000002</v>
      </c>
      <c r="AJL21" s="126"/>
      <c r="AJM21" s="13">
        <v>811739.33100000001</v>
      </c>
      <c r="AJN21" s="13">
        <v>812129.15399999998</v>
      </c>
      <c r="AJO21" s="13">
        <v>812391.36699999997</v>
      </c>
      <c r="AJP21" s="13">
        <v>812670.54</v>
      </c>
      <c r="AJQ21" s="13">
        <v>812946.22600000002</v>
      </c>
      <c r="AJR21" s="13">
        <v>813170.39099999995</v>
      </c>
      <c r="AJS21" s="13">
        <v>813414.34100000001</v>
      </c>
      <c r="AJT21" s="13">
        <v>813780.35800000001</v>
      </c>
      <c r="AJU21" s="13">
        <v>814125.87600000005</v>
      </c>
      <c r="AJV21" s="13">
        <v>814515.505</v>
      </c>
      <c r="AJW21" s="13">
        <v>814798.81499999994</v>
      </c>
      <c r="AJX21" s="13">
        <v>815151.92099999997</v>
      </c>
      <c r="AJY21" s="13">
        <v>815511.11100000003</v>
      </c>
      <c r="AJZ21" s="13">
        <v>815789.84199999995</v>
      </c>
      <c r="AKA21" s="13">
        <v>816129.89399999997</v>
      </c>
      <c r="AKB21" s="13">
        <v>816398.28300000005</v>
      </c>
      <c r="AKC21" s="13">
        <v>816652.03</v>
      </c>
      <c r="AKD21" s="13">
        <v>816852.94499999995</v>
      </c>
      <c r="AKE21" s="13">
        <v>817083.85699999996</v>
      </c>
      <c r="AKF21" s="13">
        <v>817518.05299999996</v>
      </c>
      <c r="AKG21" s="13">
        <v>817701.34100000001</v>
      </c>
      <c r="AKH21" s="13">
        <v>817878.97600000002</v>
      </c>
      <c r="AKI21" s="13">
        <v>818196.451</v>
      </c>
      <c r="AKJ21" s="13">
        <v>818575.86300000001</v>
      </c>
      <c r="AKK21" s="13">
        <v>818838.09299999999</v>
      </c>
      <c r="AKL21" s="13">
        <v>819096.83799999999</v>
      </c>
      <c r="AKM21" s="13">
        <v>819347.30500000005</v>
      </c>
      <c r="AKN21" s="13">
        <v>819763.255</v>
      </c>
      <c r="AKO21" s="126"/>
      <c r="AKP21" s="13">
        <v>820087.87800000003</v>
      </c>
      <c r="AKQ21" s="13">
        <v>820463.80900000001</v>
      </c>
      <c r="AKR21" s="13">
        <v>820823.43200000003</v>
      </c>
      <c r="AKS21" s="13">
        <v>821050.86499999999</v>
      </c>
      <c r="AKT21" s="13">
        <v>821365.24899999995</v>
      </c>
      <c r="AKU21" s="13">
        <v>821621.353</v>
      </c>
      <c r="AKV21" s="13">
        <v>822562.576</v>
      </c>
      <c r="AKW21" s="13">
        <v>822879.73899999994</v>
      </c>
      <c r="AKX21" s="13">
        <v>823058.24399999995</v>
      </c>
      <c r="AKY21" s="13">
        <v>823311.33400000003</v>
      </c>
      <c r="AKZ21" s="13">
        <v>823565.924</v>
      </c>
      <c r="ALA21" s="13">
        <v>823879.94099999999</v>
      </c>
      <c r="ALB21" s="13">
        <v>824176.65700000001</v>
      </c>
      <c r="ALC21" s="13">
        <v>824624.701</v>
      </c>
      <c r="ALD21" s="13">
        <v>825113.18900000001</v>
      </c>
      <c r="ALE21" s="13">
        <v>825428.58299999998</v>
      </c>
      <c r="ALF21" s="13">
        <v>825812.75300000003</v>
      </c>
      <c r="ALG21" s="13">
        <v>826134.09100000001</v>
      </c>
      <c r="ALH21" s="13">
        <v>826516.48400000005</v>
      </c>
      <c r="ALI21" s="13">
        <v>826808.43599999999</v>
      </c>
      <c r="ALJ21" s="13">
        <v>827196.97199999995</v>
      </c>
      <c r="ALK21" s="13">
        <v>827630.88</v>
      </c>
      <c r="ALL21" s="13">
        <v>828064.97499999998</v>
      </c>
      <c r="ALM21" s="13">
        <v>828330.17500000005</v>
      </c>
      <c r="ALN21" s="13">
        <v>828675.375</v>
      </c>
      <c r="ALO21" s="13">
        <v>829063.375</v>
      </c>
      <c r="ALP21" s="13">
        <v>829469.97499999998</v>
      </c>
      <c r="ALQ21" s="13">
        <v>829812.48699999996</v>
      </c>
      <c r="ALR21" s="13">
        <v>830160.88699999999</v>
      </c>
      <c r="ALS21" s="13">
        <v>830590.08700000006</v>
      </c>
      <c r="ALT21" s="13">
        <v>830865.20600000001</v>
      </c>
      <c r="ALU21" s="126"/>
      <c r="ALV21" s="13">
        <v>831263.04200000002</v>
      </c>
      <c r="ALW21" s="13">
        <v>831618.31599999999</v>
      </c>
      <c r="ALX21" s="13">
        <v>831974.25199999998</v>
      </c>
      <c r="ALY21" s="13">
        <v>832253.89800000004</v>
      </c>
      <c r="ALZ21" s="13">
        <v>832411.98899999994</v>
      </c>
      <c r="AMA21" s="13">
        <v>832686.59600000002</v>
      </c>
      <c r="AMB21" s="13">
        <v>833029.62899999996</v>
      </c>
      <c r="AMC21" s="13">
        <v>833399.59900000005</v>
      </c>
      <c r="AMD21" s="13">
        <v>833853.83200000005</v>
      </c>
      <c r="AME21" s="13">
        <v>834182.61800000002</v>
      </c>
      <c r="AMF21" s="13">
        <v>834730.28399999999</v>
      </c>
      <c r="AMG21" s="13">
        <v>835103.255</v>
      </c>
      <c r="AMH21" s="13">
        <v>835457.36300000001</v>
      </c>
      <c r="AMI21" s="13">
        <v>835735.13</v>
      </c>
      <c r="AMJ21" s="13">
        <v>836205.26199999999</v>
      </c>
      <c r="AMK21" s="13">
        <v>836753.027</v>
      </c>
      <c r="AML21" s="13">
        <v>836953.43700000003</v>
      </c>
      <c r="AMM21" s="13">
        <v>837292.11899999995</v>
      </c>
      <c r="AMN21" s="13">
        <v>837678.28799999994</v>
      </c>
      <c r="AMO21" s="13">
        <v>837932.12300000002</v>
      </c>
      <c r="AMP21" s="13">
        <v>838185.86399999994</v>
      </c>
      <c r="AMQ21" s="13">
        <v>838657.09600000002</v>
      </c>
      <c r="AMR21" s="13">
        <v>838991.03799999994</v>
      </c>
      <c r="AMS21" s="13">
        <v>839366.45200000005</v>
      </c>
      <c r="AMT21" s="13">
        <v>839930.54099999997</v>
      </c>
      <c r="AMU21" s="13">
        <v>840246.62</v>
      </c>
      <c r="AMV21" s="13">
        <v>840687.01100000006</v>
      </c>
      <c r="AMW21" s="13">
        <v>841198.35900000005</v>
      </c>
      <c r="AMX21" s="13">
        <v>841591.89300000004</v>
      </c>
      <c r="AMY21" s="13">
        <v>841937.00600000005</v>
      </c>
      <c r="AMZ21" s="126"/>
      <c r="ANA21" s="13">
        <v>842242.96400000004</v>
      </c>
      <c r="ANB21" s="13">
        <v>842510.69200000004</v>
      </c>
      <c r="ANC21" s="13">
        <v>842654.402</v>
      </c>
      <c r="AND21" s="13">
        <v>842906.47199999995</v>
      </c>
      <c r="ANE21" s="13">
        <v>843015.54599999997</v>
      </c>
      <c r="ANF21" s="13">
        <v>843272.62199999997</v>
      </c>
      <c r="ANG21" s="13">
        <v>843460.91700000002</v>
      </c>
      <c r="ANH21" s="13">
        <v>843642.07</v>
      </c>
      <c r="ANI21" s="13">
        <v>843956.36100000003</v>
      </c>
      <c r="ANJ21" s="13">
        <v>844236.18900000001</v>
      </c>
      <c r="ANK21" s="13">
        <v>844468.36199999996</v>
      </c>
      <c r="ANL21" s="13">
        <v>844668.38500000001</v>
      </c>
      <c r="ANM21" s="13">
        <v>844908.24899999995</v>
      </c>
      <c r="ANN21" s="13">
        <v>845128.52500000002</v>
      </c>
      <c r="ANO21" s="13">
        <v>845375.60900000005</v>
      </c>
      <c r="ANP21" s="13">
        <v>845662.70200000005</v>
      </c>
      <c r="ANQ21" s="13">
        <v>845882.26699999999</v>
      </c>
      <c r="ANR21" s="13">
        <v>846122.61199999996</v>
      </c>
      <c r="ANS21" s="13">
        <v>846499.75199999998</v>
      </c>
      <c r="ANT21" s="13">
        <v>846832.71</v>
      </c>
      <c r="ANU21" s="13">
        <v>847117.80599999998</v>
      </c>
      <c r="ANV21" s="13">
        <v>847654.647</v>
      </c>
      <c r="ANW21" s="13">
        <v>847987.527</v>
      </c>
      <c r="ANX21" s="13">
        <v>848292.83299999998</v>
      </c>
      <c r="ANY21" s="13">
        <v>848565.56799999997</v>
      </c>
      <c r="ANZ21" s="13">
        <v>849066.652</v>
      </c>
      <c r="AOA21" s="13">
        <v>849304.10400000005</v>
      </c>
      <c r="AOB21" s="13">
        <v>849638.30900000001</v>
      </c>
      <c r="AOC21" s="13">
        <v>850051.70200000005</v>
      </c>
      <c r="AOD21" s="13">
        <v>850335.53099999996</v>
      </c>
    </row>
    <row r="22" spans="1:1072" x14ac:dyDescent="0.2">
      <c r="A22" s="157"/>
      <c r="B22" s="160"/>
      <c r="C22" s="6" t="s">
        <v>770</v>
      </c>
      <c r="D22" s="16">
        <f t="shared" ref="D22:AH22" si="383">D21-D20</f>
        <v>380.58299999998417</v>
      </c>
      <c r="E22" s="16">
        <f t="shared" si="383"/>
        <v>471.08400000003166</v>
      </c>
      <c r="F22" s="16">
        <f t="shared" si="383"/>
        <v>367.74599999998463</v>
      </c>
      <c r="G22" s="16">
        <f t="shared" si="383"/>
        <v>436.55999999999767</v>
      </c>
      <c r="H22" s="16">
        <f t="shared" si="383"/>
        <v>408.69699999998556</v>
      </c>
      <c r="I22" s="16">
        <f t="shared" si="383"/>
        <v>181.02799999999115</v>
      </c>
      <c r="J22" s="16">
        <f t="shared" si="383"/>
        <v>332.81400000001304</v>
      </c>
      <c r="K22" s="16">
        <f t="shared" si="383"/>
        <v>253.53299999999581</v>
      </c>
      <c r="L22" s="16">
        <f t="shared" si="383"/>
        <v>250.83800000004703</v>
      </c>
      <c r="M22" s="16">
        <f t="shared" si="383"/>
        <v>350.91199999995297</v>
      </c>
      <c r="N22" s="16">
        <f t="shared" si="383"/>
        <v>469.10800000000745</v>
      </c>
      <c r="O22" s="16">
        <f t="shared" si="383"/>
        <v>286.26500000001397</v>
      </c>
      <c r="P22" s="16">
        <f t="shared" si="383"/>
        <v>300.18599999998696</v>
      </c>
      <c r="Q22" s="16">
        <f t="shared" si="383"/>
        <v>373.00400000001537</v>
      </c>
      <c r="R22" s="16">
        <f t="shared" si="383"/>
        <v>259.24300000001676</v>
      </c>
      <c r="S22" s="16">
        <f t="shared" si="383"/>
        <v>295.59200000000419</v>
      </c>
      <c r="T22" s="16">
        <f t="shared" si="383"/>
        <v>608.49199999996927</v>
      </c>
      <c r="U22" s="16">
        <f t="shared" si="383"/>
        <v>249.64500000001863</v>
      </c>
      <c r="V22" s="16">
        <f t="shared" si="383"/>
        <v>254.81400000001304</v>
      </c>
      <c r="W22" s="16">
        <f t="shared" si="383"/>
        <v>533.33099999994738</v>
      </c>
      <c r="X22" s="16">
        <f t="shared" si="383"/>
        <v>379.60100000002421</v>
      </c>
      <c r="Y22" s="16">
        <f t="shared" si="383"/>
        <v>215.88500000000931</v>
      </c>
      <c r="Z22" s="16">
        <f t="shared" si="383"/>
        <v>266.36300000001211</v>
      </c>
      <c r="AA22" s="16">
        <f t="shared" si="383"/>
        <v>342.78099999995902</v>
      </c>
      <c r="AB22" s="16">
        <f t="shared" si="383"/>
        <v>460.94800000003306</v>
      </c>
      <c r="AC22" s="16">
        <f t="shared" si="383"/>
        <v>335.04399999999441</v>
      </c>
      <c r="AD22" s="16">
        <f t="shared" si="383"/>
        <v>436.1140000000014</v>
      </c>
      <c r="AE22" s="16">
        <f t="shared" si="383"/>
        <v>516.8289999999688</v>
      </c>
      <c r="AF22" s="16">
        <f t="shared" si="383"/>
        <v>595.15000000002328</v>
      </c>
      <c r="AG22" s="16">
        <f t="shared" si="383"/>
        <v>308.73200000001816</v>
      </c>
      <c r="AH22" s="16">
        <f t="shared" si="383"/>
        <v>435.81099999998696</v>
      </c>
      <c r="AI22" s="17">
        <f>SUM(D22:AH22)</f>
        <v>11356.733000000007</v>
      </c>
      <c r="AJ22" s="16">
        <f t="shared" ref="AJ22:BM22" si="384">AJ21-AJ20</f>
        <v>392.52399999997579</v>
      </c>
      <c r="AK22" s="16">
        <f t="shared" si="384"/>
        <v>466.82600000000093</v>
      </c>
      <c r="AL22" s="16">
        <f t="shared" si="384"/>
        <v>426.43700000003446</v>
      </c>
      <c r="AM22" s="16">
        <f t="shared" si="384"/>
        <v>665.23099999997066</v>
      </c>
      <c r="AN22" s="16">
        <f t="shared" si="384"/>
        <v>525.71700000000419</v>
      </c>
      <c r="AO22" s="16">
        <f t="shared" si="384"/>
        <v>953.72100000001956</v>
      </c>
      <c r="AP22" s="16">
        <f t="shared" si="384"/>
        <v>688.46700000000419</v>
      </c>
      <c r="AQ22" s="16">
        <f t="shared" si="384"/>
        <v>860.9539999999688</v>
      </c>
      <c r="AR22" s="16">
        <f t="shared" si="384"/>
        <v>490.49200000002747</v>
      </c>
      <c r="AS22" s="16">
        <f t="shared" si="384"/>
        <v>304.1809999999823</v>
      </c>
      <c r="AT22" s="16">
        <f t="shared" si="384"/>
        <v>541.20799999998417</v>
      </c>
      <c r="AU22" s="16">
        <f t="shared" si="384"/>
        <v>385.71500000002561</v>
      </c>
      <c r="AV22" s="16">
        <f t="shared" si="384"/>
        <v>360.85300000000279</v>
      </c>
      <c r="AW22" s="16">
        <f t="shared" si="384"/>
        <v>354.0679999999702</v>
      </c>
      <c r="AX22" s="16">
        <f t="shared" si="384"/>
        <v>337.95900000003166</v>
      </c>
      <c r="AY22" s="16">
        <f t="shared" si="384"/>
        <v>362.92900000000373</v>
      </c>
      <c r="AZ22" s="16">
        <f t="shared" si="384"/>
        <v>440.18799999996554</v>
      </c>
      <c r="BA22" s="16">
        <f t="shared" si="384"/>
        <v>619.7270000000135</v>
      </c>
      <c r="BB22" s="16">
        <f t="shared" si="384"/>
        <v>441</v>
      </c>
      <c r="BC22" s="16">
        <f t="shared" si="384"/>
        <v>407.0350000000326</v>
      </c>
      <c r="BD22" s="16">
        <f t="shared" si="384"/>
        <v>309.57099999999627</v>
      </c>
      <c r="BE22" s="16">
        <f t="shared" si="384"/>
        <v>479.47399999998743</v>
      </c>
      <c r="BF22" s="16">
        <f t="shared" si="384"/>
        <v>635.90000000002328</v>
      </c>
      <c r="BG22" s="16">
        <f t="shared" si="384"/>
        <v>367.94799999997485</v>
      </c>
      <c r="BH22" s="16">
        <f t="shared" si="384"/>
        <v>359.57500000001164</v>
      </c>
      <c r="BI22" s="16">
        <f t="shared" si="384"/>
        <v>350.99799999996321</v>
      </c>
      <c r="BJ22" s="16">
        <f t="shared" si="384"/>
        <v>564.8760000000475</v>
      </c>
      <c r="BK22" s="16">
        <f t="shared" si="384"/>
        <v>605.08699999999953</v>
      </c>
      <c r="BL22" s="16">
        <f t="shared" si="384"/>
        <v>649.86599999997998</v>
      </c>
      <c r="BM22" s="16">
        <f t="shared" si="384"/>
        <v>382.49599999998463</v>
      </c>
      <c r="BN22" s="89">
        <f>SUM(AJ22:BM22)</f>
        <v>14731.022999999986</v>
      </c>
      <c r="BO22" s="16">
        <f t="shared" ref="BO22:CS22" si="385">BO21-BO20</f>
        <v>363.12300000002142</v>
      </c>
      <c r="BP22" s="16">
        <f t="shared" si="385"/>
        <v>420.79599999997299</v>
      </c>
      <c r="BQ22" s="16">
        <f t="shared" si="385"/>
        <v>448.87100000004284</v>
      </c>
      <c r="BR22" s="16">
        <f t="shared" si="385"/>
        <v>445.37199999997392</v>
      </c>
      <c r="BS22" s="16">
        <f t="shared" si="385"/>
        <v>869.89199999999255</v>
      </c>
      <c r="BT22" s="16">
        <f t="shared" si="385"/>
        <v>525.78200000000652</v>
      </c>
      <c r="BU22" s="16">
        <f t="shared" si="385"/>
        <v>493.30499999999302</v>
      </c>
      <c r="BV22" s="16">
        <f t="shared" si="385"/>
        <v>304.00900000002002</v>
      </c>
      <c r="BW22" s="16">
        <f t="shared" si="385"/>
        <v>724.62199999997392</v>
      </c>
      <c r="BX22" s="16">
        <f t="shared" si="385"/>
        <v>446.12900000001537</v>
      </c>
      <c r="BY22" s="16">
        <f t="shared" si="385"/>
        <v>322.6020000000135</v>
      </c>
      <c r="BZ22" s="16">
        <f t="shared" si="385"/>
        <v>316.1359999999986</v>
      </c>
      <c r="CA22" s="16">
        <f t="shared" si="385"/>
        <v>413.70799999998417</v>
      </c>
      <c r="CB22" s="16">
        <f t="shared" si="385"/>
        <v>323.20699999999488</v>
      </c>
      <c r="CC22" s="16">
        <f t="shared" si="385"/>
        <v>352.60000000003492</v>
      </c>
      <c r="CD22" s="16">
        <f t="shared" si="385"/>
        <v>395.3399999999674</v>
      </c>
      <c r="CE22" s="16">
        <f t="shared" si="385"/>
        <v>343.65000000002328</v>
      </c>
      <c r="CF22" s="16">
        <f t="shared" si="385"/>
        <v>540.19999999995343</v>
      </c>
      <c r="CG22" s="16">
        <f t="shared" si="385"/>
        <v>243.21199999999953</v>
      </c>
      <c r="CH22" s="16">
        <f t="shared" si="385"/>
        <v>501.6710000000312</v>
      </c>
      <c r="CI22" s="16">
        <f t="shared" si="385"/>
        <v>293.92200000002049</v>
      </c>
      <c r="CJ22" s="16">
        <f t="shared" si="385"/>
        <v>281.39299999998184</v>
      </c>
      <c r="CK22" s="16">
        <f t="shared" si="385"/>
        <v>351.32699999999022</v>
      </c>
      <c r="CL22" s="16">
        <f t="shared" si="385"/>
        <v>492.29800000000978</v>
      </c>
      <c r="CM22" s="16">
        <f t="shared" si="385"/>
        <v>213.21999999997206</v>
      </c>
      <c r="CN22" s="16">
        <f t="shared" si="385"/>
        <v>307.4550000000163</v>
      </c>
      <c r="CO22" s="16">
        <f t="shared" si="385"/>
        <v>360.38799999997718</v>
      </c>
      <c r="CP22" s="16">
        <f t="shared" si="385"/>
        <v>457.96000000002095</v>
      </c>
      <c r="CQ22" s="16">
        <f t="shared" si="385"/>
        <v>325.63800000003539</v>
      </c>
      <c r="CR22" s="16">
        <f t="shared" si="385"/>
        <v>365.44999999995343</v>
      </c>
      <c r="CS22" s="16">
        <f t="shared" si="385"/>
        <v>345.83300000004238</v>
      </c>
      <c r="CT22" s="89">
        <f>SUM(BO22:CS22)</f>
        <v>12589.111000000034</v>
      </c>
      <c r="CU22" s="16">
        <f t="shared" ref="CU22:DX22" si="386">CU21-CU20</f>
        <v>357.32999999995809</v>
      </c>
      <c r="CV22" s="16">
        <f t="shared" si="386"/>
        <v>407.26900000002934</v>
      </c>
      <c r="CW22" s="16">
        <f t="shared" si="386"/>
        <v>366.46299999998882</v>
      </c>
      <c r="CX22" s="16">
        <f t="shared" si="386"/>
        <v>397.34799999999814</v>
      </c>
      <c r="CY22" s="16">
        <f t="shared" si="386"/>
        <v>442.24499999999534</v>
      </c>
      <c r="CZ22" s="16">
        <f t="shared" si="386"/>
        <v>452.38500000000931</v>
      </c>
      <c r="DA22" s="16">
        <f t="shared" si="386"/>
        <v>635.74300000001676</v>
      </c>
      <c r="DB22" s="16">
        <f t="shared" si="386"/>
        <v>280.78200000000652</v>
      </c>
      <c r="DC22" s="16">
        <f t="shared" si="386"/>
        <v>545.98599999997532</v>
      </c>
      <c r="DD22" s="16">
        <f t="shared" si="386"/>
        <v>442.29300000000512</v>
      </c>
      <c r="DE22" s="16">
        <f t="shared" si="386"/>
        <v>459.78899999998976</v>
      </c>
      <c r="DF22" s="16">
        <f t="shared" si="386"/>
        <v>205.33699999999953</v>
      </c>
      <c r="DG22" s="16">
        <f t="shared" si="386"/>
        <v>181.02399999997579</v>
      </c>
      <c r="DH22" s="16">
        <f t="shared" si="386"/>
        <v>394.62400000001071</v>
      </c>
      <c r="DI22" s="16">
        <f t="shared" si="386"/>
        <v>315.67800000001444</v>
      </c>
      <c r="DJ22" s="16">
        <f t="shared" si="386"/>
        <v>251.50099999998929</v>
      </c>
      <c r="DK22" s="16">
        <f t="shared" si="386"/>
        <v>967.81599999999162</v>
      </c>
      <c r="DL22" s="16">
        <f t="shared" si="386"/>
        <v>297.37700000003679</v>
      </c>
      <c r="DM22" s="16">
        <f t="shared" si="386"/>
        <v>199.22299999999814</v>
      </c>
      <c r="DN22" s="16">
        <f t="shared" si="386"/>
        <v>520.57199999998556</v>
      </c>
      <c r="DO22" s="16">
        <f t="shared" si="386"/>
        <v>324.62599999998929</v>
      </c>
      <c r="DP22" s="16">
        <f t="shared" si="386"/>
        <v>551.88000000000466</v>
      </c>
      <c r="DQ22" s="16">
        <f t="shared" si="386"/>
        <v>457.93599999998696</v>
      </c>
      <c r="DR22" s="16">
        <f t="shared" si="386"/>
        <v>427.84200000000419</v>
      </c>
      <c r="DS22" s="16">
        <f t="shared" si="386"/>
        <v>310.56700000003912</v>
      </c>
      <c r="DT22" s="16">
        <f t="shared" si="386"/>
        <v>367.32099999999627</v>
      </c>
      <c r="DU22" s="16">
        <f t="shared" si="386"/>
        <v>321.60099999996601</v>
      </c>
      <c r="DV22" s="16">
        <f t="shared" si="386"/>
        <v>516.5109999999986</v>
      </c>
      <c r="DW22" s="16">
        <f t="shared" si="386"/>
        <v>348.89699999999721</v>
      </c>
      <c r="DX22" s="16">
        <f t="shared" si="386"/>
        <v>373.61499999999069</v>
      </c>
      <c r="DY22" s="116">
        <f>SUM(CU22:DX22)</f>
        <v>12121.580999999947</v>
      </c>
      <c r="DZ22" s="16">
        <f t="shared" ref="DZ22:FD22" si="387">DZ21-DZ20</f>
        <v>324.2390000000014</v>
      </c>
      <c r="EA22" s="16">
        <f t="shared" si="387"/>
        <v>530.05900000000838</v>
      </c>
      <c r="EB22" s="16">
        <f t="shared" si="387"/>
        <v>280.9550000000163</v>
      </c>
      <c r="EC22" s="16">
        <f t="shared" si="387"/>
        <v>475.76199999998789</v>
      </c>
      <c r="ED22" s="16">
        <f t="shared" si="387"/>
        <v>381.37599999998929</v>
      </c>
      <c r="EE22" s="16">
        <f t="shared" si="387"/>
        <v>365.4210000000312</v>
      </c>
      <c r="EF22" s="16">
        <f t="shared" si="387"/>
        <v>420.2949999999837</v>
      </c>
      <c r="EG22" s="16">
        <f t="shared" si="387"/>
        <v>464.91500000003725</v>
      </c>
      <c r="EH22" s="16">
        <f t="shared" si="387"/>
        <v>431.38999999995576</v>
      </c>
      <c r="EI22" s="16">
        <f t="shared" si="387"/>
        <v>490.89500000001863</v>
      </c>
      <c r="EJ22" s="16">
        <f t="shared" si="387"/>
        <v>453.7729999999865</v>
      </c>
      <c r="EK22" s="16">
        <f t="shared" si="387"/>
        <v>813.61800000001676</v>
      </c>
      <c r="EL22" s="16">
        <f t="shared" si="387"/>
        <v>535.85700000001816</v>
      </c>
      <c r="EM22" s="16">
        <f t="shared" si="387"/>
        <v>585.8519999999553</v>
      </c>
      <c r="EN22" s="16">
        <f t="shared" si="387"/>
        <v>856.15000000002328</v>
      </c>
      <c r="EO22" s="16">
        <f t="shared" si="387"/>
        <v>521.00099999998929</v>
      </c>
      <c r="EP22" s="16">
        <f t="shared" si="387"/>
        <v>493.16399999998976</v>
      </c>
      <c r="EQ22" s="16">
        <f t="shared" si="387"/>
        <v>425.80400000000373</v>
      </c>
      <c r="ER22" s="16">
        <f t="shared" si="387"/>
        <v>478.01600000000326</v>
      </c>
      <c r="ES22" s="16">
        <f t="shared" si="387"/>
        <v>564.7850000000326</v>
      </c>
      <c r="ET22" s="16">
        <f t="shared" si="387"/>
        <v>987.57099999999627</v>
      </c>
      <c r="EU22" s="16">
        <f t="shared" si="387"/>
        <v>785.61300000001211</v>
      </c>
      <c r="EV22" s="16">
        <f t="shared" si="387"/>
        <v>678.48199999995995</v>
      </c>
      <c r="EW22" s="16">
        <f t="shared" si="387"/>
        <v>446.32199999998556</v>
      </c>
      <c r="EX22" s="16">
        <f t="shared" si="387"/>
        <v>177.89600000000792</v>
      </c>
      <c r="EY22" s="16">
        <f t="shared" si="387"/>
        <v>289.65900000004331</v>
      </c>
      <c r="EZ22" s="16">
        <f t="shared" si="387"/>
        <v>433.29999999998836</v>
      </c>
      <c r="FA22" s="16">
        <f t="shared" si="387"/>
        <v>260.79200000001583</v>
      </c>
      <c r="FB22" s="16">
        <f t="shared" si="387"/>
        <v>399.50599999999395</v>
      </c>
      <c r="FC22" s="16">
        <f t="shared" si="387"/>
        <v>464.3640000000014</v>
      </c>
      <c r="FD22" s="16">
        <f t="shared" si="387"/>
        <v>321.38899999996647</v>
      </c>
      <c r="FE22" s="127">
        <f>SUM(DZ22:FD22)</f>
        <v>15138.22100000002</v>
      </c>
      <c r="FF22" s="16">
        <f t="shared" ref="FF22:GJ22" si="388">FF21-FF20</f>
        <v>326.24900000001071</v>
      </c>
      <c r="FG22" s="16">
        <f t="shared" si="388"/>
        <v>348.21500000002561</v>
      </c>
      <c r="FH22" s="16">
        <f t="shared" si="388"/>
        <v>490.59799999999814</v>
      </c>
      <c r="FI22" s="16">
        <f t="shared" si="388"/>
        <v>394.54799999995157</v>
      </c>
      <c r="FJ22" s="16">
        <f t="shared" si="388"/>
        <v>481.8190000000177</v>
      </c>
      <c r="FK22" s="16">
        <f t="shared" si="388"/>
        <v>542.83899999997811</v>
      </c>
      <c r="FL22" s="16">
        <f t="shared" si="388"/>
        <v>398.45300000003772</v>
      </c>
      <c r="FM22" s="16">
        <f t="shared" si="388"/>
        <v>416.82399999996414</v>
      </c>
      <c r="FN22" s="16">
        <f t="shared" si="388"/>
        <v>427.29100000002654</v>
      </c>
      <c r="FO22" s="16">
        <f t="shared" si="388"/>
        <v>354.71799999999348</v>
      </c>
      <c r="FP22" s="16">
        <f t="shared" si="388"/>
        <v>391.51400000002468</v>
      </c>
      <c r="FQ22" s="16">
        <f t="shared" si="388"/>
        <v>724.19899999996414</v>
      </c>
      <c r="FR22" s="16">
        <f t="shared" si="388"/>
        <v>319.14900000003399</v>
      </c>
      <c r="FS22" s="16">
        <f t="shared" si="388"/>
        <v>592.95299999997951</v>
      </c>
      <c r="FT22" s="16">
        <f t="shared" si="388"/>
        <v>745.32900000002701</v>
      </c>
      <c r="FU22" s="16">
        <f t="shared" si="388"/>
        <v>435.73199999995995</v>
      </c>
      <c r="FV22" s="16">
        <f t="shared" si="388"/>
        <v>586.13200000004144</v>
      </c>
      <c r="FW22" s="16">
        <f t="shared" si="388"/>
        <v>477.69199999998091</v>
      </c>
      <c r="FX22" s="16">
        <f t="shared" si="388"/>
        <v>318.20600000000559</v>
      </c>
      <c r="FY22" s="16">
        <f t="shared" si="388"/>
        <v>406.97499999997672</v>
      </c>
      <c r="FZ22" s="16">
        <f t="shared" si="388"/>
        <v>490.93800000002375</v>
      </c>
      <c r="GA22" s="16">
        <f t="shared" si="388"/>
        <v>723.89499999996042</v>
      </c>
      <c r="GB22" s="16">
        <f t="shared" si="388"/>
        <v>729.51400000002468</v>
      </c>
      <c r="GC22" s="16">
        <f t="shared" si="388"/>
        <v>416.95299999997951</v>
      </c>
      <c r="GD22" s="16">
        <f t="shared" si="388"/>
        <v>308.00600000005215</v>
      </c>
      <c r="GE22" s="16">
        <f t="shared" si="388"/>
        <v>335.23099999997066</v>
      </c>
      <c r="GF22" s="16">
        <f t="shared" si="388"/>
        <v>598.52100000000792</v>
      </c>
      <c r="GG22" s="16">
        <f t="shared" si="388"/>
        <v>701.19500000000698</v>
      </c>
      <c r="GH22" s="16">
        <f t="shared" si="388"/>
        <v>568.35499999998137</v>
      </c>
      <c r="GI22" s="16">
        <f t="shared" si="388"/>
        <v>685.25800000003073</v>
      </c>
      <c r="GJ22" s="16">
        <f t="shared" si="388"/>
        <v>316.86799999995856</v>
      </c>
      <c r="GK22" s="126"/>
      <c r="GL22" s="16">
        <f t="shared" ref="GL22:HN22" si="389">GL21-GL20</f>
        <v>539.45100000000093</v>
      </c>
      <c r="GM22" s="16">
        <f t="shared" si="389"/>
        <v>761.65400000003865</v>
      </c>
      <c r="GN22" s="16">
        <f t="shared" si="389"/>
        <v>421.94699999998556</v>
      </c>
      <c r="GO22" s="16">
        <f t="shared" si="389"/>
        <v>340.24900000001071</v>
      </c>
      <c r="GP22" s="16">
        <f t="shared" si="389"/>
        <v>440.05999999999767</v>
      </c>
      <c r="GQ22" s="16">
        <f t="shared" si="389"/>
        <v>435.78999999997905</v>
      </c>
      <c r="GR22" s="16">
        <f t="shared" si="389"/>
        <v>523.89000000001397</v>
      </c>
      <c r="GS22" s="16">
        <f t="shared" si="389"/>
        <v>434.10899999999674</v>
      </c>
      <c r="GT22" s="16">
        <f t="shared" si="389"/>
        <v>383.9199999999837</v>
      </c>
      <c r="GU22" s="16">
        <f t="shared" si="389"/>
        <v>783.88400000002002</v>
      </c>
      <c r="GV22" s="16">
        <f t="shared" si="389"/>
        <v>461.10800000000745</v>
      </c>
      <c r="GW22" s="16">
        <f t="shared" si="389"/>
        <v>411.92199999996228</v>
      </c>
      <c r="GX22" s="16">
        <f t="shared" si="389"/>
        <v>313.37300000002142</v>
      </c>
      <c r="GY22" s="16">
        <f t="shared" si="389"/>
        <v>654.16300000000047</v>
      </c>
      <c r="GZ22" s="16">
        <f t="shared" si="389"/>
        <v>350.28100000001723</v>
      </c>
      <c r="HA22" s="16">
        <f t="shared" si="389"/>
        <v>420.35399999999208</v>
      </c>
      <c r="HB22" s="16">
        <f t="shared" si="389"/>
        <v>334.3520000000135</v>
      </c>
      <c r="HC22" s="16">
        <f t="shared" si="389"/>
        <v>402.36999999999534</v>
      </c>
      <c r="HD22" s="16">
        <f t="shared" si="389"/>
        <v>656.98099999997066</v>
      </c>
      <c r="HE22" s="16">
        <f t="shared" si="389"/>
        <v>432.18400000000838</v>
      </c>
      <c r="HF22" s="16">
        <f t="shared" si="389"/>
        <v>300.28800000000047</v>
      </c>
      <c r="HG22" s="16">
        <f t="shared" si="389"/>
        <v>394.87199999997392</v>
      </c>
      <c r="HH22" s="16">
        <f t="shared" si="389"/>
        <v>391.30300000001444</v>
      </c>
      <c r="HI22" s="16">
        <f t="shared" si="389"/>
        <v>979.61700000002747</v>
      </c>
      <c r="HJ22" s="16">
        <f t="shared" si="389"/>
        <v>272.74900000001071</v>
      </c>
      <c r="HK22" s="16">
        <f t="shared" si="389"/>
        <v>530.67599999997765</v>
      </c>
      <c r="HL22" s="16">
        <f t="shared" si="389"/>
        <v>287.39299999998184</v>
      </c>
      <c r="HM22" s="16">
        <f t="shared" si="389"/>
        <v>290.48200000001816</v>
      </c>
      <c r="HN22" s="16">
        <f t="shared" si="389"/>
        <v>559.17499999998836</v>
      </c>
      <c r="HO22" s="126"/>
      <c r="HP22" s="16">
        <f t="shared" ref="HP22:IT22" si="390">HP21-HP20</f>
        <v>425.11200000002282</v>
      </c>
      <c r="HQ22" s="16">
        <f t="shared" si="390"/>
        <v>478.25599999999395</v>
      </c>
      <c r="HR22" s="16">
        <f t="shared" si="390"/>
        <v>414.37900000001537</v>
      </c>
      <c r="HS22" s="16">
        <f t="shared" si="390"/>
        <v>773.42499999998836</v>
      </c>
      <c r="HT22" s="16">
        <f t="shared" si="390"/>
        <v>485.42999999999302</v>
      </c>
      <c r="HU22" s="16">
        <f t="shared" si="390"/>
        <v>561.18900000001304</v>
      </c>
      <c r="HV22" s="16">
        <f t="shared" si="390"/>
        <v>707.2379999999539</v>
      </c>
      <c r="HW22" s="16">
        <f t="shared" si="390"/>
        <v>375.84200000000419</v>
      </c>
      <c r="HX22" s="16">
        <f t="shared" si="390"/>
        <v>848.02700000000186</v>
      </c>
      <c r="HY22" s="16">
        <f t="shared" si="390"/>
        <v>446.7510000000475</v>
      </c>
      <c r="HZ22" s="16">
        <f t="shared" si="390"/>
        <v>590.80899999995017</v>
      </c>
      <c r="IA22" s="16">
        <f t="shared" si="390"/>
        <v>394.32600000000093</v>
      </c>
      <c r="IB22" s="16">
        <f t="shared" si="390"/>
        <v>240.59000000002561</v>
      </c>
      <c r="IC22" s="16">
        <f t="shared" si="390"/>
        <v>463.85300000000279</v>
      </c>
      <c r="ID22" s="16">
        <f t="shared" si="390"/>
        <v>375.93699999997625</v>
      </c>
      <c r="IE22" s="16">
        <f t="shared" si="390"/>
        <v>338.3640000000014</v>
      </c>
      <c r="IF22" s="16">
        <f t="shared" si="390"/>
        <v>294.12200000003213</v>
      </c>
      <c r="IG22" s="16">
        <f t="shared" si="390"/>
        <v>536.63999999995576</v>
      </c>
      <c r="IH22" s="16">
        <f t="shared" si="390"/>
        <v>378.5570000000298</v>
      </c>
      <c r="II22" s="16">
        <f t="shared" si="390"/>
        <v>273.31500000000233</v>
      </c>
      <c r="IJ22" s="16">
        <f t="shared" si="390"/>
        <v>271.2949999999837</v>
      </c>
      <c r="IK22" s="16">
        <f t="shared" si="390"/>
        <v>512.85100000002421</v>
      </c>
      <c r="IL22" s="16">
        <f t="shared" si="390"/>
        <v>525.0229999999865</v>
      </c>
      <c r="IM22" s="16">
        <f t="shared" si="390"/>
        <v>284.2609999999986</v>
      </c>
      <c r="IN22" s="16">
        <f t="shared" si="390"/>
        <v>648.76299999997718</v>
      </c>
      <c r="IO22" s="16">
        <f t="shared" si="390"/>
        <v>451.85600000002887</v>
      </c>
      <c r="IP22" s="16">
        <f t="shared" si="390"/>
        <v>522.6940000000177</v>
      </c>
      <c r="IQ22" s="16">
        <f t="shared" si="390"/>
        <v>389.36499999993248</v>
      </c>
      <c r="IR22" s="16">
        <f t="shared" si="390"/>
        <v>842.27100000006612</v>
      </c>
      <c r="IS22" s="16">
        <f t="shared" si="390"/>
        <v>407.86999999999534</v>
      </c>
      <c r="IT22" s="16">
        <f t="shared" si="390"/>
        <v>284.54500000004191</v>
      </c>
      <c r="IU22" s="126"/>
      <c r="IV22" s="16">
        <f t="shared" ref="IV22:JY22" si="391">IV21-IV20</f>
        <v>385.76299999991897</v>
      </c>
      <c r="IW22" s="16">
        <f t="shared" si="391"/>
        <v>571.32900000002701</v>
      </c>
      <c r="IX22" s="16">
        <f t="shared" si="391"/>
        <v>320.64199999999255</v>
      </c>
      <c r="IY22" s="16">
        <f t="shared" si="391"/>
        <v>400.00500000000466</v>
      </c>
      <c r="IZ22" s="16">
        <f t="shared" si="391"/>
        <v>669.02899999998044</v>
      </c>
      <c r="JA22" s="16">
        <f t="shared" si="391"/>
        <v>277.45700000005309</v>
      </c>
      <c r="JB22" s="16">
        <f t="shared" si="391"/>
        <v>310.00899999996182</v>
      </c>
      <c r="JC22" s="16">
        <f t="shared" si="391"/>
        <v>659.32900000002701</v>
      </c>
      <c r="JD22" s="16">
        <f t="shared" si="391"/>
        <v>374.14299999992363</v>
      </c>
      <c r="JE22" s="16">
        <f t="shared" si="391"/>
        <v>496.18700000003446</v>
      </c>
      <c r="JF22" s="16">
        <f t="shared" si="391"/>
        <v>587.71200000005774</v>
      </c>
      <c r="JG22" s="16">
        <f t="shared" si="391"/>
        <v>487.8739999999525</v>
      </c>
      <c r="JH22" s="16">
        <f t="shared" si="391"/>
        <v>854.08700000005774</v>
      </c>
      <c r="JI22" s="16">
        <f t="shared" si="391"/>
        <v>430.25</v>
      </c>
      <c r="JJ22" s="16">
        <f t="shared" si="391"/>
        <v>444.07299999997485</v>
      </c>
      <c r="JK22" s="16">
        <f t="shared" si="391"/>
        <v>421.78999999992084</v>
      </c>
      <c r="JL22" s="16">
        <f t="shared" si="391"/>
        <v>605.04400000011083</v>
      </c>
      <c r="JM22" s="16">
        <f t="shared" si="391"/>
        <v>442.46999999997206</v>
      </c>
      <c r="JN22" s="16">
        <f t="shared" si="391"/>
        <v>542.73399999993853</v>
      </c>
      <c r="JO22" s="16">
        <f t="shared" si="391"/>
        <v>353.07500000006985</v>
      </c>
      <c r="JP22" s="16">
        <f t="shared" si="391"/>
        <v>265.34299999999348</v>
      </c>
      <c r="JQ22" s="16">
        <f t="shared" si="391"/>
        <v>778.00699999998324</v>
      </c>
      <c r="JR22" s="16">
        <f t="shared" si="391"/>
        <v>415.1820000000298</v>
      </c>
      <c r="JS22" s="16">
        <f t="shared" si="391"/>
        <v>289.36699999996927</v>
      </c>
      <c r="JT22" s="16">
        <f t="shared" si="391"/>
        <v>323.01599999994505</v>
      </c>
      <c r="JU22" s="16">
        <f t="shared" si="391"/>
        <v>467.30400000000373</v>
      </c>
      <c r="JV22" s="16">
        <f t="shared" si="391"/>
        <v>349.40100000007078</v>
      </c>
      <c r="JW22" s="16">
        <f t="shared" si="391"/>
        <v>373.57899999991059</v>
      </c>
      <c r="JX22" s="16">
        <f t="shared" si="391"/>
        <v>512.08600000001024</v>
      </c>
      <c r="JY22" s="16">
        <f t="shared" si="391"/>
        <v>305.64100000006147</v>
      </c>
      <c r="JZ22" s="127">
        <f>SUM(IV22:JY22)</f>
        <v>13711.927999999956</v>
      </c>
      <c r="KA22" s="16">
        <f t="shared" ref="KA22:LE22" si="392">KA21-KA20</f>
        <v>284.66299999994226</v>
      </c>
      <c r="KB22" s="16">
        <f t="shared" si="392"/>
        <v>414.90700000000652</v>
      </c>
      <c r="KC22" s="16">
        <f t="shared" si="392"/>
        <v>501.26800000004005</v>
      </c>
      <c r="KD22" s="16">
        <f t="shared" si="392"/>
        <v>371.77099999994971</v>
      </c>
      <c r="KE22" s="16">
        <f t="shared" si="392"/>
        <v>466.17600000009406</v>
      </c>
      <c r="KF22" s="16">
        <f t="shared" si="392"/>
        <v>465.55999999993946</v>
      </c>
      <c r="KG22" s="16">
        <f t="shared" si="392"/>
        <v>500.12300000002142</v>
      </c>
      <c r="KH22" s="16">
        <f t="shared" si="392"/>
        <v>466.87699999997858</v>
      </c>
      <c r="KI22" s="16">
        <f t="shared" si="392"/>
        <v>440.79000000003725</v>
      </c>
      <c r="KJ22" s="16">
        <f t="shared" si="392"/>
        <v>462.28999999992084</v>
      </c>
      <c r="KK22" s="16">
        <f t="shared" si="392"/>
        <v>400.92300000006799</v>
      </c>
      <c r="KL22" s="16">
        <f t="shared" si="392"/>
        <v>233.53000000002794</v>
      </c>
      <c r="KM22" s="16">
        <f t="shared" si="392"/>
        <v>718.27099999994971</v>
      </c>
      <c r="KN22" s="16">
        <f t="shared" si="392"/>
        <v>357.95299999997951</v>
      </c>
      <c r="KO22" s="16">
        <f t="shared" si="392"/>
        <v>380.83500000007916</v>
      </c>
      <c r="KP22" s="16">
        <f t="shared" si="392"/>
        <v>390.44899999990594</v>
      </c>
      <c r="KQ22" s="16">
        <f t="shared" si="392"/>
        <v>389.45200000004843</v>
      </c>
      <c r="KR22" s="16">
        <f t="shared" si="392"/>
        <v>479.50399999995716</v>
      </c>
      <c r="KS22" s="16">
        <f t="shared" si="392"/>
        <v>392.79100000008475</v>
      </c>
      <c r="KT22" s="16">
        <f t="shared" si="392"/>
        <v>528.83199999993667</v>
      </c>
      <c r="KU22" s="16">
        <f t="shared" si="392"/>
        <v>539.8980000000447</v>
      </c>
      <c r="KV22" s="16">
        <f t="shared" si="392"/>
        <v>561.11099999991711</v>
      </c>
      <c r="KW22" s="16">
        <f t="shared" si="392"/>
        <v>612.4440000000177</v>
      </c>
      <c r="KX22" s="16">
        <f t="shared" si="392"/>
        <v>501.9670000000624</v>
      </c>
      <c r="KY22" s="16">
        <f t="shared" si="392"/>
        <v>481.32400000002235</v>
      </c>
      <c r="KZ22" s="16">
        <f t="shared" si="392"/>
        <v>488.7489999999525</v>
      </c>
      <c r="LA22" s="16">
        <f t="shared" si="392"/>
        <v>555.01899999997113</v>
      </c>
      <c r="LB22" s="16">
        <f t="shared" si="392"/>
        <v>635.8059999999823</v>
      </c>
      <c r="LC22" s="16">
        <f t="shared" si="392"/>
        <v>468.17000000004191</v>
      </c>
      <c r="LD22" s="16">
        <f t="shared" si="392"/>
        <v>463.77500000002328</v>
      </c>
      <c r="LE22" s="16">
        <f t="shared" si="392"/>
        <v>486.70400000002701</v>
      </c>
      <c r="LF22" s="127">
        <f>SUM(KA22:LE22)</f>
        <v>14441.93200000003</v>
      </c>
      <c r="LG22" s="16">
        <f t="shared" ref="LG22:MJ22" si="393">LG21-LG20</f>
        <v>488.49699999997392</v>
      </c>
      <c r="LH22" s="16">
        <f t="shared" si="393"/>
        <v>443.46999999997206</v>
      </c>
      <c r="LI22" s="16">
        <f t="shared" si="393"/>
        <v>600.70499999995809</v>
      </c>
      <c r="LJ22" s="16">
        <f t="shared" si="393"/>
        <v>619.1480000000447</v>
      </c>
      <c r="LK22" s="16">
        <f t="shared" si="393"/>
        <v>341.63000000000466</v>
      </c>
      <c r="LL22" s="16">
        <f t="shared" si="393"/>
        <v>486.51699999999255</v>
      </c>
      <c r="LM22" s="16">
        <f t="shared" si="393"/>
        <v>488.95400000002701</v>
      </c>
      <c r="LN22" s="16">
        <f t="shared" si="393"/>
        <v>592.84799999999814</v>
      </c>
      <c r="LO22" s="16">
        <f t="shared" si="393"/>
        <v>364.48699999996461</v>
      </c>
      <c r="LP22" s="16">
        <f t="shared" si="393"/>
        <v>598.7390000000596</v>
      </c>
      <c r="LQ22" s="16">
        <f t="shared" si="393"/>
        <v>593.14000000001397</v>
      </c>
      <c r="LR22" s="16">
        <f t="shared" si="393"/>
        <v>473.09599999990314</v>
      </c>
      <c r="LS22" s="16">
        <f t="shared" si="393"/>
        <v>479.33799999998882</v>
      </c>
      <c r="LT22" s="16">
        <f t="shared" si="393"/>
        <v>452.08000000007451</v>
      </c>
      <c r="LU22" s="16">
        <f t="shared" si="393"/>
        <v>449.56999999994878</v>
      </c>
      <c r="LV22" s="16">
        <f t="shared" si="393"/>
        <v>483.34999999997672</v>
      </c>
      <c r="LW22" s="16">
        <f t="shared" si="393"/>
        <v>425.5570000000298</v>
      </c>
      <c r="LX22" s="16">
        <f t="shared" si="393"/>
        <v>446.5</v>
      </c>
      <c r="LY22" s="16">
        <f t="shared" si="393"/>
        <v>462.38699999998789</v>
      </c>
      <c r="LZ22" s="16">
        <f t="shared" si="393"/>
        <v>824.21200000005774</v>
      </c>
      <c r="MA22" s="16">
        <f t="shared" si="393"/>
        <v>615.12699999997858</v>
      </c>
      <c r="MB22" s="16">
        <f t="shared" si="393"/>
        <v>489.36499999999069</v>
      </c>
      <c r="MC22" s="16">
        <f t="shared" si="393"/>
        <v>334.60300000000279</v>
      </c>
      <c r="MD22" s="16">
        <f t="shared" si="393"/>
        <v>565.23999999999069</v>
      </c>
      <c r="ME22" s="16">
        <f t="shared" si="393"/>
        <v>608.39600000006612</v>
      </c>
      <c r="MF22" s="16">
        <f t="shared" si="393"/>
        <v>386.05099999997765</v>
      </c>
      <c r="MG22" s="16">
        <f t="shared" si="393"/>
        <v>437.13000000000466</v>
      </c>
      <c r="MH22" s="16">
        <f t="shared" si="393"/>
        <v>352.8059999999823</v>
      </c>
      <c r="MI22" s="16">
        <f t="shared" si="393"/>
        <v>339.14199999999255</v>
      </c>
      <c r="MJ22" s="16">
        <f t="shared" si="393"/>
        <v>653.80799999996088</v>
      </c>
      <c r="MK22" s="127">
        <f>SUM(LF22:MJ22)</f>
        <v>29337.824999999953</v>
      </c>
      <c r="ML22" s="16">
        <f t="shared" ref="ML22:NP22" si="394">ML21-ML20</f>
        <v>627.52500000002328</v>
      </c>
      <c r="MM22" s="16">
        <f t="shared" si="394"/>
        <v>836.10800000000745</v>
      </c>
      <c r="MN22" s="16">
        <f t="shared" si="394"/>
        <v>441.7269999999553</v>
      </c>
      <c r="MO22" s="16">
        <f t="shared" si="394"/>
        <v>524.81500000006054</v>
      </c>
      <c r="MP22" s="16">
        <f t="shared" si="394"/>
        <v>543.7850000000326</v>
      </c>
      <c r="MQ22" s="16">
        <f t="shared" si="394"/>
        <v>467.15599999995902</v>
      </c>
      <c r="MR22" s="16">
        <f t="shared" si="394"/>
        <v>601.39300000004005</v>
      </c>
      <c r="MS22" s="16">
        <f t="shared" si="394"/>
        <v>589.81399999989662</v>
      </c>
      <c r="MT22" s="16">
        <f t="shared" si="394"/>
        <v>532.32800000009593</v>
      </c>
      <c r="MU22" s="16">
        <f t="shared" si="394"/>
        <v>358.61300000001211</v>
      </c>
      <c r="MV22" s="16">
        <f t="shared" si="394"/>
        <v>514.50299999990966</v>
      </c>
      <c r="MW22" s="16">
        <f t="shared" si="394"/>
        <v>463.80100000009406</v>
      </c>
      <c r="MX22" s="16">
        <f t="shared" si="394"/>
        <v>552.26899999997113</v>
      </c>
      <c r="MY22" s="16">
        <f t="shared" si="394"/>
        <v>335.90700000000652</v>
      </c>
      <c r="MZ22" s="16">
        <f t="shared" si="394"/>
        <v>467.875</v>
      </c>
      <c r="NA22" s="16">
        <f t="shared" si="394"/>
        <v>600.93199999991339</v>
      </c>
      <c r="NB22" s="16">
        <f t="shared" si="394"/>
        <v>440.0350000000326</v>
      </c>
      <c r="NC22" s="16">
        <f t="shared" si="394"/>
        <v>435.09400000004098</v>
      </c>
      <c r="ND22" s="16">
        <f t="shared" si="394"/>
        <v>495.51199999998789</v>
      </c>
      <c r="NE22" s="16">
        <f t="shared" si="394"/>
        <v>464.85999999998603</v>
      </c>
      <c r="NF22" s="16">
        <f t="shared" si="394"/>
        <v>361.4649999999674</v>
      </c>
      <c r="NG22" s="16">
        <f t="shared" si="394"/>
        <v>378.39100000006147</v>
      </c>
      <c r="NH22" s="16">
        <f t="shared" si="394"/>
        <v>362.14000000001397</v>
      </c>
      <c r="NI22" s="16">
        <f t="shared" si="394"/>
        <v>376.63199999998324</v>
      </c>
      <c r="NJ22" s="16">
        <f t="shared" si="394"/>
        <v>537.58600000001024</v>
      </c>
      <c r="NK22" s="16">
        <f t="shared" si="394"/>
        <v>588.44099999999162</v>
      </c>
      <c r="NL22" s="16">
        <f t="shared" si="394"/>
        <v>281.84499999997206</v>
      </c>
      <c r="NM22" s="16">
        <f t="shared" si="394"/>
        <v>435.67200000002049</v>
      </c>
      <c r="NN22" s="16">
        <f t="shared" si="394"/>
        <v>415.26800000004005</v>
      </c>
      <c r="NO22" s="16">
        <f t="shared" si="394"/>
        <v>463.83199999993667</v>
      </c>
      <c r="NP22" s="16">
        <f t="shared" si="394"/>
        <v>451.5570000000298</v>
      </c>
      <c r="NQ22" s="127">
        <f>SUM(ML22:NP22)</f>
        <v>14946.881000000052</v>
      </c>
      <c r="NR22" s="16">
        <f t="shared" ref="NR22:OV22" si="395">NR21-NR20</f>
        <v>356.0679999999702</v>
      </c>
      <c r="NS22" s="16">
        <f t="shared" si="395"/>
        <v>558.59700000006706</v>
      </c>
      <c r="NT22" s="16">
        <f t="shared" si="395"/>
        <v>370.46199999994133</v>
      </c>
      <c r="NU22" s="16">
        <f t="shared" si="395"/>
        <v>355.61699999996927</v>
      </c>
      <c r="NV22" s="16">
        <f t="shared" si="395"/>
        <v>476.77700000000186</v>
      </c>
      <c r="NW22" s="16">
        <f t="shared" si="395"/>
        <v>493.28800000005867</v>
      </c>
      <c r="NX22" s="16">
        <f t="shared" si="395"/>
        <v>475.29399999999441</v>
      </c>
      <c r="NY22" s="16">
        <f t="shared" si="395"/>
        <v>515.86100000003353</v>
      </c>
      <c r="NZ22" s="16">
        <f t="shared" si="395"/>
        <v>534.07799999997951</v>
      </c>
      <c r="OA22" s="16">
        <f t="shared" si="395"/>
        <v>504.18999999994412</v>
      </c>
      <c r="OB22" s="16">
        <f t="shared" si="395"/>
        <v>449.63899999996647</v>
      </c>
      <c r="OC22" s="16">
        <f t="shared" si="395"/>
        <v>340.42100000008941</v>
      </c>
      <c r="OD22" s="16">
        <f t="shared" si="395"/>
        <v>332.5669999999227</v>
      </c>
      <c r="OE22" s="16">
        <f t="shared" si="395"/>
        <v>409.54300000006333</v>
      </c>
      <c r="OF22" s="16">
        <f t="shared" si="395"/>
        <v>355.22600000002421</v>
      </c>
      <c r="OG22" s="16">
        <f t="shared" si="395"/>
        <v>442.41899999999441</v>
      </c>
      <c r="OH22" s="16">
        <f t="shared" si="395"/>
        <v>355.33499999996275</v>
      </c>
      <c r="OI22" s="16">
        <f t="shared" si="395"/>
        <v>248.66700000001583</v>
      </c>
      <c r="OJ22" s="16">
        <f t="shared" si="395"/>
        <v>433.3399999999674</v>
      </c>
      <c r="OK22" s="16">
        <f t="shared" si="395"/>
        <v>456.42900000000373</v>
      </c>
      <c r="OL22" s="16">
        <f t="shared" si="395"/>
        <v>496.24300000001676</v>
      </c>
      <c r="OM22" s="16">
        <f t="shared" si="395"/>
        <v>714.53799999994226</v>
      </c>
      <c r="ON22" s="16">
        <f t="shared" si="395"/>
        <v>474.20100000000093</v>
      </c>
      <c r="OO22" s="16">
        <f t="shared" si="395"/>
        <v>467.53800000005867</v>
      </c>
      <c r="OP22" s="16">
        <f t="shared" si="395"/>
        <v>249.51300000003539</v>
      </c>
      <c r="OQ22" s="16">
        <f t="shared" si="395"/>
        <v>486.15200000000186</v>
      </c>
      <c r="OR22" s="16">
        <f t="shared" si="395"/>
        <v>456.66499999992084</v>
      </c>
      <c r="OS22" s="16">
        <f t="shared" si="395"/>
        <v>410.07000000006519</v>
      </c>
      <c r="OT22" s="16">
        <f t="shared" si="395"/>
        <v>463.86699999996927</v>
      </c>
      <c r="OU22" s="16">
        <f t="shared" si="395"/>
        <v>635.06299999996554</v>
      </c>
      <c r="OV22" s="16">
        <f t="shared" si="395"/>
        <v>520.43800000008196</v>
      </c>
      <c r="OW22" s="127">
        <f>SUM(NR22:OV22)</f>
        <v>13838.106000000029</v>
      </c>
      <c r="OX22" s="16">
        <f t="shared" ref="OX22:QA22" si="396">OX21-OX20</f>
        <v>461.97800000000279</v>
      </c>
      <c r="OY22" s="16">
        <f t="shared" si="396"/>
        <v>851.3519999999553</v>
      </c>
      <c r="OZ22" s="16">
        <f t="shared" si="396"/>
        <v>565.76599999994505</v>
      </c>
      <c r="PA22" s="16">
        <f t="shared" si="396"/>
        <v>342.62900000007357</v>
      </c>
      <c r="PB22" s="16">
        <f t="shared" si="396"/>
        <v>568.26199999998789</v>
      </c>
      <c r="PC22" s="16">
        <f t="shared" si="396"/>
        <v>661.14699999999721</v>
      </c>
      <c r="PD22" s="16">
        <f t="shared" si="396"/>
        <v>718.29299999994691</v>
      </c>
      <c r="PE22" s="16">
        <f t="shared" si="396"/>
        <v>543.48700000008103</v>
      </c>
      <c r="PF22" s="16">
        <f t="shared" si="396"/>
        <v>515.67699999990873</v>
      </c>
      <c r="PG22" s="16">
        <f t="shared" si="396"/>
        <v>612.79400000011083</v>
      </c>
      <c r="PH22" s="16">
        <f t="shared" si="396"/>
        <v>511.50799999991432</v>
      </c>
      <c r="PI22" s="16">
        <f t="shared" si="396"/>
        <v>366.74100000003818</v>
      </c>
      <c r="PJ22" s="16">
        <f t="shared" si="396"/>
        <v>684.3190000000177</v>
      </c>
      <c r="PK22" s="16">
        <f t="shared" si="396"/>
        <v>483.85899999993853</v>
      </c>
      <c r="PL22" s="16">
        <f t="shared" si="396"/>
        <v>449.75500000000466</v>
      </c>
      <c r="PM22" s="16">
        <f t="shared" si="396"/>
        <v>405.29500000004191</v>
      </c>
      <c r="PN22" s="16">
        <f t="shared" si="396"/>
        <v>385.15700000000652</v>
      </c>
      <c r="PO22" s="16">
        <f t="shared" si="396"/>
        <v>374.63500000000931</v>
      </c>
      <c r="PP22" s="16">
        <f t="shared" si="396"/>
        <v>694.45400000002701</v>
      </c>
      <c r="PQ22" s="16">
        <f t="shared" si="396"/>
        <v>511.60999999998603</v>
      </c>
      <c r="PR22" s="16">
        <f t="shared" si="396"/>
        <v>502.92099999997299</v>
      </c>
      <c r="PS22" s="16">
        <f t="shared" si="396"/>
        <v>316.47800000000279</v>
      </c>
      <c r="PT22" s="16">
        <f t="shared" si="396"/>
        <v>513.11800000001676</v>
      </c>
      <c r="PU22" s="16">
        <f t="shared" si="396"/>
        <v>602.40299999993294</v>
      </c>
      <c r="PV22" s="16">
        <f t="shared" si="396"/>
        <v>285.52100000006612</v>
      </c>
      <c r="PW22" s="16">
        <f t="shared" si="396"/>
        <v>397.46999999997206</v>
      </c>
      <c r="PX22" s="16">
        <f t="shared" si="396"/>
        <v>372.36199999996461</v>
      </c>
      <c r="PY22" s="16">
        <f t="shared" si="396"/>
        <v>451.22700000007171</v>
      </c>
      <c r="PZ22" s="16">
        <f t="shared" si="396"/>
        <v>302.36199999996461</v>
      </c>
      <c r="QA22" s="16">
        <f t="shared" si="396"/>
        <v>432.97400000004563</v>
      </c>
      <c r="QB22" s="127">
        <f>SUM(OX22:QA22)</f>
        <v>14885.554000000004</v>
      </c>
      <c r="QC22" s="16">
        <f t="shared" ref="QC22:RG22" si="397">QC21-QC20</f>
        <v>616.2839999999851</v>
      </c>
      <c r="QD22" s="16">
        <f t="shared" si="397"/>
        <v>497.78200000000652</v>
      </c>
      <c r="QE22" s="16">
        <f t="shared" si="397"/>
        <v>569.125</v>
      </c>
      <c r="QF22" s="16">
        <f t="shared" si="397"/>
        <v>748.11699999996927</v>
      </c>
      <c r="QG22" s="16">
        <f t="shared" si="397"/>
        <v>559.04200000001583</v>
      </c>
      <c r="QH22" s="16">
        <f t="shared" si="397"/>
        <v>319.08699999994133</v>
      </c>
      <c r="QI22" s="16">
        <f t="shared" si="397"/>
        <v>447.44099999999162</v>
      </c>
      <c r="QJ22" s="16">
        <f t="shared" si="397"/>
        <v>469.21100000001024</v>
      </c>
      <c r="QK22" s="16">
        <f t="shared" si="397"/>
        <v>388.87900000007357</v>
      </c>
      <c r="QL22" s="16">
        <f t="shared" si="397"/>
        <v>380.4989999999525</v>
      </c>
      <c r="QM22" s="16">
        <f t="shared" si="397"/>
        <v>432.00399999995716</v>
      </c>
      <c r="QN22" s="16">
        <f t="shared" si="397"/>
        <v>532.88800000003539</v>
      </c>
      <c r="QO22" s="16">
        <f t="shared" si="397"/>
        <v>450.23100000002887</v>
      </c>
      <c r="QP22" s="16">
        <f t="shared" si="397"/>
        <v>740.70900000003166</v>
      </c>
      <c r="QQ22" s="16">
        <f t="shared" si="397"/>
        <v>447.90099999995437</v>
      </c>
      <c r="QR22" s="16">
        <f t="shared" si="397"/>
        <v>554.15500000002794</v>
      </c>
      <c r="QS22" s="16">
        <f t="shared" si="397"/>
        <v>358.09999999997672</v>
      </c>
      <c r="QT22" s="16">
        <f t="shared" si="397"/>
        <v>510.30000000004657</v>
      </c>
      <c r="QU22" s="16">
        <f t="shared" si="397"/>
        <v>658.10999999998603</v>
      </c>
      <c r="QV22" s="16">
        <f t="shared" si="397"/>
        <v>318.05400000000373</v>
      </c>
      <c r="QW22" s="16">
        <f t="shared" si="397"/>
        <v>488.66799999994691</v>
      </c>
      <c r="QX22" s="16">
        <f t="shared" si="397"/>
        <v>316.13600000005681</v>
      </c>
      <c r="QY22" s="16">
        <f t="shared" si="397"/>
        <v>355.27099999994971</v>
      </c>
      <c r="QZ22" s="16">
        <f t="shared" si="397"/>
        <v>796.14000000001397</v>
      </c>
      <c r="RA22" s="16">
        <f t="shared" si="397"/>
        <v>644.68799999996554</v>
      </c>
      <c r="RB22" s="16">
        <f t="shared" si="397"/>
        <v>310.25400000007357</v>
      </c>
      <c r="RC22" s="16">
        <f t="shared" si="397"/>
        <v>371.57299999997485</v>
      </c>
      <c r="RD22" s="16">
        <f t="shared" si="397"/>
        <v>389.1929999999702</v>
      </c>
      <c r="RE22" s="16">
        <f t="shared" si="397"/>
        <v>533.99800000002142</v>
      </c>
      <c r="RF22" s="16">
        <f t="shared" si="397"/>
        <v>589.62099999992643</v>
      </c>
      <c r="RG22" s="16">
        <f t="shared" si="397"/>
        <v>474.4100000000326</v>
      </c>
      <c r="RH22" s="127">
        <f>SUM(QD22:RG22)</f>
        <v>14651.586999999941</v>
      </c>
      <c r="RI22" s="16">
        <f t="shared" ref="RI22:SL22" si="398">RI21-RI20</f>
        <v>483.57700000004843</v>
      </c>
      <c r="RJ22" s="16">
        <f t="shared" si="398"/>
        <v>300.4660000000149</v>
      </c>
      <c r="RK22" s="16">
        <f t="shared" si="398"/>
        <v>480.1919999999227</v>
      </c>
      <c r="RL22" s="16">
        <f t="shared" si="398"/>
        <v>1066.9330000000773</v>
      </c>
      <c r="RM22" s="16">
        <f t="shared" si="398"/>
        <v>549.68499999993946</v>
      </c>
      <c r="RN22" s="16">
        <f t="shared" si="398"/>
        <v>216.55900000000838</v>
      </c>
      <c r="RO22" s="16">
        <f t="shared" si="398"/>
        <v>276.56500000006054</v>
      </c>
      <c r="RP22" s="16">
        <f t="shared" si="398"/>
        <v>307.66799999994691</v>
      </c>
      <c r="RQ22" s="16">
        <f t="shared" si="398"/>
        <v>423.67599999997765</v>
      </c>
      <c r="RR22" s="16">
        <f t="shared" si="398"/>
        <v>402.23200000007637</v>
      </c>
      <c r="RS22" s="16">
        <f t="shared" si="398"/>
        <v>512.24699999997392</v>
      </c>
      <c r="RT22" s="16">
        <f t="shared" si="398"/>
        <v>475.61300000001211</v>
      </c>
      <c r="RU22" s="16">
        <f t="shared" si="398"/>
        <v>676.14299999992363</v>
      </c>
      <c r="RV22" s="16">
        <f t="shared" si="398"/>
        <v>628.31400000001304</v>
      </c>
      <c r="RW22" s="16">
        <f t="shared" si="398"/>
        <v>564.87199999997392</v>
      </c>
      <c r="RX22" s="16">
        <f t="shared" si="398"/>
        <v>731.16400000010617</v>
      </c>
      <c r="RY22" s="16">
        <f t="shared" si="398"/>
        <v>399.77099999994971</v>
      </c>
      <c r="RZ22" s="16">
        <f t="shared" si="398"/>
        <v>275.72499999997672</v>
      </c>
      <c r="SA22" s="16">
        <f t="shared" si="398"/>
        <v>291.31500000006054</v>
      </c>
      <c r="SB22" s="16">
        <f t="shared" si="398"/>
        <v>231.50500000000466</v>
      </c>
      <c r="SC22" s="16">
        <f t="shared" si="398"/>
        <v>402.30400000000373</v>
      </c>
      <c r="SD22" s="16">
        <f t="shared" si="398"/>
        <v>336.00500000000466</v>
      </c>
      <c r="SE22" s="16">
        <f t="shared" si="398"/>
        <v>384.33599999989383</v>
      </c>
      <c r="SF22" s="16">
        <f t="shared" si="398"/>
        <v>359.05100000009406</v>
      </c>
      <c r="SG22" s="16">
        <f t="shared" si="398"/>
        <v>343.35699999995995</v>
      </c>
      <c r="SH22" s="16">
        <f t="shared" si="398"/>
        <v>655.99800000002142</v>
      </c>
      <c r="SI22" s="16">
        <f t="shared" si="398"/>
        <v>358.96799999999348</v>
      </c>
      <c r="SJ22" s="16">
        <f t="shared" si="398"/>
        <v>752.67700000002515</v>
      </c>
      <c r="SK22" s="16">
        <f t="shared" si="398"/>
        <v>502.05699999991339</v>
      </c>
      <c r="SL22" s="16">
        <f t="shared" si="398"/>
        <v>433.20100000000093</v>
      </c>
      <c r="SM22" s="127">
        <f>SUM(RI22:SL22)</f>
        <v>13822.175999999978</v>
      </c>
      <c r="SN22" s="16">
        <f t="shared" ref="SN22:TR22" si="399">SN21-SN20</f>
        <v>301.10700000007637</v>
      </c>
      <c r="SO22" s="16">
        <f t="shared" si="399"/>
        <v>592.45699999993667</v>
      </c>
      <c r="SP22" s="16">
        <f t="shared" si="399"/>
        <v>632.35999999998603</v>
      </c>
      <c r="SQ22" s="16">
        <f t="shared" si="399"/>
        <v>863.98100000002887</v>
      </c>
      <c r="SR22" s="16">
        <f t="shared" si="399"/>
        <v>536.40100000007078</v>
      </c>
      <c r="SS22" s="16">
        <f t="shared" si="399"/>
        <v>540.32899999991059</v>
      </c>
      <c r="ST22" s="16">
        <f t="shared" si="399"/>
        <v>435.07099999999627</v>
      </c>
      <c r="SU22" s="16">
        <f t="shared" si="399"/>
        <v>500.84700000006706</v>
      </c>
      <c r="SV22" s="16">
        <f t="shared" si="399"/>
        <v>833.34399999992456</v>
      </c>
      <c r="SW22" s="16">
        <f t="shared" si="399"/>
        <v>480.29500000004191</v>
      </c>
      <c r="SX22" s="16">
        <f t="shared" si="399"/>
        <v>320.03800000005867</v>
      </c>
      <c r="SY22" s="16">
        <f t="shared" si="399"/>
        <v>429.68999999994412</v>
      </c>
      <c r="SZ22" s="16">
        <f t="shared" si="399"/>
        <v>606.09299999999348</v>
      </c>
      <c r="TA22" s="16">
        <f t="shared" si="399"/>
        <v>379.93900000001304</v>
      </c>
      <c r="TB22" s="16">
        <f t="shared" si="399"/>
        <v>495.63899999996647</v>
      </c>
      <c r="TC22" s="16">
        <f t="shared" si="399"/>
        <v>918.83100000000559</v>
      </c>
      <c r="TD22" s="16">
        <f t="shared" si="399"/>
        <v>501.65700000000652</v>
      </c>
      <c r="TE22" s="16">
        <f t="shared" si="399"/>
        <v>473.08100000000559</v>
      </c>
      <c r="TF22" s="16">
        <f t="shared" si="399"/>
        <v>579.72499999997672</v>
      </c>
      <c r="TG22" s="16">
        <f t="shared" si="399"/>
        <v>548.72299999999814</v>
      </c>
      <c r="TH22" s="16">
        <f t="shared" si="399"/>
        <v>411.51800000004005</v>
      </c>
      <c r="TI22" s="16">
        <f t="shared" si="399"/>
        <v>443.9320000000298</v>
      </c>
      <c r="TJ22" s="16">
        <f t="shared" si="399"/>
        <v>336.68900000001304</v>
      </c>
      <c r="TK22" s="16">
        <f t="shared" si="399"/>
        <v>436.86799999990035</v>
      </c>
      <c r="TL22" s="16">
        <f t="shared" si="399"/>
        <v>284.32700000004843</v>
      </c>
      <c r="TM22" s="16">
        <f t="shared" si="399"/>
        <v>408.3399999999674</v>
      </c>
      <c r="TN22" s="16">
        <f t="shared" si="399"/>
        <v>397.72700000007171</v>
      </c>
      <c r="TO22" s="16">
        <f t="shared" si="399"/>
        <v>390.69699999992736</v>
      </c>
      <c r="TP22" s="16">
        <f t="shared" si="399"/>
        <v>273.24200000008568</v>
      </c>
      <c r="TQ22" s="16">
        <f t="shared" si="399"/>
        <v>333.55099999997765</v>
      </c>
      <c r="TR22" s="16">
        <f t="shared" si="399"/>
        <v>541.36599999992177</v>
      </c>
      <c r="TS22" s="127">
        <f>SUM(SO22:TR22)</f>
        <v>14926.757999999914</v>
      </c>
      <c r="TT22" s="16">
        <f t="shared" ref="TT22:UX22" si="400">TT21-TT20</f>
        <v>271.3640000000596</v>
      </c>
      <c r="TU22" s="16">
        <f t="shared" si="400"/>
        <v>343.84499999997206</v>
      </c>
      <c r="TV22" s="16">
        <f t="shared" si="400"/>
        <v>384.36100000003353</v>
      </c>
      <c r="TW22" s="16">
        <f t="shared" si="400"/>
        <v>408.4649999999674</v>
      </c>
      <c r="TX22" s="16">
        <f t="shared" si="400"/>
        <v>270.91200000001118</v>
      </c>
      <c r="TY22" s="16">
        <f t="shared" si="400"/>
        <v>393.57700000004843</v>
      </c>
      <c r="TZ22" s="16">
        <f t="shared" si="400"/>
        <v>528.48699999996461</v>
      </c>
      <c r="UA22" s="16">
        <f t="shared" si="400"/>
        <v>754.46100000001024</v>
      </c>
      <c r="UB22" s="16">
        <f t="shared" si="400"/>
        <v>523.82699999993201</v>
      </c>
      <c r="UC22" s="16">
        <f t="shared" si="400"/>
        <v>556.57900000002701</v>
      </c>
      <c r="UD22" s="16">
        <f t="shared" si="400"/>
        <v>354.62400000006892</v>
      </c>
      <c r="UE22" s="16">
        <f t="shared" si="400"/>
        <v>511.63799999991897</v>
      </c>
      <c r="UF22" s="16">
        <f t="shared" si="400"/>
        <v>802.29600000008941</v>
      </c>
      <c r="UG22" s="16">
        <f t="shared" si="400"/>
        <v>419.13699999998789</v>
      </c>
      <c r="UH22" s="16">
        <f t="shared" si="400"/>
        <v>352.71199999994133</v>
      </c>
      <c r="UI22" s="16">
        <f t="shared" si="400"/>
        <v>412.16300000005867</v>
      </c>
      <c r="UJ22" s="16">
        <f t="shared" si="400"/>
        <v>506.41899999999441</v>
      </c>
      <c r="UK22" s="16">
        <f t="shared" si="400"/>
        <v>521.39000000001397</v>
      </c>
      <c r="UL22" s="16">
        <f t="shared" si="400"/>
        <v>382.17599999997765</v>
      </c>
      <c r="UM22" s="16">
        <f t="shared" si="400"/>
        <v>552.16299999994226</v>
      </c>
      <c r="UN22" s="16">
        <f t="shared" si="400"/>
        <v>365.4660000000149</v>
      </c>
      <c r="UO22" s="16">
        <f t="shared" si="400"/>
        <v>465.02500000002328</v>
      </c>
      <c r="UP22" s="16">
        <f t="shared" si="400"/>
        <v>412.6239999999525</v>
      </c>
      <c r="UQ22" s="16">
        <f t="shared" si="400"/>
        <v>555.66899999999441</v>
      </c>
      <c r="UR22" s="16">
        <f t="shared" si="400"/>
        <v>624.35700000007637</v>
      </c>
      <c r="US22" s="16">
        <f t="shared" si="400"/>
        <v>874.10699999995995</v>
      </c>
      <c r="UT22" s="16">
        <f t="shared" si="400"/>
        <v>437.82200000004377</v>
      </c>
      <c r="UU22" s="16">
        <f t="shared" si="400"/>
        <v>510.35100000002421</v>
      </c>
      <c r="UV22" s="16">
        <f t="shared" si="400"/>
        <v>0</v>
      </c>
      <c r="UW22" s="16">
        <f t="shared" si="400"/>
        <v>348.42499999993015</v>
      </c>
      <c r="UX22" s="16">
        <f t="shared" si="400"/>
        <v>457.4440000000177</v>
      </c>
      <c r="UY22" s="127">
        <f>SUM(TT22:UX22)</f>
        <v>14301.886000000057</v>
      </c>
      <c r="UZ22" s="16">
        <f t="shared" ref="UZ22:WA22" si="401">UZ21-UZ20</f>
        <v>453.1239999999525</v>
      </c>
      <c r="VA22" s="16">
        <f t="shared" si="401"/>
        <v>409.34299999999348</v>
      </c>
      <c r="VB22" s="16">
        <f t="shared" si="401"/>
        <v>1130.1710000000894</v>
      </c>
      <c r="VC22" s="16">
        <f t="shared" si="401"/>
        <v>591.52000000001863</v>
      </c>
      <c r="VD22" s="16">
        <f t="shared" si="401"/>
        <v>469.50499999988824</v>
      </c>
      <c r="VE22" s="16">
        <f t="shared" si="401"/>
        <v>315.56800000008661</v>
      </c>
      <c r="VF22" s="16">
        <f t="shared" si="401"/>
        <v>639.9649999999674</v>
      </c>
      <c r="VG22" s="16">
        <f t="shared" si="401"/>
        <v>634.46299999998882</v>
      </c>
      <c r="VH22" s="16">
        <f t="shared" si="401"/>
        <v>425.26100000005681</v>
      </c>
      <c r="VI22" s="16">
        <f t="shared" si="401"/>
        <v>399.10599999991246</v>
      </c>
      <c r="VJ22" s="16">
        <f t="shared" si="401"/>
        <v>946.53200000000652</v>
      </c>
      <c r="VK22" s="16">
        <f t="shared" si="401"/>
        <v>283.95500000007451</v>
      </c>
      <c r="VL22" s="16">
        <f t="shared" si="401"/>
        <v>449.47099999990314</v>
      </c>
      <c r="VM22" s="16">
        <f t="shared" si="401"/>
        <v>439.78700000001118</v>
      </c>
      <c r="VN22" s="16">
        <f t="shared" si="401"/>
        <v>472.72200000006706</v>
      </c>
      <c r="VO22" s="16">
        <f t="shared" si="401"/>
        <v>310.97499999997672</v>
      </c>
      <c r="VP22" s="16">
        <f t="shared" si="401"/>
        <v>569.91399999998976</v>
      </c>
      <c r="VQ22" s="16">
        <f t="shared" si="401"/>
        <v>462.60999999998603</v>
      </c>
      <c r="VR22" s="16">
        <f t="shared" si="401"/>
        <v>715.83400000003166</v>
      </c>
      <c r="VS22" s="16">
        <f t="shared" si="401"/>
        <v>397.7839999999851</v>
      </c>
      <c r="VT22" s="16">
        <f t="shared" si="401"/>
        <v>564.13899999996647</v>
      </c>
      <c r="VU22" s="16">
        <f t="shared" si="401"/>
        <v>553.53600000008009</v>
      </c>
      <c r="VV22" s="16">
        <f t="shared" si="401"/>
        <v>543.58100000000559</v>
      </c>
      <c r="VW22" s="16">
        <f t="shared" si="401"/>
        <v>467.60899999993853</v>
      </c>
      <c r="VX22" s="16">
        <f t="shared" si="401"/>
        <v>580.65100000007078</v>
      </c>
      <c r="VY22" s="16">
        <f t="shared" si="401"/>
        <v>492.73399999993853</v>
      </c>
      <c r="VZ22" s="16">
        <f t="shared" si="401"/>
        <v>343.83299999998417</v>
      </c>
      <c r="WA22" s="16">
        <f t="shared" si="401"/>
        <v>429.16899999999441</v>
      </c>
      <c r="WB22" s="127">
        <f>SUM(UZ22:WA22)</f>
        <v>14492.861999999965</v>
      </c>
      <c r="WC22" s="16">
        <f t="shared" ref="WC22:XG22" si="402">WC21-WC20</f>
        <v>495.03700000001118</v>
      </c>
      <c r="WD22" s="16">
        <f t="shared" si="402"/>
        <v>378.00400000007357</v>
      </c>
      <c r="WE22" s="16">
        <f t="shared" si="402"/>
        <v>901.72399999992922</v>
      </c>
      <c r="WF22" s="16">
        <f t="shared" si="402"/>
        <v>470.59900000004563</v>
      </c>
      <c r="WG22" s="16">
        <f t="shared" si="402"/>
        <v>611.62800000002608</v>
      </c>
      <c r="WH22" s="16">
        <f t="shared" si="402"/>
        <v>-0.60000000009313226</v>
      </c>
      <c r="WI22" s="16">
        <f t="shared" si="402"/>
        <v>306.54200000001583</v>
      </c>
      <c r="WJ22" s="16">
        <f t="shared" si="402"/>
        <v>523.89699999999721</v>
      </c>
      <c r="WK22" s="16">
        <f t="shared" si="402"/>
        <v>444.37300000002142</v>
      </c>
      <c r="WL22" s="16">
        <f t="shared" si="402"/>
        <v>574.96999999997206</v>
      </c>
      <c r="WM22" s="16">
        <f t="shared" si="402"/>
        <v>786.57400000002235</v>
      </c>
      <c r="WN22" s="16">
        <f t="shared" si="402"/>
        <v>325.68400000000838</v>
      </c>
      <c r="WO22" s="16">
        <f t="shared" si="402"/>
        <v>517.73999999999069</v>
      </c>
      <c r="WP22" s="16">
        <f t="shared" si="402"/>
        <v>398.10300000000279</v>
      </c>
      <c r="WQ22" s="16">
        <f t="shared" si="402"/>
        <v>606.46400000003632</v>
      </c>
      <c r="WR22" s="16">
        <f t="shared" si="402"/>
        <v>367.49099999992177</v>
      </c>
      <c r="WS22" s="16">
        <f t="shared" si="402"/>
        <v>509.88200000009965</v>
      </c>
      <c r="WT22" s="16">
        <f t="shared" si="402"/>
        <v>238.87699999997858</v>
      </c>
      <c r="WU22" s="16">
        <f t="shared" si="402"/>
        <v>468.37099999992643</v>
      </c>
      <c r="WV22" s="16">
        <f t="shared" si="402"/>
        <v>496.98700000008103</v>
      </c>
      <c r="WW22" s="16">
        <f t="shared" si="402"/>
        <v>788.90299999993294</v>
      </c>
      <c r="WX22" s="16">
        <f t="shared" si="402"/>
        <v>507.0580000000773</v>
      </c>
      <c r="WY22" s="16">
        <f t="shared" si="402"/>
        <v>488.61499999999069</v>
      </c>
      <c r="WZ22" s="16">
        <f t="shared" si="402"/>
        <v>542.06099999998696</v>
      </c>
      <c r="XA22" s="16">
        <f t="shared" si="402"/>
        <v>451.29899999999907</v>
      </c>
      <c r="XB22" s="16">
        <f t="shared" si="402"/>
        <v>221.94999999995343</v>
      </c>
      <c r="XC22" s="16">
        <f t="shared" si="402"/>
        <v>587.27700000000186</v>
      </c>
      <c r="XD22" s="16">
        <f t="shared" si="402"/>
        <v>405.75500000000466</v>
      </c>
      <c r="XE22" s="16">
        <f t="shared" si="402"/>
        <v>359.82700000004843</v>
      </c>
      <c r="XF22" s="16">
        <f t="shared" si="402"/>
        <v>370.02700000000186</v>
      </c>
      <c r="XG22" s="16">
        <f t="shared" si="402"/>
        <v>575.31999999994878</v>
      </c>
      <c r="XH22" s="127">
        <f>SUM(WC22:XG22)</f>
        <v>14720.439000000013</v>
      </c>
      <c r="XI22" s="16">
        <f t="shared" ref="XI22:YL22" si="403">XI21-XI20</f>
        <v>245.06700000003912</v>
      </c>
      <c r="XJ22" s="16">
        <f t="shared" si="403"/>
        <v>236.09199999994598</v>
      </c>
      <c r="XK22" s="16">
        <f t="shared" si="403"/>
        <v>371.30099999997765</v>
      </c>
      <c r="XL22" s="16">
        <f t="shared" si="403"/>
        <v>435.61900000006426</v>
      </c>
      <c r="XM22" s="16">
        <f t="shared" si="403"/>
        <v>521.05000000004657</v>
      </c>
      <c r="XN22" s="16">
        <f t="shared" si="403"/>
        <v>357.05799999996088</v>
      </c>
      <c r="XO22" s="16">
        <f t="shared" si="403"/>
        <v>332.64799999992829</v>
      </c>
      <c r="XP22" s="16">
        <f t="shared" si="403"/>
        <v>474.28200000000652</v>
      </c>
      <c r="XQ22" s="16">
        <f t="shared" si="403"/>
        <v>311.5010000000475</v>
      </c>
      <c r="XR22" s="16">
        <f t="shared" si="403"/>
        <v>321.74800000002142</v>
      </c>
      <c r="XS22" s="16">
        <f t="shared" si="403"/>
        <v>346.60300000000279</v>
      </c>
      <c r="XT22" s="16">
        <f t="shared" si="403"/>
        <v>489.25300000002608</v>
      </c>
      <c r="XU22" s="16">
        <f t="shared" si="403"/>
        <v>392.78599999996368</v>
      </c>
      <c r="XV22" s="16">
        <f t="shared" si="403"/>
        <v>344.9769999999553</v>
      </c>
      <c r="XW22" s="16">
        <f t="shared" si="403"/>
        <v>424.85200000007171</v>
      </c>
      <c r="XX22" s="16">
        <f t="shared" si="403"/>
        <v>456.24099999992177</v>
      </c>
      <c r="XY22" s="16">
        <f t="shared" si="403"/>
        <v>403.87100000004284</v>
      </c>
      <c r="XZ22" s="16">
        <f t="shared" si="403"/>
        <v>270.08299999998417</v>
      </c>
      <c r="YA22" s="16">
        <f t="shared" si="403"/>
        <v>286.53099999995902</v>
      </c>
      <c r="YB22" s="16">
        <f t="shared" si="403"/>
        <v>315.02199999999721</v>
      </c>
      <c r="YC22" s="16">
        <f t="shared" si="403"/>
        <v>368.26000000000931</v>
      </c>
      <c r="YD22" s="16">
        <f t="shared" si="403"/>
        <v>250.51100000005681</v>
      </c>
      <c r="YE22" s="16">
        <f t="shared" si="403"/>
        <v>535.11899999994785</v>
      </c>
      <c r="YF22" s="16">
        <f t="shared" si="403"/>
        <v>270.07500000006985</v>
      </c>
      <c r="YG22" s="16">
        <f t="shared" si="403"/>
        <v>466.20299999997951</v>
      </c>
      <c r="YH22" s="16">
        <f t="shared" si="403"/>
        <v>312.77399999997579</v>
      </c>
      <c r="YI22" s="16">
        <f t="shared" si="403"/>
        <v>430.28300000005402</v>
      </c>
      <c r="YJ22" s="16">
        <f t="shared" si="403"/>
        <v>335.88899999996647</v>
      </c>
      <c r="YK22" s="16">
        <f t="shared" si="403"/>
        <v>268.86600000003818</v>
      </c>
      <c r="YL22" s="16">
        <f t="shared" si="403"/>
        <v>200.62299999990501</v>
      </c>
      <c r="YM22" s="127">
        <f>SUM(XH22:YL22)</f>
        <v>25495.626999999979</v>
      </c>
      <c r="YN22" s="16">
        <f t="shared" ref="YN22:ZR22" si="404">YN21-YN20</f>
        <v>418.67399999999907</v>
      </c>
      <c r="YO22" s="16">
        <f t="shared" si="404"/>
        <v>437.31400000001304</v>
      </c>
      <c r="YP22" s="16">
        <f t="shared" si="404"/>
        <v>449</v>
      </c>
      <c r="YQ22" s="16">
        <f t="shared" si="404"/>
        <v>315.24900000006892</v>
      </c>
      <c r="YR22" s="16">
        <f t="shared" si="404"/>
        <v>345.90299999993294</v>
      </c>
      <c r="YS22" s="16">
        <f t="shared" si="404"/>
        <v>261.04399999999441</v>
      </c>
      <c r="YT22" s="16">
        <f t="shared" si="404"/>
        <v>431.37900000007357</v>
      </c>
      <c r="YU22" s="16">
        <f t="shared" si="404"/>
        <v>176.86999999999534</v>
      </c>
      <c r="YV22" s="16">
        <f t="shared" si="404"/>
        <v>295.13799999991897</v>
      </c>
      <c r="YW22" s="16">
        <f t="shared" si="404"/>
        <v>309.49600000004284</v>
      </c>
      <c r="YX22" s="16">
        <f t="shared" si="404"/>
        <v>338.50800000003073</v>
      </c>
      <c r="YY22" s="16">
        <f t="shared" si="404"/>
        <v>286.64300000004005</v>
      </c>
      <c r="YZ22" s="16">
        <f t="shared" si="404"/>
        <v>341.26899999997113</v>
      </c>
      <c r="ZA22" s="16">
        <f t="shared" si="404"/>
        <v>357.62300000002142</v>
      </c>
      <c r="ZB22" s="16">
        <f t="shared" si="404"/>
        <v>247.29499999992549</v>
      </c>
      <c r="ZC22" s="16">
        <f t="shared" si="404"/>
        <v>421.52800000004936</v>
      </c>
      <c r="ZD22" s="16">
        <f t="shared" si="404"/>
        <v>333.31299999996554</v>
      </c>
      <c r="ZE22" s="16">
        <f t="shared" si="404"/>
        <v>209.2269999999553</v>
      </c>
      <c r="ZF22" s="16">
        <f t="shared" si="404"/>
        <v>373.08900000003632</v>
      </c>
      <c r="ZG22" s="16">
        <f t="shared" si="404"/>
        <v>300.22299999999814</v>
      </c>
      <c r="ZH22" s="16">
        <f t="shared" si="404"/>
        <v>573.94599999999627</v>
      </c>
      <c r="ZI22" s="16">
        <f t="shared" si="404"/>
        <v>347.60800000000745</v>
      </c>
      <c r="ZJ22" s="16">
        <f t="shared" si="404"/>
        <v>265.16800000006333</v>
      </c>
      <c r="ZK22" s="16">
        <f t="shared" si="404"/>
        <v>370.14399999997113</v>
      </c>
      <c r="ZL22" s="16">
        <f t="shared" si="404"/>
        <v>227.08299999998417</v>
      </c>
      <c r="ZM22" s="16">
        <f t="shared" si="404"/>
        <v>628.91399999998976</v>
      </c>
      <c r="ZN22" s="16">
        <f t="shared" si="404"/>
        <v>311.59499999997206</v>
      </c>
      <c r="ZO22" s="16">
        <f t="shared" si="404"/>
        <v>387.57900000002701</v>
      </c>
      <c r="ZP22" s="16">
        <f t="shared" si="404"/>
        <v>437.80400000000373</v>
      </c>
      <c r="ZQ22" s="16">
        <f t="shared" si="404"/>
        <v>429.24499999999534</v>
      </c>
      <c r="ZR22" s="16">
        <f t="shared" si="404"/>
        <v>302.4100000000326</v>
      </c>
      <c r="ZS22" s="127">
        <f>SUM(YN22:ZR22)</f>
        <v>10930.281000000075</v>
      </c>
      <c r="ZT22" s="16">
        <f t="shared" ref="ZT22:AAW22" si="405">ZT21-ZT20</f>
        <v>614.75800000003073</v>
      </c>
      <c r="ZU22" s="16">
        <f t="shared" si="405"/>
        <v>287.50399999995716</v>
      </c>
      <c r="ZV22" s="16">
        <f t="shared" si="405"/>
        <v>405.3410000000149</v>
      </c>
      <c r="ZW22" s="16">
        <f t="shared" si="405"/>
        <v>344.0559999999823</v>
      </c>
      <c r="ZX22" s="16">
        <f t="shared" si="405"/>
        <v>299.46999999997206</v>
      </c>
      <c r="ZY22" s="16">
        <f t="shared" si="405"/>
        <v>474.02700000000186</v>
      </c>
      <c r="ZZ22" s="16">
        <f t="shared" si="405"/>
        <v>465.13100000005215</v>
      </c>
      <c r="AAA22" s="16">
        <f t="shared" si="405"/>
        <v>450.2839999999851</v>
      </c>
      <c r="AAB22" s="16">
        <f t="shared" si="405"/>
        <v>336.61699999996927</v>
      </c>
      <c r="AAC22" s="16">
        <f t="shared" si="405"/>
        <v>665.90500000002794</v>
      </c>
      <c r="AAD22" s="16">
        <f t="shared" si="405"/>
        <v>728.63099999993574</v>
      </c>
      <c r="AAE22" s="16">
        <f t="shared" si="405"/>
        <v>357.17600000009406</v>
      </c>
      <c r="AAF22" s="16">
        <f t="shared" si="405"/>
        <v>421.47499999997672</v>
      </c>
      <c r="AAG22" s="16">
        <f t="shared" si="405"/>
        <v>375.02500000002328</v>
      </c>
      <c r="AAH22" s="16">
        <f t="shared" si="405"/>
        <v>246.6809999999823</v>
      </c>
      <c r="AAI22" s="16">
        <f t="shared" si="405"/>
        <v>417.66599999996834</v>
      </c>
      <c r="AAJ22" s="16">
        <f t="shared" si="405"/>
        <v>395.77099999994971</v>
      </c>
      <c r="AAK22" s="16">
        <f t="shared" si="405"/>
        <v>709.40000000002328</v>
      </c>
      <c r="AAL22" s="16">
        <f t="shared" si="405"/>
        <v>332.42900000000373</v>
      </c>
      <c r="AAM22" s="16">
        <f t="shared" si="405"/>
        <v>572.01800000004005</v>
      </c>
      <c r="AAN22" s="16">
        <f t="shared" si="405"/>
        <v>350.94099999999162</v>
      </c>
      <c r="AAO22" s="16">
        <f t="shared" si="405"/>
        <v>296.76000000000931</v>
      </c>
      <c r="AAP22" s="16">
        <f t="shared" si="405"/>
        <v>556.83199999993667</v>
      </c>
      <c r="AAQ22" s="16">
        <f t="shared" si="405"/>
        <v>305.34500000008848</v>
      </c>
      <c r="AAR22" s="16">
        <f t="shared" si="405"/>
        <v>354.49099999992177</v>
      </c>
      <c r="AAS22" s="16">
        <f t="shared" si="405"/>
        <v>426.39100000006147</v>
      </c>
      <c r="AAT22" s="16">
        <f t="shared" si="405"/>
        <v>376.7489999999525</v>
      </c>
      <c r="AAU22" s="16">
        <f t="shared" si="405"/>
        <v>410.9330000000773</v>
      </c>
      <c r="AAV22" s="16">
        <f t="shared" si="405"/>
        <v>277.60599999991246</v>
      </c>
      <c r="AAW22" s="16">
        <f t="shared" si="405"/>
        <v>366.69900000002235</v>
      </c>
      <c r="AAX22" s="127">
        <f>SUM(ZT22:AAW22)</f>
        <v>12622.111999999965</v>
      </c>
      <c r="AAY22" s="16">
        <f t="shared" ref="AAY22:ACC22" si="406">AAY21-AAY20</f>
        <v>368.68700000003446</v>
      </c>
      <c r="AAZ22" s="16">
        <f t="shared" si="406"/>
        <v>319.54899999999907</v>
      </c>
      <c r="ABA22" s="16">
        <f t="shared" si="406"/>
        <v>273.73699999996461</v>
      </c>
      <c r="ABB22" s="16">
        <f t="shared" si="406"/>
        <v>393.95100000000093</v>
      </c>
      <c r="ABC22" s="16">
        <f t="shared" si="406"/>
        <v>409.21999999997206</v>
      </c>
      <c r="ABD22" s="16">
        <f t="shared" si="406"/>
        <v>523.19000000006054</v>
      </c>
      <c r="ABE22" s="16">
        <f t="shared" si="406"/>
        <v>435.89000000001397</v>
      </c>
      <c r="ABF22" s="16">
        <f t="shared" si="406"/>
        <v>393.30799999996088</v>
      </c>
      <c r="ABG22" s="16">
        <f t="shared" si="406"/>
        <v>344.07400000002235</v>
      </c>
      <c r="ABH22" s="16">
        <f t="shared" si="406"/>
        <v>328.32400000002235</v>
      </c>
      <c r="ABI22" s="16">
        <f t="shared" si="406"/>
        <v>388.89899999997579</v>
      </c>
      <c r="ABJ22" s="16">
        <f t="shared" si="406"/>
        <v>278.96699999994598</v>
      </c>
      <c r="ABK22" s="16">
        <f t="shared" si="406"/>
        <v>541.69500000006519</v>
      </c>
      <c r="ABL22" s="16">
        <f t="shared" si="406"/>
        <v>464.07099999999627</v>
      </c>
      <c r="ABM22" s="16">
        <f t="shared" si="406"/>
        <v>337.61300000001211</v>
      </c>
      <c r="ABN22" s="16">
        <f t="shared" si="406"/>
        <v>319.53999999992084</v>
      </c>
      <c r="ABO22" s="16">
        <f t="shared" si="406"/>
        <v>377.9670000000624</v>
      </c>
      <c r="ABP22" s="16">
        <f t="shared" si="406"/>
        <v>684.43700000003446</v>
      </c>
      <c r="ABQ22" s="16">
        <f t="shared" si="406"/>
        <v>555.98599999991711</v>
      </c>
      <c r="ABR22" s="16">
        <f t="shared" si="406"/>
        <v>437.01500000001397</v>
      </c>
      <c r="ABS22" s="16">
        <f t="shared" si="406"/>
        <v>212.66500000003725</v>
      </c>
      <c r="ABT22" s="16">
        <f t="shared" si="406"/>
        <v>310.72499999997672</v>
      </c>
      <c r="ABU22" s="16">
        <f t="shared" si="406"/>
        <v>472.84999999997672</v>
      </c>
      <c r="ABV22" s="16">
        <f t="shared" si="406"/>
        <v>308.13600000005681</v>
      </c>
      <c r="ABW22" s="16">
        <f t="shared" si="406"/>
        <v>419.10999999998603</v>
      </c>
      <c r="ABX22" s="16">
        <f t="shared" si="406"/>
        <v>421.51599999994505</v>
      </c>
      <c r="ABY22" s="16">
        <f t="shared" si="406"/>
        <v>371.8059999999823</v>
      </c>
      <c r="ABZ22" s="16">
        <f t="shared" si="406"/>
        <v>487.08100000000559</v>
      </c>
      <c r="ACA22" s="16">
        <f t="shared" si="406"/>
        <v>360.90400000009686</v>
      </c>
      <c r="ACB22" s="16">
        <f t="shared" si="406"/>
        <v>297.39099999994505</v>
      </c>
      <c r="ACC22" s="16">
        <f t="shared" si="406"/>
        <v>294.38100000005215</v>
      </c>
      <c r="ACD22" s="127">
        <f>SUM(AAY22:ACC22)</f>
        <v>12132.685000000056</v>
      </c>
      <c r="ACE22" s="16">
        <f t="shared" ref="ACE22:ADI22" si="407">ACE21-ACE20</f>
        <v>497.37799999990966</v>
      </c>
      <c r="ACF22" s="16">
        <f t="shared" si="407"/>
        <v>564.05900000000838</v>
      </c>
      <c r="ACG22" s="16">
        <f t="shared" si="407"/>
        <v>475.88699999998789</v>
      </c>
      <c r="ACH22" s="16">
        <f t="shared" si="407"/>
        <v>359.60900000005495</v>
      </c>
      <c r="ACI22" s="16">
        <f t="shared" si="407"/>
        <v>282.55799999996088</v>
      </c>
      <c r="ACJ22" s="16">
        <f t="shared" si="407"/>
        <v>325.5580000000773</v>
      </c>
      <c r="ACK22" s="16">
        <f t="shared" si="407"/>
        <v>379.53599999996368</v>
      </c>
      <c r="ACL22" s="16">
        <f t="shared" si="407"/>
        <v>482.96999999997206</v>
      </c>
      <c r="ACM22" s="16">
        <f t="shared" si="407"/>
        <v>407.71799999999348</v>
      </c>
      <c r="ACN22" s="16">
        <f t="shared" si="407"/>
        <v>430.29399999999441</v>
      </c>
      <c r="ACO22" s="16">
        <f t="shared" si="407"/>
        <v>336.53100000007544</v>
      </c>
      <c r="ACP22" s="16">
        <f t="shared" si="407"/>
        <v>436.39599999994971</v>
      </c>
      <c r="ACQ22" s="16">
        <f t="shared" si="407"/>
        <v>373.94700000004377</v>
      </c>
      <c r="ACR22" s="16">
        <f t="shared" si="407"/>
        <v>378.65299999993294</v>
      </c>
      <c r="ACS22" s="16">
        <f t="shared" si="407"/>
        <v>413.57600000000093</v>
      </c>
      <c r="ACT22" s="16">
        <f t="shared" si="407"/>
        <v>488.13500000000931</v>
      </c>
      <c r="ACU22" s="16">
        <f t="shared" si="407"/>
        <v>380.35200000007171</v>
      </c>
      <c r="ACV22" s="16">
        <f t="shared" si="407"/>
        <v>472.67299999995157</v>
      </c>
      <c r="ACW22" s="16">
        <f t="shared" si="407"/>
        <v>395.50199999997858</v>
      </c>
      <c r="ACX22" s="16">
        <f t="shared" si="407"/>
        <v>385.77500000002328</v>
      </c>
      <c r="ACY22" s="16">
        <f t="shared" si="407"/>
        <v>412.875</v>
      </c>
      <c r="ACZ22" s="16">
        <f t="shared" si="407"/>
        <v>380.85499999998137</v>
      </c>
      <c r="ADA22" s="16">
        <f t="shared" si="407"/>
        <v>334.80799999996088</v>
      </c>
      <c r="ADB22" s="16">
        <f t="shared" si="407"/>
        <v>504.73200000007637</v>
      </c>
      <c r="ADC22" s="16">
        <f t="shared" si="407"/>
        <v>511.6239999999525</v>
      </c>
      <c r="ADD22" s="16">
        <f t="shared" si="407"/>
        <v>386.43700000003446</v>
      </c>
      <c r="ADE22" s="16">
        <f t="shared" si="407"/>
        <v>419.91799999994691</v>
      </c>
      <c r="ADF22" s="16">
        <f t="shared" si="407"/>
        <v>379.53899999998976</v>
      </c>
      <c r="ADG22" s="16">
        <f t="shared" si="407"/>
        <v>377.60700000007637</v>
      </c>
      <c r="ADH22" s="16">
        <f t="shared" si="407"/>
        <v>339.90700000000652</v>
      </c>
      <c r="ADI22" s="16">
        <f t="shared" si="407"/>
        <v>383.47499999997672</v>
      </c>
      <c r="ADJ22" s="127">
        <f>SUM(ACE22:ADI22)</f>
        <v>12698.883999999962</v>
      </c>
      <c r="ADK22" s="16">
        <f t="shared" ref="ADK22:AEN22" si="408">ADK21-ADK20</f>
        <v>415.94700000004377</v>
      </c>
      <c r="ADL22" s="16">
        <f t="shared" si="408"/>
        <v>388.57199999992736</v>
      </c>
      <c r="ADM22" s="16">
        <f t="shared" si="408"/>
        <v>482.45200000004843</v>
      </c>
      <c r="ADN22" s="16">
        <f t="shared" si="408"/>
        <v>467.92299999995157</v>
      </c>
      <c r="ADO22" s="16">
        <f t="shared" si="408"/>
        <v>657.32000000006519</v>
      </c>
      <c r="ADP22" s="16">
        <f t="shared" si="408"/>
        <v>498.39399999997113</v>
      </c>
      <c r="ADQ22" s="16">
        <f t="shared" si="408"/>
        <v>323.4079999999376</v>
      </c>
      <c r="ADR22" s="16">
        <f t="shared" si="408"/>
        <v>228.58200000005309</v>
      </c>
      <c r="ADS22" s="16">
        <f t="shared" si="408"/>
        <v>396.09499999997206</v>
      </c>
      <c r="ADT22" s="16">
        <f t="shared" si="408"/>
        <v>372.16300000005867</v>
      </c>
      <c r="ADU22" s="16">
        <f t="shared" si="408"/>
        <v>507.92099999997299</v>
      </c>
      <c r="ADV22" s="16">
        <f t="shared" si="408"/>
        <v>418.24499999999534</v>
      </c>
      <c r="ADW22" s="16">
        <f t="shared" si="408"/>
        <v>402.33900000003632</v>
      </c>
      <c r="ADX22" s="16">
        <f t="shared" si="408"/>
        <v>324.69599999999627</v>
      </c>
      <c r="ADY22" s="16">
        <f t="shared" si="408"/>
        <v>540.72800000000279</v>
      </c>
      <c r="ADZ22" s="16">
        <f t="shared" si="408"/>
        <v>407.49799999990501</v>
      </c>
      <c r="AEA22" s="16">
        <f t="shared" si="408"/>
        <v>375.66800000006333</v>
      </c>
      <c r="AEB22" s="16">
        <f t="shared" si="408"/>
        <v>452.61199999996461</v>
      </c>
      <c r="AEC22" s="16">
        <f t="shared" si="408"/>
        <v>299.97900000005029</v>
      </c>
      <c r="AED22" s="16">
        <f t="shared" si="408"/>
        <v>539.80999999993946</v>
      </c>
      <c r="AEE22" s="16">
        <f t="shared" si="408"/>
        <v>332.23400000005495</v>
      </c>
      <c r="AEF22" s="16">
        <f t="shared" si="408"/>
        <v>393.58400000003166</v>
      </c>
      <c r="AEG22" s="16">
        <f t="shared" si="408"/>
        <v>356.9649999999674</v>
      </c>
      <c r="AEH22" s="16">
        <f t="shared" si="408"/>
        <v>250.72499999997672</v>
      </c>
      <c r="AEI22" s="16">
        <f t="shared" si="408"/>
        <v>318.23999999999069</v>
      </c>
      <c r="AEJ22" s="16">
        <f t="shared" si="408"/>
        <v>448.93799999996554</v>
      </c>
      <c r="AEK22" s="16">
        <f t="shared" si="408"/>
        <v>350.07700000004843</v>
      </c>
      <c r="AEL22" s="16">
        <f t="shared" si="408"/>
        <v>247.50699999998324</v>
      </c>
      <c r="AEM22" s="16">
        <f t="shared" si="408"/>
        <v>290.51000000000931</v>
      </c>
      <c r="AEN22" s="16">
        <f t="shared" si="408"/>
        <v>477.33799999998882</v>
      </c>
      <c r="AEO22" s="127">
        <f>SUM(ADK22:AEN22)</f>
        <v>11966.469999999972</v>
      </c>
      <c r="AEP22" s="16">
        <f t="shared" ref="AEP22:AFT22" si="409">AEP21-AEP20</f>
        <v>196.96799999999348</v>
      </c>
      <c r="AEQ22" s="16">
        <f t="shared" si="409"/>
        <v>320.40200000000186</v>
      </c>
      <c r="AER22" s="16">
        <f t="shared" si="409"/>
        <v>319.75800000003073</v>
      </c>
      <c r="AES22" s="16">
        <f t="shared" si="409"/>
        <v>401.69499999994878</v>
      </c>
      <c r="AET22" s="16">
        <f t="shared" si="409"/>
        <v>287.71799999999348</v>
      </c>
      <c r="AEU22" s="16">
        <f t="shared" si="409"/>
        <v>419.10500000009779</v>
      </c>
      <c r="AEV22" s="16">
        <f t="shared" si="409"/>
        <v>314.76399999996647</v>
      </c>
      <c r="AEW22" s="16">
        <f t="shared" si="409"/>
        <v>386.63199999998324</v>
      </c>
      <c r="AEX22" s="16">
        <f t="shared" si="409"/>
        <v>395.45499999995809</v>
      </c>
      <c r="AEY22" s="16">
        <f t="shared" si="409"/>
        <v>390.28400000010151</v>
      </c>
      <c r="AEZ22" s="16">
        <f t="shared" si="409"/>
        <v>415.59099999989849</v>
      </c>
      <c r="AFA22" s="16">
        <f t="shared" si="409"/>
        <v>249.22200000006706</v>
      </c>
      <c r="AFB22" s="16">
        <f t="shared" si="409"/>
        <v>277.82600000000093</v>
      </c>
      <c r="AFC22" s="16">
        <f t="shared" si="409"/>
        <v>280.1929999999702</v>
      </c>
      <c r="AFD22" s="16">
        <f t="shared" si="409"/>
        <v>315.67099999997299</v>
      </c>
      <c r="AFE22" s="16">
        <f t="shared" si="409"/>
        <v>380.18700000003446</v>
      </c>
      <c r="AFF22" s="16">
        <f t="shared" si="409"/>
        <v>367.28599999996368</v>
      </c>
      <c r="AFG22" s="16">
        <f t="shared" si="409"/>
        <v>376.19200000003912</v>
      </c>
      <c r="AFH22" s="16">
        <f t="shared" si="409"/>
        <v>457.18299999996088</v>
      </c>
      <c r="AFI22" s="16">
        <f t="shared" si="409"/>
        <v>283.84500000008848</v>
      </c>
      <c r="AFJ22" s="16">
        <f t="shared" si="409"/>
        <v>358.68199999991339</v>
      </c>
      <c r="AFK22" s="16">
        <f t="shared" si="409"/>
        <v>253.31000000005588</v>
      </c>
      <c r="AFL22" s="16">
        <f t="shared" si="409"/>
        <v>365.78200000000652</v>
      </c>
      <c r="AFM22" s="16">
        <f t="shared" si="409"/>
        <v>287.06299999996554</v>
      </c>
      <c r="AFN22" s="16">
        <f t="shared" si="409"/>
        <v>567.92099999997299</v>
      </c>
      <c r="AFO22" s="16">
        <f t="shared" si="409"/>
        <v>340.80000000004657</v>
      </c>
      <c r="AFP22" s="16">
        <f t="shared" si="409"/>
        <v>355.67299999995157</v>
      </c>
      <c r="AFQ22" s="16">
        <f t="shared" si="409"/>
        <v>386.54899999999907</v>
      </c>
      <c r="AFR22" s="16">
        <f t="shared" si="409"/>
        <v>161.05400000000373</v>
      </c>
      <c r="AFS22" s="16">
        <f t="shared" si="409"/>
        <v>558.88699999998789</v>
      </c>
      <c r="AFT22" s="16">
        <f t="shared" si="409"/>
        <v>326.21200000005774</v>
      </c>
      <c r="AFU22" s="127">
        <f>SUM(AEP22:AFT22)</f>
        <v>10797.910000000033</v>
      </c>
      <c r="AFV22" s="16">
        <f t="shared" ref="AFV22:AGY22" si="410">AFV21-AFV20</f>
        <v>427.16799999994691</v>
      </c>
      <c r="AFW22" s="16">
        <f t="shared" si="410"/>
        <v>322.77100000006612</v>
      </c>
      <c r="AFX22" s="16">
        <f t="shared" si="410"/>
        <v>333.22299999999814</v>
      </c>
      <c r="AFY22" s="16">
        <f t="shared" si="410"/>
        <v>296.69699999992736</v>
      </c>
      <c r="AFZ22" s="16">
        <f t="shared" si="410"/>
        <v>341.46900000004098</v>
      </c>
      <c r="AGA22" s="16">
        <f t="shared" si="410"/>
        <v>268.89300000004005</v>
      </c>
      <c r="AGB22" s="16">
        <f t="shared" si="410"/>
        <v>342.6940000000177</v>
      </c>
      <c r="AGC22" s="16">
        <f t="shared" si="410"/>
        <v>306.42299999995157</v>
      </c>
      <c r="AGD22" s="16">
        <f t="shared" si="410"/>
        <v>271.58799999998882</v>
      </c>
      <c r="AGE22" s="16">
        <f t="shared" si="410"/>
        <v>327.2839999999851</v>
      </c>
      <c r="AGF22" s="16">
        <f t="shared" si="410"/>
        <v>401.08500000007916</v>
      </c>
      <c r="AGG22" s="16">
        <f t="shared" si="410"/>
        <v>290.9429999999702</v>
      </c>
      <c r="AGH22" s="16">
        <f t="shared" si="410"/>
        <v>233.80299999995623</v>
      </c>
      <c r="AGI22" s="16">
        <f t="shared" si="410"/>
        <v>319.54200000001583</v>
      </c>
      <c r="AGJ22" s="16">
        <f t="shared" si="410"/>
        <v>346.8519999999553</v>
      </c>
      <c r="AGK22" s="16">
        <f t="shared" si="410"/>
        <v>417.39500000001863</v>
      </c>
      <c r="AGL22" s="16">
        <f t="shared" si="410"/>
        <v>257.17800000007264</v>
      </c>
      <c r="AGM22" s="16">
        <f t="shared" si="410"/>
        <v>290.32399999990594</v>
      </c>
      <c r="AGN22" s="16">
        <f t="shared" si="410"/>
        <v>277.56800000008661</v>
      </c>
      <c r="AGO22" s="16">
        <f t="shared" si="410"/>
        <v>371.80299999995623</v>
      </c>
      <c r="AGP22" s="16">
        <f t="shared" si="410"/>
        <v>399.64899999997579</v>
      </c>
      <c r="AGQ22" s="16">
        <f t="shared" si="410"/>
        <v>380.5010000000475</v>
      </c>
      <c r="AGR22" s="16">
        <f t="shared" si="410"/>
        <v>363.49100000003818</v>
      </c>
      <c r="AGS22" s="16">
        <f t="shared" si="410"/>
        <v>321.60399999993388</v>
      </c>
      <c r="AGT22" s="16">
        <f t="shared" si="410"/>
        <v>412.82799999997951</v>
      </c>
      <c r="AGU22" s="16">
        <f t="shared" si="410"/>
        <v>275.96900000004098</v>
      </c>
      <c r="AGV22" s="16">
        <f t="shared" si="410"/>
        <v>252.79700000002049</v>
      </c>
      <c r="AGW22" s="16">
        <f t="shared" si="410"/>
        <v>366.4309999999823</v>
      </c>
      <c r="AGX22" s="16">
        <f t="shared" si="410"/>
        <v>460.70999999996275</v>
      </c>
      <c r="AGY22" s="16">
        <f t="shared" si="410"/>
        <v>443.90600000007544</v>
      </c>
      <c r="AGZ22" s="127">
        <f>SUM(AFV22:AGY22)</f>
        <v>10122.589000000036</v>
      </c>
      <c r="AHA22" s="16">
        <f t="shared" ref="AHA22:AIE22" si="411">AHA21-AHA20</f>
        <v>259.16599999996834</v>
      </c>
      <c r="AHB22" s="16">
        <f t="shared" si="411"/>
        <v>377.57299999997485</v>
      </c>
      <c r="AHC22" s="16">
        <f t="shared" si="411"/>
        <v>539.70400000002701</v>
      </c>
      <c r="AHD22" s="16">
        <f t="shared" si="411"/>
        <v>334.27700000000186</v>
      </c>
      <c r="AHE22" s="16">
        <f t="shared" si="411"/>
        <v>589.01300000003539</v>
      </c>
      <c r="AHF22" s="16">
        <f t="shared" si="411"/>
        <v>282.61199999996461</v>
      </c>
      <c r="AHG22" s="16">
        <f t="shared" si="411"/>
        <v>295.89899999997579</v>
      </c>
      <c r="AHH22" s="16">
        <f t="shared" si="411"/>
        <v>351.4769999999553</v>
      </c>
      <c r="AHI22" s="16">
        <f t="shared" si="411"/>
        <v>371.30200000002515</v>
      </c>
      <c r="AHJ22" s="16">
        <f t="shared" si="411"/>
        <v>352.45500000007451</v>
      </c>
      <c r="AHK22" s="16">
        <f t="shared" si="411"/>
        <v>225.29199999989942</v>
      </c>
      <c r="AHL22" s="16">
        <f t="shared" si="411"/>
        <v>438.62800000002608</v>
      </c>
      <c r="AHM22" s="16">
        <f t="shared" si="411"/>
        <v>456.02000000001863</v>
      </c>
      <c r="AHN22" s="16">
        <f t="shared" si="411"/>
        <v>271.71200000005774</v>
      </c>
      <c r="AHO22" s="16">
        <f t="shared" si="411"/>
        <v>320.74599999992643</v>
      </c>
      <c r="AHP22" s="16">
        <f t="shared" si="411"/>
        <v>385.46200000005774</v>
      </c>
      <c r="AHQ22" s="16">
        <f t="shared" si="411"/>
        <v>376.53099999995902</v>
      </c>
      <c r="AHR22" s="16">
        <f t="shared" si="411"/>
        <v>290.01600000006147</v>
      </c>
      <c r="AHS22" s="16">
        <f t="shared" si="411"/>
        <v>318.24099999992177</v>
      </c>
      <c r="AHT22" s="16">
        <f t="shared" si="411"/>
        <v>390.16399999998976</v>
      </c>
      <c r="AHU22" s="16">
        <f t="shared" si="411"/>
        <v>390.90100000007078</v>
      </c>
      <c r="AHV22" s="16">
        <f t="shared" si="411"/>
        <v>468.70699999993667</v>
      </c>
      <c r="AHW22" s="16">
        <f t="shared" si="411"/>
        <v>499.21799999999348</v>
      </c>
      <c r="AHX22" s="16">
        <f t="shared" si="411"/>
        <v>317.25800000003073</v>
      </c>
      <c r="AHY22" s="16">
        <f t="shared" si="411"/>
        <v>281.74499999999534</v>
      </c>
      <c r="AHZ22" s="16">
        <f t="shared" si="411"/>
        <v>200.90000000002328</v>
      </c>
      <c r="AIA22" s="16">
        <f t="shared" si="411"/>
        <v>197.02000000001863</v>
      </c>
      <c r="AIB22" s="16">
        <f t="shared" si="411"/>
        <v>171.28099999995902</v>
      </c>
      <c r="AIC22" s="16">
        <f t="shared" si="411"/>
        <v>257.77099999994971</v>
      </c>
      <c r="AID22" s="16">
        <f t="shared" si="411"/>
        <v>370.4320000000298</v>
      </c>
      <c r="AIE22" s="16">
        <f t="shared" si="411"/>
        <v>380.66399999998976</v>
      </c>
      <c r="AIF22" s="127">
        <f>SUM(AHA22:AIE22)</f>
        <v>10762.186999999918</v>
      </c>
      <c r="AIG22" s="16">
        <f t="shared" ref="AIG22:AJK22" si="412">AIG21-AIG20</f>
        <v>289.14199999999255</v>
      </c>
      <c r="AIH22" s="16">
        <f t="shared" si="412"/>
        <v>286.09400000004098</v>
      </c>
      <c r="AII22" s="16">
        <f t="shared" si="412"/>
        <v>354.85800000000745</v>
      </c>
      <c r="AIJ22" s="16">
        <f t="shared" si="412"/>
        <v>167.40000000002328</v>
      </c>
      <c r="AIK22" s="16">
        <f t="shared" si="412"/>
        <v>275.85300000000279</v>
      </c>
      <c r="AIL22" s="16">
        <f t="shared" si="412"/>
        <v>405.49800000002142</v>
      </c>
      <c r="AIM22" s="16">
        <f t="shared" si="412"/>
        <v>242.77399999997579</v>
      </c>
      <c r="AIN22" s="16">
        <f t="shared" si="412"/>
        <v>350.17299999995157</v>
      </c>
      <c r="AIO22" s="16">
        <f t="shared" si="412"/>
        <v>363.68500000005588</v>
      </c>
      <c r="AIP22" s="16">
        <f t="shared" si="412"/>
        <v>441.2160000000149</v>
      </c>
      <c r="AIQ22" s="16">
        <f t="shared" si="412"/>
        <v>178.89999999990687</v>
      </c>
      <c r="AIR22" s="16">
        <f t="shared" si="412"/>
        <v>211.29000000003725</v>
      </c>
      <c r="AIS22" s="16">
        <f t="shared" si="412"/>
        <v>268.87899999995716</v>
      </c>
      <c r="AIT22" s="16">
        <f t="shared" si="412"/>
        <v>235.68600000010338</v>
      </c>
      <c r="AIU22" s="16">
        <f t="shared" si="412"/>
        <v>136.53799999994226</v>
      </c>
      <c r="AIV22" s="16">
        <f t="shared" si="412"/>
        <v>105.44700000004377</v>
      </c>
      <c r="AIW22" s="16">
        <f t="shared" si="412"/>
        <v>144.16299999994226</v>
      </c>
      <c r="AIX22" s="16">
        <f t="shared" si="412"/>
        <v>190.45900000003166</v>
      </c>
      <c r="AIY22" s="16">
        <f t="shared" si="412"/>
        <v>234.60899999993853</v>
      </c>
      <c r="AIZ22" s="16">
        <f t="shared" si="412"/>
        <v>241.55000000004657</v>
      </c>
      <c r="AJA22" s="16">
        <f t="shared" si="412"/>
        <v>389.32600000000093</v>
      </c>
      <c r="AJB22" s="16">
        <f t="shared" si="412"/>
        <v>245.69499999994878</v>
      </c>
      <c r="AJC22" s="16">
        <f t="shared" si="412"/>
        <v>229.16700000001583</v>
      </c>
      <c r="AJD22" s="16">
        <f t="shared" si="412"/>
        <v>243.51900000008754</v>
      </c>
      <c r="AJE22" s="16">
        <f t="shared" si="412"/>
        <v>158.08099999988917</v>
      </c>
      <c r="AJF22" s="16">
        <f t="shared" si="412"/>
        <v>252.37100000004284</v>
      </c>
      <c r="AJG22" s="16">
        <f t="shared" si="412"/>
        <v>378.10600000002887</v>
      </c>
      <c r="AJH22" s="16">
        <f t="shared" si="412"/>
        <v>300.44900000002235</v>
      </c>
      <c r="AJI22" s="16">
        <f t="shared" si="412"/>
        <v>200.13000000000466</v>
      </c>
      <c r="AJJ22" s="16">
        <f t="shared" si="412"/>
        <v>297.01799999992363</v>
      </c>
      <c r="AJK22" s="16">
        <f t="shared" si="412"/>
        <v>291.35900000005495</v>
      </c>
      <c r="AJL22" s="127">
        <f>SUM(AIG22:AJK22)</f>
        <v>8109.4350000000559</v>
      </c>
      <c r="AJM22" s="16">
        <f t="shared" ref="AJM22:AKN22" si="413">AJM21-AJM20</f>
        <v>331.35999999998603</v>
      </c>
      <c r="AJN22" s="16">
        <f t="shared" si="413"/>
        <v>389.82299999997485</v>
      </c>
      <c r="AJO22" s="16">
        <f t="shared" si="413"/>
        <v>262.21299999998882</v>
      </c>
      <c r="AJP22" s="16">
        <f t="shared" si="413"/>
        <v>279.17300000006799</v>
      </c>
      <c r="AJQ22" s="16">
        <f t="shared" si="413"/>
        <v>275.68599999998696</v>
      </c>
      <c r="AJR22" s="16">
        <f t="shared" si="413"/>
        <v>224.16499999992084</v>
      </c>
      <c r="AJS22" s="16">
        <f t="shared" si="413"/>
        <v>243.95000000006985</v>
      </c>
      <c r="AJT22" s="16">
        <f t="shared" si="413"/>
        <v>366.01699999999255</v>
      </c>
      <c r="AJU22" s="16">
        <f t="shared" si="413"/>
        <v>345.51800000004005</v>
      </c>
      <c r="AJV22" s="16">
        <f t="shared" si="413"/>
        <v>389.62899999995716</v>
      </c>
      <c r="AJW22" s="16">
        <f t="shared" si="413"/>
        <v>283.30999999993946</v>
      </c>
      <c r="AJX22" s="16">
        <f t="shared" si="413"/>
        <v>353.10600000002887</v>
      </c>
      <c r="AJY22" s="16">
        <f t="shared" si="413"/>
        <v>359.19000000006054</v>
      </c>
      <c r="AJZ22" s="16">
        <f t="shared" si="413"/>
        <v>278.73099999991246</v>
      </c>
      <c r="AKA22" s="16">
        <f t="shared" si="413"/>
        <v>340.05200000002515</v>
      </c>
      <c r="AKB22" s="16">
        <f t="shared" si="413"/>
        <v>268.38900000008289</v>
      </c>
      <c r="AKC22" s="16">
        <f t="shared" si="413"/>
        <v>253.74699999997392</v>
      </c>
      <c r="AKD22" s="16">
        <f t="shared" si="413"/>
        <v>200.91499999992084</v>
      </c>
      <c r="AKE22" s="16">
        <f t="shared" si="413"/>
        <v>230.91200000001118</v>
      </c>
      <c r="AKF22" s="16">
        <f t="shared" si="413"/>
        <v>434.19599999999627</v>
      </c>
      <c r="AKG22" s="16">
        <f t="shared" si="413"/>
        <v>183.28800000005867</v>
      </c>
      <c r="AKH22" s="16">
        <f t="shared" si="413"/>
        <v>177.63500000000931</v>
      </c>
      <c r="AKI22" s="16">
        <f t="shared" si="413"/>
        <v>317.47499999997672</v>
      </c>
      <c r="AKJ22" s="16">
        <f t="shared" si="413"/>
        <v>379.41200000001118</v>
      </c>
      <c r="AKK22" s="16">
        <f t="shared" si="413"/>
        <v>262.22999999998137</v>
      </c>
      <c r="AKL22" s="16">
        <f t="shared" si="413"/>
        <v>258.74499999999534</v>
      </c>
      <c r="AKM22" s="16">
        <f t="shared" si="413"/>
        <v>250.4670000000624</v>
      </c>
      <c r="AKN22" s="16">
        <f t="shared" si="413"/>
        <v>415.94999999995343</v>
      </c>
      <c r="AKO22" s="127">
        <f>SUM(AJM22:AKN22)</f>
        <v>8355.2839999999851</v>
      </c>
      <c r="AKP22" s="16">
        <f t="shared" ref="AKP22:ALT22" si="414">AKP21-AKP20</f>
        <v>324.62300000002142</v>
      </c>
      <c r="AKQ22" s="16">
        <f t="shared" si="414"/>
        <v>375.9309999999823</v>
      </c>
      <c r="AKR22" s="16">
        <f t="shared" si="414"/>
        <v>359.62300000002142</v>
      </c>
      <c r="AKS22" s="16">
        <f t="shared" si="414"/>
        <v>227.43299999996088</v>
      </c>
      <c r="AKT22" s="16">
        <f t="shared" si="414"/>
        <v>314.38399999996182</v>
      </c>
      <c r="AKU22" s="16">
        <f t="shared" si="414"/>
        <v>256.10400000005029</v>
      </c>
      <c r="AKV22" s="16">
        <f t="shared" si="414"/>
        <v>941.22299999999814</v>
      </c>
      <c r="AKW22" s="16">
        <f t="shared" si="414"/>
        <v>317.16299999994226</v>
      </c>
      <c r="AKX22" s="16">
        <f t="shared" si="414"/>
        <v>178.50500000000466</v>
      </c>
      <c r="AKY22" s="16">
        <f t="shared" si="414"/>
        <v>253.09000000008382</v>
      </c>
      <c r="AKZ22" s="16">
        <f t="shared" si="414"/>
        <v>254.5899999999674</v>
      </c>
      <c r="ALA22" s="16">
        <f t="shared" si="414"/>
        <v>314.01699999999255</v>
      </c>
      <c r="ALB22" s="16">
        <f t="shared" si="414"/>
        <v>296.7160000000149</v>
      </c>
      <c r="ALC22" s="16">
        <f t="shared" si="414"/>
        <v>448.04399999999441</v>
      </c>
      <c r="ALD22" s="16">
        <f t="shared" si="414"/>
        <v>488.48800000001211</v>
      </c>
      <c r="ALE22" s="16">
        <f t="shared" si="414"/>
        <v>315.39399999997113</v>
      </c>
      <c r="ALF22" s="16">
        <f t="shared" si="414"/>
        <v>384.17000000004191</v>
      </c>
      <c r="ALG22" s="16">
        <f t="shared" si="414"/>
        <v>321.33799999998882</v>
      </c>
      <c r="ALH22" s="16">
        <f t="shared" si="414"/>
        <v>382.39300000004005</v>
      </c>
      <c r="ALI22" s="16">
        <f t="shared" si="414"/>
        <v>291.95199999993201</v>
      </c>
      <c r="ALJ22" s="16">
        <f t="shared" si="414"/>
        <v>388.53599999996368</v>
      </c>
      <c r="ALK22" s="16">
        <f t="shared" si="414"/>
        <v>433.90800000005402</v>
      </c>
      <c r="ALL22" s="16">
        <f t="shared" si="414"/>
        <v>434.09499999997206</v>
      </c>
      <c r="ALM22" s="16">
        <f t="shared" si="414"/>
        <v>265.20000000006985</v>
      </c>
      <c r="ALN22" s="16">
        <f t="shared" si="414"/>
        <v>345.19999999995343</v>
      </c>
      <c r="ALO22" s="16">
        <f t="shared" si="414"/>
        <v>388</v>
      </c>
      <c r="ALP22" s="16">
        <f t="shared" si="414"/>
        <v>406.59999999997672</v>
      </c>
      <c r="ALQ22" s="16">
        <f t="shared" si="414"/>
        <v>342.51199999998789</v>
      </c>
      <c r="ALR22" s="16">
        <f t="shared" si="414"/>
        <v>348.40000000002328</v>
      </c>
      <c r="ALS22" s="16">
        <f t="shared" si="414"/>
        <v>429.20000000006985</v>
      </c>
      <c r="ALT22" s="16">
        <f t="shared" si="414"/>
        <v>275.11899999994785</v>
      </c>
      <c r="ALU22" s="127">
        <f>SUM(AKP22:ALT22)</f>
        <v>11101.951000000001</v>
      </c>
      <c r="ALV22" s="16">
        <f t="shared" ref="ALV22:AMY22" si="415">ALV21-ALV20</f>
        <v>397.83600000001024</v>
      </c>
      <c r="ALW22" s="16">
        <f t="shared" si="415"/>
        <v>355.27399999997579</v>
      </c>
      <c r="ALX22" s="16">
        <f t="shared" si="415"/>
        <v>355.93599999998696</v>
      </c>
      <c r="ALY22" s="16">
        <f t="shared" si="415"/>
        <v>279.64600000006612</v>
      </c>
      <c r="ALZ22" s="16">
        <f t="shared" si="415"/>
        <v>158.09099999989849</v>
      </c>
      <c r="AMA22" s="16">
        <f t="shared" si="415"/>
        <v>274.60700000007637</v>
      </c>
      <c r="AMB22" s="16">
        <f t="shared" si="415"/>
        <v>343.0329999999376</v>
      </c>
      <c r="AMC22" s="16">
        <f t="shared" si="415"/>
        <v>369.97000000008848</v>
      </c>
      <c r="AMD22" s="16">
        <f t="shared" si="415"/>
        <v>454.23300000000745</v>
      </c>
      <c r="AME22" s="16">
        <f t="shared" si="415"/>
        <v>328.78599999996368</v>
      </c>
      <c r="AMF22" s="16">
        <f t="shared" si="415"/>
        <v>547.66599999996834</v>
      </c>
      <c r="AMG22" s="16">
        <f t="shared" si="415"/>
        <v>372.97100000001956</v>
      </c>
      <c r="AMH22" s="16">
        <f t="shared" si="415"/>
        <v>354.10800000000745</v>
      </c>
      <c r="AMI22" s="16">
        <f t="shared" si="415"/>
        <v>277.76699999999255</v>
      </c>
      <c r="AMJ22" s="16">
        <f t="shared" si="415"/>
        <v>470.13199999998324</v>
      </c>
      <c r="AMK22" s="16">
        <f t="shared" si="415"/>
        <v>547.76500000001397</v>
      </c>
      <c r="AML22" s="16">
        <f t="shared" si="415"/>
        <v>200.4100000000326</v>
      </c>
      <c r="AMM22" s="16">
        <f t="shared" si="415"/>
        <v>338.68199999991339</v>
      </c>
      <c r="AMN22" s="16">
        <f t="shared" si="415"/>
        <v>386.16899999999441</v>
      </c>
      <c r="AMO22" s="16">
        <f t="shared" si="415"/>
        <v>253.83500000007916</v>
      </c>
      <c r="AMP22" s="16">
        <f t="shared" si="415"/>
        <v>253.74099999992177</v>
      </c>
      <c r="AMQ22" s="16">
        <f t="shared" si="415"/>
        <v>471.23200000007637</v>
      </c>
      <c r="AMR22" s="16">
        <f t="shared" si="415"/>
        <v>333.9419999999227</v>
      </c>
      <c r="AMS22" s="16">
        <f t="shared" si="415"/>
        <v>375.41400000010617</v>
      </c>
      <c r="AMT22" s="16">
        <f t="shared" si="415"/>
        <v>564.08899999991991</v>
      </c>
      <c r="AMU22" s="16">
        <f t="shared" si="415"/>
        <v>316.07900000002701</v>
      </c>
      <c r="AMV22" s="16">
        <f t="shared" si="415"/>
        <v>440.39100000006147</v>
      </c>
      <c r="AMW22" s="16">
        <f t="shared" si="415"/>
        <v>511.34799999999814</v>
      </c>
      <c r="AMX22" s="16">
        <f t="shared" si="415"/>
        <v>393.5339999999851</v>
      </c>
      <c r="AMY22" s="16">
        <f t="shared" si="415"/>
        <v>345.11300000001211</v>
      </c>
      <c r="AMZ22" s="127">
        <f>SUM(ALV22:AMY22)</f>
        <v>11071.800000000047</v>
      </c>
      <c r="ANA22" s="16">
        <f t="shared" ref="ANA22:AOD22" si="416">ANA21-ANA20</f>
        <v>305.95799999998417</v>
      </c>
      <c r="ANB22" s="16">
        <f t="shared" si="416"/>
        <v>267.72800000000279</v>
      </c>
      <c r="ANC22" s="16">
        <f t="shared" si="416"/>
        <v>143.70999999996275</v>
      </c>
      <c r="AND22" s="16">
        <f t="shared" si="416"/>
        <v>252.06999999994878</v>
      </c>
      <c r="ANE22" s="16">
        <f t="shared" si="416"/>
        <v>109.07400000002235</v>
      </c>
      <c r="ANF22" s="16">
        <f t="shared" si="416"/>
        <v>257.07600000000093</v>
      </c>
      <c r="ANG22" s="16">
        <f t="shared" si="416"/>
        <v>188.29500000004191</v>
      </c>
      <c r="ANH22" s="16">
        <f t="shared" si="416"/>
        <v>181.15299999993294</v>
      </c>
      <c r="ANI22" s="16">
        <f t="shared" si="416"/>
        <v>314.29100000008475</v>
      </c>
      <c r="ANJ22" s="16">
        <f t="shared" si="416"/>
        <v>279.82799999997951</v>
      </c>
      <c r="ANK22" s="16">
        <f t="shared" si="416"/>
        <v>232.17299999995157</v>
      </c>
      <c r="ANL22" s="16">
        <f t="shared" si="416"/>
        <v>200.0230000000447</v>
      </c>
      <c r="ANM22" s="16">
        <f t="shared" si="416"/>
        <v>239.86399999994319</v>
      </c>
      <c r="ANN22" s="16">
        <f t="shared" si="416"/>
        <v>220.27600000007078</v>
      </c>
      <c r="ANO22" s="16">
        <f t="shared" si="416"/>
        <v>247.08400000003166</v>
      </c>
      <c r="ANP22" s="16">
        <f t="shared" si="416"/>
        <v>287.09299999999348</v>
      </c>
      <c r="ANQ22" s="16">
        <f t="shared" si="416"/>
        <v>219.56499999994412</v>
      </c>
      <c r="ANR22" s="16">
        <f t="shared" si="416"/>
        <v>240.34499999997206</v>
      </c>
      <c r="ANS22" s="16">
        <f t="shared" si="416"/>
        <v>377.14000000001397</v>
      </c>
      <c r="ANT22" s="16">
        <f t="shared" si="416"/>
        <v>332.95799999998417</v>
      </c>
      <c r="ANU22" s="16">
        <f t="shared" si="416"/>
        <v>285.09600000001956</v>
      </c>
      <c r="ANV22" s="16">
        <f t="shared" si="416"/>
        <v>536.8410000000149</v>
      </c>
      <c r="ANW22" s="16">
        <f t="shared" si="416"/>
        <v>332.88000000000466</v>
      </c>
      <c r="ANX22" s="16">
        <f t="shared" si="416"/>
        <v>305.3059999999823</v>
      </c>
      <c r="ANY22" s="16">
        <f t="shared" si="416"/>
        <v>272.73499999998603</v>
      </c>
      <c r="ANZ22" s="16">
        <f t="shared" si="416"/>
        <v>501.08400000003166</v>
      </c>
      <c r="AOA22" s="16">
        <f t="shared" si="416"/>
        <v>237.45200000004843</v>
      </c>
      <c r="AOB22" s="16">
        <f t="shared" si="416"/>
        <v>334.20499999995809</v>
      </c>
      <c r="AOC22" s="16">
        <f t="shared" si="416"/>
        <v>413.39300000004005</v>
      </c>
      <c r="AOD22" s="16">
        <f t="shared" si="416"/>
        <v>283.82899999991059</v>
      </c>
    </row>
    <row r="23" spans="1:1072" x14ac:dyDescent="0.2">
      <c r="A23" s="157"/>
      <c r="B23" s="159" t="s">
        <v>771</v>
      </c>
      <c r="C23" s="47" t="s">
        <v>756</v>
      </c>
      <c r="D23" s="48">
        <v>272677.38099999999</v>
      </c>
      <c r="E23" s="18">
        <f t="shared" ref="E23:AH23" si="417">D24</f>
        <v>272926.37199999997</v>
      </c>
      <c r="F23" s="18">
        <f t="shared" si="417"/>
        <v>273198.92499999999</v>
      </c>
      <c r="G23" s="18">
        <f t="shared" si="417"/>
        <v>273404.995</v>
      </c>
      <c r="H23" s="18">
        <f t="shared" si="417"/>
        <v>273790.93</v>
      </c>
      <c r="I23" s="18">
        <f t="shared" si="417"/>
        <v>274119.00199999998</v>
      </c>
      <c r="J23" s="18">
        <f t="shared" si="417"/>
        <v>274360.86300000001</v>
      </c>
      <c r="K23" s="18">
        <f t="shared" si="417"/>
        <v>274646.47700000001</v>
      </c>
      <c r="L23" s="18">
        <f t="shared" si="417"/>
        <v>274831.61700000003</v>
      </c>
      <c r="M23" s="18">
        <f t="shared" si="417"/>
        <v>275074.609</v>
      </c>
      <c r="N23" s="18">
        <f t="shared" si="417"/>
        <v>275339.96500000003</v>
      </c>
      <c r="O23" s="18">
        <f t="shared" si="417"/>
        <v>275572.20600000001</v>
      </c>
      <c r="P23" s="18">
        <f t="shared" si="417"/>
        <v>275729.82900000003</v>
      </c>
      <c r="Q23" s="18">
        <f t="shared" si="417"/>
        <v>275906.58600000001</v>
      </c>
      <c r="R23" s="18">
        <f t="shared" si="417"/>
        <v>276153.34999999998</v>
      </c>
      <c r="S23" s="18">
        <f t="shared" si="417"/>
        <v>276429.23499999999</v>
      </c>
      <c r="T23" s="18">
        <f t="shared" si="417"/>
        <v>276574.37800000003</v>
      </c>
      <c r="U23" s="18">
        <f t="shared" si="417"/>
        <v>276813.06599999999</v>
      </c>
      <c r="V23" s="18">
        <f t="shared" si="417"/>
        <v>277063.47399999999</v>
      </c>
      <c r="W23" s="18">
        <f t="shared" si="417"/>
        <v>277208.61499999999</v>
      </c>
      <c r="X23" s="18">
        <f t="shared" si="417"/>
        <v>277378.27299999999</v>
      </c>
      <c r="Y23" s="18">
        <f t="shared" si="417"/>
        <v>277614.38099999999</v>
      </c>
      <c r="Z23" s="18">
        <f t="shared" si="417"/>
        <v>278036.087</v>
      </c>
      <c r="AA23" s="18">
        <f t="shared" si="417"/>
        <v>278291.12</v>
      </c>
      <c r="AB23" s="18">
        <f t="shared" si="417"/>
        <v>278576.80099999998</v>
      </c>
      <c r="AC23" s="18">
        <f t="shared" si="417"/>
        <v>278856.886</v>
      </c>
      <c r="AD23" s="18">
        <f t="shared" si="417"/>
        <v>279117.28499999997</v>
      </c>
      <c r="AE23" s="18">
        <f t="shared" si="417"/>
        <v>279235.12300000002</v>
      </c>
      <c r="AF23" s="18">
        <f t="shared" si="417"/>
        <v>279385.69400000002</v>
      </c>
      <c r="AG23" s="18">
        <f t="shared" si="417"/>
        <v>279856.44799999997</v>
      </c>
      <c r="AH23" s="18">
        <f t="shared" si="417"/>
        <v>280269.16100000002</v>
      </c>
      <c r="AI23" s="17"/>
      <c r="AJ23" s="90">
        <f>AH24</f>
        <v>280598.49400000001</v>
      </c>
      <c r="AK23" s="13">
        <f t="shared" ref="AK23:BM23" si="418">AJ24</f>
        <v>280876.52600000001</v>
      </c>
      <c r="AL23" s="13">
        <f t="shared" si="418"/>
        <v>281223.43599999999</v>
      </c>
      <c r="AM23" s="13">
        <f t="shared" si="418"/>
        <v>281685.261</v>
      </c>
      <c r="AN23" s="13">
        <f t="shared" si="418"/>
        <v>281999.31900000002</v>
      </c>
      <c r="AO23" s="13">
        <f t="shared" si="418"/>
        <v>282470.587</v>
      </c>
      <c r="AP23" s="13">
        <f t="shared" si="418"/>
        <v>282873.11599999998</v>
      </c>
      <c r="AQ23" s="13">
        <f t="shared" si="418"/>
        <v>283230.89600000001</v>
      </c>
      <c r="AR23" s="13">
        <f t="shared" si="418"/>
        <v>283615.48800000001</v>
      </c>
      <c r="AS23" s="13">
        <f t="shared" si="418"/>
        <v>283882.26500000001</v>
      </c>
      <c r="AT23" s="13">
        <f t="shared" si="418"/>
        <v>284222.44099999999</v>
      </c>
      <c r="AU23" s="13">
        <f t="shared" si="418"/>
        <v>284558.967</v>
      </c>
      <c r="AV23" s="13">
        <f t="shared" si="418"/>
        <v>284894.30200000003</v>
      </c>
      <c r="AW23" s="13">
        <f t="shared" si="418"/>
        <v>285203.54800000001</v>
      </c>
      <c r="AX23" s="13">
        <f t="shared" si="418"/>
        <v>285481.701</v>
      </c>
      <c r="AY23" s="13">
        <f t="shared" si="418"/>
        <v>285704.614</v>
      </c>
      <c r="AZ23" s="13">
        <f t="shared" si="418"/>
        <v>285960.30200000003</v>
      </c>
      <c r="BA23" s="13">
        <f t="shared" si="418"/>
        <v>286167.429</v>
      </c>
      <c r="BB23" s="13">
        <f t="shared" si="418"/>
        <v>286380.68199999997</v>
      </c>
      <c r="BC23" s="13">
        <f t="shared" si="418"/>
        <v>286604.549</v>
      </c>
      <c r="BD23" s="13">
        <f t="shared" si="418"/>
        <v>286798.41499999998</v>
      </c>
      <c r="BE23" s="13">
        <f t="shared" si="418"/>
        <v>287029.429</v>
      </c>
      <c r="BF23" s="13">
        <f t="shared" si="418"/>
        <v>287314.73800000001</v>
      </c>
      <c r="BG23" s="13">
        <f t="shared" si="418"/>
        <v>287646.147</v>
      </c>
      <c r="BH23" s="13">
        <f t="shared" si="418"/>
        <v>287934.91800000001</v>
      </c>
      <c r="BI23" s="13">
        <f t="shared" si="418"/>
        <v>288177.141</v>
      </c>
      <c r="BJ23" s="13">
        <f t="shared" si="418"/>
        <v>288424.88400000002</v>
      </c>
      <c r="BK23" s="13">
        <f t="shared" si="418"/>
        <v>288671.62099999998</v>
      </c>
      <c r="BL23" s="13">
        <f t="shared" si="418"/>
        <v>288881.37800000003</v>
      </c>
      <c r="BM23" s="13">
        <f t="shared" si="418"/>
        <v>289060.55599999998</v>
      </c>
      <c r="BO23" s="13">
        <f>BM24</f>
        <v>289288.01400000002</v>
      </c>
      <c r="BP23">
        <f t="shared" ref="BP23:CS23" si="419">BO24</f>
        <v>289410.429</v>
      </c>
      <c r="BQ23">
        <f t="shared" si="419"/>
        <v>289553.64600000001</v>
      </c>
      <c r="BR23">
        <f t="shared" si="419"/>
        <v>289884.54300000001</v>
      </c>
      <c r="BS23">
        <f t="shared" si="419"/>
        <v>290055.03600000002</v>
      </c>
      <c r="BT23">
        <f t="shared" si="419"/>
        <v>290368.97399999999</v>
      </c>
      <c r="BU23">
        <f t="shared" si="419"/>
        <v>290661.88900000002</v>
      </c>
      <c r="BV23">
        <f t="shared" si="419"/>
        <v>290924.50199999998</v>
      </c>
      <c r="BW23">
        <f t="shared" si="419"/>
        <v>291113.58</v>
      </c>
      <c r="BX23">
        <f t="shared" si="419"/>
        <v>291412.56699999998</v>
      </c>
      <c r="BY23">
        <f t="shared" si="419"/>
        <v>291677.40000000002</v>
      </c>
      <c r="BZ23">
        <f t="shared" si="419"/>
        <v>291932.533</v>
      </c>
      <c r="CA23">
        <f t="shared" si="419"/>
        <v>292257.76400000002</v>
      </c>
      <c r="CB23">
        <f t="shared" si="419"/>
        <v>292497.14</v>
      </c>
      <c r="CC23">
        <f t="shared" si="419"/>
        <v>292770.85600000003</v>
      </c>
      <c r="CD23">
        <f t="shared" si="419"/>
        <v>292925.38699999999</v>
      </c>
      <c r="CE23">
        <f t="shared" si="419"/>
        <v>293184.96500000003</v>
      </c>
      <c r="CF23">
        <f t="shared" si="419"/>
        <v>293453.837</v>
      </c>
      <c r="CG23">
        <f t="shared" si="419"/>
        <v>293588.37099999998</v>
      </c>
      <c r="CH23">
        <f t="shared" si="419"/>
        <v>293754.29300000001</v>
      </c>
      <c r="CI23">
        <f t="shared" si="419"/>
        <v>293977.23100000003</v>
      </c>
      <c r="CJ23">
        <f t="shared" si="419"/>
        <v>294130.75300000003</v>
      </c>
      <c r="CK23">
        <f t="shared" si="419"/>
        <v>294390.53100000002</v>
      </c>
      <c r="CL23">
        <f t="shared" si="419"/>
        <v>294630.91499999998</v>
      </c>
      <c r="CM23">
        <f t="shared" si="419"/>
        <v>294806.25</v>
      </c>
      <c r="CN23">
        <f t="shared" si="419"/>
        <v>294982.902</v>
      </c>
      <c r="CO23">
        <f t="shared" si="419"/>
        <v>295206.32400000002</v>
      </c>
      <c r="CP23">
        <f t="shared" si="419"/>
        <v>295381.462</v>
      </c>
      <c r="CQ23">
        <f t="shared" si="419"/>
        <v>295637.94799999997</v>
      </c>
      <c r="CR23">
        <f t="shared" si="419"/>
        <v>295840.96399999998</v>
      </c>
      <c r="CS23">
        <f t="shared" si="419"/>
        <v>296132.511</v>
      </c>
      <c r="CU23" s="13">
        <f>CS24</f>
        <v>296402.49800000002</v>
      </c>
      <c r="CV23">
        <f t="shared" ref="CV23:DX23" si="420">CU24</f>
        <v>296706.62699999998</v>
      </c>
      <c r="CW23">
        <f t="shared" si="420"/>
        <v>296919.39199999999</v>
      </c>
      <c r="CX23">
        <f t="shared" si="420"/>
        <v>297122.91100000002</v>
      </c>
      <c r="CY23">
        <f t="shared" si="420"/>
        <v>297517.234</v>
      </c>
      <c r="CZ23">
        <f t="shared" si="420"/>
        <v>297707.32500000001</v>
      </c>
      <c r="DA23">
        <f t="shared" si="420"/>
        <v>297985.49099999998</v>
      </c>
      <c r="DB23">
        <f t="shared" si="420"/>
        <v>298188.91200000001</v>
      </c>
      <c r="DC23">
        <f t="shared" si="420"/>
        <v>298546.36200000002</v>
      </c>
      <c r="DD23">
        <f t="shared" si="420"/>
        <v>298850.65700000001</v>
      </c>
      <c r="DE23">
        <f t="shared" si="420"/>
        <v>299087.89500000002</v>
      </c>
      <c r="DF23">
        <f t="shared" si="420"/>
        <v>299281.05200000003</v>
      </c>
      <c r="DG23">
        <f t="shared" si="420"/>
        <v>299424.23</v>
      </c>
      <c r="DH23">
        <f t="shared" si="420"/>
        <v>299525.837</v>
      </c>
      <c r="DI23">
        <f t="shared" si="420"/>
        <v>299717.13699999999</v>
      </c>
      <c r="DJ23">
        <f t="shared" si="420"/>
        <v>299845.00199999998</v>
      </c>
      <c r="DK23">
        <f t="shared" si="420"/>
        <v>300084.65000000002</v>
      </c>
      <c r="DL23">
        <f t="shared" si="420"/>
        <v>300348.09000000003</v>
      </c>
      <c r="DM23">
        <f t="shared" si="420"/>
        <v>300566.86499999999</v>
      </c>
      <c r="DN23">
        <f t="shared" si="420"/>
        <v>300756.01</v>
      </c>
      <c r="DO23">
        <f t="shared" si="420"/>
        <v>301031.58799999999</v>
      </c>
      <c r="DP23">
        <f t="shared" si="420"/>
        <v>301264.41499999998</v>
      </c>
      <c r="DQ23">
        <f t="shared" si="420"/>
        <v>301524.94799999997</v>
      </c>
      <c r="DR23">
        <f t="shared" si="420"/>
        <v>301718.72700000001</v>
      </c>
      <c r="DS23">
        <f t="shared" si="420"/>
        <v>301924.30900000001</v>
      </c>
      <c r="DT23">
        <f t="shared" si="420"/>
        <v>302074.67700000003</v>
      </c>
      <c r="DU23">
        <f t="shared" si="420"/>
        <v>302216.35399999999</v>
      </c>
      <c r="DV23">
        <f t="shared" si="420"/>
        <v>302422.75599999999</v>
      </c>
      <c r="DW23">
        <f t="shared" si="420"/>
        <v>302789.28499999997</v>
      </c>
      <c r="DX23">
        <f t="shared" si="420"/>
        <v>303097.23499999999</v>
      </c>
      <c r="DY23" s="117"/>
      <c r="DZ23">
        <f>DX24</f>
        <v>303468.97600000002</v>
      </c>
      <c r="EA23">
        <f t="shared" ref="EA23:FD23" si="421">DZ24</f>
        <v>303812.24400000001</v>
      </c>
      <c r="EB23">
        <f t="shared" si="421"/>
        <v>304132.17599999998</v>
      </c>
      <c r="EC23">
        <f t="shared" si="421"/>
        <v>304375.06</v>
      </c>
      <c r="ED23">
        <f t="shared" si="421"/>
        <v>304555.413</v>
      </c>
      <c r="EE23">
        <f t="shared" si="421"/>
        <v>304805.43099999998</v>
      </c>
      <c r="EF23">
        <f t="shared" si="421"/>
        <v>305082.728</v>
      </c>
      <c r="EG23">
        <f t="shared" si="421"/>
        <v>305533.66499999998</v>
      </c>
      <c r="EH23">
        <f t="shared" si="421"/>
        <v>305876.95799999998</v>
      </c>
      <c r="EI23">
        <f t="shared" si="421"/>
        <v>306168.63500000001</v>
      </c>
      <c r="EJ23">
        <f t="shared" si="421"/>
        <v>306351.08600000001</v>
      </c>
      <c r="EK23">
        <f t="shared" si="421"/>
        <v>306713.11800000002</v>
      </c>
      <c r="EL23">
        <f t="shared" si="421"/>
        <v>307200.51899999997</v>
      </c>
      <c r="EM23">
        <f t="shared" si="421"/>
        <v>307573.60100000002</v>
      </c>
      <c r="EN23">
        <f t="shared" si="421"/>
        <v>307945.72200000001</v>
      </c>
      <c r="EO23">
        <f t="shared" si="421"/>
        <v>308207.40100000001</v>
      </c>
      <c r="EP23">
        <f t="shared" si="421"/>
        <v>308456.04800000001</v>
      </c>
      <c r="EQ23">
        <f t="shared" si="421"/>
        <v>308668.81199999998</v>
      </c>
      <c r="ER23">
        <f t="shared" si="421"/>
        <v>309003.41499999998</v>
      </c>
      <c r="ES23">
        <f t="shared" si="421"/>
        <v>309276.58199999999</v>
      </c>
      <c r="ET23">
        <f t="shared" si="421"/>
        <v>309577.57299999997</v>
      </c>
      <c r="EU23">
        <f t="shared" si="421"/>
        <v>309967.848</v>
      </c>
      <c r="EV23">
        <f t="shared" si="421"/>
        <v>310266.57299999997</v>
      </c>
      <c r="EW23">
        <f t="shared" si="421"/>
        <v>310682.41899999999</v>
      </c>
      <c r="EX23">
        <f t="shared" si="421"/>
        <v>310916.42099999997</v>
      </c>
      <c r="EY23">
        <f t="shared" si="421"/>
        <v>311066.30900000001</v>
      </c>
      <c r="EZ23">
        <f t="shared" si="421"/>
        <v>311386.71000000002</v>
      </c>
      <c r="FA23">
        <f t="shared" si="421"/>
        <v>311584.48599999998</v>
      </c>
      <c r="FB23">
        <f t="shared" si="421"/>
        <v>311902.859</v>
      </c>
      <c r="FC23">
        <f t="shared" si="421"/>
        <v>312109.68</v>
      </c>
      <c r="FD23">
        <f t="shared" si="421"/>
        <v>312500.79100000003</v>
      </c>
      <c r="FE23" s="126"/>
      <c r="FF23">
        <f>FD24</f>
        <v>312745.42499999999</v>
      </c>
      <c r="FG23">
        <f t="shared" ref="FG23:GJ23" si="422">FF24</f>
        <v>312995.31300000002</v>
      </c>
      <c r="FH23">
        <f t="shared" si="422"/>
        <v>313210.34600000002</v>
      </c>
      <c r="FI23">
        <f t="shared" si="422"/>
        <v>313568.88299999997</v>
      </c>
      <c r="FJ23">
        <f t="shared" si="422"/>
        <v>313866.77399999998</v>
      </c>
      <c r="FK23">
        <f t="shared" si="422"/>
        <v>314169.44900000002</v>
      </c>
      <c r="FL23">
        <f t="shared" si="422"/>
        <v>314395.54800000001</v>
      </c>
      <c r="FM23">
        <f t="shared" si="422"/>
        <v>314662.72700000001</v>
      </c>
      <c r="FN23">
        <f t="shared" si="422"/>
        <v>314843.52899999998</v>
      </c>
      <c r="FO23">
        <f t="shared" si="422"/>
        <v>315098.75900000002</v>
      </c>
      <c r="FP23">
        <f t="shared" si="422"/>
        <v>315299.03700000001</v>
      </c>
      <c r="FQ23">
        <f t="shared" si="422"/>
        <v>315641.07400000002</v>
      </c>
      <c r="FR23">
        <f t="shared" si="422"/>
        <v>316022.098</v>
      </c>
      <c r="FS23">
        <f t="shared" si="422"/>
        <v>316285.36200000002</v>
      </c>
      <c r="FT23">
        <f t="shared" si="422"/>
        <v>316586.56900000002</v>
      </c>
      <c r="FU23">
        <f t="shared" si="422"/>
        <v>316841.19099999999</v>
      </c>
      <c r="FV23">
        <f t="shared" si="422"/>
        <v>317088.99699999997</v>
      </c>
      <c r="FW23">
        <f t="shared" si="422"/>
        <v>317379.89500000002</v>
      </c>
      <c r="FX23">
        <f t="shared" si="422"/>
        <v>317680.179</v>
      </c>
      <c r="FY23">
        <f t="shared" si="422"/>
        <v>318230.20899999997</v>
      </c>
      <c r="FZ23">
        <f t="shared" si="422"/>
        <v>318590.63199999998</v>
      </c>
      <c r="GA23">
        <f t="shared" si="422"/>
        <v>318774.11499999999</v>
      </c>
      <c r="GB23">
        <f t="shared" si="422"/>
        <v>319050.15999999997</v>
      </c>
      <c r="GC23">
        <f t="shared" si="422"/>
        <v>319496.82299999997</v>
      </c>
      <c r="GD23">
        <f t="shared" si="422"/>
        <v>319746.25699999998</v>
      </c>
      <c r="GE23">
        <f t="shared" si="422"/>
        <v>320010.76</v>
      </c>
      <c r="GF23">
        <f t="shared" si="422"/>
        <v>320377.95199999999</v>
      </c>
      <c r="GG23">
        <f t="shared" si="422"/>
        <v>320601.84899999999</v>
      </c>
      <c r="GH23">
        <f t="shared" si="422"/>
        <v>320794.62099999998</v>
      </c>
      <c r="GI23">
        <f t="shared" si="422"/>
        <v>321098.31099999999</v>
      </c>
      <c r="GJ23">
        <f t="shared" si="422"/>
        <v>321283.22499999998</v>
      </c>
      <c r="GK23" s="127">
        <f>SUM(FF23:GJ23)</f>
        <v>9826436.0689999983</v>
      </c>
      <c r="GL23">
        <f>GJ24</f>
        <v>321613.16399999999</v>
      </c>
      <c r="GM23">
        <f t="shared" ref="GM23:HN23" si="423">GL24</f>
        <v>321916.34000000003</v>
      </c>
      <c r="GN23">
        <f t="shared" si="423"/>
        <v>322238.79300000001</v>
      </c>
      <c r="GO23">
        <f t="shared" si="423"/>
        <v>322526.75699999998</v>
      </c>
      <c r="GP23">
        <f t="shared" si="423"/>
        <v>322709.20699999999</v>
      </c>
      <c r="GQ23">
        <f t="shared" si="423"/>
        <v>322984.23200000002</v>
      </c>
      <c r="GR23">
        <f t="shared" si="423"/>
        <v>323225.44300000003</v>
      </c>
      <c r="GS23">
        <f t="shared" si="423"/>
        <v>323455.66899999999</v>
      </c>
      <c r="GT23">
        <f t="shared" si="423"/>
        <v>323678.94099999999</v>
      </c>
      <c r="GU23">
        <f t="shared" si="423"/>
        <v>323851.90899999999</v>
      </c>
      <c r="GV23">
        <f t="shared" si="423"/>
        <v>324148.79800000001</v>
      </c>
      <c r="GW23">
        <f t="shared" si="423"/>
        <v>324349.80300000001</v>
      </c>
      <c r="GX23">
        <f t="shared" si="423"/>
        <v>324623.94099999999</v>
      </c>
      <c r="GY23">
        <f t="shared" si="423"/>
        <v>324868.24400000001</v>
      </c>
      <c r="GZ23">
        <f t="shared" si="423"/>
        <v>325088.52299999999</v>
      </c>
      <c r="HA23">
        <f t="shared" si="423"/>
        <v>325302.95</v>
      </c>
      <c r="HB23">
        <f t="shared" si="423"/>
        <v>325653.85499999998</v>
      </c>
      <c r="HC23">
        <f t="shared" si="423"/>
        <v>325856.92300000001</v>
      </c>
      <c r="HD23">
        <f t="shared" si="423"/>
        <v>326050.29499999998</v>
      </c>
      <c r="HE23">
        <f t="shared" si="423"/>
        <v>326289.85100000002</v>
      </c>
      <c r="HF23">
        <f t="shared" si="423"/>
        <v>326449.00400000002</v>
      </c>
      <c r="HG23">
        <f t="shared" si="423"/>
        <v>326742.03000000003</v>
      </c>
      <c r="HH23">
        <f t="shared" si="423"/>
        <v>326969.63299999997</v>
      </c>
      <c r="HI23">
        <f t="shared" si="423"/>
        <v>327213.946</v>
      </c>
      <c r="HJ23">
        <f t="shared" si="423"/>
        <v>327502.36900000001</v>
      </c>
      <c r="HK23">
        <f t="shared" si="423"/>
        <v>327747.09000000003</v>
      </c>
      <c r="HL23">
        <f t="shared" si="423"/>
        <v>327980.61599999998</v>
      </c>
      <c r="HM23">
        <f t="shared" si="423"/>
        <v>328264.821</v>
      </c>
      <c r="HN23">
        <f t="shared" si="423"/>
        <v>328498.14600000001</v>
      </c>
      <c r="HO23" s="127">
        <f>SUM(GL23:HN23)</f>
        <v>9427801.2930000015</v>
      </c>
      <c r="HP23">
        <f>HN24</f>
        <v>328724.92599999998</v>
      </c>
      <c r="HQ23">
        <f t="shared" ref="HQ23:IT23" si="424">HP24</f>
        <v>328993.35499999998</v>
      </c>
      <c r="HR23">
        <f t="shared" si="424"/>
        <v>329381.364</v>
      </c>
      <c r="HS23">
        <f t="shared" si="424"/>
        <v>329578.04499999998</v>
      </c>
      <c r="HT23">
        <f t="shared" si="424"/>
        <v>329883.65399999998</v>
      </c>
      <c r="HU23">
        <f t="shared" si="424"/>
        <v>330112.05099999998</v>
      </c>
      <c r="HV23">
        <f t="shared" si="424"/>
        <v>330393.05599999998</v>
      </c>
      <c r="HW23">
        <f t="shared" si="424"/>
        <v>330689.61</v>
      </c>
      <c r="HX23">
        <f t="shared" si="424"/>
        <v>330974.641</v>
      </c>
      <c r="HY23">
        <f t="shared" si="424"/>
        <v>331288.08299999998</v>
      </c>
      <c r="HZ23">
        <f t="shared" si="424"/>
        <v>331477.34999999998</v>
      </c>
      <c r="IA23">
        <f t="shared" si="424"/>
        <v>331687.386</v>
      </c>
      <c r="IB23">
        <f t="shared" si="424"/>
        <v>331946.55699999997</v>
      </c>
      <c r="IC23">
        <f t="shared" si="424"/>
        <v>332315.22399999999</v>
      </c>
      <c r="ID23">
        <f t="shared" si="424"/>
        <v>332621.46299999999</v>
      </c>
      <c r="IE23">
        <f t="shared" si="424"/>
        <v>332880.23599999998</v>
      </c>
      <c r="IF23">
        <f t="shared" si="424"/>
        <v>333062.23800000001</v>
      </c>
      <c r="IG23">
        <f t="shared" si="424"/>
        <v>333244.22700000001</v>
      </c>
      <c r="IH23">
        <f t="shared" si="424"/>
        <v>333563.69900000002</v>
      </c>
      <c r="II23">
        <f t="shared" si="424"/>
        <v>333899.136</v>
      </c>
      <c r="IJ23">
        <f t="shared" si="424"/>
        <v>334087</v>
      </c>
      <c r="IK23">
        <f t="shared" si="424"/>
        <v>334337.49200000003</v>
      </c>
      <c r="IL23">
        <f t="shared" si="424"/>
        <v>334605.09600000002</v>
      </c>
      <c r="IM23">
        <f t="shared" si="424"/>
        <v>334897.402</v>
      </c>
      <c r="IN23">
        <f t="shared" si="424"/>
        <v>335059.44</v>
      </c>
      <c r="IO23">
        <f t="shared" si="424"/>
        <v>335333.53000000003</v>
      </c>
      <c r="IP23">
        <f t="shared" si="424"/>
        <v>335533.97399999999</v>
      </c>
      <c r="IQ23">
        <f t="shared" si="424"/>
        <v>335906.95299999998</v>
      </c>
      <c r="IR23">
        <f t="shared" si="424"/>
        <v>336468.016</v>
      </c>
      <c r="IS23">
        <f t="shared" si="424"/>
        <v>336801.565</v>
      </c>
      <c r="IT23">
        <f t="shared" si="424"/>
        <v>336965.28899999999</v>
      </c>
      <c r="IU23" s="127">
        <f>SUM(HP23:IT23)</f>
        <v>10316712.058</v>
      </c>
      <c r="IV23">
        <f>IT24</f>
        <v>337068.08299999998</v>
      </c>
      <c r="IW23">
        <f t="shared" ref="IW23:JY23" si="425">IV24</f>
        <v>337266.87599999999</v>
      </c>
      <c r="IX23">
        <f t="shared" si="425"/>
        <v>337572.66700000002</v>
      </c>
      <c r="IY23">
        <f t="shared" si="425"/>
        <v>337817.14</v>
      </c>
      <c r="IZ23">
        <f t="shared" si="425"/>
        <v>337997.81</v>
      </c>
      <c r="JA23">
        <f t="shared" si="425"/>
        <v>338236.679</v>
      </c>
      <c r="JB23">
        <f t="shared" si="425"/>
        <v>338453.68199999997</v>
      </c>
      <c r="JC23">
        <f t="shared" si="425"/>
        <v>338667.58600000001</v>
      </c>
      <c r="JD23">
        <f t="shared" si="425"/>
        <v>338938.20199999999</v>
      </c>
      <c r="JE23">
        <f t="shared" si="425"/>
        <v>339221.95</v>
      </c>
      <c r="JF23">
        <f t="shared" si="425"/>
        <v>339367.24400000001</v>
      </c>
      <c r="JG23">
        <f t="shared" si="425"/>
        <v>339531.571</v>
      </c>
      <c r="JH23">
        <f t="shared" si="425"/>
        <v>339742.36800000002</v>
      </c>
      <c r="JI23">
        <f t="shared" si="425"/>
        <v>339969.22399999999</v>
      </c>
      <c r="JJ23">
        <f t="shared" si="425"/>
        <v>340124.93599999999</v>
      </c>
      <c r="JK23">
        <f t="shared" si="425"/>
        <v>340305.49</v>
      </c>
      <c r="JL23">
        <f t="shared" si="425"/>
        <v>340534.79</v>
      </c>
      <c r="JM23">
        <f t="shared" si="425"/>
        <v>340721.16200000001</v>
      </c>
      <c r="JN23">
        <f t="shared" si="425"/>
        <v>340948.19699999999</v>
      </c>
      <c r="JO23">
        <f t="shared" si="425"/>
        <v>341150.19500000001</v>
      </c>
      <c r="JP23">
        <f t="shared" si="425"/>
        <v>341404.30300000001</v>
      </c>
      <c r="JQ23">
        <f t="shared" si="425"/>
        <v>341593.67099999997</v>
      </c>
      <c r="JR23">
        <f t="shared" si="425"/>
        <v>341720.913</v>
      </c>
      <c r="JS23">
        <f t="shared" si="425"/>
        <v>341927.09499999997</v>
      </c>
      <c r="JT23">
        <f t="shared" si="425"/>
        <v>342159.554</v>
      </c>
      <c r="JU23">
        <f t="shared" si="425"/>
        <v>342303.84399999998</v>
      </c>
      <c r="JV23">
        <f t="shared" si="425"/>
        <v>342564.44099999999</v>
      </c>
      <c r="JW23">
        <f t="shared" si="425"/>
        <v>342769.973</v>
      </c>
      <c r="JX23">
        <f t="shared" si="425"/>
        <v>342976.636</v>
      </c>
      <c r="JY23">
        <f t="shared" si="425"/>
        <v>343309.04599999997</v>
      </c>
      <c r="JZ23" s="127">
        <v>0</v>
      </c>
      <c r="KA23">
        <f>JY24</f>
        <v>343513.53700000001</v>
      </c>
      <c r="KB23">
        <f t="shared" ref="KB23:LE23" si="426">KA24</f>
        <v>343695.538</v>
      </c>
      <c r="KC23">
        <f t="shared" si="426"/>
        <v>343930.467</v>
      </c>
      <c r="KD23">
        <f t="shared" si="426"/>
        <v>344354.99699999997</v>
      </c>
      <c r="KE23">
        <f t="shared" si="426"/>
        <v>344588.12300000002</v>
      </c>
      <c r="KF23">
        <f t="shared" si="426"/>
        <v>344795.22</v>
      </c>
      <c r="KG23">
        <f t="shared" si="426"/>
        <v>345058.94500000001</v>
      </c>
      <c r="KH23">
        <f t="shared" si="426"/>
        <v>345357.73</v>
      </c>
      <c r="KI23">
        <f t="shared" si="426"/>
        <v>345637.48300000001</v>
      </c>
      <c r="KJ23">
        <f t="shared" si="426"/>
        <v>345946.97899999999</v>
      </c>
      <c r="KK23">
        <f t="shared" si="426"/>
        <v>346383.32400000002</v>
      </c>
      <c r="KL23">
        <f t="shared" si="426"/>
        <v>346740.64199999999</v>
      </c>
      <c r="KM23">
        <f t="shared" si="426"/>
        <v>346976.71500000003</v>
      </c>
      <c r="KN23">
        <f t="shared" si="426"/>
        <v>347861.81699999998</v>
      </c>
      <c r="KO23">
        <f t="shared" si="426"/>
        <v>348203.98200000002</v>
      </c>
      <c r="KP23">
        <f t="shared" si="426"/>
        <v>348464.63299999997</v>
      </c>
      <c r="KQ23">
        <f t="shared" si="426"/>
        <v>348759.55499999999</v>
      </c>
      <c r="KR23">
        <f t="shared" si="426"/>
        <v>349205.12400000001</v>
      </c>
      <c r="KS23">
        <f t="shared" si="426"/>
        <v>349534.45400000003</v>
      </c>
      <c r="KT23">
        <f t="shared" si="426"/>
        <v>349744.11900000001</v>
      </c>
      <c r="KU23">
        <f t="shared" si="426"/>
        <v>350075.67700000003</v>
      </c>
      <c r="KV23">
        <f t="shared" si="426"/>
        <v>350430.51299999998</v>
      </c>
      <c r="KW23">
        <f t="shared" si="426"/>
        <v>350803.17599999998</v>
      </c>
      <c r="KX23">
        <f t="shared" si="426"/>
        <v>351231.51699999999</v>
      </c>
      <c r="KY23">
        <f t="shared" si="426"/>
        <v>351656.07900000003</v>
      </c>
      <c r="KZ23">
        <f t="shared" si="426"/>
        <v>352022.75199999998</v>
      </c>
      <c r="LA23">
        <f t="shared" si="426"/>
        <v>352246.28700000001</v>
      </c>
      <c r="LB23">
        <f t="shared" si="426"/>
        <v>352609.717</v>
      </c>
      <c r="LC23">
        <f t="shared" si="426"/>
        <v>352900.44</v>
      </c>
      <c r="LD23">
        <f t="shared" si="426"/>
        <v>353350.61200000002</v>
      </c>
      <c r="LE23">
        <f t="shared" si="426"/>
        <v>353545.18900000001</v>
      </c>
      <c r="LF23" s="127">
        <v>0</v>
      </c>
      <c r="LG23">
        <f>LE24</f>
        <v>353881.50699999998</v>
      </c>
      <c r="LH23">
        <f t="shared" ref="LH23:MJ23" si="427">LG24</f>
        <v>354290.103</v>
      </c>
      <c r="LI23">
        <f t="shared" si="427"/>
        <v>354560.52299999999</v>
      </c>
      <c r="LJ23">
        <f t="shared" si="427"/>
        <v>355145.67099999997</v>
      </c>
      <c r="LK23">
        <f t="shared" si="427"/>
        <v>355606.88500000001</v>
      </c>
      <c r="LL23">
        <f t="shared" si="427"/>
        <v>355906.18699999998</v>
      </c>
      <c r="LM23">
        <f t="shared" si="427"/>
        <v>356239.185</v>
      </c>
      <c r="LN23">
        <f t="shared" si="427"/>
        <v>356647.86900000001</v>
      </c>
      <c r="LO23">
        <f t="shared" si="427"/>
        <v>357016.19400000002</v>
      </c>
      <c r="LP23">
        <f t="shared" si="427"/>
        <v>357251.98100000003</v>
      </c>
      <c r="LQ23">
        <f t="shared" si="427"/>
        <v>357590.17099999997</v>
      </c>
      <c r="LR23">
        <f t="shared" si="427"/>
        <v>358016.00900000002</v>
      </c>
      <c r="LS23">
        <f t="shared" si="427"/>
        <v>358385.30699999997</v>
      </c>
      <c r="LT23">
        <f t="shared" si="427"/>
        <v>358877.29499999998</v>
      </c>
      <c r="LU23">
        <f t="shared" si="427"/>
        <v>359277.033</v>
      </c>
      <c r="LV23">
        <f t="shared" si="427"/>
        <v>359552.19500000001</v>
      </c>
      <c r="LW23">
        <f t="shared" si="427"/>
        <v>359880.97600000002</v>
      </c>
      <c r="LX23">
        <f t="shared" si="427"/>
        <v>360224.39299999998</v>
      </c>
      <c r="LY23">
        <f t="shared" si="427"/>
        <v>360549.47100000002</v>
      </c>
      <c r="LZ23">
        <f t="shared" si="427"/>
        <v>360930.67700000003</v>
      </c>
      <c r="MA23">
        <f t="shared" si="427"/>
        <v>361331.23800000001</v>
      </c>
      <c r="MB23">
        <f t="shared" si="427"/>
        <v>361773.24</v>
      </c>
      <c r="MC23">
        <f t="shared" si="427"/>
        <v>362108.299</v>
      </c>
      <c r="MD23">
        <f t="shared" si="427"/>
        <v>362332.50300000003</v>
      </c>
      <c r="ME23">
        <f t="shared" si="427"/>
        <v>362555.29700000002</v>
      </c>
      <c r="MF23">
        <f t="shared" si="427"/>
        <v>362851.34299999999</v>
      </c>
      <c r="MG23">
        <f t="shared" si="427"/>
        <v>363327.63799999998</v>
      </c>
      <c r="MH23">
        <f t="shared" si="427"/>
        <v>363715.71500000003</v>
      </c>
      <c r="MI23">
        <f t="shared" si="427"/>
        <v>364001.69900000002</v>
      </c>
      <c r="MJ23">
        <f t="shared" si="427"/>
        <v>364352.03700000001</v>
      </c>
      <c r="MK23" s="127">
        <v>0</v>
      </c>
      <c r="ML23">
        <f>MJ24</f>
        <v>364627.65700000001</v>
      </c>
      <c r="MM23">
        <f t="shared" ref="MM23:NP23" si="428">ML24</f>
        <v>365029.62099999998</v>
      </c>
      <c r="MN23">
        <f t="shared" si="428"/>
        <v>365502.6</v>
      </c>
      <c r="MO23">
        <f t="shared" si="428"/>
        <v>365912.50400000002</v>
      </c>
      <c r="MP23">
        <f t="shared" si="428"/>
        <v>366198.94</v>
      </c>
      <c r="MQ23">
        <f t="shared" si="428"/>
        <v>366557.70799999998</v>
      </c>
      <c r="MR23">
        <f t="shared" si="428"/>
        <v>367032.58899999998</v>
      </c>
      <c r="MS23">
        <f t="shared" si="428"/>
        <v>367697.28499999997</v>
      </c>
      <c r="MT23">
        <f t="shared" si="428"/>
        <v>368251.04800000001</v>
      </c>
      <c r="MU23">
        <f t="shared" si="428"/>
        <v>368700.408</v>
      </c>
      <c r="MV23">
        <f t="shared" si="428"/>
        <v>368928.59399999998</v>
      </c>
      <c r="MW23">
        <f t="shared" si="428"/>
        <v>369243.34299999999</v>
      </c>
      <c r="MX23">
        <f t="shared" si="428"/>
        <v>369466.46299999999</v>
      </c>
      <c r="MY23">
        <f t="shared" si="428"/>
        <v>369828.29300000001</v>
      </c>
      <c r="MZ23">
        <f t="shared" si="428"/>
        <v>370140.13699999999</v>
      </c>
      <c r="NA23">
        <f t="shared" si="428"/>
        <v>370502.826</v>
      </c>
      <c r="NB23">
        <f t="shared" si="428"/>
        <v>370811.14</v>
      </c>
      <c r="NC23">
        <f t="shared" si="428"/>
        <v>371126.223</v>
      </c>
      <c r="ND23">
        <f t="shared" si="428"/>
        <v>371336.25099999999</v>
      </c>
      <c r="NE23">
        <f t="shared" si="428"/>
        <v>371684.45199999999</v>
      </c>
      <c r="NF23">
        <f t="shared" si="428"/>
        <v>372012.641</v>
      </c>
      <c r="NG23">
        <f t="shared" si="428"/>
        <v>372180.26899999997</v>
      </c>
      <c r="NH23">
        <f t="shared" si="428"/>
        <v>372608.80300000001</v>
      </c>
      <c r="NI23">
        <f t="shared" si="428"/>
        <v>372881.92300000001</v>
      </c>
      <c r="NJ23">
        <f t="shared" si="428"/>
        <v>373204.75900000002</v>
      </c>
      <c r="NK23">
        <f t="shared" si="428"/>
        <v>373671.84399999998</v>
      </c>
      <c r="NL23">
        <f t="shared" si="428"/>
        <v>373961.29599999997</v>
      </c>
      <c r="NM23">
        <f t="shared" si="428"/>
        <v>374282.54700000002</v>
      </c>
      <c r="NN23">
        <f t="shared" si="428"/>
        <v>374452.68300000002</v>
      </c>
      <c r="NO23">
        <f t="shared" si="428"/>
        <v>374830.46600000001</v>
      </c>
      <c r="NP23">
        <f t="shared" si="428"/>
        <v>375157.47399999999</v>
      </c>
      <c r="NQ23" s="127">
        <v>0</v>
      </c>
      <c r="NR23">
        <f>NP24</f>
        <v>375500.75300000003</v>
      </c>
      <c r="NS23">
        <f t="shared" ref="NS23:OV23" si="429">NR24</f>
        <v>375813.60399999999</v>
      </c>
      <c r="NT23">
        <f t="shared" si="429"/>
        <v>376092.84299999999</v>
      </c>
      <c r="NU23">
        <f t="shared" si="429"/>
        <v>376464.07</v>
      </c>
      <c r="NV23">
        <f t="shared" si="429"/>
        <v>376679.26799999998</v>
      </c>
      <c r="NW23">
        <f t="shared" si="429"/>
        <v>376956.30599999998</v>
      </c>
      <c r="NX23">
        <f t="shared" si="429"/>
        <v>377414.95600000001</v>
      </c>
      <c r="NY23">
        <f t="shared" si="429"/>
        <v>377846.77500000002</v>
      </c>
      <c r="NZ23">
        <f t="shared" si="429"/>
        <v>378224.53899999999</v>
      </c>
      <c r="OA23">
        <f t="shared" si="429"/>
        <v>378543.61599999998</v>
      </c>
      <c r="OB23">
        <f t="shared" si="429"/>
        <v>378664.68300000002</v>
      </c>
      <c r="OC23">
        <f t="shared" si="429"/>
        <v>378885.76699999999</v>
      </c>
      <c r="OD23">
        <f t="shared" si="429"/>
        <v>379126.88500000001</v>
      </c>
      <c r="OE23">
        <f t="shared" si="429"/>
        <v>379337.94300000003</v>
      </c>
      <c r="OF23">
        <f t="shared" si="429"/>
        <v>379615.24800000002</v>
      </c>
      <c r="OG23">
        <f t="shared" si="429"/>
        <v>380067.12</v>
      </c>
      <c r="OH23">
        <f t="shared" si="429"/>
        <v>380267.38699999999</v>
      </c>
      <c r="OI23">
        <f t="shared" si="429"/>
        <v>380483.25</v>
      </c>
      <c r="OJ23">
        <f t="shared" si="429"/>
        <v>380754.94900000002</v>
      </c>
      <c r="OK23">
        <f t="shared" si="429"/>
        <v>381007.03200000001</v>
      </c>
      <c r="OL23">
        <f t="shared" si="429"/>
        <v>381273.91600000003</v>
      </c>
      <c r="OM23">
        <f t="shared" si="429"/>
        <v>381558.94799999997</v>
      </c>
      <c r="ON23">
        <f t="shared" si="429"/>
        <v>381882.58299999998</v>
      </c>
      <c r="OO23">
        <f t="shared" si="429"/>
        <v>382192.73200000002</v>
      </c>
      <c r="OP23">
        <f t="shared" si="429"/>
        <v>382377.60100000002</v>
      </c>
      <c r="OQ23">
        <f t="shared" si="429"/>
        <v>382607.16899999999</v>
      </c>
      <c r="OR23">
        <f t="shared" si="429"/>
        <v>382853.31900000002</v>
      </c>
      <c r="OS23">
        <f t="shared" si="429"/>
        <v>383209.68800000002</v>
      </c>
      <c r="OT23">
        <f t="shared" si="429"/>
        <v>383578.35200000001</v>
      </c>
      <c r="OU23">
        <f t="shared" si="429"/>
        <v>383820.06599999999</v>
      </c>
      <c r="OV23">
        <f t="shared" si="429"/>
        <v>384002.62400000001</v>
      </c>
      <c r="OW23" s="127">
        <v>0</v>
      </c>
      <c r="OX23">
        <f>OV24</f>
        <v>384480.663</v>
      </c>
      <c r="OY23">
        <f t="shared" ref="OY23:QA23" si="430">OX24</f>
        <v>384655.44699999999</v>
      </c>
      <c r="OZ23">
        <f t="shared" si="430"/>
        <v>384923.47899999999</v>
      </c>
      <c r="PA23">
        <f t="shared" si="430"/>
        <v>385149.82199999999</v>
      </c>
      <c r="PB23">
        <f t="shared" si="430"/>
        <v>385436.60100000002</v>
      </c>
      <c r="PC23">
        <f t="shared" si="430"/>
        <v>385749.69900000002</v>
      </c>
      <c r="PD23">
        <f t="shared" si="430"/>
        <v>386061.56900000002</v>
      </c>
      <c r="PE23">
        <f t="shared" si="430"/>
        <v>386304.13099999999</v>
      </c>
      <c r="PF23">
        <f t="shared" si="430"/>
        <v>386715.35700000002</v>
      </c>
      <c r="PG23">
        <f t="shared" si="430"/>
        <v>386839.783</v>
      </c>
      <c r="PH23">
        <f t="shared" si="430"/>
        <v>387071.40500000003</v>
      </c>
      <c r="PI23">
        <f t="shared" si="430"/>
        <v>387319.23200000002</v>
      </c>
      <c r="PJ23">
        <f t="shared" si="430"/>
        <v>387621.772</v>
      </c>
      <c r="PK23">
        <f t="shared" si="430"/>
        <v>388011.31</v>
      </c>
      <c r="PL23">
        <f t="shared" si="430"/>
        <v>388249.277</v>
      </c>
      <c r="PM23">
        <f t="shared" si="430"/>
        <v>388490.79200000002</v>
      </c>
      <c r="PN23">
        <f t="shared" si="430"/>
        <v>388711.62300000002</v>
      </c>
      <c r="PO23">
        <f t="shared" si="430"/>
        <v>388965.97899999999</v>
      </c>
      <c r="PP23">
        <f t="shared" si="430"/>
        <v>389175.09399999998</v>
      </c>
      <c r="PQ23">
        <f t="shared" si="430"/>
        <v>389465.98700000002</v>
      </c>
      <c r="PR23">
        <f t="shared" si="430"/>
        <v>389697.80800000002</v>
      </c>
      <c r="PS23">
        <f t="shared" si="430"/>
        <v>390007.13299999997</v>
      </c>
      <c r="PT23">
        <f t="shared" si="430"/>
        <v>390233.51799999998</v>
      </c>
      <c r="PU23">
        <f t="shared" si="430"/>
        <v>390630.353</v>
      </c>
      <c r="PV23">
        <f t="shared" si="430"/>
        <v>390907.76299999998</v>
      </c>
      <c r="PW23">
        <f t="shared" si="430"/>
        <v>391276.66100000002</v>
      </c>
      <c r="PX23">
        <f t="shared" si="430"/>
        <v>391532.27799999999</v>
      </c>
      <c r="PY23">
        <f t="shared" si="430"/>
        <v>391796.79100000003</v>
      </c>
      <c r="PZ23">
        <f t="shared" si="430"/>
        <v>392380.48100000003</v>
      </c>
      <c r="QA23">
        <f t="shared" si="430"/>
        <v>392558.40299999999</v>
      </c>
      <c r="QB23" s="127">
        <v>0</v>
      </c>
      <c r="QC23">
        <f>QA24</f>
        <v>392900.66499999998</v>
      </c>
      <c r="QD23">
        <f t="shared" ref="QD23:RG23" si="431">QC24</f>
        <v>393092.88699999999</v>
      </c>
      <c r="QE23">
        <f t="shared" si="431"/>
        <v>393204.47999999998</v>
      </c>
      <c r="QF23">
        <f t="shared" si="431"/>
        <v>393491.886</v>
      </c>
      <c r="QG23">
        <f t="shared" si="431"/>
        <v>393727.70799999998</v>
      </c>
      <c r="QH23">
        <f t="shared" si="431"/>
        <v>393931.73</v>
      </c>
      <c r="QI23">
        <f t="shared" si="431"/>
        <v>394019.95</v>
      </c>
      <c r="QJ23">
        <f t="shared" si="431"/>
        <v>394222.92</v>
      </c>
      <c r="QK23">
        <f t="shared" si="431"/>
        <v>394427.57400000002</v>
      </c>
      <c r="QL23">
        <f t="shared" si="431"/>
        <v>394799.13699999999</v>
      </c>
      <c r="QM23">
        <f t="shared" si="431"/>
        <v>395040.46399999998</v>
      </c>
      <c r="QN23">
        <f t="shared" si="431"/>
        <v>395300.28</v>
      </c>
      <c r="QO23">
        <f t="shared" si="431"/>
        <v>395583.39399999997</v>
      </c>
      <c r="QP23">
        <f t="shared" si="431"/>
        <v>395832.11599999998</v>
      </c>
      <c r="QQ23">
        <f t="shared" si="431"/>
        <v>396118.90899999999</v>
      </c>
      <c r="QR23">
        <f t="shared" si="431"/>
        <v>396361.147</v>
      </c>
      <c r="QS23">
        <f t="shared" si="431"/>
        <v>396547.69699999999</v>
      </c>
      <c r="QT23">
        <f t="shared" si="431"/>
        <v>396884.05800000002</v>
      </c>
      <c r="QU23">
        <f t="shared" si="431"/>
        <v>397248.22899999999</v>
      </c>
      <c r="QV23">
        <f t="shared" si="431"/>
        <v>397438.03700000001</v>
      </c>
      <c r="QW23">
        <f t="shared" si="431"/>
        <v>397551.43699999998</v>
      </c>
      <c r="QX23">
        <f t="shared" si="431"/>
        <v>397737.32699999999</v>
      </c>
      <c r="QY23">
        <f t="shared" si="431"/>
        <v>397984.31599999999</v>
      </c>
      <c r="QZ23">
        <f t="shared" si="431"/>
        <v>398156.516</v>
      </c>
      <c r="RA23">
        <f t="shared" si="431"/>
        <v>398895.83399999997</v>
      </c>
      <c r="RB23">
        <f t="shared" si="431"/>
        <v>399222.85399999999</v>
      </c>
      <c r="RC23">
        <f t="shared" si="431"/>
        <v>399406.57900000003</v>
      </c>
      <c r="RD23">
        <f t="shared" si="431"/>
        <v>399624.91200000001</v>
      </c>
      <c r="RE23">
        <f t="shared" si="431"/>
        <v>399821.304</v>
      </c>
      <c r="RF23">
        <f t="shared" si="431"/>
        <v>400042.91399999999</v>
      </c>
      <c r="RG23">
        <f t="shared" si="431"/>
        <v>400201.20699999999</v>
      </c>
      <c r="RH23" s="127">
        <v>0</v>
      </c>
      <c r="RI23">
        <f>RG24</f>
        <v>400421.016</v>
      </c>
      <c r="RJ23">
        <f t="shared" ref="RJ23:SL23" si="432">RI24</f>
        <v>400616.04</v>
      </c>
      <c r="RK23">
        <f t="shared" si="432"/>
        <v>400914.87300000002</v>
      </c>
      <c r="RL23">
        <f t="shared" si="432"/>
        <v>401095.35200000001</v>
      </c>
      <c r="RM23">
        <f t="shared" si="432"/>
        <v>401316.67599999998</v>
      </c>
      <c r="RN23">
        <f t="shared" si="432"/>
        <v>401522.36099999998</v>
      </c>
      <c r="RO23">
        <f t="shared" si="432"/>
        <v>401827.37</v>
      </c>
      <c r="RP23">
        <f t="shared" si="432"/>
        <v>402190.03499999997</v>
      </c>
      <c r="RQ23">
        <f t="shared" si="432"/>
        <v>402490.94900000002</v>
      </c>
      <c r="RR23">
        <f t="shared" si="432"/>
        <v>402734.88699999999</v>
      </c>
      <c r="RS23">
        <f t="shared" si="432"/>
        <v>402920.11599999998</v>
      </c>
      <c r="RT23">
        <f t="shared" si="432"/>
        <v>403220.598</v>
      </c>
      <c r="RU23">
        <f t="shared" si="432"/>
        <v>403450.94699999999</v>
      </c>
      <c r="RV23">
        <f t="shared" si="432"/>
        <v>403663.57799999998</v>
      </c>
      <c r="RW23">
        <f t="shared" si="432"/>
        <v>403932.40299999999</v>
      </c>
      <c r="RX23">
        <f t="shared" si="432"/>
        <v>404231.99</v>
      </c>
      <c r="RY23">
        <f t="shared" si="432"/>
        <v>404426.7</v>
      </c>
      <c r="RZ23">
        <f t="shared" si="432"/>
        <v>404581.06699999998</v>
      </c>
      <c r="SA23">
        <f t="shared" si="432"/>
        <v>404840.60800000001</v>
      </c>
      <c r="SB23">
        <f t="shared" si="432"/>
        <v>405054.701</v>
      </c>
      <c r="SC23">
        <f t="shared" si="432"/>
        <v>405244.41700000002</v>
      </c>
      <c r="SD23">
        <f t="shared" si="432"/>
        <v>405612.76799999998</v>
      </c>
      <c r="SE23">
        <f t="shared" si="432"/>
        <v>405830.46299999999</v>
      </c>
      <c r="SF23">
        <f t="shared" si="432"/>
        <v>406019.01299999998</v>
      </c>
      <c r="SG23">
        <f t="shared" si="432"/>
        <v>406161.74400000001</v>
      </c>
      <c r="SH23">
        <f t="shared" si="432"/>
        <v>406451.89799999999</v>
      </c>
      <c r="SI23">
        <f t="shared" si="432"/>
        <v>406712.96500000003</v>
      </c>
      <c r="SJ23">
        <f t="shared" si="432"/>
        <v>406975.83</v>
      </c>
      <c r="SK23">
        <f t="shared" si="432"/>
        <v>407377.21600000001</v>
      </c>
      <c r="SL23">
        <f t="shared" si="432"/>
        <v>407632.32799999998</v>
      </c>
      <c r="SM23" s="127">
        <v>0</v>
      </c>
      <c r="SN23">
        <f>SL24</f>
        <v>407892.28499999997</v>
      </c>
      <c r="SO23">
        <f t="shared" ref="SO23:TR23" si="433">SN24</f>
        <v>408004.29800000001</v>
      </c>
      <c r="SP23">
        <f t="shared" si="433"/>
        <v>408554.87400000001</v>
      </c>
      <c r="SQ23">
        <f t="shared" si="433"/>
        <v>408836.755</v>
      </c>
      <c r="SR23">
        <f t="shared" si="433"/>
        <v>409018.34499999997</v>
      </c>
      <c r="SS23">
        <f t="shared" si="433"/>
        <v>409185.67800000001</v>
      </c>
      <c r="ST23">
        <f t="shared" si="433"/>
        <v>409452.53600000002</v>
      </c>
      <c r="SU23">
        <f t="shared" si="433"/>
        <v>409636.43400000001</v>
      </c>
      <c r="SV23">
        <f t="shared" si="433"/>
        <v>409788.28600000002</v>
      </c>
      <c r="SW23">
        <f t="shared" si="433"/>
        <v>410135.29</v>
      </c>
      <c r="SX23">
        <f t="shared" si="433"/>
        <v>410406.65100000001</v>
      </c>
      <c r="SY23">
        <f t="shared" si="433"/>
        <v>410822.03</v>
      </c>
      <c r="SZ23">
        <f t="shared" si="433"/>
        <v>411128.06300000002</v>
      </c>
      <c r="TA23">
        <f t="shared" si="433"/>
        <v>411693.48200000002</v>
      </c>
      <c r="TB23">
        <f t="shared" si="433"/>
        <v>412002.20299999998</v>
      </c>
      <c r="TC23">
        <f t="shared" si="433"/>
        <v>412350.33199999999</v>
      </c>
      <c r="TD23">
        <f t="shared" si="433"/>
        <v>412651.64600000001</v>
      </c>
      <c r="TE23">
        <f t="shared" si="433"/>
        <v>412908.47200000001</v>
      </c>
      <c r="TF23">
        <f t="shared" si="433"/>
        <v>413134.87400000001</v>
      </c>
      <c r="TG23">
        <f t="shared" si="433"/>
        <v>413443.52299999999</v>
      </c>
      <c r="TH23">
        <f t="shared" si="433"/>
        <v>413691.44</v>
      </c>
      <c r="TI23">
        <f t="shared" si="433"/>
        <v>414052.63299999997</v>
      </c>
      <c r="TJ23">
        <f t="shared" si="433"/>
        <v>414447.00300000003</v>
      </c>
      <c r="TK23">
        <f t="shared" si="433"/>
        <v>414756.12</v>
      </c>
      <c r="TL23">
        <f t="shared" si="433"/>
        <v>415065.36800000002</v>
      </c>
      <c r="TM23">
        <f t="shared" si="433"/>
        <v>415117.94099999999</v>
      </c>
      <c r="TN23">
        <f t="shared" si="433"/>
        <v>415285.717</v>
      </c>
      <c r="TO23">
        <f t="shared" si="433"/>
        <v>415620.45299999998</v>
      </c>
      <c r="TP23">
        <f t="shared" si="433"/>
        <v>415889.076</v>
      </c>
      <c r="TQ23">
        <f t="shared" si="433"/>
        <v>416227.92300000001</v>
      </c>
      <c r="TR23">
        <f t="shared" si="433"/>
        <v>416534.62800000003</v>
      </c>
      <c r="TS23" s="127">
        <v>0</v>
      </c>
      <c r="TT23">
        <f>TR24</f>
        <v>416749.27799999999</v>
      </c>
      <c r="TU23">
        <f t="shared" ref="TU23:UX23" si="434">TT24</f>
        <v>416920.19699999999</v>
      </c>
      <c r="TV23">
        <f t="shared" si="434"/>
        <v>417138.31900000002</v>
      </c>
      <c r="TW23">
        <f t="shared" si="434"/>
        <v>417307.25799999997</v>
      </c>
      <c r="TX23">
        <f t="shared" si="434"/>
        <v>417540.81</v>
      </c>
      <c r="TY23">
        <f t="shared" si="434"/>
        <v>417765.72100000002</v>
      </c>
      <c r="TZ23">
        <f t="shared" si="434"/>
        <v>417996.147</v>
      </c>
      <c r="UA23">
        <f t="shared" si="434"/>
        <v>418216.27</v>
      </c>
      <c r="UB23">
        <f t="shared" si="434"/>
        <v>418524.19199999998</v>
      </c>
      <c r="UC23">
        <f t="shared" si="434"/>
        <v>418794.74800000002</v>
      </c>
      <c r="UD23">
        <f t="shared" si="434"/>
        <v>419082.21399999998</v>
      </c>
      <c r="UE23">
        <f t="shared" si="434"/>
        <v>419352.23300000001</v>
      </c>
      <c r="UF23">
        <f t="shared" si="434"/>
        <v>419559.65</v>
      </c>
      <c r="UG23">
        <f t="shared" si="434"/>
        <v>420040.43599999999</v>
      </c>
      <c r="UH23">
        <f t="shared" si="434"/>
        <v>420217.158</v>
      </c>
      <c r="UI23">
        <f t="shared" si="434"/>
        <v>420625.33500000002</v>
      </c>
      <c r="UJ23">
        <f t="shared" si="434"/>
        <v>420951.82799999998</v>
      </c>
      <c r="UK23">
        <f t="shared" si="434"/>
        <v>421213.51400000002</v>
      </c>
      <c r="UL23">
        <f t="shared" si="434"/>
        <v>421438.00599999999</v>
      </c>
      <c r="UM23">
        <f t="shared" si="434"/>
        <v>421699.201</v>
      </c>
      <c r="UN23">
        <f t="shared" si="434"/>
        <v>422029.489</v>
      </c>
      <c r="UO23">
        <f t="shared" si="434"/>
        <v>422298.98</v>
      </c>
      <c r="UP23">
        <f t="shared" si="434"/>
        <v>422636.41600000003</v>
      </c>
      <c r="UQ23">
        <f t="shared" si="434"/>
        <v>422841.30499999999</v>
      </c>
      <c r="UR23">
        <f t="shared" si="434"/>
        <v>423112.12</v>
      </c>
      <c r="US23">
        <f t="shared" si="434"/>
        <v>423393.12199999997</v>
      </c>
      <c r="UT23">
        <f t="shared" si="434"/>
        <v>423627.63400000002</v>
      </c>
      <c r="UU23">
        <f t="shared" si="434"/>
        <v>423902.70899999997</v>
      </c>
      <c r="UV23">
        <f t="shared" si="434"/>
        <v>424213.81</v>
      </c>
      <c r="UW23">
        <f t="shared" si="434"/>
        <v>424213.81</v>
      </c>
      <c r="UX23">
        <f t="shared" si="434"/>
        <v>424411.11200000002</v>
      </c>
      <c r="UY23" s="127">
        <v>0</v>
      </c>
      <c r="UZ23" s="89">
        <f>UX24</f>
        <v>424694.05900000001</v>
      </c>
      <c r="VA23" s="89">
        <f t="shared" ref="VA23:WA23" si="435">UZ24</f>
        <v>425023.29200000002</v>
      </c>
      <c r="VB23" s="89">
        <f t="shared" si="435"/>
        <v>425159.74</v>
      </c>
      <c r="VC23" s="89">
        <f t="shared" si="435"/>
        <v>425326.995</v>
      </c>
      <c r="VD23" s="89">
        <f t="shared" si="435"/>
        <v>425515.89799999999</v>
      </c>
      <c r="VE23" s="89">
        <f t="shared" si="435"/>
        <v>425804.30599999998</v>
      </c>
      <c r="VF23" s="89">
        <f t="shared" si="435"/>
        <v>426129.96600000001</v>
      </c>
      <c r="VG23" s="89">
        <f t="shared" si="435"/>
        <v>426353.95799999998</v>
      </c>
      <c r="VH23" s="89">
        <f t="shared" si="435"/>
        <v>426870.28</v>
      </c>
      <c r="VI23" s="89">
        <f t="shared" si="435"/>
        <v>427003.36099999998</v>
      </c>
      <c r="VJ23" s="89">
        <f t="shared" si="435"/>
        <v>427349.31</v>
      </c>
      <c r="VK23" s="89">
        <f t="shared" si="435"/>
        <v>427645.61700000003</v>
      </c>
      <c r="VL23" s="89">
        <f t="shared" si="435"/>
        <v>427936.81</v>
      </c>
      <c r="VM23" s="89">
        <f t="shared" si="435"/>
        <v>428165.13199999998</v>
      </c>
      <c r="VN23" s="89">
        <f t="shared" si="435"/>
        <v>428459.63900000002</v>
      </c>
      <c r="VO23" s="89">
        <f t="shared" si="435"/>
        <v>428714.995</v>
      </c>
      <c r="VP23" s="89">
        <f t="shared" si="435"/>
        <v>428809.054</v>
      </c>
      <c r="VQ23" s="89">
        <f t="shared" si="435"/>
        <v>429121.06300000002</v>
      </c>
      <c r="VR23" s="89">
        <f t="shared" si="435"/>
        <v>429373.13199999998</v>
      </c>
      <c r="VS23" s="89">
        <f t="shared" si="435"/>
        <v>429709.076</v>
      </c>
      <c r="VT23" s="89">
        <f t="shared" si="435"/>
        <v>430084.36599999998</v>
      </c>
      <c r="VU23" s="89">
        <f t="shared" si="435"/>
        <v>430303.46100000001</v>
      </c>
      <c r="VV23" s="89">
        <f t="shared" si="435"/>
        <v>430547.71399999998</v>
      </c>
      <c r="VW23" s="89">
        <f t="shared" si="435"/>
        <v>430761.98700000002</v>
      </c>
      <c r="VX23" s="89">
        <f t="shared" si="435"/>
        <v>431093.84299999999</v>
      </c>
      <c r="VY23" s="89">
        <f t="shared" si="435"/>
        <v>431382.05699999997</v>
      </c>
      <c r="VZ23" s="89">
        <f t="shared" si="435"/>
        <v>431704.46500000003</v>
      </c>
      <c r="WA23" s="89">
        <f t="shared" si="435"/>
        <v>431949.49099999998</v>
      </c>
      <c r="WB23" s="127">
        <v>0</v>
      </c>
      <c r="WC23" s="89">
        <f>WA24</f>
        <v>432146.61599999998</v>
      </c>
      <c r="WD23" s="89">
        <f t="shared" ref="WD23:XG23" si="436">WC24</f>
        <v>432466.364</v>
      </c>
      <c r="WE23" s="89">
        <f t="shared" si="436"/>
        <v>432636.24099999998</v>
      </c>
      <c r="WF23" s="89">
        <f t="shared" si="436"/>
        <v>432860.185</v>
      </c>
      <c r="WG23" s="89">
        <f t="shared" si="436"/>
        <v>433066.76</v>
      </c>
      <c r="WH23" s="89">
        <f t="shared" si="436"/>
        <v>433288.27799999999</v>
      </c>
      <c r="WI23" s="89">
        <f t="shared" si="436"/>
        <v>433288.27799999999</v>
      </c>
      <c r="WJ23" s="89">
        <f t="shared" si="436"/>
        <v>433527.04599999997</v>
      </c>
      <c r="WK23" s="89">
        <f t="shared" si="436"/>
        <v>433777.723</v>
      </c>
      <c r="WL23" s="89">
        <f t="shared" si="436"/>
        <v>433979.67599999998</v>
      </c>
      <c r="WM23" s="89">
        <f t="shared" si="436"/>
        <v>434233.50799999997</v>
      </c>
      <c r="WN23" s="89">
        <f t="shared" si="436"/>
        <v>434452.50300000003</v>
      </c>
      <c r="WO23" s="89">
        <f t="shared" si="436"/>
        <v>434814.94500000001</v>
      </c>
      <c r="WP23" s="89">
        <f t="shared" si="436"/>
        <v>435046.42800000001</v>
      </c>
      <c r="WQ23" s="89">
        <f t="shared" si="436"/>
        <v>435267.228</v>
      </c>
      <c r="WR23" s="89">
        <f t="shared" si="436"/>
        <v>435611.815</v>
      </c>
      <c r="WS23" s="89">
        <f t="shared" si="436"/>
        <v>435748.5</v>
      </c>
      <c r="WT23" s="89">
        <f t="shared" si="436"/>
        <v>435949.75199999998</v>
      </c>
      <c r="WU23" s="89">
        <f t="shared" si="436"/>
        <v>436257.41499999998</v>
      </c>
      <c r="WV23" s="89">
        <f t="shared" si="436"/>
        <v>436419.14600000001</v>
      </c>
      <c r="WW23" s="89">
        <f t="shared" si="436"/>
        <v>436671.47399999999</v>
      </c>
      <c r="WX23" s="89">
        <f t="shared" si="436"/>
        <v>436891.23700000002</v>
      </c>
      <c r="WY23" s="89">
        <f t="shared" si="436"/>
        <v>437091.88299999997</v>
      </c>
      <c r="WZ23" s="89">
        <f t="shared" si="436"/>
        <v>437285.65100000001</v>
      </c>
      <c r="XA23" s="89">
        <f t="shared" si="436"/>
        <v>437522.99699999997</v>
      </c>
      <c r="XB23" s="89">
        <f t="shared" si="436"/>
        <v>437768.68699999998</v>
      </c>
      <c r="XC23" s="89">
        <f t="shared" si="436"/>
        <v>437918.22100000002</v>
      </c>
      <c r="XD23" s="89">
        <f t="shared" si="436"/>
        <v>438138.44099999999</v>
      </c>
      <c r="XE23" s="89">
        <f t="shared" si="436"/>
        <v>438384.81199999998</v>
      </c>
      <c r="XF23" s="89">
        <f t="shared" si="436"/>
        <v>438869.15500000003</v>
      </c>
      <c r="XG23" s="89">
        <f t="shared" si="436"/>
        <v>439027.74800000002</v>
      </c>
      <c r="XH23" s="127">
        <v>0</v>
      </c>
      <c r="XI23" s="89">
        <f>XG24</f>
        <v>439317.46500000003</v>
      </c>
      <c r="XJ23" s="89">
        <f t="shared" ref="XJ23:YL23" si="437">XI24</f>
        <v>439505.68300000002</v>
      </c>
      <c r="XK23" s="89">
        <f t="shared" si="437"/>
        <v>439717.21100000001</v>
      </c>
      <c r="XL23" s="89">
        <f t="shared" si="437"/>
        <v>439926.33899999998</v>
      </c>
      <c r="XM23" s="89">
        <f t="shared" si="437"/>
        <v>440111.03399999999</v>
      </c>
      <c r="XN23" s="89">
        <f t="shared" si="437"/>
        <v>440428.84899999999</v>
      </c>
      <c r="XO23" s="89">
        <f t="shared" si="437"/>
        <v>440574.44</v>
      </c>
      <c r="XP23" s="89">
        <f t="shared" si="437"/>
        <v>440876.15</v>
      </c>
      <c r="XQ23" s="89">
        <f t="shared" si="437"/>
        <v>441140.826</v>
      </c>
      <c r="XR23" s="89">
        <f t="shared" si="437"/>
        <v>441409.85800000001</v>
      </c>
      <c r="XS23" s="89">
        <f t="shared" si="437"/>
        <v>441759.06199999998</v>
      </c>
      <c r="XT23" s="89">
        <f t="shared" si="437"/>
        <v>442040.13299999997</v>
      </c>
      <c r="XU23" s="89">
        <f t="shared" si="437"/>
        <v>442341.54100000003</v>
      </c>
      <c r="XV23" s="89">
        <f t="shared" si="437"/>
        <v>442519.88500000001</v>
      </c>
      <c r="XW23" s="89">
        <f t="shared" si="437"/>
        <v>442747.43800000002</v>
      </c>
      <c r="XX23" s="89">
        <f t="shared" si="437"/>
        <v>443006.41499999998</v>
      </c>
      <c r="XY23" s="89">
        <f t="shared" si="437"/>
        <v>443203.81099999999</v>
      </c>
      <c r="XZ23" s="89">
        <f t="shared" si="437"/>
        <v>443439.05699999997</v>
      </c>
      <c r="YA23" s="89">
        <f t="shared" si="437"/>
        <v>443699.88400000002</v>
      </c>
      <c r="YB23" s="89">
        <f t="shared" si="437"/>
        <v>443930.80200000003</v>
      </c>
      <c r="YC23" s="89">
        <f t="shared" si="437"/>
        <v>444165.45799999998</v>
      </c>
      <c r="YD23" s="89">
        <f t="shared" si="437"/>
        <v>444338.98300000001</v>
      </c>
      <c r="YE23" s="89">
        <f t="shared" si="437"/>
        <v>444676.804</v>
      </c>
      <c r="YF23" s="89">
        <f t="shared" si="437"/>
        <v>444942.15700000001</v>
      </c>
      <c r="YG23" s="89">
        <f t="shared" si="437"/>
        <v>445200.89</v>
      </c>
      <c r="YH23" s="89">
        <f t="shared" si="437"/>
        <v>445357.86300000001</v>
      </c>
      <c r="YI23" s="89">
        <f t="shared" si="437"/>
        <v>445563.42700000003</v>
      </c>
      <c r="YJ23" s="89">
        <f t="shared" si="437"/>
        <v>445707.70799999998</v>
      </c>
      <c r="YK23" s="89">
        <f t="shared" si="437"/>
        <v>445959.08799999999</v>
      </c>
      <c r="YL23" s="89">
        <f t="shared" si="437"/>
        <v>446135.625</v>
      </c>
      <c r="YM23" s="127">
        <v>0</v>
      </c>
      <c r="YN23" s="89">
        <f>YL24</f>
        <v>446275.38900000002</v>
      </c>
      <c r="YO23" s="89">
        <f t="shared" ref="YO23:ZR23" si="438">YN24</f>
        <v>446491.92800000001</v>
      </c>
      <c r="YP23" s="89">
        <f t="shared" si="438"/>
        <v>446764.80200000003</v>
      </c>
      <c r="YQ23" s="89">
        <f t="shared" si="438"/>
        <v>446911.04300000001</v>
      </c>
      <c r="YR23" s="89">
        <f t="shared" si="438"/>
        <v>447113.64799999999</v>
      </c>
      <c r="YS23" s="89">
        <f t="shared" si="438"/>
        <v>447350.592</v>
      </c>
      <c r="YT23" s="89">
        <f t="shared" si="438"/>
        <v>447571.69199999998</v>
      </c>
      <c r="YU23" s="89">
        <f t="shared" si="438"/>
        <v>447773.17800000001</v>
      </c>
      <c r="YV23" s="89">
        <f t="shared" si="438"/>
        <v>447944.13900000002</v>
      </c>
      <c r="YW23" s="89">
        <f t="shared" si="438"/>
        <v>448223.36499999999</v>
      </c>
      <c r="YX23" s="89">
        <f t="shared" si="438"/>
        <v>448494.35700000002</v>
      </c>
      <c r="YY23" s="89">
        <f t="shared" si="438"/>
        <v>448697.40500000003</v>
      </c>
      <c r="YZ23" s="89">
        <f t="shared" si="438"/>
        <v>448819.696</v>
      </c>
      <c r="ZA23" s="89">
        <f t="shared" si="438"/>
        <v>449211.58299999998</v>
      </c>
      <c r="ZB23" s="89">
        <f t="shared" si="438"/>
        <v>449442.09700000001</v>
      </c>
      <c r="ZC23" s="89">
        <f t="shared" si="438"/>
        <v>449685.092</v>
      </c>
      <c r="ZD23" s="89">
        <f t="shared" si="438"/>
        <v>449907.22899999999</v>
      </c>
      <c r="ZE23" s="89">
        <f t="shared" si="438"/>
        <v>450334.36200000002</v>
      </c>
      <c r="ZF23" s="89">
        <f t="shared" si="438"/>
        <v>450558.64600000001</v>
      </c>
      <c r="ZG23" s="89">
        <f t="shared" si="438"/>
        <v>450804.20699999999</v>
      </c>
      <c r="ZH23" s="89">
        <f t="shared" si="438"/>
        <v>450962.47100000002</v>
      </c>
      <c r="ZI23" s="89">
        <f t="shared" si="438"/>
        <v>451409.82400000002</v>
      </c>
      <c r="ZJ23" s="89">
        <f t="shared" si="438"/>
        <v>451632.16600000003</v>
      </c>
      <c r="ZK23" s="89">
        <f t="shared" si="438"/>
        <v>451889.82500000001</v>
      </c>
      <c r="ZL23" s="89">
        <f t="shared" si="438"/>
        <v>452299.61</v>
      </c>
      <c r="ZM23" s="89">
        <f t="shared" si="438"/>
        <v>452486.52100000001</v>
      </c>
      <c r="ZN23" s="89">
        <f t="shared" si="438"/>
        <v>452669.56300000002</v>
      </c>
      <c r="ZO23" s="89">
        <f t="shared" si="438"/>
        <v>453164.21500000003</v>
      </c>
      <c r="ZP23" s="89">
        <f t="shared" si="438"/>
        <v>453514</v>
      </c>
      <c r="ZQ23" s="89">
        <f t="shared" si="438"/>
        <v>453823.60200000001</v>
      </c>
      <c r="ZR23" s="89">
        <f t="shared" si="438"/>
        <v>454080.64299999998</v>
      </c>
      <c r="ZS23" s="127">
        <v>0</v>
      </c>
      <c r="ZT23" s="89">
        <f>ZR24</f>
        <v>454355.49699999997</v>
      </c>
      <c r="ZU23" s="89">
        <f t="shared" ref="ZU23:AAW23" si="439">ZT24</f>
        <v>454576.44400000002</v>
      </c>
      <c r="ZV23" s="89">
        <f t="shared" si="439"/>
        <v>454849.79599999997</v>
      </c>
      <c r="ZW23" s="89">
        <f t="shared" si="439"/>
        <v>455066.46600000001</v>
      </c>
      <c r="ZX23" s="89">
        <f t="shared" si="439"/>
        <v>455314.39399999997</v>
      </c>
      <c r="ZY23" s="89">
        <f t="shared" si="439"/>
        <v>455675.005</v>
      </c>
      <c r="ZZ23" s="89">
        <f t="shared" si="439"/>
        <v>455925.24599999998</v>
      </c>
      <c r="AAA23" s="89">
        <f t="shared" si="439"/>
        <v>456129.80099999998</v>
      </c>
      <c r="AAB23" s="89">
        <f t="shared" si="439"/>
        <v>456313.22700000001</v>
      </c>
      <c r="AAC23" s="89">
        <f t="shared" si="439"/>
        <v>456490.40899999999</v>
      </c>
      <c r="AAD23" s="89">
        <f t="shared" si="439"/>
        <v>457311.19199999998</v>
      </c>
      <c r="AAE23" s="89">
        <f t="shared" si="439"/>
        <v>457671.47200000001</v>
      </c>
      <c r="AAF23" s="89">
        <f t="shared" si="439"/>
        <v>457999.35999999999</v>
      </c>
      <c r="AAG23" s="89">
        <f t="shared" si="439"/>
        <v>458354.44199999998</v>
      </c>
      <c r="AAH23" s="89">
        <f t="shared" si="439"/>
        <v>458725.42200000002</v>
      </c>
      <c r="AAI23" s="89">
        <f t="shared" si="439"/>
        <v>458944.85</v>
      </c>
      <c r="AAJ23" s="89">
        <f t="shared" si="439"/>
        <v>459139.16100000002</v>
      </c>
      <c r="AAK23" s="89">
        <f t="shared" si="439"/>
        <v>459337.42200000002</v>
      </c>
      <c r="AAL23" s="89">
        <f t="shared" si="439"/>
        <v>459621.26899999997</v>
      </c>
      <c r="AAM23" s="89">
        <f t="shared" si="439"/>
        <v>459864.68699999998</v>
      </c>
      <c r="AAN23" s="89">
        <f t="shared" si="439"/>
        <v>460059.85</v>
      </c>
      <c r="AAO23" s="89">
        <f t="shared" si="439"/>
        <v>460647.625</v>
      </c>
      <c r="AAP23" s="89">
        <f t="shared" si="439"/>
        <v>460857.288</v>
      </c>
      <c r="AAQ23" s="89">
        <f t="shared" si="439"/>
        <v>461175.21399999998</v>
      </c>
      <c r="AAR23" s="89">
        <f t="shared" si="439"/>
        <v>461481.91100000002</v>
      </c>
      <c r="AAS23" s="89">
        <f t="shared" si="439"/>
        <v>461689.84499999997</v>
      </c>
      <c r="AAT23" s="89">
        <f t="shared" si="439"/>
        <v>461901.65399999998</v>
      </c>
      <c r="AAU23" s="89">
        <f t="shared" si="439"/>
        <v>462164.74800000002</v>
      </c>
      <c r="AAV23" s="89">
        <f t="shared" si="439"/>
        <v>462423.80499999999</v>
      </c>
      <c r="AAW23" s="89">
        <f t="shared" si="439"/>
        <v>462601.63500000001</v>
      </c>
      <c r="AAX23" s="127">
        <v>0</v>
      </c>
      <c r="AAY23" s="89">
        <f>AAW24</f>
        <v>462780.53899999999</v>
      </c>
      <c r="AAZ23" s="89">
        <f t="shared" ref="AAZ23:ACC23" si="440">AAY24</f>
        <v>463037.50599999999</v>
      </c>
      <c r="ABA23" s="89">
        <f t="shared" si="440"/>
        <v>463298.98599999998</v>
      </c>
      <c r="ABB23" s="89">
        <f t="shared" si="440"/>
        <v>463596.17200000002</v>
      </c>
      <c r="ABC23" s="89">
        <f t="shared" si="440"/>
        <v>463822.60499999998</v>
      </c>
      <c r="ABD23" s="89">
        <f t="shared" si="440"/>
        <v>464033.01</v>
      </c>
      <c r="ABE23" s="89">
        <f t="shared" si="440"/>
        <v>464217.29700000002</v>
      </c>
      <c r="ABF23" s="89">
        <f t="shared" si="440"/>
        <v>464500.93199999997</v>
      </c>
      <c r="ABG23" s="89">
        <f t="shared" si="440"/>
        <v>464746.94300000003</v>
      </c>
      <c r="ABH23" s="89">
        <f t="shared" si="440"/>
        <v>464916.00199999998</v>
      </c>
      <c r="ABI23" s="89">
        <f t="shared" si="440"/>
        <v>465433.46100000001</v>
      </c>
      <c r="ABJ23" s="89">
        <f t="shared" si="440"/>
        <v>465789.55699999997</v>
      </c>
      <c r="ABK23" s="89">
        <f t="shared" si="440"/>
        <v>466089.86</v>
      </c>
      <c r="ABL23" s="89">
        <f t="shared" si="440"/>
        <v>466240.78899999999</v>
      </c>
      <c r="ABM23" s="89">
        <f t="shared" si="440"/>
        <v>466555.821</v>
      </c>
      <c r="ABN23" s="89">
        <f t="shared" si="440"/>
        <v>466883.54399999999</v>
      </c>
      <c r="ABO23" s="89">
        <f t="shared" si="440"/>
        <v>467189.09700000001</v>
      </c>
      <c r="ABP23" s="89">
        <f t="shared" si="440"/>
        <v>467345.74200000003</v>
      </c>
      <c r="ABQ23" s="89">
        <f t="shared" si="440"/>
        <v>467689.37599999999</v>
      </c>
      <c r="ABR23" s="89">
        <f t="shared" si="440"/>
        <v>467993.76199999999</v>
      </c>
      <c r="ABS23" s="89">
        <f t="shared" si="440"/>
        <v>468145.14600000001</v>
      </c>
      <c r="ABT23" s="89">
        <f t="shared" si="440"/>
        <v>468337.60399999999</v>
      </c>
      <c r="ABU23" s="89">
        <f t="shared" si="440"/>
        <v>468525.33199999999</v>
      </c>
      <c r="ABV23" s="89">
        <f t="shared" si="440"/>
        <v>468787.95199999999</v>
      </c>
      <c r="ABW23" s="89">
        <f t="shared" si="440"/>
        <v>469121.25699999998</v>
      </c>
      <c r="ABX23" s="89">
        <f t="shared" si="440"/>
        <v>469391.55800000002</v>
      </c>
      <c r="ABY23" s="89">
        <f t="shared" si="440"/>
        <v>469623.36</v>
      </c>
      <c r="ABZ23" s="89">
        <f t="shared" si="440"/>
        <v>469817.96600000001</v>
      </c>
      <c r="ACA23" s="89">
        <f t="shared" si="440"/>
        <v>470299.70299999998</v>
      </c>
      <c r="ACB23" s="89">
        <f t="shared" si="440"/>
        <v>470668.73200000002</v>
      </c>
      <c r="ACC23" s="89">
        <f t="shared" si="440"/>
        <v>470902.93400000001</v>
      </c>
      <c r="ACD23" s="127">
        <v>0</v>
      </c>
      <c r="ACE23" s="89">
        <f>ACC24</f>
        <v>471200.18400000001</v>
      </c>
      <c r="ACF23" s="89">
        <f t="shared" ref="ACF23:ADI23" si="441">ACE24</f>
        <v>471547.38099999999</v>
      </c>
      <c r="ACG23" s="89">
        <f t="shared" si="441"/>
        <v>471906.60600000003</v>
      </c>
      <c r="ACH23" s="89">
        <f t="shared" si="441"/>
        <v>472099.06</v>
      </c>
      <c r="ACI23" s="89">
        <f t="shared" si="441"/>
        <v>472391.38900000002</v>
      </c>
      <c r="ACJ23" s="89">
        <f t="shared" si="441"/>
        <v>472690.28600000002</v>
      </c>
      <c r="ACK23" s="89">
        <f t="shared" si="441"/>
        <v>472910.26699999999</v>
      </c>
      <c r="ACL23" s="89">
        <f t="shared" si="441"/>
        <v>473112.679</v>
      </c>
      <c r="ACM23" s="89">
        <f t="shared" si="441"/>
        <v>473298.25</v>
      </c>
      <c r="ACN23" s="89">
        <f t="shared" si="441"/>
        <v>473610.75099999999</v>
      </c>
      <c r="ACO23" s="89">
        <f t="shared" si="441"/>
        <v>473781.91899999999</v>
      </c>
      <c r="ACP23" s="89">
        <f t="shared" si="441"/>
        <v>474143.97899999999</v>
      </c>
      <c r="ACQ23" s="89">
        <f t="shared" si="441"/>
        <v>474437.15899999999</v>
      </c>
      <c r="ACR23" s="89">
        <f t="shared" si="441"/>
        <v>474698.46</v>
      </c>
      <c r="ACS23" s="89">
        <f t="shared" si="441"/>
        <v>475071.55</v>
      </c>
      <c r="ACT23" s="89">
        <f t="shared" si="441"/>
        <v>475365.728</v>
      </c>
      <c r="ACU23" s="89">
        <f t="shared" si="441"/>
        <v>475643.674</v>
      </c>
      <c r="ACV23" s="89">
        <f t="shared" si="441"/>
        <v>475827.96299999999</v>
      </c>
      <c r="ACW23" s="89">
        <f t="shared" si="441"/>
        <v>476152.27299999999</v>
      </c>
      <c r="ACX23" s="89">
        <f t="shared" si="441"/>
        <v>476414.82799999998</v>
      </c>
      <c r="ACY23" s="89">
        <f t="shared" si="441"/>
        <v>476694.37</v>
      </c>
      <c r="ACZ23" s="89">
        <f t="shared" si="441"/>
        <v>476876.07500000001</v>
      </c>
      <c r="ADA23" s="89">
        <f t="shared" si="441"/>
        <v>477162.92800000001</v>
      </c>
      <c r="ADB23" s="89">
        <f t="shared" si="441"/>
        <v>477462.19799999997</v>
      </c>
      <c r="ADC23" s="89">
        <f t="shared" si="441"/>
        <v>477596.37900000002</v>
      </c>
      <c r="ADD23" s="89">
        <f t="shared" si="441"/>
        <v>477781.36099999998</v>
      </c>
      <c r="ADE23" s="89">
        <f t="shared" si="441"/>
        <v>477944.14199999999</v>
      </c>
      <c r="ADF23" s="89">
        <f t="shared" si="441"/>
        <v>478137.99</v>
      </c>
      <c r="ADG23" s="89">
        <f t="shared" si="441"/>
        <v>478394.74400000001</v>
      </c>
      <c r="ADH23" s="89">
        <f t="shared" si="441"/>
        <v>478648.03499999997</v>
      </c>
      <c r="ADI23" s="89">
        <f t="shared" si="441"/>
        <v>478994.91200000001</v>
      </c>
      <c r="ADJ23" s="127">
        <v>0</v>
      </c>
      <c r="ADK23" s="89">
        <f>ADI24</f>
        <v>479278.76400000002</v>
      </c>
      <c r="ADL23" s="89">
        <f t="shared" ref="ADL23:AEN23" si="442">ADK24</f>
        <v>479537.02100000001</v>
      </c>
      <c r="ADM23" s="89">
        <f t="shared" si="442"/>
        <v>479788.62699999998</v>
      </c>
      <c r="ADN23" s="89">
        <f t="shared" si="442"/>
        <v>480140.21500000003</v>
      </c>
      <c r="ADO23" s="89">
        <f t="shared" si="442"/>
        <v>480399.33100000001</v>
      </c>
      <c r="ADP23" s="89">
        <f t="shared" si="442"/>
        <v>480622.57</v>
      </c>
      <c r="ADQ23" s="89">
        <f t="shared" si="442"/>
        <v>480895.83500000002</v>
      </c>
      <c r="ADR23" s="89">
        <f t="shared" si="442"/>
        <v>481173.23200000002</v>
      </c>
      <c r="ADS23" s="89">
        <f t="shared" si="442"/>
        <v>481475.86900000001</v>
      </c>
      <c r="ADT23" s="89">
        <f t="shared" si="442"/>
        <v>481749.17</v>
      </c>
      <c r="ADU23" s="89">
        <f t="shared" si="442"/>
        <v>481985.337</v>
      </c>
      <c r="ADV23" s="89">
        <f t="shared" si="442"/>
        <v>482276.31300000002</v>
      </c>
      <c r="ADW23" s="89">
        <f t="shared" si="442"/>
        <v>482559.73800000001</v>
      </c>
      <c r="ADX23" s="89">
        <f t="shared" si="442"/>
        <v>482893.91100000002</v>
      </c>
      <c r="ADY23" s="89">
        <f t="shared" si="442"/>
        <v>483057.34</v>
      </c>
      <c r="ADZ23" s="89">
        <f t="shared" si="442"/>
        <v>483424.522</v>
      </c>
      <c r="AEA23" s="89">
        <f t="shared" si="442"/>
        <v>483708.84399999998</v>
      </c>
      <c r="AEB23" s="89">
        <f t="shared" si="442"/>
        <v>483924.30599999998</v>
      </c>
      <c r="AEC23" s="89">
        <f t="shared" si="442"/>
        <v>484152.45299999998</v>
      </c>
      <c r="AED23" s="89">
        <f t="shared" si="442"/>
        <v>484433.28499999997</v>
      </c>
      <c r="AEE23" s="89">
        <f t="shared" si="442"/>
        <v>484719.36900000001</v>
      </c>
      <c r="AEF23" s="89">
        <f t="shared" si="442"/>
        <v>484945.16100000002</v>
      </c>
      <c r="AEG23" s="89">
        <f t="shared" si="442"/>
        <v>485122.59600000002</v>
      </c>
      <c r="AEH23" s="89">
        <f t="shared" si="442"/>
        <v>485354.62300000002</v>
      </c>
      <c r="AEI23" s="89">
        <f t="shared" si="442"/>
        <v>485593.36499999999</v>
      </c>
      <c r="AEJ23" s="89">
        <f t="shared" si="442"/>
        <v>485780.663</v>
      </c>
      <c r="AEK23" s="89">
        <f t="shared" si="442"/>
        <v>486095.06</v>
      </c>
      <c r="AEL23" s="89">
        <f t="shared" si="442"/>
        <v>486521.17300000001</v>
      </c>
      <c r="AEM23" s="89">
        <f t="shared" si="442"/>
        <v>486707.60499999998</v>
      </c>
      <c r="AEN23" s="89">
        <f t="shared" si="442"/>
        <v>486959.027</v>
      </c>
      <c r="AEO23" s="127">
        <v>0</v>
      </c>
      <c r="AEP23" s="89">
        <f>AEN24</f>
        <v>487169.75599999999</v>
      </c>
      <c r="AEQ23" s="89">
        <f t="shared" ref="AEQ23:AFT23" si="443">AEP24</f>
        <v>487420.75400000002</v>
      </c>
      <c r="AER23" s="89">
        <f t="shared" si="443"/>
        <v>487692.48800000001</v>
      </c>
      <c r="AES23" s="89">
        <f t="shared" si="443"/>
        <v>487905.663</v>
      </c>
      <c r="AET23" s="89">
        <f t="shared" si="443"/>
        <v>488129.57199999999</v>
      </c>
      <c r="AEU23" s="89">
        <f t="shared" si="443"/>
        <v>488332.34700000001</v>
      </c>
      <c r="AEV23" s="89">
        <f t="shared" si="443"/>
        <v>488533.63500000001</v>
      </c>
      <c r="AEW23" s="89">
        <f t="shared" si="443"/>
        <v>488745.22700000001</v>
      </c>
      <c r="AEX23" s="89">
        <f t="shared" si="443"/>
        <v>488969.41800000001</v>
      </c>
      <c r="AEY23" s="89">
        <f t="shared" si="443"/>
        <v>489202.77500000002</v>
      </c>
      <c r="AEZ23" s="89">
        <f t="shared" si="443"/>
        <v>489582.20600000001</v>
      </c>
      <c r="AFA23" s="89">
        <f t="shared" si="443"/>
        <v>489847.35100000002</v>
      </c>
      <c r="AFB23" s="89">
        <f t="shared" si="443"/>
        <v>489990.77299999999</v>
      </c>
      <c r="AFC23" s="89">
        <f t="shared" si="443"/>
        <v>490237.74200000003</v>
      </c>
      <c r="AFD23" s="89">
        <f t="shared" si="443"/>
        <v>490390.45500000002</v>
      </c>
      <c r="AFE23" s="89">
        <f t="shared" si="443"/>
        <v>490682.93800000002</v>
      </c>
      <c r="AFF23" s="89">
        <f t="shared" si="443"/>
        <v>490941.89399999997</v>
      </c>
      <c r="AFG23" s="89">
        <f t="shared" si="443"/>
        <v>491130.10600000003</v>
      </c>
      <c r="AFH23" s="89">
        <f t="shared" si="443"/>
        <v>491490.56699999998</v>
      </c>
      <c r="AFI23" s="89">
        <f t="shared" si="443"/>
        <v>491799.8</v>
      </c>
      <c r="AFJ23" s="89">
        <f t="shared" si="443"/>
        <v>492119.348</v>
      </c>
      <c r="AFK23" s="89">
        <f t="shared" si="443"/>
        <v>492274.81300000002</v>
      </c>
      <c r="AFL23" s="89">
        <f t="shared" si="443"/>
        <v>492476.94199999998</v>
      </c>
      <c r="AFM23" s="89">
        <f t="shared" si="443"/>
        <v>492725.788</v>
      </c>
      <c r="AFN23" s="89">
        <f t="shared" si="443"/>
        <v>492971.13799999998</v>
      </c>
      <c r="AFO23" s="89">
        <f t="shared" si="443"/>
        <v>493372.21</v>
      </c>
      <c r="AFP23" s="89">
        <f t="shared" si="443"/>
        <v>493510.266</v>
      </c>
      <c r="AFQ23" s="89">
        <f t="shared" si="443"/>
        <v>493742.53399999999</v>
      </c>
      <c r="AFR23" s="89">
        <f t="shared" si="443"/>
        <v>493974.33899999998</v>
      </c>
      <c r="AFS23" s="89">
        <f t="shared" si="443"/>
        <v>494160.15500000003</v>
      </c>
      <c r="AFT23" s="89">
        <f t="shared" si="443"/>
        <v>494378.408</v>
      </c>
      <c r="AFU23" s="127">
        <v>0</v>
      </c>
      <c r="AFV23" s="89">
        <f>AFT24</f>
        <v>494607.41399999999</v>
      </c>
      <c r="AFW23" s="89">
        <f t="shared" ref="AFW23:AGY23" si="444">AFV24</f>
        <v>494760.30499999999</v>
      </c>
      <c r="AFX23" s="89">
        <f t="shared" si="444"/>
        <v>494926.59899999999</v>
      </c>
      <c r="AFY23" s="89">
        <f t="shared" si="444"/>
        <v>495161.94799999997</v>
      </c>
      <c r="AFZ23" s="89">
        <f t="shared" si="444"/>
        <v>495350.09899999999</v>
      </c>
      <c r="AGA23" s="89">
        <f t="shared" si="444"/>
        <v>495653.29700000002</v>
      </c>
      <c r="AGB23" s="89">
        <f t="shared" si="444"/>
        <v>495841.016</v>
      </c>
      <c r="AGC23" s="89">
        <f t="shared" si="444"/>
        <v>496112.39500000002</v>
      </c>
      <c r="AGD23" s="89">
        <f t="shared" si="444"/>
        <v>496271.951</v>
      </c>
      <c r="AGE23" s="89">
        <f t="shared" si="444"/>
        <v>496442.386</v>
      </c>
      <c r="AGF23" s="89">
        <f t="shared" si="444"/>
        <v>496641.17800000001</v>
      </c>
      <c r="AGG23" s="89">
        <f t="shared" si="444"/>
        <v>496884.65</v>
      </c>
      <c r="AGH23" s="89">
        <f t="shared" si="444"/>
        <v>497147.005</v>
      </c>
      <c r="AGI23" s="89">
        <f t="shared" si="444"/>
        <v>497430.85100000002</v>
      </c>
      <c r="AGJ23" s="89">
        <f t="shared" si="444"/>
        <v>497636.64399999997</v>
      </c>
      <c r="AGK23" s="89">
        <f t="shared" si="444"/>
        <v>497809.74</v>
      </c>
      <c r="AGL23" s="89">
        <f t="shared" si="444"/>
        <v>498051.44400000002</v>
      </c>
      <c r="AGM23" s="89">
        <f t="shared" si="444"/>
        <v>498233.85600000003</v>
      </c>
      <c r="AGN23" s="89">
        <f t="shared" si="444"/>
        <v>498556.45299999998</v>
      </c>
      <c r="AGO23" s="89">
        <f t="shared" si="444"/>
        <v>498712.853</v>
      </c>
      <c r="AGP23" s="89">
        <f t="shared" si="444"/>
        <v>498967.70899999997</v>
      </c>
      <c r="AGQ23" s="89">
        <f t="shared" si="444"/>
        <v>499242.99800000002</v>
      </c>
      <c r="AGR23" s="89">
        <f t="shared" si="444"/>
        <v>499655.63199999998</v>
      </c>
      <c r="AGS23" s="89">
        <f t="shared" si="444"/>
        <v>499942.61700000003</v>
      </c>
      <c r="AGT23" s="89">
        <f t="shared" si="444"/>
        <v>500183.54599999997</v>
      </c>
      <c r="AGU23" s="89">
        <f t="shared" si="444"/>
        <v>500336.75099999999</v>
      </c>
      <c r="AGV23" s="89">
        <f t="shared" si="444"/>
        <v>500745.83899999998</v>
      </c>
      <c r="AGW23" s="89">
        <f t="shared" si="444"/>
        <v>501041.27500000002</v>
      </c>
      <c r="AGX23" s="89">
        <f t="shared" si="444"/>
        <v>501345.99800000002</v>
      </c>
      <c r="AGY23" s="89">
        <f t="shared" si="444"/>
        <v>501630.65899999999</v>
      </c>
      <c r="AGZ23" s="127">
        <v>0</v>
      </c>
      <c r="AHA23" s="89">
        <f>AGY24</f>
        <v>501819.70199999999</v>
      </c>
      <c r="AHB23" s="89">
        <f t="shared" ref="AHB23:AIE23" si="445">AHA24</f>
        <v>502039.95899999997</v>
      </c>
      <c r="AHC23" s="89">
        <f t="shared" si="445"/>
        <v>502299.37300000002</v>
      </c>
      <c r="AHD23" s="89">
        <f t="shared" si="445"/>
        <v>502533.09100000001</v>
      </c>
      <c r="AHE23" s="89">
        <f t="shared" si="445"/>
        <v>502757.65899999999</v>
      </c>
      <c r="AHF23" s="89">
        <f t="shared" si="445"/>
        <v>503180.20199999999</v>
      </c>
      <c r="AHG23" s="89">
        <f t="shared" si="445"/>
        <v>503332.94300000003</v>
      </c>
      <c r="AHH23" s="89">
        <f t="shared" si="445"/>
        <v>503534.61599999998</v>
      </c>
      <c r="AHI23" s="89">
        <f t="shared" si="445"/>
        <v>503761.87800000003</v>
      </c>
      <c r="AHJ23" s="89">
        <f t="shared" si="445"/>
        <v>504324.31699999998</v>
      </c>
      <c r="AHK23" s="89">
        <f t="shared" si="445"/>
        <v>504584.87599999999</v>
      </c>
      <c r="AHL23" s="89">
        <f t="shared" si="445"/>
        <v>504715.01199999999</v>
      </c>
      <c r="AHM23" s="89">
        <f t="shared" si="445"/>
        <v>505050.315</v>
      </c>
      <c r="AHN23" s="89">
        <f t="shared" si="445"/>
        <v>505185.40299999999</v>
      </c>
      <c r="AHO23" s="89">
        <f t="shared" si="445"/>
        <v>505364.56699999998</v>
      </c>
      <c r="AHP23" s="89">
        <f t="shared" si="445"/>
        <v>505719.16899999999</v>
      </c>
      <c r="AHQ23" s="89">
        <f t="shared" si="445"/>
        <v>505974.53600000002</v>
      </c>
      <c r="AHR23" s="89">
        <f t="shared" si="445"/>
        <v>506149.94099999999</v>
      </c>
      <c r="AHS23" s="89">
        <f t="shared" si="445"/>
        <v>506471.48599999998</v>
      </c>
      <c r="AHT23" s="89">
        <f t="shared" si="445"/>
        <v>506704.4</v>
      </c>
      <c r="AHU23" s="89">
        <f t="shared" si="445"/>
        <v>506896.13099999999</v>
      </c>
      <c r="AHV23" s="89">
        <f t="shared" si="445"/>
        <v>507237.54100000003</v>
      </c>
      <c r="AHW23" s="89">
        <f t="shared" si="445"/>
        <v>507451.88299999997</v>
      </c>
      <c r="AHX23" s="89">
        <f t="shared" si="445"/>
        <v>507732.53399999999</v>
      </c>
      <c r="AHY23" s="89">
        <f t="shared" si="445"/>
        <v>508016.02500000002</v>
      </c>
      <c r="AHZ23" s="89">
        <f t="shared" si="445"/>
        <v>508083.79</v>
      </c>
      <c r="AIA23" s="89">
        <f t="shared" si="445"/>
        <v>508207.98200000002</v>
      </c>
      <c r="AIB23" s="89">
        <f t="shared" si="445"/>
        <v>508466.24800000002</v>
      </c>
      <c r="AIC23" s="89">
        <f t="shared" si="445"/>
        <v>508577.37800000003</v>
      </c>
      <c r="AID23" s="89">
        <f t="shared" si="445"/>
        <v>508854.54</v>
      </c>
      <c r="AIE23" s="89">
        <f t="shared" si="445"/>
        <v>509114.63199999998</v>
      </c>
      <c r="AIF23" s="127">
        <v>0</v>
      </c>
      <c r="AIG23" s="89">
        <f>AIE24</f>
        <v>509475.95699999999</v>
      </c>
      <c r="AIH23" s="89">
        <f t="shared" ref="AIH23:AJK23" si="446">AIG24</f>
        <v>509661.272</v>
      </c>
      <c r="AII23" s="89">
        <f t="shared" si="446"/>
        <v>509875.62</v>
      </c>
      <c r="AIJ23" s="89">
        <f t="shared" si="446"/>
        <v>510085.55300000001</v>
      </c>
      <c r="AIK23" s="89">
        <f t="shared" si="446"/>
        <v>510326.98100000003</v>
      </c>
      <c r="AIL23" s="89">
        <f t="shared" si="446"/>
        <v>510591.28200000001</v>
      </c>
      <c r="AIM23" s="89">
        <f t="shared" si="446"/>
        <v>510762.33</v>
      </c>
      <c r="AIN23" s="89">
        <f t="shared" si="446"/>
        <v>511119.12400000001</v>
      </c>
      <c r="AIO23" s="89">
        <f t="shared" si="446"/>
        <v>511424.39799999999</v>
      </c>
      <c r="AIP23" s="89">
        <f t="shared" si="446"/>
        <v>511715.73</v>
      </c>
      <c r="AIQ23" s="89">
        <f t="shared" si="446"/>
        <v>512189.49599999998</v>
      </c>
      <c r="AIR23" s="89">
        <f t="shared" si="446"/>
        <v>512423.53600000002</v>
      </c>
      <c r="AIS23" s="89">
        <f t="shared" si="446"/>
        <v>512629.467</v>
      </c>
      <c r="AIT23" s="89">
        <f t="shared" si="446"/>
        <v>512832.522</v>
      </c>
      <c r="AIU23" s="89">
        <f t="shared" si="446"/>
        <v>513051.68800000002</v>
      </c>
      <c r="AIV23" s="89">
        <f t="shared" si="446"/>
        <v>513128.87400000001</v>
      </c>
      <c r="AIW23" s="89">
        <f t="shared" si="446"/>
        <v>513280.196</v>
      </c>
      <c r="AIX23" s="89">
        <f t="shared" si="446"/>
        <v>513409.56400000001</v>
      </c>
      <c r="AIY23" s="89">
        <f t="shared" si="446"/>
        <v>513562.41800000001</v>
      </c>
      <c r="AIZ23" s="89">
        <f t="shared" si="446"/>
        <v>513898.08100000001</v>
      </c>
      <c r="AJA23" s="89">
        <f t="shared" si="446"/>
        <v>514174.43699999998</v>
      </c>
      <c r="AJB23" s="89">
        <f t="shared" si="446"/>
        <v>514427.96100000001</v>
      </c>
      <c r="AJC23" s="89">
        <f t="shared" si="446"/>
        <v>514605.87099999998</v>
      </c>
      <c r="AJD23" s="89">
        <f t="shared" si="446"/>
        <v>514824.15700000001</v>
      </c>
      <c r="AJE23" s="89">
        <f t="shared" si="446"/>
        <v>515107.89299999998</v>
      </c>
      <c r="AJF23" s="89">
        <f t="shared" si="446"/>
        <v>515281.69</v>
      </c>
      <c r="AJG23" s="89">
        <f t="shared" si="446"/>
        <v>515462.36599999998</v>
      </c>
      <c r="AJH23" s="89">
        <f t="shared" si="446"/>
        <v>515754.14399999997</v>
      </c>
      <c r="AJI23" s="89">
        <f t="shared" si="446"/>
        <v>515939.163</v>
      </c>
      <c r="AJJ23" s="89">
        <f t="shared" si="446"/>
        <v>516254.429</v>
      </c>
      <c r="AJK23" s="89">
        <f t="shared" si="446"/>
        <v>516583.36099999998</v>
      </c>
      <c r="AJL23" s="127">
        <v>0</v>
      </c>
      <c r="AJM23" s="89">
        <f>AJK24</f>
        <v>516892.761</v>
      </c>
      <c r="AJN23" s="89">
        <f t="shared" ref="AJN23:AKN23" si="447">AJM24</f>
        <v>517069.51799999998</v>
      </c>
      <c r="AJO23" s="89">
        <f t="shared" si="447"/>
        <v>517266.27799999999</v>
      </c>
      <c r="AJP23" s="89">
        <f t="shared" si="447"/>
        <v>517452.17200000002</v>
      </c>
      <c r="AJQ23" s="89">
        <f t="shared" si="447"/>
        <v>517674.4</v>
      </c>
      <c r="AJR23" s="89">
        <f t="shared" si="447"/>
        <v>518126.51199999999</v>
      </c>
      <c r="AJS23" s="89">
        <f t="shared" si="447"/>
        <v>518354.38099999999</v>
      </c>
      <c r="AJT23" s="89">
        <f t="shared" si="447"/>
        <v>518580.63</v>
      </c>
      <c r="AJU23" s="89">
        <f t="shared" si="447"/>
        <v>518820.97600000002</v>
      </c>
      <c r="AJV23" s="89">
        <f t="shared" si="447"/>
        <v>519087.35600000003</v>
      </c>
      <c r="AJW23" s="89">
        <f t="shared" si="447"/>
        <v>519317.37800000003</v>
      </c>
      <c r="AJX23" s="89">
        <f t="shared" si="447"/>
        <v>519561.98</v>
      </c>
      <c r="AJY23" s="89">
        <f t="shared" si="447"/>
        <v>519851.304</v>
      </c>
      <c r="AJZ23" s="89">
        <f t="shared" si="447"/>
        <v>520204.17700000003</v>
      </c>
      <c r="AKA23" s="89">
        <f t="shared" si="447"/>
        <v>520505.299</v>
      </c>
      <c r="AKB23" s="89">
        <f t="shared" si="447"/>
        <v>520676.83899999998</v>
      </c>
      <c r="AKC23" s="89">
        <f t="shared" si="447"/>
        <v>520938.179</v>
      </c>
      <c r="AKD23" s="89">
        <f t="shared" si="447"/>
        <v>521133.64199999999</v>
      </c>
      <c r="AKE23" s="89">
        <f t="shared" si="447"/>
        <v>521300.61700000003</v>
      </c>
      <c r="AKF23" s="89">
        <f t="shared" si="447"/>
        <v>521465.84399999998</v>
      </c>
      <c r="AKG23" s="89">
        <f t="shared" si="447"/>
        <v>521739.19099999999</v>
      </c>
      <c r="AKH23" s="89">
        <f t="shared" si="447"/>
        <v>521933.38199999998</v>
      </c>
      <c r="AKI23" s="89">
        <f t="shared" si="447"/>
        <v>522148.63900000002</v>
      </c>
      <c r="AKJ23" s="89">
        <f t="shared" si="447"/>
        <v>522464.55</v>
      </c>
      <c r="AKK23" s="89">
        <f t="shared" si="447"/>
        <v>522641.53100000002</v>
      </c>
      <c r="AKL23" s="89">
        <f t="shared" si="447"/>
        <v>523025.66</v>
      </c>
      <c r="AKM23" s="89">
        <f t="shared" si="447"/>
        <v>523190.44900000002</v>
      </c>
      <c r="AKN23" s="89">
        <f t="shared" si="447"/>
        <v>523460.04800000001</v>
      </c>
      <c r="AKO23" s="127">
        <v>0</v>
      </c>
      <c r="AKP23" s="89">
        <f>AKN24</f>
        <v>523767.69500000001</v>
      </c>
      <c r="AKQ23" s="89">
        <f t="shared" ref="AKQ23:ALT23" si="448">AKP24</f>
        <v>523943.57500000001</v>
      </c>
      <c r="AKR23" s="89">
        <f t="shared" si="448"/>
        <v>524134.46600000001</v>
      </c>
      <c r="AKS23" s="89">
        <f t="shared" si="448"/>
        <v>524348.41200000001</v>
      </c>
      <c r="AKT23" s="89">
        <f t="shared" si="448"/>
        <v>524561.92299999995</v>
      </c>
      <c r="AKU23" s="89">
        <f t="shared" si="448"/>
        <v>524789.37399999995</v>
      </c>
      <c r="AKV23" s="89">
        <f t="shared" si="448"/>
        <v>525033.98400000005</v>
      </c>
      <c r="AKW23" s="89">
        <f t="shared" si="448"/>
        <v>525274.01100000006</v>
      </c>
      <c r="AKX23" s="89">
        <f t="shared" si="448"/>
        <v>525453.39500000002</v>
      </c>
      <c r="AKY23" s="89">
        <f t="shared" si="448"/>
        <v>525700.24100000004</v>
      </c>
      <c r="AKZ23" s="89">
        <f t="shared" si="448"/>
        <v>525887.22199999995</v>
      </c>
      <c r="ALA23" s="89">
        <f t="shared" si="448"/>
        <v>526081.66200000001</v>
      </c>
      <c r="ALB23" s="89">
        <f t="shared" si="448"/>
        <v>526288.36199999996</v>
      </c>
      <c r="ALC23" s="89">
        <f t="shared" si="448"/>
        <v>526581.31700000004</v>
      </c>
      <c r="ALD23" s="89">
        <f t="shared" si="448"/>
        <v>526817.27300000004</v>
      </c>
      <c r="ALE23" s="89">
        <f t="shared" si="448"/>
        <v>526952.78</v>
      </c>
      <c r="ALF23" s="89">
        <f t="shared" si="448"/>
        <v>527303.32499999995</v>
      </c>
      <c r="ALG23" s="89">
        <f t="shared" si="448"/>
        <v>527500.98499999999</v>
      </c>
      <c r="ALH23" s="89">
        <f t="shared" si="448"/>
        <v>527739.42200000002</v>
      </c>
      <c r="ALI23" s="89">
        <f t="shared" si="448"/>
        <v>528009.66200000001</v>
      </c>
      <c r="ALJ23" s="89">
        <f t="shared" si="448"/>
        <v>528191.59299999999</v>
      </c>
      <c r="ALK23" s="89">
        <f t="shared" si="448"/>
        <v>528458.00600000005</v>
      </c>
      <c r="ALL23" s="89">
        <f t="shared" si="448"/>
        <v>528611.21600000001</v>
      </c>
      <c r="ALM23" s="89">
        <f t="shared" si="448"/>
        <v>530920.40500000003</v>
      </c>
      <c r="ALN23" s="89">
        <f t="shared" si="448"/>
        <v>531166.005</v>
      </c>
      <c r="ALO23" s="89">
        <f t="shared" si="448"/>
        <v>531363.005</v>
      </c>
      <c r="ALP23" s="89">
        <f t="shared" si="448"/>
        <v>531463.79700000002</v>
      </c>
      <c r="ALQ23" s="89">
        <f t="shared" si="448"/>
        <v>531690.59699999995</v>
      </c>
      <c r="ALR23" s="89">
        <f t="shared" si="448"/>
        <v>531947.19700000004</v>
      </c>
      <c r="ALS23" s="89">
        <f t="shared" si="448"/>
        <v>532026.59699999995</v>
      </c>
      <c r="ALT23" s="89">
        <f t="shared" si="448"/>
        <v>532168.397</v>
      </c>
      <c r="ALU23" s="127">
        <v>0</v>
      </c>
      <c r="ALV23" s="89">
        <f>ALT24</f>
        <v>532441.49399999995</v>
      </c>
      <c r="ALW23" s="89">
        <f t="shared" ref="ALW23:AMY23" si="449">ALV24</f>
        <v>532704.11</v>
      </c>
      <c r="ALX23" s="89">
        <f t="shared" si="449"/>
        <v>532864.51899999997</v>
      </c>
      <c r="ALY23" s="89">
        <f t="shared" si="449"/>
        <v>533045.03500000003</v>
      </c>
      <c r="ALZ23" s="89">
        <f t="shared" si="449"/>
        <v>533293.81400000001</v>
      </c>
      <c r="AMA23" s="89">
        <f t="shared" si="449"/>
        <v>533405.68200000003</v>
      </c>
      <c r="AMB23" s="89">
        <f t="shared" si="449"/>
        <v>533580.79299999995</v>
      </c>
      <c r="AMC23" s="89">
        <f t="shared" si="449"/>
        <v>533836.44499999995</v>
      </c>
      <c r="AMD23" s="89">
        <f t="shared" si="449"/>
        <v>534044.27300000004</v>
      </c>
      <c r="AME23" s="89">
        <f t="shared" si="449"/>
        <v>534268.24300000002</v>
      </c>
      <c r="AMF23" s="89">
        <f t="shared" si="449"/>
        <v>534474.69400000002</v>
      </c>
      <c r="AMG23" s="89">
        <f t="shared" si="449"/>
        <v>534928.55299999996</v>
      </c>
      <c r="AMH23" s="89">
        <f t="shared" si="449"/>
        <v>535099.90099999995</v>
      </c>
      <c r="AMI23" s="89">
        <f t="shared" si="449"/>
        <v>535315.36899999995</v>
      </c>
      <c r="AMJ23" s="89">
        <f t="shared" si="449"/>
        <v>535529.68099999998</v>
      </c>
      <c r="AMK23" s="89">
        <f t="shared" si="449"/>
        <v>535768.34900000005</v>
      </c>
      <c r="AML23" s="89">
        <f t="shared" si="449"/>
        <v>536027.66899999999</v>
      </c>
      <c r="AMM23" s="89">
        <f t="shared" si="449"/>
        <v>536288.71200000006</v>
      </c>
      <c r="AMN23" s="89">
        <f t="shared" si="449"/>
        <v>536592.74800000002</v>
      </c>
      <c r="AMO23" s="89">
        <f t="shared" si="449"/>
        <v>536795.06000000006</v>
      </c>
      <c r="AMP23" s="89">
        <f t="shared" si="449"/>
        <v>537010.32499999995</v>
      </c>
      <c r="AMQ23" s="89">
        <f t="shared" si="449"/>
        <v>537230.34400000004</v>
      </c>
      <c r="AMR23" s="89">
        <f t="shared" si="449"/>
        <v>537427.02899999998</v>
      </c>
      <c r="AMS23" s="89">
        <f t="shared" si="449"/>
        <v>537708.25199999998</v>
      </c>
      <c r="AMT23" s="89">
        <f t="shared" si="449"/>
        <v>538027.87100000004</v>
      </c>
      <c r="AMU23" s="89">
        <f t="shared" si="449"/>
        <v>538147.5</v>
      </c>
      <c r="AMV23" s="89">
        <f t="shared" si="449"/>
        <v>538351.33700000006</v>
      </c>
      <c r="AMW23" s="89">
        <f t="shared" si="449"/>
        <v>538661.09</v>
      </c>
      <c r="AMX23" s="89">
        <f t="shared" si="449"/>
        <v>538824.77099999995</v>
      </c>
      <c r="AMY23" s="89">
        <f t="shared" si="449"/>
        <v>539029.36600000004</v>
      </c>
      <c r="AMZ23" s="127">
        <v>0</v>
      </c>
      <c r="ANA23" s="89">
        <f>AMY24</f>
        <v>539219.63199999998</v>
      </c>
      <c r="ANB23" s="89">
        <f t="shared" ref="ANB23:AOC23" si="450">ANA24</f>
        <v>539390.74600000004</v>
      </c>
      <c r="ANC23" s="89">
        <f t="shared" si="450"/>
        <v>539691.37</v>
      </c>
      <c r="AND23" s="89">
        <f t="shared" si="450"/>
        <v>539791.85900000005</v>
      </c>
      <c r="ANE23" s="89">
        <f t="shared" si="450"/>
        <v>539989.11499999999</v>
      </c>
      <c r="ANF23" s="89">
        <f t="shared" si="450"/>
        <v>540103.69200000004</v>
      </c>
      <c r="ANG23" s="89">
        <f t="shared" si="450"/>
        <v>540231.41700000002</v>
      </c>
      <c r="ANH23" s="89">
        <f t="shared" si="450"/>
        <v>540388.80900000001</v>
      </c>
      <c r="ANI23" s="89">
        <f t="shared" si="450"/>
        <v>540575.76500000001</v>
      </c>
      <c r="ANJ23" s="89">
        <f t="shared" si="450"/>
        <v>540709.17700000003</v>
      </c>
      <c r="ANK23" s="89">
        <f t="shared" si="450"/>
        <v>540900.86300000001</v>
      </c>
      <c r="ANL23" s="89">
        <f t="shared" si="450"/>
        <v>541070.82400000002</v>
      </c>
      <c r="ANM23" s="89">
        <f t="shared" si="450"/>
        <v>541157.34400000004</v>
      </c>
      <c r="ANN23" s="89">
        <f t="shared" si="450"/>
        <v>541318.10800000001</v>
      </c>
      <c r="ANO23" s="89">
        <f t="shared" si="450"/>
        <v>541528.26</v>
      </c>
      <c r="ANP23" s="89">
        <f t="shared" si="450"/>
        <v>541805.08100000001</v>
      </c>
      <c r="ANQ23" s="89">
        <f t="shared" si="450"/>
        <v>541925.80099999998</v>
      </c>
      <c r="ANR23" s="89">
        <f t="shared" si="450"/>
        <v>542075.63699999999</v>
      </c>
      <c r="ANS23" s="89">
        <f t="shared" si="450"/>
        <v>542278.18500000006</v>
      </c>
      <c r="ANT23" s="89">
        <f t="shared" si="450"/>
        <v>542461.91700000002</v>
      </c>
      <c r="ANU23" s="89">
        <f t="shared" si="450"/>
        <v>542720.48899999994</v>
      </c>
      <c r="ANV23" s="89">
        <f t="shared" si="450"/>
        <v>542925.07200000004</v>
      </c>
      <c r="ANW23" s="89">
        <f t="shared" si="450"/>
        <v>543158.79099999997</v>
      </c>
      <c r="ANX23" s="89">
        <f t="shared" si="450"/>
        <v>543355.50899999996</v>
      </c>
      <c r="ANY23" s="89">
        <f t="shared" si="450"/>
        <v>543490.69299999997</v>
      </c>
      <c r="ANZ23" s="89">
        <f t="shared" si="450"/>
        <v>543879.39800000004</v>
      </c>
      <c r="AOA23" s="89">
        <f t="shared" si="450"/>
        <v>544123.86800000002</v>
      </c>
      <c r="AOB23" s="89">
        <f t="shared" si="450"/>
        <v>544215.18099999998</v>
      </c>
      <c r="AOC23" s="89">
        <f t="shared" si="450"/>
        <v>544379.64500000002</v>
      </c>
      <c r="AOD23" s="89">
        <v>544624.76699999999</v>
      </c>
      <c r="AOE23">
        <v>544624.76699999999</v>
      </c>
      <c r="AOF23">
        <v>852073.23199999996</v>
      </c>
    </row>
    <row r="24" spans="1:1072" x14ac:dyDescent="0.2">
      <c r="A24" s="157"/>
      <c r="B24" s="160"/>
      <c r="C24" s="47" t="s">
        <v>757</v>
      </c>
      <c r="D24" s="48">
        <v>272926.37199999997</v>
      </c>
      <c r="E24" s="18">
        <v>273198.92499999999</v>
      </c>
      <c r="F24" s="18">
        <v>273404.995</v>
      </c>
      <c r="G24" s="18">
        <v>273790.93</v>
      </c>
      <c r="H24" s="18">
        <v>274119.00199999998</v>
      </c>
      <c r="I24" s="18">
        <v>274360.86300000001</v>
      </c>
      <c r="J24" s="18">
        <v>274646.47700000001</v>
      </c>
      <c r="K24" s="18">
        <v>274831.61700000003</v>
      </c>
      <c r="L24" s="18">
        <v>275074.609</v>
      </c>
      <c r="M24" s="18">
        <v>275339.96500000003</v>
      </c>
      <c r="N24" s="18">
        <v>275572.20600000001</v>
      </c>
      <c r="O24" s="18">
        <v>275729.82900000003</v>
      </c>
      <c r="P24" s="18">
        <v>275906.58600000001</v>
      </c>
      <c r="Q24" s="18">
        <v>276153.34999999998</v>
      </c>
      <c r="R24" s="18">
        <v>276429.23499999999</v>
      </c>
      <c r="S24" s="18">
        <v>276574.37800000003</v>
      </c>
      <c r="T24" s="18">
        <v>276813.06599999999</v>
      </c>
      <c r="U24" s="18">
        <v>277063.47399999999</v>
      </c>
      <c r="V24" s="18">
        <v>277208.61499999999</v>
      </c>
      <c r="W24" s="18">
        <v>277378.27299999999</v>
      </c>
      <c r="X24" s="18">
        <v>277614.38099999999</v>
      </c>
      <c r="Y24" s="18">
        <v>278036.087</v>
      </c>
      <c r="Z24" s="18">
        <v>278291.12</v>
      </c>
      <c r="AA24" s="18">
        <v>278576.80099999998</v>
      </c>
      <c r="AB24" s="18">
        <v>278856.886</v>
      </c>
      <c r="AC24" s="18">
        <v>279117.28499999997</v>
      </c>
      <c r="AD24" s="18">
        <v>279235.12300000002</v>
      </c>
      <c r="AE24" s="18">
        <v>279385.69400000002</v>
      </c>
      <c r="AF24" s="18">
        <v>279856.44799999997</v>
      </c>
      <c r="AG24" s="18">
        <v>280269.16100000002</v>
      </c>
      <c r="AH24" s="18">
        <v>280598.49400000001</v>
      </c>
      <c r="AI24" s="17"/>
      <c r="AJ24" s="13">
        <v>280876.52600000001</v>
      </c>
      <c r="AK24" s="13">
        <v>281223.43599999999</v>
      </c>
      <c r="AL24" s="13">
        <v>281685.261</v>
      </c>
      <c r="AM24" s="13">
        <v>281999.31900000002</v>
      </c>
      <c r="AN24" s="13">
        <v>282470.587</v>
      </c>
      <c r="AO24" s="13">
        <v>282873.11599999998</v>
      </c>
      <c r="AP24" s="13">
        <v>283230.89600000001</v>
      </c>
      <c r="AQ24" s="13">
        <v>283615.48800000001</v>
      </c>
      <c r="AR24" s="13">
        <v>283882.26500000001</v>
      </c>
      <c r="AS24" s="13">
        <v>284222.44099999999</v>
      </c>
      <c r="AT24" s="13">
        <v>284558.967</v>
      </c>
      <c r="AU24" s="13">
        <v>284894.30200000003</v>
      </c>
      <c r="AV24" s="13">
        <v>285203.54800000001</v>
      </c>
      <c r="AW24" s="13">
        <v>285481.701</v>
      </c>
      <c r="AX24" s="13">
        <v>285704.614</v>
      </c>
      <c r="AY24" s="13">
        <v>285960.30200000003</v>
      </c>
      <c r="AZ24" s="13">
        <v>286167.429</v>
      </c>
      <c r="BA24" s="13">
        <v>286380.68199999997</v>
      </c>
      <c r="BB24" s="13">
        <v>286604.549</v>
      </c>
      <c r="BC24" s="13">
        <v>286798.41499999998</v>
      </c>
      <c r="BD24" s="13">
        <v>287029.429</v>
      </c>
      <c r="BE24" s="13">
        <v>287314.73800000001</v>
      </c>
      <c r="BF24" s="13">
        <v>287646.147</v>
      </c>
      <c r="BG24" s="13">
        <v>287934.91800000001</v>
      </c>
      <c r="BH24" s="13">
        <v>288177.141</v>
      </c>
      <c r="BI24" s="13">
        <v>288424.88400000002</v>
      </c>
      <c r="BJ24" s="13">
        <v>288671.62099999998</v>
      </c>
      <c r="BK24" s="13">
        <v>288881.37800000003</v>
      </c>
      <c r="BL24" s="13">
        <v>289060.55599999998</v>
      </c>
      <c r="BM24" s="13">
        <v>289288.01400000002</v>
      </c>
      <c r="BO24" s="13">
        <v>289410.429</v>
      </c>
      <c r="BP24" s="13">
        <v>289553.64600000001</v>
      </c>
      <c r="BQ24" s="13">
        <v>289884.54300000001</v>
      </c>
      <c r="BR24" s="13">
        <v>290055.03600000002</v>
      </c>
      <c r="BS24" s="13">
        <v>290368.97399999999</v>
      </c>
      <c r="BT24" s="13">
        <v>290661.88900000002</v>
      </c>
      <c r="BU24" s="13">
        <v>290924.50199999998</v>
      </c>
      <c r="BV24" s="13">
        <v>291113.58</v>
      </c>
      <c r="BW24" s="13">
        <v>291412.56699999998</v>
      </c>
      <c r="BX24" s="13">
        <v>291677.40000000002</v>
      </c>
      <c r="BY24" s="13">
        <v>291932.533</v>
      </c>
      <c r="BZ24" s="13">
        <v>292257.76400000002</v>
      </c>
      <c r="CA24" s="13">
        <v>292497.14</v>
      </c>
      <c r="CB24" s="13">
        <v>292770.85600000003</v>
      </c>
      <c r="CC24" s="13">
        <v>292925.38699999999</v>
      </c>
      <c r="CD24" s="13">
        <v>293184.96500000003</v>
      </c>
      <c r="CE24" s="13">
        <v>293453.837</v>
      </c>
      <c r="CF24" s="13">
        <v>293588.37099999998</v>
      </c>
      <c r="CG24" s="13">
        <v>293754.29300000001</v>
      </c>
      <c r="CH24" s="13">
        <v>293977.23100000003</v>
      </c>
      <c r="CI24" s="13">
        <v>294130.75300000003</v>
      </c>
      <c r="CJ24" s="13">
        <v>294390.53100000002</v>
      </c>
      <c r="CK24" s="13">
        <v>294630.91499999998</v>
      </c>
      <c r="CL24" s="13">
        <v>294806.25</v>
      </c>
      <c r="CM24" s="13">
        <v>294982.902</v>
      </c>
      <c r="CN24" s="13">
        <v>295206.32400000002</v>
      </c>
      <c r="CO24" s="13">
        <v>295381.462</v>
      </c>
      <c r="CP24" s="13">
        <v>295637.94799999997</v>
      </c>
      <c r="CQ24" s="13">
        <v>295840.96399999998</v>
      </c>
      <c r="CR24" s="13">
        <v>296132.511</v>
      </c>
      <c r="CS24" s="13">
        <v>296402.49800000002</v>
      </c>
      <c r="CU24" s="13">
        <v>296706.62699999998</v>
      </c>
      <c r="CV24" s="13">
        <v>296919.39199999999</v>
      </c>
      <c r="CW24" s="13">
        <v>297122.91100000002</v>
      </c>
      <c r="CX24" s="13">
        <v>297517.234</v>
      </c>
      <c r="CY24" s="13">
        <v>297707.32500000001</v>
      </c>
      <c r="CZ24" s="13">
        <v>297985.49099999998</v>
      </c>
      <c r="DA24" s="13">
        <v>298188.91200000001</v>
      </c>
      <c r="DB24" s="13">
        <v>298546.36200000002</v>
      </c>
      <c r="DC24" s="13">
        <v>298850.65700000001</v>
      </c>
      <c r="DD24" s="13">
        <v>299087.89500000002</v>
      </c>
      <c r="DE24" s="13">
        <v>299281.05200000003</v>
      </c>
      <c r="DF24" s="13">
        <v>299424.23</v>
      </c>
      <c r="DG24" s="13">
        <v>299525.837</v>
      </c>
      <c r="DH24" s="13">
        <v>299717.13699999999</v>
      </c>
      <c r="DI24" s="13">
        <v>299845.00199999998</v>
      </c>
      <c r="DJ24" s="13">
        <v>300084.65000000002</v>
      </c>
      <c r="DK24" s="13">
        <v>300348.09000000003</v>
      </c>
      <c r="DL24" s="13">
        <v>300566.86499999999</v>
      </c>
      <c r="DM24" s="13">
        <v>300756.01</v>
      </c>
      <c r="DN24" s="13">
        <v>301031.58799999999</v>
      </c>
      <c r="DO24" s="13">
        <v>301264.41499999998</v>
      </c>
      <c r="DP24" s="13">
        <v>301524.94799999997</v>
      </c>
      <c r="DQ24" s="13">
        <v>301718.72700000001</v>
      </c>
      <c r="DR24" s="13">
        <v>301924.30900000001</v>
      </c>
      <c r="DS24" s="13">
        <v>302074.67700000003</v>
      </c>
      <c r="DT24" s="13">
        <v>302216.35399999999</v>
      </c>
      <c r="DU24" s="13">
        <v>302422.75599999999</v>
      </c>
      <c r="DV24" s="13">
        <v>302789.28499999997</v>
      </c>
      <c r="DW24" s="13">
        <v>303097.23499999999</v>
      </c>
      <c r="DX24" s="13">
        <v>303468.97600000002</v>
      </c>
      <c r="DY24" s="117"/>
      <c r="DZ24" s="13">
        <v>303812.24400000001</v>
      </c>
      <c r="EA24" s="13">
        <v>304132.17599999998</v>
      </c>
      <c r="EB24" s="13">
        <v>304375.06</v>
      </c>
      <c r="EC24" s="13">
        <v>304555.413</v>
      </c>
      <c r="ED24" s="13">
        <v>304805.43099999998</v>
      </c>
      <c r="EE24" s="13">
        <v>305082.728</v>
      </c>
      <c r="EF24" s="13">
        <v>305533.66499999998</v>
      </c>
      <c r="EG24" s="13">
        <v>305876.95799999998</v>
      </c>
      <c r="EH24" s="13">
        <v>306168.63500000001</v>
      </c>
      <c r="EI24" s="13">
        <v>306351.08600000001</v>
      </c>
      <c r="EJ24" s="13">
        <v>306713.11800000002</v>
      </c>
      <c r="EK24" s="13">
        <v>307200.51899999997</v>
      </c>
      <c r="EL24" s="13">
        <v>307573.60100000002</v>
      </c>
      <c r="EM24" s="13">
        <v>307945.72200000001</v>
      </c>
      <c r="EN24" s="13">
        <v>308207.40100000001</v>
      </c>
      <c r="EO24" s="13">
        <v>308456.04800000001</v>
      </c>
      <c r="EP24" s="13">
        <v>308668.81199999998</v>
      </c>
      <c r="EQ24" s="13">
        <v>309003.41499999998</v>
      </c>
      <c r="ER24" s="13">
        <v>309276.58199999999</v>
      </c>
      <c r="ES24" s="13">
        <v>309577.57299999997</v>
      </c>
      <c r="ET24" s="13">
        <v>309967.848</v>
      </c>
      <c r="EU24" s="13">
        <v>310266.57299999997</v>
      </c>
      <c r="EV24" s="13">
        <v>310682.41899999999</v>
      </c>
      <c r="EW24" s="13">
        <v>310916.42099999997</v>
      </c>
      <c r="EX24" s="13">
        <v>311066.30900000001</v>
      </c>
      <c r="EY24" s="13">
        <v>311386.71000000002</v>
      </c>
      <c r="EZ24" s="13">
        <v>311584.48599999998</v>
      </c>
      <c r="FA24" s="13">
        <v>311902.859</v>
      </c>
      <c r="FB24" s="13">
        <v>312109.68</v>
      </c>
      <c r="FC24" s="13">
        <v>312500.79100000003</v>
      </c>
      <c r="FD24" s="13">
        <v>312745.42499999999</v>
      </c>
      <c r="FE24" s="126"/>
      <c r="FF24" s="13">
        <v>312995.31300000002</v>
      </c>
      <c r="FG24" s="13">
        <v>313210.34600000002</v>
      </c>
      <c r="FH24" s="13">
        <v>313568.88299999997</v>
      </c>
      <c r="FI24" s="13">
        <v>313866.77399999998</v>
      </c>
      <c r="FJ24" s="13">
        <v>314169.44900000002</v>
      </c>
      <c r="FK24" s="13">
        <v>314395.54800000001</v>
      </c>
      <c r="FL24" s="13">
        <v>314662.72700000001</v>
      </c>
      <c r="FM24" s="13">
        <v>314843.52899999998</v>
      </c>
      <c r="FN24" s="13">
        <v>315098.75900000002</v>
      </c>
      <c r="FO24" s="13">
        <v>315299.03700000001</v>
      </c>
      <c r="FP24" s="13">
        <v>315641.07400000002</v>
      </c>
      <c r="FQ24" s="13">
        <v>316022.098</v>
      </c>
      <c r="FR24" s="13">
        <v>316285.36200000002</v>
      </c>
      <c r="FS24" s="13">
        <v>316586.56900000002</v>
      </c>
      <c r="FT24" s="13">
        <v>316841.19099999999</v>
      </c>
      <c r="FU24" s="13">
        <v>317088.99699999997</v>
      </c>
      <c r="FV24" s="13">
        <v>317379.89500000002</v>
      </c>
      <c r="FW24" s="13">
        <v>317680.179</v>
      </c>
      <c r="FX24" s="13">
        <v>318230.20899999997</v>
      </c>
      <c r="FY24" s="13">
        <v>318590.63199999998</v>
      </c>
      <c r="FZ24" s="13">
        <v>318774.11499999999</v>
      </c>
      <c r="GA24" s="13">
        <v>319050.15999999997</v>
      </c>
      <c r="GB24" s="13">
        <v>319496.82299999997</v>
      </c>
      <c r="GC24" s="13">
        <v>319746.25699999998</v>
      </c>
      <c r="GD24" s="13">
        <v>320010.76</v>
      </c>
      <c r="GE24" s="13">
        <v>320377.95199999999</v>
      </c>
      <c r="GF24" s="13">
        <v>320601.84899999999</v>
      </c>
      <c r="GG24" s="13">
        <v>320794.62099999998</v>
      </c>
      <c r="GH24" s="13">
        <v>321098.31099999999</v>
      </c>
      <c r="GI24" s="13">
        <v>321283.22499999998</v>
      </c>
      <c r="GJ24" s="13">
        <v>321613.16399999999</v>
      </c>
      <c r="GK24" s="126"/>
      <c r="GL24" s="13">
        <v>321916.34000000003</v>
      </c>
      <c r="GM24" s="13">
        <v>322238.79300000001</v>
      </c>
      <c r="GN24" s="13">
        <v>322526.75699999998</v>
      </c>
      <c r="GO24" s="13">
        <v>322709.20699999999</v>
      </c>
      <c r="GP24" s="13">
        <v>322984.23200000002</v>
      </c>
      <c r="GQ24" s="13">
        <v>323225.44300000003</v>
      </c>
      <c r="GR24" s="13">
        <v>323455.66899999999</v>
      </c>
      <c r="GS24" s="13">
        <v>323678.94099999999</v>
      </c>
      <c r="GT24" s="13">
        <v>323851.90899999999</v>
      </c>
      <c r="GU24" s="13">
        <v>324148.79800000001</v>
      </c>
      <c r="GV24" s="13">
        <v>324349.80300000001</v>
      </c>
      <c r="GW24" s="13">
        <v>324623.94099999999</v>
      </c>
      <c r="GX24" s="13">
        <v>324868.24400000001</v>
      </c>
      <c r="GY24" s="13">
        <v>325088.52299999999</v>
      </c>
      <c r="GZ24" s="13">
        <v>325302.95</v>
      </c>
      <c r="HA24" s="13">
        <v>325653.85499999998</v>
      </c>
      <c r="HB24" s="13">
        <v>325856.92300000001</v>
      </c>
      <c r="HC24" s="13">
        <v>326050.29499999998</v>
      </c>
      <c r="HD24" s="13">
        <v>326289.85100000002</v>
      </c>
      <c r="HE24" s="13">
        <v>326449.00400000002</v>
      </c>
      <c r="HF24" s="13">
        <v>326742.03000000003</v>
      </c>
      <c r="HG24" s="13">
        <v>326969.63299999997</v>
      </c>
      <c r="HH24" s="13">
        <v>327213.946</v>
      </c>
      <c r="HI24" s="13">
        <v>327502.36900000001</v>
      </c>
      <c r="HJ24" s="13">
        <v>327747.09000000003</v>
      </c>
      <c r="HK24" s="13">
        <v>327980.61599999998</v>
      </c>
      <c r="HL24" s="13">
        <v>328264.821</v>
      </c>
      <c r="HM24" s="13">
        <v>328498.14600000001</v>
      </c>
      <c r="HN24" s="13">
        <v>328724.92599999998</v>
      </c>
      <c r="HO24" s="126"/>
      <c r="HP24" s="13">
        <v>328993.35499999998</v>
      </c>
      <c r="HQ24" s="13">
        <v>329381.364</v>
      </c>
      <c r="HR24" s="13">
        <v>329578.04499999998</v>
      </c>
      <c r="HS24" s="13">
        <v>329883.65399999998</v>
      </c>
      <c r="HT24" s="13">
        <v>330112.05099999998</v>
      </c>
      <c r="HU24" s="13">
        <v>330393.05599999998</v>
      </c>
      <c r="HV24" s="13">
        <v>330689.61</v>
      </c>
      <c r="HW24" s="13">
        <v>330974.641</v>
      </c>
      <c r="HX24" s="13">
        <v>331288.08299999998</v>
      </c>
      <c r="HY24" s="13">
        <v>331477.34999999998</v>
      </c>
      <c r="HZ24" s="13">
        <v>331687.386</v>
      </c>
      <c r="IA24" s="13">
        <v>331946.55699999997</v>
      </c>
      <c r="IB24" s="13">
        <v>332315.22399999999</v>
      </c>
      <c r="IC24" s="13">
        <v>332621.46299999999</v>
      </c>
      <c r="ID24" s="13">
        <v>332880.23599999998</v>
      </c>
      <c r="IE24" s="13">
        <v>333062.23800000001</v>
      </c>
      <c r="IF24" s="13">
        <v>333244.22700000001</v>
      </c>
      <c r="IG24" s="13">
        <v>333563.69900000002</v>
      </c>
      <c r="IH24" s="13">
        <v>333899.136</v>
      </c>
      <c r="II24" s="13">
        <v>334087</v>
      </c>
      <c r="IJ24" s="13">
        <v>334337.49200000003</v>
      </c>
      <c r="IK24" s="13">
        <v>334605.09600000002</v>
      </c>
      <c r="IL24" s="13">
        <v>334897.402</v>
      </c>
      <c r="IM24" s="13">
        <v>335059.44</v>
      </c>
      <c r="IN24" s="13">
        <v>335333.53000000003</v>
      </c>
      <c r="IO24" s="13">
        <v>335533.97399999999</v>
      </c>
      <c r="IP24" s="13">
        <v>335906.95299999998</v>
      </c>
      <c r="IQ24" s="13">
        <v>336468.016</v>
      </c>
      <c r="IR24" s="13">
        <v>336801.565</v>
      </c>
      <c r="IS24" s="13">
        <v>336965.28899999999</v>
      </c>
      <c r="IT24" s="13">
        <v>337068.08299999998</v>
      </c>
      <c r="IU24" s="126"/>
      <c r="IV24" s="13">
        <v>337266.87599999999</v>
      </c>
      <c r="IW24" s="13">
        <v>337572.66700000002</v>
      </c>
      <c r="IX24" s="13">
        <v>337817.14</v>
      </c>
      <c r="IY24" s="13">
        <v>337997.81</v>
      </c>
      <c r="IZ24" s="13">
        <v>338236.679</v>
      </c>
      <c r="JA24" s="13">
        <v>338453.68199999997</v>
      </c>
      <c r="JB24" s="13">
        <v>338667.58600000001</v>
      </c>
      <c r="JC24" s="13">
        <v>338938.20199999999</v>
      </c>
      <c r="JD24" s="13">
        <v>339221.95</v>
      </c>
      <c r="JE24" s="13">
        <v>339367.24400000001</v>
      </c>
      <c r="JF24" s="13">
        <v>339531.571</v>
      </c>
      <c r="JG24" s="13">
        <v>339742.36800000002</v>
      </c>
      <c r="JH24" s="13">
        <v>339969.22399999999</v>
      </c>
      <c r="JI24" s="13">
        <v>340124.93599999999</v>
      </c>
      <c r="JJ24" s="13">
        <v>340305.49</v>
      </c>
      <c r="JK24" s="13">
        <v>340534.79</v>
      </c>
      <c r="JL24" s="13">
        <v>340721.16200000001</v>
      </c>
      <c r="JM24" s="13">
        <v>340948.19699999999</v>
      </c>
      <c r="JN24" s="13">
        <v>341150.19500000001</v>
      </c>
      <c r="JO24" s="13">
        <v>341404.30300000001</v>
      </c>
      <c r="JP24" s="13">
        <v>341593.67099999997</v>
      </c>
      <c r="JQ24" s="13">
        <v>341720.913</v>
      </c>
      <c r="JR24" s="13">
        <v>341927.09499999997</v>
      </c>
      <c r="JS24" s="13">
        <v>342159.554</v>
      </c>
      <c r="JT24" s="13">
        <v>342303.84399999998</v>
      </c>
      <c r="JU24" s="13">
        <v>342564.44099999999</v>
      </c>
      <c r="JV24" s="13">
        <v>342769.973</v>
      </c>
      <c r="JW24" s="13">
        <v>342976.636</v>
      </c>
      <c r="JX24" s="13">
        <v>343309.04599999997</v>
      </c>
      <c r="JY24" s="13">
        <v>343513.53700000001</v>
      </c>
      <c r="JZ24" s="126"/>
      <c r="KA24" s="13">
        <v>343695.538</v>
      </c>
      <c r="KB24" s="13">
        <v>343930.467</v>
      </c>
      <c r="KC24" s="13">
        <v>344354.99699999997</v>
      </c>
      <c r="KD24" s="13">
        <v>344588.12300000002</v>
      </c>
      <c r="KE24" s="13">
        <v>344795.22</v>
      </c>
      <c r="KF24" s="13">
        <v>345058.94500000001</v>
      </c>
      <c r="KG24" s="13">
        <v>345357.73</v>
      </c>
      <c r="KH24" s="13">
        <v>345637.48300000001</v>
      </c>
      <c r="KI24" s="13">
        <v>345946.97899999999</v>
      </c>
      <c r="KJ24" s="13">
        <v>346383.32400000002</v>
      </c>
      <c r="KK24" s="13">
        <v>346740.64199999999</v>
      </c>
      <c r="KL24" s="13">
        <v>346976.71500000003</v>
      </c>
      <c r="KM24" s="13">
        <v>347861.81699999998</v>
      </c>
      <c r="KN24" s="13">
        <v>348203.98200000002</v>
      </c>
      <c r="KO24" s="13">
        <v>348464.63299999997</v>
      </c>
      <c r="KP24" s="13">
        <v>348759.55499999999</v>
      </c>
      <c r="KQ24" s="13">
        <v>349205.12400000001</v>
      </c>
      <c r="KR24" s="13">
        <v>349534.45400000003</v>
      </c>
      <c r="KS24" s="13">
        <v>349744.11900000001</v>
      </c>
      <c r="KT24" s="13">
        <v>350075.67700000003</v>
      </c>
      <c r="KU24" s="13">
        <v>350430.51299999998</v>
      </c>
      <c r="KV24" s="13">
        <v>350803.17599999998</v>
      </c>
      <c r="KW24" s="13">
        <v>351231.51699999999</v>
      </c>
      <c r="KX24" s="13">
        <v>351656.07900000003</v>
      </c>
      <c r="KY24" s="13">
        <v>352022.75199999998</v>
      </c>
      <c r="KZ24" s="13">
        <v>352246.28700000001</v>
      </c>
      <c r="LA24" s="13">
        <v>352609.717</v>
      </c>
      <c r="LB24" s="13">
        <v>352900.44</v>
      </c>
      <c r="LC24" s="13">
        <v>353350.61200000002</v>
      </c>
      <c r="LD24" s="13">
        <v>353545.18900000001</v>
      </c>
      <c r="LE24" s="13">
        <v>353881.50699999998</v>
      </c>
      <c r="LF24" s="126"/>
      <c r="LG24" s="13">
        <v>354290.103</v>
      </c>
      <c r="LH24" s="13">
        <v>354560.52299999999</v>
      </c>
      <c r="LI24" s="13">
        <v>355145.67099999997</v>
      </c>
      <c r="LJ24" s="13">
        <v>355606.88500000001</v>
      </c>
      <c r="LK24" s="13">
        <v>355906.18699999998</v>
      </c>
      <c r="LL24" s="13">
        <v>356239.185</v>
      </c>
      <c r="LM24" s="13">
        <v>356647.86900000001</v>
      </c>
      <c r="LN24" s="13">
        <v>357016.19400000002</v>
      </c>
      <c r="LO24" s="13">
        <v>357251.98100000003</v>
      </c>
      <c r="LP24" s="13">
        <v>357590.17099999997</v>
      </c>
      <c r="LQ24" s="13">
        <v>358016.00900000002</v>
      </c>
      <c r="LR24" s="13">
        <v>358385.30699999997</v>
      </c>
      <c r="LS24" s="13">
        <v>358877.29499999998</v>
      </c>
      <c r="LT24" s="13">
        <v>359277.033</v>
      </c>
      <c r="LU24" s="13">
        <v>359552.19500000001</v>
      </c>
      <c r="LV24" s="13">
        <v>359880.97600000002</v>
      </c>
      <c r="LW24" s="13">
        <v>360224.39299999998</v>
      </c>
      <c r="LX24" s="13">
        <v>360549.47100000002</v>
      </c>
      <c r="LY24" s="13">
        <v>360930.67700000003</v>
      </c>
      <c r="LZ24" s="13">
        <v>361331.23800000001</v>
      </c>
      <c r="MA24" s="13">
        <v>361773.24</v>
      </c>
      <c r="MB24" s="13">
        <v>362108.299</v>
      </c>
      <c r="MC24" s="13">
        <v>362332.50300000003</v>
      </c>
      <c r="MD24" s="13">
        <v>362555.29700000002</v>
      </c>
      <c r="ME24" s="13">
        <v>362851.34299999999</v>
      </c>
      <c r="MF24" s="13">
        <v>363327.63799999998</v>
      </c>
      <c r="MG24" s="13">
        <v>363715.71500000003</v>
      </c>
      <c r="MH24" s="13">
        <v>364001.69900000002</v>
      </c>
      <c r="MI24" s="13">
        <v>364352.03700000001</v>
      </c>
      <c r="MJ24" s="13">
        <v>364627.65700000001</v>
      </c>
      <c r="MK24" s="126"/>
      <c r="ML24" s="13">
        <v>365029.62099999998</v>
      </c>
      <c r="MM24" s="13">
        <v>365502.6</v>
      </c>
      <c r="MN24" s="13">
        <v>365912.50400000002</v>
      </c>
      <c r="MO24" s="13">
        <v>366198.94</v>
      </c>
      <c r="MP24" s="13">
        <v>366557.70799999998</v>
      </c>
      <c r="MQ24" s="13">
        <v>367032.58899999998</v>
      </c>
      <c r="MR24" s="13">
        <v>367697.28499999997</v>
      </c>
      <c r="MS24" s="13">
        <v>368251.04800000001</v>
      </c>
      <c r="MT24" s="13">
        <v>368700.408</v>
      </c>
      <c r="MU24" s="13">
        <v>368928.59399999998</v>
      </c>
      <c r="MV24" s="13">
        <v>369243.34299999999</v>
      </c>
      <c r="MW24" s="13">
        <v>369466.46299999999</v>
      </c>
      <c r="MX24" s="13">
        <v>369828.29300000001</v>
      </c>
      <c r="MY24" s="13">
        <v>370140.13699999999</v>
      </c>
      <c r="MZ24" s="13">
        <v>370502.826</v>
      </c>
      <c r="NA24" s="13">
        <v>370811.14</v>
      </c>
      <c r="NB24" s="13">
        <v>371126.223</v>
      </c>
      <c r="NC24" s="13">
        <v>371336.25099999999</v>
      </c>
      <c r="ND24" s="13">
        <v>371684.45199999999</v>
      </c>
      <c r="NE24" s="13">
        <v>372012.641</v>
      </c>
      <c r="NF24" s="13">
        <v>372180.26899999997</v>
      </c>
      <c r="NG24" s="13">
        <v>372608.80300000001</v>
      </c>
      <c r="NH24" s="13">
        <v>372881.92300000001</v>
      </c>
      <c r="NI24" s="13">
        <v>373204.75900000002</v>
      </c>
      <c r="NJ24" s="13">
        <v>373671.84399999998</v>
      </c>
      <c r="NK24" s="13">
        <v>373961.29599999997</v>
      </c>
      <c r="NL24" s="13">
        <v>374282.54700000002</v>
      </c>
      <c r="NM24" s="13">
        <v>374452.68300000002</v>
      </c>
      <c r="NN24" s="13">
        <v>374830.46600000001</v>
      </c>
      <c r="NO24" s="13">
        <v>375157.47399999999</v>
      </c>
      <c r="NP24" s="13">
        <v>375500.75300000003</v>
      </c>
      <c r="NQ24" s="126"/>
      <c r="NR24" s="13">
        <v>375813.60399999999</v>
      </c>
      <c r="NS24" s="13">
        <v>376092.84299999999</v>
      </c>
      <c r="NT24" s="13">
        <v>376464.07</v>
      </c>
      <c r="NU24" s="13">
        <v>376679.26799999998</v>
      </c>
      <c r="NV24" s="13">
        <v>376956.30599999998</v>
      </c>
      <c r="NW24" s="13">
        <v>377414.95600000001</v>
      </c>
      <c r="NX24" s="13">
        <v>377846.77500000002</v>
      </c>
      <c r="NY24" s="13">
        <v>378224.53899999999</v>
      </c>
      <c r="NZ24" s="13">
        <v>378543.61599999998</v>
      </c>
      <c r="OA24" s="13">
        <v>378664.68300000002</v>
      </c>
      <c r="OB24" s="13">
        <v>378885.76699999999</v>
      </c>
      <c r="OC24" s="13">
        <v>379126.88500000001</v>
      </c>
      <c r="OD24" s="13">
        <v>379337.94300000003</v>
      </c>
      <c r="OE24" s="13">
        <v>379615.24800000002</v>
      </c>
      <c r="OF24" s="13">
        <v>380067.12</v>
      </c>
      <c r="OG24" s="13">
        <v>380267.38699999999</v>
      </c>
      <c r="OH24" s="13">
        <v>380483.25</v>
      </c>
      <c r="OI24" s="13">
        <v>380754.94900000002</v>
      </c>
      <c r="OJ24" s="13">
        <v>381007.03200000001</v>
      </c>
      <c r="OK24" s="13">
        <v>381273.91600000003</v>
      </c>
      <c r="OL24" s="13">
        <v>381558.94799999997</v>
      </c>
      <c r="OM24" s="13">
        <v>381882.58299999998</v>
      </c>
      <c r="ON24" s="13">
        <v>382192.73200000002</v>
      </c>
      <c r="OO24" s="13">
        <v>382377.60100000002</v>
      </c>
      <c r="OP24" s="13">
        <v>382607.16899999999</v>
      </c>
      <c r="OQ24" s="13">
        <v>382853.31900000002</v>
      </c>
      <c r="OR24" s="13">
        <v>383209.68800000002</v>
      </c>
      <c r="OS24" s="13">
        <v>383578.35200000001</v>
      </c>
      <c r="OT24" s="13">
        <v>383820.06599999999</v>
      </c>
      <c r="OU24" s="13">
        <v>384002.62400000001</v>
      </c>
      <c r="OV24" s="13">
        <v>384480.663</v>
      </c>
      <c r="OW24" s="126"/>
      <c r="OX24" s="13">
        <v>384655.44699999999</v>
      </c>
      <c r="OY24" s="13">
        <v>384923.47899999999</v>
      </c>
      <c r="OZ24" s="13">
        <v>385149.82199999999</v>
      </c>
      <c r="PA24" s="13">
        <v>385436.60100000002</v>
      </c>
      <c r="PB24" s="13">
        <v>385749.69900000002</v>
      </c>
      <c r="PC24" s="13">
        <v>386061.56900000002</v>
      </c>
      <c r="PD24" s="13">
        <v>386304.13099999999</v>
      </c>
      <c r="PE24" s="13">
        <v>386715.35700000002</v>
      </c>
      <c r="PF24" s="13">
        <v>386839.783</v>
      </c>
      <c r="PG24" s="13">
        <v>387071.40500000003</v>
      </c>
      <c r="PH24" s="13">
        <v>387319.23200000002</v>
      </c>
      <c r="PI24" s="13">
        <v>387621.772</v>
      </c>
      <c r="PJ24" s="13">
        <v>388011.31</v>
      </c>
      <c r="PK24" s="13">
        <v>388249.277</v>
      </c>
      <c r="PL24" s="13">
        <v>388490.79200000002</v>
      </c>
      <c r="PM24" s="13">
        <v>388711.62300000002</v>
      </c>
      <c r="PN24" s="13">
        <v>388965.97899999999</v>
      </c>
      <c r="PO24" s="13">
        <v>389175.09399999998</v>
      </c>
      <c r="PP24" s="13">
        <v>389465.98700000002</v>
      </c>
      <c r="PQ24" s="13">
        <v>389697.80800000002</v>
      </c>
      <c r="PR24" s="13">
        <v>390007.13299999997</v>
      </c>
      <c r="PS24" s="13">
        <v>390233.51799999998</v>
      </c>
      <c r="PT24" s="13">
        <v>390630.353</v>
      </c>
      <c r="PU24" s="13">
        <v>390907.76299999998</v>
      </c>
      <c r="PV24" s="13">
        <v>391276.66100000002</v>
      </c>
      <c r="PW24" s="13">
        <v>391532.27799999999</v>
      </c>
      <c r="PX24" s="13">
        <v>391796.79100000003</v>
      </c>
      <c r="PY24" s="13">
        <v>392380.48100000003</v>
      </c>
      <c r="PZ24" s="13">
        <v>392558.40299999999</v>
      </c>
      <c r="QA24" s="13">
        <v>392900.66499999998</v>
      </c>
      <c r="QB24" s="126"/>
      <c r="QC24" s="13">
        <v>393092.88699999999</v>
      </c>
      <c r="QD24" s="13">
        <v>393204.47999999998</v>
      </c>
      <c r="QE24" s="13">
        <v>393491.886</v>
      </c>
      <c r="QF24" s="13">
        <v>393727.70799999998</v>
      </c>
      <c r="QG24" s="13">
        <v>393931.73</v>
      </c>
      <c r="QH24" s="13">
        <v>394019.95</v>
      </c>
      <c r="QI24" s="13">
        <v>394222.92</v>
      </c>
      <c r="QJ24" s="13">
        <v>394427.57400000002</v>
      </c>
      <c r="QK24" s="13">
        <v>394799.13699999999</v>
      </c>
      <c r="QL24" s="13">
        <v>395040.46399999998</v>
      </c>
      <c r="QM24" s="13">
        <v>395300.28</v>
      </c>
      <c r="QN24" s="13">
        <v>395583.39399999997</v>
      </c>
      <c r="QO24" s="13">
        <v>395832.11599999998</v>
      </c>
      <c r="QP24" s="13">
        <v>396118.90899999999</v>
      </c>
      <c r="QQ24" s="13">
        <v>396361.147</v>
      </c>
      <c r="QR24" s="13">
        <v>396547.69699999999</v>
      </c>
      <c r="QS24" s="13">
        <v>396884.05800000002</v>
      </c>
      <c r="QT24" s="13">
        <v>397248.22899999999</v>
      </c>
      <c r="QU24" s="13">
        <v>397438.03700000001</v>
      </c>
      <c r="QV24" s="13">
        <v>397551.43699999998</v>
      </c>
      <c r="QW24" s="13">
        <v>397737.32699999999</v>
      </c>
      <c r="QX24" s="13">
        <v>397984.31599999999</v>
      </c>
      <c r="QY24" s="13">
        <v>398156.516</v>
      </c>
      <c r="QZ24" s="13">
        <v>398895.83399999997</v>
      </c>
      <c r="RA24" s="13">
        <v>399222.85399999999</v>
      </c>
      <c r="RB24" s="13">
        <v>399406.57900000003</v>
      </c>
      <c r="RC24" s="13">
        <v>399624.91200000001</v>
      </c>
      <c r="RD24" s="13">
        <v>399821.304</v>
      </c>
      <c r="RE24" s="13">
        <v>400042.91399999999</v>
      </c>
      <c r="RF24" s="13">
        <v>400201.20699999999</v>
      </c>
      <c r="RG24" s="13">
        <v>400421.016</v>
      </c>
      <c r="RH24" s="126"/>
      <c r="RI24" s="13">
        <v>400616.04</v>
      </c>
      <c r="RJ24" s="13">
        <v>400914.87300000002</v>
      </c>
      <c r="RK24" s="13">
        <v>401095.35200000001</v>
      </c>
      <c r="RL24" s="13">
        <v>401316.67599999998</v>
      </c>
      <c r="RM24" s="13">
        <v>401522.36099999998</v>
      </c>
      <c r="RN24" s="13">
        <v>401827.37</v>
      </c>
      <c r="RO24" s="13">
        <v>402190.03499999997</v>
      </c>
      <c r="RP24" s="13">
        <v>402490.94900000002</v>
      </c>
      <c r="RQ24" s="13">
        <v>402734.88699999999</v>
      </c>
      <c r="RR24" s="13">
        <v>402920.11599999998</v>
      </c>
      <c r="RS24" s="13">
        <v>403220.598</v>
      </c>
      <c r="RT24" s="13">
        <v>403450.94699999999</v>
      </c>
      <c r="RU24" s="13">
        <v>403663.57799999998</v>
      </c>
      <c r="RV24" s="13">
        <v>403932.40299999999</v>
      </c>
      <c r="RW24" s="13">
        <v>404231.99</v>
      </c>
      <c r="RX24" s="13">
        <v>404426.7</v>
      </c>
      <c r="RY24" s="13">
        <v>404581.06699999998</v>
      </c>
      <c r="RZ24" s="13">
        <v>404840.60800000001</v>
      </c>
      <c r="SA24" s="13">
        <v>405054.701</v>
      </c>
      <c r="SB24" s="13">
        <v>405244.41700000002</v>
      </c>
      <c r="SC24" s="13">
        <v>405612.76799999998</v>
      </c>
      <c r="SD24" s="13">
        <v>405830.46299999999</v>
      </c>
      <c r="SE24" s="13">
        <v>406019.01299999998</v>
      </c>
      <c r="SF24" s="13">
        <v>406161.74400000001</v>
      </c>
      <c r="SG24" s="13">
        <v>406451.89799999999</v>
      </c>
      <c r="SH24" s="13">
        <v>406712.96500000003</v>
      </c>
      <c r="SI24" s="13">
        <v>406975.83</v>
      </c>
      <c r="SJ24" s="13">
        <v>407377.21600000001</v>
      </c>
      <c r="SK24" s="13">
        <v>407632.32799999998</v>
      </c>
      <c r="SL24" s="13">
        <v>407892.28499999997</v>
      </c>
      <c r="SM24" s="126"/>
      <c r="SN24" s="13">
        <v>408004.29800000001</v>
      </c>
      <c r="SO24" s="13">
        <v>408554.87400000001</v>
      </c>
      <c r="SP24" s="13">
        <v>408836.755</v>
      </c>
      <c r="SQ24" s="13">
        <v>409018.34499999997</v>
      </c>
      <c r="SR24" s="13">
        <v>409185.67800000001</v>
      </c>
      <c r="SS24" s="13">
        <v>409452.53600000002</v>
      </c>
      <c r="ST24" s="13">
        <v>409636.43400000001</v>
      </c>
      <c r="SU24" s="13">
        <v>409788.28600000002</v>
      </c>
      <c r="SV24" s="13">
        <v>410135.29</v>
      </c>
      <c r="SW24" s="13">
        <v>410406.65100000001</v>
      </c>
      <c r="SX24" s="13">
        <v>410822.03</v>
      </c>
      <c r="SY24" s="13">
        <v>411128.06300000002</v>
      </c>
      <c r="SZ24" s="13">
        <v>411693.48200000002</v>
      </c>
      <c r="TA24" s="13">
        <v>412002.20299999998</v>
      </c>
      <c r="TB24" s="13">
        <v>412350.33199999999</v>
      </c>
      <c r="TC24" s="13">
        <v>412651.64600000001</v>
      </c>
      <c r="TD24" s="13">
        <v>412908.47200000001</v>
      </c>
      <c r="TE24" s="13">
        <v>413134.87400000001</v>
      </c>
      <c r="TF24" s="13">
        <v>413443.52299999999</v>
      </c>
      <c r="TG24" s="13">
        <v>413691.44</v>
      </c>
      <c r="TH24" s="13">
        <v>414052.63299999997</v>
      </c>
      <c r="TI24" s="13">
        <v>414447.00300000003</v>
      </c>
      <c r="TJ24" s="13">
        <v>414756.12</v>
      </c>
      <c r="TK24" s="13">
        <v>415065.36800000002</v>
      </c>
      <c r="TL24" s="13">
        <v>415117.94099999999</v>
      </c>
      <c r="TM24" s="13">
        <v>415285.717</v>
      </c>
      <c r="TN24" s="13">
        <v>415620.45299999998</v>
      </c>
      <c r="TO24" s="13">
        <v>415889.076</v>
      </c>
      <c r="TP24" s="13">
        <v>416227.92300000001</v>
      </c>
      <c r="TQ24" s="13">
        <v>416534.62800000003</v>
      </c>
      <c r="TR24" s="13">
        <v>416749.27799999999</v>
      </c>
      <c r="TS24" s="126"/>
      <c r="TT24" s="13">
        <v>416920.19699999999</v>
      </c>
      <c r="TU24" s="13">
        <v>417138.31900000002</v>
      </c>
      <c r="TV24" s="13">
        <v>417307.25799999997</v>
      </c>
      <c r="TW24" s="13">
        <v>417540.81</v>
      </c>
      <c r="TX24" s="13">
        <v>417765.72100000002</v>
      </c>
      <c r="TY24" s="13">
        <v>417996.147</v>
      </c>
      <c r="TZ24" s="13">
        <v>418216.27</v>
      </c>
      <c r="UA24" s="13">
        <v>418524.19199999998</v>
      </c>
      <c r="UB24" s="13">
        <v>418794.74800000002</v>
      </c>
      <c r="UC24" s="13">
        <v>419082.21399999998</v>
      </c>
      <c r="UD24" s="13">
        <v>419352.23300000001</v>
      </c>
      <c r="UE24" s="13">
        <v>419559.65</v>
      </c>
      <c r="UF24" s="13">
        <v>420040.43599999999</v>
      </c>
      <c r="UG24" s="13">
        <v>420217.158</v>
      </c>
      <c r="UH24" s="13">
        <v>420625.33500000002</v>
      </c>
      <c r="UI24" s="13">
        <v>420951.82799999998</v>
      </c>
      <c r="UJ24" s="13">
        <v>421213.51400000002</v>
      </c>
      <c r="UK24" s="13">
        <v>421438.00599999999</v>
      </c>
      <c r="UL24" s="13">
        <v>421699.201</v>
      </c>
      <c r="UM24" s="13">
        <v>422029.489</v>
      </c>
      <c r="UN24" s="13">
        <v>422298.98</v>
      </c>
      <c r="UO24" s="13">
        <v>422636.41600000003</v>
      </c>
      <c r="UP24" s="13">
        <v>422841.30499999999</v>
      </c>
      <c r="UQ24" s="13">
        <v>423112.12</v>
      </c>
      <c r="UR24" s="13">
        <v>423393.12199999997</v>
      </c>
      <c r="US24" s="13">
        <v>423627.63400000002</v>
      </c>
      <c r="UT24" s="13">
        <v>423902.70899999997</v>
      </c>
      <c r="UU24" s="13">
        <v>424213.81</v>
      </c>
      <c r="UV24" s="13">
        <v>424213.81</v>
      </c>
      <c r="UW24" s="13">
        <v>424411.11200000002</v>
      </c>
      <c r="UX24" s="13">
        <v>424694.05900000001</v>
      </c>
      <c r="UY24" s="126"/>
      <c r="UZ24" s="13">
        <v>425023.29200000002</v>
      </c>
      <c r="VA24" s="13">
        <v>425159.74</v>
      </c>
      <c r="VB24" s="13">
        <v>425326.995</v>
      </c>
      <c r="VC24" s="13">
        <v>425515.89799999999</v>
      </c>
      <c r="VD24" s="13">
        <v>425804.30599999998</v>
      </c>
      <c r="VE24" s="13">
        <v>426129.96600000001</v>
      </c>
      <c r="VF24" s="13">
        <v>426353.95799999998</v>
      </c>
      <c r="VG24" s="13">
        <v>426870.28</v>
      </c>
      <c r="VH24" s="13">
        <v>427003.36099999998</v>
      </c>
      <c r="VI24" s="13">
        <v>427349.31</v>
      </c>
      <c r="VJ24" s="13">
        <v>427645.61700000003</v>
      </c>
      <c r="VK24" s="13">
        <v>427936.81</v>
      </c>
      <c r="VL24" s="13">
        <v>428165.13199999998</v>
      </c>
      <c r="VM24" s="13">
        <v>428459.63900000002</v>
      </c>
      <c r="VN24" s="13">
        <v>428714.995</v>
      </c>
      <c r="VO24" s="13">
        <v>428809.054</v>
      </c>
      <c r="VP24" s="13">
        <v>429121.06300000002</v>
      </c>
      <c r="VQ24" s="13">
        <v>429373.13199999998</v>
      </c>
      <c r="VR24" s="13">
        <v>429709.076</v>
      </c>
      <c r="VS24" s="13">
        <v>430084.36599999998</v>
      </c>
      <c r="VT24" s="13">
        <v>430303.46100000001</v>
      </c>
      <c r="VU24" s="13">
        <v>430547.71399999998</v>
      </c>
      <c r="VV24" s="13">
        <v>430761.98700000002</v>
      </c>
      <c r="VW24" s="13">
        <v>431093.84299999999</v>
      </c>
      <c r="VX24" s="13">
        <v>431382.05699999997</v>
      </c>
      <c r="VY24" s="13">
        <v>431704.46500000003</v>
      </c>
      <c r="VZ24" s="13">
        <v>431949.49099999998</v>
      </c>
      <c r="WA24" s="13">
        <v>432146.61599999998</v>
      </c>
      <c r="WB24" s="126"/>
      <c r="WC24" s="13">
        <v>432466.364</v>
      </c>
      <c r="WD24" s="13">
        <v>432636.24099999998</v>
      </c>
      <c r="WE24" s="13">
        <v>432860.185</v>
      </c>
      <c r="WF24" s="13">
        <v>433066.76</v>
      </c>
      <c r="WG24" s="13">
        <v>433288.27799999999</v>
      </c>
      <c r="WH24" s="13">
        <v>433288.27799999999</v>
      </c>
      <c r="WI24" s="13">
        <v>433527.04599999997</v>
      </c>
      <c r="WJ24" s="13">
        <v>433777.723</v>
      </c>
      <c r="WK24" s="13">
        <v>433979.67599999998</v>
      </c>
      <c r="WL24" s="13">
        <v>434233.50799999997</v>
      </c>
      <c r="WM24" s="13">
        <v>434452.50300000003</v>
      </c>
      <c r="WN24" s="13">
        <v>434814.94500000001</v>
      </c>
      <c r="WO24" s="13">
        <v>435046.42800000001</v>
      </c>
      <c r="WP24" s="13">
        <v>435267.228</v>
      </c>
      <c r="WQ24" s="13">
        <v>435611.815</v>
      </c>
      <c r="WR24" s="13">
        <v>435748.5</v>
      </c>
      <c r="WS24" s="13">
        <v>435949.75199999998</v>
      </c>
      <c r="WT24" s="13">
        <v>436257.41499999998</v>
      </c>
      <c r="WU24" s="13">
        <v>436419.14600000001</v>
      </c>
      <c r="WV24" s="13">
        <v>436671.47399999999</v>
      </c>
      <c r="WW24" s="13">
        <v>436891.23700000002</v>
      </c>
      <c r="WX24" s="13">
        <v>437091.88299999997</v>
      </c>
      <c r="WY24" s="13">
        <v>437285.65100000001</v>
      </c>
      <c r="WZ24" s="13">
        <v>437522.99699999997</v>
      </c>
      <c r="XA24" s="13">
        <v>437768.68699999998</v>
      </c>
      <c r="XB24" s="13">
        <v>437918.22100000002</v>
      </c>
      <c r="XC24" s="13">
        <v>438138.44099999999</v>
      </c>
      <c r="XD24" s="13">
        <v>438384.81199999998</v>
      </c>
      <c r="XE24" s="13">
        <v>438869.15500000003</v>
      </c>
      <c r="XF24" s="13">
        <v>439027.74800000002</v>
      </c>
      <c r="XG24" s="13">
        <v>439317.46500000003</v>
      </c>
      <c r="XH24" s="126"/>
      <c r="XI24" s="13">
        <v>439505.68300000002</v>
      </c>
      <c r="XJ24" s="13">
        <v>439717.21100000001</v>
      </c>
      <c r="XK24" s="13">
        <v>439926.33899999998</v>
      </c>
      <c r="XL24" s="13">
        <v>440111.03399999999</v>
      </c>
      <c r="XM24" s="13">
        <v>440428.84899999999</v>
      </c>
      <c r="XN24" s="13">
        <v>440574.44</v>
      </c>
      <c r="XO24" s="13">
        <v>440876.15</v>
      </c>
      <c r="XP24" s="13">
        <v>441140.826</v>
      </c>
      <c r="XQ24" s="13">
        <v>441409.85800000001</v>
      </c>
      <c r="XR24" s="13">
        <v>441759.06199999998</v>
      </c>
      <c r="XS24" s="13">
        <v>442040.13299999997</v>
      </c>
      <c r="XT24" s="13">
        <v>442341.54100000003</v>
      </c>
      <c r="XU24" s="13">
        <v>442519.88500000001</v>
      </c>
      <c r="XV24" s="13">
        <v>442747.43800000002</v>
      </c>
      <c r="XW24" s="13">
        <v>443006.41499999998</v>
      </c>
      <c r="XX24" s="13">
        <v>443203.81099999999</v>
      </c>
      <c r="XY24" s="13">
        <v>443439.05699999997</v>
      </c>
      <c r="XZ24" s="13">
        <v>443699.88400000002</v>
      </c>
      <c r="YA24" s="13">
        <v>443930.80200000003</v>
      </c>
      <c r="YB24" s="13">
        <v>444165.45799999998</v>
      </c>
      <c r="YC24" s="13">
        <v>444338.98300000001</v>
      </c>
      <c r="YD24" s="13">
        <v>444676.804</v>
      </c>
      <c r="YE24" s="13">
        <v>444942.15700000001</v>
      </c>
      <c r="YF24" s="13">
        <v>445200.89</v>
      </c>
      <c r="YG24" s="13">
        <v>445357.86300000001</v>
      </c>
      <c r="YH24" s="13">
        <v>445563.42700000003</v>
      </c>
      <c r="YI24" s="13">
        <v>445707.70799999998</v>
      </c>
      <c r="YJ24" s="13">
        <v>445959.08799999999</v>
      </c>
      <c r="YK24" s="13">
        <v>446135.625</v>
      </c>
      <c r="YL24" s="13">
        <v>446275.38900000002</v>
      </c>
      <c r="YM24" s="126"/>
      <c r="YN24" s="13">
        <v>446491.92800000001</v>
      </c>
      <c r="YO24" s="13">
        <v>446764.80200000003</v>
      </c>
      <c r="YP24" s="13">
        <v>446911.04300000001</v>
      </c>
      <c r="YQ24" s="13">
        <v>447113.64799999999</v>
      </c>
      <c r="YR24" s="13">
        <v>447350.592</v>
      </c>
      <c r="YS24" s="13">
        <v>447571.69199999998</v>
      </c>
      <c r="YT24" s="13">
        <v>447773.17800000001</v>
      </c>
      <c r="YU24" s="13">
        <v>447944.13900000002</v>
      </c>
      <c r="YV24" s="13">
        <v>448223.36499999999</v>
      </c>
      <c r="YW24" s="13">
        <v>448494.35700000002</v>
      </c>
      <c r="YX24" s="13">
        <v>448697.40500000003</v>
      </c>
      <c r="YY24" s="13">
        <v>448819.696</v>
      </c>
      <c r="YZ24" s="13">
        <v>449211.58299999998</v>
      </c>
      <c r="ZA24" s="13">
        <v>449442.09700000001</v>
      </c>
      <c r="ZB24" s="13">
        <v>449685.092</v>
      </c>
      <c r="ZC24" s="13">
        <v>449907.22899999999</v>
      </c>
      <c r="ZD24" s="13">
        <v>450334.36200000002</v>
      </c>
      <c r="ZE24" s="13">
        <v>450558.64600000001</v>
      </c>
      <c r="ZF24" s="13">
        <v>450804.20699999999</v>
      </c>
      <c r="ZG24" s="13">
        <v>450962.47100000002</v>
      </c>
      <c r="ZH24" s="13">
        <v>451409.82400000002</v>
      </c>
      <c r="ZI24" s="13">
        <v>451632.16600000003</v>
      </c>
      <c r="ZJ24" s="13">
        <v>451889.82500000001</v>
      </c>
      <c r="ZK24" s="13">
        <v>452299.61</v>
      </c>
      <c r="ZL24" s="13">
        <v>452486.52100000001</v>
      </c>
      <c r="ZM24" s="13">
        <v>452669.56300000002</v>
      </c>
      <c r="ZN24" s="13">
        <v>453164.21500000003</v>
      </c>
      <c r="ZO24" s="13">
        <v>453514</v>
      </c>
      <c r="ZP24" s="13">
        <v>453823.60200000001</v>
      </c>
      <c r="ZQ24" s="13">
        <v>454080.64299999998</v>
      </c>
      <c r="ZR24" s="13">
        <v>454355.49699999997</v>
      </c>
      <c r="ZS24" s="126"/>
      <c r="ZT24" s="13">
        <v>454576.44400000002</v>
      </c>
      <c r="ZU24" s="13">
        <v>454849.79599999997</v>
      </c>
      <c r="ZV24" s="13">
        <v>455066.46600000001</v>
      </c>
      <c r="ZW24" s="13">
        <v>455314.39399999997</v>
      </c>
      <c r="ZX24" s="13">
        <v>455675.005</v>
      </c>
      <c r="ZY24" s="13">
        <v>455925.24599999998</v>
      </c>
      <c r="ZZ24" s="13">
        <v>456129.80099999998</v>
      </c>
      <c r="AAA24" s="13">
        <v>456313.22700000001</v>
      </c>
      <c r="AAB24" s="13">
        <v>456490.40899999999</v>
      </c>
      <c r="AAC24" s="13">
        <v>457311.19199999998</v>
      </c>
      <c r="AAD24" s="13">
        <v>457671.47200000001</v>
      </c>
      <c r="AAE24" s="13">
        <v>457999.35999999999</v>
      </c>
      <c r="AAF24" s="13">
        <v>458354.44199999998</v>
      </c>
      <c r="AAG24" s="13">
        <v>458725.42200000002</v>
      </c>
      <c r="AAH24" s="13">
        <v>458944.85</v>
      </c>
      <c r="AAI24" s="13">
        <v>459139.16100000002</v>
      </c>
      <c r="AAJ24" s="13">
        <v>459337.42200000002</v>
      </c>
      <c r="AAK24" s="13">
        <v>459621.26899999997</v>
      </c>
      <c r="AAL24" s="13">
        <v>459864.68699999998</v>
      </c>
      <c r="AAM24" s="13">
        <v>460059.85</v>
      </c>
      <c r="AAN24" s="13">
        <v>460647.625</v>
      </c>
      <c r="AAO24" s="13">
        <v>460857.288</v>
      </c>
      <c r="AAP24" s="13">
        <v>461175.21399999998</v>
      </c>
      <c r="AAQ24" s="13">
        <v>461481.91100000002</v>
      </c>
      <c r="AAR24" s="13">
        <v>461689.84499999997</v>
      </c>
      <c r="AAS24" s="13">
        <v>461901.65399999998</v>
      </c>
      <c r="AAT24" s="13">
        <v>462164.74800000002</v>
      </c>
      <c r="AAU24" s="13">
        <v>462423.80499999999</v>
      </c>
      <c r="AAV24" s="13">
        <v>462601.63500000001</v>
      </c>
      <c r="AAW24" s="13">
        <v>462780.53899999999</v>
      </c>
      <c r="AAX24" s="126"/>
      <c r="AAY24" s="13">
        <v>463037.50599999999</v>
      </c>
      <c r="AAZ24" s="13">
        <v>463298.98599999998</v>
      </c>
      <c r="ABA24" s="13">
        <v>463596.17200000002</v>
      </c>
      <c r="ABB24" s="13">
        <v>463822.60499999998</v>
      </c>
      <c r="ABC24" s="13">
        <v>464033.01</v>
      </c>
      <c r="ABD24" s="13">
        <v>464217.29700000002</v>
      </c>
      <c r="ABE24" s="13">
        <v>464500.93199999997</v>
      </c>
      <c r="ABF24" s="13">
        <v>464746.94300000003</v>
      </c>
      <c r="ABG24" s="13">
        <v>464916.00199999998</v>
      </c>
      <c r="ABH24" s="13">
        <v>465433.46100000001</v>
      </c>
      <c r="ABI24" s="13">
        <v>465789.55699999997</v>
      </c>
      <c r="ABJ24" s="13">
        <v>466089.86</v>
      </c>
      <c r="ABK24" s="13">
        <v>466240.78899999999</v>
      </c>
      <c r="ABL24" s="13">
        <v>466555.821</v>
      </c>
      <c r="ABM24" s="13">
        <v>466883.54399999999</v>
      </c>
      <c r="ABN24" s="13">
        <v>467189.09700000001</v>
      </c>
      <c r="ABO24" s="13">
        <v>467345.74200000003</v>
      </c>
      <c r="ABP24" s="13">
        <v>467689.37599999999</v>
      </c>
      <c r="ABQ24" s="13">
        <v>467993.76199999999</v>
      </c>
      <c r="ABR24" s="13">
        <v>468145.14600000001</v>
      </c>
      <c r="ABS24" s="13">
        <v>468337.60399999999</v>
      </c>
      <c r="ABT24" s="13">
        <v>468525.33199999999</v>
      </c>
      <c r="ABU24" s="13">
        <v>468787.95199999999</v>
      </c>
      <c r="ABV24" s="13">
        <v>469121.25699999998</v>
      </c>
      <c r="ABW24" s="13">
        <v>469391.55800000002</v>
      </c>
      <c r="ABX24" s="13">
        <v>469623.36</v>
      </c>
      <c r="ABY24" s="13">
        <v>469817.96600000001</v>
      </c>
      <c r="ABZ24" s="13">
        <v>470299.70299999998</v>
      </c>
      <c r="ACA24" s="13">
        <v>470668.73200000002</v>
      </c>
      <c r="ACB24" s="13">
        <v>470902.93400000001</v>
      </c>
      <c r="ACC24" s="13">
        <v>471200.18400000001</v>
      </c>
      <c r="ACD24" s="126"/>
      <c r="ACE24" s="13">
        <v>471547.38099999999</v>
      </c>
      <c r="ACF24" s="13">
        <v>471906.60600000003</v>
      </c>
      <c r="ACG24" s="13">
        <v>472099.06</v>
      </c>
      <c r="ACH24" s="13">
        <v>472391.38900000002</v>
      </c>
      <c r="ACI24" s="13">
        <v>472690.28600000002</v>
      </c>
      <c r="ACJ24" s="13">
        <v>472910.26699999999</v>
      </c>
      <c r="ACK24" s="13">
        <v>473112.679</v>
      </c>
      <c r="ACL24" s="13">
        <v>473298.25</v>
      </c>
      <c r="ACM24" s="13">
        <v>473610.75099999999</v>
      </c>
      <c r="ACN24" s="13">
        <v>473781.91899999999</v>
      </c>
      <c r="ACO24" s="13">
        <v>474143.97899999999</v>
      </c>
      <c r="ACP24" s="13">
        <v>474437.15899999999</v>
      </c>
      <c r="ACQ24" s="13">
        <v>474698.46</v>
      </c>
      <c r="ACR24" s="13">
        <v>475071.55</v>
      </c>
      <c r="ACS24" s="13">
        <v>475365.728</v>
      </c>
      <c r="ACT24" s="13">
        <v>475643.674</v>
      </c>
      <c r="ACU24" s="13">
        <v>475827.96299999999</v>
      </c>
      <c r="ACV24" s="13">
        <v>476152.27299999999</v>
      </c>
      <c r="ACW24" s="13">
        <v>476414.82799999998</v>
      </c>
      <c r="ACX24" s="13">
        <v>476694.37</v>
      </c>
      <c r="ACY24" s="13">
        <v>476876.07500000001</v>
      </c>
      <c r="ACZ24" s="13">
        <v>477162.92800000001</v>
      </c>
      <c r="ADA24" s="13">
        <v>477462.19799999997</v>
      </c>
      <c r="ADB24" s="13">
        <v>477596.37900000002</v>
      </c>
      <c r="ADC24" s="13">
        <v>477781.36099999998</v>
      </c>
      <c r="ADD24" s="13">
        <v>477944.14199999999</v>
      </c>
      <c r="ADE24" s="13">
        <v>478137.99</v>
      </c>
      <c r="ADF24" s="13">
        <v>478394.74400000001</v>
      </c>
      <c r="ADG24" s="13">
        <v>478648.03499999997</v>
      </c>
      <c r="ADH24" s="13">
        <v>478994.91200000001</v>
      </c>
      <c r="ADI24" s="13">
        <v>479278.76400000002</v>
      </c>
      <c r="ADJ24" s="126"/>
      <c r="ADK24" s="13">
        <v>479537.02100000001</v>
      </c>
      <c r="ADL24" s="13">
        <v>479788.62699999998</v>
      </c>
      <c r="ADM24" s="13">
        <v>480140.21500000003</v>
      </c>
      <c r="ADN24" s="13">
        <v>480399.33100000001</v>
      </c>
      <c r="ADO24" s="13">
        <v>480622.57</v>
      </c>
      <c r="ADP24" s="13">
        <v>480895.83500000002</v>
      </c>
      <c r="ADQ24" s="13">
        <v>481173.23200000002</v>
      </c>
      <c r="ADR24" s="13">
        <v>481475.86900000001</v>
      </c>
      <c r="ADS24" s="13">
        <v>481749.17</v>
      </c>
      <c r="ADT24" s="13">
        <v>481985.337</v>
      </c>
      <c r="ADU24" s="13">
        <v>482276.31300000002</v>
      </c>
      <c r="ADV24" s="13">
        <v>482559.73800000001</v>
      </c>
      <c r="ADW24" s="13">
        <v>482893.91100000002</v>
      </c>
      <c r="ADX24" s="13">
        <v>483057.34</v>
      </c>
      <c r="ADY24" s="13">
        <v>483424.522</v>
      </c>
      <c r="ADZ24" s="13">
        <v>483708.84399999998</v>
      </c>
      <c r="AEA24" s="13">
        <v>483924.30599999998</v>
      </c>
      <c r="AEB24" s="13">
        <v>484152.45299999998</v>
      </c>
      <c r="AEC24" s="13">
        <v>484433.28499999997</v>
      </c>
      <c r="AED24" s="13">
        <v>484719.36900000001</v>
      </c>
      <c r="AEE24" s="13">
        <v>484945.16100000002</v>
      </c>
      <c r="AEF24" s="13">
        <v>485122.59600000002</v>
      </c>
      <c r="AEG24" s="13">
        <v>485354.62300000002</v>
      </c>
      <c r="AEH24" s="13">
        <v>485593.36499999999</v>
      </c>
      <c r="AEI24" s="13">
        <v>485780.663</v>
      </c>
      <c r="AEJ24" s="13">
        <v>486095.06</v>
      </c>
      <c r="AEK24" s="13">
        <v>486521.17300000001</v>
      </c>
      <c r="AEL24" s="13">
        <v>486707.60499999998</v>
      </c>
      <c r="AEM24" s="13">
        <v>486959.027</v>
      </c>
      <c r="AEN24" s="13">
        <v>487169.75599999999</v>
      </c>
      <c r="AEO24" s="126"/>
      <c r="AEP24" s="13">
        <v>487420.75400000002</v>
      </c>
      <c r="AEQ24" s="13">
        <v>487692.48800000001</v>
      </c>
      <c r="AER24" s="13">
        <v>487905.663</v>
      </c>
      <c r="AES24" s="13">
        <v>488129.57199999999</v>
      </c>
      <c r="AET24" s="13">
        <v>488332.34700000001</v>
      </c>
      <c r="AEU24" s="13">
        <v>488533.63500000001</v>
      </c>
      <c r="AEV24" s="13">
        <v>488745.22700000001</v>
      </c>
      <c r="AEW24" s="13">
        <v>488969.41800000001</v>
      </c>
      <c r="AEX24" s="13">
        <v>489202.77500000002</v>
      </c>
      <c r="AEY24" s="13">
        <v>489582.20600000001</v>
      </c>
      <c r="AEZ24" s="13">
        <v>489847.35100000002</v>
      </c>
      <c r="AFA24" s="13">
        <v>489990.77299999999</v>
      </c>
      <c r="AFB24" s="13">
        <v>490237.74200000003</v>
      </c>
      <c r="AFC24" s="13">
        <v>490390.45500000002</v>
      </c>
      <c r="AFD24" s="13">
        <v>490682.93800000002</v>
      </c>
      <c r="AFE24" s="13">
        <v>490941.89399999997</v>
      </c>
      <c r="AFF24" s="13">
        <v>491130.10600000003</v>
      </c>
      <c r="AFG24" s="13">
        <v>491490.56699999998</v>
      </c>
      <c r="AFH24" s="13">
        <v>491799.8</v>
      </c>
      <c r="AFI24" s="13">
        <v>492119.348</v>
      </c>
      <c r="AFJ24" s="13">
        <v>492274.81300000002</v>
      </c>
      <c r="AFK24" s="13">
        <v>492476.94199999998</v>
      </c>
      <c r="AFL24" s="13">
        <v>492725.788</v>
      </c>
      <c r="AFM24" s="13">
        <v>492971.13799999998</v>
      </c>
      <c r="AFN24" s="13">
        <v>493372.21</v>
      </c>
      <c r="AFO24" s="13">
        <v>493510.266</v>
      </c>
      <c r="AFP24" s="13">
        <v>493742.53399999999</v>
      </c>
      <c r="AFQ24" s="13">
        <v>493974.33899999998</v>
      </c>
      <c r="AFR24" s="13">
        <v>494160.15500000003</v>
      </c>
      <c r="AFS24" s="13">
        <v>494378.408</v>
      </c>
      <c r="AFT24" s="13">
        <v>494607.41399999999</v>
      </c>
      <c r="AFU24" s="126"/>
      <c r="AFV24" s="13">
        <v>494760.30499999999</v>
      </c>
      <c r="AFW24" s="13">
        <v>494926.59899999999</v>
      </c>
      <c r="AFX24" s="13">
        <v>495161.94799999997</v>
      </c>
      <c r="AFY24" s="13">
        <v>495350.09899999999</v>
      </c>
      <c r="AFZ24" s="13">
        <v>495653.29700000002</v>
      </c>
      <c r="AGA24" s="13">
        <v>495841.016</v>
      </c>
      <c r="AGB24" s="13">
        <v>496112.39500000002</v>
      </c>
      <c r="AGC24" s="13">
        <v>496271.951</v>
      </c>
      <c r="AGD24" s="13">
        <v>496442.386</v>
      </c>
      <c r="AGE24" s="13">
        <v>496641.17800000001</v>
      </c>
      <c r="AGF24" s="13">
        <v>496884.65</v>
      </c>
      <c r="AGG24" s="13">
        <v>497147.005</v>
      </c>
      <c r="AGH24" s="13">
        <v>497430.85100000002</v>
      </c>
      <c r="AGI24" s="13">
        <v>497636.64399999997</v>
      </c>
      <c r="AGJ24" s="13">
        <v>497809.74</v>
      </c>
      <c r="AGK24" s="13">
        <v>498051.44400000002</v>
      </c>
      <c r="AGL24" s="13">
        <v>498233.85600000003</v>
      </c>
      <c r="AGM24" s="13">
        <v>498556.45299999998</v>
      </c>
      <c r="AGN24" s="13">
        <v>498712.853</v>
      </c>
      <c r="AGO24" s="13">
        <v>498967.70899999997</v>
      </c>
      <c r="AGP24" s="13">
        <v>499242.99800000002</v>
      </c>
      <c r="AGQ24" s="13">
        <v>499655.63199999998</v>
      </c>
      <c r="AGR24" s="13">
        <v>499942.61700000003</v>
      </c>
      <c r="AGS24" s="13">
        <v>500183.54599999997</v>
      </c>
      <c r="AGT24" s="13">
        <v>500336.75099999999</v>
      </c>
      <c r="AGU24" s="13">
        <v>500745.83899999998</v>
      </c>
      <c r="AGV24" s="13">
        <v>501041.27500000002</v>
      </c>
      <c r="AGW24" s="13">
        <v>501345.99800000002</v>
      </c>
      <c r="AGX24" s="13">
        <v>501630.65899999999</v>
      </c>
      <c r="AGY24" s="13">
        <v>501819.70199999999</v>
      </c>
      <c r="AGZ24" s="126"/>
      <c r="AHA24" s="13">
        <v>502039.95899999997</v>
      </c>
      <c r="AHB24" s="13">
        <v>502299.37300000002</v>
      </c>
      <c r="AHC24" s="13">
        <v>502533.09100000001</v>
      </c>
      <c r="AHD24" s="13">
        <v>502757.65899999999</v>
      </c>
      <c r="AHE24" s="13">
        <v>503180.20199999999</v>
      </c>
      <c r="AHF24" s="13">
        <v>503332.94300000003</v>
      </c>
      <c r="AHG24" s="13">
        <v>503534.61599999998</v>
      </c>
      <c r="AHH24" s="13">
        <v>503761.87800000003</v>
      </c>
      <c r="AHI24" s="13">
        <v>504324.31699999998</v>
      </c>
      <c r="AHJ24" s="13">
        <v>504584.87599999999</v>
      </c>
      <c r="AHK24" s="13">
        <v>504715.01199999999</v>
      </c>
      <c r="AHL24" s="13">
        <v>505050.315</v>
      </c>
      <c r="AHM24" s="13">
        <v>505185.40299999999</v>
      </c>
      <c r="AHN24" s="13">
        <v>505364.56699999998</v>
      </c>
      <c r="AHO24" s="13">
        <v>505719.16899999999</v>
      </c>
      <c r="AHP24" s="13">
        <v>505974.53600000002</v>
      </c>
      <c r="AHQ24" s="13">
        <v>506149.94099999999</v>
      </c>
      <c r="AHR24" s="13">
        <v>506471.48599999998</v>
      </c>
      <c r="AHS24" s="13">
        <v>506704.4</v>
      </c>
      <c r="AHT24" s="13">
        <v>506896.13099999999</v>
      </c>
      <c r="AHU24" s="13">
        <v>507237.54100000003</v>
      </c>
      <c r="AHV24" s="13">
        <v>507451.88299999997</v>
      </c>
      <c r="AHW24" s="13">
        <v>507732.53399999999</v>
      </c>
      <c r="AHX24" s="13">
        <v>508016.02500000002</v>
      </c>
      <c r="AHY24" s="13">
        <v>508083.79</v>
      </c>
      <c r="AHZ24" s="13">
        <v>508207.98200000002</v>
      </c>
      <c r="AIA24" s="13">
        <v>508466.24800000002</v>
      </c>
      <c r="AIB24" s="13">
        <v>508577.37800000003</v>
      </c>
      <c r="AIC24" s="13">
        <v>508854.54</v>
      </c>
      <c r="AID24" s="13">
        <v>509114.63199999998</v>
      </c>
      <c r="AIE24" s="13">
        <v>509475.95699999999</v>
      </c>
      <c r="AIF24" s="126"/>
      <c r="AIG24" s="13">
        <v>509661.272</v>
      </c>
      <c r="AIH24" s="13">
        <v>509875.62</v>
      </c>
      <c r="AII24" s="13">
        <v>510085.55300000001</v>
      </c>
      <c r="AIJ24" s="13">
        <v>510326.98100000003</v>
      </c>
      <c r="AIK24" s="13">
        <v>510591.28200000001</v>
      </c>
      <c r="AIL24" s="13">
        <v>510762.33</v>
      </c>
      <c r="AIM24" s="13">
        <v>511119.12400000001</v>
      </c>
      <c r="AIN24" s="13">
        <v>511424.39799999999</v>
      </c>
      <c r="AIO24" s="13">
        <v>511715.73</v>
      </c>
      <c r="AIP24" s="13">
        <v>512189.49599999998</v>
      </c>
      <c r="AIQ24" s="13">
        <v>512423.53600000002</v>
      </c>
      <c r="AIR24" s="13">
        <v>512629.467</v>
      </c>
      <c r="AIS24" s="13">
        <v>512832.522</v>
      </c>
      <c r="AIT24" s="13">
        <v>513051.68800000002</v>
      </c>
      <c r="AIU24" s="13">
        <v>513128.87400000001</v>
      </c>
      <c r="AIV24" s="13">
        <v>513280.196</v>
      </c>
      <c r="AIW24" s="13">
        <v>513409.56400000001</v>
      </c>
      <c r="AIX24" s="13">
        <v>513562.41800000001</v>
      </c>
      <c r="AIY24" s="13">
        <v>513898.08100000001</v>
      </c>
      <c r="AIZ24" s="13">
        <v>514174.43699999998</v>
      </c>
      <c r="AJA24" s="13">
        <v>514427.96100000001</v>
      </c>
      <c r="AJB24" s="13">
        <v>514605.87099999998</v>
      </c>
      <c r="AJC24" s="13">
        <v>514824.15700000001</v>
      </c>
      <c r="AJD24" s="13">
        <v>515107.89299999998</v>
      </c>
      <c r="AJE24" s="13">
        <v>515281.69</v>
      </c>
      <c r="AJF24" s="13">
        <v>515462.36599999998</v>
      </c>
      <c r="AJG24" s="13">
        <v>515754.14399999997</v>
      </c>
      <c r="AJH24" s="13">
        <v>515939.163</v>
      </c>
      <c r="AJI24" s="13">
        <v>516254.429</v>
      </c>
      <c r="AJJ24" s="13">
        <v>516583.36099999998</v>
      </c>
      <c r="AJK24" s="13">
        <v>516892.761</v>
      </c>
      <c r="AJL24" s="126"/>
      <c r="AJM24" s="13">
        <v>517069.51799999998</v>
      </c>
      <c r="AJN24" s="13">
        <v>517266.27799999999</v>
      </c>
      <c r="AJO24" s="13">
        <v>517452.17200000002</v>
      </c>
      <c r="AJP24" s="13">
        <v>517674.4</v>
      </c>
      <c r="AJQ24" s="13">
        <v>518126.51199999999</v>
      </c>
      <c r="AJR24" s="13">
        <v>518354.38099999999</v>
      </c>
      <c r="AJS24" s="13">
        <v>518580.63</v>
      </c>
      <c r="AJT24" s="13">
        <v>518820.97600000002</v>
      </c>
      <c r="AJU24" s="13">
        <v>519087.35600000003</v>
      </c>
      <c r="AJV24" s="13">
        <v>519317.37800000003</v>
      </c>
      <c r="AJW24" s="13">
        <v>519561.98</v>
      </c>
      <c r="AJX24" s="13">
        <v>519851.304</v>
      </c>
      <c r="AJY24" s="13">
        <v>520204.17700000003</v>
      </c>
      <c r="AJZ24" s="13">
        <v>520505.299</v>
      </c>
      <c r="AKA24" s="13">
        <v>520676.83899999998</v>
      </c>
      <c r="AKB24" s="13">
        <v>520938.179</v>
      </c>
      <c r="AKC24" s="13">
        <v>521133.64199999999</v>
      </c>
      <c r="AKD24" s="13">
        <v>521300.61700000003</v>
      </c>
      <c r="AKE24" s="13">
        <v>521465.84399999998</v>
      </c>
      <c r="AKF24" s="13">
        <v>521739.19099999999</v>
      </c>
      <c r="AKG24" s="13">
        <v>521933.38199999998</v>
      </c>
      <c r="AKH24" s="13">
        <v>522148.63900000002</v>
      </c>
      <c r="AKI24" s="13">
        <v>522464.55</v>
      </c>
      <c r="AKJ24" s="13">
        <v>522641.53100000002</v>
      </c>
      <c r="AKK24" s="13">
        <v>523025.66</v>
      </c>
      <c r="AKL24" s="13">
        <v>523190.44900000002</v>
      </c>
      <c r="AKM24" s="13">
        <v>523460.04800000001</v>
      </c>
      <c r="AKN24" s="13">
        <v>523767.69500000001</v>
      </c>
      <c r="AKO24" s="126"/>
      <c r="AKP24" s="13">
        <v>523943.57500000001</v>
      </c>
      <c r="AKQ24" s="13">
        <v>524134.46600000001</v>
      </c>
      <c r="AKR24" s="13">
        <v>524348.41200000001</v>
      </c>
      <c r="AKS24" s="13">
        <v>524561.92299999995</v>
      </c>
      <c r="AKT24" s="13">
        <v>524789.37399999995</v>
      </c>
      <c r="AKU24" s="13">
        <v>525033.98400000005</v>
      </c>
      <c r="AKV24" s="13">
        <v>525274.01100000006</v>
      </c>
      <c r="AKW24" s="13">
        <v>525453.39500000002</v>
      </c>
      <c r="AKX24" s="13">
        <v>525700.24100000004</v>
      </c>
      <c r="AKY24" s="13">
        <v>525887.22199999995</v>
      </c>
      <c r="AKZ24" s="13">
        <v>526081.66200000001</v>
      </c>
      <c r="ALA24" s="13">
        <v>526288.36199999996</v>
      </c>
      <c r="ALB24" s="13">
        <v>526581.31700000004</v>
      </c>
      <c r="ALC24" s="13">
        <v>526817.27300000004</v>
      </c>
      <c r="ALD24" s="13">
        <v>526952.78</v>
      </c>
      <c r="ALE24" s="13">
        <v>527303.32499999995</v>
      </c>
      <c r="ALF24" s="13">
        <v>527500.98499999999</v>
      </c>
      <c r="ALG24" s="13">
        <v>527739.42200000002</v>
      </c>
      <c r="ALH24" s="13">
        <v>528009.66200000001</v>
      </c>
      <c r="ALI24" s="13">
        <v>528191.59299999999</v>
      </c>
      <c r="ALJ24" s="13">
        <v>528458.00600000005</v>
      </c>
      <c r="ALK24" s="13">
        <v>528611.21600000001</v>
      </c>
      <c r="ALL24" s="13">
        <v>530920.40500000003</v>
      </c>
      <c r="ALM24" s="13">
        <v>531166.005</v>
      </c>
      <c r="ALN24" s="13">
        <v>531363.005</v>
      </c>
      <c r="ALO24" s="13">
        <v>531463.79700000002</v>
      </c>
      <c r="ALP24" s="13">
        <v>531690.59699999995</v>
      </c>
      <c r="ALQ24" s="13">
        <v>531947.19700000004</v>
      </c>
      <c r="ALR24" s="13">
        <v>532026.59699999995</v>
      </c>
      <c r="ALS24" s="13">
        <v>532168.397</v>
      </c>
      <c r="ALT24" s="13">
        <v>532441.49399999995</v>
      </c>
      <c r="ALU24" s="126"/>
      <c r="ALV24" s="13">
        <v>532704.11</v>
      </c>
      <c r="ALW24" s="13">
        <v>532864.51899999997</v>
      </c>
      <c r="ALX24" s="13">
        <v>533045.03500000003</v>
      </c>
      <c r="ALY24" s="13">
        <v>533293.81400000001</v>
      </c>
      <c r="ALZ24" s="13">
        <v>533405.68200000003</v>
      </c>
      <c r="AMA24" s="13">
        <v>533580.79299999995</v>
      </c>
      <c r="AMB24" s="13">
        <v>533836.44499999995</v>
      </c>
      <c r="AMC24" s="13">
        <v>534044.27300000004</v>
      </c>
      <c r="AMD24" s="13">
        <v>534268.24300000002</v>
      </c>
      <c r="AME24" s="13">
        <v>534474.69400000002</v>
      </c>
      <c r="AMF24" s="13">
        <v>534928.55299999996</v>
      </c>
      <c r="AMG24" s="13">
        <v>535099.90099999995</v>
      </c>
      <c r="AMH24" s="13">
        <v>535315.36899999995</v>
      </c>
      <c r="AMI24" s="13">
        <v>535529.68099999998</v>
      </c>
      <c r="AMJ24" s="13">
        <v>535768.34900000005</v>
      </c>
      <c r="AMK24" s="13">
        <v>536027.66899999999</v>
      </c>
      <c r="AML24" s="13">
        <v>536288.71200000006</v>
      </c>
      <c r="AMM24" s="13">
        <v>536592.74800000002</v>
      </c>
      <c r="AMN24" s="13">
        <v>536795.06000000006</v>
      </c>
      <c r="AMO24" s="13">
        <v>537010.32499999995</v>
      </c>
      <c r="AMP24" s="13">
        <v>537230.34400000004</v>
      </c>
      <c r="AMQ24" s="13">
        <v>537427.02899999998</v>
      </c>
      <c r="AMR24" s="13">
        <v>537708.25199999998</v>
      </c>
      <c r="AMS24" s="13">
        <v>538027.87100000004</v>
      </c>
      <c r="AMT24" s="13">
        <v>538147.5</v>
      </c>
      <c r="AMU24" s="13">
        <v>538351.33700000006</v>
      </c>
      <c r="AMV24" s="13">
        <v>538661.09</v>
      </c>
      <c r="AMW24" s="13">
        <v>538824.77099999995</v>
      </c>
      <c r="AMX24" s="13">
        <v>539029.36600000004</v>
      </c>
      <c r="AMY24" s="13">
        <v>539219.63199999998</v>
      </c>
      <c r="AMZ24" s="126"/>
      <c r="ANA24" s="13">
        <v>539390.74600000004</v>
      </c>
      <c r="ANB24" s="13">
        <v>539691.37</v>
      </c>
      <c r="ANC24" s="13">
        <v>539791.85900000005</v>
      </c>
      <c r="AND24" s="13">
        <v>539989.11499999999</v>
      </c>
      <c r="ANE24" s="13">
        <v>540103.69200000004</v>
      </c>
      <c r="ANF24" s="13">
        <v>540231.41700000002</v>
      </c>
      <c r="ANG24" s="13">
        <v>540388.80900000001</v>
      </c>
      <c r="ANH24" s="13">
        <v>540575.76500000001</v>
      </c>
      <c r="ANI24" s="13">
        <v>540709.17700000003</v>
      </c>
      <c r="ANJ24" s="13">
        <v>540900.86300000001</v>
      </c>
      <c r="ANK24" s="13">
        <v>541070.82400000002</v>
      </c>
      <c r="ANL24" s="13">
        <v>541157.34400000004</v>
      </c>
      <c r="ANM24" s="13">
        <v>541318.10800000001</v>
      </c>
      <c r="ANN24" s="13">
        <v>541528.26</v>
      </c>
      <c r="ANO24" s="13">
        <v>541805.08100000001</v>
      </c>
      <c r="ANP24" s="13">
        <v>541925.80099999998</v>
      </c>
      <c r="ANQ24" s="13">
        <v>542075.63699999999</v>
      </c>
      <c r="ANR24" s="13">
        <v>542278.18500000006</v>
      </c>
      <c r="ANS24" s="13">
        <v>542461.91700000002</v>
      </c>
      <c r="ANT24" s="13">
        <v>542720.48899999994</v>
      </c>
      <c r="ANU24" s="13">
        <v>542925.07200000004</v>
      </c>
      <c r="ANV24" s="13">
        <v>543158.79099999997</v>
      </c>
      <c r="ANW24" s="13">
        <v>543355.50899999996</v>
      </c>
      <c r="ANX24" s="13">
        <v>543490.69299999997</v>
      </c>
      <c r="ANY24" s="13">
        <v>543879.39800000004</v>
      </c>
      <c r="ANZ24" s="13">
        <v>544123.86800000002</v>
      </c>
      <c r="AOA24" s="13">
        <v>544215.18099999998</v>
      </c>
      <c r="AOB24" s="13">
        <v>544379.64500000002</v>
      </c>
      <c r="AOC24" s="13">
        <v>544624.76699999999</v>
      </c>
      <c r="AOD24" s="13">
        <v>544827.36899999995</v>
      </c>
      <c r="AOE24">
        <v>544827.36899999995</v>
      </c>
      <c r="AOF24">
        <v>545945.48899999994</v>
      </c>
    </row>
    <row r="25" spans="1:1072" x14ac:dyDescent="0.2">
      <c r="A25" s="157"/>
      <c r="B25" s="160"/>
      <c r="C25" s="6" t="s">
        <v>772</v>
      </c>
      <c r="D25" s="16">
        <f t="shared" ref="D25:AH25" si="451">D24-D23</f>
        <v>248.99099999997998</v>
      </c>
      <c r="E25" s="16">
        <f t="shared" si="451"/>
        <v>272.55300000001444</v>
      </c>
      <c r="F25" s="16">
        <f t="shared" si="451"/>
        <v>206.07000000000698</v>
      </c>
      <c r="G25" s="16">
        <f t="shared" si="451"/>
        <v>385.93499999999767</v>
      </c>
      <c r="H25" s="16">
        <f t="shared" si="451"/>
        <v>328.07199999998556</v>
      </c>
      <c r="I25" s="16">
        <f t="shared" si="451"/>
        <v>241.86100000003353</v>
      </c>
      <c r="J25" s="16">
        <f t="shared" si="451"/>
        <v>285.6140000000014</v>
      </c>
      <c r="K25" s="16">
        <f t="shared" si="451"/>
        <v>185.14000000001397</v>
      </c>
      <c r="L25" s="16">
        <f t="shared" si="451"/>
        <v>242.99199999996927</v>
      </c>
      <c r="M25" s="16">
        <f t="shared" si="451"/>
        <v>265.35600000002887</v>
      </c>
      <c r="N25" s="16">
        <f t="shared" si="451"/>
        <v>232.24099999997998</v>
      </c>
      <c r="O25" s="16">
        <f t="shared" si="451"/>
        <v>157.62300000002142</v>
      </c>
      <c r="P25" s="16">
        <f t="shared" si="451"/>
        <v>176.75699999998324</v>
      </c>
      <c r="Q25" s="16">
        <f t="shared" si="451"/>
        <v>246.76399999996647</v>
      </c>
      <c r="R25" s="16">
        <f t="shared" si="451"/>
        <v>275.88500000000931</v>
      </c>
      <c r="S25" s="16">
        <f t="shared" si="451"/>
        <v>145.14300000004005</v>
      </c>
      <c r="T25" s="16">
        <f t="shared" si="451"/>
        <v>238.68799999996554</v>
      </c>
      <c r="U25" s="16">
        <f t="shared" si="451"/>
        <v>250.40799999999581</v>
      </c>
      <c r="V25" s="16">
        <f t="shared" si="451"/>
        <v>145.14100000000326</v>
      </c>
      <c r="W25" s="16">
        <f t="shared" si="451"/>
        <v>169.65799999999581</v>
      </c>
      <c r="X25" s="16">
        <f t="shared" si="451"/>
        <v>236.10800000000745</v>
      </c>
      <c r="Y25" s="16">
        <f t="shared" si="451"/>
        <v>421.70600000000559</v>
      </c>
      <c r="Z25" s="16">
        <f t="shared" si="451"/>
        <v>255.03299999999581</v>
      </c>
      <c r="AA25" s="16">
        <f t="shared" si="451"/>
        <v>285.6809999999823</v>
      </c>
      <c r="AB25" s="16">
        <f t="shared" si="451"/>
        <v>280.08500000002095</v>
      </c>
      <c r="AC25" s="16">
        <f t="shared" si="451"/>
        <v>260.39899999997579</v>
      </c>
      <c r="AD25" s="16">
        <f t="shared" si="451"/>
        <v>117.83800000004703</v>
      </c>
      <c r="AE25" s="16">
        <f t="shared" si="451"/>
        <v>150.57099999999627</v>
      </c>
      <c r="AF25" s="16">
        <f t="shared" si="451"/>
        <v>470.75399999995716</v>
      </c>
      <c r="AG25" s="16">
        <f t="shared" si="451"/>
        <v>412.71300000004703</v>
      </c>
      <c r="AH25" s="16">
        <f t="shared" si="451"/>
        <v>329.33299999998417</v>
      </c>
      <c r="AI25" s="17">
        <f>SUM(D25:AH25)</f>
        <v>7921.1130000000121</v>
      </c>
      <c r="AJ25" s="16">
        <f t="shared" ref="AJ25:BM25" si="452">AJ24-AJ23</f>
        <v>278.03200000000652</v>
      </c>
      <c r="AK25" s="16">
        <f t="shared" si="452"/>
        <v>346.90999999997439</v>
      </c>
      <c r="AL25" s="16">
        <f t="shared" si="452"/>
        <v>461.82500000001164</v>
      </c>
      <c r="AM25" s="16">
        <f t="shared" si="452"/>
        <v>314.05800000001909</v>
      </c>
      <c r="AN25" s="16">
        <f t="shared" si="452"/>
        <v>471.26799999998184</v>
      </c>
      <c r="AO25" s="16">
        <f t="shared" si="452"/>
        <v>402.52899999998044</v>
      </c>
      <c r="AP25" s="16">
        <f t="shared" si="452"/>
        <v>357.78000000002794</v>
      </c>
      <c r="AQ25" s="16">
        <f t="shared" si="452"/>
        <v>384.59200000000419</v>
      </c>
      <c r="AR25" s="16">
        <f t="shared" si="452"/>
        <v>266.77700000000186</v>
      </c>
      <c r="AS25" s="16">
        <f t="shared" si="452"/>
        <v>340.17599999997765</v>
      </c>
      <c r="AT25" s="16">
        <f t="shared" si="452"/>
        <v>336.52600000001257</v>
      </c>
      <c r="AU25" s="16">
        <f t="shared" si="452"/>
        <v>335.33500000002095</v>
      </c>
      <c r="AV25" s="16">
        <f t="shared" si="452"/>
        <v>309.24599999998463</v>
      </c>
      <c r="AW25" s="16">
        <f t="shared" si="452"/>
        <v>278.15299999999115</v>
      </c>
      <c r="AX25" s="16">
        <f t="shared" si="452"/>
        <v>222.91300000000047</v>
      </c>
      <c r="AY25" s="16">
        <f t="shared" si="452"/>
        <v>255.68800000002375</v>
      </c>
      <c r="AZ25" s="16">
        <f t="shared" si="452"/>
        <v>207.12699999997858</v>
      </c>
      <c r="BA25" s="16">
        <f t="shared" si="452"/>
        <v>213.25299999996787</v>
      </c>
      <c r="BB25" s="16">
        <f t="shared" si="452"/>
        <v>223.86700000002747</v>
      </c>
      <c r="BC25" s="16">
        <f t="shared" si="452"/>
        <v>193.86599999997998</v>
      </c>
      <c r="BD25" s="16">
        <f t="shared" si="452"/>
        <v>231.01400000002468</v>
      </c>
      <c r="BE25" s="16">
        <f t="shared" si="452"/>
        <v>285.30900000000838</v>
      </c>
      <c r="BF25" s="16">
        <f t="shared" si="452"/>
        <v>331.4089999999851</v>
      </c>
      <c r="BG25" s="16">
        <f t="shared" si="452"/>
        <v>288.77100000000792</v>
      </c>
      <c r="BH25" s="16">
        <f t="shared" si="452"/>
        <v>242.22299999999814</v>
      </c>
      <c r="BI25" s="16">
        <f t="shared" si="452"/>
        <v>247.74300000001676</v>
      </c>
      <c r="BJ25" s="16">
        <f t="shared" si="452"/>
        <v>246.73699999996461</v>
      </c>
      <c r="BK25" s="16">
        <f t="shared" si="452"/>
        <v>209.75700000004144</v>
      </c>
      <c r="BL25" s="16">
        <f t="shared" si="452"/>
        <v>179.17799999995623</v>
      </c>
      <c r="BM25" s="16">
        <f t="shared" si="452"/>
        <v>227.45800000004238</v>
      </c>
      <c r="BN25" s="89">
        <f>SUM(AJ25:BM25)</f>
        <v>8689.5200000000186</v>
      </c>
      <c r="BO25" s="16">
        <f t="shared" ref="BO25:CS25" si="453">BO24-BO23</f>
        <v>122.41499999997905</v>
      </c>
      <c r="BP25" s="16">
        <f t="shared" si="453"/>
        <v>143.21700000000419</v>
      </c>
      <c r="BQ25" s="16">
        <f t="shared" si="453"/>
        <v>330.89699999999721</v>
      </c>
      <c r="BR25" s="16">
        <f t="shared" si="453"/>
        <v>170.49300000001676</v>
      </c>
      <c r="BS25" s="16">
        <f t="shared" si="453"/>
        <v>313.93799999996554</v>
      </c>
      <c r="BT25" s="16">
        <f t="shared" si="453"/>
        <v>292.91500000003725</v>
      </c>
      <c r="BU25" s="16">
        <f t="shared" si="453"/>
        <v>262.6129999999539</v>
      </c>
      <c r="BV25" s="16">
        <f t="shared" si="453"/>
        <v>189.07800000003772</v>
      </c>
      <c r="BW25" s="16">
        <f t="shared" si="453"/>
        <v>298.98699999996461</v>
      </c>
      <c r="BX25" s="16">
        <f t="shared" si="453"/>
        <v>264.83300000004238</v>
      </c>
      <c r="BY25" s="16">
        <f t="shared" si="453"/>
        <v>255.13299999997253</v>
      </c>
      <c r="BZ25" s="16">
        <f t="shared" si="453"/>
        <v>325.23100000002887</v>
      </c>
      <c r="CA25" s="16">
        <f t="shared" si="453"/>
        <v>239.37599999998929</v>
      </c>
      <c r="CB25" s="16">
        <f t="shared" si="453"/>
        <v>273.7160000000149</v>
      </c>
      <c r="CC25" s="16">
        <f t="shared" si="453"/>
        <v>154.53099999995902</v>
      </c>
      <c r="CD25" s="16">
        <f t="shared" si="453"/>
        <v>259.57800000003772</v>
      </c>
      <c r="CE25" s="16">
        <f t="shared" si="453"/>
        <v>268.87199999997392</v>
      </c>
      <c r="CF25" s="16">
        <f t="shared" si="453"/>
        <v>134.5339999999851</v>
      </c>
      <c r="CG25" s="16">
        <f t="shared" si="453"/>
        <v>165.92200000002049</v>
      </c>
      <c r="CH25" s="16">
        <f t="shared" si="453"/>
        <v>222.93800000002375</v>
      </c>
      <c r="CI25" s="16">
        <f t="shared" si="453"/>
        <v>153.52199999999721</v>
      </c>
      <c r="CJ25" s="16">
        <f t="shared" si="453"/>
        <v>259.77799999999115</v>
      </c>
      <c r="CK25" s="16">
        <f t="shared" si="453"/>
        <v>240.38399999996182</v>
      </c>
      <c r="CL25" s="16">
        <f t="shared" si="453"/>
        <v>175.33500000002095</v>
      </c>
      <c r="CM25" s="16">
        <f t="shared" si="453"/>
        <v>176.65200000000186</v>
      </c>
      <c r="CN25" s="16">
        <f t="shared" si="453"/>
        <v>223.42200000002049</v>
      </c>
      <c r="CO25" s="16">
        <f t="shared" si="453"/>
        <v>175.13799999997718</v>
      </c>
      <c r="CP25" s="16">
        <f t="shared" si="453"/>
        <v>256.48599999997532</v>
      </c>
      <c r="CQ25" s="16">
        <f t="shared" si="453"/>
        <v>203.01600000000326</v>
      </c>
      <c r="CR25" s="16">
        <f t="shared" si="453"/>
        <v>291.54700000002049</v>
      </c>
      <c r="CS25" s="16">
        <f t="shared" si="453"/>
        <v>269.98700000002282</v>
      </c>
      <c r="CT25" s="89">
        <f>SUM(BO25:CS25)</f>
        <v>7114.4839999999967</v>
      </c>
      <c r="CU25" s="16">
        <f t="shared" ref="CU25:DX25" si="454">CU24-CU23</f>
        <v>304.12899999995716</v>
      </c>
      <c r="CV25" s="16">
        <f t="shared" si="454"/>
        <v>212.76500000001397</v>
      </c>
      <c r="CW25" s="16">
        <f t="shared" si="454"/>
        <v>203.51900000002934</v>
      </c>
      <c r="CX25" s="16">
        <f t="shared" si="454"/>
        <v>394.32299999997485</v>
      </c>
      <c r="CY25" s="16">
        <f t="shared" si="454"/>
        <v>190.0910000000149</v>
      </c>
      <c r="CZ25" s="16">
        <f t="shared" si="454"/>
        <v>278.16599999996834</v>
      </c>
      <c r="DA25" s="16">
        <f t="shared" si="454"/>
        <v>203.4210000000312</v>
      </c>
      <c r="DB25" s="16">
        <f t="shared" si="454"/>
        <v>357.45000000001164</v>
      </c>
      <c r="DC25" s="16">
        <f t="shared" si="454"/>
        <v>304.2949999999837</v>
      </c>
      <c r="DD25" s="16">
        <f t="shared" si="454"/>
        <v>237.23800000001211</v>
      </c>
      <c r="DE25" s="16">
        <f t="shared" si="454"/>
        <v>193.15700000000652</v>
      </c>
      <c r="DF25" s="16">
        <f t="shared" si="454"/>
        <v>143.17799999995623</v>
      </c>
      <c r="DG25" s="16">
        <f t="shared" si="454"/>
        <v>101.60700000001816</v>
      </c>
      <c r="DH25" s="16">
        <f t="shared" si="454"/>
        <v>191.29999999998836</v>
      </c>
      <c r="DI25" s="16">
        <f t="shared" si="454"/>
        <v>127.86499999999069</v>
      </c>
      <c r="DJ25" s="16">
        <f t="shared" si="454"/>
        <v>239.6480000000447</v>
      </c>
      <c r="DK25" s="16">
        <f t="shared" si="454"/>
        <v>263.44000000000233</v>
      </c>
      <c r="DL25" s="16">
        <f t="shared" si="454"/>
        <v>218.77499999996508</v>
      </c>
      <c r="DM25" s="16">
        <f t="shared" si="454"/>
        <v>189.14500000001863</v>
      </c>
      <c r="DN25" s="16">
        <f t="shared" si="454"/>
        <v>275.57799999997951</v>
      </c>
      <c r="DO25" s="16">
        <f t="shared" si="454"/>
        <v>232.82699999999022</v>
      </c>
      <c r="DP25" s="16">
        <f t="shared" si="454"/>
        <v>260.53299999999581</v>
      </c>
      <c r="DQ25" s="16">
        <f t="shared" si="454"/>
        <v>193.77900000003865</v>
      </c>
      <c r="DR25" s="16">
        <f t="shared" si="454"/>
        <v>205.58199999999488</v>
      </c>
      <c r="DS25" s="16">
        <f t="shared" si="454"/>
        <v>150.36800000001676</v>
      </c>
      <c r="DT25" s="16">
        <f t="shared" si="454"/>
        <v>141.67699999996694</v>
      </c>
      <c r="DU25" s="16">
        <f t="shared" si="454"/>
        <v>206.40200000000186</v>
      </c>
      <c r="DV25" s="16">
        <f t="shared" si="454"/>
        <v>366.52899999998044</v>
      </c>
      <c r="DW25" s="16">
        <f t="shared" si="454"/>
        <v>307.95000000001164</v>
      </c>
      <c r="DX25" s="16">
        <f t="shared" si="454"/>
        <v>371.74100000003818</v>
      </c>
      <c r="DY25" s="116">
        <f>SUM(CU25:DX25)</f>
        <v>7066.4780000000028</v>
      </c>
      <c r="DZ25" s="16">
        <f t="shared" ref="DZ25:FD25" si="455">DZ24-DZ23</f>
        <v>343.26799999998184</v>
      </c>
      <c r="EA25" s="16">
        <f t="shared" si="455"/>
        <v>319.93199999997159</v>
      </c>
      <c r="EB25" s="16">
        <f t="shared" si="455"/>
        <v>242.88400000002002</v>
      </c>
      <c r="EC25" s="16">
        <f t="shared" si="455"/>
        <v>180.35300000000279</v>
      </c>
      <c r="ED25" s="16">
        <f t="shared" si="455"/>
        <v>250.01799999998184</v>
      </c>
      <c r="EE25" s="16">
        <f t="shared" si="455"/>
        <v>277.29700000002049</v>
      </c>
      <c r="EF25" s="16">
        <f t="shared" si="455"/>
        <v>450.93699999997625</v>
      </c>
      <c r="EG25" s="16">
        <f t="shared" si="455"/>
        <v>343.29300000000512</v>
      </c>
      <c r="EH25" s="16">
        <f t="shared" si="455"/>
        <v>291.67700000002515</v>
      </c>
      <c r="EI25" s="16">
        <f t="shared" si="455"/>
        <v>182.45100000000093</v>
      </c>
      <c r="EJ25" s="16">
        <f t="shared" si="455"/>
        <v>362.03200000000652</v>
      </c>
      <c r="EK25" s="16">
        <f t="shared" si="455"/>
        <v>487.40099999995437</v>
      </c>
      <c r="EL25" s="16">
        <f t="shared" si="455"/>
        <v>373.08200000005309</v>
      </c>
      <c r="EM25" s="16">
        <f t="shared" si="455"/>
        <v>372.12099999998463</v>
      </c>
      <c r="EN25" s="16">
        <f t="shared" si="455"/>
        <v>261.67900000000373</v>
      </c>
      <c r="EO25" s="16">
        <f t="shared" si="455"/>
        <v>248.64699999999721</v>
      </c>
      <c r="EP25" s="16">
        <f t="shared" si="455"/>
        <v>212.76399999996647</v>
      </c>
      <c r="EQ25" s="16">
        <f t="shared" si="455"/>
        <v>334.60300000000279</v>
      </c>
      <c r="ER25" s="16">
        <f t="shared" si="455"/>
        <v>273.16700000001583</v>
      </c>
      <c r="ES25" s="16">
        <f t="shared" si="455"/>
        <v>300.99099999997998</v>
      </c>
      <c r="ET25" s="16">
        <f t="shared" si="455"/>
        <v>390.27500000002328</v>
      </c>
      <c r="EU25" s="16">
        <f t="shared" si="455"/>
        <v>298.72499999997672</v>
      </c>
      <c r="EV25" s="16">
        <f t="shared" si="455"/>
        <v>415.84600000001956</v>
      </c>
      <c r="EW25" s="16">
        <f t="shared" si="455"/>
        <v>234.00199999997858</v>
      </c>
      <c r="EX25" s="16">
        <f t="shared" si="455"/>
        <v>149.88800000003539</v>
      </c>
      <c r="EY25" s="16">
        <f t="shared" si="455"/>
        <v>320.40100000001257</v>
      </c>
      <c r="EZ25" s="16">
        <f t="shared" si="455"/>
        <v>197.77599999995437</v>
      </c>
      <c r="FA25" s="16">
        <f t="shared" si="455"/>
        <v>318.37300000002142</v>
      </c>
      <c r="FB25" s="16">
        <f t="shared" si="455"/>
        <v>206.82099999999627</v>
      </c>
      <c r="FC25" s="16">
        <f t="shared" si="455"/>
        <v>391.11100000003353</v>
      </c>
      <c r="FD25" s="16">
        <f t="shared" si="455"/>
        <v>244.63399999996182</v>
      </c>
      <c r="FE25" s="127">
        <f>SUM(DZ25:FD25)</f>
        <v>9276.4489999999641</v>
      </c>
      <c r="FF25" s="16">
        <f t="shared" ref="FF25:GJ25" si="456">FF24-FF23</f>
        <v>249.88800000003539</v>
      </c>
      <c r="FG25" s="16">
        <f t="shared" si="456"/>
        <v>215.03299999999581</v>
      </c>
      <c r="FH25" s="16">
        <f t="shared" si="456"/>
        <v>358.53699999995297</v>
      </c>
      <c r="FI25" s="16">
        <f t="shared" si="456"/>
        <v>297.89100000000326</v>
      </c>
      <c r="FJ25" s="16">
        <f t="shared" si="456"/>
        <v>302.67500000004657</v>
      </c>
      <c r="FK25" s="16">
        <f t="shared" si="456"/>
        <v>226.09899999998743</v>
      </c>
      <c r="FL25" s="16">
        <f t="shared" si="456"/>
        <v>267.17900000000373</v>
      </c>
      <c r="FM25" s="16">
        <f t="shared" si="456"/>
        <v>180.80199999996694</v>
      </c>
      <c r="FN25" s="16">
        <f t="shared" si="456"/>
        <v>255.23000000003958</v>
      </c>
      <c r="FO25" s="16">
        <f t="shared" si="456"/>
        <v>200.27799999999115</v>
      </c>
      <c r="FP25" s="16">
        <f t="shared" si="456"/>
        <v>342.03700000001118</v>
      </c>
      <c r="FQ25" s="16">
        <f t="shared" si="456"/>
        <v>381.02399999997579</v>
      </c>
      <c r="FR25" s="16">
        <f t="shared" si="456"/>
        <v>263.26400000002468</v>
      </c>
      <c r="FS25" s="16">
        <f t="shared" si="456"/>
        <v>301.20699999999488</v>
      </c>
      <c r="FT25" s="16">
        <f t="shared" si="456"/>
        <v>254.62199999997392</v>
      </c>
      <c r="FU25" s="16">
        <f t="shared" si="456"/>
        <v>247.8059999999823</v>
      </c>
      <c r="FV25" s="16">
        <f t="shared" si="456"/>
        <v>290.8980000000447</v>
      </c>
      <c r="FW25" s="16">
        <f t="shared" si="456"/>
        <v>300.2839999999851</v>
      </c>
      <c r="FX25" s="16">
        <f t="shared" si="456"/>
        <v>550.02999999996973</v>
      </c>
      <c r="FY25" s="16">
        <f t="shared" si="456"/>
        <v>360.42300000000978</v>
      </c>
      <c r="FZ25" s="16">
        <f t="shared" si="456"/>
        <v>183.48300000000745</v>
      </c>
      <c r="GA25" s="16">
        <f t="shared" si="456"/>
        <v>276.0449999999837</v>
      </c>
      <c r="GB25" s="16">
        <f t="shared" si="456"/>
        <v>446.66300000000047</v>
      </c>
      <c r="GC25" s="16">
        <f t="shared" si="456"/>
        <v>249.43400000000838</v>
      </c>
      <c r="GD25" s="16">
        <f t="shared" si="456"/>
        <v>264.50300000002608</v>
      </c>
      <c r="GE25" s="16">
        <f t="shared" si="456"/>
        <v>367.19199999998091</v>
      </c>
      <c r="GF25" s="16">
        <f t="shared" si="456"/>
        <v>223.89699999999721</v>
      </c>
      <c r="GG25" s="16">
        <f t="shared" si="456"/>
        <v>192.77199999999721</v>
      </c>
      <c r="GH25" s="16">
        <f t="shared" si="456"/>
        <v>303.69000000000233</v>
      </c>
      <c r="GI25" s="16">
        <f t="shared" si="456"/>
        <v>184.91399999998976</v>
      </c>
      <c r="GJ25" s="16">
        <f t="shared" si="456"/>
        <v>329.93900000001304</v>
      </c>
      <c r="GK25" s="126"/>
      <c r="GL25" s="16">
        <f t="shared" ref="GL25:HN25" si="457">GL24-GL23</f>
        <v>303.17600000003586</v>
      </c>
      <c r="GM25" s="16">
        <f t="shared" si="457"/>
        <v>322.45299999997951</v>
      </c>
      <c r="GN25" s="16">
        <f t="shared" si="457"/>
        <v>287.96399999997811</v>
      </c>
      <c r="GO25" s="16">
        <f t="shared" si="457"/>
        <v>182.45000000001164</v>
      </c>
      <c r="GP25" s="16">
        <f t="shared" si="457"/>
        <v>275.02500000002328</v>
      </c>
      <c r="GQ25" s="16">
        <f t="shared" si="457"/>
        <v>241.21100000001024</v>
      </c>
      <c r="GR25" s="16">
        <f t="shared" si="457"/>
        <v>230.22599999996601</v>
      </c>
      <c r="GS25" s="16">
        <f t="shared" si="457"/>
        <v>223.27199999999721</v>
      </c>
      <c r="GT25" s="16">
        <f t="shared" si="457"/>
        <v>172.96799999999348</v>
      </c>
      <c r="GU25" s="16">
        <f t="shared" si="457"/>
        <v>296.88900000002468</v>
      </c>
      <c r="GV25" s="16">
        <f t="shared" si="457"/>
        <v>201.00500000000466</v>
      </c>
      <c r="GW25" s="16">
        <f t="shared" si="457"/>
        <v>274.13799999997718</v>
      </c>
      <c r="GX25" s="16">
        <f t="shared" si="457"/>
        <v>244.30300000001444</v>
      </c>
      <c r="GY25" s="16">
        <f t="shared" si="457"/>
        <v>220.27899999998044</v>
      </c>
      <c r="GZ25" s="16">
        <f t="shared" si="457"/>
        <v>214.42700000002515</v>
      </c>
      <c r="HA25" s="16">
        <f t="shared" si="457"/>
        <v>350.90499999996973</v>
      </c>
      <c r="HB25" s="16">
        <f t="shared" si="457"/>
        <v>203.06800000002841</v>
      </c>
      <c r="HC25" s="16">
        <f t="shared" si="457"/>
        <v>193.37199999997392</v>
      </c>
      <c r="HD25" s="16">
        <f t="shared" si="457"/>
        <v>239.55600000004051</v>
      </c>
      <c r="HE25" s="16">
        <f t="shared" si="457"/>
        <v>159.15299999999115</v>
      </c>
      <c r="HF25" s="16">
        <f t="shared" si="457"/>
        <v>293.02600000001257</v>
      </c>
      <c r="HG25" s="16">
        <f t="shared" si="457"/>
        <v>227.60299999994459</v>
      </c>
      <c r="HH25" s="16">
        <f t="shared" si="457"/>
        <v>244.31300000002375</v>
      </c>
      <c r="HI25" s="16">
        <f t="shared" si="457"/>
        <v>288.42300000000978</v>
      </c>
      <c r="HJ25" s="16">
        <f t="shared" si="457"/>
        <v>244.72100000001956</v>
      </c>
      <c r="HK25" s="16">
        <f t="shared" si="457"/>
        <v>233.52599999995437</v>
      </c>
      <c r="HL25" s="16">
        <f t="shared" si="457"/>
        <v>284.2050000000163</v>
      </c>
      <c r="HM25" s="16">
        <f t="shared" si="457"/>
        <v>233.32500000001164</v>
      </c>
      <c r="HN25" s="16">
        <f t="shared" si="457"/>
        <v>226.77999999996973</v>
      </c>
      <c r="HO25" s="126"/>
      <c r="HP25" s="16">
        <f t="shared" ref="HP25:IT25" si="458">HP24-HP23</f>
        <v>268.42900000000373</v>
      </c>
      <c r="HQ25" s="16">
        <f t="shared" si="458"/>
        <v>388.00900000002002</v>
      </c>
      <c r="HR25" s="16">
        <f t="shared" si="458"/>
        <v>196.6809999999823</v>
      </c>
      <c r="HS25" s="16">
        <f t="shared" si="458"/>
        <v>305.60899999999674</v>
      </c>
      <c r="HT25" s="16">
        <f t="shared" si="458"/>
        <v>228.39699999999721</v>
      </c>
      <c r="HU25" s="16">
        <f t="shared" si="458"/>
        <v>281.00500000000466</v>
      </c>
      <c r="HV25" s="16">
        <f t="shared" si="458"/>
        <v>296.55400000000373</v>
      </c>
      <c r="HW25" s="16">
        <f t="shared" si="458"/>
        <v>285.03100000001723</v>
      </c>
      <c r="HX25" s="16">
        <f t="shared" si="458"/>
        <v>313.44199999998091</v>
      </c>
      <c r="HY25" s="16">
        <f t="shared" si="458"/>
        <v>189.26699999999255</v>
      </c>
      <c r="HZ25" s="16">
        <f t="shared" si="458"/>
        <v>210.03600000002189</v>
      </c>
      <c r="IA25" s="16">
        <f t="shared" si="458"/>
        <v>259.17099999997299</v>
      </c>
      <c r="IB25" s="16">
        <f t="shared" si="458"/>
        <v>368.66700000001583</v>
      </c>
      <c r="IC25" s="16">
        <f t="shared" si="458"/>
        <v>306.2390000000014</v>
      </c>
      <c r="ID25" s="16">
        <f t="shared" si="458"/>
        <v>258.7729999999865</v>
      </c>
      <c r="IE25" s="16">
        <f t="shared" si="458"/>
        <v>182.00200000003679</v>
      </c>
      <c r="IF25" s="16">
        <f t="shared" si="458"/>
        <v>181.9890000000014</v>
      </c>
      <c r="IG25" s="16">
        <f t="shared" si="458"/>
        <v>319.47200000000885</v>
      </c>
      <c r="IH25" s="16">
        <f t="shared" si="458"/>
        <v>335.43699999997625</v>
      </c>
      <c r="II25" s="16">
        <f t="shared" si="458"/>
        <v>187.8640000000014</v>
      </c>
      <c r="IJ25" s="16">
        <f t="shared" si="458"/>
        <v>250.49200000002747</v>
      </c>
      <c r="IK25" s="16">
        <f t="shared" si="458"/>
        <v>267.60399999999208</v>
      </c>
      <c r="IL25" s="16">
        <f t="shared" si="458"/>
        <v>292.3059999999823</v>
      </c>
      <c r="IM25" s="16">
        <f t="shared" si="458"/>
        <v>162.03800000000047</v>
      </c>
      <c r="IN25" s="16">
        <f t="shared" si="458"/>
        <v>274.09000000002561</v>
      </c>
      <c r="IO25" s="16">
        <f t="shared" si="458"/>
        <v>200.44399999995949</v>
      </c>
      <c r="IP25" s="16">
        <f t="shared" si="458"/>
        <v>372.97899999999208</v>
      </c>
      <c r="IQ25" s="16">
        <f t="shared" si="458"/>
        <v>561.06300000002375</v>
      </c>
      <c r="IR25" s="16">
        <f t="shared" si="458"/>
        <v>333.54899999999907</v>
      </c>
      <c r="IS25" s="16">
        <f t="shared" si="458"/>
        <v>163.72399999998743</v>
      </c>
      <c r="IT25" s="16">
        <f t="shared" si="458"/>
        <v>102.79399999999441</v>
      </c>
      <c r="IU25" s="126"/>
      <c r="IV25" s="16">
        <f t="shared" ref="IV25:JY25" si="459">IV24-IV23</f>
        <v>198.79300000000512</v>
      </c>
      <c r="IW25" s="16">
        <f t="shared" si="459"/>
        <v>305.79100000002654</v>
      </c>
      <c r="IX25" s="16">
        <f t="shared" si="459"/>
        <v>244.47299999999814</v>
      </c>
      <c r="IY25" s="16">
        <f t="shared" si="459"/>
        <v>180.6699999999837</v>
      </c>
      <c r="IZ25" s="16">
        <f t="shared" si="459"/>
        <v>238.86900000000605</v>
      </c>
      <c r="JA25" s="16">
        <f t="shared" si="459"/>
        <v>217.00299999996787</v>
      </c>
      <c r="JB25" s="16">
        <f t="shared" si="459"/>
        <v>213.90400000003865</v>
      </c>
      <c r="JC25" s="16">
        <f t="shared" si="459"/>
        <v>270.61599999997998</v>
      </c>
      <c r="JD25" s="16">
        <f t="shared" si="459"/>
        <v>283.74800000002142</v>
      </c>
      <c r="JE25" s="16">
        <f t="shared" si="459"/>
        <v>145.29399999999441</v>
      </c>
      <c r="JF25" s="16">
        <f t="shared" si="459"/>
        <v>164.32699999999022</v>
      </c>
      <c r="JG25" s="16">
        <f t="shared" si="459"/>
        <v>210.79700000002049</v>
      </c>
      <c r="JH25" s="16">
        <f t="shared" si="459"/>
        <v>226.85599999997066</v>
      </c>
      <c r="JI25" s="16">
        <f t="shared" si="459"/>
        <v>155.71199999999953</v>
      </c>
      <c r="JJ25" s="16">
        <f t="shared" si="459"/>
        <v>180.55400000000373</v>
      </c>
      <c r="JK25" s="16">
        <f t="shared" si="459"/>
        <v>229.29999999998836</v>
      </c>
      <c r="JL25" s="16">
        <f t="shared" si="459"/>
        <v>186.37200000003213</v>
      </c>
      <c r="JM25" s="16">
        <f t="shared" si="459"/>
        <v>227.03499999997439</v>
      </c>
      <c r="JN25" s="16">
        <f t="shared" si="459"/>
        <v>201.99800000002142</v>
      </c>
      <c r="JO25" s="16">
        <f t="shared" si="459"/>
        <v>254.10800000000745</v>
      </c>
      <c r="JP25" s="16">
        <f t="shared" si="459"/>
        <v>189.36799999995856</v>
      </c>
      <c r="JQ25" s="16">
        <f t="shared" si="459"/>
        <v>127.24200000002747</v>
      </c>
      <c r="JR25" s="16">
        <f t="shared" si="459"/>
        <v>206.18199999997159</v>
      </c>
      <c r="JS25" s="16">
        <f t="shared" si="459"/>
        <v>232.45900000003166</v>
      </c>
      <c r="JT25" s="16">
        <f t="shared" si="459"/>
        <v>144.28999999997905</v>
      </c>
      <c r="JU25" s="16">
        <f t="shared" si="459"/>
        <v>260.59700000000885</v>
      </c>
      <c r="JV25" s="16">
        <f t="shared" si="459"/>
        <v>205.53200000000652</v>
      </c>
      <c r="JW25" s="16">
        <f t="shared" si="459"/>
        <v>206.66300000000047</v>
      </c>
      <c r="JX25" s="16">
        <f t="shared" si="459"/>
        <v>332.40999999997439</v>
      </c>
      <c r="JY25" s="16">
        <f t="shared" si="459"/>
        <v>204.49100000003818</v>
      </c>
      <c r="JZ25" s="127">
        <f>SUM(IV25:JY25)</f>
        <v>6445.454000000027</v>
      </c>
      <c r="KA25" s="16">
        <f t="shared" ref="KA25:LE25" si="460">KA24-KA23</f>
        <v>182.00099999998929</v>
      </c>
      <c r="KB25" s="16">
        <f t="shared" si="460"/>
        <v>234.92900000000373</v>
      </c>
      <c r="KC25" s="16">
        <f t="shared" si="460"/>
        <v>424.52999999996973</v>
      </c>
      <c r="KD25" s="16">
        <f t="shared" si="460"/>
        <v>233.1260000000475</v>
      </c>
      <c r="KE25" s="16">
        <f t="shared" si="460"/>
        <v>207.09699999995064</v>
      </c>
      <c r="KF25" s="16">
        <f t="shared" si="460"/>
        <v>263.72500000003492</v>
      </c>
      <c r="KG25" s="16">
        <f t="shared" si="460"/>
        <v>298.78499999997439</v>
      </c>
      <c r="KH25" s="16">
        <f t="shared" si="460"/>
        <v>279.75300000002608</v>
      </c>
      <c r="KI25" s="16">
        <f t="shared" si="460"/>
        <v>309.49599999998463</v>
      </c>
      <c r="KJ25" s="16">
        <f t="shared" si="460"/>
        <v>436.34500000003027</v>
      </c>
      <c r="KK25" s="16">
        <f t="shared" si="460"/>
        <v>357.3179999999702</v>
      </c>
      <c r="KL25" s="16">
        <f t="shared" si="460"/>
        <v>236.07300000003306</v>
      </c>
      <c r="KM25" s="16">
        <f t="shared" si="460"/>
        <v>885.1019999999553</v>
      </c>
      <c r="KN25" s="16">
        <f t="shared" si="460"/>
        <v>342.16500000003725</v>
      </c>
      <c r="KO25" s="16">
        <f t="shared" si="460"/>
        <v>260.65099999995437</v>
      </c>
      <c r="KP25" s="16">
        <f t="shared" si="460"/>
        <v>294.92200000002049</v>
      </c>
      <c r="KQ25" s="16">
        <f t="shared" si="460"/>
        <v>445.5690000000177</v>
      </c>
      <c r="KR25" s="16">
        <f t="shared" si="460"/>
        <v>329.3300000000163</v>
      </c>
      <c r="KS25" s="16">
        <f t="shared" si="460"/>
        <v>209.66499999997905</v>
      </c>
      <c r="KT25" s="16">
        <f t="shared" si="460"/>
        <v>331.55800000001909</v>
      </c>
      <c r="KU25" s="16">
        <f t="shared" si="460"/>
        <v>354.83599999995204</v>
      </c>
      <c r="KV25" s="16">
        <f t="shared" si="460"/>
        <v>372.66300000000047</v>
      </c>
      <c r="KW25" s="16">
        <f t="shared" si="460"/>
        <v>428.3410000000149</v>
      </c>
      <c r="KX25" s="16">
        <f t="shared" si="460"/>
        <v>424.56200000003446</v>
      </c>
      <c r="KY25" s="16">
        <f t="shared" si="460"/>
        <v>366.67299999995157</v>
      </c>
      <c r="KZ25" s="16">
        <f t="shared" si="460"/>
        <v>223.5350000000326</v>
      </c>
      <c r="LA25" s="16">
        <f t="shared" si="460"/>
        <v>363.42999999999302</v>
      </c>
      <c r="LB25" s="16">
        <f t="shared" si="460"/>
        <v>290.72299999999814</v>
      </c>
      <c r="LC25" s="16">
        <f t="shared" si="460"/>
        <v>450.17200000002049</v>
      </c>
      <c r="LD25" s="16">
        <f t="shared" si="460"/>
        <v>194.57699999999022</v>
      </c>
      <c r="LE25" s="16">
        <f t="shared" si="460"/>
        <v>336.3179999999702</v>
      </c>
      <c r="LF25" s="127">
        <f>SUM(KA25:LE25)</f>
        <v>10367.969999999972</v>
      </c>
      <c r="LG25" s="16">
        <f t="shared" ref="LG25:MJ25" si="461">LG24-LG23</f>
        <v>408.59600000001956</v>
      </c>
      <c r="LH25" s="16">
        <f t="shared" si="461"/>
        <v>270.4199999999837</v>
      </c>
      <c r="LI25" s="16">
        <f t="shared" si="461"/>
        <v>585.1479999999865</v>
      </c>
      <c r="LJ25" s="16">
        <f t="shared" si="461"/>
        <v>461.21400000003632</v>
      </c>
      <c r="LK25" s="16">
        <f t="shared" si="461"/>
        <v>299.30199999996694</v>
      </c>
      <c r="LL25" s="16">
        <f t="shared" si="461"/>
        <v>332.99800000002142</v>
      </c>
      <c r="LM25" s="16">
        <f t="shared" si="461"/>
        <v>408.68400000000838</v>
      </c>
      <c r="LN25" s="16">
        <f t="shared" si="461"/>
        <v>368.32500000001164</v>
      </c>
      <c r="LO25" s="16">
        <f t="shared" si="461"/>
        <v>235.78700000001118</v>
      </c>
      <c r="LP25" s="16">
        <f t="shared" si="461"/>
        <v>338.18999999994412</v>
      </c>
      <c r="LQ25" s="16">
        <f t="shared" si="461"/>
        <v>425.83800000004703</v>
      </c>
      <c r="LR25" s="16">
        <f t="shared" si="461"/>
        <v>369.29799999995157</v>
      </c>
      <c r="LS25" s="16">
        <f t="shared" si="461"/>
        <v>491.98800000001211</v>
      </c>
      <c r="LT25" s="16">
        <f t="shared" si="461"/>
        <v>399.73800000001211</v>
      </c>
      <c r="LU25" s="16">
        <f t="shared" si="461"/>
        <v>275.16200000001118</v>
      </c>
      <c r="LV25" s="16">
        <f t="shared" si="461"/>
        <v>328.78100000001723</v>
      </c>
      <c r="LW25" s="16">
        <f t="shared" si="461"/>
        <v>343.41699999995762</v>
      </c>
      <c r="LX25" s="16">
        <f t="shared" si="461"/>
        <v>325.07800000003772</v>
      </c>
      <c r="LY25" s="16">
        <f t="shared" si="461"/>
        <v>381.20600000000559</v>
      </c>
      <c r="LZ25" s="16">
        <f t="shared" si="461"/>
        <v>400.56099999998696</v>
      </c>
      <c r="MA25" s="16">
        <f t="shared" si="461"/>
        <v>442.00199999997858</v>
      </c>
      <c r="MB25" s="16">
        <f t="shared" si="461"/>
        <v>335.05900000000838</v>
      </c>
      <c r="MC25" s="16">
        <f t="shared" si="461"/>
        <v>224.20400000002701</v>
      </c>
      <c r="MD25" s="16">
        <f t="shared" si="461"/>
        <v>222.79399999999441</v>
      </c>
      <c r="ME25" s="16">
        <f t="shared" si="461"/>
        <v>296.04599999997299</v>
      </c>
      <c r="MF25" s="16">
        <f t="shared" si="461"/>
        <v>476.2949999999837</v>
      </c>
      <c r="MG25" s="16">
        <f t="shared" si="461"/>
        <v>388.07700000004843</v>
      </c>
      <c r="MH25" s="16">
        <f t="shared" si="461"/>
        <v>285.98399999999674</v>
      </c>
      <c r="MI25" s="16">
        <f t="shared" si="461"/>
        <v>350.33799999998882</v>
      </c>
      <c r="MJ25" s="16">
        <f t="shared" si="461"/>
        <v>275.61999999999534</v>
      </c>
      <c r="MK25" s="127">
        <f>SUM(LF25:MJ25)</f>
        <v>21114.119999999995</v>
      </c>
      <c r="ML25" s="16">
        <f t="shared" ref="ML25:NP25" si="462">ML24-ML23</f>
        <v>401.96399999997811</v>
      </c>
      <c r="MM25" s="16">
        <f t="shared" si="462"/>
        <v>472.97899999999208</v>
      </c>
      <c r="MN25" s="16">
        <f t="shared" si="462"/>
        <v>409.90400000003865</v>
      </c>
      <c r="MO25" s="16">
        <f t="shared" si="462"/>
        <v>286.43599999998696</v>
      </c>
      <c r="MP25" s="16">
        <f t="shared" si="462"/>
        <v>358.76799999998184</v>
      </c>
      <c r="MQ25" s="16">
        <f t="shared" si="462"/>
        <v>474.88099999999395</v>
      </c>
      <c r="MR25" s="16">
        <f t="shared" si="462"/>
        <v>664.69599999999627</v>
      </c>
      <c r="MS25" s="16">
        <f t="shared" si="462"/>
        <v>553.76300000003539</v>
      </c>
      <c r="MT25" s="16">
        <f t="shared" si="462"/>
        <v>449.35999999998603</v>
      </c>
      <c r="MU25" s="16">
        <f t="shared" si="462"/>
        <v>228.18599999998696</v>
      </c>
      <c r="MV25" s="16">
        <f t="shared" si="462"/>
        <v>314.74900000001071</v>
      </c>
      <c r="MW25" s="16">
        <f t="shared" si="462"/>
        <v>223.11999999999534</v>
      </c>
      <c r="MX25" s="16">
        <f t="shared" si="462"/>
        <v>361.8300000000163</v>
      </c>
      <c r="MY25" s="16">
        <f t="shared" si="462"/>
        <v>311.84399999998277</v>
      </c>
      <c r="MZ25" s="16">
        <f t="shared" si="462"/>
        <v>362.68900000001304</v>
      </c>
      <c r="NA25" s="16">
        <f t="shared" si="462"/>
        <v>308.31400000001304</v>
      </c>
      <c r="NB25" s="16">
        <f t="shared" si="462"/>
        <v>315.08299999998417</v>
      </c>
      <c r="NC25" s="16">
        <f t="shared" si="462"/>
        <v>210.02799999999115</v>
      </c>
      <c r="ND25" s="16">
        <f t="shared" si="462"/>
        <v>348.20100000000093</v>
      </c>
      <c r="NE25" s="16">
        <f t="shared" si="462"/>
        <v>328.18900000001304</v>
      </c>
      <c r="NF25" s="16">
        <f t="shared" si="462"/>
        <v>167.62799999996787</v>
      </c>
      <c r="NG25" s="16">
        <f t="shared" si="462"/>
        <v>428.53400000004331</v>
      </c>
      <c r="NH25" s="16">
        <f t="shared" si="462"/>
        <v>273.11999999999534</v>
      </c>
      <c r="NI25" s="16">
        <f t="shared" si="462"/>
        <v>322.83600000001024</v>
      </c>
      <c r="NJ25" s="16">
        <f t="shared" si="462"/>
        <v>467.08499999996275</v>
      </c>
      <c r="NK25" s="16">
        <f t="shared" si="462"/>
        <v>289.45199999999022</v>
      </c>
      <c r="NL25" s="16">
        <f t="shared" si="462"/>
        <v>321.2510000000475</v>
      </c>
      <c r="NM25" s="16">
        <f t="shared" si="462"/>
        <v>170.1359999999986</v>
      </c>
      <c r="NN25" s="16">
        <f t="shared" si="462"/>
        <v>377.78299999999581</v>
      </c>
      <c r="NO25" s="16">
        <f t="shared" si="462"/>
        <v>327.00799999997253</v>
      </c>
      <c r="NP25" s="16">
        <f t="shared" si="462"/>
        <v>343.27900000003865</v>
      </c>
      <c r="NQ25" s="127">
        <f>SUM(ML25:NP25)</f>
        <v>10873.09600000002</v>
      </c>
      <c r="NR25" s="16">
        <f t="shared" ref="NR25:OV25" si="463">NR24-NR23</f>
        <v>312.85099999996601</v>
      </c>
      <c r="NS25" s="16">
        <f t="shared" si="463"/>
        <v>279.2390000000014</v>
      </c>
      <c r="NT25" s="16">
        <f t="shared" si="463"/>
        <v>371.2270000000135</v>
      </c>
      <c r="NU25" s="16">
        <f t="shared" si="463"/>
        <v>215.19799999997485</v>
      </c>
      <c r="NV25" s="16">
        <f t="shared" si="463"/>
        <v>277.03800000000047</v>
      </c>
      <c r="NW25" s="16">
        <f t="shared" si="463"/>
        <v>458.65000000002328</v>
      </c>
      <c r="NX25" s="16">
        <f t="shared" si="463"/>
        <v>431.8190000000177</v>
      </c>
      <c r="NY25" s="16">
        <f t="shared" si="463"/>
        <v>377.76399999996647</v>
      </c>
      <c r="NZ25" s="16">
        <f t="shared" si="463"/>
        <v>319.07699999999022</v>
      </c>
      <c r="OA25" s="16">
        <f t="shared" si="463"/>
        <v>121.06700000003912</v>
      </c>
      <c r="OB25" s="16">
        <f t="shared" si="463"/>
        <v>221.08399999997346</v>
      </c>
      <c r="OC25" s="16">
        <f t="shared" si="463"/>
        <v>241.11800000001676</v>
      </c>
      <c r="OD25" s="16">
        <f t="shared" si="463"/>
        <v>211.05800000001909</v>
      </c>
      <c r="OE25" s="16">
        <f t="shared" si="463"/>
        <v>277.30499999999302</v>
      </c>
      <c r="OF25" s="16">
        <f t="shared" si="463"/>
        <v>451.87199999997392</v>
      </c>
      <c r="OG25" s="16">
        <f t="shared" si="463"/>
        <v>200.26699999999255</v>
      </c>
      <c r="OH25" s="16">
        <f t="shared" si="463"/>
        <v>215.86300000001211</v>
      </c>
      <c r="OI25" s="16">
        <f t="shared" si="463"/>
        <v>271.69900000002235</v>
      </c>
      <c r="OJ25" s="16">
        <f t="shared" si="463"/>
        <v>252.08299999998417</v>
      </c>
      <c r="OK25" s="16">
        <f t="shared" si="463"/>
        <v>266.88400000002002</v>
      </c>
      <c r="OL25" s="16">
        <f t="shared" si="463"/>
        <v>285.03199999994831</v>
      </c>
      <c r="OM25" s="16">
        <f t="shared" si="463"/>
        <v>323.63500000000931</v>
      </c>
      <c r="ON25" s="16">
        <f t="shared" si="463"/>
        <v>310.14900000003399</v>
      </c>
      <c r="OO25" s="16">
        <f t="shared" si="463"/>
        <v>184.86900000000605</v>
      </c>
      <c r="OP25" s="16">
        <f t="shared" si="463"/>
        <v>229.5679999999702</v>
      </c>
      <c r="OQ25" s="16">
        <f t="shared" si="463"/>
        <v>246.15000000002328</v>
      </c>
      <c r="OR25" s="16">
        <f t="shared" si="463"/>
        <v>356.36900000000605</v>
      </c>
      <c r="OS25" s="16">
        <f t="shared" si="463"/>
        <v>368.66399999998976</v>
      </c>
      <c r="OT25" s="16">
        <f t="shared" si="463"/>
        <v>241.71399999997811</v>
      </c>
      <c r="OU25" s="16">
        <f t="shared" si="463"/>
        <v>182.55800000001909</v>
      </c>
      <c r="OV25" s="16">
        <f t="shared" si="463"/>
        <v>478.03899999998976</v>
      </c>
      <c r="OW25" s="127">
        <f>SUM(NR25:OV25)</f>
        <v>8979.9099999999744</v>
      </c>
      <c r="OX25" s="16">
        <f t="shared" ref="OX25:QA25" si="464">OX24-OX23</f>
        <v>174.7839999999851</v>
      </c>
      <c r="OY25" s="16">
        <f t="shared" si="464"/>
        <v>268.03200000000652</v>
      </c>
      <c r="OZ25" s="16">
        <f t="shared" si="464"/>
        <v>226.34299999999348</v>
      </c>
      <c r="PA25" s="16">
        <f t="shared" si="464"/>
        <v>286.77900000003865</v>
      </c>
      <c r="PB25" s="16">
        <f t="shared" si="464"/>
        <v>313.09799999999814</v>
      </c>
      <c r="PC25" s="16">
        <f t="shared" si="464"/>
        <v>311.86999999999534</v>
      </c>
      <c r="PD25" s="16">
        <f t="shared" si="464"/>
        <v>242.56199999997625</v>
      </c>
      <c r="PE25" s="16">
        <f t="shared" si="464"/>
        <v>411.22600000002421</v>
      </c>
      <c r="PF25" s="16">
        <f t="shared" si="464"/>
        <v>124.42599999997765</v>
      </c>
      <c r="PG25" s="16">
        <f t="shared" si="464"/>
        <v>231.62200000003213</v>
      </c>
      <c r="PH25" s="16">
        <f t="shared" si="464"/>
        <v>247.82699999999022</v>
      </c>
      <c r="PI25" s="16">
        <f t="shared" si="464"/>
        <v>302.53999999997905</v>
      </c>
      <c r="PJ25" s="16">
        <f t="shared" si="464"/>
        <v>389.53800000000047</v>
      </c>
      <c r="PK25" s="16">
        <f t="shared" si="464"/>
        <v>237.96700000000419</v>
      </c>
      <c r="PL25" s="16">
        <f t="shared" si="464"/>
        <v>241.51500000001397</v>
      </c>
      <c r="PM25" s="16">
        <f t="shared" si="464"/>
        <v>220.83100000000559</v>
      </c>
      <c r="PN25" s="16">
        <f t="shared" si="464"/>
        <v>254.35599999997066</v>
      </c>
      <c r="PO25" s="16">
        <f t="shared" si="464"/>
        <v>209.11499999999069</v>
      </c>
      <c r="PP25" s="16">
        <f t="shared" si="464"/>
        <v>290.89300000004005</v>
      </c>
      <c r="PQ25" s="16">
        <f t="shared" si="464"/>
        <v>231.82099999999627</v>
      </c>
      <c r="PR25" s="16">
        <f t="shared" si="464"/>
        <v>309.32499999995343</v>
      </c>
      <c r="PS25" s="16">
        <f t="shared" si="464"/>
        <v>226.38500000000931</v>
      </c>
      <c r="PT25" s="16">
        <f t="shared" si="464"/>
        <v>396.83500000002095</v>
      </c>
      <c r="PU25" s="16">
        <f t="shared" si="464"/>
        <v>277.40999999997439</v>
      </c>
      <c r="PV25" s="16">
        <f t="shared" si="464"/>
        <v>368.8980000000447</v>
      </c>
      <c r="PW25" s="16">
        <f t="shared" si="464"/>
        <v>255.61699999996927</v>
      </c>
      <c r="PX25" s="16">
        <f t="shared" si="464"/>
        <v>264.51300000003539</v>
      </c>
      <c r="PY25" s="16">
        <f t="shared" si="464"/>
        <v>583.69000000000233</v>
      </c>
      <c r="PZ25" s="16">
        <f t="shared" si="464"/>
        <v>177.92199999996228</v>
      </c>
      <c r="QA25" s="16">
        <f t="shared" si="464"/>
        <v>342.26199999998789</v>
      </c>
      <c r="QB25" s="127">
        <f>SUM(OX25:QA25)</f>
        <v>8420.0019999999786</v>
      </c>
      <c r="QC25" s="16">
        <f t="shared" ref="QC25:RG25" si="465">QC24-QC23</f>
        <v>192.22200000000885</v>
      </c>
      <c r="QD25" s="16">
        <f t="shared" si="465"/>
        <v>111.59299999999348</v>
      </c>
      <c r="QE25" s="16">
        <f t="shared" si="465"/>
        <v>287.40600000001723</v>
      </c>
      <c r="QF25" s="16">
        <f t="shared" si="465"/>
        <v>235.82199999998556</v>
      </c>
      <c r="QG25" s="16">
        <f t="shared" si="465"/>
        <v>204.02199999999721</v>
      </c>
      <c r="QH25" s="16">
        <f t="shared" si="465"/>
        <v>88.220000000030268</v>
      </c>
      <c r="QI25" s="16">
        <f t="shared" si="465"/>
        <v>202.96999999997206</v>
      </c>
      <c r="QJ25" s="16">
        <f t="shared" si="465"/>
        <v>204.65400000003865</v>
      </c>
      <c r="QK25" s="16">
        <f t="shared" si="465"/>
        <v>371.56299999996554</v>
      </c>
      <c r="QL25" s="16">
        <f t="shared" si="465"/>
        <v>241.32699999999022</v>
      </c>
      <c r="QM25" s="16">
        <f t="shared" si="465"/>
        <v>259.81600000004983</v>
      </c>
      <c r="QN25" s="16">
        <f t="shared" si="465"/>
        <v>283.11399999994319</v>
      </c>
      <c r="QO25" s="16">
        <f t="shared" si="465"/>
        <v>248.72200000000885</v>
      </c>
      <c r="QP25" s="16">
        <f t="shared" si="465"/>
        <v>286.79300000000512</v>
      </c>
      <c r="QQ25" s="16">
        <f t="shared" si="465"/>
        <v>242.23800000001211</v>
      </c>
      <c r="QR25" s="16">
        <f t="shared" si="465"/>
        <v>186.54999999998836</v>
      </c>
      <c r="QS25" s="16">
        <f t="shared" si="465"/>
        <v>336.36100000003353</v>
      </c>
      <c r="QT25" s="16">
        <f t="shared" si="465"/>
        <v>364.17099999997299</v>
      </c>
      <c r="QU25" s="16">
        <f t="shared" si="465"/>
        <v>189.80800000001909</v>
      </c>
      <c r="QV25" s="16">
        <f t="shared" si="465"/>
        <v>113.39999999996508</v>
      </c>
      <c r="QW25" s="16">
        <f t="shared" si="465"/>
        <v>185.89000000001397</v>
      </c>
      <c r="QX25" s="16">
        <f t="shared" si="465"/>
        <v>246.9890000000014</v>
      </c>
      <c r="QY25" s="16">
        <f t="shared" si="465"/>
        <v>172.20000000001164</v>
      </c>
      <c r="QZ25" s="16">
        <f t="shared" si="465"/>
        <v>739.3179999999702</v>
      </c>
      <c r="RA25" s="16">
        <f t="shared" si="465"/>
        <v>327.02000000001863</v>
      </c>
      <c r="RB25" s="16">
        <f t="shared" si="465"/>
        <v>183.72500000003492</v>
      </c>
      <c r="RC25" s="16">
        <f t="shared" si="465"/>
        <v>218.33299999998417</v>
      </c>
      <c r="RD25" s="16">
        <f t="shared" si="465"/>
        <v>196.39199999999255</v>
      </c>
      <c r="RE25" s="16">
        <f t="shared" si="465"/>
        <v>221.60999999998603</v>
      </c>
      <c r="RF25" s="16">
        <f t="shared" si="465"/>
        <v>158.29300000000512</v>
      </c>
      <c r="RG25" s="16">
        <f t="shared" si="465"/>
        <v>219.80900000000838</v>
      </c>
      <c r="RH25" s="127">
        <f>SUM(QD25:RG25)</f>
        <v>7328.1290000000154</v>
      </c>
      <c r="RI25" s="16">
        <f t="shared" ref="RI25:SL25" si="466">RI24-RI23</f>
        <v>195.02399999997579</v>
      </c>
      <c r="RJ25" s="16">
        <f t="shared" si="466"/>
        <v>298.83300000004238</v>
      </c>
      <c r="RK25" s="16">
        <f t="shared" si="466"/>
        <v>180.47899999999208</v>
      </c>
      <c r="RL25" s="16">
        <f t="shared" si="466"/>
        <v>221.32399999996414</v>
      </c>
      <c r="RM25" s="16">
        <f t="shared" si="466"/>
        <v>205.68499999999767</v>
      </c>
      <c r="RN25" s="16">
        <f t="shared" si="466"/>
        <v>305.00900000002002</v>
      </c>
      <c r="RO25" s="16">
        <f t="shared" si="466"/>
        <v>362.66499999997905</v>
      </c>
      <c r="RP25" s="16">
        <f t="shared" si="466"/>
        <v>300.91400000004796</v>
      </c>
      <c r="RQ25" s="16">
        <f t="shared" si="466"/>
        <v>243.93799999996554</v>
      </c>
      <c r="RR25" s="16">
        <f t="shared" si="466"/>
        <v>185.22899999999208</v>
      </c>
      <c r="RS25" s="16">
        <f t="shared" si="466"/>
        <v>300.48200000001816</v>
      </c>
      <c r="RT25" s="16">
        <f t="shared" si="466"/>
        <v>230.34899999998743</v>
      </c>
      <c r="RU25" s="16">
        <f t="shared" si="466"/>
        <v>212.63099999999395</v>
      </c>
      <c r="RV25" s="16">
        <f t="shared" si="466"/>
        <v>268.82500000001164</v>
      </c>
      <c r="RW25" s="16">
        <f t="shared" si="466"/>
        <v>299.58699999999953</v>
      </c>
      <c r="RX25" s="16">
        <f t="shared" si="466"/>
        <v>194.71000000002095</v>
      </c>
      <c r="RY25" s="16">
        <f t="shared" si="466"/>
        <v>154.36699999996927</v>
      </c>
      <c r="RZ25" s="16">
        <f t="shared" si="466"/>
        <v>259.54100000002654</v>
      </c>
      <c r="SA25" s="16">
        <f t="shared" si="466"/>
        <v>214.09299999999348</v>
      </c>
      <c r="SB25" s="16">
        <f t="shared" si="466"/>
        <v>189.7160000000149</v>
      </c>
      <c r="SC25" s="16">
        <f t="shared" si="466"/>
        <v>368.35099999996601</v>
      </c>
      <c r="SD25" s="16">
        <f t="shared" si="466"/>
        <v>217.69500000000698</v>
      </c>
      <c r="SE25" s="16">
        <f t="shared" si="466"/>
        <v>188.54999999998836</v>
      </c>
      <c r="SF25" s="16">
        <f t="shared" si="466"/>
        <v>142.73100000002887</v>
      </c>
      <c r="SG25" s="16">
        <f t="shared" si="466"/>
        <v>290.15399999998044</v>
      </c>
      <c r="SH25" s="16">
        <f t="shared" si="466"/>
        <v>261.06700000003912</v>
      </c>
      <c r="SI25" s="16">
        <f t="shared" si="466"/>
        <v>262.86499999999069</v>
      </c>
      <c r="SJ25" s="16">
        <f t="shared" si="466"/>
        <v>401.3859999999986</v>
      </c>
      <c r="SK25" s="16">
        <f t="shared" si="466"/>
        <v>255.11199999996461</v>
      </c>
      <c r="SL25" s="16">
        <f t="shared" si="466"/>
        <v>259.95699999999488</v>
      </c>
      <c r="SM25" s="127">
        <f>SUM(RI25:SL25)</f>
        <v>7471.2689999999711</v>
      </c>
      <c r="SN25" s="16">
        <f t="shared" ref="SN25:TR25" si="467">SN24-SN23</f>
        <v>112.01300000003539</v>
      </c>
      <c r="SO25" s="16">
        <f t="shared" si="467"/>
        <v>550.57600000000093</v>
      </c>
      <c r="SP25" s="16">
        <f t="shared" si="467"/>
        <v>281.88099999999395</v>
      </c>
      <c r="SQ25" s="16">
        <f t="shared" si="467"/>
        <v>181.5899999999674</v>
      </c>
      <c r="SR25" s="16">
        <f t="shared" si="467"/>
        <v>167.33300000004238</v>
      </c>
      <c r="SS25" s="16">
        <f t="shared" si="467"/>
        <v>266.85800000000745</v>
      </c>
      <c r="ST25" s="16">
        <f t="shared" si="467"/>
        <v>183.8979999999865</v>
      </c>
      <c r="SU25" s="16">
        <f t="shared" si="467"/>
        <v>151.8520000000135</v>
      </c>
      <c r="SV25" s="16">
        <f t="shared" si="467"/>
        <v>347.00399999995716</v>
      </c>
      <c r="SW25" s="16">
        <f t="shared" si="467"/>
        <v>271.36100000003353</v>
      </c>
      <c r="SX25" s="16">
        <f t="shared" si="467"/>
        <v>415.37900000001537</v>
      </c>
      <c r="SY25" s="16">
        <f t="shared" si="467"/>
        <v>306.03299999999581</v>
      </c>
      <c r="SZ25" s="16">
        <f t="shared" si="467"/>
        <v>565.41899999999441</v>
      </c>
      <c r="TA25" s="16">
        <f t="shared" si="467"/>
        <v>308.72099999996135</v>
      </c>
      <c r="TB25" s="16">
        <f t="shared" si="467"/>
        <v>348.12900000001537</v>
      </c>
      <c r="TC25" s="16">
        <f t="shared" si="467"/>
        <v>301.31400000001304</v>
      </c>
      <c r="TD25" s="16">
        <f t="shared" si="467"/>
        <v>256.82600000000093</v>
      </c>
      <c r="TE25" s="16">
        <f t="shared" si="467"/>
        <v>226.40200000000186</v>
      </c>
      <c r="TF25" s="16">
        <f t="shared" si="467"/>
        <v>308.64899999997579</v>
      </c>
      <c r="TG25" s="16">
        <f t="shared" si="467"/>
        <v>247.91700000001583</v>
      </c>
      <c r="TH25" s="16">
        <f t="shared" si="467"/>
        <v>361.1929999999702</v>
      </c>
      <c r="TI25" s="16">
        <f t="shared" si="467"/>
        <v>394.37000000005355</v>
      </c>
      <c r="TJ25" s="16">
        <f t="shared" si="467"/>
        <v>309.11699999996927</v>
      </c>
      <c r="TK25" s="16">
        <f t="shared" si="467"/>
        <v>309.24800000002142</v>
      </c>
      <c r="TL25" s="16">
        <f t="shared" si="467"/>
        <v>52.572999999974854</v>
      </c>
      <c r="TM25" s="16">
        <f t="shared" si="467"/>
        <v>167.77600000001257</v>
      </c>
      <c r="TN25" s="16">
        <f t="shared" si="467"/>
        <v>334.73599999997532</v>
      </c>
      <c r="TO25" s="16">
        <f t="shared" si="467"/>
        <v>268.62300000002142</v>
      </c>
      <c r="TP25" s="16">
        <f t="shared" si="467"/>
        <v>338.84700000000885</v>
      </c>
      <c r="TQ25" s="16">
        <f t="shared" si="467"/>
        <v>306.7050000000163</v>
      </c>
      <c r="TR25" s="16">
        <f t="shared" si="467"/>
        <v>214.64999999996508</v>
      </c>
      <c r="TS25" s="127">
        <f>SUM(SO25:TR25)</f>
        <v>8744.9799999999814</v>
      </c>
      <c r="TT25" s="16">
        <f t="shared" ref="TT25:UX25" si="468">TT24-TT23</f>
        <v>170.91899999999441</v>
      </c>
      <c r="TU25" s="16">
        <f t="shared" si="468"/>
        <v>218.12200000003213</v>
      </c>
      <c r="TV25" s="16">
        <f t="shared" si="468"/>
        <v>168.93899999995483</v>
      </c>
      <c r="TW25" s="16">
        <f t="shared" si="468"/>
        <v>233.55200000002515</v>
      </c>
      <c r="TX25" s="16">
        <f t="shared" si="468"/>
        <v>224.91100000002189</v>
      </c>
      <c r="TY25" s="16">
        <f t="shared" si="468"/>
        <v>230.42599999997765</v>
      </c>
      <c r="TZ25" s="16">
        <f t="shared" si="468"/>
        <v>220.12300000002142</v>
      </c>
      <c r="UA25" s="16">
        <f t="shared" si="468"/>
        <v>307.92199999996228</v>
      </c>
      <c r="UB25" s="16">
        <f t="shared" si="468"/>
        <v>270.55600000004051</v>
      </c>
      <c r="UC25" s="16">
        <f t="shared" si="468"/>
        <v>287.46599999995669</v>
      </c>
      <c r="UD25" s="16">
        <f t="shared" si="468"/>
        <v>270.01900000002934</v>
      </c>
      <c r="UE25" s="16">
        <f t="shared" si="468"/>
        <v>207.41700000001583</v>
      </c>
      <c r="UF25" s="16">
        <f t="shared" si="468"/>
        <v>480.78599999996368</v>
      </c>
      <c r="UG25" s="16">
        <f t="shared" si="468"/>
        <v>176.72200000000885</v>
      </c>
      <c r="UH25" s="16">
        <f t="shared" si="468"/>
        <v>408.17700000002515</v>
      </c>
      <c r="UI25" s="16">
        <f t="shared" si="468"/>
        <v>326.49299999995856</v>
      </c>
      <c r="UJ25" s="16">
        <f t="shared" si="468"/>
        <v>261.68600000004517</v>
      </c>
      <c r="UK25" s="16">
        <f t="shared" si="468"/>
        <v>224.49199999996927</v>
      </c>
      <c r="UL25" s="16">
        <f t="shared" si="468"/>
        <v>261.19500000000698</v>
      </c>
      <c r="UM25" s="16">
        <f t="shared" si="468"/>
        <v>330.28800000000047</v>
      </c>
      <c r="UN25" s="16">
        <f t="shared" si="468"/>
        <v>269.49099999997998</v>
      </c>
      <c r="UO25" s="16">
        <f t="shared" si="468"/>
        <v>337.43600000004517</v>
      </c>
      <c r="UP25" s="16">
        <f t="shared" si="468"/>
        <v>204.88899999996647</v>
      </c>
      <c r="UQ25" s="16">
        <f t="shared" si="468"/>
        <v>270.81500000000233</v>
      </c>
      <c r="UR25" s="16">
        <f t="shared" si="468"/>
        <v>281.00199999997858</v>
      </c>
      <c r="US25" s="16">
        <f t="shared" si="468"/>
        <v>234.5120000000461</v>
      </c>
      <c r="UT25" s="16">
        <f t="shared" si="468"/>
        <v>275.07499999995343</v>
      </c>
      <c r="UU25" s="16">
        <f t="shared" si="468"/>
        <v>311.10100000002421</v>
      </c>
      <c r="UV25" s="16">
        <f t="shared" si="468"/>
        <v>0</v>
      </c>
      <c r="UW25" s="16">
        <f t="shared" si="468"/>
        <v>197.30200000002515</v>
      </c>
      <c r="UX25" s="16">
        <f t="shared" si="468"/>
        <v>282.94699999998556</v>
      </c>
      <c r="UY25" s="127">
        <f>SUM(TT25:UX25)</f>
        <v>7944.7810000000172</v>
      </c>
      <c r="UZ25" s="16">
        <f t="shared" ref="UZ25:WA25" si="469">UZ24-UZ23</f>
        <v>329.23300000000745</v>
      </c>
      <c r="VA25" s="16">
        <f t="shared" si="469"/>
        <v>136.44799999997485</v>
      </c>
      <c r="VB25" s="16">
        <f t="shared" si="469"/>
        <v>167.25500000000466</v>
      </c>
      <c r="VC25" s="16">
        <f t="shared" si="469"/>
        <v>188.90299999999115</v>
      </c>
      <c r="VD25" s="16">
        <f t="shared" si="469"/>
        <v>288.40799999999581</v>
      </c>
      <c r="VE25" s="16">
        <f t="shared" si="469"/>
        <v>325.6600000000326</v>
      </c>
      <c r="VF25" s="16">
        <f t="shared" si="469"/>
        <v>223.99199999996927</v>
      </c>
      <c r="VG25" s="16">
        <f t="shared" si="469"/>
        <v>516.32200000004377</v>
      </c>
      <c r="VH25" s="16">
        <f t="shared" si="469"/>
        <v>133.08099999994738</v>
      </c>
      <c r="VI25" s="16">
        <f t="shared" si="469"/>
        <v>345.94900000002235</v>
      </c>
      <c r="VJ25" s="16">
        <f t="shared" si="469"/>
        <v>296.3070000000298</v>
      </c>
      <c r="VK25" s="16">
        <f t="shared" si="469"/>
        <v>291.1929999999702</v>
      </c>
      <c r="VL25" s="16">
        <f t="shared" si="469"/>
        <v>228.32199999998556</v>
      </c>
      <c r="VM25" s="16">
        <f t="shared" si="469"/>
        <v>294.50700000004144</v>
      </c>
      <c r="VN25" s="16">
        <f t="shared" si="469"/>
        <v>255.35599999997066</v>
      </c>
      <c r="VO25" s="16">
        <f t="shared" si="469"/>
        <v>94.059000000008382</v>
      </c>
      <c r="VP25" s="16">
        <f t="shared" si="469"/>
        <v>312.00900000002002</v>
      </c>
      <c r="VQ25" s="16">
        <f t="shared" si="469"/>
        <v>252.06899999995949</v>
      </c>
      <c r="VR25" s="16">
        <f t="shared" si="469"/>
        <v>335.9440000000177</v>
      </c>
      <c r="VS25" s="16">
        <f t="shared" si="469"/>
        <v>375.28999999997905</v>
      </c>
      <c r="VT25" s="16">
        <f t="shared" si="469"/>
        <v>219.09500000003027</v>
      </c>
      <c r="VU25" s="16">
        <f t="shared" si="469"/>
        <v>244.25299999996787</v>
      </c>
      <c r="VV25" s="16">
        <f t="shared" si="469"/>
        <v>214.2730000000447</v>
      </c>
      <c r="VW25" s="16">
        <f t="shared" si="469"/>
        <v>331.85599999997066</v>
      </c>
      <c r="VX25" s="16">
        <f t="shared" si="469"/>
        <v>288.21399999997811</v>
      </c>
      <c r="VY25" s="16">
        <f t="shared" si="469"/>
        <v>322.40800000005402</v>
      </c>
      <c r="VZ25" s="16">
        <f t="shared" si="469"/>
        <v>245.02599999995437</v>
      </c>
      <c r="WA25" s="16">
        <f t="shared" si="469"/>
        <v>197.125</v>
      </c>
      <c r="WB25" s="127">
        <f>SUM(UZ25:WA25)</f>
        <v>7452.5569999999716</v>
      </c>
      <c r="WC25" s="16">
        <f t="shared" ref="WC25:XG25" si="470">WC24-WC23</f>
        <v>319.74800000002142</v>
      </c>
      <c r="WD25" s="16">
        <f t="shared" si="470"/>
        <v>169.87699999997858</v>
      </c>
      <c r="WE25" s="16">
        <f t="shared" si="470"/>
        <v>223.9440000000177</v>
      </c>
      <c r="WF25" s="16">
        <f t="shared" si="470"/>
        <v>206.57500000001164</v>
      </c>
      <c r="WG25" s="16">
        <f t="shared" si="470"/>
        <v>221.51799999998184</v>
      </c>
      <c r="WH25" s="16">
        <f t="shared" si="470"/>
        <v>0</v>
      </c>
      <c r="WI25" s="16">
        <f t="shared" si="470"/>
        <v>238.76799999998184</v>
      </c>
      <c r="WJ25" s="16">
        <f t="shared" si="470"/>
        <v>250.67700000002515</v>
      </c>
      <c r="WK25" s="16">
        <f t="shared" si="470"/>
        <v>201.95299999997951</v>
      </c>
      <c r="WL25" s="16">
        <f t="shared" si="470"/>
        <v>253.83199999999488</v>
      </c>
      <c r="WM25" s="16">
        <f t="shared" si="470"/>
        <v>218.99500000005355</v>
      </c>
      <c r="WN25" s="16">
        <f t="shared" si="470"/>
        <v>362.44199999998091</v>
      </c>
      <c r="WO25" s="16">
        <f t="shared" si="470"/>
        <v>231.48300000000745</v>
      </c>
      <c r="WP25" s="16">
        <f t="shared" si="470"/>
        <v>220.79999999998836</v>
      </c>
      <c r="WQ25" s="16">
        <f t="shared" si="470"/>
        <v>344.58699999999953</v>
      </c>
      <c r="WR25" s="16">
        <f t="shared" si="470"/>
        <v>136.68499999999767</v>
      </c>
      <c r="WS25" s="16">
        <f t="shared" si="470"/>
        <v>201.25199999997858</v>
      </c>
      <c r="WT25" s="16">
        <f t="shared" si="470"/>
        <v>307.66300000000047</v>
      </c>
      <c r="WU25" s="16">
        <f t="shared" si="470"/>
        <v>161.73100000002887</v>
      </c>
      <c r="WV25" s="16">
        <f t="shared" si="470"/>
        <v>252.32799999997951</v>
      </c>
      <c r="WW25" s="16">
        <f t="shared" si="470"/>
        <v>219.76300000003539</v>
      </c>
      <c r="WX25" s="16">
        <f t="shared" si="470"/>
        <v>200.64599999994971</v>
      </c>
      <c r="WY25" s="16">
        <f t="shared" si="470"/>
        <v>193.76800000004005</v>
      </c>
      <c r="WZ25" s="16">
        <f t="shared" si="470"/>
        <v>237.34599999996135</v>
      </c>
      <c r="XA25" s="16">
        <f t="shared" si="470"/>
        <v>245.69000000000233</v>
      </c>
      <c r="XB25" s="16">
        <f t="shared" si="470"/>
        <v>149.53400000004331</v>
      </c>
      <c r="XC25" s="16">
        <f t="shared" si="470"/>
        <v>220.21999999997206</v>
      </c>
      <c r="XD25" s="16">
        <f t="shared" si="470"/>
        <v>246.37099999998463</v>
      </c>
      <c r="XE25" s="16">
        <f t="shared" si="470"/>
        <v>484.34300000005169</v>
      </c>
      <c r="XF25" s="16">
        <f t="shared" si="470"/>
        <v>158.59299999999348</v>
      </c>
      <c r="XG25" s="16">
        <f t="shared" si="470"/>
        <v>289.71700000000419</v>
      </c>
      <c r="XH25" s="127">
        <f>SUM(WC25:XG25)</f>
        <v>7170.8490000000456</v>
      </c>
      <c r="XI25" s="16">
        <f t="shared" ref="XI25:YL25" si="471">XI24-XI23</f>
        <v>188.21799999999348</v>
      </c>
      <c r="XJ25" s="16">
        <f t="shared" si="471"/>
        <v>211.52799999999115</v>
      </c>
      <c r="XK25" s="16">
        <f t="shared" si="471"/>
        <v>209.12799999996787</v>
      </c>
      <c r="XL25" s="16">
        <f t="shared" si="471"/>
        <v>184.69500000000698</v>
      </c>
      <c r="XM25" s="16">
        <f t="shared" si="471"/>
        <v>317.81500000000233</v>
      </c>
      <c r="XN25" s="16">
        <f t="shared" si="471"/>
        <v>145.5910000000149</v>
      </c>
      <c r="XO25" s="16">
        <f t="shared" si="471"/>
        <v>301.71000000002095</v>
      </c>
      <c r="XP25" s="16">
        <f t="shared" si="471"/>
        <v>264.67599999997765</v>
      </c>
      <c r="XQ25" s="16">
        <f t="shared" si="471"/>
        <v>269.03200000000652</v>
      </c>
      <c r="XR25" s="16">
        <f t="shared" si="471"/>
        <v>349.2039999999688</v>
      </c>
      <c r="XS25" s="16">
        <f t="shared" si="471"/>
        <v>281.07099999999627</v>
      </c>
      <c r="XT25" s="16">
        <f t="shared" si="471"/>
        <v>301.40800000005402</v>
      </c>
      <c r="XU25" s="16">
        <f t="shared" si="471"/>
        <v>178.34399999998277</v>
      </c>
      <c r="XV25" s="16">
        <f t="shared" si="471"/>
        <v>227.55300000001444</v>
      </c>
      <c r="XW25" s="16">
        <f t="shared" si="471"/>
        <v>258.9769999999553</v>
      </c>
      <c r="XX25" s="16">
        <f t="shared" si="471"/>
        <v>197.39600000000792</v>
      </c>
      <c r="XY25" s="16">
        <f t="shared" si="471"/>
        <v>235.24599999998463</v>
      </c>
      <c r="XZ25" s="16">
        <f t="shared" si="471"/>
        <v>260.82700000004843</v>
      </c>
      <c r="YA25" s="16">
        <f t="shared" si="471"/>
        <v>230.91800000000512</v>
      </c>
      <c r="YB25" s="16">
        <f t="shared" si="471"/>
        <v>234.65599999995902</v>
      </c>
      <c r="YC25" s="16">
        <f t="shared" si="471"/>
        <v>173.52500000002328</v>
      </c>
      <c r="YD25" s="16">
        <f t="shared" si="471"/>
        <v>337.82099999999627</v>
      </c>
      <c r="YE25" s="16">
        <f t="shared" si="471"/>
        <v>265.35300000000279</v>
      </c>
      <c r="YF25" s="16">
        <f t="shared" si="471"/>
        <v>258.73300000000745</v>
      </c>
      <c r="YG25" s="16">
        <f t="shared" si="471"/>
        <v>156.97299999999814</v>
      </c>
      <c r="YH25" s="16">
        <f t="shared" si="471"/>
        <v>205.56400000001304</v>
      </c>
      <c r="YI25" s="16">
        <f t="shared" si="471"/>
        <v>144.28099999995902</v>
      </c>
      <c r="YJ25" s="16">
        <f t="shared" si="471"/>
        <v>251.38000000000466</v>
      </c>
      <c r="YK25" s="16">
        <f t="shared" si="471"/>
        <v>176.53700000001118</v>
      </c>
      <c r="YL25" s="16">
        <f t="shared" si="471"/>
        <v>139.76400000002468</v>
      </c>
      <c r="YM25" s="127">
        <f>SUM(XH25:YL25)</f>
        <v>14128.773000000045</v>
      </c>
      <c r="YN25" s="16">
        <f t="shared" ref="YN25:ZR25" si="472">YN24-YN23</f>
        <v>216.53899999998976</v>
      </c>
      <c r="YO25" s="16">
        <f t="shared" si="472"/>
        <v>272.87400000001071</v>
      </c>
      <c r="YP25" s="16">
        <f t="shared" si="472"/>
        <v>146.24099999997998</v>
      </c>
      <c r="YQ25" s="16">
        <f t="shared" si="472"/>
        <v>202.60499999998137</v>
      </c>
      <c r="YR25" s="16">
        <f t="shared" si="472"/>
        <v>236.9440000000177</v>
      </c>
      <c r="YS25" s="16">
        <f t="shared" si="472"/>
        <v>221.09999999997672</v>
      </c>
      <c r="YT25" s="16">
        <f t="shared" si="472"/>
        <v>201.48600000003353</v>
      </c>
      <c r="YU25" s="16">
        <f t="shared" si="472"/>
        <v>170.96100000001024</v>
      </c>
      <c r="YV25" s="16">
        <f t="shared" si="472"/>
        <v>279.22599999996601</v>
      </c>
      <c r="YW25" s="16">
        <f t="shared" si="472"/>
        <v>270.99200000002747</v>
      </c>
      <c r="YX25" s="16">
        <f t="shared" si="472"/>
        <v>203.04800000000978</v>
      </c>
      <c r="YY25" s="16">
        <f t="shared" si="472"/>
        <v>122.29099999996834</v>
      </c>
      <c r="YZ25" s="16">
        <f t="shared" si="472"/>
        <v>391.88699999998789</v>
      </c>
      <c r="ZA25" s="16">
        <f t="shared" si="472"/>
        <v>230.51400000002468</v>
      </c>
      <c r="ZB25" s="16">
        <f t="shared" si="472"/>
        <v>242.99499999999534</v>
      </c>
      <c r="ZC25" s="16">
        <f t="shared" si="472"/>
        <v>222.13699999998789</v>
      </c>
      <c r="ZD25" s="16">
        <f t="shared" si="472"/>
        <v>427.13300000003073</v>
      </c>
      <c r="ZE25" s="16">
        <f t="shared" si="472"/>
        <v>224.2839999999851</v>
      </c>
      <c r="ZF25" s="16">
        <f t="shared" si="472"/>
        <v>245.56099999998696</v>
      </c>
      <c r="ZG25" s="16">
        <f t="shared" si="472"/>
        <v>158.26400000002468</v>
      </c>
      <c r="ZH25" s="16">
        <f t="shared" si="472"/>
        <v>447.35300000000279</v>
      </c>
      <c r="ZI25" s="16">
        <f t="shared" si="472"/>
        <v>222.34200000000419</v>
      </c>
      <c r="ZJ25" s="16">
        <f t="shared" si="472"/>
        <v>257.6589999999851</v>
      </c>
      <c r="ZK25" s="16">
        <f t="shared" si="472"/>
        <v>409.78499999997439</v>
      </c>
      <c r="ZL25" s="16">
        <f t="shared" si="472"/>
        <v>186.91100000002189</v>
      </c>
      <c r="ZM25" s="16">
        <f t="shared" si="472"/>
        <v>183.04200000001583</v>
      </c>
      <c r="ZN25" s="16">
        <f t="shared" si="472"/>
        <v>494.65200000000186</v>
      </c>
      <c r="ZO25" s="16">
        <f t="shared" si="472"/>
        <v>349.78499999997439</v>
      </c>
      <c r="ZP25" s="16">
        <f t="shared" si="472"/>
        <v>309.6020000000135</v>
      </c>
      <c r="ZQ25" s="16">
        <f t="shared" si="472"/>
        <v>257.04099999996834</v>
      </c>
      <c r="ZR25" s="16">
        <f t="shared" si="472"/>
        <v>274.85399999999208</v>
      </c>
      <c r="ZS25" s="127">
        <f>SUM(YN25:ZR25)</f>
        <v>8080.1079999999492</v>
      </c>
      <c r="ZT25" s="16">
        <f t="shared" ref="ZT25:AAW25" si="473">ZT24-ZT23</f>
        <v>220.94700000004377</v>
      </c>
      <c r="ZU25" s="16">
        <f t="shared" si="473"/>
        <v>273.3519999999553</v>
      </c>
      <c r="ZV25" s="16">
        <f t="shared" si="473"/>
        <v>216.67000000004191</v>
      </c>
      <c r="ZW25" s="16">
        <f t="shared" si="473"/>
        <v>247.92799999995623</v>
      </c>
      <c r="ZX25" s="16">
        <f t="shared" si="473"/>
        <v>360.61100000003353</v>
      </c>
      <c r="ZY25" s="16">
        <f t="shared" si="473"/>
        <v>250.24099999997998</v>
      </c>
      <c r="ZZ25" s="16">
        <f t="shared" si="473"/>
        <v>204.55499999999302</v>
      </c>
      <c r="AAA25" s="16">
        <f t="shared" si="473"/>
        <v>183.42600000003586</v>
      </c>
      <c r="AAB25" s="16">
        <f t="shared" si="473"/>
        <v>177.18199999997159</v>
      </c>
      <c r="AAC25" s="16">
        <f t="shared" si="473"/>
        <v>820.78299999999581</v>
      </c>
      <c r="AAD25" s="16">
        <f t="shared" si="473"/>
        <v>360.28000000002794</v>
      </c>
      <c r="AAE25" s="16">
        <f t="shared" si="473"/>
        <v>327.88799999997718</v>
      </c>
      <c r="AAF25" s="16">
        <f t="shared" si="473"/>
        <v>355.08199999999488</v>
      </c>
      <c r="AAG25" s="16">
        <f t="shared" si="473"/>
        <v>370.98000000003958</v>
      </c>
      <c r="AAH25" s="16">
        <f t="shared" si="473"/>
        <v>219.42799999995623</v>
      </c>
      <c r="AAI25" s="16">
        <f t="shared" si="473"/>
        <v>194.31100000004517</v>
      </c>
      <c r="AAJ25" s="16">
        <f t="shared" si="473"/>
        <v>198.2609999999986</v>
      </c>
      <c r="AAK25" s="16">
        <f t="shared" si="473"/>
        <v>283.84699999995064</v>
      </c>
      <c r="AAL25" s="16">
        <f t="shared" si="473"/>
        <v>243.41800000000512</v>
      </c>
      <c r="AAM25" s="16">
        <f t="shared" si="473"/>
        <v>195.16300000000047</v>
      </c>
      <c r="AAN25" s="16">
        <f t="shared" si="473"/>
        <v>587.77500000002328</v>
      </c>
      <c r="AAO25" s="16">
        <f t="shared" si="473"/>
        <v>209.66300000000047</v>
      </c>
      <c r="AAP25" s="16">
        <f t="shared" si="473"/>
        <v>317.92599999997765</v>
      </c>
      <c r="AAQ25" s="16">
        <f t="shared" si="473"/>
        <v>306.69700000004377</v>
      </c>
      <c r="AAR25" s="16">
        <f t="shared" si="473"/>
        <v>207.93399999995017</v>
      </c>
      <c r="AAS25" s="16">
        <f t="shared" si="473"/>
        <v>211.80900000000838</v>
      </c>
      <c r="AAT25" s="16">
        <f t="shared" si="473"/>
        <v>263.09400000004098</v>
      </c>
      <c r="AAU25" s="16">
        <f t="shared" si="473"/>
        <v>259.05699999997159</v>
      </c>
      <c r="AAV25" s="16">
        <f t="shared" si="473"/>
        <v>177.8300000000163</v>
      </c>
      <c r="AAW25" s="16">
        <f t="shared" si="473"/>
        <v>178.90399999998044</v>
      </c>
      <c r="AAX25" s="127">
        <f>SUM(ZT25:AAW25)</f>
        <v>8425.0420000000158</v>
      </c>
      <c r="AAY25" s="16">
        <f t="shared" ref="AAY25:ACC25" si="474">AAY24-AAY23</f>
        <v>256.96700000000419</v>
      </c>
      <c r="AAZ25" s="16">
        <f t="shared" si="474"/>
        <v>261.47999999998137</v>
      </c>
      <c r="ABA25" s="16">
        <f t="shared" si="474"/>
        <v>297.18600000004517</v>
      </c>
      <c r="ABB25" s="16">
        <f t="shared" si="474"/>
        <v>226.43299999996088</v>
      </c>
      <c r="ABC25" s="16">
        <f t="shared" si="474"/>
        <v>210.40500000002794</v>
      </c>
      <c r="ABD25" s="16">
        <f t="shared" si="474"/>
        <v>184.28700000001118</v>
      </c>
      <c r="ABE25" s="16">
        <f t="shared" si="474"/>
        <v>283.63499999995111</v>
      </c>
      <c r="ABF25" s="16">
        <f t="shared" si="474"/>
        <v>246.01100000005681</v>
      </c>
      <c r="ABG25" s="16">
        <f t="shared" si="474"/>
        <v>169.05899999995017</v>
      </c>
      <c r="ABH25" s="16">
        <f t="shared" si="474"/>
        <v>517.45900000003166</v>
      </c>
      <c r="ABI25" s="16">
        <f t="shared" si="474"/>
        <v>356.09599999996135</v>
      </c>
      <c r="ABJ25" s="16">
        <f t="shared" si="474"/>
        <v>300.30300000001444</v>
      </c>
      <c r="ABK25" s="16">
        <f t="shared" si="474"/>
        <v>150.92900000000373</v>
      </c>
      <c r="ABL25" s="16">
        <f t="shared" si="474"/>
        <v>315.03200000000652</v>
      </c>
      <c r="ABM25" s="16">
        <f t="shared" si="474"/>
        <v>327.72299999999814</v>
      </c>
      <c r="ABN25" s="16">
        <f t="shared" si="474"/>
        <v>305.55300000001444</v>
      </c>
      <c r="ABO25" s="16">
        <f t="shared" si="474"/>
        <v>156.64500000001863</v>
      </c>
      <c r="ABP25" s="16">
        <f t="shared" si="474"/>
        <v>343.63399999996182</v>
      </c>
      <c r="ABQ25" s="16">
        <f t="shared" si="474"/>
        <v>304.3859999999986</v>
      </c>
      <c r="ABR25" s="16">
        <f t="shared" si="474"/>
        <v>151.38400000002002</v>
      </c>
      <c r="ABS25" s="16">
        <f t="shared" si="474"/>
        <v>192.45799999998417</v>
      </c>
      <c r="ABT25" s="16">
        <f t="shared" si="474"/>
        <v>187.72800000000279</v>
      </c>
      <c r="ABU25" s="16">
        <f t="shared" si="474"/>
        <v>262.61999999999534</v>
      </c>
      <c r="ABV25" s="16">
        <f t="shared" si="474"/>
        <v>333.30499999999302</v>
      </c>
      <c r="ABW25" s="16">
        <f t="shared" si="474"/>
        <v>270.30100000003586</v>
      </c>
      <c r="ABX25" s="16">
        <f t="shared" si="474"/>
        <v>231.80199999996694</v>
      </c>
      <c r="ABY25" s="16">
        <f t="shared" si="474"/>
        <v>194.60600000002887</v>
      </c>
      <c r="ABZ25" s="16">
        <f t="shared" si="474"/>
        <v>481.73699999996461</v>
      </c>
      <c r="ACA25" s="16">
        <f t="shared" si="474"/>
        <v>369.02900000003865</v>
      </c>
      <c r="ACB25" s="16">
        <f t="shared" si="474"/>
        <v>234.20199999999022</v>
      </c>
      <c r="ACC25" s="16">
        <f t="shared" si="474"/>
        <v>297.25</v>
      </c>
      <c r="ACD25" s="127">
        <f>SUM(AAY25:ACC25)</f>
        <v>8419.6450000000186</v>
      </c>
      <c r="ACE25" s="16">
        <f t="shared" ref="ACE25:ADI25" si="475">ACE24-ACE23</f>
        <v>347.19699999998556</v>
      </c>
      <c r="ACF25" s="16">
        <f t="shared" si="475"/>
        <v>359.22500000003492</v>
      </c>
      <c r="ACG25" s="16">
        <f t="shared" si="475"/>
        <v>192.4539999999688</v>
      </c>
      <c r="ACH25" s="16">
        <f t="shared" si="475"/>
        <v>292.32900000002701</v>
      </c>
      <c r="ACI25" s="16">
        <f t="shared" si="475"/>
        <v>298.89699999999721</v>
      </c>
      <c r="ACJ25" s="16">
        <f t="shared" si="475"/>
        <v>219.98099999997066</v>
      </c>
      <c r="ACK25" s="16">
        <f t="shared" si="475"/>
        <v>202.41200000001118</v>
      </c>
      <c r="ACL25" s="16">
        <f t="shared" si="475"/>
        <v>185.57099999999627</v>
      </c>
      <c r="ACM25" s="16">
        <f t="shared" si="475"/>
        <v>312.50099999998929</v>
      </c>
      <c r="ACN25" s="16">
        <f t="shared" si="475"/>
        <v>171.16800000000512</v>
      </c>
      <c r="ACO25" s="16">
        <f t="shared" si="475"/>
        <v>362.05999999999767</v>
      </c>
      <c r="ACP25" s="16">
        <f t="shared" si="475"/>
        <v>293.17999999999302</v>
      </c>
      <c r="ACQ25" s="16">
        <f t="shared" si="475"/>
        <v>261.30100000003586</v>
      </c>
      <c r="ACR25" s="16">
        <f t="shared" si="475"/>
        <v>373.0899999999674</v>
      </c>
      <c r="ACS25" s="16">
        <f t="shared" si="475"/>
        <v>294.17800000001444</v>
      </c>
      <c r="ACT25" s="16">
        <f t="shared" si="475"/>
        <v>277.94599999999627</v>
      </c>
      <c r="ACU25" s="16">
        <f t="shared" si="475"/>
        <v>184.28899999998976</v>
      </c>
      <c r="ACV25" s="16">
        <f t="shared" si="475"/>
        <v>324.30999999999767</v>
      </c>
      <c r="ACW25" s="16">
        <f t="shared" si="475"/>
        <v>262.55499999999302</v>
      </c>
      <c r="ACX25" s="16">
        <f t="shared" si="475"/>
        <v>279.54200000001583</v>
      </c>
      <c r="ACY25" s="16">
        <f t="shared" si="475"/>
        <v>181.7050000000163</v>
      </c>
      <c r="ACZ25" s="16">
        <f t="shared" si="475"/>
        <v>286.85300000000279</v>
      </c>
      <c r="ADA25" s="16">
        <f t="shared" si="475"/>
        <v>299.26999999996042</v>
      </c>
      <c r="ADB25" s="16">
        <f t="shared" si="475"/>
        <v>134.18100000004051</v>
      </c>
      <c r="ADC25" s="16">
        <f t="shared" si="475"/>
        <v>184.98199999995995</v>
      </c>
      <c r="ADD25" s="16">
        <f t="shared" si="475"/>
        <v>162.78100000001723</v>
      </c>
      <c r="ADE25" s="16">
        <f t="shared" si="475"/>
        <v>193.84799999999814</v>
      </c>
      <c r="ADF25" s="16">
        <f t="shared" si="475"/>
        <v>256.75400000001537</v>
      </c>
      <c r="ADG25" s="16">
        <f t="shared" si="475"/>
        <v>253.29099999996834</v>
      </c>
      <c r="ADH25" s="16">
        <f t="shared" si="475"/>
        <v>346.87700000003679</v>
      </c>
      <c r="ADI25" s="16">
        <f t="shared" si="475"/>
        <v>283.8520000000135</v>
      </c>
      <c r="ADJ25" s="127">
        <f>SUM(ACE25:ADI25)</f>
        <v>8078.5800000000163</v>
      </c>
      <c r="ADK25" s="16">
        <f t="shared" ref="ADK25:AEN25" si="476">ADK24-ADK23</f>
        <v>258.25699999998324</v>
      </c>
      <c r="ADL25" s="16">
        <f t="shared" si="476"/>
        <v>251.60599999997066</v>
      </c>
      <c r="ADM25" s="16">
        <f t="shared" si="476"/>
        <v>351.58800000004703</v>
      </c>
      <c r="ADN25" s="16">
        <f t="shared" si="476"/>
        <v>259.11599999997998</v>
      </c>
      <c r="ADO25" s="16">
        <f t="shared" si="476"/>
        <v>223.2390000000014</v>
      </c>
      <c r="ADP25" s="16">
        <f t="shared" si="476"/>
        <v>273.26500000001397</v>
      </c>
      <c r="ADQ25" s="16">
        <f t="shared" si="476"/>
        <v>277.39699999999721</v>
      </c>
      <c r="ADR25" s="16">
        <f t="shared" si="476"/>
        <v>302.63699999998789</v>
      </c>
      <c r="ADS25" s="16">
        <f t="shared" si="476"/>
        <v>273.30099999997765</v>
      </c>
      <c r="ADT25" s="16">
        <f t="shared" si="476"/>
        <v>236.16700000001583</v>
      </c>
      <c r="ADU25" s="16">
        <f t="shared" si="476"/>
        <v>290.97600000002421</v>
      </c>
      <c r="ADV25" s="16">
        <f t="shared" si="476"/>
        <v>283.42499999998836</v>
      </c>
      <c r="ADW25" s="16">
        <f t="shared" si="476"/>
        <v>334.17300000000978</v>
      </c>
      <c r="ADX25" s="16">
        <f t="shared" si="476"/>
        <v>163.42900000000373</v>
      </c>
      <c r="ADY25" s="16">
        <f t="shared" si="476"/>
        <v>367.18199999997159</v>
      </c>
      <c r="ADZ25" s="16">
        <f t="shared" si="476"/>
        <v>284.32199999998556</v>
      </c>
      <c r="AEA25" s="16">
        <f t="shared" si="476"/>
        <v>215.46199999999953</v>
      </c>
      <c r="AEB25" s="16">
        <f t="shared" si="476"/>
        <v>228.14699999999721</v>
      </c>
      <c r="AEC25" s="16">
        <f t="shared" si="476"/>
        <v>280.83199999999488</v>
      </c>
      <c r="AED25" s="16">
        <f t="shared" si="476"/>
        <v>286.08400000003166</v>
      </c>
      <c r="AEE25" s="16">
        <f t="shared" si="476"/>
        <v>225.79200000001583</v>
      </c>
      <c r="AEF25" s="16">
        <f t="shared" si="476"/>
        <v>177.43499999999767</v>
      </c>
      <c r="AEG25" s="16">
        <f t="shared" si="476"/>
        <v>232.02700000000186</v>
      </c>
      <c r="AEH25" s="16">
        <f t="shared" si="476"/>
        <v>238.74199999996927</v>
      </c>
      <c r="AEI25" s="16">
        <f t="shared" si="476"/>
        <v>187.29800000000978</v>
      </c>
      <c r="AEJ25" s="16">
        <f t="shared" si="476"/>
        <v>314.39699999999721</v>
      </c>
      <c r="AEK25" s="16">
        <f t="shared" si="476"/>
        <v>426.11300000001211</v>
      </c>
      <c r="AEL25" s="16">
        <f t="shared" si="476"/>
        <v>186.43199999997159</v>
      </c>
      <c r="AEM25" s="16">
        <f t="shared" si="476"/>
        <v>251.42200000002049</v>
      </c>
      <c r="AEN25" s="16">
        <f t="shared" si="476"/>
        <v>210.72899999999208</v>
      </c>
      <c r="AEO25" s="127">
        <f>SUM(ADK25:AEN25)</f>
        <v>7890.9919999999693</v>
      </c>
      <c r="AEP25" s="16">
        <f t="shared" ref="AEP25:AFT25" si="477">AEP24-AEP23</f>
        <v>250.99800000002142</v>
      </c>
      <c r="AEQ25" s="16">
        <f t="shared" si="477"/>
        <v>271.73399999999674</v>
      </c>
      <c r="AER25" s="16">
        <f t="shared" si="477"/>
        <v>213.17499999998836</v>
      </c>
      <c r="AES25" s="16">
        <f t="shared" si="477"/>
        <v>223.9089999999851</v>
      </c>
      <c r="AET25" s="16">
        <f t="shared" si="477"/>
        <v>202.77500000002328</v>
      </c>
      <c r="AEU25" s="16">
        <f t="shared" si="477"/>
        <v>201.28800000000047</v>
      </c>
      <c r="AEV25" s="16">
        <f t="shared" si="477"/>
        <v>211.59200000000419</v>
      </c>
      <c r="AEW25" s="16">
        <f t="shared" si="477"/>
        <v>224.19099999999162</v>
      </c>
      <c r="AEX25" s="16">
        <f t="shared" si="477"/>
        <v>233.35700000001816</v>
      </c>
      <c r="AEY25" s="16">
        <f t="shared" si="477"/>
        <v>379.4309999999823</v>
      </c>
      <c r="AEZ25" s="16">
        <f t="shared" si="477"/>
        <v>265.14500000001863</v>
      </c>
      <c r="AFA25" s="16">
        <f t="shared" si="477"/>
        <v>143.42199999996228</v>
      </c>
      <c r="AFB25" s="16">
        <f t="shared" si="477"/>
        <v>246.96900000004098</v>
      </c>
      <c r="AFC25" s="16">
        <f t="shared" si="477"/>
        <v>152.71299999998882</v>
      </c>
      <c r="AFD25" s="16">
        <f t="shared" si="477"/>
        <v>292.48300000000745</v>
      </c>
      <c r="AFE25" s="16">
        <f t="shared" si="477"/>
        <v>258.95599999994738</v>
      </c>
      <c r="AFF25" s="16">
        <f t="shared" si="477"/>
        <v>188.21200000005774</v>
      </c>
      <c r="AFG25" s="16">
        <f t="shared" si="477"/>
        <v>360.46099999995204</v>
      </c>
      <c r="AFH25" s="16">
        <f t="shared" si="477"/>
        <v>309.23300000000745</v>
      </c>
      <c r="AFI25" s="16">
        <f t="shared" si="477"/>
        <v>319.54800000000978</v>
      </c>
      <c r="AFJ25" s="16">
        <f t="shared" si="477"/>
        <v>155.46500000002561</v>
      </c>
      <c r="AFK25" s="16">
        <f t="shared" si="477"/>
        <v>202.12899999995716</v>
      </c>
      <c r="AFL25" s="16">
        <f t="shared" si="477"/>
        <v>248.84600000001956</v>
      </c>
      <c r="AFM25" s="16">
        <f t="shared" si="477"/>
        <v>245.34999999997672</v>
      </c>
      <c r="AFN25" s="16">
        <f t="shared" si="477"/>
        <v>401.07200000004377</v>
      </c>
      <c r="AFO25" s="16">
        <f t="shared" si="477"/>
        <v>138.0559999999823</v>
      </c>
      <c r="AFP25" s="16">
        <f t="shared" si="477"/>
        <v>232.26799999998184</v>
      </c>
      <c r="AFQ25" s="16">
        <f t="shared" si="477"/>
        <v>231.80499999999302</v>
      </c>
      <c r="AFR25" s="16">
        <f t="shared" si="477"/>
        <v>185.81600000004983</v>
      </c>
      <c r="AFS25" s="16">
        <f t="shared" si="477"/>
        <v>218.25299999996787</v>
      </c>
      <c r="AFT25" s="16">
        <f t="shared" si="477"/>
        <v>229.00599999999395</v>
      </c>
      <c r="AFU25" s="127">
        <f>SUM(AEP25:AFT25)</f>
        <v>7437.6579999999958</v>
      </c>
      <c r="AFV25" s="16">
        <f t="shared" ref="AFV25:AGY25" si="478">AFV24-AFV23</f>
        <v>152.89100000000326</v>
      </c>
      <c r="AFW25" s="16">
        <f t="shared" si="478"/>
        <v>166.29399999999441</v>
      </c>
      <c r="AFX25" s="16">
        <f t="shared" si="478"/>
        <v>235.34899999998743</v>
      </c>
      <c r="AFY25" s="16">
        <f t="shared" si="478"/>
        <v>188.15100000001257</v>
      </c>
      <c r="AFZ25" s="16">
        <f t="shared" si="478"/>
        <v>303.19800000003306</v>
      </c>
      <c r="AGA25" s="16">
        <f t="shared" si="478"/>
        <v>187.71899999998277</v>
      </c>
      <c r="AGB25" s="16">
        <f t="shared" si="478"/>
        <v>271.37900000001537</v>
      </c>
      <c r="AGC25" s="16">
        <f t="shared" si="478"/>
        <v>159.5559999999823</v>
      </c>
      <c r="AGD25" s="16">
        <f t="shared" si="478"/>
        <v>170.43499999999767</v>
      </c>
      <c r="AGE25" s="16">
        <f t="shared" si="478"/>
        <v>198.79200000001583</v>
      </c>
      <c r="AGF25" s="16">
        <f t="shared" si="478"/>
        <v>243.47200000000885</v>
      </c>
      <c r="AGG25" s="16">
        <f t="shared" si="478"/>
        <v>262.35499999998137</v>
      </c>
      <c r="AGH25" s="16">
        <f t="shared" si="478"/>
        <v>283.84600000001956</v>
      </c>
      <c r="AGI25" s="16">
        <f t="shared" si="478"/>
        <v>205.79299999994691</v>
      </c>
      <c r="AGJ25" s="16">
        <f t="shared" si="478"/>
        <v>173.09600000001956</v>
      </c>
      <c r="AGK25" s="16">
        <f t="shared" si="478"/>
        <v>241.70400000002701</v>
      </c>
      <c r="AGL25" s="16">
        <f t="shared" si="478"/>
        <v>182.41200000001118</v>
      </c>
      <c r="AGM25" s="16">
        <f t="shared" si="478"/>
        <v>322.59699999995064</v>
      </c>
      <c r="AGN25" s="16">
        <f t="shared" si="478"/>
        <v>156.40000000002328</v>
      </c>
      <c r="AGO25" s="16">
        <f t="shared" si="478"/>
        <v>254.85599999997066</v>
      </c>
      <c r="AGP25" s="16">
        <f t="shared" si="478"/>
        <v>275.28900000004796</v>
      </c>
      <c r="AGQ25" s="16">
        <f t="shared" si="478"/>
        <v>412.63399999996182</v>
      </c>
      <c r="AGR25" s="16">
        <f t="shared" si="478"/>
        <v>286.98500000004424</v>
      </c>
      <c r="AGS25" s="16">
        <f t="shared" si="478"/>
        <v>240.92899999994552</v>
      </c>
      <c r="AGT25" s="16">
        <f t="shared" si="478"/>
        <v>153.2050000000163</v>
      </c>
      <c r="AGU25" s="16">
        <f t="shared" si="478"/>
        <v>409.08799999998882</v>
      </c>
      <c r="AGV25" s="16">
        <f t="shared" si="478"/>
        <v>295.43600000004517</v>
      </c>
      <c r="AGW25" s="16">
        <f t="shared" si="478"/>
        <v>304.72299999999814</v>
      </c>
      <c r="AGX25" s="16">
        <f t="shared" si="478"/>
        <v>284.66099999996368</v>
      </c>
      <c r="AGY25" s="16">
        <f t="shared" si="478"/>
        <v>189.04300000000512</v>
      </c>
      <c r="AGZ25" s="127">
        <f>SUM(AFV25:AGY25)</f>
        <v>7212.2880000000005</v>
      </c>
      <c r="AHA25" s="16">
        <f t="shared" ref="AHA25:AIE25" si="479">AHA24-AHA23</f>
        <v>220.25699999998324</v>
      </c>
      <c r="AHB25" s="16">
        <f t="shared" si="479"/>
        <v>259.41400000004796</v>
      </c>
      <c r="AHC25" s="16">
        <f t="shared" si="479"/>
        <v>233.71799999999348</v>
      </c>
      <c r="AHD25" s="16">
        <f t="shared" si="479"/>
        <v>224.5679999999702</v>
      </c>
      <c r="AHE25" s="16">
        <f t="shared" si="479"/>
        <v>422.54300000000512</v>
      </c>
      <c r="AHF25" s="16">
        <f t="shared" si="479"/>
        <v>152.74100000003818</v>
      </c>
      <c r="AHG25" s="16">
        <f t="shared" si="479"/>
        <v>201.67299999995157</v>
      </c>
      <c r="AHH25" s="16">
        <f t="shared" si="479"/>
        <v>227.2620000000461</v>
      </c>
      <c r="AHI25" s="16">
        <f t="shared" si="479"/>
        <v>562.43899999995483</v>
      </c>
      <c r="AHJ25" s="16">
        <f t="shared" si="479"/>
        <v>260.55900000000838</v>
      </c>
      <c r="AHK25" s="16">
        <f t="shared" si="479"/>
        <v>130.1359999999986</v>
      </c>
      <c r="AHL25" s="16">
        <f t="shared" si="479"/>
        <v>335.30300000001444</v>
      </c>
      <c r="AHM25" s="16">
        <f t="shared" si="479"/>
        <v>135.08799999998882</v>
      </c>
      <c r="AHN25" s="16">
        <f t="shared" si="479"/>
        <v>179.16399999998976</v>
      </c>
      <c r="AHO25" s="16">
        <f t="shared" si="479"/>
        <v>354.6020000000135</v>
      </c>
      <c r="AHP25" s="16">
        <f t="shared" si="479"/>
        <v>255.36700000002747</v>
      </c>
      <c r="AHQ25" s="16">
        <f t="shared" si="479"/>
        <v>175.40499999996973</v>
      </c>
      <c r="AHR25" s="16">
        <f t="shared" si="479"/>
        <v>321.5449999999837</v>
      </c>
      <c r="AHS25" s="16">
        <f t="shared" si="479"/>
        <v>232.91400000004796</v>
      </c>
      <c r="AHT25" s="16">
        <f t="shared" si="479"/>
        <v>191.73099999997066</v>
      </c>
      <c r="AHU25" s="16">
        <f t="shared" si="479"/>
        <v>341.4100000000326</v>
      </c>
      <c r="AHV25" s="16">
        <f t="shared" si="479"/>
        <v>214.34199999994598</v>
      </c>
      <c r="AHW25" s="16">
        <f t="shared" si="479"/>
        <v>280.65100000001257</v>
      </c>
      <c r="AHX25" s="16">
        <f t="shared" si="479"/>
        <v>283.49100000003818</v>
      </c>
      <c r="AHY25" s="16">
        <f t="shared" si="479"/>
        <v>67.764999999955762</v>
      </c>
      <c r="AHZ25" s="16">
        <f t="shared" si="479"/>
        <v>124.19200000003912</v>
      </c>
      <c r="AIA25" s="16">
        <f t="shared" si="479"/>
        <v>258.26600000000326</v>
      </c>
      <c r="AIB25" s="16">
        <f t="shared" si="479"/>
        <v>111.13000000000466</v>
      </c>
      <c r="AIC25" s="16">
        <f t="shared" si="479"/>
        <v>277.16199999995297</v>
      </c>
      <c r="AID25" s="16">
        <f t="shared" si="479"/>
        <v>260.09200000000419</v>
      </c>
      <c r="AIE25" s="16">
        <f t="shared" si="479"/>
        <v>361.32500000001164</v>
      </c>
      <c r="AIF25" s="127">
        <f>SUM(AHA25:AIE25)</f>
        <v>7656.2550000000047</v>
      </c>
      <c r="AIG25" s="16">
        <f t="shared" ref="AIG25:AJK25" si="480">AIG24-AIG23</f>
        <v>185.31500000000233</v>
      </c>
      <c r="AIH25" s="16">
        <f t="shared" si="480"/>
        <v>214.34799999999814</v>
      </c>
      <c r="AII25" s="16">
        <f t="shared" si="480"/>
        <v>209.93300000001909</v>
      </c>
      <c r="AIJ25" s="16">
        <f t="shared" si="480"/>
        <v>241.42800000001444</v>
      </c>
      <c r="AIK25" s="16">
        <f t="shared" si="480"/>
        <v>264.30099999997765</v>
      </c>
      <c r="AIL25" s="16">
        <f t="shared" si="480"/>
        <v>171.04800000000978</v>
      </c>
      <c r="AIM25" s="16">
        <f t="shared" si="480"/>
        <v>356.79399999999441</v>
      </c>
      <c r="AIN25" s="16">
        <f t="shared" si="480"/>
        <v>305.27399999997579</v>
      </c>
      <c r="AIO25" s="16">
        <f t="shared" si="480"/>
        <v>291.33199999999488</v>
      </c>
      <c r="AIP25" s="16">
        <f t="shared" si="480"/>
        <v>473.76600000000326</v>
      </c>
      <c r="AIQ25" s="16">
        <f t="shared" si="480"/>
        <v>234.04000000003725</v>
      </c>
      <c r="AIR25" s="16">
        <f t="shared" si="480"/>
        <v>205.9309999999823</v>
      </c>
      <c r="AIS25" s="16">
        <f t="shared" si="480"/>
        <v>203.05499999999302</v>
      </c>
      <c r="AIT25" s="16">
        <f t="shared" si="480"/>
        <v>219.16600000002654</v>
      </c>
      <c r="AIU25" s="16">
        <f t="shared" si="480"/>
        <v>77.185999999986961</v>
      </c>
      <c r="AIV25" s="16">
        <f t="shared" si="480"/>
        <v>151.32199999998556</v>
      </c>
      <c r="AIW25" s="16">
        <f t="shared" si="480"/>
        <v>129.36800000001676</v>
      </c>
      <c r="AIX25" s="16">
        <f t="shared" si="480"/>
        <v>152.85399999999208</v>
      </c>
      <c r="AIY25" s="16">
        <f t="shared" si="480"/>
        <v>335.66300000000047</v>
      </c>
      <c r="AIZ25" s="16">
        <f t="shared" si="480"/>
        <v>276.35599999997066</v>
      </c>
      <c r="AJA25" s="16">
        <f t="shared" si="480"/>
        <v>253.52400000003399</v>
      </c>
      <c r="AJB25" s="16">
        <f t="shared" si="480"/>
        <v>177.90999999997439</v>
      </c>
      <c r="AJC25" s="16">
        <f t="shared" si="480"/>
        <v>218.28600000002189</v>
      </c>
      <c r="AJD25" s="16">
        <f t="shared" si="480"/>
        <v>283.73599999997532</v>
      </c>
      <c r="AJE25" s="16">
        <f t="shared" si="480"/>
        <v>173.79700000002049</v>
      </c>
      <c r="AJF25" s="16">
        <f t="shared" si="480"/>
        <v>180.67599999997765</v>
      </c>
      <c r="AJG25" s="16">
        <f t="shared" si="480"/>
        <v>291.77799999999115</v>
      </c>
      <c r="AJH25" s="16">
        <f t="shared" si="480"/>
        <v>185.01900000002934</v>
      </c>
      <c r="AJI25" s="16">
        <f t="shared" si="480"/>
        <v>315.26600000000326</v>
      </c>
      <c r="AJJ25" s="16">
        <f t="shared" si="480"/>
        <v>328.93199999997159</v>
      </c>
      <c r="AJK25" s="16">
        <f t="shared" si="480"/>
        <v>309.40000000002328</v>
      </c>
      <c r="AJL25" s="127">
        <f>SUM(AIG25:AJK25)</f>
        <v>7416.8040000000037</v>
      </c>
      <c r="AJM25" s="16">
        <f t="shared" ref="AJM25:AKN25" si="481">AJM24-AJM23</f>
        <v>176.75699999998324</v>
      </c>
      <c r="AJN25" s="16">
        <f t="shared" si="481"/>
        <v>196.76000000000931</v>
      </c>
      <c r="AJO25" s="16">
        <f t="shared" si="481"/>
        <v>185.89400000002934</v>
      </c>
      <c r="AJP25" s="16">
        <f t="shared" si="481"/>
        <v>222.22800000000279</v>
      </c>
      <c r="AJQ25" s="16">
        <f t="shared" si="481"/>
        <v>452.11199999996461</v>
      </c>
      <c r="AJR25" s="16">
        <f t="shared" si="481"/>
        <v>227.86900000000605</v>
      </c>
      <c r="AJS25" s="16">
        <f t="shared" si="481"/>
        <v>226.24900000001071</v>
      </c>
      <c r="AJT25" s="16">
        <f t="shared" si="481"/>
        <v>240.34600000001956</v>
      </c>
      <c r="AJU25" s="16">
        <f t="shared" si="481"/>
        <v>266.38000000000466</v>
      </c>
      <c r="AJV25" s="16">
        <f t="shared" si="481"/>
        <v>230.02199999999721</v>
      </c>
      <c r="AJW25" s="16">
        <f t="shared" si="481"/>
        <v>244.6019999999553</v>
      </c>
      <c r="AJX25" s="16">
        <f t="shared" si="481"/>
        <v>289.32400000002235</v>
      </c>
      <c r="AJY25" s="16">
        <f t="shared" si="481"/>
        <v>352.87300000002142</v>
      </c>
      <c r="AJZ25" s="16">
        <f t="shared" si="481"/>
        <v>301.12199999997392</v>
      </c>
      <c r="AKA25" s="16">
        <f t="shared" si="481"/>
        <v>171.53999999997905</v>
      </c>
      <c r="AKB25" s="16">
        <f t="shared" si="481"/>
        <v>261.34000000002561</v>
      </c>
      <c r="AKC25" s="16">
        <f t="shared" si="481"/>
        <v>195.46299999998882</v>
      </c>
      <c r="AKD25" s="16">
        <f t="shared" si="481"/>
        <v>166.97500000003492</v>
      </c>
      <c r="AKE25" s="16">
        <f t="shared" si="481"/>
        <v>165.2269999999553</v>
      </c>
      <c r="AKF25" s="16">
        <f t="shared" si="481"/>
        <v>273.34700000000885</v>
      </c>
      <c r="AKG25" s="16">
        <f t="shared" si="481"/>
        <v>194.19099999999162</v>
      </c>
      <c r="AKH25" s="16">
        <f t="shared" si="481"/>
        <v>215.25700000004144</v>
      </c>
      <c r="AKI25" s="16">
        <f t="shared" si="481"/>
        <v>315.91099999996368</v>
      </c>
      <c r="AKJ25" s="16">
        <f t="shared" si="481"/>
        <v>176.98100000002887</v>
      </c>
      <c r="AKK25" s="16">
        <f t="shared" si="481"/>
        <v>384.12899999995716</v>
      </c>
      <c r="AKL25" s="16">
        <f t="shared" si="481"/>
        <v>164.78900000004796</v>
      </c>
      <c r="AKM25" s="16">
        <f t="shared" si="481"/>
        <v>269.59899999998743</v>
      </c>
      <c r="AKN25" s="16">
        <f t="shared" si="481"/>
        <v>307.64699999999721</v>
      </c>
      <c r="AKO25" s="127">
        <f>SUM(AJM25:AKN25)</f>
        <v>6874.9340000000084</v>
      </c>
      <c r="AKP25" s="16">
        <f t="shared" ref="AKP25:ALT25" si="482">AKP24-AKP23</f>
        <v>175.88000000000466</v>
      </c>
      <c r="AKQ25" s="16">
        <f t="shared" si="482"/>
        <v>190.89100000000326</v>
      </c>
      <c r="AKR25" s="16">
        <f t="shared" si="482"/>
        <v>213.94599999999627</v>
      </c>
      <c r="AKS25" s="16">
        <f t="shared" si="482"/>
        <v>213.5109999999404</v>
      </c>
      <c r="AKT25" s="16">
        <f t="shared" si="482"/>
        <v>227.45100000000093</v>
      </c>
      <c r="AKU25" s="16">
        <f t="shared" si="482"/>
        <v>244.61000000010245</v>
      </c>
      <c r="AKV25" s="16">
        <f t="shared" si="482"/>
        <v>240.02700000000186</v>
      </c>
      <c r="AKW25" s="16">
        <f t="shared" si="482"/>
        <v>179.38399999996182</v>
      </c>
      <c r="AKX25" s="16">
        <f t="shared" si="482"/>
        <v>246.84600000001956</v>
      </c>
      <c r="AKY25" s="16">
        <f t="shared" si="482"/>
        <v>186.98099999991246</v>
      </c>
      <c r="AKZ25" s="16">
        <f t="shared" si="482"/>
        <v>194.44000000006054</v>
      </c>
      <c r="ALA25" s="16">
        <f t="shared" si="482"/>
        <v>206.69999999995343</v>
      </c>
      <c r="ALB25" s="16">
        <f t="shared" si="482"/>
        <v>292.95500000007451</v>
      </c>
      <c r="ALC25" s="16">
        <f t="shared" si="482"/>
        <v>235.95600000000559</v>
      </c>
      <c r="ALD25" s="16">
        <f t="shared" si="482"/>
        <v>135.50699999998324</v>
      </c>
      <c r="ALE25" s="16">
        <f t="shared" si="482"/>
        <v>350.54499999992549</v>
      </c>
      <c r="ALF25" s="16">
        <f t="shared" si="482"/>
        <v>197.6600000000326</v>
      </c>
      <c r="ALG25" s="16">
        <f t="shared" si="482"/>
        <v>238.43700000003446</v>
      </c>
      <c r="ALH25" s="16">
        <f t="shared" si="482"/>
        <v>270.23999999999069</v>
      </c>
      <c r="ALI25" s="16">
        <f t="shared" si="482"/>
        <v>181.9309999999823</v>
      </c>
      <c r="ALJ25" s="16">
        <f t="shared" si="482"/>
        <v>266.41300000005867</v>
      </c>
      <c r="ALK25" s="16">
        <f t="shared" si="482"/>
        <v>153.20999999996275</v>
      </c>
      <c r="ALL25" s="16">
        <f t="shared" si="482"/>
        <v>2309.189000000013</v>
      </c>
      <c r="ALM25" s="16">
        <f t="shared" si="482"/>
        <v>245.59999999997672</v>
      </c>
      <c r="ALN25" s="16">
        <f t="shared" si="482"/>
        <v>197</v>
      </c>
      <c r="ALO25" s="16">
        <f t="shared" si="482"/>
        <v>100.79200000001583</v>
      </c>
      <c r="ALP25" s="16">
        <f t="shared" si="482"/>
        <v>226.79999999993015</v>
      </c>
      <c r="ALQ25" s="16">
        <f t="shared" si="482"/>
        <v>256.60000000009313</v>
      </c>
      <c r="ALR25" s="16">
        <f t="shared" si="482"/>
        <v>79.399999999906868</v>
      </c>
      <c r="ALS25" s="16">
        <f t="shared" si="482"/>
        <v>141.80000000004657</v>
      </c>
      <c r="ALT25" s="16">
        <f t="shared" si="482"/>
        <v>273.09699999995064</v>
      </c>
      <c r="ALU25" s="127">
        <f>SUM(AKP25:ALT25)</f>
        <v>8673.7989999999409</v>
      </c>
      <c r="ALV25" s="16">
        <f t="shared" ref="ALV25:AMY25" si="483">ALV24-ALV23</f>
        <v>262.61600000003818</v>
      </c>
      <c r="ALW25" s="16">
        <f t="shared" si="483"/>
        <v>160.4089999999851</v>
      </c>
      <c r="ALX25" s="16">
        <f t="shared" si="483"/>
        <v>180.51600000006147</v>
      </c>
      <c r="ALY25" s="16">
        <f t="shared" si="483"/>
        <v>248.77899999998044</v>
      </c>
      <c r="ALZ25" s="16">
        <f t="shared" si="483"/>
        <v>111.86800000001676</v>
      </c>
      <c r="AMA25" s="16">
        <f t="shared" si="483"/>
        <v>175.11099999991711</v>
      </c>
      <c r="AMB25" s="16">
        <f t="shared" si="483"/>
        <v>255.65200000000186</v>
      </c>
      <c r="AMC25" s="16">
        <f t="shared" si="483"/>
        <v>207.82800000009593</v>
      </c>
      <c r="AMD25" s="16">
        <f t="shared" si="483"/>
        <v>223.96999999997206</v>
      </c>
      <c r="AME25" s="16">
        <f t="shared" si="483"/>
        <v>206.45100000000093</v>
      </c>
      <c r="AMF25" s="16">
        <f t="shared" si="483"/>
        <v>453.85899999993853</v>
      </c>
      <c r="AMG25" s="16">
        <f t="shared" si="483"/>
        <v>171.34799999999814</v>
      </c>
      <c r="AMH25" s="16">
        <f t="shared" si="483"/>
        <v>215.46799999999348</v>
      </c>
      <c r="AMI25" s="16">
        <f t="shared" si="483"/>
        <v>214.31200000003446</v>
      </c>
      <c r="AMJ25" s="16">
        <f t="shared" si="483"/>
        <v>238.66800000006333</v>
      </c>
      <c r="AMK25" s="16">
        <f t="shared" si="483"/>
        <v>259.31999999994878</v>
      </c>
      <c r="AML25" s="16">
        <f t="shared" si="483"/>
        <v>261.04300000006333</v>
      </c>
      <c r="AMM25" s="16">
        <f t="shared" si="483"/>
        <v>304.03599999996368</v>
      </c>
      <c r="AMN25" s="16">
        <f t="shared" si="483"/>
        <v>202.31200000003446</v>
      </c>
      <c r="AMO25" s="16">
        <f t="shared" si="483"/>
        <v>215.26499999989755</v>
      </c>
      <c r="AMP25" s="16">
        <f t="shared" si="483"/>
        <v>220.01900000008754</v>
      </c>
      <c r="AMQ25" s="16">
        <f t="shared" si="483"/>
        <v>196.68499999993946</v>
      </c>
      <c r="AMR25" s="16">
        <f t="shared" si="483"/>
        <v>281.22299999999814</v>
      </c>
      <c r="AMS25" s="16">
        <f t="shared" si="483"/>
        <v>319.61900000006426</v>
      </c>
      <c r="AMT25" s="16">
        <f t="shared" si="483"/>
        <v>119.62899999995716</v>
      </c>
      <c r="AMU25" s="16">
        <f t="shared" si="483"/>
        <v>203.83700000005774</v>
      </c>
      <c r="AMV25" s="16">
        <f t="shared" si="483"/>
        <v>309.75299999990966</v>
      </c>
      <c r="AMW25" s="16">
        <f t="shared" si="483"/>
        <v>163.6809999999823</v>
      </c>
      <c r="AMX25" s="16">
        <f t="shared" si="483"/>
        <v>204.59500000008848</v>
      </c>
      <c r="AMY25" s="16">
        <f t="shared" si="483"/>
        <v>190.26599999994505</v>
      </c>
      <c r="AMZ25" s="127">
        <f>SUM(ALV25:AMY25)</f>
        <v>6778.1380000000354</v>
      </c>
      <c r="ANA25" s="16">
        <f t="shared" ref="ANA25:AOF25" si="484">ANA24-ANA23</f>
        <v>171.1140000000596</v>
      </c>
      <c r="ANB25" s="16">
        <f t="shared" si="484"/>
        <v>300.6239999999525</v>
      </c>
      <c r="ANC25" s="16">
        <f t="shared" si="484"/>
        <v>100.4890000000596</v>
      </c>
      <c r="AND25" s="16">
        <f t="shared" si="484"/>
        <v>197.25599999993574</v>
      </c>
      <c r="ANE25" s="16">
        <f t="shared" si="484"/>
        <v>114.57700000004843</v>
      </c>
      <c r="ANF25" s="16">
        <f t="shared" si="484"/>
        <v>127.72499999997672</v>
      </c>
      <c r="ANG25" s="16">
        <f t="shared" si="484"/>
        <v>157.39199999999255</v>
      </c>
      <c r="ANH25" s="16">
        <f t="shared" si="484"/>
        <v>186.95600000000559</v>
      </c>
      <c r="ANI25" s="16">
        <f t="shared" si="484"/>
        <v>133.41200000001118</v>
      </c>
      <c r="ANJ25" s="16">
        <f t="shared" si="484"/>
        <v>191.68599999998696</v>
      </c>
      <c r="ANK25" s="16">
        <f t="shared" si="484"/>
        <v>169.96100000001024</v>
      </c>
      <c r="ANL25" s="16">
        <f t="shared" si="484"/>
        <v>86.520000000018626</v>
      </c>
      <c r="ANM25" s="16">
        <f t="shared" si="484"/>
        <v>160.76399999996647</v>
      </c>
      <c r="ANN25" s="16">
        <f t="shared" si="484"/>
        <v>210.15200000000186</v>
      </c>
      <c r="ANO25" s="16">
        <f t="shared" si="484"/>
        <v>276.82099999999627</v>
      </c>
      <c r="ANP25" s="16">
        <f t="shared" si="484"/>
        <v>120.71999999997206</v>
      </c>
      <c r="ANQ25" s="16">
        <f t="shared" si="484"/>
        <v>149.83600000001024</v>
      </c>
      <c r="ANR25" s="16">
        <f t="shared" si="484"/>
        <v>202.54800000006799</v>
      </c>
      <c r="ANS25" s="16">
        <f t="shared" si="484"/>
        <v>183.73199999995995</v>
      </c>
      <c r="ANT25" s="16">
        <f t="shared" si="484"/>
        <v>258.57199999992736</v>
      </c>
      <c r="ANU25" s="16">
        <f t="shared" si="484"/>
        <v>204.58300000010058</v>
      </c>
      <c r="ANV25" s="16">
        <f t="shared" si="484"/>
        <v>233.71899999992456</v>
      </c>
      <c r="ANW25" s="16">
        <f t="shared" si="484"/>
        <v>196.71799999999348</v>
      </c>
      <c r="ANX25" s="16">
        <f t="shared" si="484"/>
        <v>135.18400000000838</v>
      </c>
      <c r="ANY25" s="16">
        <f t="shared" si="484"/>
        <v>388.70500000007451</v>
      </c>
      <c r="ANZ25" s="16">
        <f t="shared" si="484"/>
        <v>244.46999999997206</v>
      </c>
      <c r="AOA25" s="16">
        <f t="shared" si="484"/>
        <v>91.312999999965541</v>
      </c>
      <c r="AOB25" s="16">
        <f t="shared" si="484"/>
        <v>164.46400000003632</v>
      </c>
      <c r="AOC25" s="16">
        <f t="shared" si="484"/>
        <v>245.12199999997392</v>
      </c>
      <c r="AOD25" s="16">
        <f t="shared" si="484"/>
        <v>202.6019999999553</v>
      </c>
      <c r="AOE25">
        <f t="shared" si="484"/>
        <v>202.6019999999553</v>
      </c>
      <c r="AOF25">
        <f t="shared" si="484"/>
        <v>-306127.74300000002</v>
      </c>
    </row>
    <row r="26" spans="1:1072" x14ac:dyDescent="0.2">
      <c r="A26" s="157"/>
      <c r="B26" s="159" t="s">
        <v>773</v>
      </c>
      <c r="C26" s="47" t="s">
        <v>756</v>
      </c>
      <c r="D26" s="48">
        <v>226170.29699999999</v>
      </c>
      <c r="E26" s="18">
        <f t="shared" ref="E26:AH26" si="485">D27</f>
        <v>226572.4</v>
      </c>
      <c r="F26" s="18">
        <f t="shared" si="485"/>
        <v>226730.63500000001</v>
      </c>
      <c r="G26" s="18">
        <f t="shared" si="485"/>
        <v>226812.76199999999</v>
      </c>
      <c r="H26" s="18">
        <f t="shared" si="485"/>
        <v>226944.769</v>
      </c>
      <c r="I26" s="18">
        <f t="shared" si="485"/>
        <v>227286.50899999999</v>
      </c>
      <c r="J26" s="18">
        <f t="shared" si="485"/>
        <v>227527.01</v>
      </c>
      <c r="K26" s="18">
        <f t="shared" si="485"/>
        <v>227784.242</v>
      </c>
      <c r="L26" s="18">
        <f t="shared" si="485"/>
        <v>227994.98199999999</v>
      </c>
      <c r="M26" s="18">
        <f t="shared" si="485"/>
        <v>228214.052</v>
      </c>
      <c r="N26" s="18">
        <f t="shared" si="485"/>
        <v>228338.33900000001</v>
      </c>
      <c r="O26" s="18">
        <f t="shared" si="485"/>
        <v>228501.97500000001</v>
      </c>
      <c r="P26" s="18">
        <f t="shared" si="485"/>
        <v>228670.34599999999</v>
      </c>
      <c r="Q26" s="18">
        <f t="shared" si="485"/>
        <v>228828.39199999999</v>
      </c>
      <c r="R26" s="18">
        <f t="shared" si="485"/>
        <v>228994.23199999999</v>
      </c>
      <c r="S26" s="18">
        <f t="shared" si="485"/>
        <v>229236.53099999999</v>
      </c>
      <c r="T26" s="18">
        <f t="shared" si="485"/>
        <v>229359.31599999999</v>
      </c>
      <c r="U26" s="18">
        <f t="shared" si="485"/>
        <v>229643.77600000001</v>
      </c>
      <c r="V26" s="18">
        <f t="shared" si="485"/>
        <v>229742.473</v>
      </c>
      <c r="W26" s="18">
        <f t="shared" si="485"/>
        <v>229907.68100000001</v>
      </c>
      <c r="X26" s="18">
        <f t="shared" si="485"/>
        <v>229987.24</v>
      </c>
      <c r="Y26" s="18">
        <f t="shared" si="485"/>
        <v>230174.63800000001</v>
      </c>
      <c r="Z26" s="18">
        <f t="shared" si="485"/>
        <v>230338.07</v>
      </c>
      <c r="AA26" s="18">
        <f t="shared" si="485"/>
        <v>230656.19200000001</v>
      </c>
      <c r="AB26" s="18">
        <f t="shared" si="485"/>
        <v>230813.6</v>
      </c>
      <c r="AC26" s="18">
        <f t="shared" si="485"/>
        <v>230926.92300000001</v>
      </c>
      <c r="AD26" s="18">
        <f t="shared" si="485"/>
        <v>231210.177</v>
      </c>
      <c r="AE26" s="18">
        <f t="shared" si="485"/>
        <v>231404.35699999999</v>
      </c>
      <c r="AF26" s="18">
        <f t="shared" si="485"/>
        <v>231483.18</v>
      </c>
      <c r="AG26" s="18">
        <f t="shared" si="485"/>
        <v>231635.81</v>
      </c>
      <c r="AH26" s="18">
        <f t="shared" si="485"/>
        <v>231883.52900000001</v>
      </c>
      <c r="AI26" s="17"/>
      <c r="AJ26" s="90">
        <f>AH27</f>
        <v>232129.10200000001</v>
      </c>
      <c r="AK26" s="13">
        <f t="shared" ref="AK26:BM26" si="486">AJ27</f>
        <v>232464.96299999999</v>
      </c>
      <c r="AL26" s="13">
        <f t="shared" si="486"/>
        <v>232840.443</v>
      </c>
      <c r="AM26" s="13">
        <f t="shared" si="486"/>
        <v>233041.084</v>
      </c>
      <c r="AN26" s="13">
        <f t="shared" si="486"/>
        <v>233240.64199999999</v>
      </c>
      <c r="AO26" s="13">
        <f t="shared" si="486"/>
        <v>233560.79399999999</v>
      </c>
      <c r="AP26" s="13">
        <f t="shared" si="486"/>
        <v>233914.11900000001</v>
      </c>
      <c r="AQ26" s="13">
        <f t="shared" si="486"/>
        <v>234329.52600000001</v>
      </c>
      <c r="AR26" s="13">
        <f t="shared" si="486"/>
        <v>234829.951</v>
      </c>
      <c r="AS26" s="13">
        <f t="shared" si="486"/>
        <v>235075.90700000001</v>
      </c>
      <c r="AT26" s="13">
        <f t="shared" si="486"/>
        <v>235502.158</v>
      </c>
      <c r="AU26" s="13">
        <f t="shared" si="486"/>
        <v>235763.84400000001</v>
      </c>
      <c r="AV26" s="13">
        <f t="shared" si="486"/>
        <v>235977.014</v>
      </c>
      <c r="AW26" s="13">
        <f t="shared" si="486"/>
        <v>236148.19500000001</v>
      </c>
      <c r="AX26" s="13">
        <f t="shared" si="486"/>
        <v>236315.43100000001</v>
      </c>
      <c r="AY26" s="13">
        <f t="shared" si="486"/>
        <v>236571.799</v>
      </c>
      <c r="AZ26" s="13">
        <f t="shared" si="486"/>
        <v>236813.22</v>
      </c>
      <c r="BA26" s="13">
        <f t="shared" si="486"/>
        <v>236981.17199999999</v>
      </c>
      <c r="BB26" s="13">
        <f t="shared" si="486"/>
        <v>237177.141</v>
      </c>
      <c r="BC26" s="13">
        <f t="shared" si="486"/>
        <v>237365.89799999999</v>
      </c>
      <c r="BD26" s="13">
        <f t="shared" si="486"/>
        <v>237465.28099999999</v>
      </c>
      <c r="BE26" s="13">
        <f t="shared" si="486"/>
        <v>237778.33100000001</v>
      </c>
      <c r="BF26" s="13">
        <f t="shared" si="486"/>
        <v>238080.98300000001</v>
      </c>
      <c r="BG26" s="13">
        <f t="shared" si="486"/>
        <v>238256.693</v>
      </c>
      <c r="BH26" s="13">
        <f t="shared" si="486"/>
        <v>238490.35699999999</v>
      </c>
      <c r="BI26" s="13">
        <f t="shared" si="486"/>
        <v>238697.084</v>
      </c>
      <c r="BJ26" s="13">
        <f t="shared" si="486"/>
        <v>239117.07699999999</v>
      </c>
      <c r="BK26" s="13">
        <f t="shared" si="486"/>
        <v>239275.242</v>
      </c>
      <c r="BL26" s="13">
        <f t="shared" si="486"/>
        <v>239447.55600000001</v>
      </c>
      <c r="BM26" s="13">
        <f t="shared" si="486"/>
        <v>239711.93100000001</v>
      </c>
      <c r="BO26" s="13">
        <f>BM27</f>
        <v>239896.96900000001</v>
      </c>
      <c r="BP26">
        <f t="shared" ref="BP26:CS26" si="487">BO27</f>
        <v>240142.46299999999</v>
      </c>
      <c r="BQ26">
        <f t="shared" si="487"/>
        <v>240348.61199999999</v>
      </c>
      <c r="BR26">
        <f t="shared" si="487"/>
        <v>240603.3</v>
      </c>
      <c r="BS26">
        <f t="shared" si="487"/>
        <v>240851.37400000001</v>
      </c>
      <c r="BT26">
        <f t="shared" si="487"/>
        <v>241058.435</v>
      </c>
      <c r="BU26">
        <f t="shared" si="487"/>
        <v>241291.97200000001</v>
      </c>
      <c r="BV26">
        <f t="shared" si="487"/>
        <v>241475.856</v>
      </c>
      <c r="BW26">
        <f t="shared" si="487"/>
        <v>241660.084</v>
      </c>
      <c r="BX26">
        <f t="shared" si="487"/>
        <v>241846.43599999999</v>
      </c>
      <c r="BY26">
        <f t="shared" si="487"/>
        <v>242039.236</v>
      </c>
      <c r="BZ26">
        <f t="shared" si="487"/>
        <v>242352.03400000001</v>
      </c>
      <c r="CA26">
        <f t="shared" si="487"/>
        <v>242466.16899999999</v>
      </c>
      <c r="CB26">
        <f t="shared" si="487"/>
        <v>242784.94</v>
      </c>
      <c r="CC26">
        <f t="shared" si="487"/>
        <v>243076.291</v>
      </c>
      <c r="CD26">
        <f t="shared" si="487"/>
        <v>243206.17800000001</v>
      </c>
      <c r="CE26">
        <f t="shared" si="487"/>
        <v>243415.76199999999</v>
      </c>
      <c r="CF26">
        <f t="shared" si="487"/>
        <v>243800.28899999999</v>
      </c>
      <c r="CG26">
        <f t="shared" si="487"/>
        <v>243990.57500000001</v>
      </c>
      <c r="CH26">
        <f t="shared" si="487"/>
        <v>244182.27799999999</v>
      </c>
      <c r="CI26">
        <f t="shared" si="487"/>
        <v>244382.78400000001</v>
      </c>
      <c r="CJ26">
        <f t="shared" si="487"/>
        <v>244660.35</v>
      </c>
      <c r="CK26">
        <f t="shared" si="487"/>
        <v>244826.622</v>
      </c>
      <c r="CL26">
        <f t="shared" si="487"/>
        <v>245007.05900000001</v>
      </c>
      <c r="CM26">
        <f t="shared" si="487"/>
        <v>245263.61300000001</v>
      </c>
      <c r="CN26">
        <f t="shared" si="487"/>
        <v>245521.72099999999</v>
      </c>
      <c r="CO26">
        <f t="shared" si="487"/>
        <v>245731.818</v>
      </c>
      <c r="CP26">
        <f t="shared" si="487"/>
        <v>245946.201</v>
      </c>
      <c r="CQ26">
        <f t="shared" si="487"/>
        <v>246261.73699999999</v>
      </c>
      <c r="CR26">
        <f t="shared" si="487"/>
        <v>246432.84400000001</v>
      </c>
      <c r="CS26">
        <f t="shared" si="487"/>
        <v>246635.46</v>
      </c>
      <c r="CU26" s="13">
        <f>CS27</f>
        <v>246840.88099999999</v>
      </c>
      <c r="CV26">
        <f t="shared" ref="CV26:DX26" si="488">CU27</f>
        <v>247024.71</v>
      </c>
      <c r="CW26">
        <f t="shared" si="488"/>
        <v>247255.80600000001</v>
      </c>
      <c r="CX26">
        <f t="shared" si="488"/>
        <v>247508.92499999999</v>
      </c>
      <c r="CY26">
        <f t="shared" si="488"/>
        <v>247781.90700000001</v>
      </c>
      <c r="CZ26">
        <f t="shared" si="488"/>
        <v>247986.29399999999</v>
      </c>
      <c r="DA26">
        <f t="shared" si="488"/>
        <v>248184.86900000001</v>
      </c>
      <c r="DB26">
        <f t="shared" si="488"/>
        <v>248338.79800000001</v>
      </c>
      <c r="DC26">
        <f t="shared" si="488"/>
        <v>248527.87400000001</v>
      </c>
      <c r="DD26">
        <f t="shared" si="488"/>
        <v>248684.05799999999</v>
      </c>
      <c r="DE26">
        <f t="shared" si="488"/>
        <v>248833.34099999999</v>
      </c>
      <c r="DF26">
        <f t="shared" si="488"/>
        <v>249168.21100000001</v>
      </c>
      <c r="DG26">
        <f t="shared" si="488"/>
        <v>249314.59099999999</v>
      </c>
      <c r="DH26">
        <f t="shared" si="488"/>
        <v>249431.35</v>
      </c>
      <c r="DI26">
        <f t="shared" si="488"/>
        <v>249650.18100000001</v>
      </c>
      <c r="DJ26">
        <f t="shared" si="488"/>
        <v>249770.55499999999</v>
      </c>
      <c r="DK26">
        <f t="shared" si="488"/>
        <v>249996.17800000001</v>
      </c>
      <c r="DL26">
        <f t="shared" si="488"/>
        <v>250301.715</v>
      </c>
      <c r="DM26">
        <f t="shared" si="488"/>
        <v>250456.62400000001</v>
      </c>
      <c r="DN26">
        <f t="shared" si="488"/>
        <v>250550.60500000001</v>
      </c>
      <c r="DO26">
        <f t="shared" si="488"/>
        <v>250933.149</v>
      </c>
      <c r="DP26">
        <f t="shared" si="488"/>
        <v>251130.459</v>
      </c>
      <c r="DQ26">
        <f t="shared" si="488"/>
        <v>251305</v>
      </c>
      <c r="DR26">
        <f t="shared" si="488"/>
        <v>251467.361</v>
      </c>
      <c r="DS26">
        <f t="shared" si="488"/>
        <v>251725.87599999999</v>
      </c>
      <c r="DT26">
        <f t="shared" si="488"/>
        <v>251953.326</v>
      </c>
      <c r="DU26">
        <f t="shared" si="488"/>
        <v>252203.769</v>
      </c>
      <c r="DV26">
        <f t="shared" si="488"/>
        <v>252583.55499999999</v>
      </c>
      <c r="DW26">
        <f t="shared" si="488"/>
        <v>252843.94200000001</v>
      </c>
      <c r="DX26">
        <f t="shared" si="488"/>
        <v>253064.02900000001</v>
      </c>
      <c r="DY26" s="117"/>
      <c r="DZ26">
        <f>DX27</f>
        <v>253204.55799999999</v>
      </c>
      <c r="EA26">
        <f t="shared" ref="EA26:FD26" si="489">DZ27</f>
        <v>253388.52600000001</v>
      </c>
      <c r="EB26">
        <f t="shared" si="489"/>
        <v>253668.87599999999</v>
      </c>
      <c r="EC26">
        <f t="shared" si="489"/>
        <v>253790.10699999999</v>
      </c>
      <c r="ED26">
        <f t="shared" si="489"/>
        <v>253948.77299999999</v>
      </c>
      <c r="EE26">
        <f t="shared" si="489"/>
        <v>254280.038</v>
      </c>
      <c r="EF26">
        <f t="shared" si="489"/>
        <v>254455.10699999999</v>
      </c>
      <c r="EG26">
        <f t="shared" si="489"/>
        <v>254645.99299999999</v>
      </c>
      <c r="EH26">
        <f t="shared" si="489"/>
        <v>254825.24100000001</v>
      </c>
      <c r="EI26">
        <f t="shared" si="489"/>
        <v>255209.014</v>
      </c>
      <c r="EJ26">
        <f t="shared" si="489"/>
        <v>255489.20699999999</v>
      </c>
      <c r="EK26">
        <f t="shared" si="489"/>
        <v>255734.74900000001</v>
      </c>
      <c r="EL26">
        <f t="shared" si="489"/>
        <v>255827.46900000001</v>
      </c>
      <c r="EM26">
        <f t="shared" si="489"/>
        <v>256035.62</v>
      </c>
      <c r="EN26">
        <f t="shared" si="489"/>
        <v>256390.46599999999</v>
      </c>
      <c r="EO26">
        <f t="shared" si="489"/>
        <v>256529.62899999999</v>
      </c>
      <c r="EP26">
        <f t="shared" si="489"/>
        <v>256712.96599999999</v>
      </c>
      <c r="EQ26">
        <f t="shared" si="489"/>
        <v>256971.916</v>
      </c>
      <c r="ER26">
        <f t="shared" si="489"/>
        <v>257394.15100000001</v>
      </c>
      <c r="ES26">
        <f t="shared" si="489"/>
        <v>257538.48</v>
      </c>
      <c r="ET26">
        <f t="shared" si="489"/>
        <v>257753.505</v>
      </c>
      <c r="EU26">
        <f t="shared" si="489"/>
        <v>258024.272</v>
      </c>
      <c r="EV26">
        <f t="shared" si="489"/>
        <v>258303.84400000001</v>
      </c>
      <c r="EW26">
        <f t="shared" si="489"/>
        <v>258876.61199999999</v>
      </c>
      <c r="EX26">
        <f t="shared" si="489"/>
        <v>259051.61799999999</v>
      </c>
      <c r="EY26">
        <f t="shared" si="489"/>
        <v>259150.15700000001</v>
      </c>
      <c r="EZ26">
        <f t="shared" si="489"/>
        <v>259289.94899999999</v>
      </c>
      <c r="FA26">
        <f t="shared" si="489"/>
        <v>259429.522</v>
      </c>
      <c r="FB26">
        <f t="shared" si="489"/>
        <v>259676.47399999999</v>
      </c>
      <c r="FC26">
        <f t="shared" si="489"/>
        <v>259871.927</v>
      </c>
      <c r="FD26">
        <f t="shared" si="489"/>
        <v>260110.402</v>
      </c>
      <c r="FE26" s="126"/>
      <c r="FF26">
        <f>FD27</f>
        <v>260371.20499999999</v>
      </c>
      <c r="FG26">
        <f t="shared" ref="FG26:GJ26" si="490">FF27</f>
        <v>260616.65700000001</v>
      </c>
      <c r="FH26">
        <f t="shared" si="490"/>
        <v>260829.00200000001</v>
      </c>
      <c r="FI26">
        <f t="shared" si="490"/>
        <v>261051.448</v>
      </c>
      <c r="FJ26">
        <f t="shared" si="490"/>
        <v>261246.68400000001</v>
      </c>
      <c r="FK26">
        <f t="shared" si="490"/>
        <v>261387.29399999999</v>
      </c>
      <c r="FL26">
        <f t="shared" si="490"/>
        <v>261559.027</v>
      </c>
      <c r="FM26">
        <f t="shared" si="490"/>
        <v>261735.111</v>
      </c>
      <c r="FN26">
        <f t="shared" si="490"/>
        <v>261897.995</v>
      </c>
      <c r="FO26">
        <f t="shared" si="490"/>
        <v>262331.46399999998</v>
      </c>
      <c r="FP26">
        <f t="shared" si="490"/>
        <v>262510.82699999999</v>
      </c>
      <c r="FQ26">
        <f t="shared" si="490"/>
        <v>262655.147</v>
      </c>
      <c r="FR26">
        <f t="shared" si="490"/>
        <v>263052.54499999998</v>
      </c>
      <c r="FS26">
        <f t="shared" si="490"/>
        <v>263241.19</v>
      </c>
      <c r="FT26">
        <f t="shared" si="490"/>
        <v>263474.576</v>
      </c>
      <c r="FU26">
        <f t="shared" si="490"/>
        <v>263741.34600000002</v>
      </c>
      <c r="FV26">
        <f t="shared" si="490"/>
        <v>263845.04300000001</v>
      </c>
      <c r="FW26">
        <f t="shared" si="490"/>
        <v>264019.66700000002</v>
      </c>
      <c r="FX26">
        <f t="shared" si="490"/>
        <v>264094.70899999997</v>
      </c>
      <c r="FY26">
        <f t="shared" si="490"/>
        <v>264265.82900000003</v>
      </c>
      <c r="FZ26">
        <f t="shared" si="490"/>
        <v>264461.06699999998</v>
      </c>
      <c r="GA26">
        <f t="shared" si="490"/>
        <v>264657.58199999999</v>
      </c>
      <c r="GB26">
        <f t="shared" si="490"/>
        <v>264825.76500000001</v>
      </c>
      <c r="GC26">
        <f t="shared" si="490"/>
        <v>265016.33500000002</v>
      </c>
      <c r="GD26">
        <f t="shared" si="490"/>
        <v>265151.995</v>
      </c>
      <c r="GE26">
        <f t="shared" si="490"/>
        <v>265294.24900000001</v>
      </c>
      <c r="GF26">
        <f t="shared" si="490"/>
        <v>265717.06800000003</v>
      </c>
      <c r="GG26">
        <f t="shared" si="490"/>
        <v>265956.27500000002</v>
      </c>
      <c r="GH26">
        <f t="shared" si="490"/>
        <v>266124.91700000002</v>
      </c>
      <c r="GI26">
        <f t="shared" si="490"/>
        <v>266486.78600000002</v>
      </c>
      <c r="GJ26">
        <f t="shared" si="490"/>
        <v>266726.42499999999</v>
      </c>
      <c r="GK26" s="127">
        <f>SUM(FF26:GJ26)</f>
        <v>8168345.2300000004</v>
      </c>
      <c r="GL26">
        <f>GJ27</f>
        <v>267009.016</v>
      </c>
      <c r="GM26">
        <f t="shared" ref="GM26:HN26" si="491">GL27</f>
        <v>267184.255</v>
      </c>
      <c r="GN26">
        <f t="shared" si="491"/>
        <v>267336.609</v>
      </c>
      <c r="GO26">
        <f t="shared" si="491"/>
        <v>267587.179</v>
      </c>
      <c r="GP26">
        <f t="shared" si="491"/>
        <v>267766.98</v>
      </c>
      <c r="GQ26">
        <f t="shared" si="491"/>
        <v>267997.27</v>
      </c>
      <c r="GR26">
        <f t="shared" si="491"/>
        <v>268137.87699999998</v>
      </c>
      <c r="GS26">
        <f t="shared" si="491"/>
        <v>268408.07799999998</v>
      </c>
      <c r="GT26">
        <f t="shared" si="491"/>
        <v>268801.18800000002</v>
      </c>
      <c r="GU26">
        <f t="shared" si="491"/>
        <v>268963.44300000003</v>
      </c>
      <c r="GV26">
        <f t="shared" si="491"/>
        <v>269120.75599999999</v>
      </c>
      <c r="GW26">
        <f t="shared" si="491"/>
        <v>269290.08399999997</v>
      </c>
      <c r="GX26">
        <f t="shared" si="491"/>
        <v>269498.51799999998</v>
      </c>
      <c r="GY26">
        <f t="shared" si="491"/>
        <v>269657.98599999998</v>
      </c>
      <c r="GZ26">
        <f t="shared" si="491"/>
        <v>269722.92599999998</v>
      </c>
      <c r="HA26">
        <f t="shared" si="491"/>
        <v>269970.75199999998</v>
      </c>
      <c r="HB26">
        <f t="shared" si="491"/>
        <v>270090.20899999997</v>
      </c>
      <c r="HC26">
        <f t="shared" si="491"/>
        <v>270264.27799999999</v>
      </c>
      <c r="HD26">
        <f t="shared" si="491"/>
        <v>270358.73200000002</v>
      </c>
      <c r="HE26">
        <f t="shared" si="491"/>
        <v>270624.478</v>
      </c>
      <c r="HF26">
        <f t="shared" si="491"/>
        <v>270789.62099999998</v>
      </c>
      <c r="HG26">
        <f t="shared" si="491"/>
        <v>270938.44400000002</v>
      </c>
      <c r="HH26">
        <f t="shared" si="491"/>
        <v>271103.78600000002</v>
      </c>
      <c r="HI26">
        <f t="shared" si="491"/>
        <v>271343.14500000002</v>
      </c>
      <c r="HJ26">
        <f t="shared" si="491"/>
        <v>271461.46399999998</v>
      </c>
      <c r="HK26">
        <f t="shared" si="491"/>
        <v>271671.13799999998</v>
      </c>
      <c r="HL26">
        <f t="shared" si="491"/>
        <v>271839.929</v>
      </c>
      <c r="HM26">
        <f t="shared" si="491"/>
        <v>272023.21799999999</v>
      </c>
      <c r="HN26">
        <f t="shared" si="491"/>
        <v>272228.62199999997</v>
      </c>
      <c r="HO26" s="127">
        <f>SUM(GL26:HN26)</f>
        <v>7821189.9809999987</v>
      </c>
      <c r="HP26">
        <f>HN27</f>
        <v>272352.51899999997</v>
      </c>
      <c r="HQ26">
        <f t="shared" ref="HQ26:IT26" si="492">HP27</f>
        <v>272582.44900000002</v>
      </c>
      <c r="HR26">
        <f t="shared" si="492"/>
        <v>272841.22399999999</v>
      </c>
      <c r="HS26">
        <f t="shared" si="492"/>
        <v>272976.45899999997</v>
      </c>
      <c r="HT26">
        <f t="shared" si="492"/>
        <v>273339.32900000003</v>
      </c>
      <c r="HU26">
        <f t="shared" si="492"/>
        <v>273613.78999999998</v>
      </c>
      <c r="HV26">
        <f t="shared" si="492"/>
        <v>273910.26500000001</v>
      </c>
      <c r="HW26">
        <f t="shared" si="492"/>
        <v>274146.31800000003</v>
      </c>
      <c r="HX26">
        <f t="shared" si="492"/>
        <v>274353.08</v>
      </c>
      <c r="HY26">
        <f t="shared" si="492"/>
        <v>274521.92599999998</v>
      </c>
      <c r="HZ26">
        <f t="shared" si="492"/>
        <v>274837.36200000002</v>
      </c>
      <c r="IA26">
        <f t="shared" si="492"/>
        <v>275072.685</v>
      </c>
      <c r="IB26">
        <f t="shared" si="492"/>
        <v>275343.179</v>
      </c>
      <c r="IC26">
        <f t="shared" si="492"/>
        <v>275497.848</v>
      </c>
      <c r="ID26">
        <f t="shared" si="492"/>
        <v>275757.397</v>
      </c>
      <c r="IE26">
        <f t="shared" si="492"/>
        <v>276008.141</v>
      </c>
      <c r="IF26">
        <f t="shared" si="492"/>
        <v>276157.82500000001</v>
      </c>
      <c r="IG26">
        <f t="shared" si="492"/>
        <v>276496.12900000002</v>
      </c>
      <c r="IH26">
        <f t="shared" si="492"/>
        <v>276658.946</v>
      </c>
      <c r="II26">
        <f t="shared" si="492"/>
        <v>276897.32</v>
      </c>
      <c r="IJ26">
        <f t="shared" si="492"/>
        <v>277149.43099999998</v>
      </c>
      <c r="IK26">
        <f t="shared" si="492"/>
        <v>277569.61700000003</v>
      </c>
      <c r="IL26">
        <f t="shared" si="492"/>
        <v>277871.42200000002</v>
      </c>
      <c r="IM26">
        <f t="shared" si="492"/>
        <v>278056.05300000001</v>
      </c>
      <c r="IN26">
        <f t="shared" si="492"/>
        <v>278221.09499999997</v>
      </c>
      <c r="IO26">
        <f t="shared" si="492"/>
        <v>278448.77299999999</v>
      </c>
      <c r="IP26">
        <f t="shared" si="492"/>
        <v>278621.837</v>
      </c>
      <c r="IQ26">
        <f t="shared" si="492"/>
        <v>278772.33500000002</v>
      </c>
      <c r="IR26">
        <f t="shared" si="492"/>
        <v>278990.31199999998</v>
      </c>
      <c r="IS26">
        <f t="shared" si="492"/>
        <v>279213.66499999998</v>
      </c>
      <c r="IT26">
        <f t="shared" si="492"/>
        <v>279344.11499999999</v>
      </c>
      <c r="IU26" s="127">
        <f>SUM(HP26:IT26)</f>
        <v>8555622.845999999</v>
      </c>
      <c r="IV26">
        <f>IT27</f>
        <v>279578.58199999999</v>
      </c>
      <c r="IW26">
        <f t="shared" ref="IW26:JY26" si="493">IV27</f>
        <v>279760.54499999998</v>
      </c>
      <c r="IX26">
        <f t="shared" si="493"/>
        <v>279952.87</v>
      </c>
      <c r="IY26">
        <f t="shared" si="493"/>
        <v>280116.39199999999</v>
      </c>
      <c r="IZ26">
        <f t="shared" si="493"/>
        <v>280371.59399999998</v>
      </c>
      <c r="JA26">
        <f t="shared" si="493"/>
        <v>280539.511</v>
      </c>
      <c r="JB26">
        <f t="shared" si="493"/>
        <v>280732.712</v>
      </c>
      <c r="JC26">
        <f t="shared" si="493"/>
        <v>280896.41700000002</v>
      </c>
      <c r="JD26">
        <f t="shared" si="493"/>
        <v>281264.92200000002</v>
      </c>
      <c r="JE26">
        <f t="shared" si="493"/>
        <v>281447.27799999999</v>
      </c>
      <c r="JF26">
        <f t="shared" si="493"/>
        <v>281587.94699999999</v>
      </c>
      <c r="JG26">
        <f t="shared" si="493"/>
        <v>281792.82299999997</v>
      </c>
      <c r="JH26">
        <f t="shared" si="493"/>
        <v>282094.94400000002</v>
      </c>
      <c r="JI26">
        <f t="shared" si="493"/>
        <v>282210.16899999999</v>
      </c>
      <c r="JJ26">
        <f t="shared" si="493"/>
        <v>282355.45500000002</v>
      </c>
      <c r="JK26">
        <f t="shared" si="493"/>
        <v>282592.83</v>
      </c>
      <c r="JL26">
        <f t="shared" si="493"/>
        <v>282787.64299999998</v>
      </c>
      <c r="JM26">
        <f t="shared" si="493"/>
        <v>283019.103</v>
      </c>
      <c r="JN26">
        <f t="shared" si="493"/>
        <v>283199.70899999997</v>
      </c>
      <c r="JO26">
        <f t="shared" si="493"/>
        <v>283435.81400000001</v>
      </c>
      <c r="JP26">
        <f t="shared" si="493"/>
        <v>283695.29399999999</v>
      </c>
      <c r="JQ26">
        <f t="shared" si="493"/>
        <v>283771.641</v>
      </c>
      <c r="JR26">
        <f t="shared" si="493"/>
        <v>283945.90500000003</v>
      </c>
      <c r="JS26">
        <f t="shared" si="493"/>
        <v>284105.23800000001</v>
      </c>
      <c r="JT26">
        <f t="shared" si="493"/>
        <v>284298.288</v>
      </c>
      <c r="JU26">
        <f t="shared" si="493"/>
        <v>284522.28499999997</v>
      </c>
      <c r="JV26">
        <f t="shared" si="493"/>
        <v>284646.18699999998</v>
      </c>
      <c r="JW26">
        <f t="shared" si="493"/>
        <v>284769.973</v>
      </c>
      <c r="JX26">
        <f t="shared" si="493"/>
        <v>285060.02299999999</v>
      </c>
      <c r="JY26">
        <f t="shared" si="493"/>
        <v>285223.21299999999</v>
      </c>
      <c r="JZ26" s="127">
        <v>0</v>
      </c>
      <c r="KA26">
        <f>JY27</f>
        <v>285534.62599999999</v>
      </c>
      <c r="KB26">
        <f t="shared" ref="KB26:LE26" si="494">KA27</f>
        <v>285722.70199999999</v>
      </c>
      <c r="KC26">
        <f t="shared" si="494"/>
        <v>285919.429</v>
      </c>
      <c r="KD26">
        <f t="shared" si="494"/>
        <v>286094.47899999999</v>
      </c>
      <c r="KE26">
        <f t="shared" si="494"/>
        <v>286228.42200000002</v>
      </c>
      <c r="KF26">
        <f t="shared" si="494"/>
        <v>286424.26799999998</v>
      </c>
      <c r="KG26">
        <f t="shared" si="494"/>
        <v>286558.51199999999</v>
      </c>
      <c r="KH26">
        <f t="shared" si="494"/>
        <v>286755.17300000001</v>
      </c>
      <c r="KI26">
        <f t="shared" si="494"/>
        <v>286880.32799999998</v>
      </c>
      <c r="KJ26">
        <f t="shared" si="494"/>
        <v>287123.70899999997</v>
      </c>
      <c r="KK26">
        <f t="shared" si="494"/>
        <v>287242.52500000002</v>
      </c>
      <c r="KL26">
        <f t="shared" si="494"/>
        <v>287452.33799999999</v>
      </c>
      <c r="KM26">
        <f t="shared" si="494"/>
        <v>287637</v>
      </c>
      <c r="KN26">
        <f t="shared" si="494"/>
        <v>287876.36599999998</v>
      </c>
      <c r="KO26">
        <f t="shared" si="494"/>
        <v>288372.99900000001</v>
      </c>
      <c r="KP26">
        <f t="shared" si="494"/>
        <v>288471.06800000003</v>
      </c>
      <c r="KQ26">
        <f t="shared" si="494"/>
        <v>288687.83500000002</v>
      </c>
      <c r="KR26">
        <f t="shared" si="494"/>
        <v>289045.364</v>
      </c>
      <c r="KS26">
        <f t="shared" si="494"/>
        <v>289445.89199999999</v>
      </c>
      <c r="KT26">
        <f t="shared" si="494"/>
        <v>289737.42300000001</v>
      </c>
      <c r="KU26">
        <f t="shared" si="494"/>
        <v>290048.89600000001</v>
      </c>
      <c r="KV26">
        <f t="shared" si="494"/>
        <v>290355.598</v>
      </c>
      <c r="KW26">
        <f t="shared" si="494"/>
        <v>290552.52899999998</v>
      </c>
      <c r="KX26">
        <f t="shared" si="494"/>
        <v>290791.90899999999</v>
      </c>
      <c r="KY26">
        <f t="shared" si="494"/>
        <v>291156.44699999999</v>
      </c>
      <c r="KZ26">
        <f t="shared" si="494"/>
        <v>291386.799</v>
      </c>
      <c r="LA26">
        <f t="shared" si="494"/>
        <v>291546.60100000002</v>
      </c>
      <c r="LB26">
        <f t="shared" si="494"/>
        <v>291727.78499999997</v>
      </c>
      <c r="LC26">
        <f t="shared" si="494"/>
        <v>292123.18099999998</v>
      </c>
      <c r="LD26">
        <f t="shared" si="494"/>
        <v>292453.02100000001</v>
      </c>
      <c r="LE26">
        <f t="shared" si="494"/>
        <v>292668.87599999999</v>
      </c>
      <c r="LF26" s="127">
        <v>0</v>
      </c>
      <c r="LG26">
        <f>LE27</f>
        <v>293039.21500000003</v>
      </c>
      <c r="LH26">
        <f t="shared" ref="LH26:MJ26" si="495">LG27</f>
        <v>293283.90899999999</v>
      </c>
      <c r="LI26">
        <f t="shared" si="495"/>
        <v>293649.86</v>
      </c>
      <c r="LJ26">
        <f t="shared" si="495"/>
        <v>294013.56099999999</v>
      </c>
      <c r="LK26">
        <f t="shared" si="495"/>
        <v>294300.70899999997</v>
      </c>
      <c r="LL26">
        <f t="shared" si="495"/>
        <v>294728.31199999998</v>
      </c>
      <c r="LM26">
        <f t="shared" si="495"/>
        <v>294999.64199999999</v>
      </c>
      <c r="LN26">
        <f t="shared" si="495"/>
        <v>295430.36</v>
      </c>
      <c r="LO26">
        <f t="shared" si="495"/>
        <v>295785.08799999999</v>
      </c>
      <c r="LP26">
        <f t="shared" si="495"/>
        <v>295946.48100000003</v>
      </c>
      <c r="LQ26">
        <f t="shared" si="495"/>
        <v>296134.31199999998</v>
      </c>
      <c r="LR26">
        <f t="shared" si="495"/>
        <v>296593.34700000001</v>
      </c>
      <c r="LS26">
        <f t="shared" si="495"/>
        <v>296904.25400000002</v>
      </c>
      <c r="LT26">
        <f t="shared" si="495"/>
        <v>297178.054</v>
      </c>
      <c r="LU26">
        <f t="shared" si="495"/>
        <v>297627.679</v>
      </c>
      <c r="LV26">
        <f t="shared" si="495"/>
        <v>297991.40000000002</v>
      </c>
      <c r="LW26">
        <f t="shared" si="495"/>
        <v>298191.78499999997</v>
      </c>
      <c r="LX26">
        <f t="shared" si="495"/>
        <v>298316.68400000001</v>
      </c>
      <c r="LY26">
        <f t="shared" si="495"/>
        <v>298697.21500000003</v>
      </c>
      <c r="LZ26">
        <f t="shared" si="495"/>
        <v>298877.32699999999</v>
      </c>
      <c r="MA26">
        <f t="shared" si="495"/>
        <v>298970.55900000001</v>
      </c>
      <c r="MB26">
        <f t="shared" si="495"/>
        <v>299184.739</v>
      </c>
      <c r="MC26">
        <f t="shared" si="495"/>
        <v>299432.14899999998</v>
      </c>
      <c r="MD26">
        <f t="shared" si="495"/>
        <v>299577.91700000002</v>
      </c>
      <c r="ME26">
        <f t="shared" si="495"/>
        <v>299790.31199999998</v>
      </c>
      <c r="MF26">
        <f t="shared" si="495"/>
        <v>299957.30300000001</v>
      </c>
      <c r="MG26">
        <f t="shared" si="495"/>
        <v>300318.13900000002</v>
      </c>
      <c r="MH26">
        <f t="shared" si="495"/>
        <v>300512.81099999999</v>
      </c>
      <c r="MI26">
        <f t="shared" si="495"/>
        <v>300801.71100000001</v>
      </c>
      <c r="MJ26">
        <f t="shared" si="495"/>
        <v>301010.375</v>
      </c>
      <c r="MK26" s="127">
        <v>0</v>
      </c>
      <c r="ML26">
        <f>MJ27</f>
        <v>301181.80599999998</v>
      </c>
      <c r="MM26">
        <f t="shared" ref="MM26:NP26" si="496">ML27</f>
        <v>301332.03700000001</v>
      </c>
      <c r="MN26">
        <f t="shared" si="496"/>
        <v>301357.65600000002</v>
      </c>
      <c r="MO26">
        <f t="shared" si="496"/>
        <v>301360.17</v>
      </c>
      <c r="MP26">
        <f t="shared" si="496"/>
        <v>301557.34000000003</v>
      </c>
      <c r="MQ26">
        <f t="shared" si="496"/>
        <v>301884.53899999999</v>
      </c>
      <c r="MR26">
        <f t="shared" si="496"/>
        <v>301892.78600000002</v>
      </c>
      <c r="MS26">
        <f t="shared" si="496"/>
        <v>301892.78600000002</v>
      </c>
      <c r="MT26">
        <f t="shared" si="496"/>
        <v>301892.78600000002</v>
      </c>
      <c r="MU26">
        <f t="shared" si="496"/>
        <v>301894.848</v>
      </c>
      <c r="MV26">
        <f t="shared" si="496"/>
        <v>301994.06599999999</v>
      </c>
      <c r="MW26">
        <f t="shared" si="496"/>
        <v>302249.60499999998</v>
      </c>
      <c r="MX26">
        <f t="shared" si="496"/>
        <v>302497.7</v>
      </c>
      <c r="MY26">
        <f t="shared" si="496"/>
        <v>302642.30599999998</v>
      </c>
      <c r="MZ26">
        <f t="shared" si="496"/>
        <v>302833.37199999997</v>
      </c>
      <c r="NA26">
        <f t="shared" si="496"/>
        <v>303134.467</v>
      </c>
      <c r="NB26">
        <f t="shared" si="496"/>
        <v>303361.592</v>
      </c>
      <c r="NC26">
        <f t="shared" si="496"/>
        <v>303683.08100000001</v>
      </c>
      <c r="ND26">
        <f t="shared" si="496"/>
        <v>303993.96799999999</v>
      </c>
      <c r="NE26">
        <f t="shared" si="496"/>
        <v>304323.86200000002</v>
      </c>
      <c r="NF26">
        <f t="shared" si="496"/>
        <v>304443.87900000002</v>
      </c>
      <c r="NG26">
        <f t="shared" si="496"/>
        <v>304597.64799999999</v>
      </c>
      <c r="NH26">
        <f t="shared" si="496"/>
        <v>304809.96500000003</v>
      </c>
      <c r="NI26">
        <f t="shared" si="496"/>
        <v>304991.033</v>
      </c>
      <c r="NJ26">
        <f t="shared" si="496"/>
        <v>305129.17499999999</v>
      </c>
      <c r="NK26">
        <f t="shared" si="496"/>
        <v>305279.61599999998</v>
      </c>
      <c r="NL26">
        <f t="shared" si="496"/>
        <v>305702.29599999997</v>
      </c>
      <c r="NM26">
        <f t="shared" si="496"/>
        <v>305850.85499999998</v>
      </c>
      <c r="NN26">
        <f t="shared" si="496"/>
        <v>306196.02899999998</v>
      </c>
      <c r="NO26">
        <f t="shared" si="496"/>
        <v>306327.12</v>
      </c>
      <c r="NP26">
        <f t="shared" si="496"/>
        <v>306496.30200000003</v>
      </c>
      <c r="NQ26" s="127">
        <v>0</v>
      </c>
      <c r="NR26">
        <f>NP27</f>
        <v>306642.57500000001</v>
      </c>
      <c r="NS26">
        <f t="shared" ref="NS26:OV26" si="497">NR27</f>
        <v>306831.77299999999</v>
      </c>
      <c r="NT26">
        <f t="shared" si="497"/>
        <v>307226.20899999997</v>
      </c>
      <c r="NU26">
        <f t="shared" si="497"/>
        <v>307448.11599999998</v>
      </c>
      <c r="NV26">
        <f t="shared" si="497"/>
        <v>307717.30300000001</v>
      </c>
      <c r="NW26">
        <f t="shared" si="497"/>
        <v>307830.94699999999</v>
      </c>
      <c r="NX26">
        <f t="shared" si="497"/>
        <v>308088.85200000001</v>
      </c>
      <c r="NY26">
        <f t="shared" si="497"/>
        <v>308327.84399999998</v>
      </c>
      <c r="NZ26">
        <f t="shared" si="497"/>
        <v>308525.14500000002</v>
      </c>
      <c r="OA26">
        <f t="shared" si="497"/>
        <v>308736.98100000003</v>
      </c>
      <c r="OB26">
        <f t="shared" si="497"/>
        <v>308922.27100000001</v>
      </c>
      <c r="OC26">
        <f t="shared" si="497"/>
        <v>309083.34399999998</v>
      </c>
      <c r="OD26">
        <f t="shared" si="497"/>
        <v>309265.46999999997</v>
      </c>
      <c r="OE26">
        <f t="shared" si="497"/>
        <v>309626.76199999999</v>
      </c>
      <c r="OF26">
        <f t="shared" si="497"/>
        <v>310037.81699999998</v>
      </c>
      <c r="OG26">
        <f t="shared" si="497"/>
        <v>310209.21799999999</v>
      </c>
      <c r="OH26">
        <f t="shared" si="497"/>
        <v>310470.84700000001</v>
      </c>
      <c r="OI26">
        <f t="shared" si="497"/>
        <v>310628.717</v>
      </c>
      <c r="OJ26">
        <f t="shared" si="497"/>
        <v>311003.40899999999</v>
      </c>
      <c r="OK26">
        <f t="shared" si="497"/>
        <v>311213.13299999997</v>
      </c>
      <c r="OL26">
        <f t="shared" si="497"/>
        <v>311412.53200000001</v>
      </c>
      <c r="OM26">
        <f t="shared" si="497"/>
        <v>311550.45</v>
      </c>
      <c r="ON26">
        <f t="shared" si="497"/>
        <v>311766.70799999998</v>
      </c>
      <c r="OO26">
        <f t="shared" si="497"/>
        <v>312047.82199999999</v>
      </c>
      <c r="OP26">
        <f t="shared" si="497"/>
        <v>312307.45</v>
      </c>
      <c r="OQ26">
        <f t="shared" si="497"/>
        <v>312452.95400000003</v>
      </c>
      <c r="OR26">
        <f t="shared" si="497"/>
        <v>312780.84499999997</v>
      </c>
      <c r="OS26">
        <f t="shared" si="497"/>
        <v>312959.82299999997</v>
      </c>
      <c r="OT26">
        <f t="shared" si="497"/>
        <v>313239.951</v>
      </c>
      <c r="OU26">
        <f t="shared" si="497"/>
        <v>313468.89500000002</v>
      </c>
      <c r="OV26">
        <f t="shared" si="497"/>
        <v>313720.098</v>
      </c>
      <c r="OW26" s="127">
        <v>0</v>
      </c>
      <c r="OX26">
        <f>OV27</f>
        <v>314088.5</v>
      </c>
      <c r="OY26">
        <f t="shared" ref="OY26:QA26" si="498">OX27</f>
        <v>314234.842</v>
      </c>
      <c r="OZ26">
        <f t="shared" si="498"/>
        <v>314711.12</v>
      </c>
      <c r="PA26">
        <f t="shared" si="498"/>
        <v>314895.35200000001</v>
      </c>
      <c r="PB26">
        <f t="shared" si="498"/>
        <v>315086.96500000003</v>
      </c>
      <c r="PC26">
        <f t="shared" si="498"/>
        <v>315323.21399999998</v>
      </c>
      <c r="PD26">
        <f t="shared" si="498"/>
        <v>315531.28600000002</v>
      </c>
      <c r="PE26">
        <f t="shared" si="498"/>
        <v>315774.83500000002</v>
      </c>
      <c r="PF26">
        <f t="shared" si="498"/>
        <v>315916.21999999997</v>
      </c>
      <c r="PG26">
        <f t="shared" si="498"/>
        <v>316142.99099999998</v>
      </c>
      <c r="PH26">
        <f t="shared" si="498"/>
        <v>316336.28999999998</v>
      </c>
      <c r="PI26">
        <f t="shared" si="498"/>
        <v>316721.85600000003</v>
      </c>
      <c r="PJ26">
        <f t="shared" si="498"/>
        <v>316987.098</v>
      </c>
      <c r="PK26">
        <f t="shared" si="498"/>
        <v>317272.20299999998</v>
      </c>
      <c r="PL26">
        <f t="shared" si="498"/>
        <v>317516.45799999998</v>
      </c>
      <c r="PM26">
        <f t="shared" si="498"/>
        <v>317728.489</v>
      </c>
      <c r="PN26">
        <f t="shared" si="498"/>
        <v>317902.61900000001</v>
      </c>
      <c r="PO26">
        <f t="shared" si="498"/>
        <v>318131.93099999998</v>
      </c>
      <c r="PP26">
        <f t="shared" si="498"/>
        <v>318269.41499999998</v>
      </c>
      <c r="PQ26">
        <f t="shared" si="498"/>
        <v>318478.70600000001</v>
      </c>
      <c r="PR26">
        <f t="shared" si="498"/>
        <v>318693.69</v>
      </c>
      <c r="PS26">
        <f t="shared" si="498"/>
        <v>318812.86800000002</v>
      </c>
      <c r="PT26">
        <f t="shared" si="498"/>
        <v>319013.30800000002</v>
      </c>
      <c r="PU26">
        <f t="shared" si="498"/>
        <v>319043.63500000001</v>
      </c>
      <c r="PV26">
        <f t="shared" si="498"/>
        <v>319167.80300000001</v>
      </c>
      <c r="PW26">
        <f t="shared" si="498"/>
        <v>319291.61499999999</v>
      </c>
      <c r="PX26">
        <f t="shared" si="498"/>
        <v>319672.62199999997</v>
      </c>
      <c r="PY26">
        <f t="shared" si="498"/>
        <v>319932.20699999999</v>
      </c>
      <c r="PZ26">
        <f t="shared" si="498"/>
        <v>320149.30699999997</v>
      </c>
      <c r="QA26">
        <f t="shared" si="498"/>
        <v>320272.94799999997</v>
      </c>
      <c r="QB26" s="127">
        <v>0</v>
      </c>
      <c r="QC26">
        <f>QA27</f>
        <v>320592.57400000002</v>
      </c>
      <c r="QD26">
        <f t="shared" ref="QD26:RG26" si="499">QC27</f>
        <v>320815.55499999999</v>
      </c>
      <c r="QE26">
        <f t="shared" si="499"/>
        <v>320978.53399999999</v>
      </c>
      <c r="QF26">
        <f t="shared" si="499"/>
        <v>321078.37400000001</v>
      </c>
      <c r="QG26">
        <f t="shared" si="499"/>
        <v>321234.39899999998</v>
      </c>
      <c r="QH26">
        <f t="shared" si="499"/>
        <v>321472.78700000001</v>
      </c>
      <c r="QI26">
        <f t="shared" si="499"/>
        <v>321622.071</v>
      </c>
      <c r="QJ26">
        <f t="shared" si="499"/>
        <v>321883.05800000002</v>
      </c>
      <c r="QK26">
        <f t="shared" si="499"/>
        <v>322117.41200000001</v>
      </c>
      <c r="QL26">
        <f t="shared" si="499"/>
        <v>322317.61900000001</v>
      </c>
      <c r="QM26">
        <f t="shared" si="499"/>
        <v>322514.391</v>
      </c>
      <c r="QN26">
        <f t="shared" si="499"/>
        <v>322809.55499999999</v>
      </c>
      <c r="QO26">
        <f t="shared" si="499"/>
        <v>323165.45500000002</v>
      </c>
      <c r="QP26">
        <f t="shared" si="499"/>
        <v>323532.23100000003</v>
      </c>
      <c r="QQ26">
        <f t="shared" si="499"/>
        <v>323736.38900000002</v>
      </c>
      <c r="QR26">
        <f t="shared" si="499"/>
        <v>323897.50799999997</v>
      </c>
      <c r="QS26">
        <f t="shared" si="499"/>
        <v>324102.77100000001</v>
      </c>
      <c r="QT26">
        <f t="shared" si="499"/>
        <v>324335.91600000003</v>
      </c>
      <c r="QU26">
        <f t="shared" si="499"/>
        <v>324889.26799999998</v>
      </c>
      <c r="QV26">
        <f t="shared" si="499"/>
        <v>325059.96299999999</v>
      </c>
      <c r="QW26">
        <f t="shared" si="499"/>
        <v>325259.53700000001</v>
      </c>
      <c r="QX26">
        <f t="shared" si="499"/>
        <v>325459.46100000001</v>
      </c>
      <c r="QY26">
        <f t="shared" si="499"/>
        <v>325735.26</v>
      </c>
      <c r="QZ26">
        <f t="shared" si="499"/>
        <v>325966.2</v>
      </c>
      <c r="RA26">
        <f t="shared" si="499"/>
        <v>326116.01799999998</v>
      </c>
      <c r="RB26">
        <f t="shared" si="499"/>
        <v>326432.97600000002</v>
      </c>
      <c r="RC26">
        <f t="shared" si="499"/>
        <v>326689.09700000001</v>
      </c>
      <c r="RD26">
        <f t="shared" si="499"/>
        <v>326818.25199999998</v>
      </c>
      <c r="RE26">
        <f t="shared" si="499"/>
        <v>326992.86800000002</v>
      </c>
      <c r="RF26">
        <f t="shared" si="499"/>
        <v>327151.408</v>
      </c>
      <c r="RG26">
        <f t="shared" si="499"/>
        <v>327291.85700000002</v>
      </c>
      <c r="RH26" s="127">
        <v>0</v>
      </c>
      <c r="RI26">
        <f>RG27</f>
        <v>327581.87800000003</v>
      </c>
      <c r="RJ26">
        <f t="shared" ref="RJ26:SL26" si="500">RI27</f>
        <v>327823.00300000003</v>
      </c>
      <c r="RK26">
        <f t="shared" si="500"/>
        <v>328017.609</v>
      </c>
      <c r="RL26">
        <f t="shared" si="500"/>
        <v>328311.57699999999</v>
      </c>
      <c r="RM26">
        <f t="shared" si="500"/>
        <v>328455.83500000002</v>
      </c>
      <c r="RN26">
        <f t="shared" si="500"/>
        <v>328634.55599999998</v>
      </c>
      <c r="RO26">
        <f t="shared" si="500"/>
        <v>328756.96100000001</v>
      </c>
      <c r="RP26">
        <f t="shared" si="500"/>
        <v>328902.45400000003</v>
      </c>
      <c r="RQ26">
        <f t="shared" si="500"/>
        <v>329028.18800000002</v>
      </c>
      <c r="RR26">
        <f t="shared" si="500"/>
        <v>329255.99099999998</v>
      </c>
      <c r="RS26">
        <f t="shared" si="500"/>
        <v>329468.77100000001</v>
      </c>
      <c r="RT26">
        <f t="shared" si="500"/>
        <v>329809.38099999999</v>
      </c>
      <c r="RU26">
        <f t="shared" si="500"/>
        <v>329925.71100000001</v>
      </c>
      <c r="RV26">
        <f t="shared" si="500"/>
        <v>330160.32299999997</v>
      </c>
      <c r="RW26">
        <f t="shared" si="500"/>
        <v>330283.58500000002</v>
      </c>
      <c r="RX26">
        <f t="shared" si="500"/>
        <v>330459.42</v>
      </c>
      <c r="RY26">
        <f t="shared" si="500"/>
        <v>330578.44</v>
      </c>
      <c r="RZ26">
        <f t="shared" si="500"/>
        <v>330708.83600000001</v>
      </c>
      <c r="SA26">
        <f t="shared" si="500"/>
        <v>330925.14799999999</v>
      </c>
      <c r="SB26">
        <f t="shared" si="500"/>
        <v>331046.402</v>
      </c>
      <c r="SC26">
        <f t="shared" si="500"/>
        <v>331396.25300000003</v>
      </c>
      <c r="SD26">
        <f t="shared" si="500"/>
        <v>331544.14199999999</v>
      </c>
      <c r="SE26">
        <f t="shared" si="500"/>
        <v>331723.68</v>
      </c>
      <c r="SF26">
        <f t="shared" si="500"/>
        <v>331994.413</v>
      </c>
      <c r="SG26">
        <f t="shared" si="500"/>
        <v>332148.95899999997</v>
      </c>
      <c r="SH26">
        <f t="shared" si="500"/>
        <v>332488.37599999999</v>
      </c>
      <c r="SI26">
        <f t="shared" si="500"/>
        <v>332653.08100000001</v>
      </c>
      <c r="SJ26">
        <f t="shared" si="500"/>
        <v>332834.91499999998</v>
      </c>
      <c r="SK26">
        <f t="shared" si="500"/>
        <v>333041.51799999998</v>
      </c>
      <c r="SL26">
        <f t="shared" si="500"/>
        <v>333245.94799999997</v>
      </c>
      <c r="SM26" s="127">
        <v>0</v>
      </c>
      <c r="SN26">
        <f>SL27</f>
        <v>333426.03200000001</v>
      </c>
      <c r="SO26">
        <f t="shared" ref="SO26:TR26" si="501">SN27</f>
        <v>333598.14899999998</v>
      </c>
      <c r="SP26">
        <f t="shared" si="501"/>
        <v>334096.62400000001</v>
      </c>
      <c r="SQ26">
        <f t="shared" si="501"/>
        <v>335236.58600000001</v>
      </c>
      <c r="SR26">
        <f t="shared" si="501"/>
        <v>335434.65000000002</v>
      </c>
      <c r="SS26">
        <f t="shared" si="501"/>
        <v>335885.924</v>
      </c>
      <c r="ST26">
        <f t="shared" si="501"/>
        <v>336075.56099999999</v>
      </c>
      <c r="SU26">
        <f t="shared" si="501"/>
        <v>336439.375</v>
      </c>
      <c r="SV26">
        <f t="shared" si="501"/>
        <v>336651.86099999998</v>
      </c>
      <c r="SW26">
        <f t="shared" si="501"/>
        <v>337089.24</v>
      </c>
      <c r="SX26">
        <f t="shared" si="501"/>
        <v>337361.04399999999</v>
      </c>
      <c r="SY26">
        <f t="shared" si="501"/>
        <v>337618.495</v>
      </c>
      <c r="SZ26">
        <f t="shared" si="501"/>
        <v>337752.495</v>
      </c>
      <c r="TA26">
        <f t="shared" si="501"/>
        <v>338041.62900000002</v>
      </c>
      <c r="TB26">
        <f t="shared" si="501"/>
        <v>338364.89899999998</v>
      </c>
      <c r="TC26">
        <f t="shared" si="501"/>
        <v>338609.40600000002</v>
      </c>
      <c r="TD26">
        <f t="shared" si="501"/>
        <v>338840.94300000003</v>
      </c>
      <c r="TE26">
        <f t="shared" si="501"/>
        <v>339071.99599999998</v>
      </c>
      <c r="TF26">
        <f t="shared" si="501"/>
        <v>339404.87599999999</v>
      </c>
      <c r="TG26">
        <f t="shared" si="501"/>
        <v>339737.66899999999</v>
      </c>
      <c r="TH26">
        <f t="shared" si="501"/>
        <v>339907.24099999998</v>
      </c>
      <c r="TI26">
        <f t="shared" si="501"/>
        <v>340222.00199999998</v>
      </c>
      <c r="TJ26">
        <f t="shared" si="501"/>
        <v>340568.99300000002</v>
      </c>
      <c r="TK26">
        <f t="shared" si="501"/>
        <v>340923.13799999998</v>
      </c>
      <c r="TL26">
        <f t="shared" si="501"/>
        <v>341272.36700000003</v>
      </c>
      <c r="TM26">
        <f t="shared" si="501"/>
        <v>341373.27399999998</v>
      </c>
      <c r="TN26">
        <f t="shared" si="501"/>
        <v>341459.57400000002</v>
      </c>
      <c r="TO26">
        <f t="shared" si="501"/>
        <v>341595.14600000001</v>
      </c>
      <c r="TP26">
        <f t="shared" si="501"/>
        <v>341803.19799999997</v>
      </c>
      <c r="TQ26">
        <f t="shared" si="501"/>
        <v>341945.70500000002</v>
      </c>
      <c r="TR26">
        <f t="shared" si="501"/>
        <v>342167.217</v>
      </c>
      <c r="TS26" s="127">
        <v>0</v>
      </c>
      <c r="TT26">
        <f>TR27</f>
        <v>342368.55200000003</v>
      </c>
      <c r="TU26">
        <f t="shared" ref="TU26:UX26" si="502">TT27</f>
        <v>342482.62</v>
      </c>
      <c r="TV26">
        <f t="shared" si="502"/>
        <v>342761.92300000001</v>
      </c>
      <c r="TW26">
        <f t="shared" si="502"/>
        <v>343003.08299999998</v>
      </c>
      <c r="TX26">
        <f t="shared" si="502"/>
        <v>343207.34399999998</v>
      </c>
      <c r="TY26">
        <f t="shared" si="502"/>
        <v>343388.99300000002</v>
      </c>
      <c r="TZ26">
        <f t="shared" si="502"/>
        <v>343682.25099999999</v>
      </c>
      <c r="UA26">
        <f t="shared" si="502"/>
        <v>343833.78399999999</v>
      </c>
      <c r="UB26">
        <f t="shared" si="502"/>
        <v>344057.66200000001</v>
      </c>
      <c r="UC26">
        <f t="shared" si="502"/>
        <v>344270.85800000001</v>
      </c>
      <c r="UD26">
        <f t="shared" si="502"/>
        <v>344412.46899999998</v>
      </c>
      <c r="UE26">
        <f t="shared" si="502"/>
        <v>344545.35</v>
      </c>
      <c r="UF26">
        <f t="shared" si="502"/>
        <v>344742.85200000001</v>
      </c>
      <c r="UG26">
        <f t="shared" si="502"/>
        <v>344922.71899999998</v>
      </c>
      <c r="UH26">
        <f t="shared" si="502"/>
        <v>345152.04200000002</v>
      </c>
      <c r="UI26">
        <f t="shared" si="502"/>
        <v>345339.80599999998</v>
      </c>
      <c r="UJ26">
        <f t="shared" si="502"/>
        <v>345556.38099999999</v>
      </c>
      <c r="UK26">
        <f t="shared" si="502"/>
        <v>345758.55099999998</v>
      </c>
      <c r="UL26">
        <f t="shared" si="502"/>
        <v>346191.59299999999</v>
      </c>
      <c r="UM26">
        <f t="shared" si="502"/>
        <v>346481.91600000003</v>
      </c>
      <c r="UN26">
        <f t="shared" si="502"/>
        <v>346658.304</v>
      </c>
      <c r="UO26">
        <f t="shared" si="502"/>
        <v>346995.69799999997</v>
      </c>
      <c r="UP26">
        <f t="shared" si="502"/>
        <v>347499.29499999998</v>
      </c>
      <c r="UQ26">
        <f t="shared" si="502"/>
        <v>347691.71799999999</v>
      </c>
      <c r="UR26">
        <f t="shared" si="502"/>
        <v>347987.41899999999</v>
      </c>
      <c r="US26">
        <f t="shared" si="502"/>
        <v>348313.34899999999</v>
      </c>
      <c r="UT26">
        <f t="shared" si="502"/>
        <v>348579.03399999999</v>
      </c>
      <c r="UU26">
        <f t="shared" si="502"/>
        <v>348863.46500000003</v>
      </c>
      <c r="UV26">
        <f t="shared" si="502"/>
        <v>348994.46</v>
      </c>
      <c r="UW26">
        <f t="shared" si="502"/>
        <v>348994.46</v>
      </c>
      <c r="UX26">
        <f t="shared" si="502"/>
        <v>349259.83899999998</v>
      </c>
      <c r="UY26" s="127">
        <v>0</v>
      </c>
      <c r="UZ26" s="89">
        <f>UX27</f>
        <v>349460.27</v>
      </c>
      <c r="VA26" s="89">
        <f t="shared" ref="VA26:WA26" si="503">UZ27</f>
        <v>349796.94099999999</v>
      </c>
      <c r="VB26" s="89">
        <f t="shared" si="503"/>
        <v>350017.87300000002</v>
      </c>
      <c r="VC26" s="89">
        <f t="shared" si="503"/>
        <v>350358.61</v>
      </c>
      <c r="VD26" s="89">
        <f t="shared" si="503"/>
        <v>350613.49300000002</v>
      </c>
      <c r="VE26" s="89">
        <f t="shared" si="503"/>
        <v>350841.76199999999</v>
      </c>
      <c r="VF26" s="89">
        <f t="shared" si="503"/>
        <v>350963.413</v>
      </c>
      <c r="VG26" s="89">
        <f t="shared" si="503"/>
        <v>351261.61499999999</v>
      </c>
      <c r="VH26" s="89">
        <f t="shared" si="503"/>
        <v>351513.533</v>
      </c>
      <c r="VI26" s="89">
        <f t="shared" si="503"/>
        <v>351676.32199999999</v>
      </c>
      <c r="VJ26" s="89">
        <f t="shared" si="503"/>
        <v>351934.67499999999</v>
      </c>
      <c r="VK26" s="89">
        <f t="shared" si="503"/>
        <v>352162.11200000002</v>
      </c>
      <c r="VL26" s="89">
        <f t="shared" si="503"/>
        <v>352375.989</v>
      </c>
      <c r="VM26" s="89">
        <f t="shared" si="503"/>
        <v>352713.03</v>
      </c>
      <c r="VN26" s="89">
        <f t="shared" si="503"/>
        <v>352969.25199999998</v>
      </c>
      <c r="VO26" s="89">
        <f t="shared" si="503"/>
        <v>353151.22200000001</v>
      </c>
      <c r="VP26" s="89">
        <f t="shared" si="503"/>
        <v>353408.13500000001</v>
      </c>
      <c r="VQ26" s="89">
        <f t="shared" si="503"/>
        <v>353505.93199999997</v>
      </c>
      <c r="VR26" s="89">
        <f t="shared" si="503"/>
        <v>353766.58</v>
      </c>
      <c r="VS26" s="89">
        <f t="shared" si="503"/>
        <v>354129.64799999999</v>
      </c>
      <c r="VT26" s="89">
        <f t="shared" si="503"/>
        <v>354390.071</v>
      </c>
      <c r="VU26" s="89">
        <f t="shared" si="503"/>
        <v>354644.56199999998</v>
      </c>
      <c r="VV26" s="89">
        <f t="shared" si="503"/>
        <v>354843.23599999998</v>
      </c>
      <c r="VW26" s="89">
        <f t="shared" si="503"/>
        <v>355044.33899999998</v>
      </c>
      <c r="VX26" s="89">
        <f t="shared" si="503"/>
        <v>355353.18099999998</v>
      </c>
      <c r="VY26" s="89">
        <f t="shared" si="503"/>
        <v>355625.76</v>
      </c>
      <c r="VZ26" s="89">
        <f t="shared" si="503"/>
        <v>355859.163</v>
      </c>
      <c r="WA26" s="89">
        <f t="shared" si="503"/>
        <v>356314.13299999997</v>
      </c>
      <c r="WB26" s="127">
        <v>0</v>
      </c>
      <c r="WC26" s="89">
        <f>WA27</f>
        <v>356658.77899999998</v>
      </c>
      <c r="WD26" s="89">
        <f t="shared" ref="WD26:XG26" si="504">WC27</f>
        <v>356968.43300000002</v>
      </c>
      <c r="WE26" s="89">
        <f t="shared" si="504"/>
        <v>357152.06900000002</v>
      </c>
      <c r="WF26" s="89">
        <f t="shared" si="504"/>
        <v>357331.78</v>
      </c>
      <c r="WG26" s="89">
        <f t="shared" si="504"/>
        <v>357564.07799999998</v>
      </c>
      <c r="WH26" s="89">
        <f t="shared" si="504"/>
        <v>357667.147</v>
      </c>
      <c r="WI26" s="89">
        <f t="shared" si="504"/>
        <v>357667.147</v>
      </c>
      <c r="WJ26" s="89">
        <f t="shared" si="504"/>
        <v>357978.62900000002</v>
      </c>
      <c r="WK26" s="89">
        <f t="shared" si="504"/>
        <v>358461.429</v>
      </c>
      <c r="WL26" s="89">
        <f t="shared" si="504"/>
        <v>358739.50799999997</v>
      </c>
      <c r="WM26" s="89">
        <f t="shared" si="504"/>
        <v>359002.02500000002</v>
      </c>
      <c r="WN26" s="89">
        <f t="shared" si="504"/>
        <v>359173.00300000003</v>
      </c>
      <c r="WO26" s="89">
        <f t="shared" si="504"/>
        <v>359360.67</v>
      </c>
      <c r="WP26" s="89">
        <f t="shared" si="504"/>
        <v>359483.51299999998</v>
      </c>
      <c r="WQ26" s="89">
        <f t="shared" si="504"/>
        <v>359805.47</v>
      </c>
      <c r="WR26" s="89">
        <f t="shared" si="504"/>
        <v>360132.609</v>
      </c>
      <c r="WS26" s="89">
        <f t="shared" si="504"/>
        <v>360239.19</v>
      </c>
      <c r="WT26" s="89">
        <f t="shared" si="504"/>
        <v>360661.67599999998</v>
      </c>
      <c r="WU26" s="89">
        <f t="shared" si="504"/>
        <v>360847.37900000002</v>
      </c>
      <c r="WV26" s="89">
        <f t="shared" si="504"/>
        <v>361220.47399999999</v>
      </c>
      <c r="WW26" s="89">
        <f t="shared" si="504"/>
        <v>361312.52299999999</v>
      </c>
      <c r="WX26" s="89">
        <f t="shared" si="504"/>
        <v>361596.2</v>
      </c>
      <c r="WY26" s="89">
        <f t="shared" si="504"/>
        <v>361786.29499999998</v>
      </c>
      <c r="WZ26" s="89">
        <f t="shared" si="504"/>
        <v>362032.43800000002</v>
      </c>
      <c r="XA26" s="89">
        <f t="shared" si="504"/>
        <v>362452.73300000001</v>
      </c>
      <c r="XB26" s="89">
        <f t="shared" si="504"/>
        <v>362685.11499999999</v>
      </c>
      <c r="XC26" s="89">
        <f t="shared" si="504"/>
        <v>362894.18800000002</v>
      </c>
      <c r="XD26" s="89">
        <f t="shared" si="504"/>
        <v>363098.94900000002</v>
      </c>
      <c r="XE26" s="89">
        <f t="shared" si="504"/>
        <v>363281.63199999998</v>
      </c>
      <c r="XF26" s="89">
        <f t="shared" si="504"/>
        <v>363761.54599999997</v>
      </c>
      <c r="XG26" s="89">
        <f t="shared" si="504"/>
        <v>363991.10399999999</v>
      </c>
      <c r="XH26" s="127">
        <v>0</v>
      </c>
      <c r="XI26" s="89">
        <f>XG27</f>
        <v>364393.29200000002</v>
      </c>
      <c r="XJ26" s="89">
        <f t="shared" ref="XJ26:YL26" si="505">XI27</f>
        <v>364637.53100000002</v>
      </c>
      <c r="XK26" s="89">
        <f t="shared" si="505"/>
        <v>365071.79300000001</v>
      </c>
      <c r="XL26" s="89">
        <f t="shared" si="505"/>
        <v>365181.33600000001</v>
      </c>
      <c r="XM26" s="89">
        <f t="shared" si="505"/>
        <v>365431.78</v>
      </c>
      <c r="XN26" s="89">
        <f t="shared" si="505"/>
        <v>365655.94900000002</v>
      </c>
      <c r="XO26" s="89">
        <f t="shared" si="505"/>
        <v>366058.02399999998</v>
      </c>
      <c r="XP26" s="89">
        <f t="shared" si="505"/>
        <v>366383.78399999999</v>
      </c>
      <c r="XQ26" s="89">
        <f t="shared" si="505"/>
        <v>366684.35499999998</v>
      </c>
      <c r="XR26" s="89">
        <f t="shared" si="505"/>
        <v>366872.68900000001</v>
      </c>
      <c r="XS26" s="89">
        <f t="shared" si="505"/>
        <v>367114.08100000001</v>
      </c>
      <c r="XT26" s="89">
        <f t="shared" si="505"/>
        <v>367237.38</v>
      </c>
      <c r="XU26" s="89">
        <f t="shared" si="505"/>
        <v>367447.30599999998</v>
      </c>
      <c r="XV26" s="89">
        <f t="shared" si="505"/>
        <v>367540.96899999998</v>
      </c>
      <c r="XW26" s="89">
        <f t="shared" si="505"/>
        <v>367735.92700000003</v>
      </c>
      <c r="XX26" s="89">
        <f t="shared" si="505"/>
        <v>368018.06300000002</v>
      </c>
      <c r="XY26" s="89">
        <f t="shared" si="505"/>
        <v>368271.79599999997</v>
      </c>
      <c r="XZ26" s="89">
        <f t="shared" si="505"/>
        <v>368528.34100000001</v>
      </c>
      <c r="YA26" s="89">
        <f t="shared" si="505"/>
        <v>368744.59899999999</v>
      </c>
      <c r="YB26" s="89">
        <f t="shared" si="505"/>
        <v>368890.61</v>
      </c>
      <c r="YC26" s="89">
        <f t="shared" si="505"/>
        <v>369101.76299999998</v>
      </c>
      <c r="YD26" s="89">
        <f t="shared" si="505"/>
        <v>369247.61700000003</v>
      </c>
      <c r="YE26" s="89">
        <f t="shared" si="505"/>
        <v>369520.5</v>
      </c>
      <c r="YF26" s="89">
        <f t="shared" si="505"/>
        <v>369697.90600000002</v>
      </c>
      <c r="YG26" s="89">
        <f t="shared" si="505"/>
        <v>369998.12400000001</v>
      </c>
      <c r="YH26" s="89">
        <f t="shared" si="505"/>
        <v>370137.46899999998</v>
      </c>
      <c r="YI26" s="89">
        <f t="shared" si="505"/>
        <v>370333.71600000001</v>
      </c>
      <c r="YJ26" s="89">
        <f t="shared" si="505"/>
        <v>370494.13500000001</v>
      </c>
      <c r="YK26" s="89">
        <f t="shared" si="505"/>
        <v>370669.364</v>
      </c>
      <c r="YL26" s="89">
        <f t="shared" si="505"/>
        <v>370854.723</v>
      </c>
      <c r="YM26" s="127">
        <v>0</v>
      </c>
      <c r="YN26" s="89">
        <f>YL27</f>
        <v>371036.74200000003</v>
      </c>
      <c r="YO26" s="89">
        <f t="shared" ref="YO26:ZR26" si="506">YN27</f>
        <v>371526.35</v>
      </c>
      <c r="YP26" s="89">
        <f t="shared" si="506"/>
        <v>372013.52899999998</v>
      </c>
      <c r="YQ26" s="89">
        <f t="shared" si="506"/>
        <v>372305.76699999999</v>
      </c>
      <c r="YR26" s="89">
        <f t="shared" si="506"/>
        <v>372523.603</v>
      </c>
      <c r="YS26" s="89">
        <f t="shared" si="506"/>
        <v>372756.92200000002</v>
      </c>
      <c r="YT26" s="89">
        <f t="shared" si="506"/>
        <v>372914.06900000002</v>
      </c>
      <c r="YU26" s="89">
        <f t="shared" si="506"/>
        <v>373108.016</v>
      </c>
      <c r="YV26" s="89">
        <f t="shared" si="506"/>
        <v>373203.72899999999</v>
      </c>
      <c r="YW26" s="89">
        <f t="shared" si="506"/>
        <v>373376.84899999999</v>
      </c>
      <c r="YX26" s="89">
        <f t="shared" si="506"/>
        <v>373537.266</v>
      </c>
      <c r="YY26" s="89">
        <f t="shared" si="506"/>
        <v>373730.15500000003</v>
      </c>
      <c r="YZ26" s="89">
        <f t="shared" si="506"/>
        <v>373889.33299999998</v>
      </c>
      <c r="ZA26" s="89">
        <f t="shared" si="506"/>
        <v>374129.11499999999</v>
      </c>
      <c r="ZB26" s="89">
        <f t="shared" si="506"/>
        <v>374403.42200000002</v>
      </c>
      <c r="ZC26" s="89">
        <f t="shared" si="506"/>
        <v>374631.68400000001</v>
      </c>
      <c r="ZD26" s="89">
        <f t="shared" si="506"/>
        <v>374820.56900000002</v>
      </c>
      <c r="ZE26" s="89">
        <f t="shared" si="506"/>
        <v>375116.46600000001</v>
      </c>
      <c r="ZF26" s="89">
        <f t="shared" si="506"/>
        <v>375226.136</v>
      </c>
      <c r="ZG26" s="89">
        <f t="shared" si="506"/>
        <v>375516.56800000003</v>
      </c>
      <c r="ZH26" s="89">
        <f t="shared" si="506"/>
        <v>375727.73200000002</v>
      </c>
      <c r="ZI26" s="89">
        <f t="shared" si="506"/>
        <v>375901.05099999998</v>
      </c>
      <c r="ZJ26" s="89">
        <f t="shared" si="506"/>
        <v>376091.78499999997</v>
      </c>
      <c r="ZK26" s="89">
        <f t="shared" si="506"/>
        <v>376419.72200000001</v>
      </c>
      <c r="ZL26" s="89">
        <f t="shared" si="506"/>
        <v>376635.62099999998</v>
      </c>
      <c r="ZM26" s="89">
        <f t="shared" si="506"/>
        <v>376863.141</v>
      </c>
      <c r="ZN26" s="89">
        <f t="shared" si="506"/>
        <v>377084.84700000001</v>
      </c>
      <c r="ZO26" s="89">
        <f t="shared" si="506"/>
        <v>377251.49900000001</v>
      </c>
      <c r="ZP26" s="89">
        <f t="shared" si="506"/>
        <v>377414.70899999997</v>
      </c>
      <c r="ZQ26" s="89">
        <f t="shared" si="506"/>
        <v>377543.57900000003</v>
      </c>
      <c r="ZR26" s="89">
        <f t="shared" si="506"/>
        <v>377872.39500000002</v>
      </c>
      <c r="ZS26" s="127">
        <v>0</v>
      </c>
      <c r="ZT26" s="89">
        <f>ZR27</f>
        <v>378110.65700000001</v>
      </c>
      <c r="ZU26" s="89">
        <f t="shared" ref="ZU26:AAW26" si="507">ZT27</f>
        <v>378432.68599999999</v>
      </c>
      <c r="ZV26" s="89">
        <f t="shared" si="507"/>
        <v>378765.03700000001</v>
      </c>
      <c r="ZW26" s="89">
        <f t="shared" si="507"/>
        <v>378930.63299999997</v>
      </c>
      <c r="ZX26" s="89">
        <f t="shared" si="507"/>
        <v>379072.61499999999</v>
      </c>
      <c r="ZY26" s="89">
        <f t="shared" si="507"/>
        <v>379318.18599999999</v>
      </c>
      <c r="ZZ26" s="89">
        <f t="shared" si="507"/>
        <v>379466.13099999999</v>
      </c>
      <c r="AAA26" s="89">
        <f t="shared" si="507"/>
        <v>379836.59399999998</v>
      </c>
      <c r="AAB26" s="89">
        <f t="shared" si="507"/>
        <v>380025.82500000001</v>
      </c>
      <c r="AAC26" s="89">
        <f t="shared" si="507"/>
        <v>380217.64600000001</v>
      </c>
      <c r="AAD26" s="89">
        <f t="shared" si="507"/>
        <v>380513.11800000002</v>
      </c>
      <c r="AAE26" s="89">
        <f t="shared" si="507"/>
        <v>380702.56599999999</v>
      </c>
      <c r="AAF26" s="89">
        <f t="shared" si="507"/>
        <v>380911.804</v>
      </c>
      <c r="AAG26" s="89">
        <f t="shared" si="507"/>
        <v>381140.39199999999</v>
      </c>
      <c r="AAH26" s="89">
        <f t="shared" si="507"/>
        <v>381404.28399999999</v>
      </c>
      <c r="AAI26" s="89">
        <f t="shared" si="507"/>
        <v>381680.22600000002</v>
      </c>
      <c r="AAJ26" s="89">
        <f t="shared" si="507"/>
        <v>381925.36800000002</v>
      </c>
      <c r="AAK26" s="89">
        <f t="shared" si="507"/>
        <v>382082.98800000001</v>
      </c>
      <c r="AAL26" s="89">
        <f t="shared" si="507"/>
        <v>382404.89500000002</v>
      </c>
      <c r="AAM26" s="89">
        <f t="shared" si="507"/>
        <v>382510.69199999998</v>
      </c>
      <c r="AAN26" s="89">
        <f t="shared" si="507"/>
        <v>382722.07699999999</v>
      </c>
      <c r="AAO26" s="89">
        <f t="shared" si="507"/>
        <v>382923.136</v>
      </c>
      <c r="AAP26" s="89">
        <f t="shared" si="507"/>
        <v>383115.44</v>
      </c>
      <c r="AAQ26" s="89">
        <f t="shared" si="507"/>
        <v>383329.951</v>
      </c>
      <c r="AAR26" s="89">
        <f t="shared" si="507"/>
        <v>383405.64399999997</v>
      </c>
      <c r="AAS26" s="89">
        <f t="shared" si="507"/>
        <v>383616.386</v>
      </c>
      <c r="AAT26" s="89">
        <f t="shared" si="507"/>
        <v>383821.29800000001</v>
      </c>
      <c r="AAU26" s="89">
        <f t="shared" si="507"/>
        <v>384017.93400000001</v>
      </c>
      <c r="AAV26" s="89">
        <f t="shared" si="507"/>
        <v>384209.32</v>
      </c>
      <c r="AAW26" s="89">
        <f t="shared" si="507"/>
        <v>384381.13400000002</v>
      </c>
      <c r="AAX26" s="127">
        <v>0</v>
      </c>
      <c r="AAY26" s="89">
        <f>AAW27</f>
        <v>384546.717</v>
      </c>
      <c r="AAZ26" s="89">
        <f t="shared" ref="AAZ26:ACC26" si="508">AAY27</f>
        <v>384936.6</v>
      </c>
      <c r="ABA26" s="89">
        <f t="shared" si="508"/>
        <v>385116.15299999999</v>
      </c>
      <c r="ABB26" s="89">
        <f t="shared" si="508"/>
        <v>385519.79800000001</v>
      </c>
      <c r="ABC26" s="89">
        <f t="shared" si="508"/>
        <v>385659.99900000001</v>
      </c>
      <c r="ABD26" s="89">
        <f t="shared" si="508"/>
        <v>385860.408</v>
      </c>
      <c r="ABE26" s="89">
        <f t="shared" si="508"/>
        <v>385971.364</v>
      </c>
      <c r="ABF26" s="89">
        <f t="shared" si="508"/>
        <v>386157.37400000001</v>
      </c>
      <c r="ABG26" s="89">
        <f t="shared" si="508"/>
        <v>386409.989</v>
      </c>
      <c r="ABH26" s="89">
        <f t="shared" si="508"/>
        <v>386567.25099999999</v>
      </c>
      <c r="ABI26" s="89">
        <f t="shared" si="508"/>
        <v>386848.28600000002</v>
      </c>
      <c r="ABJ26" s="89">
        <f t="shared" si="508"/>
        <v>387011.93099999998</v>
      </c>
      <c r="ABK26" s="89">
        <f t="shared" si="508"/>
        <v>387179.87900000002</v>
      </c>
      <c r="ABL26" s="89">
        <f t="shared" si="508"/>
        <v>387341.89799999999</v>
      </c>
      <c r="ABM26" s="89">
        <f t="shared" si="508"/>
        <v>387548.33399999997</v>
      </c>
      <c r="ABN26" s="89">
        <f t="shared" si="508"/>
        <v>387771.00199999998</v>
      </c>
      <c r="ABO26" s="89">
        <f t="shared" si="508"/>
        <v>387895.50900000002</v>
      </c>
      <c r="ABP26" s="89">
        <f t="shared" si="508"/>
        <v>388218.86499999999</v>
      </c>
      <c r="ABQ26" s="89">
        <f t="shared" si="508"/>
        <v>388401.80599999998</v>
      </c>
      <c r="ABR26" s="89">
        <f t="shared" si="508"/>
        <v>388753.13</v>
      </c>
      <c r="ABS26" s="89">
        <f t="shared" si="508"/>
        <v>388958.69900000002</v>
      </c>
      <c r="ABT26" s="89">
        <f t="shared" si="508"/>
        <v>389138.25099999999</v>
      </c>
      <c r="ABU26" s="89">
        <f t="shared" si="508"/>
        <v>389248.34499999997</v>
      </c>
      <c r="ABV26" s="89">
        <f t="shared" si="508"/>
        <v>389413.92700000003</v>
      </c>
      <c r="ABW26" s="89">
        <f t="shared" si="508"/>
        <v>389535.84700000001</v>
      </c>
      <c r="ABX26" s="89">
        <f t="shared" si="508"/>
        <v>389758.63099999999</v>
      </c>
      <c r="ABY26" s="89">
        <f t="shared" si="508"/>
        <v>389946.57199999999</v>
      </c>
      <c r="ABZ26" s="89">
        <f t="shared" si="508"/>
        <v>390126.12800000003</v>
      </c>
      <c r="ACA26" s="89">
        <f t="shared" si="508"/>
        <v>390411.48800000001</v>
      </c>
      <c r="ACB26" s="89">
        <f t="shared" si="508"/>
        <v>390620.93800000002</v>
      </c>
      <c r="ACC26" s="89">
        <f t="shared" si="508"/>
        <v>390727.81099999999</v>
      </c>
      <c r="ACD26" s="127">
        <v>0</v>
      </c>
      <c r="ACE26" s="89">
        <f>ACC27</f>
        <v>390819.63</v>
      </c>
      <c r="ACF26" s="89">
        <f t="shared" ref="ACF26:ADI26" si="509">ACE27</f>
        <v>391013.97</v>
      </c>
      <c r="ACG26" s="89">
        <f t="shared" si="509"/>
        <v>391277.82</v>
      </c>
      <c r="ACH26" s="89">
        <f t="shared" si="509"/>
        <v>391518.87400000001</v>
      </c>
      <c r="ACI26" s="89">
        <f t="shared" si="509"/>
        <v>391746.81599999999</v>
      </c>
      <c r="ACJ26" s="89">
        <f t="shared" si="509"/>
        <v>391987.87400000001</v>
      </c>
      <c r="ACK26" s="89">
        <f t="shared" si="509"/>
        <v>392335.446</v>
      </c>
      <c r="ACL26" s="89">
        <f t="shared" si="509"/>
        <v>392581.88099999999</v>
      </c>
      <c r="ACM26" s="89">
        <f t="shared" si="509"/>
        <v>392847.23800000001</v>
      </c>
      <c r="ACN26" s="89">
        <f t="shared" si="509"/>
        <v>393030.44799999997</v>
      </c>
      <c r="ACO26" s="89">
        <f t="shared" si="509"/>
        <v>393142.26</v>
      </c>
      <c r="ACP26" s="89">
        <f t="shared" si="509"/>
        <v>393399.45299999998</v>
      </c>
      <c r="ACQ26" s="89">
        <f t="shared" si="509"/>
        <v>393625.13900000002</v>
      </c>
      <c r="ACR26" s="89">
        <f t="shared" si="509"/>
        <v>393799.10100000002</v>
      </c>
      <c r="ACS26" s="89">
        <f t="shared" si="509"/>
        <v>394131.37599999999</v>
      </c>
      <c r="ACT26" s="89">
        <f t="shared" si="509"/>
        <v>394342.55099999998</v>
      </c>
      <c r="ACU26" s="89">
        <f t="shared" si="509"/>
        <v>394543.39399999997</v>
      </c>
      <c r="ACV26" s="89">
        <f t="shared" si="509"/>
        <v>394733.348</v>
      </c>
      <c r="ACW26" s="89">
        <f t="shared" si="509"/>
        <v>394973.11900000001</v>
      </c>
      <c r="ACX26" s="89">
        <f t="shared" si="509"/>
        <v>395268.81599999999</v>
      </c>
      <c r="ACY26" s="89">
        <f t="shared" si="509"/>
        <v>395419.98800000001</v>
      </c>
      <c r="ACZ26" s="89">
        <f t="shared" si="509"/>
        <v>395596.09100000001</v>
      </c>
      <c r="ADA26" s="89">
        <f t="shared" si="509"/>
        <v>395763.17200000002</v>
      </c>
      <c r="ADB26" s="89">
        <f t="shared" si="509"/>
        <v>396021.43400000001</v>
      </c>
      <c r="ADC26" s="89">
        <f t="shared" si="509"/>
        <v>396338.625</v>
      </c>
      <c r="ADD26" s="89">
        <f t="shared" si="509"/>
        <v>396527.13400000002</v>
      </c>
      <c r="ADE26" s="89">
        <f t="shared" si="509"/>
        <v>396735.43699999998</v>
      </c>
      <c r="ADF26" s="89">
        <f t="shared" si="509"/>
        <v>396938.86599999998</v>
      </c>
      <c r="ADG26" s="89">
        <f t="shared" si="509"/>
        <v>397102.93900000001</v>
      </c>
      <c r="ADH26" s="89">
        <f t="shared" si="509"/>
        <v>397339.48200000002</v>
      </c>
      <c r="ADI26" s="89">
        <f t="shared" si="509"/>
        <v>397526.56900000002</v>
      </c>
      <c r="ADJ26" s="127">
        <v>0</v>
      </c>
      <c r="ADK26" s="89">
        <f>ADI27</f>
        <v>397667.429</v>
      </c>
      <c r="ADL26" s="89">
        <f t="shared" ref="ADL26:AEN26" si="510">ADK27</f>
        <v>397780.10499999998</v>
      </c>
      <c r="ADM26" s="89">
        <f t="shared" si="510"/>
        <v>398036.54200000002</v>
      </c>
      <c r="ADN26" s="89">
        <f t="shared" si="510"/>
        <v>398262.25900000002</v>
      </c>
      <c r="ADO26" s="89">
        <f t="shared" si="510"/>
        <v>398443.04499999998</v>
      </c>
      <c r="ADP26" s="89">
        <f t="shared" si="510"/>
        <v>398540.45899999997</v>
      </c>
      <c r="ADQ26" s="89">
        <f t="shared" si="510"/>
        <v>398717.04100000003</v>
      </c>
      <c r="ADR26" s="89">
        <f t="shared" si="510"/>
        <v>398883.91100000002</v>
      </c>
      <c r="ADS26" s="89">
        <f t="shared" si="510"/>
        <v>399024.76199999999</v>
      </c>
      <c r="ADT26" s="89">
        <f t="shared" si="510"/>
        <v>399356.26</v>
      </c>
      <c r="ADU26" s="89">
        <f t="shared" si="510"/>
        <v>399574.19500000001</v>
      </c>
      <c r="ADV26" s="89">
        <f t="shared" si="510"/>
        <v>399729.66499999998</v>
      </c>
      <c r="ADW26" s="89">
        <f t="shared" si="510"/>
        <v>399990.08299999998</v>
      </c>
      <c r="ADX26" s="89">
        <f t="shared" si="510"/>
        <v>400353.08600000001</v>
      </c>
      <c r="ADY26" s="89">
        <f t="shared" si="510"/>
        <v>400505.11900000001</v>
      </c>
      <c r="ADZ26" s="89">
        <f t="shared" si="510"/>
        <v>400670.23200000002</v>
      </c>
      <c r="AEA26" s="89">
        <f t="shared" si="510"/>
        <v>400864.46399999998</v>
      </c>
      <c r="AEB26" s="89">
        <f t="shared" si="510"/>
        <v>401092.18900000001</v>
      </c>
      <c r="AEC26" s="89">
        <f t="shared" si="510"/>
        <v>401262.70799999998</v>
      </c>
      <c r="AED26" s="89">
        <f t="shared" si="510"/>
        <v>401436.24</v>
      </c>
      <c r="AEE26" s="89">
        <f t="shared" si="510"/>
        <v>401620.30499999999</v>
      </c>
      <c r="AEF26" s="89">
        <f t="shared" si="510"/>
        <v>401753.62400000001</v>
      </c>
      <c r="AEG26" s="89">
        <f t="shared" si="510"/>
        <v>402097.30699999997</v>
      </c>
      <c r="AEH26" s="89">
        <f t="shared" si="510"/>
        <v>402262.88299999997</v>
      </c>
      <c r="AEI26" s="89">
        <f t="shared" si="510"/>
        <v>402428.245</v>
      </c>
      <c r="AEJ26" s="89">
        <f t="shared" si="510"/>
        <v>402556.837</v>
      </c>
      <c r="AEK26" s="89">
        <f t="shared" si="510"/>
        <v>402726.71100000001</v>
      </c>
      <c r="AEL26" s="89">
        <f t="shared" si="510"/>
        <v>402860.685</v>
      </c>
      <c r="AEM26" s="89">
        <f t="shared" si="510"/>
        <v>402979.73700000002</v>
      </c>
      <c r="AEN26" s="89">
        <f t="shared" si="510"/>
        <v>403113.05599999998</v>
      </c>
      <c r="AEO26" s="127">
        <v>0</v>
      </c>
      <c r="AEP26" s="89">
        <f>AEN27</f>
        <v>403318.85200000001</v>
      </c>
      <c r="AEQ26" s="89">
        <f t="shared" ref="AEQ26:AFT26" si="511">AEP27</f>
        <v>403559.685</v>
      </c>
      <c r="AER26" s="89">
        <f t="shared" si="511"/>
        <v>403709.99099999998</v>
      </c>
      <c r="AES26" s="89">
        <f t="shared" si="511"/>
        <v>403824.58100000001</v>
      </c>
      <c r="AET26" s="89">
        <f t="shared" si="511"/>
        <v>403960.04700000002</v>
      </c>
      <c r="AEU26" s="89">
        <f t="shared" si="511"/>
        <v>404239.86</v>
      </c>
      <c r="AEV26" s="89">
        <f t="shared" si="511"/>
        <v>404359.62599999999</v>
      </c>
      <c r="AEW26" s="89">
        <f t="shared" si="511"/>
        <v>404529.07500000001</v>
      </c>
      <c r="AEX26" s="89">
        <f t="shared" si="511"/>
        <v>404752.28700000001</v>
      </c>
      <c r="AEY26" s="89">
        <f t="shared" si="511"/>
        <v>404984.04599999997</v>
      </c>
      <c r="AEZ26" s="89">
        <f t="shared" si="511"/>
        <v>405070.38099999999</v>
      </c>
      <c r="AFA26" s="89">
        <f t="shared" si="511"/>
        <v>405189.72899999999</v>
      </c>
      <c r="AFB26" s="89">
        <f t="shared" si="511"/>
        <v>405279.18</v>
      </c>
      <c r="AFC26" s="89">
        <f t="shared" si="511"/>
        <v>405566.41499999998</v>
      </c>
      <c r="AFD26" s="89">
        <f t="shared" si="511"/>
        <v>405710.91499999998</v>
      </c>
      <c r="AFE26" s="89">
        <f t="shared" si="511"/>
        <v>405875.16899999999</v>
      </c>
      <c r="AFF26" s="89">
        <f t="shared" si="511"/>
        <v>406019.88799999998</v>
      </c>
      <c r="AFG26" s="89">
        <f t="shared" si="511"/>
        <v>406283.31099999999</v>
      </c>
      <c r="AFH26" s="89">
        <f t="shared" si="511"/>
        <v>406420.93199999997</v>
      </c>
      <c r="AFI26" s="89">
        <f t="shared" si="511"/>
        <v>406566.29300000001</v>
      </c>
      <c r="AFJ26" s="89">
        <f t="shared" si="511"/>
        <v>406773.04800000001</v>
      </c>
      <c r="AFK26" s="89">
        <f t="shared" si="511"/>
        <v>406897.554</v>
      </c>
      <c r="AFL26" s="89">
        <f t="shared" si="511"/>
        <v>406997.75900000002</v>
      </c>
      <c r="AFM26" s="89">
        <f t="shared" si="511"/>
        <v>407147.52799999999</v>
      </c>
      <c r="AFN26" s="89">
        <f t="shared" si="511"/>
        <v>407243.65</v>
      </c>
      <c r="AFO26" s="89">
        <f t="shared" si="511"/>
        <v>407308.16100000002</v>
      </c>
      <c r="AFP26" s="89">
        <f t="shared" si="511"/>
        <v>407483.19799999997</v>
      </c>
      <c r="AFQ26" s="89">
        <f t="shared" si="511"/>
        <v>407640.25400000002</v>
      </c>
      <c r="AFR26" s="89">
        <f t="shared" si="511"/>
        <v>407795.72700000001</v>
      </c>
      <c r="AFS26" s="89">
        <f t="shared" si="511"/>
        <v>407977.64600000001</v>
      </c>
      <c r="AFT26" s="89">
        <f t="shared" si="511"/>
        <v>408107.09399999998</v>
      </c>
      <c r="AFU26" s="127">
        <v>0</v>
      </c>
      <c r="AFV26" s="89">
        <f>AFT27</f>
        <v>408237.83799999999</v>
      </c>
      <c r="AFW26" s="89">
        <f t="shared" ref="AFW26:AGY26" si="512">AFV27</f>
        <v>408372.88299999997</v>
      </c>
      <c r="AFX26" s="89">
        <f t="shared" si="512"/>
        <v>408568.27</v>
      </c>
      <c r="AFY26" s="89">
        <f t="shared" si="512"/>
        <v>408779.89199999999</v>
      </c>
      <c r="AFZ26" s="89">
        <f t="shared" si="512"/>
        <v>408940.73700000002</v>
      </c>
      <c r="AGA26" s="89">
        <f t="shared" si="512"/>
        <v>409096.21299999999</v>
      </c>
      <c r="AGB26" s="89">
        <f t="shared" si="512"/>
        <v>409190.82799999998</v>
      </c>
      <c r="AGC26" s="89">
        <f t="shared" si="512"/>
        <v>409335.97399999999</v>
      </c>
      <c r="AGD26" s="89">
        <f t="shared" si="512"/>
        <v>409492.951</v>
      </c>
      <c r="AGE26" s="89">
        <f t="shared" si="512"/>
        <v>409756.06900000002</v>
      </c>
      <c r="AGF26" s="89">
        <f t="shared" si="512"/>
        <v>409884.22700000001</v>
      </c>
      <c r="AGG26" s="89">
        <f t="shared" si="512"/>
        <v>410025.32699999999</v>
      </c>
      <c r="AGH26" s="89">
        <f t="shared" si="512"/>
        <v>410178.86599999998</v>
      </c>
      <c r="AGI26" s="89">
        <f t="shared" si="512"/>
        <v>410273.90899999999</v>
      </c>
      <c r="AGJ26" s="89">
        <f t="shared" si="512"/>
        <v>410477.54800000001</v>
      </c>
      <c r="AGK26" s="89">
        <f t="shared" si="512"/>
        <v>410591.51299999998</v>
      </c>
      <c r="AGL26" s="89">
        <f t="shared" si="512"/>
        <v>410718.16200000001</v>
      </c>
      <c r="AGM26" s="89">
        <f t="shared" si="512"/>
        <v>410839.44500000001</v>
      </c>
      <c r="AGN26" s="89">
        <f t="shared" si="512"/>
        <v>410913.41600000003</v>
      </c>
      <c r="AGO26" s="89">
        <f t="shared" si="512"/>
        <v>411101.16399999999</v>
      </c>
      <c r="AGP26" s="89">
        <f t="shared" si="512"/>
        <v>411258.571</v>
      </c>
      <c r="AGQ26" s="89">
        <f t="shared" si="512"/>
        <v>411470.05900000001</v>
      </c>
      <c r="AGR26" s="89">
        <f t="shared" si="512"/>
        <v>411737.984</v>
      </c>
      <c r="AGS26" s="89">
        <f t="shared" si="512"/>
        <v>411985.49900000001</v>
      </c>
      <c r="AGT26" s="89">
        <f t="shared" si="512"/>
        <v>412131.45400000003</v>
      </c>
      <c r="AGU26" s="89">
        <f t="shared" si="512"/>
        <v>412222.451</v>
      </c>
      <c r="AGV26" s="89">
        <f t="shared" si="512"/>
        <v>412322.45899999997</v>
      </c>
      <c r="AGW26" s="89">
        <f t="shared" si="512"/>
        <v>412521.83500000002</v>
      </c>
      <c r="AGX26" s="89">
        <f t="shared" si="512"/>
        <v>412790.66800000001</v>
      </c>
      <c r="AGY26" s="89">
        <f t="shared" si="512"/>
        <v>413042.57900000003</v>
      </c>
      <c r="AGZ26" s="127">
        <v>0</v>
      </c>
      <c r="AHA26" s="89">
        <f>AGY27</f>
        <v>413190.734</v>
      </c>
      <c r="AHB26" s="89">
        <f t="shared" ref="AHB26:AIE26" si="513">AHA27</f>
        <v>413412.97700000001</v>
      </c>
      <c r="AHC26" s="89">
        <f t="shared" si="513"/>
        <v>413563.55800000002</v>
      </c>
      <c r="AHD26" s="89">
        <f t="shared" si="513"/>
        <v>413812.81900000002</v>
      </c>
      <c r="AHE26" s="89">
        <f t="shared" si="513"/>
        <v>414033.88199999998</v>
      </c>
      <c r="AHF26" s="89">
        <f t="shared" si="513"/>
        <v>414268.799</v>
      </c>
      <c r="AHG26" s="89">
        <f t="shared" si="513"/>
        <v>414477.98300000001</v>
      </c>
      <c r="AHH26" s="89">
        <f t="shared" si="513"/>
        <v>414686.511</v>
      </c>
      <c r="AHI26" s="89">
        <f t="shared" si="513"/>
        <v>414816.16</v>
      </c>
      <c r="AHJ26" s="89">
        <f t="shared" si="513"/>
        <v>414917.91899999999</v>
      </c>
      <c r="AHK26" s="89">
        <f t="shared" si="513"/>
        <v>415084.61599999998</v>
      </c>
      <c r="AHL26" s="89">
        <f t="shared" si="513"/>
        <v>415204.89</v>
      </c>
      <c r="AHM26" s="89">
        <f t="shared" si="513"/>
        <v>415421.69400000002</v>
      </c>
      <c r="AHN26" s="89">
        <f t="shared" si="513"/>
        <v>415549.598</v>
      </c>
      <c r="AHO26" s="89">
        <f t="shared" si="513"/>
        <v>415644.82</v>
      </c>
      <c r="AHP26" s="89">
        <f t="shared" si="513"/>
        <v>415822.62199999997</v>
      </c>
      <c r="AHQ26" s="89">
        <f t="shared" si="513"/>
        <v>415969.48200000002</v>
      </c>
      <c r="AHR26" s="89">
        <f t="shared" si="513"/>
        <v>416195.91600000003</v>
      </c>
      <c r="AHS26" s="89">
        <f t="shared" si="513"/>
        <v>416452.80499999999</v>
      </c>
      <c r="AHT26" s="89">
        <f t="shared" si="513"/>
        <v>416677.41399999999</v>
      </c>
      <c r="AHU26" s="89">
        <f t="shared" si="513"/>
        <v>416817.30099999998</v>
      </c>
      <c r="AHV26" s="89">
        <f t="shared" si="513"/>
        <v>416960.16100000002</v>
      </c>
      <c r="AHW26" s="89">
        <f t="shared" si="513"/>
        <v>417120.02899999998</v>
      </c>
      <c r="AHX26" s="89">
        <f t="shared" si="513"/>
        <v>417291.95600000001</v>
      </c>
      <c r="AHY26" s="89">
        <f t="shared" si="513"/>
        <v>417476.08299999998</v>
      </c>
      <c r="AHZ26" s="89">
        <f t="shared" si="513"/>
        <v>417684.47399999999</v>
      </c>
      <c r="AIA26" s="89">
        <f t="shared" si="513"/>
        <v>417832.43</v>
      </c>
      <c r="AIB26" s="89">
        <f t="shared" si="513"/>
        <v>417986.04599999997</v>
      </c>
      <c r="AIC26" s="89">
        <f t="shared" si="513"/>
        <v>418142.929</v>
      </c>
      <c r="AID26" s="89">
        <f t="shared" si="513"/>
        <v>418288.03399999999</v>
      </c>
      <c r="AIE26" s="89">
        <f t="shared" si="513"/>
        <v>418346.21500000003</v>
      </c>
      <c r="AIF26" s="127">
        <v>0</v>
      </c>
      <c r="AIG26" s="89">
        <f>AIE27</f>
        <v>418481.30800000002</v>
      </c>
      <c r="AIH26" s="89">
        <f t="shared" ref="AIH26:AJK26" si="514">AIG27</f>
        <v>418654.54200000002</v>
      </c>
      <c r="AII26" s="89">
        <f t="shared" si="514"/>
        <v>418834.96299999999</v>
      </c>
      <c r="AIJ26" s="89">
        <f t="shared" si="514"/>
        <v>419016.25599999999</v>
      </c>
      <c r="AIK26" s="89">
        <f t="shared" si="514"/>
        <v>419136.31599999999</v>
      </c>
      <c r="AIL26" s="89">
        <f t="shared" si="514"/>
        <v>419310.27399999998</v>
      </c>
      <c r="AIM26" s="89">
        <f t="shared" si="514"/>
        <v>419551.27100000001</v>
      </c>
      <c r="AIN26" s="89">
        <f t="shared" si="514"/>
        <v>419718.62300000002</v>
      </c>
      <c r="AIO26" s="89">
        <f t="shared" si="514"/>
        <v>419885.74400000001</v>
      </c>
      <c r="AIP26" s="89">
        <f t="shared" si="514"/>
        <v>420036.98</v>
      </c>
      <c r="AIQ26" s="89">
        <f t="shared" si="514"/>
        <v>420189.277</v>
      </c>
      <c r="AIR26" s="89">
        <f t="shared" si="514"/>
        <v>420308.03</v>
      </c>
      <c r="AIS26" s="89">
        <f t="shared" si="514"/>
        <v>420510.45699999999</v>
      </c>
      <c r="AIT26" s="89">
        <f t="shared" si="514"/>
        <v>420586.815</v>
      </c>
      <c r="AIU26" s="89">
        <f t="shared" si="514"/>
        <v>420779.63699999999</v>
      </c>
      <c r="AIV26" s="89">
        <f t="shared" si="514"/>
        <v>420819.859</v>
      </c>
      <c r="AIW26" s="89">
        <f t="shared" si="514"/>
        <v>420849.21100000001</v>
      </c>
      <c r="AIX26" s="89">
        <f t="shared" si="514"/>
        <v>420886.82500000001</v>
      </c>
      <c r="AIY26" s="89">
        <f t="shared" si="514"/>
        <v>420975.43099999998</v>
      </c>
      <c r="AIZ26" s="89">
        <f t="shared" si="514"/>
        <v>421074.35</v>
      </c>
      <c r="AJA26" s="89">
        <f t="shared" si="514"/>
        <v>421177.63</v>
      </c>
      <c r="AJB26" s="89">
        <f t="shared" si="514"/>
        <v>421288.47700000001</v>
      </c>
      <c r="AJC26" s="89">
        <f t="shared" si="514"/>
        <v>421393.92499999999</v>
      </c>
      <c r="AJD26" s="89">
        <f t="shared" si="514"/>
        <v>421509.59499999997</v>
      </c>
      <c r="AJE26" s="89">
        <f t="shared" si="514"/>
        <v>421672.66399999999</v>
      </c>
      <c r="AJF26" s="89">
        <f t="shared" si="514"/>
        <v>421804.55099999998</v>
      </c>
      <c r="AJG26" s="89">
        <f t="shared" si="514"/>
        <v>421908.24400000001</v>
      </c>
      <c r="AJH26" s="89">
        <f t="shared" si="514"/>
        <v>421986.51799999998</v>
      </c>
      <c r="AJI26" s="89">
        <f t="shared" si="514"/>
        <v>422380.76699999999</v>
      </c>
      <c r="AJJ26" s="89">
        <f t="shared" si="514"/>
        <v>422526.32199999999</v>
      </c>
      <c r="AJK26" s="89">
        <f t="shared" si="514"/>
        <v>422720.495</v>
      </c>
      <c r="AJL26" s="127">
        <v>0</v>
      </c>
      <c r="AJM26" s="89">
        <f>AJK27</f>
        <v>422861.13199999998</v>
      </c>
      <c r="AJN26" s="89">
        <f t="shared" ref="AJN26:AKN26" si="515">AJM27</f>
        <v>422994.848</v>
      </c>
      <c r="AJO26" s="89">
        <f t="shared" si="515"/>
        <v>423128.57</v>
      </c>
      <c r="AJP26" s="89">
        <f t="shared" si="515"/>
        <v>423340.77500000002</v>
      </c>
      <c r="AJQ26" s="89">
        <f t="shared" si="515"/>
        <v>423488.179</v>
      </c>
      <c r="AJR26" s="89">
        <f t="shared" si="515"/>
        <v>423646.45299999998</v>
      </c>
      <c r="AJS26" s="89">
        <f t="shared" si="515"/>
        <v>423816.91200000001</v>
      </c>
      <c r="AJT26" s="89">
        <f t="shared" si="515"/>
        <v>423949.53899999999</v>
      </c>
      <c r="AJU26" s="89">
        <f t="shared" si="515"/>
        <v>424287.10100000002</v>
      </c>
      <c r="AJV26" s="89">
        <f t="shared" si="515"/>
        <v>424429.50599999999</v>
      </c>
      <c r="AJW26" s="89">
        <f t="shared" si="515"/>
        <v>424531.90899999999</v>
      </c>
      <c r="AJX26" s="89">
        <f t="shared" si="515"/>
        <v>424702.158</v>
      </c>
      <c r="AJY26" s="89">
        <f t="shared" si="515"/>
        <v>424897.40500000003</v>
      </c>
      <c r="AJZ26" s="89">
        <f t="shared" si="515"/>
        <v>425033.29399999999</v>
      </c>
      <c r="AKA26" s="89">
        <f t="shared" si="515"/>
        <v>425180.49300000002</v>
      </c>
      <c r="AKB26" s="89">
        <f t="shared" si="515"/>
        <v>425318.33399999997</v>
      </c>
      <c r="AKC26" s="89">
        <f t="shared" si="515"/>
        <v>425486.67</v>
      </c>
      <c r="AKD26" s="89">
        <f t="shared" si="515"/>
        <v>425601.473</v>
      </c>
      <c r="AKE26" s="89">
        <f t="shared" si="515"/>
        <v>425824.33899999998</v>
      </c>
      <c r="AKF26" s="89">
        <f t="shared" si="515"/>
        <v>425983.06400000001</v>
      </c>
      <c r="AKG26" s="89">
        <f t="shared" si="515"/>
        <v>426166.68400000001</v>
      </c>
      <c r="AKH26" s="89">
        <f t="shared" si="515"/>
        <v>426295.39299999998</v>
      </c>
      <c r="AKI26" s="89">
        <f t="shared" si="515"/>
        <v>426483.897</v>
      </c>
      <c r="AKJ26" s="89">
        <f t="shared" si="515"/>
        <v>426635.30800000002</v>
      </c>
      <c r="AKK26" s="89">
        <f t="shared" si="515"/>
        <v>426939.44699999999</v>
      </c>
      <c r="AKL26" s="89">
        <f t="shared" si="515"/>
        <v>427013.79499999998</v>
      </c>
      <c r="AKM26" s="89">
        <f t="shared" si="515"/>
        <v>427160.11900000001</v>
      </c>
      <c r="AKN26" s="89">
        <f t="shared" si="515"/>
        <v>427323.62300000002</v>
      </c>
      <c r="AKO26" s="127">
        <v>0</v>
      </c>
      <c r="AKP26" s="89">
        <f>AKN27</f>
        <v>427492.13299999997</v>
      </c>
      <c r="AKQ26" s="89">
        <f t="shared" ref="AKQ26:ALT26" si="516">AKP27</f>
        <v>427665.41899999999</v>
      </c>
      <c r="AKR26" s="89">
        <f t="shared" si="516"/>
        <v>427836.52799999999</v>
      </c>
      <c r="AKS26" s="89">
        <f t="shared" si="516"/>
        <v>427981.98300000001</v>
      </c>
      <c r="AKT26" s="89">
        <f t="shared" si="516"/>
        <v>428091.13699999999</v>
      </c>
      <c r="AKU26" s="89">
        <f t="shared" si="516"/>
        <v>428186.158</v>
      </c>
      <c r="AKV26" s="89">
        <f t="shared" si="516"/>
        <v>428312.26799999998</v>
      </c>
      <c r="AKW26" s="89">
        <f t="shared" si="516"/>
        <v>428519.24400000001</v>
      </c>
      <c r="AKX26" s="89">
        <f t="shared" si="516"/>
        <v>428716.886</v>
      </c>
      <c r="AKY26" s="89">
        <f t="shared" si="516"/>
        <v>428908.22</v>
      </c>
      <c r="AKZ26" s="89">
        <f t="shared" si="516"/>
        <v>428950.62099999998</v>
      </c>
      <c r="ALA26" s="89">
        <f t="shared" si="516"/>
        <v>429113.65700000001</v>
      </c>
      <c r="ALB26" s="89">
        <f t="shared" si="516"/>
        <v>429245.288</v>
      </c>
      <c r="ALC26" s="89">
        <f t="shared" si="516"/>
        <v>429379.92800000001</v>
      </c>
      <c r="ALD26" s="89">
        <f t="shared" si="516"/>
        <v>429623.41499999998</v>
      </c>
      <c r="ALE26" s="89">
        <f t="shared" si="516"/>
        <v>429888.74</v>
      </c>
      <c r="ALF26" s="89">
        <f t="shared" si="516"/>
        <v>430020.58899999998</v>
      </c>
      <c r="ALG26" s="89">
        <f t="shared" si="516"/>
        <v>430166.77100000001</v>
      </c>
      <c r="ALH26" s="89">
        <f t="shared" si="516"/>
        <v>430384.875</v>
      </c>
      <c r="ALI26" s="89">
        <f t="shared" si="516"/>
        <v>430521.636</v>
      </c>
      <c r="ALJ26" s="89">
        <f t="shared" si="516"/>
        <v>430698.75400000002</v>
      </c>
      <c r="ALK26" s="89">
        <f t="shared" si="516"/>
        <v>430980.88199999998</v>
      </c>
      <c r="ALL26" s="89">
        <f t="shared" si="516"/>
        <v>431301.49200000003</v>
      </c>
      <c r="ALM26" s="89">
        <f t="shared" si="516"/>
        <v>433613.04599999997</v>
      </c>
      <c r="ALN26" s="89">
        <f t="shared" si="516"/>
        <v>433787.44799999997</v>
      </c>
      <c r="ALO26" s="89">
        <f t="shared" si="516"/>
        <v>433931.848</v>
      </c>
      <c r="ALP26" s="89">
        <f t="shared" si="516"/>
        <v>434042.94</v>
      </c>
      <c r="ALQ26" s="89">
        <f t="shared" si="516"/>
        <v>434220.34</v>
      </c>
      <c r="ALR26" s="89">
        <f t="shared" si="516"/>
        <v>434372.03200000001</v>
      </c>
      <c r="ALS26" s="89">
        <f t="shared" si="516"/>
        <v>434604.63199999998</v>
      </c>
      <c r="ALT26" s="89">
        <f t="shared" si="516"/>
        <v>434730.23200000002</v>
      </c>
      <c r="ALU26" s="127">
        <v>0</v>
      </c>
      <c r="ALV26" s="89">
        <f>ALT27</f>
        <v>434847.83500000002</v>
      </c>
      <c r="ALW26" s="89">
        <f t="shared" ref="ALW26:AMY26" si="517">ALV27</f>
        <v>435124.95</v>
      </c>
      <c r="ALX26" s="89">
        <f t="shared" si="517"/>
        <v>435312.69699999999</v>
      </c>
      <c r="ALY26" s="89">
        <f t="shared" si="517"/>
        <v>435526.82500000001</v>
      </c>
      <c r="ALZ26" s="89">
        <f t="shared" si="517"/>
        <v>435830.13199999998</v>
      </c>
      <c r="AMA26" s="89">
        <f t="shared" si="517"/>
        <v>435928.326</v>
      </c>
      <c r="AMB26" s="89">
        <f t="shared" si="517"/>
        <v>436080.19900000002</v>
      </c>
      <c r="AMC26" s="89">
        <f t="shared" si="517"/>
        <v>436228.06099999999</v>
      </c>
      <c r="AMD26" s="89">
        <f t="shared" si="517"/>
        <v>436331.962</v>
      </c>
      <c r="AME26" s="89">
        <f t="shared" si="517"/>
        <v>436415.467</v>
      </c>
      <c r="AMF26" s="89">
        <f t="shared" si="517"/>
        <v>436638.02500000002</v>
      </c>
      <c r="AMG26" s="89">
        <f t="shared" si="517"/>
        <v>436742.00900000002</v>
      </c>
      <c r="AMH26" s="89">
        <f t="shared" si="517"/>
        <v>436976.14799999999</v>
      </c>
      <c r="AMI26" s="89">
        <f t="shared" si="517"/>
        <v>437200.99400000001</v>
      </c>
      <c r="AMJ26" s="89">
        <f t="shared" si="517"/>
        <v>437435.28200000001</v>
      </c>
      <c r="AMK26" s="89">
        <f t="shared" si="517"/>
        <v>437697.071</v>
      </c>
      <c r="AML26" s="89">
        <f t="shared" si="517"/>
        <v>437945.83799999999</v>
      </c>
      <c r="AMM26" s="89">
        <f t="shared" si="517"/>
        <v>438142.6</v>
      </c>
      <c r="AMN26" s="89">
        <f t="shared" si="517"/>
        <v>438251.75599999999</v>
      </c>
      <c r="AMO26" s="89">
        <f t="shared" si="517"/>
        <v>438424.15500000003</v>
      </c>
      <c r="AMP26" s="89">
        <f t="shared" si="517"/>
        <v>438571.22</v>
      </c>
      <c r="AMQ26" s="89">
        <f t="shared" si="517"/>
        <v>438739.141</v>
      </c>
      <c r="AMR26" s="89">
        <f t="shared" si="517"/>
        <v>438892.49400000001</v>
      </c>
      <c r="AMS26" s="89">
        <f t="shared" si="517"/>
        <v>439107.23599999998</v>
      </c>
      <c r="AMT26" s="89">
        <f t="shared" si="517"/>
        <v>439276.00900000002</v>
      </c>
      <c r="AMU26" s="89">
        <f t="shared" si="517"/>
        <v>439523.84899999999</v>
      </c>
      <c r="AMV26" s="89">
        <f t="shared" si="517"/>
        <v>439788.24300000002</v>
      </c>
      <c r="AMW26" s="89">
        <f t="shared" si="517"/>
        <v>439996.23200000002</v>
      </c>
      <c r="AMX26" s="89">
        <f t="shared" si="517"/>
        <v>440219.39500000002</v>
      </c>
      <c r="AMY26" s="89">
        <f t="shared" si="517"/>
        <v>440366.98700000002</v>
      </c>
      <c r="AMZ26" s="127">
        <v>0</v>
      </c>
      <c r="ANA26" s="89">
        <f>AMY27</f>
        <v>440531.29599999997</v>
      </c>
      <c r="ANB26" s="89">
        <f t="shared" ref="ANB26:AOC26" si="518">ANA27</f>
        <v>440708.17700000003</v>
      </c>
      <c r="ANC26" s="89">
        <f t="shared" si="518"/>
        <v>440791.82</v>
      </c>
      <c r="AND26" s="89">
        <f t="shared" si="518"/>
        <v>440898.94199999998</v>
      </c>
      <c r="ANE26" s="89">
        <f t="shared" si="518"/>
        <v>441045.435</v>
      </c>
      <c r="ANF26" s="89">
        <f t="shared" si="518"/>
        <v>441154.86599999998</v>
      </c>
      <c r="ANG26" s="89">
        <f t="shared" si="518"/>
        <v>441303.587</v>
      </c>
      <c r="ANH26" s="89">
        <f t="shared" si="518"/>
        <v>441391.87300000002</v>
      </c>
      <c r="ANI26" s="89">
        <f t="shared" si="518"/>
        <v>441512.22499999998</v>
      </c>
      <c r="ANJ26" s="89">
        <f t="shared" si="518"/>
        <v>441616.14399999997</v>
      </c>
      <c r="ANK26" s="89">
        <f t="shared" si="518"/>
        <v>441796.04200000002</v>
      </c>
      <c r="ANL26" s="89">
        <f t="shared" si="518"/>
        <v>441955.39</v>
      </c>
      <c r="ANM26" s="89">
        <f t="shared" si="518"/>
        <v>442001.04800000001</v>
      </c>
      <c r="ANN26" s="89">
        <f t="shared" si="518"/>
        <v>442213.43099999998</v>
      </c>
      <c r="ANO26" s="89">
        <f t="shared" si="518"/>
        <v>442316.10399999999</v>
      </c>
      <c r="ANP26" s="89">
        <f t="shared" si="518"/>
        <v>442470.26</v>
      </c>
      <c r="ANQ26" s="89">
        <f t="shared" si="518"/>
        <v>442624.23200000002</v>
      </c>
      <c r="ANR26" s="89">
        <f t="shared" si="518"/>
        <v>442706.60399999999</v>
      </c>
      <c r="ANS26" s="89">
        <f t="shared" si="518"/>
        <v>442848.81599999999</v>
      </c>
      <c r="ANT26" s="89">
        <f t="shared" si="518"/>
        <v>442902.55300000001</v>
      </c>
      <c r="ANU26" s="89">
        <f t="shared" si="518"/>
        <v>443053.864</v>
      </c>
      <c r="ANV26" s="89">
        <f t="shared" si="518"/>
        <v>443145.73300000001</v>
      </c>
      <c r="ANW26" s="89">
        <f t="shared" si="518"/>
        <v>443405.25400000002</v>
      </c>
      <c r="ANX26" s="89">
        <f t="shared" si="518"/>
        <v>443683.37300000002</v>
      </c>
      <c r="ANY26" s="89">
        <f t="shared" si="518"/>
        <v>443849.13699999999</v>
      </c>
      <c r="ANZ26" s="89">
        <f t="shared" si="518"/>
        <v>443970.429</v>
      </c>
      <c r="AOA26" s="89">
        <f t="shared" si="518"/>
        <v>444239.51699999999</v>
      </c>
      <c r="AOB26" s="89">
        <f t="shared" si="518"/>
        <v>444452.17200000002</v>
      </c>
      <c r="AOC26" s="89">
        <f t="shared" si="518"/>
        <v>444639.80900000001</v>
      </c>
      <c r="AOD26" s="89">
        <v>444987.69500000001</v>
      </c>
      <c r="AOE26">
        <v>444987.69500000001</v>
      </c>
      <c r="AOF26">
        <v>446305.63</v>
      </c>
    </row>
    <row r="27" spans="1:1072" x14ac:dyDescent="0.2">
      <c r="A27" s="157"/>
      <c r="B27" s="160"/>
      <c r="C27" s="47" t="s">
        <v>757</v>
      </c>
      <c r="D27" s="48">
        <v>226572.4</v>
      </c>
      <c r="E27" s="18">
        <v>226730.63500000001</v>
      </c>
      <c r="F27" s="18">
        <v>226812.76199999999</v>
      </c>
      <c r="G27" s="18">
        <v>226944.769</v>
      </c>
      <c r="H27" s="18">
        <v>227286.50899999999</v>
      </c>
      <c r="I27" s="18">
        <v>227527.01</v>
      </c>
      <c r="J27" s="18">
        <v>227784.242</v>
      </c>
      <c r="K27" s="18">
        <v>227994.98199999999</v>
      </c>
      <c r="L27" s="18">
        <v>228214.052</v>
      </c>
      <c r="M27" s="18">
        <v>228338.33900000001</v>
      </c>
      <c r="N27" s="18">
        <v>228501.97500000001</v>
      </c>
      <c r="O27" s="18">
        <v>228670.34599999999</v>
      </c>
      <c r="P27" s="18">
        <v>228828.39199999999</v>
      </c>
      <c r="Q27" s="18">
        <v>228994.23199999999</v>
      </c>
      <c r="R27" s="18">
        <v>229236.53099999999</v>
      </c>
      <c r="S27" s="18">
        <v>229359.31599999999</v>
      </c>
      <c r="T27" s="18">
        <v>229643.77600000001</v>
      </c>
      <c r="U27" s="18">
        <v>229742.473</v>
      </c>
      <c r="V27" s="18">
        <v>229907.68100000001</v>
      </c>
      <c r="W27" s="18">
        <v>229987.24</v>
      </c>
      <c r="X27" s="18">
        <v>230174.63800000001</v>
      </c>
      <c r="Y27" s="18">
        <v>230338.07</v>
      </c>
      <c r="Z27" s="18">
        <v>230656.19200000001</v>
      </c>
      <c r="AA27" s="18">
        <v>230813.6</v>
      </c>
      <c r="AB27" s="18">
        <v>230926.92300000001</v>
      </c>
      <c r="AC27" s="18">
        <v>231210.177</v>
      </c>
      <c r="AD27" s="18">
        <v>231404.35699999999</v>
      </c>
      <c r="AE27" s="18">
        <v>231483.18</v>
      </c>
      <c r="AF27" s="18">
        <v>231635.81</v>
      </c>
      <c r="AG27" s="18">
        <v>231883.52900000001</v>
      </c>
      <c r="AH27" s="18">
        <v>232129.10200000001</v>
      </c>
      <c r="AI27" s="17"/>
      <c r="AJ27" s="13">
        <v>232464.96299999999</v>
      </c>
      <c r="AK27" s="13">
        <v>232840.443</v>
      </c>
      <c r="AL27" s="13">
        <v>233041.084</v>
      </c>
      <c r="AM27" s="13">
        <v>233240.64199999999</v>
      </c>
      <c r="AN27" s="13">
        <v>233560.79399999999</v>
      </c>
      <c r="AO27" s="13">
        <v>233914.11900000001</v>
      </c>
      <c r="AP27" s="13">
        <v>234329.52600000001</v>
      </c>
      <c r="AQ27" s="13">
        <v>234829.951</v>
      </c>
      <c r="AR27" s="13">
        <v>235075.90700000001</v>
      </c>
      <c r="AS27" s="13">
        <v>235502.158</v>
      </c>
      <c r="AT27" s="13">
        <v>235763.84400000001</v>
      </c>
      <c r="AU27" s="13">
        <v>235977.014</v>
      </c>
      <c r="AV27" s="13">
        <v>236148.19500000001</v>
      </c>
      <c r="AW27" s="13">
        <v>236315.43100000001</v>
      </c>
      <c r="AX27" s="13">
        <v>236571.799</v>
      </c>
      <c r="AY27" s="13">
        <v>236813.22</v>
      </c>
      <c r="AZ27" s="13">
        <v>236981.17199999999</v>
      </c>
      <c r="BA27" s="13">
        <v>237177.141</v>
      </c>
      <c r="BB27" s="13">
        <v>237365.89799999999</v>
      </c>
      <c r="BC27" s="13">
        <v>237465.28099999999</v>
      </c>
      <c r="BD27" s="13">
        <v>237778.33100000001</v>
      </c>
      <c r="BE27" s="13">
        <v>238080.98300000001</v>
      </c>
      <c r="BF27" s="13">
        <v>238256.693</v>
      </c>
      <c r="BG27" s="13">
        <v>238490.35699999999</v>
      </c>
      <c r="BH27" s="13">
        <v>238697.084</v>
      </c>
      <c r="BI27" s="13">
        <v>239117.07699999999</v>
      </c>
      <c r="BJ27" s="13">
        <v>239275.242</v>
      </c>
      <c r="BK27" s="13">
        <v>239447.55600000001</v>
      </c>
      <c r="BL27" s="13">
        <v>239711.93100000001</v>
      </c>
      <c r="BM27" s="13">
        <v>239896.96900000001</v>
      </c>
      <c r="BO27" s="13">
        <v>240142.46299999999</v>
      </c>
      <c r="BP27" s="13">
        <v>240348.61199999999</v>
      </c>
      <c r="BQ27" s="13">
        <v>240603.3</v>
      </c>
      <c r="BR27" s="13">
        <v>240851.37400000001</v>
      </c>
      <c r="BS27" s="13">
        <v>241058.435</v>
      </c>
      <c r="BT27" s="13">
        <v>241291.97200000001</v>
      </c>
      <c r="BU27" s="13">
        <v>241475.856</v>
      </c>
      <c r="BV27" s="13">
        <v>241660.084</v>
      </c>
      <c r="BW27" s="13">
        <v>241846.43599999999</v>
      </c>
      <c r="BX27" s="13">
        <v>242039.236</v>
      </c>
      <c r="BY27" s="13">
        <v>242352.03400000001</v>
      </c>
      <c r="BZ27" s="13">
        <v>242466.16899999999</v>
      </c>
      <c r="CA27" s="13">
        <v>242784.94</v>
      </c>
      <c r="CB27" s="13">
        <v>243076.291</v>
      </c>
      <c r="CC27" s="13">
        <v>243206.17800000001</v>
      </c>
      <c r="CD27" s="13">
        <v>243415.76199999999</v>
      </c>
      <c r="CE27" s="13">
        <v>243800.28899999999</v>
      </c>
      <c r="CF27" s="13">
        <v>243990.57500000001</v>
      </c>
      <c r="CG27" s="13">
        <v>244182.27799999999</v>
      </c>
      <c r="CH27" s="13">
        <v>244382.78400000001</v>
      </c>
      <c r="CI27" s="13">
        <v>244660.35</v>
      </c>
      <c r="CJ27" s="13">
        <v>244826.622</v>
      </c>
      <c r="CK27" s="13">
        <v>245007.05900000001</v>
      </c>
      <c r="CL27" s="13">
        <v>245263.61300000001</v>
      </c>
      <c r="CM27" s="13">
        <v>245521.72099999999</v>
      </c>
      <c r="CN27" s="13">
        <v>245731.818</v>
      </c>
      <c r="CO27" s="13">
        <v>245946.201</v>
      </c>
      <c r="CP27" s="13">
        <v>246261.73699999999</v>
      </c>
      <c r="CQ27" s="13">
        <v>246432.84400000001</v>
      </c>
      <c r="CR27" s="13">
        <v>246635.46</v>
      </c>
      <c r="CS27" s="13">
        <v>246840.88099999999</v>
      </c>
      <c r="CU27" s="13">
        <v>247024.71</v>
      </c>
      <c r="CV27" s="13">
        <v>247255.80600000001</v>
      </c>
      <c r="CW27" s="13">
        <v>247508.92499999999</v>
      </c>
      <c r="CX27" s="13">
        <v>247781.90700000001</v>
      </c>
      <c r="CY27" s="13">
        <v>247986.29399999999</v>
      </c>
      <c r="CZ27" s="13">
        <v>248184.86900000001</v>
      </c>
      <c r="DA27" s="13">
        <v>248338.79800000001</v>
      </c>
      <c r="DB27" s="13">
        <v>248527.87400000001</v>
      </c>
      <c r="DC27" s="13">
        <v>248684.05799999999</v>
      </c>
      <c r="DD27" s="13">
        <v>248833.34099999999</v>
      </c>
      <c r="DE27" s="13">
        <v>249168.21100000001</v>
      </c>
      <c r="DF27" s="13">
        <v>249314.59099999999</v>
      </c>
      <c r="DG27" s="13">
        <v>249431.35</v>
      </c>
      <c r="DH27" s="13">
        <v>249650.18100000001</v>
      </c>
      <c r="DI27" s="13">
        <v>249770.55499999999</v>
      </c>
      <c r="DJ27" s="13">
        <v>249996.17800000001</v>
      </c>
      <c r="DK27" s="13">
        <v>250301.715</v>
      </c>
      <c r="DL27" s="13">
        <v>250456.62400000001</v>
      </c>
      <c r="DM27" s="13">
        <v>250550.60500000001</v>
      </c>
      <c r="DN27" s="13">
        <v>250933.149</v>
      </c>
      <c r="DO27" s="13">
        <v>251130.459</v>
      </c>
      <c r="DP27" s="13">
        <v>251305</v>
      </c>
      <c r="DQ27" s="13">
        <v>251467.361</v>
      </c>
      <c r="DR27" s="13">
        <v>251725.87599999999</v>
      </c>
      <c r="DS27" s="13">
        <v>251953.326</v>
      </c>
      <c r="DT27" s="13">
        <v>252203.769</v>
      </c>
      <c r="DU27" s="13">
        <v>252583.55499999999</v>
      </c>
      <c r="DV27" s="13">
        <v>252843.94200000001</v>
      </c>
      <c r="DW27" s="13">
        <v>253064.02900000001</v>
      </c>
      <c r="DX27" s="13">
        <v>253204.55799999999</v>
      </c>
      <c r="DY27" s="117"/>
      <c r="DZ27" s="13">
        <v>253388.52600000001</v>
      </c>
      <c r="EA27" s="13">
        <v>253668.87599999999</v>
      </c>
      <c r="EB27" s="13">
        <v>253790.10699999999</v>
      </c>
      <c r="EC27" s="13">
        <v>253948.77299999999</v>
      </c>
      <c r="ED27" s="13">
        <v>254280.038</v>
      </c>
      <c r="EE27" s="13">
        <v>254455.10699999999</v>
      </c>
      <c r="EF27" s="13">
        <v>254645.99299999999</v>
      </c>
      <c r="EG27" s="13">
        <v>254825.24100000001</v>
      </c>
      <c r="EH27" s="13">
        <v>255209.014</v>
      </c>
      <c r="EI27" s="13">
        <v>255489.20699999999</v>
      </c>
      <c r="EJ27" s="13">
        <v>255734.74900000001</v>
      </c>
      <c r="EK27" s="13">
        <v>255827.46900000001</v>
      </c>
      <c r="EL27" s="13">
        <v>256035.62</v>
      </c>
      <c r="EM27" s="13">
        <v>256390.46599999999</v>
      </c>
      <c r="EN27" s="13">
        <v>256529.62899999999</v>
      </c>
      <c r="EO27" s="13">
        <v>256712.96599999999</v>
      </c>
      <c r="EP27" s="13">
        <v>256971.916</v>
      </c>
      <c r="EQ27" s="13">
        <v>257394.15100000001</v>
      </c>
      <c r="ER27" s="13">
        <v>257538.48</v>
      </c>
      <c r="ES27" s="13">
        <v>257753.505</v>
      </c>
      <c r="ET27" s="13">
        <v>258024.272</v>
      </c>
      <c r="EU27" s="13">
        <v>258303.84400000001</v>
      </c>
      <c r="EV27" s="13">
        <v>258876.61199999999</v>
      </c>
      <c r="EW27" s="13">
        <v>259051.61799999999</v>
      </c>
      <c r="EX27" s="13">
        <v>259150.15700000001</v>
      </c>
      <c r="EY27" s="13">
        <v>259289.94899999999</v>
      </c>
      <c r="EZ27" s="13">
        <v>259429.522</v>
      </c>
      <c r="FA27" s="13">
        <v>259676.47399999999</v>
      </c>
      <c r="FB27" s="13">
        <v>259871.927</v>
      </c>
      <c r="FC27" s="13">
        <v>260110.402</v>
      </c>
      <c r="FD27" s="13">
        <v>260371.20499999999</v>
      </c>
      <c r="FE27" s="126"/>
      <c r="FF27" s="13">
        <v>260616.65700000001</v>
      </c>
      <c r="FG27" s="13">
        <v>260829.00200000001</v>
      </c>
      <c r="FH27" s="13">
        <v>261051.448</v>
      </c>
      <c r="FI27" s="13">
        <v>261246.68400000001</v>
      </c>
      <c r="FJ27" s="13">
        <v>261387.29399999999</v>
      </c>
      <c r="FK27" s="13">
        <v>261559.027</v>
      </c>
      <c r="FL27" s="13">
        <v>261735.111</v>
      </c>
      <c r="FM27" s="13">
        <v>261897.995</v>
      </c>
      <c r="FN27" s="13">
        <v>262331.46399999998</v>
      </c>
      <c r="FO27" s="13">
        <v>262510.82699999999</v>
      </c>
      <c r="FP27" s="13">
        <v>262655.147</v>
      </c>
      <c r="FQ27" s="13">
        <v>263052.54499999998</v>
      </c>
      <c r="FR27" s="13">
        <v>263241.19</v>
      </c>
      <c r="FS27" s="13">
        <v>263474.576</v>
      </c>
      <c r="FT27" s="13">
        <v>263741.34600000002</v>
      </c>
      <c r="FU27" s="13">
        <v>263845.04300000001</v>
      </c>
      <c r="FV27" s="13">
        <v>264019.66700000002</v>
      </c>
      <c r="FW27" s="13">
        <v>264094.70899999997</v>
      </c>
      <c r="FX27" s="13">
        <v>264265.82900000003</v>
      </c>
      <c r="FY27" s="13">
        <v>264461.06699999998</v>
      </c>
      <c r="FZ27" s="13">
        <v>264657.58199999999</v>
      </c>
      <c r="GA27" s="13">
        <v>264825.76500000001</v>
      </c>
      <c r="GB27" s="13">
        <v>265016.33500000002</v>
      </c>
      <c r="GC27" s="13">
        <v>265151.995</v>
      </c>
      <c r="GD27" s="13">
        <v>265294.24900000001</v>
      </c>
      <c r="GE27" s="13">
        <v>265717.06800000003</v>
      </c>
      <c r="GF27" s="13">
        <v>265956.27500000002</v>
      </c>
      <c r="GG27" s="13">
        <v>266124.91700000002</v>
      </c>
      <c r="GH27" s="13">
        <v>266486.78600000002</v>
      </c>
      <c r="GI27" s="13">
        <v>266726.42499999999</v>
      </c>
      <c r="GJ27" s="13">
        <v>267009.016</v>
      </c>
      <c r="GK27" s="126"/>
      <c r="GL27" s="13">
        <v>267184.255</v>
      </c>
      <c r="GM27" s="13">
        <v>267336.609</v>
      </c>
      <c r="GN27" s="13">
        <v>267587.179</v>
      </c>
      <c r="GO27" s="13">
        <v>267766.98</v>
      </c>
      <c r="GP27" s="13">
        <v>267997.27</v>
      </c>
      <c r="GQ27" s="13">
        <v>268137.87699999998</v>
      </c>
      <c r="GR27" s="13">
        <v>268408.07799999998</v>
      </c>
      <c r="GS27" s="13">
        <v>268801.18800000002</v>
      </c>
      <c r="GT27" s="13">
        <v>268963.44300000003</v>
      </c>
      <c r="GU27" s="13">
        <v>269120.75599999999</v>
      </c>
      <c r="GV27" s="13">
        <v>269290.08399999997</v>
      </c>
      <c r="GW27" s="13">
        <v>269498.51799999998</v>
      </c>
      <c r="GX27" s="13">
        <v>269657.98599999998</v>
      </c>
      <c r="GY27" s="13">
        <v>269722.92599999998</v>
      </c>
      <c r="GZ27" s="13">
        <v>269970.75199999998</v>
      </c>
      <c r="HA27" s="13">
        <v>270090.20899999997</v>
      </c>
      <c r="HB27" s="13">
        <v>270264.27799999999</v>
      </c>
      <c r="HC27" s="13">
        <v>270358.73200000002</v>
      </c>
      <c r="HD27" s="13">
        <v>270624.478</v>
      </c>
      <c r="HE27" s="13">
        <v>270789.62099999998</v>
      </c>
      <c r="HF27" s="13">
        <v>270938.44400000002</v>
      </c>
      <c r="HG27" s="13">
        <v>271103.78600000002</v>
      </c>
      <c r="HH27" s="13">
        <v>271343.14500000002</v>
      </c>
      <c r="HI27" s="13">
        <v>271461.46399999998</v>
      </c>
      <c r="HJ27" s="13">
        <v>271671.13799999998</v>
      </c>
      <c r="HK27" s="13">
        <v>271839.929</v>
      </c>
      <c r="HL27" s="13">
        <v>272023.21799999999</v>
      </c>
      <c r="HM27" s="13">
        <v>272228.62199999997</v>
      </c>
      <c r="HN27" s="13">
        <v>272352.51899999997</v>
      </c>
      <c r="HO27" s="126"/>
      <c r="HP27" s="13">
        <v>272582.44900000002</v>
      </c>
      <c r="HQ27" s="13">
        <v>272841.22399999999</v>
      </c>
      <c r="HR27" s="13">
        <v>272976.45899999997</v>
      </c>
      <c r="HS27" s="13">
        <v>273339.32900000003</v>
      </c>
      <c r="HT27" s="13">
        <v>273613.78999999998</v>
      </c>
      <c r="HU27" s="13">
        <v>273910.26500000001</v>
      </c>
      <c r="HV27" s="13">
        <v>274146.31800000003</v>
      </c>
      <c r="HW27" s="13">
        <v>274353.08</v>
      </c>
      <c r="HX27" s="13">
        <v>274521.92599999998</v>
      </c>
      <c r="HY27" s="13">
        <v>274837.36200000002</v>
      </c>
      <c r="HZ27" s="13">
        <v>275072.685</v>
      </c>
      <c r="IA27" s="13">
        <v>275343.179</v>
      </c>
      <c r="IB27" s="13">
        <v>275497.848</v>
      </c>
      <c r="IC27" s="13">
        <v>275757.397</v>
      </c>
      <c r="ID27" s="13">
        <v>276008.141</v>
      </c>
      <c r="IE27" s="13">
        <v>276157.82500000001</v>
      </c>
      <c r="IF27" s="13">
        <v>276496.12900000002</v>
      </c>
      <c r="IG27" s="13">
        <v>276658.946</v>
      </c>
      <c r="IH27" s="13">
        <v>276897.32</v>
      </c>
      <c r="II27" s="13">
        <v>277149.43099999998</v>
      </c>
      <c r="IJ27" s="13">
        <v>277569.61700000003</v>
      </c>
      <c r="IK27" s="13">
        <v>277871.42200000002</v>
      </c>
      <c r="IL27" s="13">
        <v>278056.05300000001</v>
      </c>
      <c r="IM27" s="13">
        <v>278221.09499999997</v>
      </c>
      <c r="IN27" s="13">
        <v>278448.77299999999</v>
      </c>
      <c r="IO27" s="13">
        <v>278621.837</v>
      </c>
      <c r="IP27" s="13">
        <v>278772.33500000002</v>
      </c>
      <c r="IQ27" s="13">
        <v>278990.31199999998</v>
      </c>
      <c r="IR27" s="13">
        <v>279213.66499999998</v>
      </c>
      <c r="IS27" s="13">
        <v>279344.11499999999</v>
      </c>
      <c r="IT27" s="13">
        <v>279578.58199999999</v>
      </c>
      <c r="IU27" s="126"/>
      <c r="IV27" s="13">
        <v>279760.54499999998</v>
      </c>
      <c r="IW27" s="13">
        <v>279952.87</v>
      </c>
      <c r="IX27" s="13">
        <v>280116.39199999999</v>
      </c>
      <c r="IY27" s="13">
        <v>280371.59399999998</v>
      </c>
      <c r="IZ27" s="13">
        <v>280539.511</v>
      </c>
      <c r="JA27" s="13">
        <v>280732.712</v>
      </c>
      <c r="JB27" s="13">
        <v>280896.41700000002</v>
      </c>
      <c r="JC27" s="13">
        <v>281264.92200000002</v>
      </c>
      <c r="JD27" s="13">
        <v>281447.27799999999</v>
      </c>
      <c r="JE27" s="13">
        <v>281587.94699999999</v>
      </c>
      <c r="JF27" s="13">
        <v>281792.82299999997</v>
      </c>
      <c r="JG27" s="13">
        <v>282094.94400000002</v>
      </c>
      <c r="JH27" s="13">
        <v>282210.16899999999</v>
      </c>
      <c r="JI27" s="13">
        <v>282355.45500000002</v>
      </c>
      <c r="JJ27" s="13">
        <v>282592.83</v>
      </c>
      <c r="JK27" s="13">
        <v>282787.64299999998</v>
      </c>
      <c r="JL27" s="13">
        <v>283019.103</v>
      </c>
      <c r="JM27" s="13">
        <v>283199.70899999997</v>
      </c>
      <c r="JN27" s="13">
        <v>283435.81400000001</v>
      </c>
      <c r="JO27" s="13">
        <v>283695.29399999999</v>
      </c>
      <c r="JP27" s="13">
        <v>283771.641</v>
      </c>
      <c r="JQ27" s="13">
        <v>283945.90500000003</v>
      </c>
      <c r="JR27" s="13">
        <v>284105.23800000001</v>
      </c>
      <c r="JS27" s="13">
        <v>284298.288</v>
      </c>
      <c r="JT27" s="13">
        <v>284522.28499999997</v>
      </c>
      <c r="JU27" s="13">
        <v>284646.18699999998</v>
      </c>
      <c r="JV27" s="13">
        <v>284769.973</v>
      </c>
      <c r="JW27" s="13">
        <v>285060.02299999999</v>
      </c>
      <c r="JX27" s="13">
        <v>285223.21299999999</v>
      </c>
      <c r="JY27" s="13">
        <v>285534.62599999999</v>
      </c>
      <c r="JZ27" s="126"/>
      <c r="KA27" s="13">
        <v>285722.70199999999</v>
      </c>
      <c r="KB27" s="13">
        <v>285919.429</v>
      </c>
      <c r="KC27" s="13">
        <v>286094.47899999999</v>
      </c>
      <c r="KD27" s="13">
        <v>286228.42200000002</v>
      </c>
      <c r="KE27" s="13">
        <v>286424.26799999998</v>
      </c>
      <c r="KF27" s="13">
        <v>286558.51199999999</v>
      </c>
      <c r="KG27" s="13">
        <v>286755.17300000001</v>
      </c>
      <c r="KH27" s="13">
        <v>286880.32799999998</v>
      </c>
      <c r="KI27" s="13">
        <v>287123.70899999997</v>
      </c>
      <c r="KJ27" s="13">
        <v>287242.52500000002</v>
      </c>
      <c r="KK27" s="13">
        <v>287452.33799999999</v>
      </c>
      <c r="KL27" s="13">
        <v>287637</v>
      </c>
      <c r="KM27" s="13">
        <v>287876.36599999998</v>
      </c>
      <c r="KN27" s="13">
        <v>288372.99900000001</v>
      </c>
      <c r="KO27" s="13">
        <v>288471.06800000003</v>
      </c>
      <c r="KP27" s="13">
        <v>288687.83500000002</v>
      </c>
      <c r="KQ27" s="13">
        <v>289045.364</v>
      </c>
      <c r="KR27" s="13">
        <v>289445.89199999999</v>
      </c>
      <c r="KS27" s="13">
        <v>289737.42300000001</v>
      </c>
      <c r="KT27" s="13">
        <v>290048.89600000001</v>
      </c>
      <c r="KU27" s="13">
        <v>290355.598</v>
      </c>
      <c r="KV27" s="13">
        <v>290552.52899999998</v>
      </c>
      <c r="KW27" s="13">
        <v>290791.90899999999</v>
      </c>
      <c r="KX27" s="13">
        <v>291156.44699999999</v>
      </c>
      <c r="KY27" s="13">
        <v>291386.799</v>
      </c>
      <c r="KZ27" s="13">
        <v>291546.60100000002</v>
      </c>
      <c r="LA27" s="13">
        <v>291727.78499999997</v>
      </c>
      <c r="LB27" s="13">
        <v>292123.18099999998</v>
      </c>
      <c r="LC27" s="13">
        <v>292453.02100000001</v>
      </c>
      <c r="LD27" s="13">
        <v>292668.87599999999</v>
      </c>
      <c r="LE27" s="13">
        <v>293039.21500000003</v>
      </c>
      <c r="LF27" s="126"/>
      <c r="LG27" s="13">
        <v>293283.90899999999</v>
      </c>
      <c r="LH27" s="13">
        <v>293649.86</v>
      </c>
      <c r="LI27" s="13">
        <v>294013.56099999999</v>
      </c>
      <c r="LJ27" s="13">
        <v>294300.70899999997</v>
      </c>
      <c r="LK27" s="13">
        <v>294728.31199999998</v>
      </c>
      <c r="LL27" s="13">
        <v>294999.64199999999</v>
      </c>
      <c r="LM27" s="13">
        <v>295430.36</v>
      </c>
      <c r="LN27" s="13">
        <v>295785.08799999999</v>
      </c>
      <c r="LO27" s="13">
        <v>295946.48100000003</v>
      </c>
      <c r="LP27" s="13">
        <v>296134.31199999998</v>
      </c>
      <c r="LQ27" s="13">
        <v>296593.34700000001</v>
      </c>
      <c r="LR27" s="13">
        <v>296904.25400000002</v>
      </c>
      <c r="LS27" s="13">
        <v>297178.054</v>
      </c>
      <c r="LT27" s="13">
        <v>297627.679</v>
      </c>
      <c r="LU27" s="13">
        <v>297991.40000000002</v>
      </c>
      <c r="LV27" s="13">
        <v>298191.78499999997</v>
      </c>
      <c r="LW27" s="13">
        <v>298316.68400000001</v>
      </c>
      <c r="LX27" s="13">
        <v>298697.21500000003</v>
      </c>
      <c r="LY27" s="13">
        <v>298877.32699999999</v>
      </c>
      <c r="LZ27" s="13">
        <v>298970.55900000001</v>
      </c>
      <c r="MA27" s="13">
        <v>299184.739</v>
      </c>
      <c r="MB27" s="13">
        <v>299432.14899999998</v>
      </c>
      <c r="MC27" s="13">
        <v>299577.91700000002</v>
      </c>
      <c r="MD27" s="13">
        <v>299790.31199999998</v>
      </c>
      <c r="ME27" s="13">
        <v>299957.30300000001</v>
      </c>
      <c r="MF27" s="13">
        <v>300318.13900000002</v>
      </c>
      <c r="MG27" s="13">
        <v>300512.81099999999</v>
      </c>
      <c r="MH27" s="13">
        <v>300801.71100000001</v>
      </c>
      <c r="MI27" s="13">
        <v>301010.375</v>
      </c>
      <c r="MJ27" s="13">
        <v>301181.80599999998</v>
      </c>
      <c r="MK27" s="126"/>
      <c r="ML27" s="13">
        <v>301332.03700000001</v>
      </c>
      <c r="MM27" s="13">
        <v>301357.65600000002</v>
      </c>
      <c r="MN27" s="13">
        <v>301360.17</v>
      </c>
      <c r="MO27" s="13">
        <v>301557.34000000003</v>
      </c>
      <c r="MP27" s="13">
        <v>301884.53899999999</v>
      </c>
      <c r="MQ27" s="13">
        <v>301892.78600000002</v>
      </c>
      <c r="MR27" s="13">
        <v>301892.78600000002</v>
      </c>
      <c r="MS27" s="13">
        <v>301892.78600000002</v>
      </c>
      <c r="MT27" s="13">
        <v>301894.848</v>
      </c>
      <c r="MU27" s="13">
        <v>301994.06599999999</v>
      </c>
      <c r="MV27" s="13">
        <v>302249.60499999998</v>
      </c>
      <c r="MW27" s="13">
        <v>302497.7</v>
      </c>
      <c r="MX27" s="13">
        <v>302642.30599999998</v>
      </c>
      <c r="MY27" s="13">
        <v>302833.37199999997</v>
      </c>
      <c r="MZ27" s="13">
        <v>303134.467</v>
      </c>
      <c r="NA27" s="13">
        <v>303361.592</v>
      </c>
      <c r="NB27" s="13">
        <v>303683.08100000001</v>
      </c>
      <c r="NC27" s="13">
        <v>303993.96799999999</v>
      </c>
      <c r="ND27" s="13">
        <v>304323.86200000002</v>
      </c>
      <c r="NE27" s="13">
        <v>304443.87900000002</v>
      </c>
      <c r="NF27" s="13">
        <v>304597.64799999999</v>
      </c>
      <c r="NG27" s="13">
        <v>304809.96500000003</v>
      </c>
      <c r="NH27" s="13">
        <v>304991.033</v>
      </c>
      <c r="NI27" s="13">
        <v>305129.17499999999</v>
      </c>
      <c r="NJ27" s="13">
        <v>305279.61599999998</v>
      </c>
      <c r="NK27" s="13">
        <v>305702.29599999997</v>
      </c>
      <c r="NL27" s="13">
        <v>305850.85499999998</v>
      </c>
      <c r="NM27" s="13">
        <v>306196.02899999998</v>
      </c>
      <c r="NN27" s="13">
        <v>306327.12</v>
      </c>
      <c r="NO27" s="13">
        <v>306496.30200000003</v>
      </c>
      <c r="NP27" s="13">
        <v>306642.57500000001</v>
      </c>
      <c r="NQ27" s="126"/>
      <c r="NR27" s="13">
        <v>306831.77299999999</v>
      </c>
      <c r="NS27" s="13">
        <v>307226.20899999997</v>
      </c>
      <c r="NT27" s="13">
        <v>307448.11599999998</v>
      </c>
      <c r="NU27" s="13">
        <v>307717.30300000001</v>
      </c>
      <c r="NV27" s="13">
        <v>307830.94699999999</v>
      </c>
      <c r="NW27" s="13">
        <v>308088.85200000001</v>
      </c>
      <c r="NX27" s="13">
        <v>308327.84399999998</v>
      </c>
      <c r="NY27" s="13">
        <v>308525.14500000002</v>
      </c>
      <c r="NZ27" s="13">
        <v>308736.98100000003</v>
      </c>
      <c r="OA27" s="13">
        <v>308922.27100000001</v>
      </c>
      <c r="OB27" s="13">
        <v>309083.34399999998</v>
      </c>
      <c r="OC27" s="13">
        <v>309265.46999999997</v>
      </c>
      <c r="OD27" s="13">
        <v>309626.76199999999</v>
      </c>
      <c r="OE27" s="13">
        <v>310037.81699999998</v>
      </c>
      <c r="OF27" s="13">
        <v>310209.21799999999</v>
      </c>
      <c r="OG27" s="13">
        <v>310470.84700000001</v>
      </c>
      <c r="OH27" s="13">
        <v>310628.717</v>
      </c>
      <c r="OI27" s="13">
        <v>311003.40899999999</v>
      </c>
      <c r="OJ27" s="13">
        <v>311213.13299999997</v>
      </c>
      <c r="OK27" s="13">
        <v>311412.53200000001</v>
      </c>
      <c r="OL27" s="13">
        <v>311550.45</v>
      </c>
      <c r="OM27" s="13">
        <v>311766.70799999998</v>
      </c>
      <c r="ON27" s="13">
        <v>312047.82199999999</v>
      </c>
      <c r="OO27" s="13">
        <v>312307.45</v>
      </c>
      <c r="OP27" s="13">
        <v>312452.95400000003</v>
      </c>
      <c r="OQ27" s="13">
        <v>312780.84499999997</v>
      </c>
      <c r="OR27" s="13">
        <v>312959.82299999997</v>
      </c>
      <c r="OS27" s="13">
        <v>313239.951</v>
      </c>
      <c r="OT27" s="13">
        <v>313468.89500000002</v>
      </c>
      <c r="OU27" s="13">
        <v>313720.098</v>
      </c>
      <c r="OV27" s="13">
        <v>314088.5</v>
      </c>
      <c r="OW27" s="126"/>
      <c r="OX27" s="13">
        <v>314234.842</v>
      </c>
      <c r="OY27" s="13">
        <v>314711.12</v>
      </c>
      <c r="OZ27" s="13">
        <v>314895.35200000001</v>
      </c>
      <c r="PA27" s="13">
        <v>315086.96500000003</v>
      </c>
      <c r="PB27" s="13">
        <v>315323.21399999998</v>
      </c>
      <c r="PC27" s="13">
        <v>315531.28600000002</v>
      </c>
      <c r="PD27" s="13">
        <v>315774.83500000002</v>
      </c>
      <c r="PE27" s="13">
        <v>315916.21999999997</v>
      </c>
      <c r="PF27" s="13">
        <v>316142.99099999998</v>
      </c>
      <c r="PG27" s="13">
        <v>316336.28999999998</v>
      </c>
      <c r="PH27" s="13">
        <v>316721.85600000003</v>
      </c>
      <c r="PI27" s="13">
        <v>316987.098</v>
      </c>
      <c r="PJ27" s="13">
        <v>317272.20299999998</v>
      </c>
      <c r="PK27" s="13">
        <v>317516.45799999998</v>
      </c>
      <c r="PL27" s="13">
        <v>317728.489</v>
      </c>
      <c r="PM27" s="13">
        <v>317902.61900000001</v>
      </c>
      <c r="PN27" s="13">
        <v>318131.93099999998</v>
      </c>
      <c r="PO27" s="13">
        <v>318269.41499999998</v>
      </c>
      <c r="PP27" s="13">
        <v>318478.70600000001</v>
      </c>
      <c r="PQ27" s="13">
        <v>318693.69</v>
      </c>
      <c r="PR27" s="13">
        <v>318812.86800000002</v>
      </c>
      <c r="PS27" s="13">
        <v>319013.30800000002</v>
      </c>
      <c r="PT27" s="13">
        <v>319043.63500000001</v>
      </c>
      <c r="PU27" s="13">
        <v>319167.80300000001</v>
      </c>
      <c r="PV27" s="13">
        <v>319291.61499999999</v>
      </c>
      <c r="PW27" s="13">
        <v>319672.62199999997</v>
      </c>
      <c r="PX27" s="13">
        <v>319932.20699999999</v>
      </c>
      <c r="PY27" s="13">
        <v>320149.30699999997</v>
      </c>
      <c r="PZ27" s="13">
        <v>320272.94799999997</v>
      </c>
      <c r="QA27" s="13">
        <v>320592.57400000002</v>
      </c>
      <c r="QB27" s="126"/>
      <c r="QC27" s="13">
        <v>320815.55499999999</v>
      </c>
      <c r="QD27" s="13">
        <v>320978.53399999999</v>
      </c>
      <c r="QE27" s="13">
        <v>321078.37400000001</v>
      </c>
      <c r="QF27" s="13">
        <v>321234.39899999998</v>
      </c>
      <c r="QG27" s="13">
        <v>321472.78700000001</v>
      </c>
      <c r="QH27" s="13">
        <v>321622.071</v>
      </c>
      <c r="QI27" s="13">
        <v>321883.05800000002</v>
      </c>
      <c r="QJ27" s="13">
        <v>322117.41200000001</v>
      </c>
      <c r="QK27" s="13">
        <v>322317.61900000001</v>
      </c>
      <c r="QL27" s="13">
        <v>322514.391</v>
      </c>
      <c r="QM27" s="13">
        <v>322809.55499999999</v>
      </c>
      <c r="QN27" s="13">
        <v>323165.45500000002</v>
      </c>
      <c r="QO27" s="13">
        <v>323532.23100000003</v>
      </c>
      <c r="QP27" s="13">
        <v>323736.38900000002</v>
      </c>
      <c r="QQ27" s="13">
        <v>323897.50799999997</v>
      </c>
      <c r="QR27" s="13">
        <v>324102.77100000001</v>
      </c>
      <c r="QS27" s="13">
        <v>324335.91600000003</v>
      </c>
      <c r="QT27" s="13">
        <v>324889.26799999998</v>
      </c>
      <c r="QU27" s="13">
        <v>325059.96299999999</v>
      </c>
      <c r="QV27" s="13">
        <v>325259.53700000001</v>
      </c>
      <c r="QW27" s="13">
        <v>325459.46100000001</v>
      </c>
      <c r="QX27" s="13">
        <v>325735.26</v>
      </c>
      <c r="QY27" s="13">
        <v>325966.2</v>
      </c>
      <c r="QZ27" s="13">
        <v>326116.01799999998</v>
      </c>
      <c r="RA27" s="13">
        <v>326432.97600000002</v>
      </c>
      <c r="RB27" s="13">
        <v>326689.09700000001</v>
      </c>
      <c r="RC27" s="13">
        <v>326818.25199999998</v>
      </c>
      <c r="RD27" s="13">
        <v>326992.86800000002</v>
      </c>
      <c r="RE27" s="13">
        <v>327151.408</v>
      </c>
      <c r="RF27" s="13">
        <v>327291.85700000002</v>
      </c>
      <c r="RG27" s="13">
        <v>327581.87800000003</v>
      </c>
      <c r="RH27" s="126"/>
      <c r="RI27" s="13">
        <v>327823.00300000003</v>
      </c>
      <c r="RJ27" s="13">
        <v>328017.609</v>
      </c>
      <c r="RK27" s="13">
        <v>328311.57699999999</v>
      </c>
      <c r="RL27" s="13">
        <v>328455.83500000002</v>
      </c>
      <c r="RM27" s="13">
        <v>328634.55599999998</v>
      </c>
      <c r="RN27" s="13">
        <v>328756.96100000001</v>
      </c>
      <c r="RO27" s="13">
        <v>328902.45400000003</v>
      </c>
      <c r="RP27" s="13">
        <v>329028.18800000002</v>
      </c>
      <c r="RQ27" s="13">
        <v>329255.99099999998</v>
      </c>
      <c r="RR27" s="13">
        <v>329468.77100000001</v>
      </c>
      <c r="RS27" s="13">
        <v>329809.38099999999</v>
      </c>
      <c r="RT27" s="13">
        <v>329925.71100000001</v>
      </c>
      <c r="RU27" s="13">
        <v>330160.32299999997</v>
      </c>
      <c r="RV27" s="13">
        <v>330283.58500000002</v>
      </c>
      <c r="RW27" s="13">
        <v>330459.42</v>
      </c>
      <c r="RX27" s="13">
        <v>330578.44</v>
      </c>
      <c r="RY27" s="13">
        <v>330708.83600000001</v>
      </c>
      <c r="RZ27" s="13">
        <v>330925.14799999999</v>
      </c>
      <c r="SA27" s="13">
        <v>331046.402</v>
      </c>
      <c r="SB27" s="13">
        <v>331396.25300000003</v>
      </c>
      <c r="SC27" s="13">
        <v>331544.14199999999</v>
      </c>
      <c r="SD27" s="13">
        <v>331723.68</v>
      </c>
      <c r="SE27" s="13">
        <v>331994.413</v>
      </c>
      <c r="SF27" s="13">
        <v>332148.95899999997</v>
      </c>
      <c r="SG27" s="13">
        <v>332488.37599999999</v>
      </c>
      <c r="SH27" s="13">
        <v>332653.08100000001</v>
      </c>
      <c r="SI27" s="13">
        <v>332834.91499999998</v>
      </c>
      <c r="SJ27" s="13">
        <v>333041.51799999998</v>
      </c>
      <c r="SK27" s="13">
        <v>333245.94799999997</v>
      </c>
      <c r="SL27" s="13">
        <v>333426.03200000001</v>
      </c>
      <c r="SM27" s="126"/>
      <c r="SN27" s="13">
        <v>333598.14899999998</v>
      </c>
      <c r="SO27" s="13">
        <v>334096.62400000001</v>
      </c>
      <c r="SP27" s="13">
        <v>335236.58600000001</v>
      </c>
      <c r="SQ27" s="13">
        <v>335434.65000000002</v>
      </c>
      <c r="SR27" s="13">
        <v>335885.924</v>
      </c>
      <c r="SS27" s="13">
        <v>336075.56099999999</v>
      </c>
      <c r="ST27" s="13">
        <v>336439.375</v>
      </c>
      <c r="SU27" s="13">
        <v>336651.86099999998</v>
      </c>
      <c r="SV27" s="13">
        <v>337089.24</v>
      </c>
      <c r="SW27" s="13">
        <v>337361.04399999999</v>
      </c>
      <c r="SX27" s="13">
        <v>337618.495</v>
      </c>
      <c r="SY27" s="13">
        <v>337752.495</v>
      </c>
      <c r="SZ27" s="13">
        <v>338041.62900000002</v>
      </c>
      <c r="TA27" s="13">
        <v>338364.89899999998</v>
      </c>
      <c r="TB27" s="13">
        <v>338609.40600000002</v>
      </c>
      <c r="TC27" s="13">
        <v>338840.94300000003</v>
      </c>
      <c r="TD27" s="13">
        <v>339071.99599999998</v>
      </c>
      <c r="TE27" s="13">
        <v>339404.87599999999</v>
      </c>
      <c r="TF27" s="13">
        <v>339737.66899999999</v>
      </c>
      <c r="TG27" s="13">
        <v>339907.24099999998</v>
      </c>
      <c r="TH27" s="13">
        <v>340222.00199999998</v>
      </c>
      <c r="TI27" s="13">
        <v>340568.99300000002</v>
      </c>
      <c r="TJ27" s="13">
        <v>340923.13799999998</v>
      </c>
      <c r="TK27" s="13">
        <v>341272.36700000003</v>
      </c>
      <c r="TL27" s="13">
        <v>341373.27399999998</v>
      </c>
      <c r="TM27" s="13">
        <v>341459.57400000002</v>
      </c>
      <c r="TN27" s="13">
        <v>341595.14600000001</v>
      </c>
      <c r="TO27" s="13">
        <v>341803.19799999997</v>
      </c>
      <c r="TP27" s="13">
        <v>341945.70500000002</v>
      </c>
      <c r="TQ27" s="13">
        <v>342167.217</v>
      </c>
      <c r="TR27" s="13">
        <v>342368.55200000003</v>
      </c>
      <c r="TS27" s="126"/>
      <c r="TT27" s="13">
        <v>342482.62</v>
      </c>
      <c r="TU27" s="13">
        <v>342761.92300000001</v>
      </c>
      <c r="TV27" s="13">
        <v>343003.08299999998</v>
      </c>
      <c r="TW27" s="13">
        <v>343207.34399999998</v>
      </c>
      <c r="TX27" s="13">
        <v>343388.99300000002</v>
      </c>
      <c r="TY27" s="13">
        <v>343682.25099999999</v>
      </c>
      <c r="TZ27" s="13">
        <v>343833.78399999999</v>
      </c>
      <c r="UA27" s="13">
        <v>344057.66200000001</v>
      </c>
      <c r="UB27" s="13">
        <v>344270.85800000001</v>
      </c>
      <c r="UC27" s="13">
        <v>344412.46899999998</v>
      </c>
      <c r="UD27" s="13">
        <v>344545.35</v>
      </c>
      <c r="UE27" s="13">
        <v>344742.85200000001</v>
      </c>
      <c r="UF27" s="13">
        <v>344922.71899999998</v>
      </c>
      <c r="UG27" s="13">
        <v>345152.04200000002</v>
      </c>
      <c r="UH27" s="13">
        <v>345339.80599999998</v>
      </c>
      <c r="UI27" s="13">
        <v>345556.38099999999</v>
      </c>
      <c r="UJ27" s="13">
        <v>345758.55099999998</v>
      </c>
      <c r="UK27" s="13">
        <v>346191.59299999999</v>
      </c>
      <c r="UL27" s="13">
        <v>346481.91600000003</v>
      </c>
      <c r="UM27" s="13">
        <v>346658.304</v>
      </c>
      <c r="UN27" s="13">
        <v>346995.69799999997</v>
      </c>
      <c r="UO27" s="13">
        <v>347499.29499999998</v>
      </c>
      <c r="UP27" s="13">
        <v>347691.71799999999</v>
      </c>
      <c r="UQ27" s="13">
        <v>347987.41899999999</v>
      </c>
      <c r="UR27" s="13">
        <v>348313.34899999999</v>
      </c>
      <c r="US27" s="13">
        <v>348579.03399999999</v>
      </c>
      <c r="UT27" s="13">
        <v>348863.46500000003</v>
      </c>
      <c r="UU27" s="13">
        <v>348994.46</v>
      </c>
      <c r="UV27" s="13">
        <v>348994.46</v>
      </c>
      <c r="UW27" s="13">
        <v>349259.83899999998</v>
      </c>
      <c r="UX27" s="13">
        <v>349460.27</v>
      </c>
      <c r="UY27" s="126"/>
      <c r="UZ27" s="13">
        <v>349796.94099999999</v>
      </c>
      <c r="VA27" s="13">
        <v>350017.87300000002</v>
      </c>
      <c r="VB27" s="13">
        <v>350358.61</v>
      </c>
      <c r="VC27" s="13">
        <v>350613.49300000002</v>
      </c>
      <c r="VD27" s="13">
        <v>350841.76199999999</v>
      </c>
      <c r="VE27" s="13">
        <v>350963.413</v>
      </c>
      <c r="VF27" s="13">
        <v>351261.61499999999</v>
      </c>
      <c r="VG27" s="13">
        <v>351513.533</v>
      </c>
      <c r="VH27" s="13">
        <v>351676.32199999999</v>
      </c>
      <c r="VI27" s="13">
        <v>351934.67499999999</v>
      </c>
      <c r="VJ27" s="13">
        <v>352162.11200000002</v>
      </c>
      <c r="VK27" s="13">
        <v>352375.989</v>
      </c>
      <c r="VL27" s="13">
        <v>352713.03</v>
      </c>
      <c r="VM27" s="13">
        <v>352969.25199999998</v>
      </c>
      <c r="VN27" s="13">
        <v>353151.22200000001</v>
      </c>
      <c r="VO27" s="13">
        <v>353408.13500000001</v>
      </c>
      <c r="VP27" s="13">
        <v>353505.93199999997</v>
      </c>
      <c r="VQ27" s="13">
        <v>353766.58</v>
      </c>
      <c r="VR27" s="13">
        <v>354129.64799999999</v>
      </c>
      <c r="VS27" s="13">
        <v>354390.071</v>
      </c>
      <c r="VT27" s="13">
        <v>354644.56199999998</v>
      </c>
      <c r="VU27" s="13">
        <v>354843.23599999998</v>
      </c>
      <c r="VV27" s="13">
        <v>355044.33899999998</v>
      </c>
      <c r="VW27" s="13">
        <v>355353.18099999998</v>
      </c>
      <c r="VX27" s="13">
        <v>355625.76</v>
      </c>
      <c r="VY27" s="13">
        <v>355859.163</v>
      </c>
      <c r="VZ27" s="13">
        <v>356314.13299999997</v>
      </c>
      <c r="WA27" s="13">
        <v>356658.77899999998</v>
      </c>
      <c r="WB27" s="126"/>
      <c r="WC27" s="13">
        <v>356968.43300000002</v>
      </c>
      <c r="WD27" s="13">
        <v>357152.06900000002</v>
      </c>
      <c r="WE27" s="13">
        <v>357331.78</v>
      </c>
      <c r="WF27" s="13">
        <v>357564.07799999998</v>
      </c>
      <c r="WG27" s="13">
        <v>357667.147</v>
      </c>
      <c r="WH27" s="13">
        <v>357667.147</v>
      </c>
      <c r="WI27" s="13">
        <v>357978.62900000002</v>
      </c>
      <c r="WJ27" s="13">
        <v>358461.429</v>
      </c>
      <c r="WK27" s="13">
        <v>358739.50799999997</v>
      </c>
      <c r="WL27" s="13">
        <v>359002.02500000002</v>
      </c>
      <c r="WM27" s="13">
        <v>359173.00300000003</v>
      </c>
      <c r="WN27" s="13">
        <v>359360.67</v>
      </c>
      <c r="WO27" s="13">
        <v>359483.51299999998</v>
      </c>
      <c r="WP27" s="13">
        <v>359805.47</v>
      </c>
      <c r="WQ27" s="13">
        <v>360132.609</v>
      </c>
      <c r="WR27" s="13">
        <v>360239.19</v>
      </c>
      <c r="WS27" s="13">
        <v>360661.67599999998</v>
      </c>
      <c r="WT27" s="13">
        <v>360847.37900000002</v>
      </c>
      <c r="WU27" s="13">
        <v>361220.47399999999</v>
      </c>
      <c r="WV27" s="13">
        <v>361312.52299999999</v>
      </c>
      <c r="WW27" s="13">
        <v>361596.2</v>
      </c>
      <c r="WX27" s="13">
        <v>361786.29499999998</v>
      </c>
      <c r="WY27" s="13">
        <v>362032.43800000002</v>
      </c>
      <c r="WZ27" s="13">
        <v>362452.73300000001</v>
      </c>
      <c r="XA27" s="13">
        <v>362685.11499999999</v>
      </c>
      <c r="XB27" s="13">
        <v>362894.18800000002</v>
      </c>
      <c r="XC27" s="13">
        <v>363098.94900000002</v>
      </c>
      <c r="XD27" s="13">
        <v>363281.63199999998</v>
      </c>
      <c r="XE27" s="13">
        <v>363761.54599999997</v>
      </c>
      <c r="XF27" s="13">
        <v>363991.10399999999</v>
      </c>
      <c r="XG27" s="13">
        <v>364393.29200000002</v>
      </c>
      <c r="XH27" s="126"/>
      <c r="XI27" s="13">
        <v>364637.53100000002</v>
      </c>
      <c r="XJ27" s="13">
        <v>365071.79300000001</v>
      </c>
      <c r="XK27" s="13">
        <v>365181.33600000001</v>
      </c>
      <c r="XL27" s="13">
        <v>365431.78</v>
      </c>
      <c r="XM27" s="13">
        <v>365655.94900000002</v>
      </c>
      <c r="XN27" s="13">
        <v>366058.02399999998</v>
      </c>
      <c r="XO27" s="13">
        <v>366383.78399999999</v>
      </c>
      <c r="XP27" s="13">
        <v>366684.35499999998</v>
      </c>
      <c r="XQ27" s="13">
        <v>366872.68900000001</v>
      </c>
      <c r="XR27" s="13">
        <v>367114.08100000001</v>
      </c>
      <c r="XS27" s="13">
        <v>367237.38</v>
      </c>
      <c r="XT27" s="13">
        <v>367447.30599999998</v>
      </c>
      <c r="XU27" s="13">
        <v>367540.96899999998</v>
      </c>
      <c r="XV27" s="13">
        <v>367735.92700000003</v>
      </c>
      <c r="XW27" s="13">
        <v>368018.06300000002</v>
      </c>
      <c r="XX27" s="13">
        <v>368271.79599999997</v>
      </c>
      <c r="XY27" s="13">
        <v>368528.34100000001</v>
      </c>
      <c r="XZ27" s="13">
        <v>368744.59899999999</v>
      </c>
      <c r="YA27" s="13">
        <v>368890.61</v>
      </c>
      <c r="YB27" s="13">
        <v>369101.76299999998</v>
      </c>
      <c r="YC27" s="13">
        <v>369247.61700000003</v>
      </c>
      <c r="YD27" s="13">
        <v>369520.5</v>
      </c>
      <c r="YE27" s="13">
        <v>369697.90600000002</v>
      </c>
      <c r="YF27" s="13">
        <v>369998.12400000001</v>
      </c>
      <c r="YG27" s="13">
        <v>370137.46899999998</v>
      </c>
      <c r="YH27" s="13">
        <v>370333.71600000001</v>
      </c>
      <c r="YI27" s="13">
        <v>370494.13500000001</v>
      </c>
      <c r="YJ27" s="13">
        <v>370669.364</v>
      </c>
      <c r="YK27" s="13">
        <v>370854.723</v>
      </c>
      <c r="YL27" s="13">
        <v>371036.74200000003</v>
      </c>
      <c r="YM27" s="126"/>
      <c r="YN27" s="13">
        <v>371526.35</v>
      </c>
      <c r="YO27" s="13">
        <v>372013.52899999998</v>
      </c>
      <c r="YP27" s="13">
        <v>372305.76699999999</v>
      </c>
      <c r="YQ27" s="13">
        <v>372523.603</v>
      </c>
      <c r="YR27" s="13">
        <v>372756.92200000002</v>
      </c>
      <c r="YS27" s="13">
        <v>372914.06900000002</v>
      </c>
      <c r="YT27" s="13">
        <v>373108.016</v>
      </c>
      <c r="YU27" s="13">
        <v>373203.72899999999</v>
      </c>
      <c r="YV27" s="13">
        <v>373376.84899999999</v>
      </c>
      <c r="YW27" s="13">
        <v>373537.266</v>
      </c>
      <c r="YX27" s="13">
        <v>373730.15500000003</v>
      </c>
      <c r="YY27" s="13">
        <v>373889.33299999998</v>
      </c>
      <c r="YZ27" s="13">
        <v>374129.11499999999</v>
      </c>
      <c r="ZA27" s="13">
        <v>374403.42200000002</v>
      </c>
      <c r="ZB27" s="13">
        <v>374631.68400000001</v>
      </c>
      <c r="ZC27" s="13">
        <v>374820.56900000002</v>
      </c>
      <c r="ZD27" s="13">
        <v>375116.46600000001</v>
      </c>
      <c r="ZE27" s="13">
        <v>375226.136</v>
      </c>
      <c r="ZF27" s="13">
        <v>375516.56800000003</v>
      </c>
      <c r="ZG27" s="13">
        <v>375727.73200000002</v>
      </c>
      <c r="ZH27" s="13">
        <v>375901.05099999998</v>
      </c>
      <c r="ZI27" s="13">
        <v>376091.78499999997</v>
      </c>
      <c r="ZJ27" s="13">
        <v>376419.72200000001</v>
      </c>
      <c r="ZK27" s="13">
        <v>376635.62099999998</v>
      </c>
      <c r="ZL27" s="13">
        <v>376863.141</v>
      </c>
      <c r="ZM27" s="13">
        <v>377084.84700000001</v>
      </c>
      <c r="ZN27" s="13">
        <v>377251.49900000001</v>
      </c>
      <c r="ZO27" s="13">
        <v>377414.70899999997</v>
      </c>
      <c r="ZP27" s="13">
        <v>377543.57900000003</v>
      </c>
      <c r="ZQ27" s="13">
        <v>377872.39500000002</v>
      </c>
      <c r="ZR27" s="13">
        <v>378110.65700000001</v>
      </c>
      <c r="ZS27" s="126"/>
      <c r="ZT27" s="13">
        <v>378432.68599999999</v>
      </c>
      <c r="ZU27" s="13">
        <v>378765.03700000001</v>
      </c>
      <c r="ZV27" s="13">
        <v>378930.63299999997</v>
      </c>
      <c r="ZW27" s="13">
        <v>379072.61499999999</v>
      </c>
      <c r="ZX27" s="13">
        <v>379318.18599999999</v>
      </c>
      <c r="ZY27" s="13">
        <v>379466.13099999999</v>
      </c>
      <c r="ZZ27" s="13">
        <v>379836.59399999998</v>
      </c>
      <c r="AAA27" s="13">
        <v>380025.82500000001</v>
      </c>
      <c r="AAB27" s="13">
        <v>380217.64600000001</v>
      </c>
      <c r="AAC27" s="13">
        <v>380513.11800000002</v>
      </c>
      <c r="AAD27" s="13">
        <v>380702.56599999999</v>
      </c>
      <c r="AAE27" s="13">
        <v>380911.804</v>
      </c>
      <c r="AAF27" s="13">
        <v>381140.39199999999</v>
      </c>
      <c r="AAG27" s="13">
        <v>381404.28399999999</v>
      </c>
      <c r="AAH27" s="13">
        <v>381680.22600000002</v>
      </c>
      <c r="AAI27" s="13">
        <v>381925.36800000002</v>
      </c>
      <c r="AAJ27" s="13">
        <v>382082.98800000001</v>
      </c>
      <c r="AAK27" s="13">
        <v>382404.89500000002</v>
      </c>
      <c r="AAL27" s="13">
        <v>382510.69199999998</v>
      </c>
      <c r="AAM27" s="13">
        <v>382722.07699999999</v>
      </c>
      <c r="AAN27" s="13">
        <v>382923.136</v>
      </c>
      <c r="AAO27" s="13">
        <v>383115.44</v>
      </c>
      <c r="AAP27" s="13">
        <v>383329.951</v>
      </c>
      <c r="AAQ27" s="13">
        <v>383405.64399999997</v>
      </c>
      <c r="AAR27" s="13">
        <v>383616.386</v>
      </c>
      <c r="AAS27" s="13">
        <v>383821.29800000001</v>
      </c>
      <c r="AAT27" s="13">
        <v>384017.93400000001</v>
      </c>
      <c r="AAU27" s="13">
        <v>384209.32</v>
      </c>
      <c r="AAV27" s="13">
        <v>384381.13400000002</v>
      </c>
      <c r="AAW27" s="13">
        <v>384546.717</v>
      </c>
      <c r="AAX27" s="126"/>
      <c r="AAY27" s="13">
        <v>384936.6</v>
      </c>
      <c r="AAZ27" s="13">
        <v>385116.15299999999</v>
      </c>
      <c r="ABA27" s="13">
        <v>385519.79800000001</v>
      </c>
      <c r="ABB27" s="13">
        <v>385659.99900000001</v>
      </c>
      <c r="ABC27" s="13">
        <v>385860.408</v>
      </c>
      <c r="ABD27" s="13">
        <v>385971.364</v>
      </c>
      <c r="ABE27" s="13">
        <v>386157.37400000001</v>
      </c>
      <c r="ABF27" s="13">
        <v>386409.989</v>
      </c>
      <c r="ABG27" s="13">
        <v>386567.25099999999</v>
      </c>
      <c r="ABH27" s="13">
        <v>386848.28600000002</v>
      </c>
      <c r="ABI27" s="13">
        <v>387011.93099999998</v>
      </c>
      <c r="ABJ27" s="13">
        <v>387179.87900000002</v>
      </c>
      <c r="ABK27" s="13">
        <v>387341.89799999999</v>
      </c>
      <c r="ABL27" s="13">
        <v>387548.33399999997</v>
      </c>
      <c r="ABM27" s="13">
        <v>387771.00199999998</v>
      </c>
      <c r="ABN27" s="13">
        <v>387895.50900000002</v>
      </c>
      <c r="ABO27" s="13">
        <v>388218.86499999999</v>
      </c>
      <c r="ABP27" s="13">
        <v>388401.80599999998</v>
      </c>
      <c r="ABQ27" s="13">
        <v>388753.13</v>
      </c>
      <c r="ABR27" s="13">
        <v>388958.69900000002</v>
      </c>
      <c r="ABS27" s="13">
        <v>389138.25099999999</v>
      </c>
      <c r="ABT27" s="13">
        <v>389248.34499999997</v>
      </c>
      <c r="ABU27" s="13">
        <v>389413.92700000003</v>
      </c>
      <c r="ABV27" s="13">
        <v>389535.84700000001</v>
      </c>
      <c r="ABW27" s="13">
        <v>389758.63099999999</v>
      </c>
      <c r="ABX27" s="13">
        <v>389946.57199999999</v>
      </c>
      <c r="ABY27" s="13">
        <v>390126.12800000003</v>
      </c>
      <c r="ABZ27" s="13">
        <v>390411.48800000001</v>
      </c>
      <c r="ACA27" s="13">
        <v>390620.93800000002</v>
      </c>
      <c r="ACB27" s="13">
        <v>390727.81099999999</v>
      </c>
      <c r="ACC27" s="13">
        <v>390819.63</v>
      </c>
      <c r="ACD27" s="126"/>
      <c r="ACE27" s="13">
        <v>391013.97</v>
      </c>
      <c r="ACF27" s="13">
        <v>391277.82</v>
      </c>
      <c r="ACG27" s="13">
        <v>391518.87400000001</v>
      </c>
      <c r="ACH27" s="13">
        <v>391746.81599999999</v>
      </c>
      <c r="ACI27" s="13">
        <v>391987.87400000001</v>
      </c>
      <c r="ACJ27" s="13">
        <v>392335.446</v>
      </c>
      <c r="ACK27" s="13">
        <v>392581.88099999999</v>
      </c>
      <c r="ACL27" s="13">
        <v>392847.23800000001</v>
      </c>
      <c r="ACM27" s="13">
        <v>393030.44799999997</v>
      </c>
      <c r="ACN27" s="13">
        <v>393142.26</v>
      </c>
      <c r="ACO27" s="13">
        <v>393399.45299999998</v>
      </c>
      <c r="ACP27" s="13">
        <v>393625.13900000002</v>
      </c>
      <c r="ACQ27" s="13">
        <v>393799.10100000002</v>
      </c>
      <c r="ACR27" s="13">
        <v>394131.37599999999</v>
      </c>
      <c r="ACS27" s="13">
        <v>394342.55099999998</v>
      </c>
      <c r="ACT27" s="13">
        <v>394543.39399999997</v>
      </c>
      <c r="ACU27" s="13">
        <v>394733.348</v>
      </c>
      <c r="ACV27" s="13">
        <v>394973.11900000001</v>
      </c>
      <c r="ACW27" s="13">
        <v>395268.81599999999</v>
      </c>
      <c r="ACX27" s="13">
        <v>395419.98800000001</v>
      </c>
      <c r="ACY27" s="13">
        <v>395596.09100000001</v>
      </c>
      <c r="ACZ27" s="13">
        <v>395763.17200000002</v>
      </c>
      <c r="ADA27" s="13">
        <v>396021.43400000001</v>
      </c>
      <c r="ADB27" s="13">
        <v>396338.625</v>
      </c>
      <c r="ADC27" s="13">
        <v>396527.13400000002</v>
      </c>
      <c r="ADD27" s="13">
        <v>396735.43699999998</v>
      </c>
      <c r="ADE27" s="13">
        <v>396938.86599999998</v>
      </c>
      <c r="ADF27" s="13">
        <v>397102.93900000001</v>
      </c>
      <c r="ADG27" s="13">
        <v>397339.48200000002</v>
      </c>
      <c r="ADH27" s="13">
        <v>397526.56900000002</v>
      </c>
      <c r="ADI27" s="13">
        <v>397667.429</v>
      </c>
      <c r="ADJ27" s="126"/>
      <c r="ADK27" s="13">
        <v>397780.10499999998</v>
      </c>
      <c r="ADL27" s="13">
        <v>398036.54200000002</v>
      </c>
      <c r="ADM27" s="13">
        <v>398262.25900000002</v>
      </c>
      <c r="ADN27" s="13">
        <v>398443.04499999998</v>
      </c>
      <c r="ADO27" s="13">
        <v>398540.45899999997</v>
      </c>
      <c r="ADP27" s="13">
        <v>398717.04100000003</v>
      </c>
      <c r="ADQ27" s="13">
        <v>398883.91100000002</v>
      </c>
      <c r="ADR27" s="13">
        <v>399024.76199999999</v>
      </c>
      <c r="ADS27" s="13">
        <v>399356.26</v>
      </c>
      <c r="ADT27" s="13">
        <v>399574.19500000001</v>
      </c>
      <c r="ADU27" s="13">
        <v>399729.66499999998</v>
      </c>
      <c r="ADV27" s="13">
        <v>399990.08299999998</v>
      </c>
      <c r="ADW27" s="13">
        <v>400353.08600000001</v>
      </c>
      <c r="ADX27" s="13">
        <v>400505.11900000001</v>
      </c>
      <c r="ADY27" s="13">
        <v>400670.23200000002</v>
      </c>
      <c r="ADZ27" s="13">
        <v>400864.46399999998</v>
      </c>
      <c r="AEA27" s="13">
        <v>401092.18900000001</v>
      </c>
      <c r="AEB27" s="13">
        <v>401262.70799999998</v>
      </c>
      <c r="AEC27" s="13">
        <v>401436.24</v>
      </c>
      <c r="AED27" s="13">
        <v>401620.30499999999</v>
      </c>
      <c r="AEE27" s="13">
        <v>401753.62400000001</v>
      </c>
      <c r="AEF27" s="13">
        <v>402097.30699999997</v>
      </c>
      <c r="AEG27" s="13">
        <v>402262.88299999997</v>
      </c>
      <c r="AEH27" s="13">
        <v>402428.245</v>
      </c>
      <c r="AEI27" s="13">
        <v>402556.837</v>
      </c>
      <c r="AEJ27" s="13">
        <v>402726.71100000001</v>
      </c>
      <c r="AEK27" s="13">
        <v>402860.685</v>
      </c>
      <c r="AEL27" s="13">
        <v>402979.73700000002</v>
      </c>
      <c r="AEM27" s="13">
        <v>403113.05599999998</v>
      </c>
      <c r="AEN27" s="13">
        <v>403318.85200000001</v>
      </c>
      <c r="AEO27" s="126"/>
      <c r="AEP27" s="13">
        <v>403559.685</v>
      </c>
      <c r="AEQ27" s="13">
        <v>403709.99099999998</v>
      </c>
      <c r="AER27" s="13">
        <v>403824.58100000001</v>
      </c>
      <c r="AES27" s="13">
        <v>403960.04700000002</v>
      </c>
      <c r="AET27" s="13">
        <v>404239.86</v>
      </c>
      <c r="AEU27" s="13">
        <v>404359.62599999999</v>
      </c>
      <c r="AEV27" s="13">
        <v>404529.07500000001</v>
      </c>
      <c r="AEW27" s="13">
        <v>404752.28700000001</v>
      </c>
      <c r="AEX27" s="13">
        <v>404984.04599999997</v>
      </c>
      <c r="AEY27" s="13">
        <v>405070.38099999999</v>
      </c>
      <c r="AEZ27" s="13">
        <v>405189.72899999999</v>
      </c>
      <c r="AFA27" s="13">
        <v>405279.18</v>
      </c>
      <c r="AFB27" s="13">
        <v>405566.41499999998</v>
      </c>
      <c r="AFC27" s="13">
        <v>405710.91499999998</v>
      </c>
      <c r="AFD27" s="13">
        <v>405875.16899999999</v>
      </c>
      <c r="AFE27" s="13">
        <v>406019.88799999998</v>
      </c>
      <c r="AFF27" s="13">
        <v>406283.31099999999</v>
      </c>
      <c r="AFG27" s="13">
        <v>406420.93199999997</v>
      </c>
      <c r="AFH27" s="13">
        <v>406566.29300000001</v>
      </c>
      <c r="AFI27" s="13">
        <v>406773.04800000001</v>
      </c>
      <c r="AFJ27" s="13">
        <v>406897.554</v>
      </c>
      <c r="AFK27" s="13">
        <v>406997.75900000002</v>
      </c>
      <c r="AFL27" s="13">
        <v>407147.52799999999</v>
      </c>
      <c r="AFM27" s="13">
        <v>407243.65</v>
      </c>
      <c r="AFN27" s="13">
        <v>407308.16100000002</v>
      </c>
      <c r="AFO27" s="13">
        <v>407483.19799999997</v>
      </c>
      <c r="AFP27" s="13">
        <v>407640.25400000002</v>
      </c>
      <c r="AFQ27" s="13">
        <v>407795.72700000001</v>
      </c>
      <c r="AFR27" s="13">
        <v>407977.64600000001</v>
      </c>
      <c r="AFS27" s="13">
        <v>408107.09399999998</v>
      </c>
      <c r="AFT27" s="13">
        <v>408237.83799999999</v>
      </c>
      <c r="AFU27" s="126"/>
      <c r="AFV27" s="13">
        <v>408372.88299999997</v>
      </c>
      <c r="AFW27" s="13">
        <v>408568.27</v>
      </c>
      <c r="AFX27" s="13">
        <v>408779.89199999999</v>
      </c>
      <c r="AFY27" s="13">
        <v>408940.73700000002</v>
      </c>
      <c r="AFZ27" s="13">
        <v>409096.21299999999</v>
      </c>
      <c r="AGA27" s="13">
        <v>409190.82799999998</v>
      </c>
      <c r="AGB27" s="13">
        <v>409335.97399999999</v>
      </c>
      <c r="AGC27" s="13">
        <v>409492.951</v>
      </c>
      <c r="AGD27" s="13">
        <v>409756.06900000002</v>
      </c>
      <c r="AGE27" s="13">
        <v>409884.22700000001</v>
      </c>
      <c r="AGF27" s="13">
        <v>410025.32699999999</v>
      </c>
      <c r="AGG27" s="13">
        <v>410178.86599999998</v>
      </c>
      <c r="AGH27" s="13">
        <v>410273.90899999999</v>
      </c>
      <c r="AGI27" s="13">
        <v>410477.54800000001</v>
      </c>
      <c r="AGJ27" s="13">
        <v>410591.51299999998</v>
      </c>
      <c r="AGK27" s="13">
        <v>410718.16200000001</v>
      </c>
      <c r="AGL27" s="13">
        <v>410839.44500000001</v>
      </c>
      <c r="AGM27" s="13">
        <v>410913.41600000003</v>
      </c>
      <c r="AGN27" s="13">
        <v>411101.16399999999</v>
      </c>
      <c r="AGO27" s="13">
        <v>411258.571</v>
      </c>
      <c r="AGP27" s="13">
        <v>411470.05900000001</v>
      </c>
      <c r="AGQ27" s="13">
        <v>411737.984</v>
      </c>
      <c r="AGR27" s="13">
        <v>411985.49900000001</v>
      </c>
      <c r="AGS27" s="13">
        <v>412131.45400000003</v>
      </c>
      <c r="AGT27" s="13">
        <v>412222.451</v>
      </c>
      <c r="AGU27" s="13">
        <v>412322.45899999997</v>
      </c>
      <c r="AGV27" s="13">
        <v>412521.83500000002</v>
      </c>
      <c r="AGW27" s="13">
        <v>412790.66800000001</v>
      </c>
      <c r="AGX27" s="13">
        <v>413042.57900000003</v>
      </c>
      <c r="AGY27" s="13">
        <v>413190.734</v>
      </c>
      <c r="AGZ27" s="126"/>
      <c r="AHA27" s="13">
        <v>413412.97700000001</v>
      </c>
      <c r="AHB27" s="13">
        <v>413563.55800000002</v>
      </c>
      <c r="AHC27" s="13">
        <v>413812.81900000002</v>
      </c>
      <c r="AHD27" s="13">
        <v>414033.88199999998</v>
      </c>
      <c r="AHE27" s="13">
        <v>414268.799</v>
      </c>
      <c r="AHF27" s="13">
        <v>414477.98300000001</v>
      </c>
      <c r="AHG27" s="13">
        <v>414686.511</v>
      </c>
      <c r="AHH27" s="13">
        <v>414816.16</v>
      </c>
      <c r="AHI27" s="13">
        <v>414917.91899999999</v>
      </c>
      <c r="AHJ27" s="13">
        <v>415084.61599999998</v>
      </c>
      <c r="AHK27" s="13">
        <v>415204.89</v>
      </c>
      <c r="AHL27" s="13">
        <v>415421.69400000002</v>
      </c>
      <c r="AHM27" s="13">
        <v>415549.598</v>
      </c>
      <c r="AHN27" s="13">
        <v>415644.82</v>
      </c>
      <c r="AHO27" s="13">
        <v>415822.62199999997</v>
      </c>
      <c r="AHP27" s="13">
        <v>415969.48200000002</v>
      </c>
      <c r="AHQ27" s="13">
        <v>416195.91600000003</v>
      </c>
      <c r="AHR27" s="13">
        <v>416452.80499999999</v>
      </c>
      <c r="AHS27" s="13">
        <v>416677.41399999999</v>
      </c>
      <c r="AHT27" s="13">
        <v>416817.30099999998</v>
      </c>
      <c r="AHU27" s="13">
        <v>416960.16100000002</v>
      </c>
      <c r="AHV27" s="13">
        <v>417120.02899999998</v>
      </c>
      <c r="AHW27" s="13">
        <v>417291.95600000001</v>
      </c>
      <c r="AHX27" s="13">
        <v>417476.08299999998</v>
      </c>
      <c r="AHY27" s="13">
        <v>417684.47399999999</v>
      </c>
      <c r="AHZ27" s="13">
        <v>417832.43</v>
      </c>
      <c r="AIA27" s="13">
        <v>417986.04599999997</v>
      </c>
      <c r="AIB27" s="13">
        <v>418142.929</v>
      </c>
      <c r="AIC27" s="13">
        <v>418288.03399999999</v>
      </c>
      <c r="AID27" s="13">
        <v>418346.21500000003</v>
      </c>
      <c r="AIE27" s="13">
        <v>418481.30800000002</v>
      </c>
      <c r="AIF27" s="126"/>
      <c r="AIG27" s="13">
        <v>418654.54200000002</v>
      </c>
      <c r="AIH27" s="13">
        <v>418834.96299999999</v>
      </c>
      <c r="AII27" s="13">
        <v>419016.25599999999</v>
      </c>
      <c r="AIJ27" s="13">
        <v>419136.31599999999</v>
      </c>
      <c r="AIK27" s="13">
        <v>419310.27399999998</v>
      </c>
      <c r="AIL27" s="13">
        <v>419551.27100000001</v>
      </c>
      <c r="AIM27" s="13">
        <v>419718.62300000002</v>
      </c>
      <c r="AIN27" s="13">
        <v>419885.74400000001</v>
      </c>
      <c r="AIO27" s="13">
        <v>420036.98</v>
      </c>
      <c r="AIP27" s="13">
        <v>420189.277</v>
      </c>
      <c r="AIQ27" s="13">
        <v>420308.03</v>
      </c>
      <c r="AIR27" s="13">
        <v>420510.45699999999</v>
      </c>
      <c r="AIS27" s="13">
        <v>420586.815</v>
      </c>
      <c r="AIT27" s="13">
        <v>420779.63699999999</v>
      </c>
      <c r="AIU27" s="13">
        <v>420819.859</v>
      </c>
      <c r="AIV27" s="13">
        <v>420849.21100000001</v>
      </c>
      <c r="AIW27" s="13">
        <v>420886.82500000001</v>
      </c>
      <c r="AIX27" s="13">
        <v>420975.43099999998</v>
      </c>
      <c r="AIY27" s="13">
        <v>421074.35</v>
      </c>
      <c r="AIZ27" s="13">
        <v>421177.63</v>
      </c>
      <c r="AJA27" s="13">
        <v>421288.47700000001</v>
      </c>
      <c r="AJB27" s="13">
        <v>421393.92499999999</v>
      </c>
      <c r="AJC27" s="13">
        <v>421509.59499999997</v>
      </c>
      <c r="AJD27" s="13">
        <v>421672.66399999999</v>
      </c>
      <c r="AJE27" s="13">
        <v>421804.55099999998</v>
      </c>
      <c r="AJF27" s="13">
        <v>421908.24400000001</v>
      </c>
      <c r="AJG27" s="13">
        <v>421986.51799999998</v>
      </c>
      <c r="AJH27" s="13">
        <v>422380.76699999999</v>
      </c>
      <c r="AJI27" s="13">
        <v>422526.32199999999</v>
      </c>
      <c r="AJJ27" s="13">
        <v>422720.495</v>
      </c>
      <c r="AJK27" s="13">
        <v>422861.13199999998</v>
      </c>
      <c r="AJL27" s="126"/>
      <c r="AJM27" s="13">
        <v>422994.848</v>
      </c>
      <c r="AJN27" s="13">
        <v>423128.57</v>
      </c>
      <c r="AJO27" s="13">
        <v>423340.77500000002</v>
      </c>
      <c r="AJP27" s="13">
        <v>423488.179</v>
      </c>
      <c r="AJQ27" s="13">
        <v>423646.45299999998</v>
      </c>
      <c r="AJR27" s="13">
        <v>423816.91200000001</v>
      </c>
      <c r="AJS27" s="13">
        <v>423949.53899999999</v>
      </c>
      <c r="AJT27" s="13">
        <v>424287.10100000002</v>
      </c>
      <c r="AJU27" s="13">
        <v>424429.50599999999</v>
      </c>
      <c r="AJV27" s="13">
        <v>424531.90899999999</v>
      </c>
      <c r="AJW27" s="13">
        <v>424702.158</v>
      </c>
      <c r="AJX27" s="13">
        <v>424897.40500000003</v>
      </c>
      <c r="AJY27" s="13">
        <v>425033.29399999999</v>
      </c>
      <c r="AJZ27" s="13">
        <v>425180.49300000002</v>
      </c>
      <c r="AKA27" s="13">
        <v>425318.33399999997</v>
      </c>
      <c r="AKB27" s="13">
        <v>425486.67</v>
      </c>
      <c r="AKC27" s="13">
        <v>425601.473</v>
      </c>
      <c r="AKD27" s="13">
        <v>425824.33899999998</v>
      </c>
      <c r="AKE27" s="13">
        <v>425983.06400000001</v>
      </c>
      <c r="AKF27" s="13">
        <v>426166.68400000001</v>
      </c>
      <c r="AKG27" s="13">
        <v>426295.39299999998</v>
      </c>
      <c r="AKH27" s="13">
        <v>426483.897</v>
      </c>
      <c r="AKI27" s="13">
        <v>426635.30800000002</v>
      </c>
      <c r="AKJ27" s="13">
        <v>426939.44699999999</v>
      </c>
      <c r="AKK27" s="13">
        <v>427013.79499999998</v>
      </c>
      <c r="AKL27" s="13">
        <v>427160.11900000001</v>
      </c>
      <c r="AKM27" s="13">
        <v>427323.62300000002</v>
      </c>
      <c r="AKN27" s="13">
        <v>427492.13299999997</v>
      </c>
      <c r="AKO27" s="126"/>
      <c r="AKP27" s="13">
        <v>427665.41899999999</v>
      </c>
      <c r="AKQ27" s="13">
        <v>427836.52799999999</v>
      </c>
      <c r="AKR27" s="13">
        <v>427981.98300000001</v>
      </c>
      <c r="AKS27" s="13">
        <v>428091.13699999999</v>
      </c>
      <c r="AKT27" s="13">
        <v>428186.158</v>
      </c>
      <c r="AKU27" s="13">
        <v>428312.26799999998</v>
      </c>
      <c r="AKV27" s="13">
        <v>428519.24400000001</v>
      </c>
      <c r="AKW27" s="13">
        <v>428716.886</v>
      </c>
      <c r="AKX27" s="13">
        <v>428908.22</v>
      </c>
      <c r="AKY27" s="13">
        <v>428950.62099999998</v>
      </c>
      <c r="AKZ27" s="13">
        <v>429113.65700000001</v>
      </c>
      <c r="ALA27" s="13">
        <v>429245.288</v>
      </c>
      <c r="ALB27" s="13">
        <v>429379.92800000001</v>
      </c>
      <c r="ALC27" s="13">
        <v>429623.41499999998</v>
      </c>
      <c r="ALD27" s="13">
        <v>429888.74</v>
      </c>
      <c r="ALE27" s="13">
        <v>430020.58899999998</v>
      </c>
      <c r="ALF27" s="13">
        <v>430166.77100000001</v>
      </c>
      <c r="ALG27" s="13">
        <v>430384.875</v>
      </c>
      <c r="ALH27" s="13">
        <v>430521.636</v>
      </c>
      <c r="ALI27" s="13">
        <v>430698.75400000002</v>
      </c>
      <c r="ALJ27" s="13">
        <v>430980.88199999998</v>
      </c>
      <c r="ALK27" s="13">
        <v>431301.49200000003</v>
      </c>
      <c r="ALL27" s="13">
        <v>433613.04599999997</v>
      </c>
      <c r="ALM27" s="13">
        <v>433787.44799999997</v>
      </c>
      <c r="ALN27" s="13">
        <v>433931.848</v>
      </c>
      <c r="ALO27" s="13">
        <v>434042.94</v>
      </c>
      <c r="ALP27" s="13">
        <v>434220.34</v>
      </c>
      <c r="ALQ27" s="13">
        <v>434372.03200000001</v>
      </c>
      <c r="ALR27" s="13">
        <v>434604.63199999998</v>
      </c>
      <c r="ALS27" s="13">
        <v>434730.23200000002</v>
      </c>
      <c r="ALT27" s="13">
        <v>434847.83500000002</v>
      </c>
      <c r="ALU27" s="126"/>
      <c r="ALV27" s="13">
        <v>435124.95</v>
      </c>
      <c r="ALW27" s="13">
        <v>435312.69699999999</v>
      </c>
      <c r="ALX27" s="13">
        <v>435526.82500000001</v>
      </c>
      <c r="ALY27" s="13">
        <v>435830.13199999998</v>
      </c>
      <c r="ALZ27" s="13">
        <v>435928.326</v>
      </c>
      <c r="AMA27" s="13">
        <v>436080.19900000002</v>
      </c>
      <c r="AMB27" s="13">
        <v>436228.06099999999</v>
      </c>
      <c r="AMC27" s="13">
        <v>436331.962</v>
      </c>
      <c r="AMD27" s="13">
        <v>436415.467</v>
      </c>
      <c r="AME27" s="13">
        <v>436638.02500000002</v>
      </c>
      <c r="AMF27" s="13">
        <v>436742.00900000002</v>
      </c>
      <c r="AMG27" s="13">
        <v>436976.14799999999</v>
      </c>
      <c r="AMH27" s="13">
        <v>437200.99400000001</v>
      </c>
      <c r="AMI27" s="13">
        <v>437435.28200000001</v>
      </c>
      <c r="AMJ27" s="13">
        <v>437697.071</v>
      </c>
      <c r="AMK27" s="13">
        <v>437945.83799999999</v>
      </c>
      <c r="AML27" s="13">
        <v>438142.6</v>
      </c>
      <c r="AMM27" s="13">
        <v>438251.75599999999</v>
      </c>
      <c r="AMN27" s="13">
        <v>438424.15500000003</v>
      </c>
      <c r="AMO27" s="13">
        <v>438571.22</v>
      </c>
      <c r="AMP27" s="13">
        <v>438739.141</v>
      </c>
      <c r="AMQ27" s="13">
        <v>438892.49400000001</v>
      </c>
      <c r="AMR27" s="13">
        <v>439107.23599999998</v>
      </c>
      <c r="AMS27" s="13">
        <v>439276.00900000002</v>
      </c>
      <c r="AMT27" s="13">
        <v>439523.84899999999</v>
      </c>
      <c r="AMU27" s="13">
        <v>439788.24300000002</v>
      </c>
      <c r="AMV27" s="13">
        <v>439996.23200000002</v>
      </c>
      <c r="AMW27" s="13">
        <v>440219.39500000002</v>
      </c>
      <c r="AMX27" s="13">
        <v>440366.98700000002</v>
      </c>
      <c r="AMY27" s="13">
        <v>440531.29599999997</v>
      </c>
      <c r="AMZ27" s="126"/>
      <c r="ANA27" s="13">
        <v>440708.17700000003</v>
      </c>
      <c r="ANB27" s="13">
        <v>440791.82</v>
      </c>
      <c r="ANC27" s="13">
        <v>440898.94199999998</v>
      </c>
      <c r="AND27" s="13">
        <v>441045.435</v>
      </c>
      <c r="ANE27" s="13">
        <v>441154.86599999998</v>
      </c>
      <c r="ANF27" s="13">
        <v>441303.587</v>
      </c>
      <c r="ANG27" s="13">
        <v>441391.87300000002</v>
      </c>
      <c r="ANH27" s="13">
        <v>441512.22499999998</v>
      </c>
      <c r="ANI27" s="13">
        <v>441616.14399999997</v>
      </c>
      <c r="ANJ27" s="13">
        <v>441796.04200000002</v>
      </c>
      <c r="ANK27" s="13">
        <v>441955.39</v>
      </c>
      <c r="ANL27" s="13">
        <v>442001.04800000001</v>
      </c>
      <c r="ANM27" s="13">
        <v>442213.43099999998</v>
      </c>
      <c r="ANN27" s="13">
        <v>442316.10399999999</v>
      </c>
      <c r="ANO27" s="13">
        <v>442470.26</v>
      </c>
      <c r="ANP27" s="13">
        <v>442624.23200000002</v>
      </c>
      <c r="ANQ27" s="13">
        <v>442706.60399999999</v>
      </c>
      <c r="ANR27" s="13">
        <v>442848.81599999999</v>
      </c>
      <c r="ANS27" s="13">
        <v>442902.55300000001</v>
      </c>
      <c r="ANT27" s="13">
        <v>443053.864</v>
      </c>
      <c r="ANU27" s="13">
        <v>443145.73300000001</v>
      </c>
      <c r="ANV27" s="13">
        <v>443405.25400000002</v>
      </c>
      <c r="ANW27" s="13">
        <v>443683.37300000002</v>
      </c>
      <c r="ANX27" s="13">
        <v>443849.13699999999</v>
      </c>
      <c r="ANY27" s="13">
        <v>443970.429</v>
      </c>
      <c r="ANZ27" s="13">
        <v>444239.51699999999</v>
      </c>
      <c r="AOA27" s="13">
        <v>444452.17200000002</v>
      </c>
      <c r="AOB27" s="13">
        <v>444639.80900000001</v>
      </c>
      <c r="AOC27" s="13">
        <v>444987.69500000001</v>
      </c>
      <c r="AOD27" s="13">
        <v>445182.641</v>
      </c>
      <c r="AOE27">
        <v>445182.641</v>
      </c>
      <c r="AOF27">
        <v>292880.76500000001</v>
      </c>
    </row>
    <row r="28" spans="1:1072" x14ac:dyDescent="0.2">
      <c r="A28" s="157"/>
      <c r="B28" s="160"/>
      <c r="C28" s="6" t="s">
        <v>774</v>
      </c>
      <c r="D28" s="16">
        <f t="shared" ref="D28:AH28" si="519">D27-D26</f>
        <v>402.10300000000279</v>
      </c>
      <c r="E28" s="16">
        <f t="shared" si="519"/>
        <v>158.23500000001513</v>
      </c>
      <c r="F28" s="16">
        <f t="shared" si="519"/>
        <v>82.12699999997858</v>
      </c>
      <c r="G28" s="16">
        <f t="shared" si="519"/>
        <v>132.00700000001234</v>
      </c>
      <c r="H28" s="16">
        <f t="shared" si="519"/>
        <v>341.73999999999069</v>
      </c>
      <c r="I28" s="16">
        <f t="shared" si="519"/>
        <v>240.50100000001839</v>
      </c>
      <c r="J28" s="16">
        <f t="shared" si="519"/>
        <v>257.23199999998906</v>
      </c>
      <c r="K28" s="16">
        <f t="shared" si="519"/>
        <v>210.73999999999069</v>
      </c>
      <c r="L28" s="16">
        <f t="shared" si="519"/>
        <v>219.07000000000698</v>
      </c>
      <c r="M28" s="16">
        <f t="shared" si="519"/>
        <v>124.28700000001118</v>
      </c>
      <c r="N28" s="16">
        <f t="shared" si="519"/>
        <v>163.6359999999986</v>
      </c>
      <c r="O28" s="16">
        <f t="shared" si="519"/>
        <v>168.37099999998463</v>
      </c>
      <c r="P28" s="16">
        <f t="shared" si="519"/>
        <v>158.0460000000021</v>
      </c>
      <c r="Q28" s="16">
        <f t="shared" si="519"/>
        <v>165.83999999999651</v>
      </c>
      <c r="R28" s="16">
        <f t="shared" si="519"/>
        <v>242.29899999999907</v>
      </c>
      <c r="S28" s="16">
        <f t="shared" si="519"/>
        <v>122.78500000000349</v>
      </c>
      <c r="T28" s="16">
        <f t="shared" si="519"/>
        <v>284.46000000002095</v>
      </c>
      <c r="U28" s="16">
        <f t="shared" si="519"/>
        <v>98.696999999985565</v>
      </c>
      <c r="V28" s="16">
        <f t="shared" si="519"/>
        <v>165.20800000001327</v>
      </c>
      <c r="W28" s="16">
        <f t="shared" si="519"/>
        <v>79.558999999979278</v>
      </c>
      <c r="X28" s="16">
        <f t="shared" si="519"/>
        <v>187.3980000000156</v>
      </c>
      <c r="Y28" s="16">
        <f t="shared" si="519"/>
        <v>163.4320000000007</v>
      </c>
      <c r="Z28" s="16">
        <f t="shared" si="519"/>
        <v>318.12200000000303</v>
      </c>
      <c r="AA28" s="16">
        <f t="shared" si="519"/>
        <v>157.40799999999581</v>
      </c>
      <c r="AB28" s="16">
        <f t="shared" si="519"/>
        <v>113.32300000000396</v>
      </c>
      <c r="AC28" s="16">
        <f t="shared" si="519"/>
        <v>283.25399999998626</v>
      </c>
      <c r="AD28" s="16">
        <f t="shared" si="519"/>
        <v>194.17999999999302</v>
      </c>
      <c r="AE28" s="16">
        <f t="shared" si="519"/>
        <v>78.823000000003958</v>
      </c>
      <c r="AF28" s="16">
        <f t="shared" si="519"/>
        <v>152.63000000000466</v>
      </c>
      <c r="AG28" s="16">
        <f t="shared" si="519"/>
        <v>247.71900000001187</v>
      </c>
      <c r="AH28" s="16">
        <f t="shared" si="519"/>
        <v>245.57300000000396</v>
      </c>
      <c r="AI28" s="17">
        <f>SUM(D28:AH28)</f>
        <v>5958.8050000000221</v>
      </c>
      <c r="AJ28" s="16">
        <f t="shared" ref="AJ28:BM28" si="520">AJ27-AJ26</f>
        <v>335.86099999997532</v>
      </c>
      <c r="AK28" s="16">
        <f t="shared" si="520"/>
        <v>375.48000000001048</v>
      </c>
      <c r="AL28" s="16">
        <f t="shared" si="520"/>
        <v>200.64100000000326</v>
      </c>
      <c r="AM28" s="16">
        <f t="shared" si="520"/>
        <v>199.55799999998999</v>
      </c>
      <c r="AN28" s="16">
        <f t="shared" si="520"/>
        <v>320.15200000000186</v>
      </c>
      <c r="AO28" s="16">
        <f t="shared" si="520"/>
        <v>353.32500000001164</v>
      </c>
      <c r="AP28" s="16">
        <f t="shared" si="520"/>
        <v>415.40700000000652</v>
      </c>
      <c r="AQ28" s="16">
        <f t="shared" si="520"/>
        <v>500.42499999998836</v>
      </c>
      <c r="AR28" s="16">
        <f t="shared" si="520"/>
        <v>245.95600000000559</v>
      </c>
      <c r="AS28" s="16">
        <f t="shared" si="520"/>
        <v>426.25099999998929</v>
      </c>
      <c r="AT28" s="16">
        <f t="shared" si="520"/>
        <v>261.68600000001607</v>
      </c>
      <c r="AU28" s="16">
        <f t="shared" si="520"/>
        <v>213.1699999999837</v>
      </c>
      <c r="AV28" s="16">
        <f t="shared" si="520"/>
        <v>171.18100000001141</v>
      </c>
      <c r="AW28" s="16">
        <f t="shared" si="520"/>
        <v>167.23600000000442</v>
      </c>
      <c r="AX28" s="16">
        <f t="shared" si="520"/>
        <v>256.36799999998766</v>
      </c>
      <c r="AY28" s="16">
        <f t="shared" si="520"/>
        <v>241.4210000000021</v>
      </c>
      <c r="AZ28" s="16">
        <f t="shared" si="520"/>
        <v>167.95199999999022</v>
      </c>
      <c r="BA28" s="16">
        <f t="shared" si="520"/>
        <v>195.96900000001187</v>
      </c>
      <c r="BB28" s="16">
        <f t="shared" si="520"/>
        <v>188.75699999998324</v>
      </c>
      <c r="BC28" s="16">
        <f t="shared" si="520"/>
        <v>99.38300000000163</v>
      </c>
      <c r="BD28" s="16">
        <f t="shared" si="520"/>
        <v>313.05000000001746</v>
      </c>
      <c r="BE28" s="16">
        <f t="shared" si="520"/>
        <v>302.65200000000186</v>
      </c>
      <c r="BF28" s="16">
        <f t="shared" si="520"/>
        <v>175.70999999999185</v>
      </c>
      <c r="BG28" s="16">
        <f t="shared" si="520"/>
        <v>233.66399999998976</v>
      </c>
      <c r="BH28" s="16">
        <f t="shared" si="520"/>
        <v>206.7270000000135</v>
      </c>
      <c r="BI28" s="16">
        <f t="shared" si="520"/>
        <v>419.99299999998766</v>
      </c>
      <c r="BJ28" s="16">
        <f t="shared" si="520"/>
        <v>158.16500000000815</v>
      </c>
      <c r="BK28" s="16">
        <f t="shared" si="520"/>
        <v>172.31400000001304</v>
      </c>
      <c r="BL28" s="16">
        <f t="shared" si="520"/>
        <v>264.375</v>
      </c>
      <c r="BM28" s="16">
        <f t="shared" si="520"/>
        <v>185.03800000000047</v>
      </c>
      <c r="BN28" s="89">
        <f>SUM(AJ28:BM28)</f>
        <v>7767.8669999999984</v>
      </c>
      <c r="BO28" s="16">
        <f t="shared" ref="BO28:CS28" si="521">BO27-BO26</f>
        <v>245.49399999997695</v>
      </c>
      <c r="BP28" s="16">
        <f t="shared" si="521"/>
        <v>206.14900000000489</v>
      </c>
      <c r="BQ28" s="16">
        <f t="shared" si="521"/>
        <v>254.68799999999464</v>
      </c>
      <c r="BR28" s="16">
        <f t="shared" si="521"/>
        <v>248.07400000002235</v>
      </c>
      <c r="BS28" s="16">
        <f t="shared" si="521"/>
        <v>207.06099999998696</v>
      </c>
      <c r="BT28" s="16">
        <f t="shared" si="521"/>
        <v>233.53700000001118</v>
      </c>
      <c r="BU28" s="16">
        <f t="shared" si="521"/>
        <v>183.88399999999092</v>
      </c>
      <c r="BV28" s="16">
        <f t="shared" si="521"/>
        <v>184.22800000000279</v>
      </c>
      <c r="BW28" s="16">
        <f t="shared" si="521"/>
        <v>186.3519999999844</v>
      </c>
      <c r="BX28" s="16">
        <f t="shared" si="521"/>
        <v>192.80000000001746</v>
      </c>
      <c r="BY28" s="16">
        <f t="shared" si="521"/>
        <v>312.79800000000978</v>
      </c>
      <c r="BZ28" s="16">
        <f t="shared" si="521"/>
        <v>114.13499999998021</v>
      </c>
      <c r="CA28" s="16">
        <f t="shared" si="521"/>
        <v>318.77100000000792</v>
      </c>
      <c r="CB28" s="16">
        <f t="shared" si="521"/>
        <v>291.35099999999511</v>
      </c>
      <c r="CC28" s="16">
        <f t="shared" si="521"/>
        <v>129.887000000017</v>
      </c>
      <c r="CD28" s="16">
        <f t="shared" si="521"/>
        <v>209.58399999997346</v>
      </c>
      <c r="CE28" s="16">
        <f t="shared" si="521"/>
        <v>384.52700000000186</v>
      </c>
      <c r="CF28" s="16">
        <f t="shared" si="521"/>
        <v>190.28600000002189</v>
      </c>
      <c r="CG28" s="16">
        <f t="shared" si="521"/>
        <v>191.70299999997951</v>
      </c>
      <c r="CH28" s="16">
        <f t="shared" si="521"/>
        <v>200.50600000002305</v>
      </c>
      <c r="CI28" s="16">
        <f t="shared" si="521"/>
        <v>277.56599999999162</v>
      </c>
      <c r="CJ28" s="16">
        <f t="shared" si="521"/>
        <v>166.27199999999721</v>
      </c>
      <c r="CK28" s="16">
        <f t="shared" si="521"/>
        <v>180.43700000000536</v>
      </c>
      <c r="CL28" s="16">
        <f t="shared" si="521"/>
        <v>256.55400000000373</v>
      </c>
      <c r="CM28" s="16">
        <f t="shared" si="521"/>
        <v>258.10799999997835</v>
      </c>
      <c r="CN28" s="16">
        <f t="shared" si="521"/>
        <v>210.09700000000885</v>
      </c>
      <c r="CO28" s="16">
        <f t="shared" si="521"/>
        <v>214.38300000000163</v>
      </c>
      <c r="CP28" s="16">
        <f t="shared" si="521"/>
        <v>315.53599999999278</v>
      </c>
      <c r="CQ28" s="16">
        <f t="shared" si="521"/>
        <v>171.10700000001816</v>
      </c>
      <c r="CR28" s="16">
        <f t="shared" si="521"/>
        <v>202.61599999997998</v>
      </c>
      <c r="CS28" s="16">
        <f t="shared" si="521"/>
        <v>205.4210000000021</v>
      </c>
      <c r="CT28" s="89">
        <f>SUM(BO28:CS28)</f>
        <v>6943.9119999999821</v>
      </c>
      <c r="CU28" s="16">
        <f t="shared" ref="CU28:DX28" si="522">CU27-CU26</f>
        <v>183.8289999999979</v>
      </c>
      <c r="CV28" s="16">
        <f t="shared" si="522"/>
        <v>231.09600000001956</v>
      </c>
      <c r="CW28" s="16">
        <f t="shared" si="522"/>
        <v>253.11899999997695</v>
      </c>
      <c r="CX28" s="16">
        <f t="shared" si="522"/>
        <v>272.98200000001816</v>
      </c>
      <c r="CY28" s="16">
        <f t="shared" si="522"/>
        <v>204.38699999998789</v>
      </c>
      <c r="CZ28" s="16">
        <f t="shared" si="522"/>
        <v>198.57500000001164</v>
      </c>
      <c r="DA28" s="16">
        <f t="shared" si="522"/>
        <v>153.92900000000373</v>
      </c>
      <c r="DB28" s="16">
        <f t="shared" si="522"/>
        <v>189.07600000000093</v>
      </c>
      <c r="DC28" s="16">
        <f t="shared" si="522"/>
        <v>156.18399999997928</v>
      </c>
      <c r="DD28" s="16">
        <f t="shared" si="522"/>
        <v>149.28299999999581</v>
      </c>
      <c r="DE28" s="16">
        <f t="shared" si="522"/>
        <v>334.87000000002445</v>
      </c>
      <c r="DF28" s="16">
        <f t="shared" si="522"/>
        <v>146.37999999997555</v>
      </c>
      <c r="DG28" s="16">
        <f t="shared" si="522"/>
        <v>116.75900000002002</v>
      </c>
      <c r="DH28" s="16">
        <f t="shared" si="522"/>
        <v>218.83100000000559</v>
      </c>
      <c r="DI28" s="16">
        <f t="shared" si="522"/>
        <v>120.37399999998161</v>
      </c>
      <c r="DJ28" s="16">
        <f t="shared" si="522"/>
        <v>225.62300000002142</v>
      </c>
      <c r="DK28" s="16">
        <f t="shared" si="522"/>
        <v>305.53699999998207</v>
      </c>
      <c r="DL28" s="16">
        <f t="shared" si="522"/>
        <v>154.9090000000142</v>
      </c>
      <c r="DM28" s="16">
        <f t="shared" si="522"/>
        <v>93.980999999999767</v>
      </c>
      <c r="DN28" s="16">
        <f t="shared" si="522"/>
        <v>382.54399999999441</v>
      </c>
      <c r="DO28" s="16">
        <f t="shared" si="522"/>
        <v>197.30999999999767</v>
      </c>
      <c r="DP28" s="16">
        <f t="shared" si="522"/>
        <v>174.54099999999744</v>
      </c>
      <c r="DQ28" s="16">
        <f t="shared" si="522"/>
        <v>162.36100000000442</v>
      </c>
      <c r="DR28" s="16">
        <f t="shared" si="522"/>
        <v>258.51499999998487</v>
      </c>
      <c r="DS28" s="16">
        <f t="shared" si="522"/>
        <v>227.45000000001164</v>
      </c>
      <c r="DT28" s="16">
        <f t="shared" si="522"/>
        <v>250.4429999999993</v>
      </c>
      <c r="DU28" s="16">
        <f t="shared" si="522"/>
        <v>379.78599999999278</v>
      </c>
      <c r="DV28" s="16">
        <f t="shared" si="522"/>
        <v>260.387000000017</v>
      </c>
      <c r="DW28" s="16">
        <f t="shared" si="522"/>
        <v>220.08699999999953</v>
      </c>
      <c r="DX28" s="16">
        <f t="shared" si="522"/>
        <v>140.52899999998044</v>
      </c>
      <c r="DY28" s="116">
        <f>SUM(CU28:DX28)</f>
        <v>6363.676999999996</v>
      </c>
      <c r="DZ28" s="16">
        <f t="shared" ref="DZ28:FD28" si="523">DZ27-DZ26</f>
        <v>183.96800000002258</v>
      </c>
      <c r="EA28" s="16">
        <f t="shared" si="523"/>
        <v>280.34999999997672</v>
      </c>
      <c r="EB28" s="16">
        <f t="shared" si="523"/>
        <v>121.23099999999977</v>
      </c>
      <c r="EC28" s="16">
        <f t="shared" si="523"/>
        <v>158.66599999999744</v>
      </c>
      <c r="ED28" s="16">
        <f t="shared" si="523"/>
        <v>331.26500000001397</v>
      </c>
      <c r="EE28" s="16">
        <f t="shared" si="523"/>
        <v>175.06899999998859</v>
      </c>
      <c r="EF28" s="16">
        <f t="shared" si="523"/>
        <v>190.8859999999986</v>
      </c>
      <c r="EG28" s="16">
        <f t="shared" si="523"/>
        <v>179.24800000002142</v>
      </c>
      <c r="EH28" s="16">
        <f t="shared" si="523"/>
        <v>383.7729999999865</v>
      </c>
      <c r="EI28" s="16">
        <f t="shared" si="523"/>
        <v>280.1929999999993</v>
      </c>
      <c r="EJ28" s="16">
        <f t="shared" si="523"/>
        <v>245.54200000001583</v>
      </c>
      <c r="EK28" s="16">
        <f t="shared" si="523"/>
        <v>92.720000000001164</v>
      </c>
      <c r="EL28" s="16">
        <f t="shared" si="523"/>
        <v>208.15099999998347</v>
      </c>
      <c r="EM28" s="16">
        <f t="shared" si="523"/>
        <v>354.84599999999045</v>
      </c>
      <c r="EN28" s="16">
        <f t="shared" si="523"/>
        <v>139.16300000000047</v>
      </c>
      <c r="EO28" s="16">
        <f t="shared" si="523"/>
        <v>183.33699999999953</v>
      </c>
      <c r="EP28" s="16">
        <f t="shared" si="523"/>
        <v>258.95000000001164</v>
      </c>
      <c r="EQ28" s="16">
        <f t="shared" si="523"/>
        <v>422.23500000001513</v>
      </c>
      <c r="ER28" s="16">
        <f t="shared" si="523"/>
        <v>144.3289999999979</v>
      </c>
      <c r="ES28" s="16">
        <f t="shared" si="523"/>
        <v>215.02499999999418</v>
      </c>
      <c r="ET28" s="16">
        <f t="shared" si="523"/>
        <v>270.76699999999255</v>
      </c>
      <c r="EU28" s="16">
        <f t="shared" si="523"/>
        <v>279.57200000001467</v>
      </c>
      <c r="EV28" s="16">
        <f t="shared" si="523"/>
        <v>572.76799999998184</v>
      </c>
      <c r="EW28" s="16">
        <f t="shared" si="523"/>
        <v>175.00599999999395</v>
      </c>
      <c r="EX28" s="16">
        <f t="shared" si="523"/>
        <v>98.539000000018859</v>
      </c>
      <c r="EY28" s="16">
        <f t="shared" si="523"/>
        <v>139.79199999998673</v>
      </c>
      <c r="EZ28" s="16">
        <f t="shared" si="523"/>
        <v>139.57300000000396</v>
      </c>
      <c r="FA28" s="16">
        <f t="shared" si="523"/>
        <v>246.95199999999022</v>
      </c>
      <c r="FB28" s="16">
        <f t="shared" si="523"/>
        <v>195.45300000000861</v>
      </c>
      <c r="FC28" s="16">
        <f t="shared" si="523"/>
        <v>238.47500000000582</v>
      </c>
      <c r="FD28" s="16">
        <f t="shared" si="523"/>
        <v>260.80299999998533</v>
      </c>
      <c r="FE28" s="127">
        <f>SUM(DZ28:FD28)</f>
        <v>7166.6469999999972</v>
      </c>
      <c r="FF28" s="16">
        <f t="shared" ref="FF28:GJ28" si="524">FF27-FF26</f>
        <v>245.45200000001932</v>
      </c>
      <c r="FG28" s="16">
        <f t="shared" si="524"/>
        <v>212.34500000000116</v>
      </c>
      <c r="FH28" s="16">
        <f t="shared" si="524"/>
        <v>222.44599999999627</v>
      </c>
      <c r="FI28" s="16">
        <f t="shared" si="524"/>
        <v>195.23600000000442</v>
      </c>
      <c r="FJ28" s="16">
        <f t="shared" si="524"/>
        <v>140.60999999998603</v>
      </c>
      <c r="FK28" s="16">
        <f t="shared" si="524"/>
        <v>171.73300000000745</v>
      </c>
      <c r="FL28" s="16">
        <f t="shared" si="524"/>
        <v>176.08400000000256</v>
      </c>
      <c r="FM28" s="16">
        <f t="shared" si="524"/>
        <v>162.88399999999092</v>
      </c>
      <c r="FN28" s="16">
        <f t="shared" si="524"/>
        <v>433.46899999998277</v>
      </c>
      <c r="FO28" s="16">
        <f t="shared" si="524"/>
        <v>179.36300000001211</v>
      </c>
      <c r="FP28" s="16">
        <f t="shared" si="524"/>
        <v>144.32000000000698</v>
      </c>
      <c r="FQ28" s="16">
        <f t="shared" si="524"/>
        <v>397.3979999999865</v>
      </c>
      <c r="FR28" s="16">
        <f t="shared" si="524"/>
        <v>188.64500000001863</v>
      </c>
      <c r="FS28" s="16">
        <f t="shared" si="524"/>
        <v>233.3859999999986</v>
      </c>
      <c r="FT28" s="16">
        <f t="shared" si="524"/>
        <v>266.77000000001863</v>
      </c>
      <c r="FU28" s="16">
        <f t="shared" si="524"/>
        <v>103.69699999998556</v>
      </c>
      <c r="FV28" s="16">
        <f t="shared" si="524"/>
        <v>174.62400000001071</v>
      </c>
      <c r="FW28" s="16">
        <f t="shared" si="524"/>
        <v>75.041999999957625</v>
      </c>
      <c r="FX28" s="16">
        <f t="shared" si="524"/>
        <v>171.12000000005355</v>
      </c>
      <c r="FY28" s="16">
        <f t="shared" si="524"/>
        <v>195.2379999999539</v>
      </c>
      <c r="FZ28" s="16">
        <f t="shared" si="524"/>
        <v>196.51500000001397</v>
      </c>
      <c r="GA28" s="16">
        <f t="shared" si="524"/>
        <v>168.18300000001909</v>
      </c>
      <c r="GB28" s="16">
        <f t="shared" si="524"/>
        <v>190.57000000000698</v>
      </c>
      <c r="GC28" s="16">
        <f t="shared" si="524"/>
        <v>135.65999999997439</v>
      </c>
      <c r="GD28" s="16">
        <f t="shared" si="524"/>
        <v>142.25400000001537</v>
      </c>
      <c r="GE28" s="16">
        <f t="shared" si="524"/>
        <v>422.8190000000177</v>
      </c>
      <c r="GF28" s="16">
        <f t="shared" si="524"/>
        <v>239.20699999999488</v>
      </c>
      <c r="GG28" s="16">
        <f t="shared" si="524"/>
        <v>168.64199999999255</v>
      </c>
      <c r="GH28" s="16">
        <f t="shared" si="524"/>
        <v>361.86900000000605</v>
      </c>
      <c r="GI28" s="16">
        <f t="shared" si="524"/>
        <v>239.63899999996647</v>
      </c>
      <c r="GJ28" s="16">
        <f t="shared" si="524"/>
        <v>282.5910000000149</v>
      </c>
      <c r="GK28" s="126"/>
      <c r="GL28" s="16">
        <f t="shared" ref="GL28:HN28" si="525">GL27-GL26</f>
        <v>175.2390000000014</v>
      </c>
      <c r="GM28" s="16">
        <f t="shared" si="525"/>
        <v>152.35399999999208</v>
      </c>
      <c r="GN28" s="16">
        <f t="shared" si="525"/>
        <v>250.57000000000698</v>
      </c>
      <c r="GO28" s="16">
        <f t="shared" si="525"/>
        <v>179.80099999997765</v>
      </c>
      <c r="GP28" s="16">
        <f t="shared" si="525"/>
        <v>230.29000000003725</v>
      </c>
      <c r="GQ28" s="16">
        <f t="shared" si="525"/>
        <v>140.60699999995995</v>
      </c>
      <c r="GR28" s="16">
        <f t="shared" si="525"/>
        <v>270.20100000000093</v>
      </c>
      <c r="GS28" s="16">
        <f t="shared" si="525"/>
        <v>393.11000000004424</v>
      </c>
      <c r="GT28" s="16">
        <f t="shared" si="525"/>
        <v>162.25500000000466</v>
      </c>
      <c r="GU28" s="16">
        <f t="shared" si="525"/>
        <v>157.31299999996554</v>
      </c>
      <c r="GV28" s="16">
        <f t="shared" si="525"/>
        <v>169.32799999997951</v>
      </c>
      <c r="GW28" s="16">
        <f t="shared" si="525"/>
        <v>208.43400000000838</v>
      </c>
      <c r="GX28" s="16">
        <f t="shared" si="525"/>
        <v>159.46799999999348</v>
      </c>
      <c r="GY28" s="16">
        <f t="shared" si="525"/>
        <v>64.940000000002328</v>
      </c>
      <c r="GZ28" s="16">
        <f t="shared" si="525"/>
        <v>247.82600000000093</v>
      </c>
      <c r="HA28" s="16">
        <f t="shared" si="525"/>
        <v>119.45699999999488</v>
      </c>
      <c r="HB28" s="16">
        <f t="shared" si="525"/>
        <v>174.0690000000177</v>
      </c>
      <c r="HC28" s="16">
        <f t="shared" si="525"/>
        <v>94.454000000027008</v>
      </c>
      <c r="HD28" s="16">
        <f t="shared" si="525"/>
        <v>265.74599999998463</v>
      </c>
      <c r="HE28" s="16">
        <f t="shared" si="525"/>
        <v>165.14299999998184</v>
      </c>
      <c r="HF28" s="16">
        <f t="shared" si="525"/>
        <v>148.82300000003306</v>
      </c>
      <c r="HG28" s="16">
        <f t="shared" si="525"/>
        <v>165.34200000000419</v>
      </c>
      <c r="HH28" s="16">
        <f t="shared" si="525"/>
        <v>239.35899999999674</v>
      </c>
      <c r="HI28" s="16">
        <f t="shared" si="525"/>
        <v>118.31899999995949</v>
      </c>
      <c r="HJ28" s="16">
        <f t="shared" si="525"/>
        <v>209.67399999999907</v>
      </c>
      <c r="HK28" s="16">
        <f t="shared" si="525"/>
        <v>168.79100000002654</v>
      </c>
      <c r="HL28" s="16">
        <f t="shared" si="525"/>
        <v>183.28899999998976</v>
      </c>
      <c r="HM28" s="16">
        <f t="shared" si="525"/>
        <v>205.40399999998044</v>
      </c>
      <c r="HN28" s="16">
        <f t="shared" si="525"/>
        <v>123.89699999999721</v>
      </c>
      <c r="HO28" s="126"/>
      <c r="HP28" s="16">
        <f t="shared" ref="HP28:IT28" si="526">HP27-HP26</f>
        <v>229.93000000005122</v>
      </c>
      <c r="HQ28" s="16">
        <f t="shared" si="526"/>
        <v>258.77499999996508</v>
      </c>
      <c r="HR28" s="16">
        <f t="shared" si="526"/>
        <v>135.23499999998603</v>
      </c>
      <c r="HS28" s="16">
        <f t="shared" si="526"/>
        <v>362.87000000005355</v>
      </c>
      <c r="HT28" s="16">
        <f t="shared" si="526"/>
        <v>274.46099999995204</v>
      </c>
      <c r="HU28" s="16">
        <f t="shared" si="526"/>
        <v>296.47500000003492</v>
      </c>
      <c r="HV28" s="16">
        <f t="shared" si="526"/>
        <v>236.05300000001444</v>
      </c>
      <c r="HW28" s="16">
        <f t="shared" si="526"/>
        <v>206.76199999998789</v>
      </c>
      <c r="HX28" s="16">
        <f t="shared" si="526"/>
        <v>168.84599999996135</v>
      </c>
      <c r="HY28" s="16">
        <f t="shared" si="526"/>
        <v>315.43600000004517</v>
      </c>
      <c r="HZ28" s="16">
        <f t="shared" si="526"/>
        <v>235.32299999997485</v>
      </c>
      <c r="IA28" s="16">
        <f t="shared" si="526"/>
        <v>270.49400000000605</v>
      </c>
      <c r="IB28" s="16">
        <f t="shared" si="526"/>
        <v>154.66899999999441</v>
      </c>
      <c r="IC28" s="16">
        <f t="shared" si="526"/>
        <v>259.54899999999907</v>
      </c>
      <c r="ID28" s="16">
        <f t="shared" si="526"/>
        <v>250.74400000000605</v>
      </c>
      <c r="IE28" s="16">
        <f t="shared" si="526"/>
        <v>149.68400000000838</v>
      </c>
      <c r="IF28" s="16">
        <f t="shared" si="526"/>
        <v>338.30400000000373</v>
      </c>
      <c r="IG28" s="16">
        <f t="shared" si="526"/>
        <v>162.81699999998091</v>
      </c>
      <c r="IH28" s="16">
        <f t="shared" si="526"/>
        <v>238.37400000001071</v>
      </c>
      <c r="II28" s="16">
        <f t="shared" si="526"/>
        <v>252.11099999997532</v>
      </c>
      <c r="IJ28" s="16">
        <f t="shared" si="526"/>
        <v>420.18600000004517</v>
      </c>
      <c r="IK28" s="16">
        <f t="shared" si="526"/>
        <v>301.80499999999302</v>
      </c>
      <c r="IL28" s="16">
        <f t="shared" si="526"/>
        <v>184.63099999999395</v>
      </c>
      <c r="IM28" s="16">
        <f t="shared" si="526"/>
        <v>165.04199999995762</v>
      </c>
      <c r="IN28" s="16">
        <f t="shared" si="526"/>
        <v>227.67800000001444</v>
      </c>
      <c r="IO28" s="16">
        <f t="shared" si="526"/>
        <v>173.06400000001304</v>
      </c>
      <c r="IP28" s="16">
        <f t="shared" si="526"/>
        <v>150.49800000002142</v>
      </c>
      <c r="IQ28" s="16">
        <f t="shared" si="526"/>
        <v>217.9769999999553</v>
      </c>
      <c r="IR28" s="16">
        <f t="shared" si="526"/>
        <v>223.35300000000279</v>
      </c>
      <c r="IS28" s="16">
        <f t="shared" si="526"/>
        <v>130.45000000001164</v>
      </c>
      <c r="IT28" s="16">
        <f t="shared" si="526"/>
        <v>234.46700000000419</v>
      </c>
      <c r="IU28" s="126"/>
      <c r="IV28" s="16">
        <f t="shared" ref="IV28:JY28" si="527">IV27-IV26</f>
        <v>181.96299999998882</v>
      </c>
      <c r="IW28" s="16">
        <f t="shared" si="527"/>
        <v>192.32500000001164</v>
      </c>
      <c r="IX28" s="16">
        <f t="shared" si="527"/>
        <v>163.52199999999721</v>
      </c>
      <c r="IY28" s="16">
        <f t="shared" si="527"/>
        <v>255.20199999999022</v>
      </c>
      <c r="IZ28" s="16">
        <f t="shared" si="527"/>
        <v>167.91700000001583</v>
      </c>
      <c r="JA28" s="16">
        <f t="shared" si="527"/>
        <v>193.20100000000093</v>
      </c>
      <c r="JB28" s="16">
        <f t="shared" si="527"/>
        <v>163.7050000000163</v>
      </c>
      <c r="JC28" s="16">
        <f t="shared" si="527"/>
        <v>368.50500000000466</v>
      </c>
      <c r="JD28" s="16">
        <f t="shared" si="527"/>
        <v>182.35599999997066</v>
      </c>
      <c r="JE28" s="16">
        <f t="shared" si="527"/>
        <v>140.66899999999441</v>
      </c>
      <c r="JF28" s="16">
        <f t="shared" si="527"/>
        <v>204.87599999998929</v>
      </c>
      <c r="JG28" s="16">
        <f t="shared" si="527"/>
        <v>302.12100000004284</v>
      </c>
      <c r="JH28" s="16">
        <f t="shared" si="527"/>
        <v>115.22499999997672</v>
      </c>
      <c r="JI28" s="16">
        <f t="shared" si="527"/>
        <v>145.28600000002189</v>
      </c>
      <c r="JJ28" s="16">
        <f t="shared" si="527"/>
        <v>237.375</v>
      </c>
      <c r="JK28" s="16">
        <f t="shared" si="527"/>
        <v>194.81299999996554</v>
      </c>
      <c r="JL28" s="16">
        <f t="shared" si="527"/>
        <v>231.46000000002095</v>
      </c>
      <c r="JM28" s="16">
        <f t="shared" si="527"/>
        <v>180.60599999997066</v>
      </c>
      <c r="JN28" s="16">
        <f t="shared" si="527"/>
        <v>236.10500000003958</v>
      </c>
      <c r="JO28" s="16">
        <f t="shared" si="527"/>
        <v>259.47999999998137</v>
      </c>
      <c r="JP28" s="16">
        <f t="shared" si="527"/>
        <v>76.347000000008848</v>
      </c>
      <c r="JQ28" s="16">
        <f t="shared" si="527"/>
        <v>174.26400000002468</v>
      </c>
      <c r="JR28" s="16">
        <f t="shared" si="527"/>
        <v>159.33299999998417</v>
      </c>
      <c r="JS28" s="16">
        <f t="shared" si="527"/>
        <v>193.04999999998836</v>
      </c>
      <c r="JT28" s="16">
        <f t="shared" si="527"/>
        <v>223.99699999997392</v>
      </c>
      <c r="JU28" s="16">
        <f t="shared" si="527"/>
        <v>123.90200000000186</v>
      </c>
      <c r="JV28" s="16">
        <f t="shared" si="527"/>
        <v>123.78600000002189</v>
      </c>
      <c r="JW28" s="16">
        <f t="shared" si="527"/>
        <v>290.04999999998836</v>
      </c>
      <c r="JX28" s="16">
        <f t="shared" si="527"/>
        <v>163.19000000000233</v>
      </c>
      <c r="JY28" s="16">
        <f t="shared" si="527"/>
        <v>311.41300000000047</v>
      </c>
      <c r="JZ28" s="127">
        <f>SUM(IV28:JY28)</f>
        <v>5956.0439999999944</v>
      </c>
      <c r="KA28" s="16">
        <f t="shared" ref="KA28:LE28" si="528">KA27-KA26</f>
        <v>188.07600000000093</v>
      </c>
      <c r="KB28" s="16">
        <f t="shared" si="528"/>
        <v>196.7270000000135</v>
      </c>
      <c r="KC28" s="16">
        <f t="shared" si="528"/>
        <v>175.04999999998836</v>
      </c>
      <c r="KD28" s="16">
        <f t="shared" si="528"/>
        <v>133.94300000002841</v>
      </c>
      <c r="KE28" s="16">
        <f t="shared" si="528"/>
        <v>195.84599999996135</v>
      </c>
      <c r="KF28" s="16">
        <f t="shared" si="528"/>
        <v>134.24400000000605</v>
      </c>
      <c r="KG28" s="16">
        <f t="shared" si="528"/>
        <v>196.66100000002189</v>
      </c>
      <c r="KH28" s="16">
        <f t="shared" si="528"/>
        <v>125.15499999996973</v>
      </c>
      <c r="KI28" s="16">
        <f t="shared" si="528"/>
        <v>243.38099999999395</v>
      </c>
      <c r="KJ28" s="16">
        <f t="shared" si="528"/>
        <v>118.81600000004983</v>
      </c>
      <c r="KK28" s="16">
        <f t="shared" si="528"/>
        <v>209.81299999996554</v>
      </c>
      <c r="KL28" s="16">
        <f t="shared" si="528"/>
        <v>184.66200000001118</v>
      </c>
      <c r="KM28" s="16">
        <f t="shared" si="528"/>
        <v>239.36599999997998</v>
      </c>
      <c r="KN28" s="16">
        <f t="shared" si="528"/>
        <v>496.63300000003073</v>
      </c>
      <c r="KO28" s="16">
        <f t="shared" si="528"/>
        <v>98.069000000017695</v>
      </c>
      <c r="KP28" s="16">
        <f t="shared" si="528"/>
        <v>216.76699999999255</v>
      </c>
      <c r="KQ28" s="16">
        <f t="shared" si="528"/>
        <v>357.52899999998044</v>
      </c>
      <c r="KR28" s="16">
        <f t="shared" si="528"/>
        <v>400.52799999999115</v>
      </c>
      <c r="KS28" s="16">
        <f t="shared" si="528"/>
        <v>291.53100000001723</v>
      </c>
      <c r="KT28" s="16">
        <f t="shared" si="528"/>
        <v>311.47299999999814</v>
      </c>
      <c r="KU28" s="16">
        <f t="shared" si="528"/>
        <v>306.70199999999022</v>
      </c>
      <c r="KV28" s="16">
        <f t="shared" si="528"/>
        <v>196.9309999999823</v>
      </c>
      <c r="KW28" s="16">
        <f t="shared" si="528"/>
        <v>239.38000000000466</v>
      </c>
      <c r="KX28" s="16">
        <f t="shared" si="528"/>
        <v>364.53800000000047</v>
      </c>
      <c r="KY28" s="16">
        <f t="shared" si="528"/>
        <v>230.3520000000135</v>
      </c>
      <c r="KZ28" s="16">
        <f t="shared" si="528"/>
        <v>159.80200000002515</v>
      </c>
      <c r="LA28" s="16">
        <f t="shared" si="528"/>
        <v>181.18399999995017</v>
      </c>
      <c r="LB28" s="16">
        <f t="shared" si="528"/>
        <v>395.39600000000792</v>
      </c>
      <c r="LC28" s="16">
        <f t="shared" si="528"/>
        <v>329.84000000002561</v>
      </c>
      <c r="LD28" s="16">
        <f t="shared" si="528"/>
        <v>215.85499999998137</v>
      </c>
      <c r="LE28" s="16">
        <f t="shared" si="528"/>
        <v>370.33900000003632</v>
      </c>
      <c r="LF28" s="127">
        <f>SUM(KA28:LE28)</f>
        <v>7504.5890000000363</v>
      </c>
      <c r="LG28" s="16">
        <f t="shared" ref="LG28:MJ28" si="529">LG27-LG26</f>
        <v>244.69399999995949</v>
      </c>
      <c r="LH28" s="16">
        <f t="shared" si="529"/>
        <v>365.95100000000093</v>
      </c>
      <c r="LI28" s="16">
        <f t="shared" si="529"/>
        <v>363.70100000000093</v>
      </c>
      <c r="LJ28" s="16">
        <f t="shared" si="529"/>
        <v>287.1479999999865</v>
      </c>
      <c r="LK28" s="16">
        <f t="shared" si="529"/>
        <v>427.60300000000279</v>
      </c>
      <c r="LL28" s="16">
        <f t="shared" si="529"/>
        <v>271.3300000000163</v>
      </c>
      <c r="LM28" s="16">
        <f t="shared" si="529"/>
        <v>430.71799999999348</v>
      </c>
      <c r="LN28" s="16">
        <f t="shared" si="529"/>
        <v>354.72800000000279</v>
      </c>
      <c r="LO28" s="16">
        <f t="shared" si="529"/>
        <v>161.39300000004005</v>
      </c>
      <c r="LP28" s="16">
        <f t="shared" si="529"/>
        <v>187.83099999994738</v>
      </c>
      <c r="LQ28" s="16">
        <f t="shared" si="529"/>
        <v>459.0350000000326</v>
      </c>
      <c r="LR28" s="16">
        <f t="shared" si="529"/>
        <v>310.90700000000652</v>
      </c>
      <c r="LS28" s="16">
        <f t="shared" si="529"/>
        <v>273.79999999998836</v>
      </c>
      <c r="LT28" s="16">
        <f t="shared" si="529"/>
        <v>449.625</v>
      </c>
      <c r="LU28" s="16">
        <f t="shared" si="529"/>
        <v>363.72100000001956</v>
      </c>
      <c r="LV28" s="16">
        <f t="shared" si="529"/>
        <v>200.38499999995111</v>
      </c>
      <c r="LW28" s="16">
        <f t="shared" si="529"/>
        <v>124.89900000003399</v>
      </c>
      <c r="LX28" s="16">
        <f t="shared" si="529"/>
        <v>380.53100000001723</v>
      </c>
      <c r="LY28" s="16">
        <f t="shared" si="529"/>
        <v>180.11199999996461</v>
      </c>
      <c r="LZ28" s="16">
        <f t="shared" si="529"/>
        <v>93.232000000018161</v>
      </c>
      <c r="MA28" s="16">
        <f t="shared" si="529"/>
        <v>214.17999999999302</v>
      </c>
      <c r="MB28" s="16">
        <f t="shared" si="529"/>
        <v>247.40999999997439</v>
      </c>
      <c r="MC28" s="16">
        <f t="shared" si="529"/>
        <v>145.76800000004005</v>
      </c>
      <c r="MD28" s="16">
        <f t="shared" si="529"/>
        <v>212.39499999996042</v>
      </c>
      <c r="ME28" s="16">
        <f t="shared" si="529"/>
        <v>166.99100000003818</v>
      </c>
      <c r="MF28" s="16">
        <f t="shared" si="529"/>
        <v>360.83600000001024</v>
      </c>
      <c r="MG28" s="16">
        <f t="shared" si="529"/>
        <v>194.67199999996228</v>
      </c>
      <c r="MH28" s="16">
        <f t="shared" si="529"/>
        <v>288.90000000002328</v>
      </c>
      <c r="MI28" s="16">
        <f t="shared" si="529"/>
        <v>208.66399999998976</v>
      </c>
      <c r="MJ28" s="16">
        <f t="shared" si="529"/>
        <v>171.4309999999823</v>
      </c>
      <c r="MK28" s="127">
        <f>SUM(LF28:MJ28)</f>
        <v>15647.179999999993</v>
      </c>
      <c r="ML28" s="16">
        <f t="shared" ref="ML28:NP28" si="530">ML27-ML26</f>
        <v>150.23100000002887</v>
      </c>
      <c r="MM28" s="16">
        <f t="shared" si="530"/>
        <v>25.619000000006054</v>
      </c>
      <c r="MN28" s="16">
        <f t="shared" si="530"/>
        <v>2.5139999999664724</v>
      </c>
      <c r="MO28" s="16">
        <f t="shared" si="530"/>
        <v>197.17000000004191</v>
      </c>
      <c r="MP28" s="16">
        <f t="shared" si="530"/>
        <v>327.19899999996414</v>
      </c>
      <c r="MQ28" s="16">
        <f t="shared" si="530"/>
        <v>8.2470000000321306</v>
      </c>
      <c r="MR28" s="16">
        <f t="shared" si="530"/>
        <v>0</v>
      </c>
      <c r="MS28" s="16">
        <f t="shared" si="530"/>
        <v>0</v>
      </c>
      <c r="MT28" s="16">
        <f t="shared" si="530"/>
        <v>2.0619999999762513</v>
      </c>
      <c r="MU28" s="16">
        <f t="shared" si="530"/>
        <v>99.217999999993481</v>
      </c>
      <c r="MV28" s="16">
        <f t="shared" si="530"/>
        <v>255.53899999998976</v>
      </c>
      <c r="MW28" s="16">
        <f t="shared" si="530"/>
        <v>248.09500000003027</v>
      </c>
      <c r="MX28" s="16">
        <f t="shared" si="530"/>
        <v>144.60599999997066</v>
      </c>
      <c r="MY28" s="16">
        <f t="shared" si="530"/>
        <v>191.06599999999162</v>
      </c>
      <c r="MZ28" s="16">
        <f t="shared" si="530"/>
        <v>301.09500000003027</v>
      </c>
      <c r="NA28" s="16">
        <f t="shared" si="530"/>
        <v>227.125</v>
      </c>
      <c r="NB28" s="16">
        <f t="shared" si="530"/>
        <v>321.4890000000014</v>
      </c>
      <c r="NC28" s="16">
        <f t="shared" si="530"/>
        <v>310.88699999998789</v>
      </c>
      <c r="ND28" s="16">
        <f t="shared" si="530"/>
        <v>329.89400000002934</v>
      </c>
      <c r="NE28" s="16">
        <f t="shared" si="530"/>
        <v>120.01699999999255</v>
      </c>
      <c r="NF28" s="16">
        <f t="shared" si="530"/>
        <v>153.76899999997113</v>
      </c>
      <c r="NG28" s="16">
        <f t="shared" si="530"/>
        <v>212.31700000003912</v>
      </c>
      <c r="NH28" s="16">
        <f t="shared" si="530"/>
        <v>181.0679999999702</v>
      </c>
      <c r="NI28" s="16">
        <f t="shared" si="530"/>
        <v>138.14199999999255</v>
      </c>
      <c r="NJ28" s="16">
        <f t="shared" si="530"/>
        <v>150.44099999999162</v>
      </c>
      <c r="NK28" s="16">
        <f t="shared" si="530"/>
        <v>422.67999999999302</v>
      </c>
      <c r="NL28" s="16">
        <f t="shared" si="530"/>
        <v>148.55900000000838</v>
      </c>
      <c r="NM28" s="16">
        <f t="shared" si="530"/>
        <v>345.17399999999907</v>
      </c>
      <c r="NN28" s="16">
        <f t="shared" si="530"/>
        <v>131.0910000000149</v>
      </c>
      <c r="NO28" s="16">
        <f t="shared" si="530"/>
        <v>169.1820000000298</v>
      </c>
      <c r="NP28" s="16">
        <f t="shared" si="530"/>
        <v>146.2729999999865</v>
      </c>
      <c r="NQ28" s="127">
        <f>SUM(ML28:NP28)</f>
        <v>5460.7690000000293</v>
      </c>
      <c r="NR28" s="16">
        <f t="shared" ref="NR28:OV28" si="531">NR27-NR26</f>
        <v>189.19799999997485</v>
      </c>
      <c r="NS28" s="16">
        <f t="shared" si="531"/>
        <v>394.43599999998696</v>
      </c>
      <c r="NT28" s="16">
        <f t="shared" si="531"/>
        <v>221.90700000000652</v>
      </c>
      <c r="NU28" s="16">
        <f t="shared" si="531"/>
        <v>269.18700000003446</v>
      </c>
      <c r="NV28" s="16">
        <f t="shared" si="531"/>
        <v>113.64399999997113</v>
      </c>
      <c r="NW28" s="16">
        <f t="shared" si="531"/>
        <v>257.90500000002794</v>
      </c>
      <c r="NX28" s="16">
        <f t="shared" si="531"/>
        <v>238.99199999996927</v>
      </c>
      <c r="NY28" s="16">
        <f t="shared" si="531"/>
        <v>197.30100000003586</v>
      </c>
      <c r="NZ28" s="16">
        <f t="shared" si="531"/>
        <v>211.83600000001024</v>
      </c>
      <c r="OA28" s="16">
        <f t="shared" si="531"/>
        <v>185.28999999997905</v>
      </c>
      <c r="OB28" s="16">
        <f t="shared" si="531"/>
        <v>161.07299999997485</v>
      </c>
      <c r="OC28" s="16">
        <f t="shared" si="531"/>
        <v>182.12599999998929</v>
      </c>
      <c r="OD28" s="16">
        <f t="shared" si="531"/>
        <v>361.29200000001583</v>
      </c>
      <c r="OE28" s="16">
        <f t="shared" si="531"/>
        <v>411.05499999999302</v>
      </c>
      <c r="OF28" s="16">
        <f t="shared" si="531"/>
        <v>171.40100000001257</v>
      </c>
      <c r="OG28" s="16">
        <f t="shared" si="531"/>
        <v>261.62900000001537</v>
      </c>
      <c r="OH28" s="16">
        <f t="shared" si="531"/>
        <v>157.86999999999534</v>
      </c>
      <c r="OI28" s="16">
        <f t="shared" si="531"/>
        <v>374.69199999998091</v>
      </c>
      <c r="OJ28" s="16">
        <f t="shared" si="531"/>
        <v>209.72399999998743</v>
      </c>
      <c r="OK28" s="16">
        <f t="shared" si="531"/>
        <v>199.39900000003399</v>
      </c>
      <c r="OL28" s="16">
        <f t="shared" si="531"/>
        <v>137.91800000000512</v>
      </c>
      <c r="OM28" s="16">
        <f t="shared" si="531"/>
        <v>216.25799999997253</v>
      </c>
      <c r="ON28" s="16">
        <f t="shared" si="531"/>
        <v>281.1140000000014</v>
      </c>
      <c r="OO28" s="16">
        <f t="shared" si="531"/>
        <v>259.62800000002608</v>
      </c>
      <c r="OP28" s="16">
        <f t="shared" si="531"/>
        <v>145.50400000001537</v>
      </c>
      <c r="OQ28" s="16">
        <f t="shared" si="531"/>
        <v>327.89099999994505</v>
      </c>
      <c r="OR28" s="16">
        <f t="shared" si="531"/>
        <v>178.97800000000279</v>
      </c>
      <c r="OS28" s="16">
        <f t="shared" si="531"/>
        <v>280.12800000002608</v>
      </c>
      <c r="OT28" s="16">
        <f t="shared" si="531"/>
        <v>228.9440000000177</v>
      </c>
      <c r="OU28" s="16">
        <f t="shared" si="531"/>
        <v>251.20299999997951</v>
      </c>
      <c r="OV28" s="16">
        <f t="shared" si="531"/>
        <v>368.40200000000186</v>
      </c>
      <c r="OW28" s="127">
        <f>SUM(NR28:OV28)</f>
        <v>7445.9249999999884</v>
      </c>
      <c r="OX28" s="16">
        <f t="shared" ref="OX28:QA28" si="532">OX27-OX26</f>
        <v>146.34200000000419</v>
      </c>
      <c r="OY28" s="16">
        <f t="shared" si="532"/>
        <v>476.27799999999115</v>
      </c>
      <c r="OZ28" s="16">
        <f t="shared" si="532"/>
        <v>184.23200000001816</v>
      </c>
      <c r="PA28" s="16">
        <f t="shared" si="532"/>
        <v>191.61300000001211</v>
      </c>
      <c r="PB28" s="16">
        <f t="shared" si="532"/>
        <v>236.2489999999525</v>
      </c>
      <c r="PC28" s="16">
        <f t="shared" si="532"/>
        <v>208.07200000004377</v>
      </c>
      <c r="PD28" s="16">
        <f t="shared" si="532"/>
        <v>243.54899999999907</v>
      </c>
      <c r="PE28" s="16">
        <f t="shared" si="532"/>
        <v>141.38499999995111</v>
      </c>
      <c r="PF28" s="16">
        <f t="shared" si="532"/>
        <v>226.77100000000792</v>
      </c>
      <c r="PG28" s="16">
        <f t="shared" si="532"/>
        <v>193.29899999999907</v>
      </c>
      <c r="PH28" s="16">
        <f t="shared" si="532"/>
        <v>385.56600000004983</v>
      </c>
      <c r="PI28" s="16">
        <f t="shared" si="532"/>
        <v>265.24199999996927</v>
      </c>
      <c r="PJ28" s="16">
        <f t="shared" si="532"/>
        <v>285.10499999998137</v>
      </c>
      <c r="PK28" s="16">
        <f t="shared" si="532"/>
        <v>244.25500000000466</v>
      </c>
      <c r="PL28" s="16">
        <f t="shared" si="532"/>
        <v>212.03100000001723</v>
      </c>
      <c r="PM28" s="16">
        <f t="shared" si="532"/>
        <v>174.13000000000466</v>
      </c>
      <c r="PN28" s="16">
        <f t="shared" si="532"/>
        <v>229.31199999997625</v>
      </c>
      <c r="PO28" s="16">
        <f t="shared" si="532"/>
        <v>137.48399999999674</v>
      </c>
      <c r="PP28" s="16">
        <f t="shared" si="532"/>
        <v>209.29100000002654</v>
      </c>
      <c r="PQ28" s="16">
        <f t="shared" si="532"/>
        <v>214.98399999999674</v>
      </c>
      <c r="PR28" s="16">
        <f t="shared" si="532"/>
        <v>119.17800000001444</v>
      </c>
      <c r="PS28" s="16">
        <f t="shared" si="532"/>
        <v>200.44000000000233</v>
      </c>
      <c r="PT28" s="16">
        <f t="shared" si="532"/>
        <v>30.326999999990221</v>
      </c>
      <c r="PU28" s="16">
        <f t="shared" si="532"/>
        <v>124.16800000000512</v>
      </c>
      <c r="PV28" s="16">
        <f t="shared" si="532"/>
        <v>123.81199999997625</v>
      </c>
      <c r="PW28" s="16">
        <f t="shared" si="532"/>
        <v>381.00699999998324</v>
      </c>
      <c r="PX28" s="16">
        <f t="shared" si="532"/>
        <v>259.58500000002095</v>
      </c>
      <c r="PY28" s="16">
        <f t="shared" si="532"/>
        <v>217.09999999997672</v>
      </c>
      <c r="PZ28" s="16">
        <f t="shared" si="532"/>
        <v>123.64100000000326</v>
      </c>
      <c r="QA28" s="16">
        <f t="shared" si="532"/>
        <v>319.6260000000475</v>
      </c>
      <c r="QB28" s="127">
        <f>SUM(OX28:QA28)</f>
        <v>6504.0740000000224</v>
      </c>
      <c r="QC28" s="16">
        <f t="shared" ref="QC28:RG28" si="533">QC27-QC26</f>
        <v>222.98099999997066</v>
      </c>
      <c r="QD28" s="16">
        <f t="shared" si="533"/>
        <v>162.97899999999208</v>
      </c>
      <c r="QE28" s="16">
        <f t="shared" si="533"/>
        <v>99.840000000025611</v>
      </c>
      <c r="QF28" s="16">
        <f t="shared" si="533"/>
        <v>156.02499999996508</v>
      </c>
      <c r="QG28" s="16">
        <f t="shared" si="533"/>
        <v>238.38800000003539</v>
      </c>
      <c r="QH28" s="16">
        <f t="shared" si="533"/>
        <v>149.2839999999851</v>
      </c>
      <c r="QI28" s="16">
        <f t="shared" si="533"/>
        <v>260.98700000002282</v>
      </c>
      <c r="QJ28" s="16">
        <f t="shared" si="533"/>
        <v>234.35399999999208</v>
      </c>
      <c r="QK28" s="16">
        <f t="shared" si="533"/>
        <v>200.20699999999488</v>
      </c>
      <c r="QL28" s="16">
        <f t="shared" si="533"/>
        <v>196.77199999999721</v>
      </c>
      <c r="QM28" s="16">
        <f t="shared" si="533"/>
        <v>295.16399999998976</v>
      </c>
      <c r="QN28" s="16">
        <f t="shared" si="533"/>
        <v>355.90000000002328</v>
      </c>
      <c r="QO28" s="16">
        <f t="shared" si="533"/>
        <v>366.77600000001257</v>
      </c>
      <c r="QP28" s="16">
        <f t="shared" si="533"/>
        <v>204.15799999999581</v>
      </c>
      <c r="QQ28" s="16">
        <f t="shared" si="533"/>
        <v>161.11899999994785</v>
      </c>
      <c r="QR28" s="16">
        <f t="shared" si="533"/>
        <v>205.26300000003539</v>
      </c>
      <c r="QS28" s="16">
        <f t="shared" si="533"/>
        <v>233.14500000001863</v>
      </c>
      <c r="QT28" s="16">
        <f t="shared" si="533"/>
        <v>553.3519999999553</v>
      </c>
      <c r="QU28" s="16">
        <f t="shared" si="533"/>
        <v>170.69500000000698</v>
      </c>
      <c r="QV28" s="16">
        <f t="shared" si="533"/>
        <v>199.57400000002235</v>
      </c>
      <c r="QW28" s="16">
        <f t="shared" si="533"/>
        <v>199.92399999999907</v>
      </c>
      <c r="QX28" s="16">
        <f t="shared" si="533"/>
        <v>275.79899999999907</v>
      </c>
      <c r="QY28" s="16">
        <f t="shared" si="533"/>
        <v>230.94000000000233</v>
      </c>
      <c r="QZ28" s="16">
        <f t="shared" si="533"/>
        <v>149.8179999999702</v>
      </c>
      <c r="RA28" s="16">
        <f t="shared" si="533"/>
        <v>316.95800000004238</v>
      </c>
      <c r="RB28" s="16">
        <f t="shared" si="533"/>
        <v>256.12099999998463</v>
      </c>
      <c r="RC28" s="16">
        <f t="shared" si="533"/>
        <v>129.15499999996973</v>
      </c>
      <c r="RD28" s="16">
        <f t="shared" si="533"/>
        <v>174.61600000003818</v>
      </c>
      <c r="RE28" s="16">
        <f t="shared" si="533"/>
        <v>158.53999999997905</v>
      </c>
      <c r="RF28" s="16">
        <f t="shared" si="533"/>
        <v>140.44900000002235</v>
      </c>
      <c r="RG28" s="16">
        <f t="shared" si="533"/>
        <v>290.02100000000792</v>
      </c>
      <c r="RH28" s="127">
        <f>SUM(QD28:RG28)</f>
        <v>6766.3230000000331</v>
      </c>
      <c r="RI28" s="16">
        <f t="shared" ref="RI28:SL28" si="534">RI27-RI26</f>
        <v>241.125</v>
      </c>
      <c r="RJ28" s="16">
        <f t="shared" si="534"/>
        <v>194.60599999997066</v>
      </c>
      <c r="RK28" s="16">
        <f t="shared" si="534"/>
        <v>293.96799999999348</v>
      </c>
      <c r="RL28" s="16">
        <f t="shared" si="534"/>
        <v>144.25800000003073</v>
      </c>
      <c r="RM28" s="16">
        <f t="shared" si="534"/>
        <v>178.72099999996135</v>
      </c>
      <c r="RN28" s="16">
        <f t="shared" si="534"/>
        <v>122.40500000002794</v>
      </c>
      <c r="RO28" s="16">
        <f t="shared" si="534"/>
        <v>145.49300000001676</v>
      </c>
      <c r="RP28" s="16">
        <f t="shared" si="534"/>
        <v>125.73399999999674</v>
      </c>
      <c r="RQ28" s="16">
        <f t="shared" si="534"/>
        <v>227.80299999995623</v>
      </c>
      <c r="RR28" s="16">
        <f t="shared" si="534"/>
        <v>212.78000000002794</v>
      </c>
      <c r="RS28" s="16">
        <f t="shared" si="534"/>
        <v>340.60999999998603</v>
      </c>
      <c r="RT28" s="16">
        <f t="shared" si="534"/>
        <v>116.3300000000163</v>
      </c>
      <c r="RU28" s="16">
        <f t="shared" si="534"/>
        <v>234.61199999996461</v>
      </c>
      <c r="RV28" s="16">
        <f t="shared" si="534"/>
        <v>123.2620000000461</v>
      </c>
      <c r="RW28" s="16">
        <f t="shared" si="534"/>
        <v>175.83499999996275</v>
      </c>
      <c r="RX28" s="16">
        <f t="shared" si="534"/>
        <v>119.02000000001863</v>
      </c>
      <c r="RY28" s="16">
        <f t="shared" si="534"/>
        <v>130.39600000000792</v>
      </c>
      <c r="RZ28" s="16">
        <f t="shared" si="534"/>
        <v>216.31199999997625</v>
      </c>
      <c r="SA28" s="16">
        <f t="shared" si="534"/>
        <v>121.25400000001537</v>
      </c>
      <c r="SB28" s="16">
        <f t="shared" si="534"/>
        <v>349.85100000002421</v>
      </c>
      <c r="SC28" s="16">
        <f t="shared" si="534"/>
        <v>147.88899999996647</v>
      </c>
      <c r="SD28" s="16">
        <f t="shared" si="534"/>
        <v>179.53800000000047</v>
      </c>
      <c r="SE28" s="16">
        <f t="shared" si="534"/>
        <v>270.73300000000745</v>
      </c>
      <c r="SF28" s="16">
        <f t="shared" si="534"/>
        <v>154.54599999997299</v>
      </c>
      <c r="SG28" s="16">
        <f t="shared" si="534"/>
        <v>339.41700000001583</v>
      </c>
      <c r="SH28" s="16">
        <f t="shared" si="534"/>
        <v>164.7050000000163</v>
      </c>
      <c r="SI28" s="16">
        <f t="shared" si="534"/>
        <v>181.83399999997346</v>
      </c>
      <c r="SJ28" s="16">
        <f t="shared" si="534"/>
        <v>206.60300000000279</v>
      </c>
      <c r="SK28" s="16">
        <f t="shared" si="534"/>
        <v>204.42999999999302</v>
      </c>
      <c r="SL28" s="16">
        <f t="shared" si="534"/>
        <v>180.08400000003166</v>
      </c>
      <c r="SM28" s="127">
        <f>SUM(RI28:SL28)</f>
        <v>5844.1539999999804</v>
      </c>
      <c r="SN28" s="16">
        <f t="shared" ref="SN28:TR28" si="535">SN27-SN26</f>
        <v>172.11699999996927</v>
      </c>
      <c r="SO28" s="16">
        <f t="shared" si="535"/>
        <v>498.47500000003492</v>
      </c>
      <c r="SP28" s="16">
        <f t="shared" si="535"/>
        <v>1139.9619999999995</v>
      </c>
      <c r="SQ28" s="16">
        <f t="shared" si="535"/>
        <v>198.06400000001304</v>
      </c>
      <c r="SR28" s="16">
        <f t="shared" si="535"/>
        <v>451.27399999997579</v>
      </c>
      <c r="SS28" s="16">
        <f t="shared" si="535"/>
        <v>189.63699999998789</v>
      </c>
      <c r="ST28" s="16">
        <f t="shared" si="535"/>
        <v>363.81400000001304</v>
      </c>
      <c r="SU28" s="16">
        <f t="shared" si="535"/>
        <v>212.48599999997532</v>
      </c>
      <c r="SV28" s="16">
        <f t="shared" si="535"/>
        <v>437.37900000001537</v>
      </c>
      <c r="SW28" s="16">
        <f t="shared" si="535"/>
        <v>271.80400000000373</v>
      </c>
      <c r="SX28" s="16">
        <f t="shared" si="535"/>
        <v>257.45100000000093</v>
      </c>
      <c r="SY28" s="16">
        <f t="shared" si="535"/>
        <v>134</v>
      </c>
      <c r="SZ28" s="16">
        <f t="shared" si="535"/>
        <v>289.13400000002002</v>
      </c>
      <c r="TA28" s="16">
        <f t="shared" si="535"/>
        <v>323.26999999996042</v>
      </c>
      <c r="TB28" s="16">
        <f t="shared" si="535"/>
        <v>244.50700000004144</v>
      </c>
      <c r="TC28" s="16">
        <f t="shared" si="535"/>
        <v>231.53700000001118</v>
      </c>
      <c r="TD28" s="16">
        <f t="shared" si="535"/>
        <v>231.05299999995623</v>
      </c>
      <c r="TE28" s="16">
        <f t="shared" si="535"/>
        <v>332.88000000000466</v>
      </c>
      <c r="TF28" s="16">
        <f t="shared" si="535"/>
        <v>332.79300000000512</v>
      </c>
      <c r="TG28" s="16">
        <f t="shared" si="535"/>
        <v>169.57199999998556</v>
      </c>
      <c r="TH28" s="16">
        <f t="shared" si="535"/>
        <v>314.7609999999986</v>
      </c>
      <c r="TI28" s="16">
        <f t="shared" si="535"/>
        <v>346.99100000003818</v>
      </c>
      <c r="TJ28" s="16">
        <f t="shared" si="535"/>
        <v>354.14499999996042</v>
      </c>
      <c r="TK28" s="16">
        <f t="shared" si="535"/>
        <v>349.22900000005029</v>
      </c>
      <c r="TL28" s="16">
        <f t="shared" si="535"/>
        <v>100.90699999994831</v>
      </c>
      <c r="TM28" s="16">
        <f t="shared" si="535"/>
        <v>86.300000000046566</v>
      </c>
      <c r="TN28" s="16">
        <f t="shared" si="535"/>
        <v>135.57199999998556</v>
      </c>
      <c r="TO28" s="16">
        <f t="shared" si="535"/>
        <v>208.05199999996694</v>
      </c>
      <c r="TP28" s="16">
        <f t="shared" si="535"/>
        <v>142.50700000004144</v>
      </c>
      <c r="TQ28" s="16">
        <f t="shared" si="535"/>
        <v>221.51199999998789</v>
      </c>
      <c r="TR28" s="16">
        <f t="shared" si="535"/>
        <v>201.33500000002095</v>
      </c>
      <c r="TS28" s="127">
        <f>SUM(SO28:TR28)</f>
        <v>8770.4030000000494</v>
      </c>
      <c r="TT28" s="16">
        <f t="shared" ref="TT28:UX28" si="536">TT27-TT26</f>
        <v>114.0679999999702</v>
      </c>
      <c r="TU28" s="16">
        <f t="shared" si="536"/>
        <v>279.30300000001444</v>
      </c>
      <c r="TV28" s="16">
        <f t="shared" si="536"/>
        <v>241.15999999997439</v>
      </c>
      <c r="TW28" s="16">
        <f t="shared" si="536"/>
        <v>204.2609999999986</v>
      </c>
      <c r="TX28" s="16">
        <f t="shared" si="536"/>
        <v>181.64900000003399</v>
      </c>
      <c r="TY28" s="16">
        <f t="shared" si="536"/>
        <v>293.25799999997253</v>
      </c>
      <c r="TZ28" s="16">
        <f t="shared" si="536"/>
        <v>151.53299999999581</v>
      </c>
      <c r="UA28" s="16">
        <f t="shared" si="536"/>
        <v>223.87800000002608</v>
      </c>
      <c r="UB28" s="16">
        <f t="shared" si="536"/>
        <v>213.19599999999627</v>
      </c>
      <c r="UC28" s="16">
        <f t="shared" si="536"/>
        <v>141.61099999997532</v>
      </c>
      <c r="UD28" s="16">
        <f t="shared" si="536"/>
        <v>132.88099999999395</v>
      </c>
      <c r="UE28" s="16">
        <f t="shared" si="536"/>
        <v>197.50200000003679</v>
      </c>
      <c r="UF28" s="16">
        <f t="shared" si="536"/>
        <v>179.86699999996927</v>
      </c>
      <c r="UG28" s="16">
        <f t="shared" si="536"/>
        <v>229.32300000003306</v>
      </c>
      <c r="UH28" s="16">
        <f t="shared" si="536"/>
        <v>187.76399999996647</v>
      </c>
      <c r="UI28" s="16">
        <f t="shared" si="536"/>
        <v>216.57500000001164</v>
      </c>
      <c r="UJ28" s="16">
        <f t="shared" si="536"/>
        <v>202.1699999999837</v>
      </c>
      <c r="UK28" s="16">
        <f t="shared" si="536"/>
        <v>433.04200000001583</v>
      </c>
      <c r="UL28" s="16">
        <f t="shared" si="536"/>
        <v>290.32300000003306</v>
      </c>
      <c r="UM28" s="16">
        <f t="shared" si="536"/>
        <v>176.38799999997718</v>
      </c>
      <c r="UN28" s="16">
        <f t="shared" si="536"/>
        <v>337.39399999997113</v>
      </c>
      <c r="UO28" s="16">
        <f t="shared" si="536"/>
        <v>503.59700000000885</v>
      </c>
      <c r="UP28" s="16">
        <f t="shared" si="536"/>
        <v>192.42300000000978</v>
      </c>
      <c r="UQ28" s="16">
        <f t="shared" si="536"/>
        <v>295.70100000000093</v>
      </c>
      <c r="UR28" s="16">
        <f t="shared" si="536"/>
        <v>325.92999999999302</v>
      </c>
      <c r="US28" s="16">
        <f t="shared" si="536"/>
        <v>265.68499999999767</v>
      </c>
      <c r="UT28" s="16">
        <f t="shared" si="536"/>
        <v>284.43100000004051</v>
      </c>
      <c r="UU28" s="16">
        <f t="shared" si="536"/>
        <v>130.99499999999534</v>
      </c>
      <c r="UV28" s="16">
        <f t="shared" si="536"/>
        <v>0</v>
      </c>
      <c r="UW28" s="16">
        <f t="shared" si="536"/>
        <v>265.37899999995716</v>
      </c>
      <c r="UX28" s="16">
        <f t="shared" si="536"/>
        <v>200.43100000004051</v>
      </c>
      <c r="UY28" s="127">
        <f>SUM(TT28:UX28)</f>
        <v>7091.7179999999935</v>
      </c>
      <c r="UZ28" s="16">
        <f t="shared" ref="UZ28:WA28" si="537">UZ27-UZ26</f>
        <v>336.67099999997299</v>
      </c>
      <c r="VA28" s="16">
        <f t="shared" si="537"/>
        <v>220.9320000000298</v>
      </c>
      <c r="VB28" s="16">
        <f t="shared" si="537"/>
        <v>340.73699999996461</v>
      </c>
      <c r="VC28" s="16">
        <f t="shared" si="537"/>
        <v>254.88300000003073</v>
      </c>
      <c r="VD28" s="16">
        <f t="shared" si="537"/>
        <v>228.26899999997113</v>
      </c>
      <c r="VE28" s="16">
        <f t="shared" si="537"/>
        <v>121.65100000001257</v>
      </c>
      <c r="VF28" s="16">
        <f t="shared" si="537"/>
        <v>298.20199999999022</v>
      </c>
      <c r="VG28" s="16">
        <f t="shared" si="537"/>
        <v>251.91800000000512</v>
      </c>
      <c r="VH28" s="16">
        <f t="shared" si="537"/>
        <v>162.78899999998976</v>
      </c>
      <c r="VI28" s="16">
        <f t="shared" si="537"/>
        <v>258.35300000000279</v>
      </c>
      <c r="VJ28" s="16">
        <f t="shared" si="537"/>
        <v>227.43700000003446</v>
      </c>
      <c r="VK28" s="16">
        <f t="shared" si="537"/>
        <v>213.87699999997858</v>
      </c>
      <c r="VL28" s="16">
        <f t="shared" si="537"/>
        <v>337.04100000002654</v>
      </c>
      <c r="VM28" s="16">
        <f t="shared" si="537"/>
        <v>256.22199999995064</v>
      </c>
      <c r="VN28" s="16">
        <f t="shared" si="537"/>
        <v>181.97000000003027</v>
      </c>
      <c r="VO28" s="16">
        <f t="shared" si="537"/>
        <v>256.91300000000047</v>
      </c>
      <c r="VP28" s="16">
        <f t="shared" si="537"/>
        <v>97.796999999962281</v>
      </c>
      <c r="VQ28" s="16">
        <f t="shared" si="537"/>
        <v>260.6480000000447</v>
      </c>
      <c r="VR28" s="16">
        <f t="shared" si="537"/>
        <v>363.0679999999702</v>
      </c>
      <c r="VS28" s="16">
        <f t="shared" si="537"/>
        <v>260.42300000000978</v>
      </c>
      <c r="VT28" s="16">
        <f t="shared" si="537"/>
        <v>254.49099999997998</v>
      </c>
      <c r="VU28" s="16">
        <f t="shared" si="537"/>
        <v>198.67399999999907</v>
      </c>
      <c r="VV28" s="16">
        <f t="shared" si="537"/>
        <v>201.10300000000279</v>
      </c>
      <c r="VW28" s="16">
        <f t="shared" si="537"/>
        <v>308.84200000000419</v>
      </c>
      <c r="VX28" s="16">
        <f t="shared" si="537"/>
        <v>272.57900000002701</v>
      </c>
      <c r="VY28" s="16">
        <f t="shared" si="537"/>
        <v>233.40299999999115</v>
      </c>
      <c r="VZ28" s="16">
        <f t="shared" si="537"/>
        <v>454.96999999997206</v>
      </c>
      <c r="WA28" s="16">
        <f t="shared" si="537"/>
        <v>344.64600000000792</v>
      </c>
      <c r="WB28" s="127">
        <f>SUM(UZ28:WA28)</f>
        <v>7198.5089999999618</v>
      </c>
      <c r="WC28" s="16">
        <f t="shared" ref="WC28:XG28" si="538">WC27-WC26</f>
        <v>309.65400000003865</v>
      </c>
      <c r="WD28" s="16">
        <f t="shared" si="538"/>
        <v>183.6359999999986</v>
      </c>
      <c r="WE28" s="16">
        <f t="shared" si="538"/>
        <v>179.71100000001024</v>
      </c>
      <c r="WF28" s="16">
        <f t="shared" si="538"/>
        <v>232.29799999995157</v>
      </c>
      <c r="WG28" s="16">
        <f t="shared" si="538"/>
        <v>103.0690000000177</v>
      </c>
      <c r="WH28" s="16">
        <f t="shared" si="538"/>
        <v>0</v>
      </c>
      <c r="WI28" s="16">
        <f t="shared" si="538"/>
        <v>311.48200000001816</v>
      </c>
      <c r="WJ28" s="16">
        <f t="shared" si="538"/>
        <v>482.79999999998836</v>
      </c>
      <c r="WK28" s="16">
        <f t="shared" si="538"/>
        <v>278.0789999999688</v>
      </c>
      <c r="WL28" s="16">
        <f t="shared" si="538"/>
        <v>262.51700000005076</v>
      </c>
      <c r="WM28" s="16">
        <f t="shared" si="538"/>
        <v>170.97800000000279</v>
      </c>
      <c r="WN28" s="16">
        <f t="shared" si="538"/>
        <v>187.66699999995762</v>
      </c>
      <c r="WO28" s="16">
        <f t="shared" si="538"/>
        <v>122.84299999999348</v>
      </c>
      <c r="WP28" s="16">
        <f t="shared" si="538"/>
        <v>321.95699999999488</v>
      </c>
      <c r="WQ28" s="16">
        <f t="shared" si="538"/>
        <v>327.13900000002468</v>
      </c>
      <c r="WR28" s="16">
        <f t="shared" si="538"/>
        <v>106.58100000000559</v>
      </c>
      <c r="WS28" s="16">
        <f t="shared" si="538"/>
        <v>422.48599999997532</v>
      </c>
      <c r="WT28" s="16">
        <f t="shared" si="538"/>
        <v>185.70300000003772</v>
      </c>
      <c r="WU28" s="16">
        <f t="shared" si="538"/>
        <v>373.09499999997206</v>
      </c>
      <c r="WV28" s="16">
        <f t="shared" si="538"/>
        <v>92.048999999999069</v>
      </c>
      <c r="WW28" s="16">
        <f t="shared" si="538"/>
        <v>283.67700000002515</v>
      </c>
      <c r="WX28" s="16">
        <f t="shared" si="538"/>
        <v>190.09499999997206</v>
      </c>
      <c r="WY28" s="16">
        <f t="shared" si="538"/>
        <v>246.14300000004005</v>
      </c>
      <c r="WZ28" s="16">
        <f t="shared" si="538"/>
        <v>420.2949999999837</v>
      </c>
      <c r="XA28" s="16">
        <f t="shared" si="538"/>
        <v>232.38199999998324</v>
      </c>
      <c r="XB28" s="16">
        <f t="shared" si="538"/>
        <v>209.07300000003306</v>
      </c>
      <c r="XC28" s="16">
        <f t="shared" si="538"/>
        <v>204.7609999999986</v>
      </c>
      <c r="XD28" s="16">
        <f t="shared" si="538"/>
        <v>182.68299999996088</v>
      </c>
      <c r="XE28" s="16">
        <f t="shared" si="538"/>
        <v>479.91399999998976</v>
      </c>
      <c r="XF28" s="16">
        <f t="shared" si="538"/>
        <v>229.55800000001909</v>
      </c>
      <c r="XG28" s="16">
        <f t="shared" si="538"/>
        <v>402.18800000002375</v>
      </c>
      <c r="XH28" s="127">
        <f>SUM(WC28:XG28)</f>
        <v>7734.5130000000354</v>
      </c>
      <c r="XI28" s="16">
        <f t="shared" ref="XI28:YL28" si="539">XI27-XI26</f>
        <v>244.2390000000014</v>
      </c>
      <c r="XJ28" s="16">
        <f t="shared" si="539"/>
        <v>434.26199999998789</v>
      </c>
      <c r="XK28" s="16">
        <f t="shared" si="539"/>
        <v>109.54300000000512</v>
      </c>
      <c r="XL28" s="16">
        <f t="shared" si="539"/>
        <v>250.4440000000177</v>
      </c>
      <c r="XM28" s="16">
        <f t="shared" si="539"/>
        <v>224.16899999999441</v>
      </c>
      <c r="XN28" s="16">
        <f t="shared" si="539"/>
        <v>402.07499999995343</v>
      </c>
      <c r="XO28" s="16">
        <f t="shared" si="539"/>
        <v>325.76000000000931</v>
      </c>
      <c r="XP28" s="16">
        <f t="shared" si="539"/>
        <v>300.57099999999627</v>
      </c>
      <c r="XQ28" s="16">
        <f t="shared" si="539"/>
        <v>188.33400000003166</v>
      </c>
      <c r="XR28" s="16">
        <f t="shared" si="539"/>
        <v>241.39199999999255</v>
      </c>
      <c r="XS28" s="16">
        <f t="shared" si="539"/>
        <v>123.29899999999907</v>
      </c>
      <c r="XT28" s="16">
        <f t="shared" si="539"/>
        <v>209.92599999997765</v>
      </c>
      <c r="XU28" s="16">
        <f t="shared" si="539"/>
        <v>93.663000000000466</v>
      </c>
      <c r="XV28" s="16">
        <f t="shared" si="539"/>
        <v>194.95800000004238</v>
      </c>
      <c r="XW28" s="16">
        <f t="shared" si="539"/>
        <v>282.1359999999986</v>
      </c>
      <c r="XX28" s="16">
        <f t="shared" si="539"/>
        <v>253.73299999994924</v>
      </c>
      <c r="XY28" s="16">
        <f t="shared" si="539"/>
        <v>256.54500000004191</v>
      </c>
      <c r="XZ28" s="16">
        <f t="shared" si="539"/>
        <v>216.25799999997253</v>
      </c>
      <c r="YA28" s="16">
        <f t="shared" si="539"/>
        <v>146.0109999999986</v>
      </c>
      <c r="YB28" s="16">
        <f t="shared" si="539"/>
        <v>211.15299999999115</v>
      </c>
      <c r="YC28" s="16">
        <f t="shared" si="539"/>
        <v>145.85400000005029</v>
      </c>
      <c r="YD28" s="16">
        <f t="shared" si="539"/>
        <v>272.88299999997253</v>
      </c>
      <c r="YE28" s="16">
        <f t="shared" si="539"/>
        <v>177.40600000001723</v>
      </c>
      <c r="YF28" s="16">
        <f t="shared" si="539"/>
        <v>300.21799999999348</v>
      </c>
      <c r="YG28" s="16">
        <f t="shared" si="539"/>
        <v>139.34499999997206</v>
      </c>
      <c r="YH28" s="16">
        <f t="shared" si="539"/>
        <v>196.24700000003213</v>
      </c>
      <c r="YI28" s="16">
        <f t="shared" si="539"/>
        <v>160.41899999999441</v>
      </c>
      <c r="YJ28" s="16">
        <f t="shared" si="539"/>
        <v>175.22899999999208</v>
      </c>
      <c r="YK28" s="16">
        <f t="shared" si="539"/>
        <v>185.35899999999674</v>
      </c>
      <c r="YL28" s="16">
        <f t="shared" si="539"/>
        <v>182.01900000002934</v>
      </c>
      <c r="YM28" s="127">
        <f>SUM(XH28:YL28)</f>
        <v>14377.963000000047</v>
      </c>
      <c r="YN28" s="16">
        <f t="shared" ref="YN28:ZR28" si="540">YN27-YN26</f>
        <v>489.60799999994924</v>
      </c>
      <c r="YO28" s="16">
        <f t="shared" si="540"/>
        <v>487.17900000000373</v>
      </c>
      <c r="YP28" s="16">
        <f t="shared" si="540"/>
        <v>292.23800000001211</v>
      </c>
      <c r="YQ28" s="16">
        <f t="shared" si="540"/>
        <v>217.83600000001024</v>
      </c>
      <c r="YR28" s="16">
        <f t="shared" si="540"/>
        <v>233.3190000000177</v>
      </c>
      <c r="YS28" s="16">
        <f t="shared" si="540"/>
        <v>157.14699999999721</v>
      </c>
      <c r="YT28" s="16">
        <f t="shared" si="540"/>
        <v>193.94699999998556</v>
      </c>
      <c r="YU28" s="16">
        <f t="shared" si="540"/>
        <v>95.712999999988824</v>
      </c>
      <c r="YV28" s="16">
        <f t="shared" si="540"/>
        <v>173.11999999999534</v>
      </c>
      <c r="YW28" s="16">
        <f t="shared" si="540"/>
        <v>160.41700000001583</v>
      </c>
      <c r="YX28" s="16">
        <f t="shared" si="540"/>
        <v>192.88900000002468</v>
      </c>
      <c r="YY28" s="16">
        <f t="shared" si="540"/>
        <v>159.17799999995623</v>
      </c>
      <c r="YZ28" s="16">
        <f t="shared" si="540"/>
        <v>239.78200000000652</v>
      </c>
      <c r="ZA28" s="16">
        <f t="shared" si="540"/>
        <v>274.3070000000298</v>
      </c>
      <c r="ZB28" s="16">
        <f t="shared" si="540"/>
        <v>228.26199999998789</v>
      </c>
      <c r="ZC28" s="16">
        <f t="shared" si="540"/>
        <v>188.88500000000931</v>
      </c>
      <c r="ZD28" s="16">
        <f t="shared" si="540"/>
        <v>295.89699999999721</v>
      </c>
      <c r="ZE28" s="16">
        <f t="shared" si="540"/>
        <v>109.6699999999837</v>
      </c>
      <c r="ZF28" s="16">
        <f t="shared" si="540"/>
        <v>290.4320000000298</v>
      </c>
      <c r="ZG28" s="16">
        <f t="shared" si="540"/>
        <v>211.16399999998976</v>
      </c>
      <c r="ZH28" s="16">
        <f t="shared" si="540"/>
        <v>173.31899999995949</v>
      </c>
      <c r="ZI28" s="16">
        <f t="shared" si="540"/>
        <v>190.73399999999674</v>
      </c>
      <c r="ZJ28" s="16">
        <f t="shared" si="540"/>
        <v>327.93700000003446</v>
      </c>
      <c r="ZK28" s="16">
        <f t="shared" si="540"/>
        <v>215.89899999997579</v>
      </c>
      <c r="ZL28" s="16">
        <f t="shared" si="540"/>
        <v>227.52000000001863</v>
      </c>
      <c r="ZM28" s="16">
        <f t="shared" si="540"/>
        <v>221.70600000000559</v>
      </c>
      <c r="ZN28" s="16">
        <f t="shared" si="540"/>
        <v>166.65200000000186</v>
      </c>
      <c r="ZO28" s="16">
        <f t="shared" si="540"/>
        <v>163.20999999996275</v>
      </c>
      <c r="ZP28" s="16">
        <f t="shared" si="540"/>
        <v>128.87000000005355</v>
      </c>
      <c r="ZQ28" s="16">
        <f t="shared" si="540"/>
        <v>328.81599999999162</v>
      </c>
      <c r="ZR28" s="16">
        <f t="shared" si="540"/>
        <v>238.26199999998789</v>
      </c>
      <c r="ZS28" s="127">
        <f>SUM(YN28:ZR28)</f>
        <v>7073.914999999979</v>
      </c>
      <c r="ZT28" s="16">
        <f t="shared" ref="ZT28:AAW28" si="541">ZT27-ZT26</f>
        <v>322.02899999998044</v>
      </c>
      <c r="ZU28" s="16">
        <f t="shared" si="541"/>
        <v>332.35100000002421</v>
      </c>
      <c r="ZV28" s="16">
        <f t="shared" si="541"/>
        <v>165.59599999996135</v>
      </c>
      <c r="ZW28" s="16">
        <f t="shared" si="541"/>
        <v>141.98200000001816</v>
      </c>
      <c r="ZX28" s="16">
        <f t="shared" si="541"/>
        <v>245.57099999999627</v>
      </c>
      <c r="ZY28" s="16">
        <f t="shared" si="541"/>
        <v>147.94500000000698</v>
      </c>
      <c r="ZZ28" s="16">
        <f t="shared" si="541"/>
        <v>370.46299999998882</v>
      </c>
      <c r="AAA28" s="16">
        <f t="shared" si="541"/>
        <v>189.23100000002887</v>
      </c>
      <c r="AAB28" s="16">
        <f t="shared" si="541"/>
        <v>191.82099999999627</v>
      </c>
      <c r="AAC28" s="16">
        <f t="shared" si="541"/>
        <v>295.47200000000885</v>
      </c>
      <c r="AAD28" s="16">
        <f t="shared" si="541"/>
        <v>189.44799999997485</v>
      </c>
      <c r="AAE28" s="16">
        <f t="shared" si="541"/>
        <v>209.23800000001211</v>
      </c>
      <c r="AAF28" s="16">
        <f t="shared" si="541"/>
        <v>228.58799999998882</v>
      </c>
      <c r="AAG28" s="16">
        <f t="shared" si="541"/>
        <v>263.89199999999255</v>
      </c>
      <c r="AAH28" s="16">
        <f t="shared" si="541"/>
        <v>275.94200000003912</v>
      </c>
      <c r="AAI28" s="16">
        <f t="shared" si="541"/>
        <v>245.14199999999255</v>
      </c>
      <c r="AAJ28" s="16">
        <f t="shared" si="541"/>
        <v>157.61999999999534</v>
      </c>
      <c r="AAK28" s="16">
        <f t="shared" si="541"/>
        <v>321.90700000000652</v>
      </c>
      <c r="AAL28" s="16">
        <f t="shared" si="541"/>
        <v>105.79699999996228</v>
      </c>
      <c r="AAM28" s="16">
        <f t="shared" si="541"/>
        <v>211.38500000000931</v>
      </c>
      <c r="AAN28" s="16">
        <f t="shared" si="541"/>
        <v>201.05900000000838</v>
      </c>
      <c r="AAO28" s="16">
        <f t="shared" si="541"/>
        <v>192.30400000000373</v>
      </c>
      <c r="AAP28" s="16">
        <f t="shared" si="541"/>
        <v>214.5109999999986</v>
      </c>
      <c r="AAQ28" s="16">
        <f t="shared" si="541"/>
        <v>75.692999999970198</v>
      </c>
      <c r="AAR28" s="16">
        <f t="shared" si="541"/>
        <v>210.74200000002747</v>
      </c>
      <c r="AAS28" s="16">
        <f t="shared" si="541"/>
        <v>204.91200000001118</v>
      </c>
      <c r="AAT28" s="16">
        <f t="shared" si="541"/>
        <v>196.6359999999986</v>
      </c>
      <c r="AAU28" s="16">
        <f t="shared" si="541"/>
        <v>191.3859999999986</v>
      </c>
      <c r="AAV28" s="16">
        <f t="shared" si="541"/>
        <v>171.81400000001304</v>
      </c>
      <c r="AAW28" s="16">
        <f t="shared" si="541"/>
        <v>165.58299999998417</v>
      </c>
      <c r="AAX28" s="127">
        <f>SUM(ZT28:AAW28)</f>
        <v>6436.0599999999977</v>
      </c>
      <c r="AAY28" s="16">
        <f t="shared" ref="AAY28:ACC28" si="542">AAY27-AAY26</f>
        <v>389.88299999997253</v>
      </c>
      <c r="AAZ28" s="16">
        <f t="shared" si="542"/>
        <v>179.55300000001444</v>
      </c>
      <c r="ABA28" s="16">
        <f t="shared" si="542"/>
        <v>403.64500000001863</v>
      </c>
      <c r="ABB28" s="16">
        <f t="shared" si="542"/>
        <v>140.20100000000093</v>
      </c>
      <c r="ABC28" s="16">
        <f t="shared" si="542"/>
        <v>200.4089999999851</v>
      </c>
      <c r="ABD28" s="16">
        <f t="shared" si="542"/>
        <v>110.95600000000559</v>
      </c>
      <c r="ABE28" s="16">
        <f t="shared" si="542"/>
        <v>186.01000000000931</v>
      </c>
      <c r="ABF28" s="16">
        <f t="shared" si="542"/>
        <v>252.61499999999069</v>
      </c>
      <c r="ABG28" s="16">
        <f t="shared" si="542"/>
        <v>157.26199999998789</v>
      </c>
      <c r="ABH28" s="16">
        <f t="shared" si="542"/>
        <v>281.0350000000326</v>
      </c>
      <c r="ABI28" s="16">
        <f t="shared" si="542"/>
        <v>163.64499999996042</v>
      </c>
      <c r="ABJ28" s="16">
        <f t="shared" si="542"/>
        <v>167.94800000003306</v>
      </c>
      <c r="ABK28" s="16">
        <f t="shared" si="542"/>
        <v>162.01899999997113</v>
      </c>
      <c r="ABL28" s="16">
        <f t="shared" si="542"/>
        <v>206.43599999998696</v>
      </c>
      <c r="ABM28" s="16">
        <f t="shared" si="542"/>
        <v>222.66800000000512</v>
      </c>
      <c r="ABN28" s="16">
        <f t="shared" si="542"/>
        <v>124.50700000004144</v>
      </c>
      <c r="ABO28" s="16">
        <f t="shared" si="542"/>
        <v>323.35599999997066</v>
      </c>
      <c r="ABP28" s="16">
        <f t="shared" si="542"/>
        <v>182.94099999999162</v>
      </c>
      <c r="ABQ28" s="16">
        <f t="shared" si="542"/>
        <v>351.32400000002235</v>
      </c>
      <c r="ABR28" s="16">
        <f t="shared" si="542"/>
        <v>205.5690000000177</v>
      </c>
      <c r="ABS28" s="16">
        <f t="shared" si="542"/>
        <v>179.55199999996694</v>
      </c>
      <c r="ABT28" s="16">
        <f t="shared" si="542"/>
        <v>110.09399999998277</v>
      </c>
      <c r="ABU28" s="16">
        <f t="shared" si="542"/>
        <v>165.58200000005309</v>
      </c>
      <c r="ABV28" s="16">
        <f t="shared" si="542"/>
        <v>121.9199999999837</v>
      </c>
      <c r="ABW28" s="16">
        <f t="shared" si="542"/>
        <v>222.7839999999851</v>
      </c>
      <c r="ABX28" s="16">
        <f t="shared" si="542"/>
        <v>187.94099999999162</v>
      </c>
      <c r="ABY28" s="16">
        <f t="shared" si="542"/>
        <v>179.55600000004051</v>
      </c>
      <c r="ABZ28" s="16">
        <f t="shared" si="542"/>
        <v>285.35999999998603</v>
      </c>
      <c r="ACA28" s="16">
        <f t="shared" si="542"/>
        <v>209.45000000001164</v>
      </c>
      <c r="ACB28" s="16">
        <f t="shared" si="542"/>
        <v>106.87299999996321</v>
      </c>
      <c r="ACC28" s="16">
        <f t="shared" si="542"/>
        <v>91.819000000017695</v>
      </c>
      <c r="ACD28" s="127">
        <f>SUM(AAY28:ACC28)</f>
        <v>6272.9130000000005</v>
      </c>
      <c r="ACE28" s="16">
        <f t="shared" ref="ACE28:ADI28" si="543">ACE27-ACE26</f>
        <v>194.3399999999674</v>
      </c>
      <c r="ACF28" s="16">
        <f t="shared" si="543"/>
        <v>263.85000000003492</v>
      </c>
      <c r="ACG28" s="16">
        <f t="shared" si="543"/>
        <v>241.05400000000373</v>
      </c>
      <c r="ACH28" s="16">
        <f t="shared" si="543"/>
        <v>227.94199999998091</v>
      </c>
      <c r="ACI28" s="16">
        <f t="shared" si="543"/>
        <v>241.05800000001909</v>
      </c>
      <c r="ACJ28" s="16">
        <f t="shared" si="543"/>
        <v>347.57199999998556</v>
      </c>
      <c r="ACK28" s="16">
        <f t="shared" si="543"/>
        <v>246.43499999999767</v>
      </c>
      <c r="ACL28" s="16">
        <f t="shared" si="543"/>
        <v>265.35700000001816</v>
      </c>
      <c r="ACM28" s="16">
        <f t="shared" si="543"/>
        <v>183.20999999996275</v>
      </c>
      <c r="ACN28" s="16">
        <f t="shared" si="543"/>
        <v>111.81200000003446</v>
      </c>
      <c r="ACO28" s="16">
        <f t="shared" si="543"/>
        <v>257.1929999999702</v>
      </c>
      <c r="ACP28" s="16">
        <f t="shared" si="543"/>
        <v>225.68600000004517</v>
      </c>
      <c r="ACQ28" s="16">
        <f t="shared" si="543"/>
        <v>173.96199999999953</v>
      </c>
      <c r="ACR28" s="16">
        <f t="shared" si="543"/>
        <v>332.27499999996508</v>
      </c>
      <c r="ACS28" s="16">
        <f t="shared" si="543"/>
        <v>211.17499999998836</v>
      </c>
      <c r="ACT28" s="16">
        <f t="shared" si="543"/>
        <v>200.84299999999348</v>
      </c>
      <c r="ACU28" s="16">
        <f t="shared" si="543"/>
        <v>189.95400000002701</v>
      </c>
      <c r="ACV28" s="16">
        <f t="shared" si="543"/>
        <v>239.77100000000792</v>
      </c>
      <c r="ACW28" s="16">
        <f t="shared" si="543"/>
        <v>295.69699999998556</v>
      </c>
      <c r="ACX28" s="16">
        <f t="shared" si="543"/>
        <v>151.17200000002049</v>
      </c>
      <c r="ACY28" s="16">
        <f t="shared" si="543"/>
        <v>176.10300000000279</v>
      </c>
      <c r="ACZ28" s="16">
        <f t="shared" si="543"/>
        <v>167.08100000000559</v>
      </c>
      <c r="ADA28" s="16">
        <f t="shared" si="543"/>
        <v>258.26199999998789</v>
      </c>
      <c r="ADB28" s="16">
        <f t="shared" si="543"/>
        <v>317.19099999999162</v>
      </c>
      <c r="ADC28" s="16">
        <f t="shared" si="543"/>
        <v>188.50900000002002</v>
      </c>
      <c r="ADD28" s="16">
        <f t="shared" si="543"/>
        <v>208.30299999995623</v>
      </c>
      <c r="ADE28" s="16">
        <f t="shared" si="543"/>
        <v>203.42900000000373</v>
      </c>
      <c r="ADF28" s="16">
        <f t="shared" si="543"/>
        <v>164.07300000003306</v>
      </c>
      <c r="ADG28" s="16">
        <f t="shared" si="543"/>
        <v>236.54300000000512</v>
      </c>
      <c r="ADH28" s="16">
        <f t="shared" si="543"/>
        <v>187.08699999999953</v>
      </c>
      <c r="ADI28" s="16">
        <f t="shared" si="543"/>
        <v>140.85999999998603</v>
      </c>
      <c r="ADJ28" s="127">
        <f>SUM(ACE28:ADI28)</f>
        <v>6847.7989999999991</v>
      </c>
      <c r="ADK28" s="16">
        <f t="shared" ref="ADK28:AEN28" si="544">ADK27-ADK26</f>
        <v>112.67599999997765</v>
      </c>
      <c r="ADL28" s="16">
        <f t="shared" si="544"/>
        <v>256.43700000003446</v>
      </c>
      <c r="ADM28" s="16">
        <f t="shared" si="544"/>
        <v>225.71700000000419</v>
      </c>
      <c r="ADN28" s="16">
        <f t="shared" si="544"/>
        <v>180.78599999996368</v>
      </c>
      <c r="ADO28" s="16">
        <f t="shared" si="544"/>
        <v>97.413999999989755</v>
      </c>
      <c r="ADP28" s="16">
        <f t="shared" si="544"/>
        <v>176.58200000005309</v>
      </c>
      <c r="ADQ28" s="16">
        <f t="shared" si="544"/>
        <v>166.86999999999534</v>
      </c>
      <c r="ADR28" s="16">
        <f t="shared" si="544"/>
        <v>140.85099999996601</v>
      </c>
      <c r="ADS28" s="16">
        <f t="shared" si="544"/>
        <v>331.49800000002142</v>
      </c>
      <c r="ADT28" s="16">
        <f t="shared" si="544"/>
        <v>217.93499999999767</v>
      </c>
      <c r="ADU28" s="16">
        <f t="shared" si="544"/>
        <v>155.46999999997206</v>
      </c>
      <c r="ADV28" s="16">
        <f t="shared" si="544"/>
        <v>260.41800000000512</v>
      </c>
      <c r="ADW28" s="16">
        <f t="shared" si="544"/>
        <v>363.00300000002608</v>
      </c>
      <c r="ADX28" s="16">
        <f t="shared" si="544"/>
        <v>152.03299999999581</v>
      </c>
      <c r="ADY28" s="16">
        <f t="shared" si="544"/>
        <v>165.11300000001211</v>
      </c>
      <c r="ADZ28" s="16">
        <f t="shared" si="544"/>
        <v>194.23199999995995</v>
      </c>
      <c r="AEA28" s="16">
        <f t="shared" si="544"/>
        <v>227.72500000003492</v>
      </c>
      <c r="AEB28" s="16">
        <f t="shared" si="544"/>
        <v>170.51899999997113</v>
      </c>
      <c r="AEC28" s="16">
        <f t="shared" si="544"/>
        <v>173.53200000000652</v>
      </c>
      <c r="AED28" s="16">
        <f t="shared" si="544"/>
        <v>184.06500000000233</v>
      </c>
      <c r="AEE28" s="16">
        <f t="shared" si="544"/>
        <v>133.3190000000177</v>
      </c>
      <c r="AEF28" s="16">
        <f t="shared" si="544"/>
        <v>343.68299999996088</v>
      </c>
      <c r="AEG28" s="16">
        <f t="shared" si="544"/>
        <v>165.57600000000093</v>
      </c>
      <c r="AEH28" s="16">
        <f t="shared" si="544"/>
        <v>165.36200000002282</v>
      </c>
      <c r="AEI28" s="16">
        <f t="shared" si="544"/>
        <v>128.59200000000419</v>
      </c>
      <c r="AEJ28" s="16">
        <f t="shared" si="544"/>
        <v>169.87400000001071</v>
      </c>
      <c r="AEK28" s="16">
        <f t="shared" si="544"/>
        <v>133.97399999998743</v>
      </c>
      <c r="AEL28" s="16">
        <f t="shared" si="544"/>
        <v>119.05200000002515</v>
      </c>
      <c r="AEM28" s="16">
        <f t="shared" si="544"/>
        <v>133.31899999995949</v>
      </c>
      <c r="AEN28" s="16">
        <f t="shared" si="544"/>
        <v>205.7960000000312</v>
      </c>
      <c r="AEO28" s="127">
        <f>SUM(ADK28:AEN28)</f>
        <v>5651.4230000000098</v>
      </c>
      <c r="AEP28" s="16">
        <f t="shared" ref="AEP28:AFT28" si="545">AEP27-AEP26</f>
        <v>240.83299999998417</v>
      </c>
      <c r="AEQ28" s="16">
        <f t="shared" si="545"/>
        <v>150.3059999999823</v>
      </c>
      <c r="AER28" s="16">
        <f t="shared" si="545"/>
        <v>114.59000000002561</v>
      </c>
      <c r="AES28" s="16">
        <f t="shared" si="545"/>
        <v>135.4660000000149</v>
      </c>
      <c r="AET28" s="16">
        <f t="shared" si="545"/>
        <v>279.81299999996554</v>
      </c>
      <c r="AEU28" s="16">
        <f t="shared" si="545"/>
        <v>119.76600000000326</v>
      </c>
      <c r="AEV28" s="16">
        <f t="shared" si="545"/>
        <v>169.44900000002235</v>
      </c>
      <c r="AEW28" s="16">
        <f t="shared" si="545"/>
        <v>223.21199999999953</v>
      </c>
      <c r="AEX28" s="16">
        <f t="shared" si="545"/>
        <v>231.75899999996182</v>
      </c>
      <c r="AEY28" s="16">
        <f t="shared" si="545"/>
        <v>86.335000000020955</v>
      </c>
      <c r="AEZ28" s="16">
        <f t="shared" si="545"/>
        <v>119.34799999999814</v>
      </c>
      <c r="AFA28" s="16">
        <f t="shared" si="545"/>
        <v>89.451000000000931</v>
      </c>
      <c r="AFB28" s="16">
        <f t="shared" si="545"/>
        <v>287.23499999998603</v>
      </c>
      <c r="AFC28" s="16">
        <f t="shared" si="545"/>
        <v>144.5</v>
      </c>
      <c r="AFD28" s="16">
        <f t="shared" si="545"/>
        <v>164.25400000001537</v>
      </c>
      <c r="AFE28" s="16">
        <f t="shared" si="545"/>
        <v>144.71899999998277</v>
      </c>
      <c r="AFF28" s="16">
        <f t="shared" si="545"/>
        <v>263.42300000000978</v>
      </c>
      <c r="AFG28" s="16">
        <f t="shared" si="545"/>
        <v>137.62099999998463</v>
      </c>
      <c r="AFH28" s="16">
        <f t="shared" si="545"/>
        <v>145.36100000003353</v>
      </c>
      <c r="AFI28" s="16">
        <f t="shared" si="545"/>
        <v>206.75500000000466</v>
      </c>
      <c r="AFJ28" s="16">
        <f t="shared" si="545"/>
        <v>124.50599999999395</v>
      </c>
      <c r="AFK28" s="16">
        <f t="shared" si="545"/>
        <v>100.2050000000163</v>
      </c>
      <c r="AFL28" s="16">
        <f t="shared" si="545"/>
        <v>149.76899999997113</v>
      </c>
      <c r="AFM28" s="16">
        <f t="shared" si="545"/>
        <v>96.122000000032131</v>
      </c>
      <c r="AFN28" s="16">
        <f t="shared" si="545"/>
        <v>64.510999999998603</v>
      </c>
      <c r="AFO28" s="16">
        <f t="shared" si="545"/>
        <v>175.03699999995297</v>
      </c>
      <c r="AFP28" s="16">
        <f t="shared" si="545"/>
        <v>157.05600000004051</v>
      </c>
      <c r="AFQ28" s="16">
        <f t="shared" si="545"/>
        <v>155.47299999999814</v>
      </c>
      <c r="AFR28" s="16">
        <f t="shared" si="545"/>
        <v>181.91899999999441</v>
      </c>
      <c r="AFS28" s="16">
        <f t="shared" si="545"/>
        <v>129.44799999997485</v>
      </c>
      <c r="AFT28" s="16">
        <f t="shared" si="545"/>
        <v>130.74400000000605</v>
      </c>
      <c r="AFU28" s="127">
        <f>SUM(AEP28:AFT28)</f>
        <v>4918.9859999999753</v>
      </c>
      <c r="AFV28" s="16">
        <f t="shared" ref="AFV28:AGY28" si="546">AFV27-AFV26</f>
        <v>135.0449999999837</v>
      </c>
      <c r="AFW28" s="16">
        <f t="shared" si="546"/>
        <v>195.3870000000461</v>
      </c>
      <c r="AFX28" s="16">
        <f t="shared" si="546"/>
        <v>211.62199999997392</v>
      </c>
      <c r="AFY28" s="16">
        <f t="shared" si="546"/>
        <v>160.84500000003027</v>
      </c>
      <c r="AFZ28" s="16">
        <f t="shared" si="546"/>
        <v>155.47599999996601</v>
      </c>
      <c r="AGA28" s="16">
        <f t="shared" si="546"/>
        <v>94.614999999990687</v>
      </c>
      <c r="AGB28" s="16">
        <f t="shared" si="546"/>
        <v>145.14600000000792</v>
      </c>
      <c r="AGC28" s="16">
        <f t="shared" si="546"/>
        <v>156.9770000000135</v>
      </c>
      <c r="AGD28" s="16">
        <f t="shared" si="546"/>
        <v>263.11800000001676</v>
      </c>
      <c r="AGE28" s="16">
        <f t="shared" si="546"/>
        <v>128.15799999999581</v>
      </c>
      <c r="AGF28" s="16">
        <f t="shared" si="546"/>
        <v>141.09999999997672</v>
      </c>
      <c r="AGG28" s="16">
        <f t="shared" si="546"/>
        <v>153.53899999998976</v>
      </c>
      <c r="AGH28" s="16">
        <f t="shared" si="546"/>
        <v>95.043000000005122</v>
      </c>
      <c r="AGI28" s="16">
        <f t="shared" si="546"/>
        <v>203.63900000002468</v>
      </c>
      <c r="AGJ28" s="16">
        <f t="shared" si="546"/>
        <v>113.9649999999674</v>
      </c>
      <c r="AGK28" s="16">
        <f t="shared" si="546"/>
        <v>126.64900000003399</v>
      </c>
      <c r="AGL28" s="16">
        <f t="shared" si="546"/>
        <v>121.28299999999581</v>
      </c>
      <c r="AGM28" s="16">
        <f t="shared" si="546"/>
        <v>73.971000000019558</v>
      </c>
      <c r="AGN28" s="16">
        <f t="shared" si="546"/>
        <v>187.74799999996321</v>
      </c>
      <c r="AGO28" s="16">
        <f t="shared" si="546"/>
        <v>157.40700000000652</v>
      </c>
      <c r="AGP28" s="16">
        <f t="shared" si="546"/>
        <v>211.48800000001211</v>
      </c>
      <c r="AGQ28" s="16">
        <f t="shared" si="546"/>
        <v>267.92499999998836</v>
      </c>
      <c r="AGR28" s="16">
        <f t="shared" si="546"/>
        <v>247.51500000001397</v>
      </c>
      <c r="AGS28" s="16">
        <f t="shared" si="546"/>
        <v>145.9550000000163</v>
      </c>
      <c r="AGT28" s="16">
        <f t="shared" si="546"/>
        <v>90.996999999973923</v>
      </c>
      <c r="AGU28" s="16">
        <f t="shared" si="546"/>
        <v>100.00799999997253</v>
      </c>
      <c r="AGV28" s="16">
        <f t="shared" si="546"/>
        <v>199.3760000000475</v>
      </c>
      <c r="AGW28" s="16">
        <f t="shared" si="546"/>
        <v>268.83299999998417</v>
      </c>
      <c r="AGX28" s="16">
        <f t="shared" si="546"/>
        <v>251.91100000002189</v>
      </c>
      <c r="AGY28" s="16">
        <f t="shared" si="546"/>
        <v>148.15499999996973</v>
      </c>
      <c r="AGZ28" s="127">
        <f>SUM(AFV28:AGY28)</f>
        <v>4952.8960000000079</v>
      </c>
      <c r="AHA28" s="16">
        <f t="shared" ref="AHA28:AIE28" si="547">AHA27-AHA26</f>
        <v>222.24300000001676</v>
      </c>
      <c r="AHB28" s="16">
        <f t="shared" si="547"/>
        <v>150.58100000000559</v>
      </c>
      <c r="AHC28" s="16">
        <f t="shared" si="547"/>
        <v>249.2609999999986</v>
      </c>
      <c r="AHD28" s="16">
        <f t="shared" si="547"/>
        <v>221.06299999996554</v>
      </c>
      <c r="AHE28" s="16">
        <f t="shared" si="547"/>
        <v>234.91700000001583</v>
      </c>
      <c r="AHF28" s="16">
        <f t="shared" si="547"/>
        <v>209.18400000000838</v>
      </c>
      <c r="AHG28" s="16">
        <f t="shared" si="547"/>
        <v>208.52799999999115</v>
      </c>
      <c r="AHH28" s="16">
        <f t="shared" si="547"/>
        <v>129.64899999997579</v>
      </c>
      <c r="AHI28" s="16">
        <f t="shared" si="547"/>
        <v>101.75900000002002</v>
      </c>
      <c r="AHJ28" s="16">
        <f t="shared" si="547"/>
        <v>166.69699999998556</v>
      </c>
      <c r="AHK28" s="16">
        <f t="shared" si="547"/>
        <v>120.27400000003399</v>
      </c>
      <c r="AHL28" s="16">
        <f t="shared" si="547"/>
        <v>216.80400000000373</v>
      </c>
      <c r="AHM28" s="16">
        <f t="shared" si="547"/>
        <v>127.90399999998044</v>
      </c>
      <c r="AHN28" s="16">
        <f t="shared" si="547"/>
        <v>95.222000000008848</v>
      </c>
      <c r="AHO28" s="16">
        <f t="shared" si="547"/>
        <v>177.80199999996694</v>
      </c>
      <c r="AHP28" s="16">
        <f t="shared" si="547"/>
        <v>146.86000000004424</v>
      </c>
      <c r="AHQ28" s="16">
        <f t="shared" si="547"/>
        <v>226.43400000000838</v>
      </c>
      <c r="AHR28" s="16">
        <f t="shared" si="547"/>
        <v>256.88899999996647</v>
      </c>
      <c r="AHS28" s="16">
        <f t="shared" si="547"/>
        <v>224.60899999999674</v>
      </c>
      <c r="AHT28" s="16">
        <f t="shared" si="547"/>
        <v>139.88699999998789</v>
      </c>
      <c r="AHU28" s="16">
        <f t="shared" si="547"/>
        <v>142.86000000004424</v>
      </c>
      <c r="AHV28" s="16">
        <f t="shared" si="547"/>
        <v>159.86799999995856</v>
      </c>
      <c r="AHW28" s="16">
        <f t="shared" si="547"/>
        <v>171.92700000002515</v>
      </c>
      <c r="AHX28" s="16">
        <f t="shared" si="547"/>
        <v>184.12699999997858</v>
      </c>
      <c r="AHY28" s="16">
        <f t="shared" si="547"/>
        <v>208.39100000000326</v>
      </c>
      <c r="AHZ28" s="16">
        <f t="shared" si="547"/>
        <v>147.95600000000559</v>
      </c>
      <c r="AIA28" s="16">
        <f t="shared" si="547"/>
        <v>153.61599999997998</v>
      </c>
      <c r="AIB28" s="16">
        <f t="shared" si="547"/>
        <v>156.88300000003073</v>
      </c>
      <c r="AIC28" s="16">
        <f t="shared" si="547"/>
        <v>145.10499999998137</v>
      </c>
      <c r="AID28" s="16">
        <f t="shared" si="547"/>
        <v>58.181000000040513</v>
      </c>
      <c r="AIE28" s="16">
        <f t="shared" si="547"/>
        <v>135.09299999999348</v>
      </c>
      <c r="AIF28" s="127">
        <f>SUM(AHA28:AIE28)</f>
        <v>5290.5740000000224</v>
      </c>
      <c r="AIG28" s="16">
        <f t="shared" ref="AIG28:AJK28" si="548">AIG27-AIG26</f>
        <v>173.23399999999674</v>
      </c>
      <c r="AIH28" s="16">
        <f t="shared" si="548"/>
        <v>180.42099999997299</v>
      </c>
      <c r="AII28" s="16">
        <f t="shared" si="548"/>
        <v>181.29300000000512</v>
      </c>
      <c r="AIJ28" s="16">
        <f t="shared" si="548"/>
        <v>120.05999999999767</v>
      </c>
      <c r="AIK28" s="16">
        <f t="shared" si="548"/>
        <v>173.95799999998417</v>
      </c>
      <c r="AIL28" s="16">
        <f t="shared" si="548"/>
        <v>240.99700000003213</v>
      </c>
      <c r="AIM28" s="16">
        <f t="shared" si="548"/>
        <v>167.3520000000135</v>
      </c>
      <c r="AIN28" s="16">
        <f t="shared" si="548"/>
        <v>167.12099999998463</v>
      </c>
      <c r="AIO28" s="16">
        <f t="shared" si="548"/>
        <v>151.23599999997532</v>
      </c>
      <c r="AIP28" s="16">
        <f t="shared" si="548"/>
        <v>152.29700000002049</v>
      </c>
      <c r="AIQ28" s="16">
        <f t="shared" si="548"/>
        <v>118.75300000002608</v>
      </c>
      <c r="AIR28" s="16">
        <f t="shared" si="548"/>
        <v>202.42699999996694</v>
      </c>
      <c r="AIS28" s="16">
        <f t="shared" si="548"/>
        <v>76.358000000007451</v>
      </c>
      <c r="AIT28" s="16">
        <f t="shared" si="548"/>
        <v>192.82199999998556</v>
      </c>
      <c r="AIU28" s="16">
        <f t="shared" si="548"/>
        <v>40.222000000008848</v>
      </c>
      <c r="AIV28" s="16">
        <f t="shared" si="548"/>
        <v>29.352000000013504</v>
      </c>
      <c r="AIW28" s="16">
        <f t="shared" si="548"/>
        <v>37.614000000001397</v>
      </c>
      <c r="AIX28" s="16">
        <f t="shared" si="548"/>
        <v>88.605999999970663</v>
      </c>
      <c r="AIY28" s="16">
        <f t="shared" si="548"/>
        <v>98.918999999994412</v>
      </c>
      <c r="AIZ28" s="16">
        <f t="shared" si="548"/>
        <v>103.28000000002794</v>
      </c>
      <c r="AJA28" s="16">
        <f t="shared" si="548"/>
        <v>110.84700000000885</v>
      </c>
      <c r="AJB28" s="16">
        <f t="shared" si="548"/>
        <v>105.44799999997485</v>
      </c>
      <c r="AJC28" s="16">
        <f t="shared" si="548"/>
        <v>115.6699999999837</v>
      </c>
      <c r="AJD28" s="16">
        <f t="shared" si="548"/>
        <v>163.0690000000177</v>
      </c>
      <c r="AJE28" s="16">
        <f t="shared" si="548"/>
        <v>131.88699999998789</v>
      </c>
      <c r="AJF28" s="16">
        <f t="shared" si="548"/>
        <v>103.69300000002841</v>
      </c>
      <c r="AJG28" s="16">
        <f t="shared" si="548"/>
        <v>78.273999999975786</v>
      </c>
      <c r="AJH28" s="16">
        <f t="shared" si="548"/>
        <v>394.24900000001071</v>
      </c>
      <c r="AJI28" s="16">
        <f t="shared" si="548"/>
        <v>145.55499999999302</v>
      </c>
      <c r="AJJ28" s="16">
        <f t="shared" si="548"/>
        <v>194.17300000000978</v>
      </c>
      <c r="AJK28" s="16">
        <f t="shared" si="548"/>
        <v>140.63699999998789</v>
      </c>
      <c r="AJL28" s="127">
        <f>SUM(AIG28:AJK28)</f>
        <v>4379.8239999999641</v>
      </c>
      <c r="AJM28" s="16">
        <f t="shared" ref="AJM28:AKN28" si="549">AJM27-AJM26</f>
        <v>133.7160000000149</v>
      </c>
      <c r="AJN28" s="16">
        <f t="shared" si="549"/>
        <v>133.72200000000885</v>
      </c>
      <c r="AJO28" s="16">
        <f t="shared" si="549"/>
        <v>212.2050000000163</v>
      </c>
      <c r="AJP28" s="16">
        <f t="shared" si="549"/>
        <v>147.40399999998044</v>
      </c>
      <c r="AJQ28" s="16">
        <f t="shared" si="549"/>
        <v>158.27399999997579</v>
      </c>
      <c r="AJR28" s="16">
        <f t="shared" si="549"/>
        <v>170.45900000003166</v>
      </c>
      <c r="AJS28" s="16">
        <f t="shared" si="549"/>
        <v>132.62699999997858</v>
      </c>
      <c r="AJT28" s="16">
        <f t="shared" si="549"/>
        <v>337.56200000003446</v>
      </c>
      <c r="AJU28" s="16">
        <f t="shared" si="549"/>
        <v>142.40499999996973</v>
      </c>
      <c r="AJV28" s="16">
        <f t="shared" si="549"/>
        <v>102.40299999999115</v>
      </c>
      <c r="AJW28" s="16">
        <f t="shared" si="549"/>
        <v>170.24900000001071</v>
      </c>
      <c r="AJX28" s="16">
        <f t="shared" si="549"/>
        <v>195.24700000003213</v>
      </c>
      <c r="AJY28" s="16">
        <f t="shared" si="549"/>
        <v>135.88899999996647</v>
      </c>
      <c r="AJZ28" s="16">
        <f t="shared" si="549"/>
        <v>147.19900000002235</v>
      </c>
      <c r="AKA28" s="16">
        <f t="shared" si="549"/>
        <v>137.84099999995669</v>
      </c>
      <c r="AKB28" s="16">
        <f t="shared" si="549"/>
        <v>168.33600000001024</v>
      </c>
      <c r="AKC28" s="16">
        <f t="shared" si="549"/>
        <v>114.80300000001444</v>
      </c>
      <c r="AKD28" s="16">
        <f t="shared" si="549"/>
        <v>222.86599999997998</v>
      </c>
      <c r="AKE28" s="16">
        <f t="shared" si="549"/>
        <v>158.72500000003492</v>
      </c>
      <c r="AKF28" s="16">
        <f t="shared" si="549"/>
        <v>183.61999999999534</v>
      </c>
      <c r="AKG28" s="16">
        <f t="shared" si="549"/>
        <v>128.70899999997346</v>
      </c>
      <c r="AKH28" s="16">
        <f t="shared" si="549"/>
        <v>188.50400000001537</v>
      </c>
      <c r="AKI28" s="16">
        <f t="shared" si="549"/>
        <v>151.41100000002189</v>
      </c>
      <c r="AKJ28" s="16">
        <f t="shared" si="549"/>
        <v>304.13899999996647</v>
      </c>
      <c r="AKK28" s="16">
        <f t="shared" si="549"/>
        <v>74.347999999998137</v>
      </c>
      <c r="AKL28" s="16">
        <f t="shared" si="549"/>
        <v>146.32400000002235</v>
      </c>
      <c r="AKM28" s="16">
        <f t="shared" si="549"/>
        <v>163.50400000001537</v>
      </c>
      <c r="AKN28" s="16">
        <f t="shared" si="549"/>
        <v>168.50999999995111</v>
      </c>
      <c r="AKO28" s="127">
        <f>SUM(AJM28:AKN28)</f>
        <v>4631.0009999999893</v>
      </c>
      <c r="AKP28" s="16">
        <f t="shared" ref="AKP28:ALT28" si="550">AKP27-AKP26</f>
        <v>173.28600000002189</v>
      </c>
      <c r="AKQ28" s="16">
        <f t="shared" si="550"/>
        <v>171.10899999999674</v>
      </c>
      <c r="AKR28" s="16">
        <f t="shared" si="550"/>
        <v>145.4550000000163</v>
      </c>
      <c r="AKS28" s="16">
        <f t="shared" si="550"/>
        <v>109.15399999998044</v>
      </c>
      <c r="AKT28" s="16">
        <f t="shared" si="550"/>
        <v>95.021000000007916</v>
      </c>
      <c r="AKU28" s="16">
        <f t="shared" si="550"/>
        <v>126.10999999998603</v>
      </c>
      <c r="AKV28" s="16">
        <f t="shared" si="550"/>
        <v>206.97600000002421</v>
      </c>
      <c r="AKW28" s="16">
        <f t="shared" si="550"/>
        <v>197.64199999999255</v>
      </c>
      <c r="AKX28" s="16">
        <f t="shared" si="550"/>
        <v>191.33399999997346</v>
      </c>
      <c r="AKY28" s="16">
        <f t="shared" si="550"/>
        <v>42.401000000012573</v>
      </c>
      <c r="AKZ28" s="16">
        <f t="shared" si="550"/>
        <v>163.03600000002189</v>
      </c>
      <c r="ALA28" s="16">
        <f t="shared" si="550"/>
        <v>131.63099999999395</v>
      </c>
      <c r="ALB28" s="16">
        <f t="shared" si="550"/>
        <v>134.64000000001397</v>
      </c>
      <c r="ALC28" s="16">
        <f t="shared" si="550"/>
        <v>243.48699999996461</v>
      </c>
      <c r="ALD28" s="16">
        <f t="shared" si="550"/>
        <v>265.32500000001164</v>
      </c>
      <c r="ALE28" s="16">
        <f t="shared" si="550"/>
        <v>131.84899999998743</v>
      </c>
      <c r="ALF28" s="16">
        <f t="shared" si="550"/>
        <v>146.1820000000298</v>
      </c>
      <c r="ALG28" s="16">
        <f t="shared" si="550"/>
        <v>218.10399999999208</v>
      </c>
      <c r="ALH28" s="16">
        <f t="shared" si="550"/>
        <v>136.7609999999986</v>
      </c>
      <c r="ALI28" s="16">
        <f t="shared" si="550"/>
        <v>177.11800000001676</v>
      </c>
      <c r="ALJ28" s="16">
        <f t="shared" si="550"/>
        <v>282.12799999996787</v>
      </c>
      <c r="ALK28" s="16">
        <f t="shared" si="550"/>
        <v>320.61000000004424</v>
      </c>
      <c r="ALL28" s="16">
        <f t="shared" si="550"/>
        <v>2311.5539999999455</v>
      </c>
      <c r="ALM28" s="16">
        <f t="shared" si="550"/>
        <v>174.40200000000186</v>
      </c>
      <c r="ALN28" s="16">
        <f t="shared" si="550"/>
        <v>144.40000000002328</v>
      </c>
      <c r="ALO28" s="16">
        <f t="shared" si="550"/>
        <v>111.09200000000419</v>
      </c>
      <c r="ALP28" s="16">
        <f t="shared" si="550"/>
        <v>177.40000000002328</v>
      </c>
      <c r="ALQ28" s="16">
        <f t="shared" si="550"/>
        <v>151.69199999998091</v>
      </c>
      <c r="ALR28" s="16">
        <f t="shared" si="550"/>
        <v>232.59999999997672</v>
      </c>
      <c r="ALS28" s="16">
        <f t="shared" si="550"/>
        <v>125.60000000003492</v>
      </c>
      <c r="ALT28" s="16">
        <f t="shared" si="550"/>
        <v>117.60300000000279</v>
      </c>
      <c r="ALU28" s="127">
        <f>SUM(AKP28:ALT28)</f>
        <v>7355.7020000000484</v>
      </c>
      <c r="ALV28" s="16">
        <f t="shared" ref="ALV28:AMY28" si="551">ALV27-ALV26</f>
        <v>277.11499999999069</v>
      </c>
      <c r="ALW28" s="16">
        <f t="shared" si="551"/>
        <v>187.74699999997392</v>
      </c>
      <c r="ALX28" s="16">
        <f t="shared" si="551"/>
        <v>214.12800000002608</v>
      </c>
      <c r="ALY28" s="16">
        <f t="shared" si="551"/>
        <v>303.30699999997159</v>
      </c>
      <c r="ALZ28" s="16">
        <f t="shared" si="551"/>
        <v>98.194000000017695</v>
      </c>
      <c r="AMA28" s="16">
        <f t="shared" si="551"/>
        <v>151.87300000002142</v>
      </c>
      <c r="AMB28" s="16">
        <f t="shared" si="551"/>
        <v>147.86199999996461</v>
      </c>
      <c r="AMC28" s="16">
        <f t="shared" si="551"/>
        <v>103.90100000001257</v>
      </c>
      <c r="AMD28" s="16">
        <f t="shared" si="551"/>
        <v>83.505000000004657</v>
      </c>
      <c r="AME28" s="16">
        <f t="shared" si="551"/>
        <v>222.55800000001909</v>
      </c>
      <c r="AMF28" s="16">
        <f t="shared" si="551"/>
        <v>103.98399999999674</v>
      </c>
      <c r="AMG28" s="16">
        <f t="shared" si="551"/>
        <v>234.13899999996647</v>
      </c>
      <c r="AMH28" s="16">
        <f t="shared" si="551"/>
        <v>224.84600000001956</v>
      </c>
      <c r="AMI28" s="16">
        <f t="shared" si="551"/>
        <v>234.28800000000047</v>
      </c>
      <c r="AMJ28" s="16">
        <f t="shared" si="551"/>
        <v>261.78899999998976</v>
      </c>
      <c r="AMK28" s="16">
        <f t="shared" si="551"/>
        <v>248.76699999999255</v>
      </c>
      <c r="AML28" s="16">
        <f t="shared" si="551"/>
        <v>196.76199999998789</v>
      </c>
      <c r="AMM28" s="16">
        <f t="shared" si="551"/>
        <v>109.15600000001723</v>
      </c>
      <c r="AMN28" s="16">
        <f t="shared" si="551"/>
        <v>172.39900000003399</v>
      </c>
      <c r="AMO28" s="16">
        <f t="shared" si="551"/>
        <v>147.06499999994412</v>
      </c>
      <c r="AMP28" s="16">
        <f t="shared" si="551"/>
        <v>167.9210000000312</v>
      </c>
      <c r="AMQ28" s="16">
        <f t="shared" si="551"/>
        <v>153.35300000000279</v>
      </c>
      <c r="AMR28" s="16">
        <f t="shared" si="551"/>
        <v>214.74199999996927</v>
      </c>
      <c r="AMS28" s="16">
        <f t="shared" si="551"/>
        <v>168.7730000000447</v>
      </c>
      <c r="AMT28" s="16">
        <f t="shared" si="551"/>
        <v>247.8399999999674</v>
      </c>
      <c r="AMU28" s="16">
        <f t="shared" si="551"/>
        <v>264.39400000002934</v>
      </c>
      <c r="AMV28" s="16">
        <f t="shared" si="551"/>
        <v>207.9890000000014</v>
      </c>
      <c r="AMW28" s="16">
        <f t="shared" si="551"/>
        <v>223.16300000000047</v>
      </c>
      <c r="AMX28" s="16">
        <f t="shared" si="551"/>
        <v>147.59200000000419</v>
      </c>
      <c r="AMY28" s="16">
        <f t="shared" si="551"/>
        <v>164.30899999995017</v>
      </c>
      <c r="AMZ28" s="127">
        <f>SUM(ALV28:AMY28)</f>
        <v>5683.460999999952</v>
      </c>
      <c r="ANA28" s="16">
        <f t="shared" ref="ANA28:AOF28" si="552">ANA27-ANA26</f>
        <v>176.88100000005215</v>
      </c>
      <c r="ANB28" s="16">
        <f t="shared" si="552"/>
        <v>83.642999999981839</v>
      </c>
      <c r="ANC28" s="16">
        <f t="shared" si="552"/>
        <v>107.12199999997392</v>
      </c>
      <c r="AND28" s="16">
        <f t="shared" si="552"/>
        <v>146.49300000001676</v>
      </c>
      <c r="ANE28" s="16">
        <f t="shared" si="552"/>
        <v>109.4309999999823</v>
      </c>
      <c r="ANF28" s="16">
        <f t="shared" si="552"/>
        <v>148.72100000001956</v>
      </c>
      <c r="ANG28" s="16">
        <f t="shared" si="552"/>
        <v>88.286000000021886</v>
      </c>
      <c r="ANH28" s="16">
        <f t="shared" si="552"/>
        <v>120.3519999999553</v>
      </c>
      <c r="ANI28" s="16">
        <f t="shared" si="552"/>
        <v>103.91899999999441</v>
      </c>
      <c r="ANJ28" s="16">
        <f t="shared" si="552"/>
        <v>179.8980000000447</v>
      </c>
      <c r="ANK28" s="16">
        <f t="shared" si="552"/>
        <v>159.34799999999814</v>
      </c>
      <c r="ANL28" s="16">
        <f t="shared" si="552"/>
        <v>45.657999999995809</v>
      </c>
      <c r="ANM28" s="16">
        <f t="shared" si="552"/>
        <v>212.38299999997253</v>
      </c>
      <c r="ANN28" s="16">
        <f t="shared" si="552"/>
        <v>102.67300000000978</v>
      </c>
      <c r="ANO28" s="16">
        <f t="shared" si="552"/>
        <v>154.15600000001723</v>
      </c>
      <c r="ANP28" s="16">
        <f t="shared" si="552"/>
        <v>153.97200000000885</v>
      </c>
      <c r="ANQ28" s="16">
        <f t="shared" si="552"/>
        <v>82.371999999973923</v>
      </c>
      <c r="ANR28" s="16">
        <f t="shared" si="552"/>
        <v>142.21199999999953</v>
      </c>
      <c r="ANS28" s="16">
        <f t="shared" si="552"/>
        <v>53.737000000022817</v>
      </c>
      <c r="ANT28" s="16">
        <f t="shared" si="552"/>
        <v>151.31099999998696</v>
      </c>
      <c r="ANU28" s="16">
        <f t="shared" si="552"/>
        <v>91.869000000006054</v>
      </c>
      <c r="ANV28" s="16">
        <f t="shared" si="552"/>
        <v>259.52100000000792</v>
      </c>
      <c r="ANW28" s="16">
        <f t="shared" si="552"/>
        <v>278.11900000000605</v>
      </c>
      <c r="ANX28" s="16">
        <f t="shared" si="552"/>
        <v>165.76399999996647</v>
      </c>
      <c r="ANY28" s="16">
        <f t="shared" si="552"/>
        <v>121.29200000001583</v>
      </c>
      <c r="ANZ28" s="16">
        <f t="shared" si="552"/>
        <v>269.08799999998882</v>
      </c>
      <c r="AOA28" s="16">
        <f t="shared" si="552"/>
        <v>212.65500000002794</v>
      </c>
      <c r="AOB28" s="16">
        <f t="shared" si="552"/>
        <v>187.63699999998789</v>
      </c>
      <c r="AOC28" s="16">
        <f t="shared" si="552"/>
        <v>347.8859999999986</v>
      </c>
      <c r="AOD28" s="16">
        <f t="shared" si="552"/>
        <v>194.94599999999627</v>
      </c>
      <c r="AOE28">
        <f t="shared" si="552"/>
        <v>194.94599999999627</v>
      </c>
      <c r="AOF28">
        <f t="shared" si="552"/>
        <v>-153424.86499999999</v>
      </c>
    </row>
    <row r="29" spans="1:1072" x14ac:dyDescent="0.2">
      <c r="A29" s="157"/>
      <c r="B29" s="159" t="s">
        <v>775</v>
      </c>
      <c r="C29" s="47" t="s">
        <v>756</v>
      </c>
      <c r="D29" s="48">
        <v>155651.71100000001</v>
      </c>
      <c r="E29" s="18">
        <f t="shared" ref="E29:AH29" si="553">D30</f>
        <v>155844.28200000001</v>
      </c>
      <c r="F29" s="18">
        <f t="shared" si="553"/>
        <v>155946.01</v>
      </c>
      <c r="G29" s="18">
        <f t="shared" si="553"/>
        <v>155986.31200000001</v>
      </c>
      <c r="H29" s="18">
        <f t="shared" si="553"/>
        <v>156073.43700000001</v>
      </c>
      <c r="I29" s="18">
        <f t="shared" si="553"/>
        <v>156365.43100000001</v>
      </c>
      <c r="J29" s="18">
        <f t="shared" si="553"/>
        <v>156524.239</v>
      </c>
      <c r="K29" s="18">
        <f t="shared" si="553"/>
        <v>156720.185</v>
      </c>
      <c r="L29" s="18">
        <f t="shared" si="553"/>
        <v>157031.78899999999</v>
      </c>
      <c r="M29" s="18">
        <f t="shared" si="553"/>
        <v>157182.962</v>
      </c>
      <c r="N29" s="18">
        <f t="shared" si="553"/>
        <v>157357.179</v>
      </c>
      <c r="O29" s="18">
        <f t="shared" si="553"/>
        <v>157483.24299999999</v>
      </c>
      <c r="P29" s="18">
        <f t="shared" si="553"/>
        <v>157557.85800000001</v>
      </c>
      <c r="Q29" s="18">
        <f t="shared" si="553"/>
        <v>157646.291</v>
      </c>
      <c r="R29" s="18">
        <f t="shared" si="553"/>
        <v>157707.144</v>
      </c>
      <c r="S29" s="18">
        <f t="shared" si="553"/>
        <v>157771.00899999999</v>
      </c>
      <c r="T29" s="18">
        <f t="shared" si="553"/>
        <v>157902.39600000001</v>
      </c>
      <c r="U29" s="18">
        <f t="shared" si="553"/>
        <v>158060.01199999999</v>
      </c>
      <c r="V29" s="18">
        <f t="shared" si="553"/>
        <v>158209.89799999999</v>
      </c>
      <c r="W29" s="18">
        <f t="shared" si="553"/>
        <v>158321.068</v>
      </c>
      <c r="X29" s="18">
        <f t="shared" si="553"/>
        <v>158393.101</v>
      </c>
      <c r="Y29" s="18">
        <f t="shared" si="553"/>
        <v>158533.19899999999</v>
      </c>
      <c r="Z29" s="18">
        <f t="shared" si="553"/>
        <v>158641.35699999999</v>
      </c>
      <c r="AA29" s="18">
        <f t="shared" si="553"/>
        <v>158737.22200000001</v>
      </c>
      <c r="AB29" s="18">
        <f t="shared" si="553"/>
        <v>158792.18299999999</v>
      </c>
      <c r="AC29" s="18">
        <f t="shared" si="553"/>
        <v>159081.427</v>
      </c>
      <c r="AD29" s="18">
        <f t="shared" si="553"/>
        <v>159237.76500000001</v>
      </c>
      <c r="AE29" s="18">
        <f t="shared" si="553"/>
        <v>159375.38800000001</v>
      </c>
      <c r="AF29" s="18">
        <f t="shared" si="553"/>
        <v>159474.046</v>
      </c>
      <c r="AG29" s="18">
        <f t="shared" si="553"/>
        <v>159595.14799999999</v>
      </c>
      <c r="AH29" s="18">
        <f t="shared" si="553"/>
        <v>159906.66899999999</v>
      </c>
      <c r="AI29" s="17"/>
      <c r="AJ29" s="90">
        <f>AH30</f>
        <v>160078.302</v>
      </c>
      <c r="AK29" s="13">
        <f t="shared" ref="AK29:BM29" si="554">AJ30</f>
        <v>160157.66899999999</v>
      </c>
      <c r="AL29" s="13">
        <f t="shared" si="554"/>
        <v>160360.86600000001</v>
      </c>
      <c r="AM29" s="13">
        <f t="shared" si="554"/>
        <v>160523.367</v>
      </c>
      <c r="AN29" s="13">
        <f t="shared" si="554"/>
        <v>160835.73000000001</v>
      </c>
      <c r="AO29" s="13">
        <f t="shared" si="554"/>
        <v>161074.674</v>
      </c>
      <c r="AP29" s="13">
        <f t="shared" si="554"/>
        <v>161231.81400000001</v>
      </c>
      <c r="AQ29" s="13">
        <f t="shared" si="554"/>
        <v>161415.443</v>
      </c>
      <c r="AR29" s="13">
        <f t="shared" si="554"/>
        <v>161639.76500000001</v>
      </c>
      <c r="AS29" s="13">
        <f t="shared" si="554"/>
        <v>161714.39600000001</v>
      </c>
      <c r="AT29" s="13">
        <f t="shared" si="554"/>
        <v>161886.967</v>
      </c>
      <c r="AU29" s="13">
        <f t="shared" si="554"/>
        <v>162047.33100000001</v>
      </c>
      <c r="AV29" s="13">
        <f t="shared" si="554"/>
        <v>162265.97899999999</v>
      </c>
      <c r="AW29" s="13">
        <f t="shared" si="554"/>
        <v>162359.291</v>
      </c>
      <c r="AX29" s="13">
        <f t="shared" si="554"/>
        <v>162478.87700000001</v>
      </c>
      <c r="AY29" s="13">
        <f t="shared" si="554"/>
        <v>162722.848</v>
      </c>
      <c r="AZ29" s="13">
        <f t="shared" si="554"/>
        <v>162849.06599999999</v>
      </c>
      <c r="BA29" s="13">
        <f t="shared" si="554"/>
        <v>162980.693</v>
      </c>
      <c r="BB29" s="13">
        <f t="shared" si="554"/>
        <v>163140.48199999999</v>
      </c>
      <c r="BC29" s="13">
        <f t="shared" si="554"/>
        <v>163335.45499999999</v>
      </c>
      <c r="BD29" s="13">
        <f t="shared" si="554"/>
        <v>163431.77900000001</v>
      </c>
      <c r="BE29" s="13">
        <f t="shared" si="554"/>
        <v>163571.234</v>
      </c>
      <c r="BF29" s="13">
        <f t="shared" si="554"/>
        <v>163699.595</v>
      </c>
      <c r="BG29" s="13">
        <f t="shared" si="554"/>
        <v>163861.94399999999</v>
      </c>
      <c r="BH29" s="13">
        <f t="shared" si="554"/>
        <v>163941.83199999999</v>
      </c>
      <c r="BI29" s="13">
        <f t="shared" si="554"/>
        <v>164123.04999999999</v>
      </c>
      <c r="BJ29" s="13">
        <f t="shared" si="554"/>
        <v>164185.701</v>
      </c>
      <c r="BK29" s="13">
        <f t="shared" si="554"/>
        <v>164318.345</v>
      </c>
      <c r="BL29" s="13">
        <f t="shared" si="554"/>
        <v>164476.87599999999</v>
      </c>
      <c r="BM29" s="13">
        <f t="shared" si="554"/>
        <v>164574.84599999999</v>
      </c>
      <c r="BO29" s="13">
        <f>BM30</f>
        <v>164655.64799999999</v>
      </c>
      <c r="BP29">
        <f t="shared" ref="BP29:CS29" si="555">BO30</f>
        <v>164733.41800000001</v>
      </c>
      <c r="BQ29">
        <f t="shared" si="555"/>
        <v>164865.538</v>
      </c>
      <c r="BR29">
        <f t="shared" si="555"/>
        <v>165003.91200000001</v>
      </c>
      <c r="BS29">
        <f t="shared" si="555"/>
        <v>165123.29800000001</v>
      </c>
      <c r="BT29">
        <f t="shared" si="555"/>
        <v>165296.014</v>
      </c>
      <c r="BU29">
        <f t="shared" si="555"/>
        <v>165507.11499999999</v>
      </c>
      <c r="BV29">
        <f t="shared" si="555"/>
        <v>165622.25899999999</v>
      </c>
      <c r="BW29">
        <f t="shared" si="555"/>
        <v>165722.80900000001</v>
      </c>
      <c r="BX29">
        <f t="shared" si="555"/>
        <v>165833.07999999999</v>
      </c>
      <c r="BY29">
        <f t="shared" si="555"/>
        <v>165960.595</v>
      </c>
      <c r="BZ29">
        <f t="shared" si="555"/>
        <v>166070.68900000001</v>
      </c>
      <c r="CA29">
        <f t="shared" si="555"/>
        <v>166189.264</v>
      </c>
      <c r="CB29">
        <f t="shared" si="555"/>
        <v>166356.31299999999</v>
      </c>
      <c r="CC29">
        <f t="shared" si="555"/>
        <v>166495.59700000001</v>
      </c>
      <c r="CD29">
        <f t="shared" si="555"/>
        <v>166629.07399999999</v>
      </c>
      <c r="CE29">
        <f t="shared" si="555"/>
        <v>166756.33900000001</v>
      </c>
      <c r="CF29">
        <f t="shared" si="555"/>
        <v>166859.36300000001</v>
      </c>
      <c r="CG29">
        <f t="shared" si="555"/>
        <v>166957.74</v>
      </c>
      <c r="CH29">
        <f t="shared" si="555"/>
        <v>167073.28700000001</v>
      </c>
      <c r="CI29">
        <f t="shared" si="555"/>
        <v>167142.97899999999</v>
      </c>
      <c r="CJ29">
        <f t="shared" si="555"/>
        <v>167248.82999999999</v>
      </c>
      <c r="CK29">
        <f t="shared" si="555"/>
        <v>167303.37</v>
      </c>
      <c r="CL29">
        <f t="shared" si="555"/>
        <v>167398.10699999999</v>
      </c>
      <c r="CM29">
        <f t="shared" si="555"/>
        <v>167550.606</v>
      </c>
      <c r="CN29">
        <f t="shared" si="555"/>
        <v>167623.12299999999</v>
      </c>
      <c r="CO29">
        <f t="shared" si="555"/>
        <v>167735.68799999999</v>
      </c>
      <c r="CP29">
        <f t="shared" si="555"/>
        <v>167811.43799999999</v>
      </c>
      <c r="CQ29">
        <f t="shared" si="555"/>
        <v>167924.76199999999</v>
      </c>
      <c r="CR29">
        <f t="shared" si="555"/>
        <v>168006.57399999999</v>
      </c>
      <c r="CS29">
        <f t="shared" si="555"/>
        <v>168127.77600000001</v>
      </c>
      <c r="CU29" s="13">
        <f>CS30</f>
        <v>168225.74799999999</v>
      </c>
      <c r="CV29">
        <f t="shared" ref="CV29:DX29" si="556">CU30</f>
        <v>168341.495</v>
      </c>
      <c r="CW29">
        <f t="shared" si="556"/>
        <v>168437.44899999999</v>
      </c>
      <c r="CX29">
        <f t="shared" si="556"/>
        <v>168541.37899999999</v>
      </c>
      <c r="CY29">
        <f t="shared" si="556"/>
        <v>168647.43299999999</v>
      </c>
      <c r="CZ29">
        <f t="shared" si="556"/>
        <v>168762.883</v>
      </c>
      <c r="DA29">
        <f t="shared" si="556"/>
        <v>168844.49</v>
      </c>
      <c r="DB29">
        <f t="shared" si="556"/>
        <v>168970.541</v>
      </c>
      <c r="DC29">
        <f t="shared" si="556"/>
        <v>169161.43400000001</v>
      </c>
      <c r="DD29">
        <f t="shared" si="556"/>
        <v>169274.15400000001</v>
      </c>
      <c r="DE29">
        <f t="shared" si="556"/>
        <v>169393.33799999999</v>
      </c>
      <c r="DF29">
        <f t="shared" si="556"/>
        <v>169603.04399999999</v>
      </c>
      <c r="DG29">
        <f t="shared" si="556"/>
        <v>169659.58</v>
      </c>
      <c r="DH29">
        <f t="shared" si="556"/>
        <v>169762.60200000001</v>
      </c>
      <c r="DI29">
        <f t="shared" si="556"/>
        <v>169950.796</v>
      </c>
      <c r="DJ29">
        <f t="shared" si="556"/>
        <v>170022.30499999999</v>
      </c>
      <c r="DK29">
        <f t="shared" si="556"/>
        <v>170127.959</v>
      </c>
      <c r="DL29">
        <f t="shared" si="556"/>
        <v>170375.52100000001</v>
      </c>
      <c r="DM29">
        <f t="shared" si="556"/>
        <v>170650.065</v>
      </c>
      <c r="DN29">
        <f t="shared" si="556"/>
        <v>170804.77799999999</v>
      </c>
      <c r="DO29">
        <f t="shared" si="556"/>
        <v>171004.07399999999</v>
      </c>
      <c r="DP29">
        <f t="shared" si="556"/>
        <v>171112.88200000001</v>
      </c>
      <c r="DQ29">
        <f t="shared" si="556"/>
        <v>171329.71299999999</v>
      </c>
      <c r="DR29">
        <f t="shared" si="556"/>
        <v>171420.88699999999</v>
      </c>
      <c r="DS29">
        <f t="shared" si="556"/>
        <v>171514.07</v>
      </c>
      <c r="DT29">
        <f t="shared" si="556"/>
        <v>171644.72</v>
      </c>
      <c r="DU29">
        <f t="shared" si="556"/>
        <v>171788.31200000001</v>
      </c>
      <c r="DV29">
        <f t="shared" si="556"/>
        <v>172076.791</v>
      </c>
      <c r="DW29">
        <f t="shared" si="556"/>
        <v>172228.41099999999</v>
      </c>
      <c r="DX29">
        <f t="shared" si="556"/>
        <v>172435.867</v>
      </c>
      <c r="DY29" s="117"/>
      <c r="DZ29">
        <f>DX30</f>
        <v>172531.55799999999</v>
      </c>
      <c r="EA29">
        <f t="shared" ref="EA29:FD29" si="557">DZ30</f>
        <v>172618.226</v>
      </c>
      <c r="EB29">
        <f t="shared" si="557"/>
        <v>172694.174</v>
      </c>
      <c r="EC29">
        <f t="shared" si="557"/>
        <v>172831.701</v>
      </c>
      <c r="ED29">
        <f t="shared" si="557"/>
        <v>172976.99400000001</v>
      </c>
      <c r="EE29">
        <f t="shared" si="557"/>
        <v>173095.28899999999</v>
      </c>
      <c r="EF29">
        <f t="shared" si="557"/>
        <v>173233.56599999999</v>
      </c>
      <c r="EG29">
        <f t="shared" si="557"/>
        <v>173317.03099999999</v>
      </c>
      <c r="EH29">
        <f t="shared" si="557"/>
        <v>173384.139</v>
      </c>
      <c r="EI29">
        <f t="shared" si="557"/>
        <v>173666.356</v>
      </c>
      <c r="EJ29">
        <f t="shared" si="557"/>
        <v>173805.783</v>
      </c>
      <c r="EK29">
        <f t="shared" si="557"/>
        <v>173983.09599999999</v>
      </c>
      <c r="EL29">
        <f t="shared" si="557"/>
        <v>174096.158</v>
      </c>
      <c r="EM29">
        <f t="shared" si="557"/>
        <v>174186.62599999999</v>
      </c>
      <c r="EN29">
        <f t="shared" si="557"/>
        <v>174342.13099999999</v>
      </c>
      <c r="EO29">
        <f t="shared" si="557"/>
        <v>174489.74600000001</v>
      </c>
      <c r="EP29">
        <f t="shared" si="557"/>
        <v>174607.25899999999</v>
      </c>
      <c r="EQ29">
        <f t="shared" si="557"/>
        <v>174709.552</v>
      </c>
      <c r="ER29">
        <f t="shared" si="557"/>
        <v>174823.554</v>
      </c>
      <c r="ES29">
        <f t="shared" si="557"/>
        <v>174943.94899999999</v>
      </c>
      <c r="ET29">
        <f t="shared" si="557"/>
        <v>175119.39</v>
      </c>
      <c r="EU29">
        <f t="shared" si="557"/>
        <v>175258.54699999999</v>
      </c>
      <c r="EV29">
        <f t="shared" si="557"/>
        <v>175408.63800000001</v>
      </c>
      <c r="EW29">
        <f t="shared" si="557"/>
        <v>175659.13200000001</v>
      </c>
      <c r="EX29">
        <f t="shared" si="557"/>
        <v>175925.717</v>
      </c>
      <c r="EY29">
        <f t="shared" si="557"/>
        <v>176063.85399999999</v>
      </c>
      <c r="EZ29">
        <f t="shared" si="557"/>
        <v>176201.984</v>
      </c>
      <c r="FA29">
        <f t="shared" si="557"/>
        <v>176270.845</v>
      </c>
      <c r="FB29">
        <f t="shared" si="557"/>
        <v>176418.05499999999</v>
      </c>
      <c r="FC29">
        <f t="shared" si="557"/>
        <v>176567.12299999999</v>
      </c>
      <c r="FD29">
        <f t="shared" si="557"/>
        <v>176671.649</v>
      </c>
      <c r="FE29" s="126"/>
      <c r="FF29">
        <f>FD30</f>
        <v>176782.35800000001</v>
      </c>
      <c r="FG29">
        <f t="shared" ref="FG29:GJ29" si="558">FF30</f>
        <v>176846.26300000001</v>
      </c>
      <c r="FH29">
        <f t="shared" si="558"/>
        <v>176914.29399999999</v>
      </c>
      <c r="FI29">
        <f t="shared" si="558"/>
        <v>177099.29399999999</v>
      </c>
      <c r="FJ29">
        <f t="shared" si="558"/>
        <v>177276.60399999999</v>
      </c>
      <c r="FK29">
        <f t="shared" si="558"/>
        <v>177385.875</v>
      </c>
      <c r="FL29">
        <f t="shared" si="558"/>
        <v>177587.77900000001</v>
      </c>
      <c r="FM29">
        <f t="shared" si="558"/>
        <v>177723.22200000001</v>
      </c>
      <c r="FN29">
        <f t="shared" si="558"/>
        <v>177807.747</v>
      </c>
      <c r="FO29">
        <f t="shared" si="558"/>
        <v>177931.856</v>
      </c>
      <c r="FP29">
        <f t="shared" si="558"/>
        <v>177977.83</v>
      </c>
      <c r="FQ29">
        <f t="shared" si="558"/>
        <v>178112.66800000001</v>
      </c>
      <c r="FR29">
        <f t="shared" si="558"/>
        <v>178215.75</v>
      </c>
      <c r="FS29">
        <f t="shared" si="558"/>
        <v>178271.413</v>
      </c>
      <c r="FT29">
        <f t="shared" si="558"/>
        <v>178351.81099999999</v>
      </c>
      <c r="FU29">
        <f t="shared" si="558"/>
        <v>178457.42300000001</v>
      </c>
      <c r="FV29">
        <f t="shared" si="558"/>
        <v>178567.72399999999</v>
      </c>
      <c r="FW29">
        <f t="shared" si="558"/>
        <v>178804.83199999999</v>
      </c>
      <c r="FX29">
        <f t="shared" si="558"/>
        <v>178978.56099999999</v>
      </c>
      <c r="FY29">
        <f t="shared" si="558"/>
        <v>179023.91800000001</v>
      </c>
      <c r="FZ29">
        <f t="shared" si="558"/>
        <v>179262.05100000001</v>
      </c>
      <c r="GA29">
        <f t="shared" si="558"/>
        <v>179380.59400000001</v>
      </c>
      <c r="GB29">
        <f t="shared" si="558"/>
        <v>179456.05300000001</v>
      </c>
      <c r="GC29">
        <f t="shared" si="558"/>
        <v>179587.815</v>
      </c>
      <c r="GD29">
        <f t="shared" si="558"/>
        <v>179685.43400000001</v>
      </c>
      <c r="GE29">
        <f t="shared" si="558"/>
        <v>179856.516</v>
      </c>
      <c r="GF29">
        <f t="shared" si="558"/>
        <v>179993.82500000001</v>
      </c>
      <c r="GG29">
        <f t="shared" si="558"/>
        <v>180096.28700000001</v>
      </c>
      <c r="GH29">
        <f t="shared" si="558"/>
        <v>180195.24799999999</v>
      </c>
      <c r="GI29">
        <f t="shared" si="558"/>
        <v>180421.01</v>
      </c>
      <c r="GJ29">
        <f t="shared" si="558"/>
        <v>180647.78</v>
      </c>
      <c r="GK29" s="127">
        <f>SUM(FF29:GJ29)</f>
        <v>5536699.835</v>
      </c>
      <c r="GL29">
        <f>GJ30</f>
        <v>180890.03400000001</v>
      </c>
      <c r="GM29">
        <f t="shared" ref="GM29:HN29" si="559">GL30</f>
        <v>180964.87</v>
      </c>
      <c r="GN29">
        <f t="shared" si="559"/>
        <v>181076.20300000001</v>
      </c>
      <c r="GO29">
        <f t="shared" si="559"/>
        <v>181148.35800000001</v>
      </c>
      <c r="GP29">
        <f t="shared" si="559"/>
        <v>181233.712</v>
      </c>
      <c r="GQ29">
        <f t="shared" si="559"/>
        <v>181371.427</v>
      </c>
      <c r="GR29">
        <f t="shared" si="559"/>
        <v>181441.90400000001</v>
      </c>
      <c r="GS29">
        <f t="shared" si="559"/>
        <v>181622.38</v>
      </c>
      <c r="GT29">
        <f t="shared" si="559"/>
        <v>181804.42499999999</v>
      </c>
      <c r="GU29">
        <f t="shared" si="559"/>
        <v>181933.00599999999</v>
      </c>
      <c r="GV29">
        <f t="shared" si="559"/>
        <v>182039.59599999999</v>
      </c>
      <c r="GW29">
        <f t="shared" si="559"/>
        <v>182148.85699999999</v>
      </c>
      <c r="GX29">
        <f t="shared" si="559"/>
        <v>182241.272</v>
      </c>
      <c r="GY29">
        <f t="shared" si="559"/>
        <v>182349.50099999999</v>
      </c>
      <c r="GZ29">
        <f t="shared" si="559"/>
        <v>182413.41399999999</v>
      </c>
      <c r="HA29">
        <f t="shared" si="559"/>
        <v>182476.701</v>
      </c>
      <c r="HB29">
        <f t="shared" si="559"/>
        <v>182602.261</v>
      </c>
      <c r="HC29">
        <f t="shared" si="559"/>
        <v>182697.511</v>
      </c>
      <c r="HD29">
        <f t="shared" si="559"/>
        <v>182775.853</v>
      </c>
      <c r="HE29">
        <f t="shared" si="559"/>
        <v>182991.72200000001</v>
      </c>
      <c r="HF29">
        <f t="shared" si="559"/>
        <v>185143.53700000001</v>
      </c>
      <c r="HG29">
        <f t="shared" si="559"/>
        <v>185306.19899999999</v>
      </c>
      <c r="HH29">
        <f t="shared" si="559"/>
        <v>185456.41500000001</v>
      </c>
      <c r="HI29">
        <f t="shared" si="559"/>
        <v>185631.929</v>
      </c>
      <c r="HJ29">
        <f t="shared" si="559"/>
        <v>185793.77499999999</v>
      </c>
      <c r="HK29">
        <f t="shared" si="559"/>
        <v>185848.818</v>
      </c>
      <c r="HL29">
        <f t="shared" si="559"/>
        <v>185929.53400000001</v>
      </c>
      <c r="HM29">
        <f t="shared" si="559"/>
        <v>186090.07699999999</v>
      </c>
      <c r="HN29">
        <f t="shared" si="559"/>
        <v>186184.29500000001</v>
      </c>
      <c r="HO29" s="127">
        <f>SUM(GL29:HN29)</f>
        <v>5309607.5859999992</v>
      </c>
      <c r="HP29">
        <f>HN30</f>
        <v>186247.99799999999</v>
      </c>
      <c r="HQ29">
        <f t="shared" ref="HQ29:IT29" si="560">HP30</f>
        <v>186352.731</v>
      </c>
      <c r="HR29">
        <f t="shared" si="560"/>
        <v>186592.91699999999</v>
      </c>
      <c r="HS29">
        <f t="shared" si="560"/>
        <v>186734.55799999999</v>
      </c>
      <c r="HT29">
        <f t="shared" si="560"/>
        <v>186911.24100000001</v>
      </c>
      <c r="HU29">
        <f t="shared" si="560"/>
        <v>187018.451</v>
      </c>
      <c r="HV29">
        <f t="shared" si="560"/>
        <v>187199.12100000001</v>
      </c>
      <c r="HW29">
        <f t="shared" si="560"/>
        <v>187388.79300000001</v>
      </c>
      <c r="HX29">
        <f t="shared" si="560"/>
        <v>187527.96299999999</v>
      </c>
      <c r="HY29">
        <f t="shared" si="560"/>
        <v>187599.08499999999</v>
      </c>
      <c r="HZ29">
        <f t="shared" si="560"/>
        <v>187719.69399999999</v>
      </c>
      <c r="IA29">
        <f t="shared" si="560"/>
        <v>187847.758</v>
      </c>
      <c r="IB29">
        <f t="shared" si="560"/>
        <v>187932.39499999999</v>
      </c>
      <c r="IC29">
        <f t="shared" si="560"/>
        <v>188056.122</v>
      </c>
      <c r="ID29">
        <f t="shared" si="560"/>
        <v>188173.28400000001</v>
      </c>
      <c r="IE29">
        <f t="shared" si="560"/>
        <v>188285.29399999999</v>
      </c>
      <c r="IF29">
        <f t="shared" si="560"/>
        <v>188423.84299999999</v>
      </c>
      <c r="IG29">
        <f t="shared" si="560"/>
        <v>188520.45300000001</v>
      </c>
      <c r="IH29">
        <f t="shared" si="560"/>
        <v>188632.74100000001</v>
      </c>
      <c r="II29">
        <f t="shared" si="560"/>
        <v>188829.253</v>
      </c>
      <c r="IJ29">
        <f t="shared" si="560"/>
        <v>188977.465</v>
      </c>
      <c r="IK29">
        <f t="shared" si="560"/>
        <v>189054.02600000001</v>
      </c>
      <c r="IL29">
        <f t="shared" si="560"/>
        <v>189164.12100000001</v>
      </c>
      <c r="IM29">
        <f t="shared" si="560"/>
        <v>189372.29399999999</v>
      </c>
      <c r="IN29">
        <f t="shared" si="560"/>
        <v>189476.326</v>
      </c>
      <c r="IO29">
        <f t="shared" si="560"/>
        <v>189662.32399999999</v>
      </c>
      <c r="IP29">
        <f t="shared" si="560"/>
        <v>189882.98199999999</v>
      </c>
      <c r="IQ29">
        <f t="shared" si="560"/>
        <v>189883.40700000001</v>
      </c>
      <c r="IR29">
        <f t="shared" si="560"/>
        <v>189980.307</v>
      </c>
      <c r="IS29">
        <f t="shared" si="560"/>
        <v>190140.01699999999</v>
      </c>
      <c r="IT29">
        <f t="shared" si="560"/>
        <v>190220.57399999999</v>
      </c>
      <c r="IU29" s="127">
        <f>SUM(HP29:IT29)</f>
        <v>5837807.5379999997</v>
      </c>
      <c r="IV29">
        <f>IT30</f>
        <v>190329.878</v>
      </c>
      <c r="IW29">
        <f t="shared" ref="IW29:JY29" si="561">IV30</f>
        <v>190423.125</v>
      </c>
      <c r="IX29">
        <f t="shared" si="561"/>
        <v>190624.076</v>
      </c>
      <c r="IY29">
        <f t="shared" si="561"/>
        <v>190740.304</v>
      </c>
      <c r="IZ29">
        <f t="shared" si="561"/>
        <v>190966.95699999999</v>
      </c>
      <c r="JA29">
        <f t="shared" si="561"/>
        <v>191098.209</v>
      </c>
      <c r="JB29">
        <f t="shared" si="561"/>
        <v>191216.24</v>
      </c>
      <c r="JC29">
        <f t="shared" si="561"/>
        <v>191288.45600000001</v>
      </c>
      <c r="JD29">
        <f t="shared" si="561"/>
        <v>191464.08199999999</v>
      </c>
      <c r="JE29">
        <f t="shared" si="561"/>
        <v>191565.28</v>
      </c>
      <c r="JF29">
        <f t="shared" si="561"/>
        <v>191669.489</v>
      </c>
      <c r="JG29">
        <f t="shared" si="561"/>
        <v>191794.85699999999</v>
      </c>
      <c r="JH29">
        <f t="shared" si="561"/>
        <v>191888.42300000001</v>
      </c>
      <c r="JI29">
        <f t="shared" si="561"/>
        <v>192017.677</v>
      </c>
      <c r="JJ29">
        <f t="shared" si="561"/>
        <v>192112.86600000001</v>
      </c>
      <c r="JK29">
        <f t="shared" si="561"/>
        <v>192261.56200000001</v>
      </c>
      <c r="JL29">
        <f t="shared" si="561"/>
        <v>192392.179</v>
      </c>
      <c r="JM29">
        <f t="shared" si="561"/>
        <v>192518.027</v>
      </c>
      <c r="JN29">
        <f t="shared" si="561"/>
        <v>192662.30600000001</v>
      </c>
      <c r="JO29">
        <f t="shared" si="561"/>
        <v>192739.85399999999</v>
      </c>
      <c r="JP29">
        <f t="shared" si="561"/>
        <v>192877.08499999999</v>
      </c>
      <c r="JQ29">
        <f t="shared" si="561"/>
        <v>192960.84899999999</v>
      </c>
      <c r="JR29">
        <f t="shared" si="561"/>
        <v>193347.37700000001</v>
      </c>
      <c r="JS29">
        <f t="shared" si="561"/>
        <v>193472.022</v>
      </c>
      <c r="JT29">
        <f t="shared" si="561"/>
        <v>193630.73300000001</v>
      </c>
      <c r="JU29">
        <f t="shared" si="561"/>
        <v>193819.05</v>
      </c>
      <c r="JV29">
        <f t="shared" si="561"/>
        <v>193971.18700000001</v>
      </c>
      <c r="JW29">
        <f t="shared" si="561"/>
        <v>194072.288</v>
      </c>
      <c r="JX29">
        <f t="shared" si="561"/>
        <v>194148.976</v>
      </c>
      <c r="JY29">
        <f t="shared" si="561"/>
        <v>194258.38200000001</v>
      </c>
      <c r="JZ29" s="127">
        <v>0</v>
      </c>
      <c r="KA29">
        <f>JY30</f>
        <v>194351.83799999999</v>
      </c>
      <c r="KB29">
        <f t="shared" ref="KB29:LE29" si="562">KA30</f>
        <v>194380.467</v>
      </c>
      <c r="KC29">
        <f t="shared" si="562"/>
        <v>194505.20699999999</v>
      </c>
      <c r="KD29">
        <f t="shared" si="562"/>
        <v>194660.272</v>
      </c>
      <c r="KE29">
        <f t="shared" si="562"/>
        <v>194813.318</v>
      </c>
      <c r="KF29">
        <f t="shared" si="562"/>
        <v>194943.804</v>
      </c>
      <c r="KG29">
        <f t="shared" si="562"/>
        <v>195086.96100000001</v>
      </c>
      <c r="KH29">
        <f t="shared" si="562"/>
        <v>195397.995</v>
      </c>
      <c r="KI29">
        <f t="shared" si="562"/>
        <v>195634.546</v>
      </c>
      <c r="KJ29">
        <f t="shared" si="562"/>
        <v>196031.315</v>
      </c>
      <c r="KK29">
        <f t="shared" si="562"/>
        <v>196356.95699999999</v>
      </c>
      <c r="KL29">
        <f t="shared" si="562"/>
        <v>196630.39199999999</v>
      </c>
      <c r="KM29">
        <f t="shared" si="562"/>
        <v>196822.09</v>
      </c>
      <c r="KN29">
        <f t="shared" si="562"/>
        <v>197103.889</v>
      </c>
      <c r="KO29">
        <f t="shared" si="562"/>
        <v>197366.182</v>
      </c>
      <c r="KP29">
        <f t="shared" si="562"/>
        <v>197538.86900000001</v>
      </c>
      <c r="KQ29">
        <f t="shared" si="562"/>
        <v>198746.40100000001</v>
      </c>
      <c r="KR29">
        <f t="shared" si="562"/>
        <v>198941.52600000001</v>
      </c>
      <c r="KS29">
        <f t="shared" si="562"/>
        <v>199268.391</v>
      </c>
      <c r="KT29">
        <f t="shared" si="562"/>
        <v>199366.66699999999</v>
      </c>
      <c r="KU29">
        <f t="shared" si="562"/>
        <v>199569.92199999999</v>
      </c>
      <c r="KV29">
        <f t="shared" si="562"/>
        <v>200248.90400000001</v>
      </c>
      <c r="KW29">
        <f t="shared" si="562"/>
        <v>200806.14</v>
      </c>
      <c r="KX29">
        <f t="shared" si="562"/>
        <v>202078.299</v>
      </c>
      <c r="KY29">
        <f t="shared" si="562"/>
        <v>202231.552</v>
      </c>
      <c r="KZ29">
        <f t="shared" si="562"/>
        <v>202431.23300000001</v>
      </c>
      <c r="LA29">
        <f t="shared" si="562"/>
        <v>202516.40299999999</v>
      </c>
      <c r="LB29">
        <f t="shared" si="562"/>
        <v>202675.98300000001</v>
      </c>
      <c r="LC29">
        <f t="shared" si="562"/>
        <v>202873.62299999999</v>
      </c>
      <c r="LD29">
        <f t="shared" si="562"/>
        <v>203194.364</v>
      </c>
      <c r="LE29">
        <f t="shared" si="562"/>
        <v>203406.908</v>
      </c>
      <c r="LF29" s="127">
        <v>0</v>
      </c>
      <c r="LG29">
        <f>LE30</f>
        <v>203739.67499999999</v>
      </c>
      <c r="LH29">
        <f t="shared" ref="LH29:MJ29" si="563">LG30</f>
        <v>203907.946</v>
      </c>
      <c r="LI29">
        <f t="shared" si="563"/>
        <v>204016.59099999999</v>
      </c>
      <c r="LJ29">
        <f t="shared" si="563"/>
        <v>204185.03</v>
      </c>
      <c r="LK29">
        <f t="shared" si="563"/>
        <v>204528.446</v>
      </c>
      <c r="LL29">
        <f t="shared" si="563"/>
        <v>204723.04300000001</v>
      </c>
      <c r="LM29">
        <f t="shared" si="563"/>
        <v>204926.715</v>
      </c>
      <c r="LN29">
        <f t="shared" si="563"/>
        <v>205312.997</v>
      </c>
      <c r="LO29">
        <f t="shared" si="563"/>
        <v>205572.666</v>
      </c>
      <c r="LP29">
        <f t="shared" si="563"/>
        <v>205765.61499999999</v>
      </c>
      <c r="LQ29">
        <f t="shared" si="563"/>
        <v>206028.69</v>
      </c>
      <c r="LR29">
        <f t="shared" si="563"/>
        <v>206232.829</v>
      </c>
      <c r="LS29">
        <f t="shared" si="563"/>
        <v>206379.97200000001</v>
      </c>
      <c r="LT29">
        <f t="shared" si="563"/>
        <v>206597.25</v>
      </c>
      <c r="LU29">
        <f t="shared" si="563"/>
        <v>206875.55100000001</v>
      </c>
      <c r="LV29">
        <f t="shared" si="563"/>
        <v>207055.17199999999</v>
      </c>
      <c r="LW29">
        <f t="shared" si="563"/>
        <v>207110.99</v>
      </c>
      <c r="LX29">
        <f t="shared" si="563"/>
        <v>207281.397</v>
      </c>
      <c r="LY29">
        <f t="shared" si="563"/>
        <v>207449.84299999999</v>
      </c>
      <c r="LZ29">
        <f t="shared" si="563"/>
        <v>207865.42800000001</v>
      </c>
      <c r="MA29">
        <f t="shared" si="563"/>
        <v>207958.20199999999</v>
      </c>
      <c r="MB29">
        <f t="shared" si="563"/>
        <v>208089.76300000001</v>
      </c>
      <c r="MC29">
        <f t="shared" si="563"/>
        <v>208226.77900000001</v>
      </c>
      <c r="MD29">
        <f t="shared" si="563"/>
        <v>208345.52</v>
      </c>
      <c r="ME29">
        <f t="shared" si="563"/>
        <v>208452.511</v>
      </c>
      <c r="MF29">
        <f t="shared" si="563"/>
        <v>208559.717</v>
      </c>
      <c r="MG29">
        <f t="shared" si="563"/>
        <v>208621.99799999999</v>
      </c>
      <c r="MH29">
        <f t="shared" si="563"/>
        <v>208738.83499999999</v>
      </c>
      <c r="MI29">
        <f t="shared" si="563"/>
        <v>208967.81299999999</v>
      </c>
      <c r="MJ29">
        <f t="shared" si="563"/>
        <v>209133.77600000001</v>
      </c>
      <c r="MK29" s="127">
        <v>0</v>
      </c>
      <c r="ML29">
        <f>MJ30</f>
        <v>209335</v>
      </c>
      <c r="MM29">
        <f t="shared" ref="MM29:NP29" si="564">ML30</f>
        <v>209443.49799999999</v>
      </c>
      <c r="MN29">
        <f t="shared" si="564"/>
        <v>209524.601</v>
      </c>
      <c r="MO29">
        <f t="shared" si="564"/>
        <v>209526.81200000001</v>
      </c>
      <c r="MP29">
        <f t="shared" si="564"/>
        <v>209636.85</v>
      </c>
      <c r="MQ29">
        <f t="shared" si="564"/>
        <v>209818.68</v>
      </c>
      <c r="MR29">
        <f t="shared" si="564"/>
        <v>209818.68</v>
      </c>
      <c r="MS29">
        <f t="shared" si="564"/>
        <v>209818.68</v>
      </c>
      <c r="MT29">
        <f t="shared" si="564"/>
        <v>209818.68</v>
      </c>
      <c r="MU29">
        <f t="shared" si="564"/>
        <v>209828.91</v>
      </c>
      <c r="MV29">
        <f t="shared" si="564"/>
        <v>209915.08100000001</v>
      </c>
      <c r="MW29">
        <f t="shared" si="564"/>
        <v>210218.76699999999</v>
      </c>
      <c r="MX29">
        <f t="shared" si="564"/>
        <v>210409.935</v>
      </c>
      <c r="MY29">
        <f t="shared" si="564"/>
        <v>210611.481</v>
      </c>
      <c r="MZ29">
        <f t="shared" si="564"/>
        <v>210732.334</v>
      </c>
      <c r="NA29">
        <f t="shared" si="564"/>
        <v>210830.41899999999</v>
      </c>
      <c r="NB29">
        <f t="shared" si="564"/>
        <v>211035.109</v>
      </c>
      <c r="NC29">
        <f t="shared" si="564"/>
        <v>211147.62400000001</v>
      </c>
      <c r="ND29">
        <f t="shared" si="564"/>
        <v>211311.769</v>
      </c>
      <c r="NE29">
        <f t="shared" si="564"/>
        <v>211433.91500000001</v>
      </c>
      <c r="NF29">
        <f t="shared" si="564"/>
        <v>211538.85699999999</v>
      </c>
      <c r="NG29">
        <f t="shared" si="564"/>
        <v>211591.06400000001</v>
      </c>
      <c r="NH29">
        <f t="shared" si="564"/>
        <v>211739.73199999999</v>
      </c>
      <c r="NI29">
        <f t="shared" si="564"/>
        <v>211921.022</v>
      </c>
      <c r="NJ29">
        <f t="shared" si="564"/>
        <v>212033.068</v>
      </c>
      <c r="NK29">
        <f t="shared" si="564"/>
        <v>212121.04699999999</v>
      </c>
      <c r="NL29">
        <f t="shared" si="564"/>
        <v>212318.68799999999</v>
      </c>
      <c r="NM29">
        <f t="shared" si="564"/>
        <v>212394.522</v>
      </c>
      <c r="NN29">
        <f t="shared" si="564"/>
        <v>212517.152</v>
      </c>
      <c r="NO29">
        <f t="shared" si="564"/>
        <v>212670.72200000001</v>
      </c>
      <c r="NP29">
        <f t="shared" si="564"/>
        <v>212875.79500000001</v>
      </c>
      <c r="NQ29" s="127">
        <v>0</v>
      </c>
      <c r="NR29">
        <f>NP30</f>
        <v>212987.80900000001</v>
      </c>
      <c r="NS29">
        <f t="shared" ref="NS29:OV29" si="565">NR30</f>
        <v>213132.62899999999</v>
      </c>
      <c r="NT29">
        <f t="shared" si="565"/>
        <v>213231.1</v>
      </c>
      <c r="NU29">
        <f t="shared" si="565"/>
        <v>213458.995</v>
      </c>
      <c r="NV29">
        <f t="shared" si="565"/>
        <v>213534.12299999999</v>
      </c>
      <c r="NW29">
        <f t="shared" si="565"/>
        <v>213728.05100000001</v>
      </c>
      <c r="NX29">
        <f t="shared" si="565"/>
        <v>213958.08</v>
      </c>
      <c r="NY29">
        <f t="shared" si="565"/>
        <v>214157.74100000001</v>
      </c>
      <c r="NZ29">
        <f t="shared" si="565"/>
        <v>214297.65</v>
      </c>
      <c r="OA29">
        <f t="shared" si="565"/>
        <v>214415.565</v>
      </c>
      <c r="OB29">
        <f t="shared" si="565"/>
        <v>214514.1</v>
      </c>
      <c r="OC29">
        <f t="shared" si="565"/>
        <v>214711.24799999999</v>
      </c>
      <c r="OD29">
        <f t="shared" si="565"/>
        <v>214823.89600000001</v>
      </c>
      <c r="OE29">
        <f t="shared" si="565"/>
        <v>214960.758</v>
      </c>
      <c r="OF29">
        <f t="shared" si="565"/>
        <v>215079.304</v>
      </c>
      <c r="OG29">
        <f t="shared" si="565"/>
        <v>215216.79800000001</v>
      </c>
      <c r="OH29">
        <f t="shared" si="565"/>
        <v>215427.1</v>
      </c>
      <c r="OI29">
        <f t="shared" si="565"/>
        <v>215703.49</v>
      </c>
      <c r="OJ29">
        <f t="shared" si="565"/>
        <v>215804.13200000001</v>
      </c>
      <c r="OK29">
        <f t="shared" si="565"/>
        <v>216051.24100000001</v>
      </c>
      <c r="OL29">
        <f t="shared" si="565"/>
        <v>216127.674</v>
      </c>
      <c r="OM29">
        <f t="shared" si="565"/>
        <v>216228.326</v>
      </c>
      <c r="ON29">
        <f t="shared" si="565"/>
        <v>216392.136</v>
      </c>
      <c r="OO29">
        <f t="shared" si="565"/>
        <v>216587.068</v>
      </c>
      <c r="OP29">
        <f t="shared" si="565"/>
        <v>216853.49600000001</v>
      </c>
      <c r="OQ29">
        <f t="shared" si="565"/>
        <v>216904.02799999999</v>
      </c>
      <c r="OR29">
        <f t="shared" si="565"/>
        <v>217048.99900000001</v>
      </c>
      <c r="OS29">
        <f t="shared" si="565"/>
        <v>217161.44</v>
      </c>
      <c r="OT29">
        <f t="shared" si="565"/>
        <v>217297.33900000001</v>
      </c>
      <c r="OU29">
        <f t="shared" si="565"/>
        <v>217401.87400000001</v>
      </c>
      <c r="OV29">
        <f t="shared" si="565"/>
        <v>217540.42</v>
      </c>
      <c r="OW29" s="127">
        <v>0</v>
      </c>
      <c r="OX29">
        <f>OV30</f>
        <v>217792.78400000001</v>
      </c>
      <c r="OY29">
        <f t="shared" ref="OY29:QA29" si="566">OX30</f>
        <v>217865.16399999999</v>
      </c>
      <c r="OZ29">
        <f t="shared" si="566"/>
        <v>217977.18</v>
      </c>
      <c r="PA29">
        <f t="shared" si="566"/>
        <v>218158.26199999999</v>
      </c>
      <c r="PB29">
        <f t="shared" si="566"/>
        <v>218286.49600000001</v>
      </c>
      <c r="PC29">
        <f t="shared" si="566"/>
        <v>218490.736</v>
      </c>
      <c r="PD29">
        <f t="shared" si="566"/>
        <v>218646.125</v>
      </c>
      <c r="PE29">
        <f t="shared" si="566"/>
        <v>218771.56200000001</v>
      </c>
      <c r="PF29">
        <f t="shared" si="566"/>
        <v>218843.55499999999</v>
      </c>
      <c r="PG29">
        <f t="shared" si="566"/>
        <v>218953.46299999999</v>
      </c>
      <c r="PH29">
        <f t="shared" si="566"/>
        <v>219052.42499999999</v>
      </c>
      <c r="PI29">
        <f t="shared" si="566"/>
        <v>219202.541</v>
      </c>
      <c r="PJ29">
        <f t="shared" si="566"/>
        <v>219366.14499999999</v>
      </c>
      <c r="PK29">
        <f t="shared" si="566"/>
        <v>219523.008</v>
      </c>
      <c r="PL29">
        <f t="shared" si="566"/>
        <v>219629.16500000001</v>
      </c>
      <c r="PM29">
        <f t="shared" si="566"/>
        <v>219702.85800000001</v>
      </c>
      <c r="PN29">
        <f t="shared" si="566"/>
        <v>219913.53099999999</v>
      </c>
      <c r="PO29">
        <f t="shared" si="566"/>
        <v>220037.967</v>
      </c>
      <c r="PP29">
        <f t="shared" si="566"/>
        <v>220176.93700000001</v>
      </c>
      <c r="PQ29">
        <f t="shared" si="566"/>
        <v>220252.10500000001</v>
      </c>
      <c r="PR29">
        <f t="shared" si="566"/>
        <v>220408.973</v>
      </c>
      <c r="PS29">
        <f t="shared" si="566"/>
        <v>220506.58300000001</v>
      </c>
      <c r="PT29">
        <f t="shared" si="566"/>
        <v>220639.23199999999</v>
      </c>
      <c r="PU29">
        <f t="shared" si="566"/>
        <v>220683.614</v>
      </c>
      <c r="PV29">
        <f t="shared" si="566"/>
        <v>220748.04199999999</v>
      </c>
      <c r="PW29">
        <f t="shared" si="566"/>
        <v>220873.323</v>
      </c>
      <c r="PX29">
        <f t="shared" si="566"/>
        <v>220957.541</v>
      </c>
      <c r="PY29">
        <f t="shared" si="566"/>
        <v>221073.49799999999</v>
      </c>
      <c r="PZ29">
        <f t="shared" si="566"/>
        <v>221261.878</v>
      </c>
      <c r="QA29">
        <f t="shared" si="566"/>
        <v>221336.62100000001</v>
      </c>
      <c r="QB29" s="127">
        <v>0</v>
      </c>
      <c r="QC29">
        <f>QA30</f>
        <v>221541.90700000001</v>
      </c>
      <c r="QD29">
        <f t="shared" ref="QD29:RG29" si="567">QC30</f>
        <v>221624.962</v>
      </c>
      <c r="QE29">
        <f t="shared" si="567"/>
        <v>221726.81400000001</v>
      </c>
      <c r="QF29">
        <f t="shared" si="567"/>
        <v>221797.34899999999</v>
      </c>
      <c r="QG29">
        <f t="shared" si="567"/>
        <v>221883.677</v>
      </c>
      <c r="QH29">
        <f t="shared" si="567"/>
        <v>222013.633</v>
      </c>
      <c r="QI29">
        <f t="shared" si="567"/>
        <v>222135.12599999999</v>
      </c>
      <c r="QJ29">
        <f t="shared" si="567"/>
        <v>222293.834</v>
      </c>
      <c r="QK29">
        <f t="shared" si="567"/>
        <v>222409.43</v>
      </c>
      <c r="QL29">
        <f t="shared" si="567"/>
        <v>222527.359</v>
      </c>
      <c r="QM29">
        <f t="shared" si="567"/>
        <v>222683.264</v>
      </c>
      <c r="QN29">
        <f t="shared" si="567"/>
        <v>222835.46100000001</v>
      </c>
      <c r="QO29">
        <f t="shared" si="567"/>
        <v>222916.99799999999</v>
      </c>
      <c r="QP29">
        <f t="shared" si="567"/>
        <v>223008.33499999999</v>
      </c>
      <c r="QQ29">
        <f t="shared" si="567"/>
        <v>223161.40900000001</v>
      </c>
      <c r="QR29">
        <f t="shared" si="567"/>
        <v>223244.02900000001</v>
      </c>
      <c r="QS29">
        <f t="shared" si="567"/>
        <v>223289.68799999999</v>
      </c>
      <c r="QT29">
        <f t="shared" si="567"/>
        <v>223374.48199999999</v>
      </c>
      <c r="QU29">
        <f t="shared" si="567"/>
        <v>223479.497</v>
      </c>
      <c r="QV29">
        <f t="shared" si="567"/>
        <v>223566.25399999999</v>
      </c>
      <c r="QW29">
        <f t="shared" si="567"/>
        <v>223653.65599999999</v>
      </c>
      <c r="QX29">
        <f t="shared" si="567"/>
        <v>223809.549</v>
      </c>
      <c r="QY29">
        <f t="shared" si="567"/>
        <v>223928.70199999999</v>
      </c>
      <c r="QZ29">
        <f t="shared" si="567"/>
        <v>224066.99100000001</v>
      </c>
      <c r="RA29">
        <f t="shared" si="567"/>
        <v>224239.435</v>
      </c>
      <c r="RB29">
        <f t="shared" si="567"/>
        <v>224348.14199999999</v>
      </c>
      <c r="RC29">
        <f t="shared" si="567"/>
        <v>224470.992</v>
      </c>
      <c r="RD29">
        <f t="shared" si="567"/>
        <v>224572.09400000001</v>
      </c>
      <c r="RE29">
        <f t="shared" si="567"/>
        <v>224734.18799999999</v>
      </c>
      <c r="RF29">
        <f t="shared" si="567"/>
        <v>224858.77100000001</v>
      </c>
      <c r="RG29">
        <f t="shared" si="567"/>
        <v>224951.614</v>
      </c>
      <c r="RH29" s="127">
        <v>0</v>
      </c>
      <c r="RI29">
        <f>RG30</f>
        <v>225252.71400000001</v>
      </c>
      <c r="RJ29">
        <f t="shared" ref="RJ29:SL29" si="568">RI30</f>
        <v>225327.72500000001</v>
      </c>
      <c r="RK29">
        <f t="shared" si="568"/>
        <v>225483.25</v>
      </c>
      <c r="RL29">
        <f t="shared" si="568"/>
        <v>225575.22200000001</v>
      </c>
      <c r="RM29">
        <f t="shared" si="568"/>
        <v>225802.872</v>
      </c>
      <c r="RN29">
        <f t="shared" si="568"/>
        <v>225992.07399999999</v>
      </c>
      <c r="RO29">
        <f t="shared" si="568"/>
        <v>226091.432</v>
      </c>
      <c r="RP29">
        <f t="shared" si="568"/>
        <v>226285.799</v>
      </c>
      <c r="RQ29">
        <f t="shared" si="568"/>
        <v>226566.69899999999</v>
      </c>
      <c r="RR29">
        <f t="shared" si="568"/>
        <v>226656.49400000001</v>
      </c>
      <c r="RS29">
        <f t="shared" si="568"/>
        <v>226709.068</v>
      </c>
      <c r="RT29">
        <f t="shared" si="568"/>
        <v>226864.1</v>
      </c>
      <c r="RU29">
        <f t="shared" si="568"/>
        <v>226947.98800000001</v>
      </c>
      <c r="RV29">
        <f t="shared" si="568"/>
        <v>227089.91099999999</v>
      </c>
      <c r="RW29">
        <f t="shared" si="568"/>
        <v>227232.63800000001</v>
      </c>
      <c r="RX29">
        <f t="shared" si="568"/>
        <v>227354.55499999999</v>
      </c>
      <c r="RY29">
        <f t="shared" si="568"/>
        <v>227503.647</v>
      </c>
      <c r="RZ29">
        <f t="shared" si="568"/>
        <v>227831.068</v>
      </c>
      <c r="SA29">
        <f t="shared" si="568"/>
        <v>227957.50899999999</v>
      </c>
      <c r="SB29">
        <f t="shared" si="568"/>
        <v>228249.24299999999</v>
      </c>
      <c r="SC29">
        <f t="shared" si="568"/>
        <v>228438.92499999999</v>
      </c>
      <c r="SD29">
        <f t="shared" si="568"/>
        <v>228598.54199999999</v>
      </c>
      <c r="SE29">
        <f t="shared" si="568"/>
        <v>228823.443</v>
      </c>
      <c r="SF29">
        <f t="shared" si="568"/>
        <v>228936.149</v>
      </c>
      <c r="SG29">
        <f t="shared" si="568"/>
        <v>229037.95199999999</v>
      </c>
      <c r="SH29">
        <f t="shared" si="568"/>
        <v>229290.77900000001</v>
      </c>
      <c r="SI29">
        <f t="shared" si="568"/>
        <v>229410.52900000001</v>
      </c>
      <c r="SJ29">
        <f t="shared" si="568"/>
        <v>229501.13099999999</v>
      </c>
      <c r="SK29">
        <f t="shared" si="568"/>
        <v>229653.253</v>
      </c>
      <c r="SL29">
        <f t="shared" si="568"/>
        <v>229753.25</v>
      </c>
      <c r="SM29" s="127">
        <v>0</v>
      </c>
      <c r="SN29">
        <f>SL30</f>
        <v>229856.33900000001</v>
      </c>
      <c r="SO29">
        <f t="shared" ref="SO29:TR29" si="569">SN30</f>
        <v>229932.69399999999</v>
      </c>
      <c r="SP29">
        <f t="shared" si="569"/>
        <v>230097.755</v>
      </c>
      <c r="SQ29">
        <f t="shared" si="569"/>
        <v>231197.682</v>
      </c>
      <c r="SR29">
        <f t="shared" si="569"/>
        <v>231315.35800000001</v>
      </c>
      <c r="SS29">
        <f t="shared" si="569"/>
        <v>231421.16500000001</v>
      </c>
      <c r="ST29">
        <f t="shared" si="569"/>
        <v>231592.75700000001</v>
      </c>
      <c r="SU29">
        <f t="shared" si="569"/>
        <v>231693.027</v>
      </c>
      <c r="SV29">
        <f t="shared" si="569"/>
        <v>231857.49</v>
      </c>
      <c r="SW29">
        <f t="shared" si="569"/>
        <v>231936.875</v>
      </c>
      <c r="SX29">
        <f t="shared" si="569"/>
        <v>232036.95499999999</v>
      </c>
      <c r="SY29">
        <f t="shared" si="569"/>
        <v>232152.17</v>
      </c>
      <c r="SZ29">
        <f t="shared" si="569"/>
        <v>232262.516</v>
      </c>
      <c r="TA29">
        <f t="shared" si="569"/>
        <v>232479.39</v>
      </c>
      <c r="TB29">
        <f t="shared" si="569"/>
        <v>232627.48699999999</v>
      </c>
      <c r="TC29">
        <f t="shared" si="569"/>
        <v>232759.74799999999</v>
      </c>
      <c r="TD29">
        <f t="shared" si="569"/>
        <v>232901.86199999999</v>
      </c>
      <c r="TE29">
        <f t="shared" si="569"/>
        <v>233003.50599999999</v>
      </c>
      <c r="TF29">
        <f t="shared" si="569"/>
        <v>233197.90900000001</v>
      </c>
      <c r="TG29">
        <f t="shared" si="569"/>
        <v>233342.546</v>
      </c>
      <c r="TH29">
        <f t="shared" si="569"/>
        <v>233581.58300000001</v>
      </c>
      <c r="TI29">
        <f t="shared" si="569"/>
        <v>233688.73699999999</v>
      </c>
      <c r="TJ29">
        <f t="shared" si="569"/>
        <v>233804.481</v>
      </c>
      <c r="TK29">
        <f t="shared" si="569"/>
        <v>233871.59899999999</v>
      </c>
      <c r="TL29">
        <f t="shared" si="569"/>
        <v>233998</v>
      </c>
      <c r="TM29">
        <f t="shared" si="569"/>
        <v>234037.152</v>
      </c>
      <c r="TN29">
        <f t="shared" si="569"/>
        <v>234098.67199999999</v>
      </c>
      <c r="TO29">
        <f t="shared" si="569"/>
        <v>234205.38099999999</v>
      </c>
      <c r="TP29">
        <f t="shared" si="569"/>
        <v>234278.08900000001</v>
      </c>
      <c r="TQ29">
        <f t="shared" si="569"/>
        <v>234369.58199999999</v>
      </c>
      <c r="TR29">
        <f t="shared" si="569"/>
        <v>234507.82500000001</v>
      </c>
      <c r="TS29" s="127">
        <v>0</v>
      </c>
      <c r="TT29">
        <f>TR30</f>
        <v>234702.44899999999</v>
      </c>
      <c r="TU29">
        <f t="shared" ref="TU29:UX29" si="570">TT30</f>
        <v>234802.42199999999</v>
      </c>
      <c r="TV29">
        <f t="shared" si="570"/>
        <v>234929.94099999999</v>
      </c>
      <c r="TW29">
        <f t="shared" si="570"/>
        <v>235026.141</v>
      </c>
      <c r="TX29">
        <f t="shared" si="570"/>
        <v>235139.11600000001</v>
      </c>
      <c r="TY29">
        <f t="shared" si="570"/>
        <v>235216.3</v>
      </c>
      <c r="TZ29">
        <f t="shared" si="570"/>
        <v>235385.64499999999</v>
      </c>
      <c r="UA29">
        <f t="shared" si="570"/>
        <v>235515.33199999999</v>
      </c>
      <c r="UB29">
        <f t="shared" si="570"/>
        <v>235732.34</v>
      </c>
      <c r="UC29">
        <f t="shared" si="570"/>
        <v>235828.98199999999</v>
      </c>
      <c r="UD29">
        <f t="shared" si="570"/>
        <v>236038.67499999999</v>
      </c>
      <c r="UE29">
        <f t="shared" si="570"/>
        <v>236307.57399999999</v>
      </c>
      <c r="UF29">
        <f t="shared" si="570"/>
        <v>236376.79</v>
      </c>
      <c r="UG29">
        <f t="shared" si="570"/>
        <v>236585.29300000001</v>
      </c>
      <c r="UH29">
        <f t="shared" si="570"/>
        <v>236742.88800000001</v>
      </c>
      <c r="UI29">
        <f t="shared" si="570"/>
        <v>236810.23800000001</v>
      </c>
      <c r="UJ29">
        <f t="shared" si="570"/>
        <v>236902.66399999999</v>
      </c>
      <c r="UK29">
        <f t="shared" si="570"/>
        <v>237113.8</v>
      </c>
      <c r="UL29">
        <f t="shared" si="570"/>
        <v>237135.44399999999</v>
      </c>
      <c r="UM29">
        <f t="shared" si="570"/>
        <v>237222.84700000001</v>
      </c>
      <c r="UN29">
        <f t="shared" si="570"/>
        <v>237369.83900000001</v>
      </c>
      <c r="UO29">
        <f t="shared" si="570"/>
        <v>237523.726</v>
      </c>
      <c r="UP29">
        <f t="shared" si="570"/>
        <v>237663.81400000001</v>
      </c>
      <c r="UQ29">
        <f t="shared" si="570"/>
        <v>237900</v>
      </c>
      <c r="UR29">
        <f t="shared" si="570"/>
        <v>238176.46400000001</v>
      </c>
      <c r="US29">
        <f t="shared" si="570"/>
        <v>238370.84599999999</v>
      </c>
      <c r="UT29">
        <f t="shared" si="570"/>
        <v>238458.37</v>
      </c>
      <c r="UU29">
        <f t="shared" si="570"/>
        <v>238589.68299999999</v>
      </c>
      <c r="UV29">
        <f t="shared" si="570"/>
        <v>238683.54300000001</v>
      </c>
      <c r="UW29">
        <f t="shared" si="570"/>
        <v>238683.54300000001</v>
      </c>
      <c r="UX29">
        <f t="shared" si="570"/>
        <v>238772.649</v>
      </c>
      <c r="UY29" s="127">
        <v>0</v>
      </c>
      <c r="UZ29" s="89">
        <f>UX30</f>
        <v>238975.36900000001</v>
      </c>
      <c r="VA29" s="89">
        <f t="shared" ref="VA29:WA29" si="571">UZ30</f>
        <v>239081.37700000001</v>
      </c>
      <c r="VB29" s="89">
        <f t="shared" si="571"/>
        <v>239262.55600000001</v>
      </c>
      <c r="VC29" s="89">
        <f t="shared" si="571"/>
        <v>239525.38399999999</v>
      </c>
      <c r="VD29" s="89">
        <f t="shared" si="571"/>
        <v>239620.21</v>
      </c>
      <c r="VE29" s="89">
        <f t="shared" si="571"/>
        <v>239817.31099999999</v>
      </c>
      <c r="VF29" s="89">
        <f t="shared" si="571"/>
        <v>239927.448</v>
      </c>
      <c r="VG29" s="89">
        <f t="shared" si="571"/>
        <v>240090.46</v>
      </c>
      <c r="VH29" s="89">
        <f t="shared" si="571"/>
        <v>240289.753</v>
      </c>
      <c r="VI29" s="89">
        <f t="shared" si="571"/>
        <v>240348.065</v>
      </c>
      <c r="VJ29" s="89">
        <f t="shared" si="571"/>
        <v>240479.55</v>
      </c>
      <c r="VK29" s="89">
        <f t="shared" si="571"/>
        <v>240597.614</v>
      </c>
      <c r="VL29" s="89">
        <f t="shared" si="571"/>
        <v>240732.76300000001</v>
      </c>
      <c r="VM29" s="89">
        <f t="shared" si="571"/>
        <v>240920.55100000001</v>
      </c>
      <c r="VN29" s="89">
        <f t="shared" si="571"/>
        <v>241099.008</v>
      </c>
      <c r="VO29" s="89">
        <f t="shared" si="571"/>
        <v>241222.682</v>
      </c>
      <c r="VP29" s="89">
        <f t="shared" si="571"/>
        <v>241369.48499999999</v>
      </c>
      <c r="VQ29" s="89">
        <f t="shared" si="571"/>
        <v>241436.51</v>
      </c>
      <c r="VR29" s="89">
        <f t="shared" si="571"/>
        <v>241555.18700000001</v>
      </c>
      <c r="VS29" s="89">
        <f t="shared" si="571"/>
        <v>241642.65</v>
      </c>
      <c r="VT29" s="89">
        <f t="shared" si="571"/>
        <v>241837.94399999999</v>
      </c>
      <c r="VU29" s="89">
        <f t="shared" si="571"/>
        <v>241960.353</v>
      </c>
      <c r="VV29" s="89">
        <f t="shared" si="571"/>
        <v>242111.99100000001</v>
      </c>
      <c r="VW29" s="89">
        <f t="shared" si="571"/>
        <v>242195.06200000001</v>
      </c>
      <c r="VX29" s="89">
        <f t="shared" si="571"/>
        <v>242274.16899999999</v>
      </c>
      <c r="VY29" s="89">
        <f t="shared" si="571"/>
        <v>242439.21900000001</v>
      </c>
      <c r="VZ29" s="89">
        <f t="shared" si="571"/>
        <v>242601.63200000001</v>
      </c>
      <c r="WA29" s="89">
        <f t="shared" si="571"/>
        <v>242702.277</v>
      </c>
      <c r="WB29" s="127">
        <v>0</v>
      </c>
      <c r="WC29" s="89">
        <f>WA30</f>
        <v>242819.193</v>
      </c>
      <c r="WD29" s="89">
        <f t="shared" ref="WD29:XG29" si="572">WC30</f>
        <v>242980.50700000001</v>
      </c>
      <c r="WE29" s="89">
        <f t="shared" si="572"/>
        <v>243078.08100000001</v>
      </c>
      <c r="WF29" s="89">
        <f t="shared" si="572"/>
        <v>243189.717</v>
      </c>
      <c r="WG29" s="89">
        <f t="shared" si="572"/>
        <v>243428.34700000001</v>
      </c>
      <c r="WH29" s="89">
        <f t="shared" si="572"/>
        <v>243501.08300000001</v>
      </c>
      <c r="WI29" s="89">
        <f t="shared" si="572"/>
        <v>243501.08300000001</v>
      </c>
      <c r="WJ29" s="89">
        <f t="shared" si="572"/>
        <v>243622.37299999999</v>
      </c>
      <c r="WK29" s="89">
        <f t="shared" si="572"/>
        <v>243925.54399999999</v>
      </c>
      <c r="WL29" s="89">
        <f t="shared" si="572"/>
        <v>244095.44699999999</v>
      </c>
      <c r="WM29" s="89">
        <f t="shared" si="572"/>
        <v>244209.17499999999</v>
      </c>
      <c r="WN29" s="89">
        <f t="shared" si="572"/>
        <v>244341.908</v>
      </c>
      <c r="WO29" s="89">
        <f t="shared" si="572"/>
        <v>244410.149</v>
      </c>
      <c r="WP29" s="89">
        <f t="shared" si="572"/>
        <v>244501.791</v>
      </c>
      <c r="WQ29" s="89">
        <f t="shared" si="572"/>
        <v>244588.152</v>
      </c>
      <c r="WR29" s="89">
        <f t="shared" si="572"/>
        <v>244691</v>
      </c>
      <c r="WS29" s="89">
        <f t="shared" si="572"/>
        <v>244829.90599999999</v>
      </c>
      <c r="WT29" s="89">
        <f t="shared" si="572"/>
        <v>244931.22200000001</v>
      </c>
      <c r="WU29" s="89">
        <f t="shared" si="572"/>
        <v>244994.95300000001</v>
      </c>
      <c r="WV29" s="89">
        <f t="shared" si="572"/>
        <v>245169.11</v>
      </c>
      <c r="WW29" s="89">
        <f t="shared" si="572"/>
        <v>245247.538</v>
      </c>
      <c r="WX29" s="89">
        <f t="shared" si="572"/>
        <v>245449.652</v>
      </c>
      <c r="WY29" s="89">
        <f t="shared" si="572"/>
        <v>245602.60800000001</v>
      </c>
      <c r="WZ29" s="89">
        <f t="shared" si="572"/>
        <v>245653.81</v>
      </c>
      <c r="XA29" s="89">
        <f t="shared" si="572"/>
        <v>245826.323</v>
      </c>
      <c r="XB29" s="89">
        <f t="shared" si="572"/>
        <v>246018.26199999999</v>
      </c>
      <c r="XC29" s="89">
        <f t="shared" si="572"/>
        <v>246202.96100000001</v>
      </c>
      <c r="XD29" s="89">
        <f t="shared" si="572"/>
        <v>246307.52</v>
      </c>
      <c r="XE29" s="89">
        <f t="shared" si="572"/>
        <v>246412.25700000001</v>
      </c>
      <c r="XF29" s="89">
        <f t="shared" si="572"/>
        <v>246483.71</v>
      </c>
      <c r="XG29" s="89">
        <f t="shared" si="572"/>
        <v>246591.76500000001</v>
      </c>
      <c r="XH29" s="127">
        <v>0</v>
      </c>
      <c r="XI29" s="89">
        <f>XG30</f>
        <v>246751.62700000001</v>
      </c>
      <c r="XJ29" s="89">
        <f t="shared" ref="XJ29:YL29" si="573">XI30</f>
        <v>246860.93299999999</v>
      </c>
      <c r="XK29" s="89">
        <f t="shared" si="573"/>
        <v>246968.761</v>
      </c>
      <c r="XL29" s="89">
        <f t="shared" si="573"/>
        <v>247182.77900000001</v>
      </c>
      <c r="XM29" s="89">
        <f t="shared" si="573"/>
        <v>247338.989</v>
      </c>
      <c r="XN29" s="89">
        <f t="shared" si="573"/>
        <v>247413.052</v>
      </c>
      <c r="XO29" s="89">
        <f t="shared" si="573"/>
        <v>247540.83499999999</v>
      </c>
      <c r="XP29" s="89">
        <f t="shared" si="573"/>
        <v>247703.378</v>
      </c>
      <c r="XQ29" s="89">
        <f t="shared" si="573"/>
        <v>247790.29699999999</v>
      </c>
      <c r="XR29" s="89">
        <f t="shared" si="573"/>
        <v>247887.66899999999</v>
      </c>
      <c r="XS29" s="89">
        <f t="shared" si="573"/>
        <v>247960.64</v>
      </c>
      <c r="XT29" s="89">
        <f t="shared" si="573"/>
        <v>248092.43799999999</v>
      </c>
      <c r="XU29" s="89">
        <f t="shared" si="573"/>
        <v>248184.652</v>
      </c>
      <c r="XV29" s="89">
        <f t="shared" si="573"/>
        <v>248244.549</v>
      </c>
      <c r="XW29" s="89">
        <f t="shared" si="573"/>
        <v>248374.82</v>
      </c>
      <c r="XX29" s="89">
        <f t="shared" si="573"/>
        <v>248478.29</v>
      </c>
      <c r="XY29" s="89">
        <f t="shared" si="573"/>
        <v>248626.57199999999</v>
      </c>
      <c r="XZ29" s="89">
        <f t="shared" si="573"/>
        <v>248735.59400000001</v>
      </c>
      <c r="YA29" s="89">
        <f t="shared" si="573"/>
        <v>248852.092</v>
      </c>
      <c r="YB29" s="89">
        <f t="shared" si="573"/>
        <v>248944.76500000001</v>
      </c>
      <c r="YC29" s="89">
        <f t="shared" si="573"/>
        <v>248957.66500000001</v>
      </c>
      <c r="YD29" s="89">
        <f t="shared" si="573"/>
        <v>249040.45300000001</v>
      </c>
      <c r="YE29" s="89">
        <f t="shared" si="573"/>
        <v>249180.226</v>
      </c>
      <c r="YF29" s="89">
        <f t="shared" si="573"/>
        <v>249383.54300000001</v>
      </c>
      <c r="YG29" s="89">
        <f t="shared" si="573"/>
        <v>249481.386</v>
      </c>
      <c r="YH29" s="89">
        <f t="shared" si="573"/>
        <v>249562.23699999999</v>
      </c>
      <c r="YI29" s="89">
        <f t="shared" si="573"/>
        <v>249793.84400000001</v>
      </c>
      <c r="YJ29" s="89">
        <f t="shared" si="573"/>
        <v>249948.01199999999</v>
      </c>
      <c r="YK29" s="89">
        <f t="shared" si="573"/>
        <v>250076.65700000001</v>
      </c>
      <c r="YL29" s="89">
        <f t="shared" si="573"/>
        <v>250140.95199999999</v>
      </c>
      <c r="YM29" s="127">
        <v>0</v>
      </c>
      <c r="YN29" s="89">
        <f>YL30</f>
        <v>250341.28</v>
      </c>
      <c r="YO29" s="89">
        <f t="shared" ref="YO29:ZR29" si="574">YN30</f>
        <v>250463.21900000001</v>
      </c>
      <c r="YP29" s="89">
        <f t="shared" si="574"/>
        <v>250574.77799999999</v>
      </c>
      <c r="YQ29" s="89">
        <f t="shared" si="574"/>
        <v>250669.17199999999</v>
      </c>
      <c r="YR29" s="89">
        <f t="shared" si="574"/>
        <v>250753.81</v>
      </c>
      <c r="YS29" s="89">
        <f t="shared" si="574"/>
        <v>250886.48699999999</v>
      </c>
      <c r="YT29" s="89">
        <f t="shared" si="574"/>
        <v>251023.03400000001</v>
      </c>
      <c r="YU29" s="89">
        <f t="shared" si="574"/>
        <v>251097.64499999999</v>
      </c>
      <c r="YV29" s="89">
        <f t="shared" si="574"/>
        <v>251111.62</v>
      </c>
      <c r="YW29" s="89">
        <f t="shared" si="574"/>
        <v>251460.75399999999</v>
      </c>
      <c r="YX29" s="89">
        <f t="shared" si="574"/>
        <v>251614.715</v>
      </c>
      <c r="YY29" s="89">
        <f t="shared" si="574"/>
        <v>251797.611</v>
      </c>
      <c r="YZ29" s="89">
        <f t="shared" si="574"/>
        <v>251879.323</v>
      </c>
      <c r="ZA29" s="89">
        <f t="shared" si="574"/>
        <v>251942.886</v>
      </c>
      <c r="ZB29" s="89">
        <f t="shared" si="574"/>
        <v>252068.842</v>
      </c>
      <c r="ZC29" s="89">
        <f t="shared" si="574"/>
        <v>252163.67499999999</v>
      </c>
      <c r="ZD29" s="89">
        <f t="shared" si="574"/>
        <v>252225.39199999999</v>
      </c>
      <c r="ZE29" s="89">
        <f t="shared" si="574"/>
        <v>252387.83900000001</v>
      </c>
      <c r="ZF29" s="89">
        <f t="shared" si="574"/>
        <v>252561.05600000001</v>
      </c>
      <c r="ZG29" s="89">
        <f t="shared" si="574"/>
        <v>252716.31200000001</v>
      </c>
      <c r="ZH29" s="89">
        <f t="shared" si="574"/>
        <v>252804.834</v>
      </c>
      <c r="ZI29" s="89">
        <f t="shared" si="574"/>
        <v>252917.51</v>
      </c>
      <c r="ZJ29" s="89">
        <f t="shared" si="574"/>
        <v>253322.13500000001</v>
      </c>
      <c r="ZK29" s="89">
        <f t="shared" si="574"/>
        <v>253407.07399999999</v>
      </c>
      <c r="ZL29" s="89">
        <f t="shared" si="574"/>
        <v>253678.21100000001</v>
      </c>
      <c r="ZM29" s="89">
        <f t="shared" si="574"/>
        <v>253800.80100000001</v>
      </c>
      <c r="ZN29" s="89">
        <f t="shared" si="574"/>
        <v>253956.26800000001</v>
      </c>
      <c r="ZO29" s="89">
        <f t="shared" si="574"/>
        <v>254047</v>
      </c>
      <c r="ZP29" s="89">
        <f t="shared" si="574"/>
        <v>254136.89499999999</v>
      </c>
      <c r="ZQ29" s="89">
        <f t="shared" si="574"/>
        <v>254239.041</v>
      </c>
      <c r="ZR29" s="89">
        <f t="shared" si="574"/>
        <v>254415.96599999999</v>
      </c>
      <c r="ZS29" s="127">
        <v>0</v>
      </c>
      <c r="ZT29" s="89">
        <f>ZR30</f>
        <v>254533.155</v>
      </c>
      <c r="ZU29" s="89">
        <f t="shared" ref="ZU29:AAW29" si="575">ZT30</f>
        <v>254641.75</v>
      </c>
      <c r="ZV29" s="89">
        <f t="shared" si="575"/>
        <v>254775.93</v>
      </c>
      <c r="ZW29" s="89">
        <f t="shared" si="575"/>
        <v>254889.247</v>
      </c>
      <c r="ZX29" s="89">
        <f t="shared" si="575"/>
        <v>254999.533</v>
      </c>
      <c r="ZY29" s="89">
        <f t="shared" si="575"/>
        <v>255132.85399999999</v>
      </c>
      <c r="ZZ29" s="89">
        <f t="shared" si="575"/>
        <v>255244.67199999999</v>
      </c>
      <c r="AAA29" s="89">
        <f t="shared" si="575"/>
        <v>255354.986</v>
      </c>
      <c r="AAB29" s="89">
        <f t="shared" si="575"/>
        <v>255513.47099999999</v>
      </c>
      <c r="AAC29" s="89">
        <f t="shared" si="575"/>
        <v>255602.516</v>
      </c>
      <c r="AAD29" s="89">
        <f t="shared" si="575"/>
        <v>255762.85800000001</v>
      </c>
      <c r="AAE29" s="89">
        <f t="shared" si="575"/>
        <v>255841.98699999999</v>
      </c>
      <c r="AAF29" s="89">
        <f t="shared" si="575"/>
        <v>255983.052</v>
      </c>
      <c r="AAG29" s="89">
        <f t="shared" si="575"/>
        <v>256073.93700000001</v>
      </c>
      <c r="AAH29" s="89">
        <f t="shared" si="575"/>
        <v>256193.603</v>
      </c>
      <c r="AAI29" s="89">
        <f t="shared" si="575"/>
        <v>256470.50700000001</v>
      </c>
      <c r="AAJ29" s="89">
        <f t="shared" si="575"/>
        <v>256619.51999999999</v>
      </c>
      <c r="AAK29" s="89">
        <f t="shared" si="575"/>
        <v>256680.37100000001</v>
      </c>
      <c r="AAL29" s="89">
        <f t="shared" si="575"/>
        <v>256872.829</v>
      </c>
      <c r="AAM29" s="89">
        <f t="shared" si="575"/>
        <v>257156.99</v>
      </c>
      <c r="AAN29" s="89">
        <f t="shared" si="575"/>
        <v>257203.64499999999</v>
      </c>
      <c r="AAO29" s="89">
        <f t="shared" si="575"/>
        <v>257322.99</v>
      </c>
      <c r="AAP29" s="89">
        <f t="shared" si="575"/>
        <v>257380.40599999999</v>
      </c>
      <c r="AAQ29" s="89">
        <f t="shared" si="575"/>
        <v>257504.48199999999</v>
      </c>
      <c r="AAR29" s="89">
        <f t="shared" si="575"/>
        <v>257665.11799999999</v>
      </c>
      <c r="AAS29" s="89">
        <f t="shared" si="575"/>
        <v>257724.03700000001</v>
      </c>
      <c r="AAT29" s="89">
        <f t="shared" si="575"/>
        <v>257786.394</v>
      </c>
      <c r="AAU29" s="89">
        <f t="shared" si="575"/>
        <v>257901.005</v>
      </c>
      <c r="AAV29" s="89">
        <f t="shared" si="575"/>
        <v>258080.78400000001</v>
      </c>
      <c r="AAW29" s="89">
        <f t="shared" si="575"/>
        <v>258233.64799999999</v>
      </c>
      <c r="AAX29" s="127">
        <v>0</v>
      </c>
      <c r="AAY29" s="89">
        <f>AAW30</f>
        <v>258301.80900000001</v>
      </c>
      <c r="AAZ29" s="89">
        <f t="shared" ref="AAZ29:ACC29" si="576">AAY30</f>
        <v>258393.196</v>
      </c>
      <c r="ABA29" s="89">
        <f t="shared" si="576"/>
        <v>258488.67199999999</v>
      </c>
      <c r="ABB29" s="89">
        <f t="shared" si="576"/>
        <v>258577.02499999999</v>
      </c>
      <c r="ABC29" s="89">
        <f t="shared" si="576"/>
        <v>258773.785</v>
      </c>
      <c r="ABD29" s="89">
        <f t="shared" si="576"/>
        <v>258934.2</v>
      </c>
      <c r="ABE29" s="89">
        <f t="shared" si="576"/>
        <v>259001.18400000001</v>
      </c>
      <c r="ABF29" s="89">
        <f t="shared" si="576"/>
        <v>259137.73</v>
      </c>
      <c r="ABG29" s="89">
        <f t="shared" si="576"/>
        <v>259326.11300000001</v>
      </c>
      <c r="ABH29" s="89">
        <f t="shared" si="576"/>
        <v>259414.921</v>
      </c>
      <c r="ABI29" s="89">
        <f t="shared" si="576"/>
        <v>259483.946</v>
      </c>
      <c r="ABJ29" s="89">
        <f t="shared" si="576"/>
        <v>259701.894</v>
      </c>
      <c r="ABK29" s="89">
        <f t="shared" si="576"/>
        <v>259844.88699999999</v>
      </c>
      <c r="ABL29" s="89">
        <f t="shared" si="576"/>
        <v>259950.90100000001</v>
      </c>
      <c r="ABM29" s="89">
        <f t="shared" si="576"/>
        <v>260131.535</v>
      </c>
      <c r="ABN29" s="89">
        <f t="shared" si="576"/>
        <v>260192.82</v>
      </c>
      <c r="ABO29" s="89">
        <f t="shared" si="576"/>
        <v>260383.992</v>
      </c>
      <c r="ABP29" s="89">
        <f t="shared" si="576"/>
        <v>260521.93599999999</v>
      </c>
      <c r="ABQ29" s="89">
        <f t="shared" si="576"/>
        <v>260641.71599999999</v>
      </c>
      <c r="ABR29" s="89">
        <f t="shared" si="576"/>
        <v>260641.71599999999</v>
      </c>
      <c r="ABS29" s="89">
        <f t="shared" si="576"/>
        <v>260682.57399999999</v>
      </c>
      <c r="ABT29" s="89">
        <f t="shared" si="576"/>
        <v>260742.78200000001</v>
      </c>
      <c r="ABU29" s="89">
        <f t="shared" si="576"/>
        <v>260859.09</v>
      </c>
      <c r="ABV29" s="89">
        <f t="shared" si="576"/>
        <v>260936.12299999999</v>
      </c>
      <c r="ABW29" s="89">
        <f t="shared" si="576"/>
        <v>261022.14</v>
      </c>
      <c r="ABX29" s="89">
        <f t="shared" si="576"/>
        <v>261151.698</v>
      </c>
      <c r="ABY29" s="89">
        <f t="shared" si="576"/>
        <v>261230.18299999999</v>
      </c>
      <c r="ABZ29" s="89">
        <f t="shared" si="576"/>
        <v>261274.264</v>
      </c>
      <c r="ACA29" s="89">
        <f t="shared" si="576"/>
        <v>261411.23199999999</v>
      </c>
      <c r="ACB29" s="89">
        <f t="shared" si="576"/>
        <v>261511.649</v>
      </c>
      <c r="ACC29" s="89">
        <f t="shared" si="576"/>
        <v>261680.23699999999</v>
      </c>
      <c r="ACD29" s="127">
        <v>0</v>
      </c>
      <c r="ACE29" s="89">
        <f>ACC30</f>
        <v>261832.27</v>
      </c>
      <c r="ACF29" s="89">
        <f t="shared" ref="ACF29:ADI29" si="577">ACE30</f>
        <v>261949.41200000001</v>
      </c>
      <c r="ACG29" s="89">
        <f t="shared" si="577"/>
        <v>262055.424</v>
      </c>
      <c r="ACH29" s="89">
        <f t="shared" si="577"/>
        <v>262160.79100000003</v>
      </c>
      <c r="ACI29" s="89">
        <f t="shared" si="577"/>
        <v>262279.05099999998</v>
      </c>
      <c r="ACJ29" s="89">
        <f t="shared" si="577"/>
        <v>262393.66700000002</v>
      </c>
      <c r="ACK29" s="89">
        <f t="shared" si="577"/>
        <v>262521.636</v>
      </c>
      <c r="ACL29" s="89">
        <f t="shared" si="577"/>
        <v>262648.71999999997</v>
      </c>
      <c r="ACM29" s="89">
        <f t="shared" si="577"/>
        <v>262842.49699999997</v>
      </c>
      <c r="ACN29" s="89">
        <f t="shared" si="577"/>
        <v>262969.36800000002</v>
      </c>
      <c r="ACO29" s="89">
        <f t="shared" si="577"/>
        <v>263030.65299999999</v>
      </c>
      <c r="ACP29" s="89">
        <f t="shared" si="577"/>
        <v>263156.02100000001</v>
      </c>
      <c r="ACQ29" s="89">
        <f t="shared" si="577"/>
        <v>263245.20299999998</v>
      </c>
      <c r="ACR29" s="89">
        <f t="shared" si="577"/>
        <v>263291.43599999999</v>
      </c>
      <c r="ACS29" s="89">
        <f t="shared" si="577"/>
        <v>263451.21000000002</v>
      </c>
      <c r="ACT29" s="89">
        <f t="shared" si="577"/>
        <v>263494.64799999999</v>
      </c>
      <c r="ACU29" s="89">
        <f t="shared" si="577"/>
        <v>263646.24900000001</v>
      </c>
      <c r="ACV29" s="89">
        <f t="shared" si="577"/>
        <v>263794.63400000002</v>
      </c>
      <c r="ACW29" s="89">
        <f t="shared" si="577"/>
        <v>263943.228</v>
      </c>
      <c r="ACX29" s="89">
        <f t="shared" si="577"/>
        <v>264022.14600000001</v>
      </c>
      <c r="ACY29" s="89">
        <f t="shared" si="577"/>
        <v>264106.00900000002</v>
      </c>
      <c r="ACZ29" s="89">
        <f t="shared" si="577"/>
        <v>264191.15999999997</v>
      </c>
      <c r="ADA29" s="89">
        <f t="shared" si="577"/>
        <v>264299.76</v>
      </c>
      <c r="ADB29" s="89">
        <f t="shared" si="577"/>
        <v>264418.89</v>
      </c>
      <c r="ADC29" s="89">
        <f t="shared" si="577"/>
        <v>264494.424</v>
      </c>
      <c r="ADD29" s="89">
        <f t="shared" si="577"/>
        <v>264638.28700000001</v>
      </c>
      <c r="ADE29" s="89">
        <f t="shared" si="577"/>
        <v>264692.04300000001</v>
      </c>
      <c r="ADF29" s="89">
        <f t="shared" si="577"/>
        <v>264797.201</v>
      </c>
      <c r="ADG29" s="89">
        <f t="shared" si="577"/>
        <v>264926.24200000003</v>
      </c>
      <c r="ADH29" s="89">
        <f t="shared" si="577"/>
        <v>265012.25300000003</v>
      </c>
      <c r="ADI29" s="89">
        <f t="shared" si="577"/>
        <v>265073.53899999999</v>
      </c>
      <c r="ADJ29" s="127">
        <v>0</v>
      </c>
      <c r="ADK29" s="89">
        <f>ADI30</f>
        <v>265135.89500000002</v>
      </c>
      <c r="ADL29" s="89">
        <f t="shared" ref="ADL29:AEN29" si="578">ADK30</f>
        <v>265230.51400000002</v>
      </c>
      <c r="ADM29" s="89">
        <f t="shared" si="578"/>
        <v>265302.54499999998</v>
      </c>
      <c r="ADN29" s="89">
        <f t="shared" si="578"/>
        <v>265396.73300000001</v>
      </c>
      <c r="ADO29" s="89">
        <f t="shared" si="578"/>
        <v>265501.66600000003</v>
      </c>
      <c r="ADP29" s="89">
        <f t="shared" si="578"/>
        <v>265617.78499999997</v>
      </c>
      <c r="ADQ29" s="89">
        <f t="shared" si="578"/>
        <v>265764.09299999999</v>
      </c>
      <c r="ADR29" s="89">
        <f t="shared" si="578"/>
        <v>265850.109</v>
      </c>
      <c r="ADS29" s="89">
        <f t="shared" si="578"/>
        <v>265907.09000000003</v>
      </c>
      <c r="ADT29" s="89">
        <f t="shared" si="578"/>
        <v>265995.45</v>
      </c>
      <c r="ADU29" s="89">
        <f t="shared" si="578"/>
        <v>266084.902</v>
      </c>
      <c r="ADV29" s="89">
        <f t="shared" si="578"/>
        <v>266184.891</v>
      </c>
      <c r="ADW29" s="89">
        <f t="shared" si="578"/>
        <v>266258.64600000001</v>
      </c>
      <c r="ADX29" s="89">
        <f t="shared" si="578"/>
        <v>266357.56400000001</v>
      </c>
      <c r="ADY29" s="89">
        <f t="shared" si="578"/>
        <v>266423.74200000003</v>
      </c>
      <c r="ADZ29" s="89">
        <f t="shared" si="578"/>
        <v>266551.14799999999</v>
      </c>
      <c r="AEA29" s="89">
        <f t="shared" si="578"/>
        <v>266660.16600000003</v>
      </c>
      <c r="AEB29" s="89">
        <f t="shared" si="578"/>
        <v>266740.15600000002</v>
      </c>
      <c r="AEC29" s="89">
        <f t="shared" si="578"/>
        <v>266833.96399999998</v>
      </c>
      <c r="AED29" s="89">
        <f t="shared" si="578"/>
        <v>266918.255</v>
      </c>
      <c r="AEE29" s="89">
        <f t="shared" si="578"/>
        <v>267033.60700000002</v>
      </c>
      <c r="AEF29" s="89">
        <f t="shared" si="578"/>
        <v>267229.342</v>
      </c>
      <c r="AEG29" s="89">
        <f t="shared" si="578"/>
        <v>267373.62599999999</v>
      </c>
      <c r="AEH29" s="89">
        <f t="shared" si="578"/>
        <v>267548.66499999998</v>
      </c>
      <c r="AEI29" s="89">
        <f t="shared" si="578"/>
        <v>267614.24800000002</v>
      </c>
      <c r="AEJ29" s="89">
        <f t="shared" si="578"/>
        <v>267684.65000000002</v>
      </c>
      <c r="AEK29" s="89">
        <f t="shared" si="578"/>
        <v>267776.04300000001</v>
      </c>
      <c r="AEL29" s="89">
        <f t="shared" si="578"/>
        <v>267909.87900000002</v>
      </c>
      <c r="AEM29" s="89">
        <f t="shared" si="578"/>
        <v>267978.68900000001</v>
      </c>
      <c r="AEN29" s="89">
        <f t="shared" si="578"/>
        <v>268030.29499999998</v>
      </c>
      <c r="AEO29" s="127">
        <v>0</v>
      </c>
      <c r="AEP29" s="89">
        <f>AEN30</f>
        <v>268269.72200000001</v>
      </c>
      <c r="AEQ29" s="89">
        <f t="shared" ref="AEQ29:AFT29" si="579">AEP30</f>
        <v>268367.56300000002</v>
      </c>
      <c r="AER29" s="89">
        <f t="shared" si="579"/>
        <v>268468.63099999999</v>
      </c>
      <c r="AES29" s="89">
        <f t="shared" si="579"/>
        <v>268557.37</v>
      </c>
      <c r="AET29" s="89">
        <f t="shared" si="579"/>
        <v>268622.52299999999</v>
      </c>
      <c r="AEU29" s="89">
        <f t="shared" si="579"/>
        <v>268704.08299999998</v>
      </c>
      <c r="AEV29" s="89">
        <f t="shared" si="579"/>
        <v>268916.75599999999</v>
      </c>
      <c r="AEW29" s="89">
        <f t="shared" si="579"/>
        <v>269015.57900000003</v>
      </c>
      <c r="AEX29" s="89">
        <f t="shared" si="579"/>
        <v>269146.25099999999</v>
      </c>
      <c r="AEY29" s="89">
        <f t="shared" si="579"/>
        <v>269242.03000000003</v>
      </c>
      <c r="AEZ29" s="89">
        <f t="shared" si="579"/>
        <v>269291.92</v>
      </c>
      <c r="AFA29" s="89">
        <f t="shared" si="579"/>
        <v>269342.02299999999</v>
      </c>
      <c r="AFB29" s="89">
        <f t="shared" si="579"/>
        <v>269433.34100000001</v>
      </c>
      <c r="AFC29" s="89">
        <f t="shared" si="579"/>
        <v>269512.17</v>
      </c>
      <c r="AFD29" s="89">
        <f t="shared" si="579"/>
        <v>269617.96999999997</v>
      </c>
      <c r="AFE29" s="89">
        <f t="shared" si="579"/>
        <v>269762.04499999998</v>
      </c>
      <c r="AFF29" s="89">
        <f t="shared" si="579"/>
        <v>269849.77500000002</v>
      </c>
      <c r="AFG29" s="89">
        <f t="shared" si="579"/>
        <v>270020.62099999998</v>
      </c>
      <c r="AFH29" s="89">
        <f t="shared" si="579"/>
        <v>270209.44199999998</v>
      </c>
      <c r="AFI29" s="89">
        <f t="shared" si="579"/>
        <v>270262.98100000003</v>
      </c>
      <c r="AFJ29" s="89">
        <f t="shared" si="579"/>
        <v>270453.52899999998</v>
      </c>
      <c r="AFK29" s="89">
        <f t="shared" si="579"/>
        <v>270580.82799999998</v>
      </c>
      <c r="AFL29" s="89">
        <f t="shared" si="579"/>
        <v>270673.51299999998</v>
      </c>
      <c r="AFM29" s="89">
        <f t="shared" si="579"/>
        <v>270749.41800000001</v>
      </c>
      <c r="AFN29" s="89">
        <f t="shared" si="579"/>
        <v>270828.76500000001</v>
      </c>
      <c r="AFO29" s="89">
        <f t="shared" si="579"/>
        <v>270833.065</v>
      </c>
      <c r="AFP29" s="89">
        <f t="shared" si="579"/>
        <v>270927.24800000002</v>
      </c>
      <c r="AFQ29" s="89">
        <f t="shared" si="579"/>
        <v>271014.663</v>
      </c>
      <c r="AFR29" s="89">
        <f t="shared" si="579"/>
        <v>271092.288</v>
      </c>
      <c r="AFS29" s="89">
        <f t="shared" si="579"/>
        <v>271155.66700000002</v>
      </c>
      <c r="AFT29" s="89">
        <f t="shared" si="579"/>
        <v>271229.853</v>
      </c>
      <c r="AFU29" s="127">
        <v>0</v>
      </c>
      <c r="AFV29" s="89">
        <f>AFT30</f>
        <v>271264.25699999998</v>
      </c>
      <c r="AFW29" s="89">
        <f t="shared" ref="AFW29:AGY29" si="580">AFV30</f>
        <v>271385.81900000002</v>
      </c>
      <c r="AFX29" s="89">
        <f t="shared" si="580"/>
        <v>271453.55099999998</v>
      </c>
      <c r="AFY29" s="89">
        <f t="shared" si="580"/>
        <v>271523.54300000001</v>
      </c>
      <c r="AFZ29" s="89">
        <f t="shared" si="580"/>
        <v>271585.47399999999</v>
      </c>
      <c r="AGA29" s="89">
        <f t="shared" si="580"/>
        <v>271659.66100000002</v>
      </c>
      <c r="AGB29" s="89">
        <f t="shared" si="580"/>
        <v>271781.48100000003</v>
      </c>
      <c r="AGC29" s="89">
        <f t="shared" si="580"/>
        <v>271890.614</v>
      </c>
      <c r="AGD29" s="89">
        <f t="shared" si="580"/>
        <v>271980.50099999999</v>
      </c>
      <c r="AGE29" s="89">
        <f t="shared" si="580"/>
        <v>272015.33500000002</v>
      </c>
      <c r="AGF29" s="89">
        <f t="shared" si="580"/>
        <v>272145.59000000003</v>
      </c>
      <c r="AGG29" s="89">
        <f t="shared" si="580"/>
        <v>272217.41100000002</v>
      </c>
      <c r="AGH29" s="89">
        <f t="shared" si="580"/>
        <v>272337.83299999998</v>
      </c>
      <c r="AGI29" s="89">
        <f t="shared" si="580"/>
        <v>272463.63299999997</v>
      </c>
      <c r="AGJ29" s="89">
        <f t="shared" si="580"/>
        <v>272520.61700000003</v>
      </c>
      <c r="AGK29" s="89">
        <f t="shared" si="580"/>
        <v>272594.59000000003</v>
      </c>
      <c r="AGL29" s="89">
        <f t="shared" si="580"/>
        <v>272658.02299999999</v>
      </c>
      <c r="AGM29" s="89">
        <f t="shared" si="580"/>
        <v>272707.47700000001</v>
      </c>
      <c r="AGN29" s="89">
        <f t="shared" si="580"/>
        <v>272804.02399999998</v>
      </c>
      <c r="AGO29" s="89">
        <f t="shared" si="580"/>
        <v>272897.56300000002</v>
      </c>
      <c r="AGP29" s="89">
        <f t="shared" si="580"/>
        <v>272998.41600000003</v>
      </c>
      <c r="AGQ29" s="89">
        <f t="shared" si="580"/>
        <v>273045.01899999997</v>
      </c>
      <c r="AGR29" s="89">
        <f t="shared" si="580"/>
        <v>273160.20600000001</v>
      </c>
      <c r="AGS29" s="89">
        <f t="shared" si="580"/>
        <v>273276.815</v>
      </c>
      <c r="AGT29" s="89">
        <f t="shared" si="580"/>
        <v>273310.22899999999</v>
      </c>
      <c r="AGU29" s="89">
        <f t="shared" si="580"/>
        <v>273371.78100000002</v>
      </c>
      <c r="AGV29" s="89">
        <f t="shared" si="580"/>
        <v>273500.91399999999</v>
      </c>
      <c r="AGW29" s="89">
        <f t="shared" si="580"/>
        <v>273566.609</v>
      </c>
      <c r="AGX29" s="89">
        <f t="shared" si="580"/>
        <v>273729.08500000002</v>
      </c>
      <c r="AGY29" s="89">
        <f t="shared" si="580"/>
        <v>273811.511</v>
      </c>
      <c r="AGZ29" s="127">
        <v>0</v>
      </c>
      <c r="AHA29" s="89">
        <f>AGY30</f>
        <v>273868.66399999999</v>
      </c>
      <c r="AHB29" s="89">
        <f t="shared" ref="AHB29:AIE29" si="581">AHA30</f>
        <v>274050.01699999999</v>
      </c>
      <c r="AHC29" s="89">
        <f t="shared" si="581"/>
        <v>274167.62199999997</v>
      </c>
      <c r="AHD29" s="89">
        <f t="shared" si="581"/>
        <v>274235.761</v>
      </c>
      <c r="AHE29" s="89">
        <f t="shared" si="581"/>
        <v>274308.55200000003</v>
      </c>
      <c r="AHF29" s="89">
        <f t="shared" si="581"/>
        <v>274509.01899999997</v>
      </c>
      <c r="AHG29" s="89">
        <f t="shared" si="581"/>
        <v>274620.92</v>
      </c>
      <c r="AHH29" s="89">
        <f t="shared" si="581"/>
        <v>274781.50599999999</v>
      </c>
      <c r="AHI29" s="89">
        <f t="shared" si="581"/>
        <v>274891.761</v>
      </c>
      <c r="AHJ29" s="89">
        <f t="shared" si="581"/>
        <v>274954.73300000001</v>
      </c>
      <c r="AHK29" s="89">
        <f t="shared" si="581"/>
        <v>275003.10499999998</v>
      </c>
      <c r="AHL29" s="89">
        <f t="shared" si="581"/>
        <v>275048.86900000001</v>
      </c>
      <c r="AHM29" s="89">
        <f t="shared" si="581"/>
        <v>275124.038</v>
      </c>
      <c r="AHN29" s="89">
        <f t="shared" si="581"/>
        <v>275279.84000000003</v>
      </c>
      <c r="AHO29" s="89">
        <f t="shared" si="581"/>
        <v>275346.29599999997</v>
      </c>
      <c r="AHP29" s="89">
        <f t="shared" si="581"/>
        <v>275494.15700000001</v>
      </c>
      <c r="AHQ29" s="89">
        <f t="shared" si="581"/>
        <v>275586.61200000002</v>
      </c>
      <c r="AHR29" s="89">
        <f t="shared" si="581"/>
        <v>275661.34899999999</v>
      </c>
      <c r="AHS29" s="89">
        <f t="shared" si="581"/>
        <v>275764.19699999999</v>
      </c>
      <c r="AHT29" s="89">
        <f t="shared" si="581"/>
        <v>275871.12400000001</v>
      </c>
      <c r="AHU29" s="89">
        <f t="shared" si="581"/>
        <v>275912.52399999998</v>
      </c>
      <c r="AHV29" s="89">
        <f t="shared" si="581"/>
        <v>275975.24599999998</v>
      </c>
      <c r="AHW29" s="89">
        <f t="shared" si="581"/>
        <v>276117.99599999998</v>
      </c>
      <c r="AHX29" s="89">
        <f t="shared" si="581"/>
        <v>276231.46999999997</v>
      </c>
      <c r="AHY29" s="89">
        <f t="shared" si="581"/>
        <v>276261.97600000002</v>
      </c>
      <c r="AHZ29" s="89">
        <f t="shared" si="581"/>
        <v>276304.68300000002</v>
      </c>
      <c r="AIA29" s="89">
        <f t="shared" si="581"/>
        <v>276392.505</v>
      </c>
      <c r="AIB29" s="89">
        <f t="shared" si="581"/>
        <v>276443.05</v>
      </c>
      <c r="AIC29" s="89">
        <f t="shared" si="581"/>
        <v>276517.78600000002</v>
      </c>
      <c r="AID29" s="89">
        <f t="shared" si="581"/>
        <v>276559.179</v>
      </c>
      <c r="AIE29" s="89">
        <f t="shared" si="581"/>
        <v>276628.41899999999</v>
      </c>
      <c r="AIF29" s="127">
        <v>0</v>
      </c>
      <c r="AIG29" s="89">
        <f>AIE30</f>
        <v>276677.44199999998</v>
      </c>
      <c r="AIH29" s="89">
        <f t="shared" ref="AIH29:AJK29" si="582">AIG30</f>
        <v>276758.06400000001</v>
      </c>
      <c r="AII29" s="89">
        <f t="shared" si="582"/>
        <v>276849.58600000001</v>
      </c>
      <c r="AIJ29" s="89">
        <f t="shared" si="582"/>
        <v>276926.49699999997</v>
      </c>
      <c r="AIK29" s="89">
        <f t="shared" si="582"/>
        <v>276980.26500000001</v>
      </c>
      <c r="AIL29" s="89">
        <f t="shared" si="582"/>
        <v>277027.114</v>
      </c>
      <c r="AIM29" s="89">
        <f t="shared" si="582"/>
        <v>277131.005</v>
      </c>
      <c r="AIN29" s="89">
        <f t="shared" si="582"/>
        <v>277226.81699999998</v>
      </c>
      <c r="AIO29" s="89">
        <f t="shared" si="582"/>
        <v>277320.42700000003</v>
      </c>
      <c r="AIP29" s="89">
        <f t="shared" si="582"/>
        <v>277434.82</v>
      </c>
      <c r="AIQ29" s="89">
        <f t="shared" si="582"/>
        <v>277511.739</v>
      </c>
      <c r="AIR29" s="89">
        <f t="shared" si="582"/>
        <v>277583.7</v>
      </c>
      <c r="AIS29" s="89">
        <f t="shared" si="582"/>
        <v>277661.28200000001</v>
      </c>
      <c r="AIT29" s="89">
        <f t="shared" si="582"/>
        <v>277747.01299999998</v>
      </c>
      <c r="AIU29" s="89">
        <f t="shared" si="582"/>
        <v>277837.89899999998</v>
      </c>
      <c r="AIV29" s="89">
        <f t="shared" si="582"/>
        <v>277866.16700000002</v>
      </c>
      <c r="AIW29" s="89">
        <f t="shared" si="582"/>
        <v>277900.74</v>
      </c>
      <c r="AIX29" s="89">
        <f t="shared" si="582"/>
        <v>277915.95899999997</v>
      </c>
      <c r="AIY29" s="89">
        <f t="shared" si="582"/>
        <v>277983.36499999999</v>
      </c>
      <c r="AIZ29" s="89">
        <f t="shared" si="582"/>
        <v>278071.42300000001</v>
      </c>
      <c r="AJA29" s="89">
        <f t="shared" si="582"/>
        <v>278152.516</v>
      </c>
      <c r="AJB29" s="89">
        <f t="shared" si="582"/>
        <v>278246.005</v>
      </c>
      <c r="AJC29" s="89">
        <f t="shared" si="582"/>
        <v>278368.85499999998</v>
      </c>
      <c r="AJD29" s="89">
        <f t="shared" si="582"/>
        <v>278516.70699999999</v>
      </c>
      <c r="AJE29" s="89">
        <f t="shared" si="582"/>
        <v>278668.89799999999</v>
      </c>
      <c r="AJF29" s="89">
        <f t="shared" si="582"/>
        <v>278707.59499999997</v>
      </c>
      <c r="AJG29" s="89">
        <f t="shared" si="582"/>
        <v>278846.26500000001</v>
      </c>
      <c r="AJH29" s="89">
        <f t="shared" si="582"/>
        <v>278891.92499999999</v>
      </c>
      <c r="AJI29" s="89">
        <f t="shared" si="582"/>
        <v>278943.88299999997</v>
      </c>
      <c r="AJJ29" s="89">
        <f t="shared" si="582"/>
        <v>279038.46000000002</v>
      </c>
      <c r="AJK29" s="89">
        <f t="shared" si="582"/>
        <v>279145.85800000001</v>
      </c>
      <c r="AJL29" s="127">
        <v>0</v>
      </c>
      <c r="AJM29" s="89">
        <f>AJK30</f>
        <v>279231.74</v>
      </c>
      <c r="AJN29" s="89">
        <f t="shared" ref="AJN29:AKN29" si="583">AJM30</f>
        <v>279287.18599999999</v>
      </c>
      <c r="AJO29" s="89">
        <f t="shared" si="583"/>
        <v>279378.93900000001</v>
      </c>
      <c r="AJP29" s="89">
        <f t="shared" si="583"/>
        <v>279478.94400000002</v>
      </c>
      <c r="AJQ29" s="89">
        <f t="shared" si="583"/>
        <v>279594.41399999999</v>
      </c>
      <c r="AJR29" s="89">
        <f t="shared" si="583"/>
        <v>279716.821</v>
      </c>
      <c r="AJS29" s="89">
        <f t="shared" si="583"/>
        <v>279800.08199999999</v>
      </c>
      <c r="AJT29" s="89">
        <f t="shared" si="583"/>
        <v>279887.70400000003</v>
      </c>
      <c r="AJU29" s="89">
        <f t="shared" si="583"/>
        <v>279954.01899999997</v>
      </c>
      <c r="AJV29" s="89">
        <f t="shared" si="583"/>
        <v>280109.31</v>
      </c>
      <c r="AJW29" s="89">
        <f t="shared" si="583"/>
        <v>280206.489</v>
      </c>
      <c r="AJX29" s="89">
        <f t="shared" si="583"/>
        <v>280342.37099999998</v>
      </c>
      <c r="AJY29" s="89">
        <f t="shared" si="583"/>
        <v>280552.77100000001</v>
      </c>
      <c r="AJZ29" s="89">
        <f t="shared" si="583"/>
        <v>280639.96899999998</v>
      </c>
      <c r="AKA29" s="89">
        <f t="shared" si="583"/>
        <v>280678.88799999998</v>
      </c>
      <c r="AKB29" s="89">
        <f t="shared" si="583"/>
        <v>280792.38299999997</v>
      </c>
      <c r="AKC29" s="89">
        <f t="shared" si="583"/>
        <v>280880.21999999997</v>
      </c>
      <c r="AKD29" s="89">
        <f t="shared" si="583"/>
        <v>280995.75900000002</v>
      </c>
      <c r="AKE29" s="89">
        <f t="shared" si="583"/>
        <v>281106.64199999999</v>
      </c>
      <c r="AKF29" s="89">
        <f t="shared" si="583"/>
        <v>281266.41200000001</v>
      </c>
      <c r="AKG29" s="89">
        <f t="shared" si="583"/>
        <v>281360.09700000001</v>
      </c>
      <c r="AKH29" s="89">
        <f t="shared" si="583"/>
        <v>281519.69099999999</v>
      </c>
      <c r="AKI29" s="89">
        <f t="shared" si="583"/>
        <v>281559.91600000003</v>
      </c>
      <c r="AKJ29" s="89">
        <f t="shared" si="583"/>
        <v>281656.66800000001</v>
      </c>
      <c r="AKK29" s="89">
        <f t="shared" si="583"/>
        <v>281744.50199999998</v>
      </c>
      <c r="AKL29" s="89">
        <f t="shared" si="583"/>
        <v>281865.174</v>
      </c>
      <c r="AKM29" s="89">
        <f t="shared" si="583"/>
        <v>281959.31800000003</v>
      </c>
      <c r="AKN29" s="89">
        <f t="shared" si="583"/>
        <v>282087.60600000003</v>
      </c>
      <c r="AKO29" s="127">
        <v>0</v>
      </c>
      <c r="AKP29" s="89">
        <f>AKN30</f>
        <v>282143.70199999999</v>
      </c>
      <c r="AKQ29" s="89">
        <f t="shared" ref="AKQ29:ALT29" si="584">AKP30</f>
        <v>282270.908</v>
      </c>
      <c r="AKR29" s="89">
        <f t="shared" si="584"/>
        <v>282384.179</v>
      </c>
      <c r="AKS29" s="89">
        <f t="shared" si="584"/>
        <v>282492.02100000001</v>
      </c>
      <c r="AKT29" s="89">
        <f t="shared" si="584"/>
        <v>282545.94199999998</v>
      </c>
      <c r="AKU29" s="89">
        <f t="shared" si="584"/>
        <v>282674.43900000001</v>
      </c>
      <c r="AKV29" s="89">
        <f t="shared" si="584"/>
        <v>282735.09600000002</v>
      </c>
      <c r="AKW29" s="89">
        <f t="shared" si="584"/>
        <v>282838.36499999999</v>
      </c>
      <c r="AKX29" s="89">
        <f t="shared" si="584"/>
        <v>282964.04300000001</v>
      </c>
      <c r="AKY29" s="89">
        <f t="shared" si="584"/>
        <v>283142.75900000002</v>
      </c>
      <c r="AKZ29" s="89">
        <f t="shared" si="584"/>
        <v>283241.33799999999</v>
      </c>
      <c r="ALA29" s="89">
        <f t="shared" si="584"/>
        <v>283357.48700000002</v>
      </c>
      <c r="ALB29" s="89">
        <f t="shared" si="584"/>
        <v>283434.92300000001</v>
      </c>
      <c r="ALC29" s="89">
        <f t="shared" si="584"/>
        <v>283528.054</v>
      </c>
      <c r="ALD29" s="89">
        <f t="shared" si="584"/>
        <v>283618.11099999998</v>
      </c>
      <c r="ALE29" s="89">
        <f t="shared" si="584"/>
        <v>283814.08799999999</v>
      </c>
      <c r="ALF29" s="89">
        <f t="shared" si="584"/>
        <v>284031.24300000002</v>
      </c>
      <c r="ALG29" s="89">
        <f t="shared" si="584"/>
        <v>284114.85100000002</v>
      </c>
      <c r="ALH29" s="89">
        <f t="shared" si="584"/>
        <v>284212.51500000001</v>
      </c>
      <c r="ALI29" s="89">
        <f t="shared" si="584"/>
        <v>284307.20799999998</v>
      </c>
      <c r="ALJ29" s="89">
        <f t="shared" si="584"/>
        <v>284444.891</v>
      </c>
      <c r="ALK29" s="89">
        <f t="shared" si="584"/>
        <v>284522.87</v>
      </c>
      <c r="ALL29" s="89">
        <f t="shared" si="584"/>
        <v>284743.13799999998</v>
      </c>
      <c r="ALM29" s="89">
        <f t="shared" si="584"/>
        <v>284850.658</v>
      </c>
      <c r="ALN29" s="89">
        <f t="shared" si="584"/>
        <v>284982.45799999998</v>
      </c>
      <c r="ALO29" s="89">
        <f t="shared" si="584"/>
        <v>285181.05800000002</v>
      </c>
      <c r="ALP29" s="89">
        <f t="shared" si="584"/>
        <v>285289.59999999998</v>
      </c>
      <c r="ALQ29" s="89">
        <f t="shared" si="584"/>
        <v>285410.2</v>
      </c>
      <c r="ALR29" s="89">
        <f t="shared" si="584"/>
        <v>285505.8</v>
      </c>
      <c r="ALS29" s="89">
        <f t="shared" si="584"/>
        <v>285705.02500000002</v>
      </c>
      <c r="ALT29" s="89">
        <f t="shared" si="584"/>
        <v>285896.42499999999</v>
      </c>
      <c r="ALU29" s="127">
        <v>0</v>
      </c>
      <c r="ALV29" s="89">
        <f>ALT30</f>
        <v>285962.38199999998</v>
      </c>
      <c r="ALW29" s="89">
        <f t="shared" ref="ALW29:AMY29" si="585">ALV30</f>
        <v>286026.25199999998</v>
      </c>
      <c r="ALX29" s="89">
        <f t="shared" si="585"/>
        <v>286125.766</v>
      </c>
      <c r="ALY29" s="89">
        <f t="shared" si="585"/>
        <v>286252.076</v>
      </c>
      <c r="ALZ29" s="89">
        <f t="shared" si="585"/>
        <v>286396.76199999999</v>
      </c>
      <c r="AMA29" s="89">
        <f t="shared" si="585"/>
        <v>286434.62900000002</v>
      </c>
      <c r="AMB29" s="89">
        <f t="shared" si="585"/>
        <v>286519.69099999999</v>
      </c>
      <c r="AMC29" s="89">
        <f t="shared" si="585"/>
        <v>286619.75199999998</v>
      </c>
      <c r="AMD29" s="89">
        <f t="shared" si="585"/>
        <v>286787.16399999999</v>
      </c>
      <c r="AME29" s="89">
        <f t="shared" si="585"/>
        <v>286903.10800000001</v>
      </c>
      <c r="AMF29" s="89">
        <f t="shared" si="585"/>
        <v>287043.63900000002</v>
      </c>
      <c r="AMG29" s="89">
        <f t="shared" si="585"/>
        <v>287134.11800000002</v>
      </c>
      <c r="AMH29" s="89">
        <f t="shared" si="585"/>
        <v>287190.64199999999</v>
      </c>
      <c r="AMI29" s="89">
        <f t="shared" si="585"/>
        <v>287260.94300000003</v>
      </c>
      <c r="AMJ29" s="89">
        <f t="shared" si="585"/>
        <v>287404.04499999998</v>
      </c>
      <c r="AMK29" s="89">
        <f t="shared" si="585"/>
        <v>287499.63199999998</v>
      </c>
      <c r="AML29" s="89">
        <f t="shared" si="585"/>
        <v>287610.22100000002</v>
      </c>
      <c r="AMM29" s="89">
        <f t="shared" si="585"/>
        <v>287783.13699999999</v>
      </c>
      <c r="AMN29" s="89">
        <f t="shared" si="585"/>
        <v>287933.05200000003</v>
      </c>
      <c r="AMO29" s="89">
        <f t="shared" si="585"/>
        <v>288078.728</v>
      </c>
      <c r="AMP29" s="89">
        <f t="shared" si="585"/>
        <v>288230.73599999998</v>
      </c>
      <c r="AMQ29" s="89">
        <f t="shared" si="585"/>
        <v>288280.07199999999</v>
      </c>
      <c r="AMR29" s="89">
        <f t="shared" si="585"/>
        <v>288396.84399999998</v>
      </c>
      <c r="AMS29" s="89">
        <f t="shared" si="585"/>
        <v>288595.22899999999</v>
      </c>
      <c r="AMT29" s="89">
        <f t="shared" si="585"/>
        <v>288736.57400000002</v>
      </c>
      <c r="AMU29" s="89">
        <f t="shared" si="585"/>
        <v>288850.30300000001</v>
      </c>
      <c r="AMV29" s="89">
        <f t="shared" si="585"/>
        <v>288985.364</v>
      </c>
      <c r="AMW29" s="89">
        <f t="shared" si="585"/>
        <v>289103.46899999998</v>
      </c>
      <c r="AMX29" s="89">
        <f t="shared" si="585"/>
        <v>289298.15700000001</v>
      </c>
      <c r="AMY29" s="89">
        <f t="shared" si="585"/>
        <v>289494.04100000003</v>
      </c>
      <c r="AMZ29" s="127">
        <v>0</v>
      </c>
      <c r="ANA29" s="89">
        <f>AMY30</f>
        <v>289593.00300000003</v>
      </c>
      <c r="ANB29" s="89">
        <f t="shared" ref="ANB29:AOC29" si="586">ANA30</f>
        <v>289668.962</v>
      </c>
      <c r="ANC29" s="89">
        <f t="shared" si="586"/>
        <v>289725.27899999998</v>
      </c>
      <c r="AND29" s="89">
        <f t="shared" si="586"/>
        <v>289772.71000000002</v>
      </c>
      <c r="ANE29" s="89">
        <f t="shared" si="586"/>
        <v>289804.81300000002</v>
      </c>
      <c r="ANF29" s="89">
        <f t="shared" si="586"/>
        <v>289899.04399999999</v>
      </c>
      <c r="ANG29" s="89">
        <f t="shared" si="586"/>
        <v>289975.342</v>
      </c>
      <c r="ANH29" s="89">
        <f t="shared" si="586"/>
        <v>290017.087</v>
      </c>
      <c r="ANI29" s="89">
        <f t="shared" si="586"/>
        <v>290083.16899999999</v>
      </c>
      <c r="ANJ29" s="89">
        <f t="shared" si="586"/>
        <v>290145.51699999999</v>
      </c>
      <c r="ANK29" s="89">
        <f t="shared" si="586"/>
        <v>290218.81400000001</v>
      </c>
      <c r="ANL29" s="89">
        <f t="shared" si="586"/>
        <v>290336.41100000002</v>
      </c>
      <c r="ANM29" s="89">
        <f t="shared" si="586"/>
        <v>290375.14</v>
      </c>
      <c r="ANN29" s="89">
        <f t="shared" si="586"/>
        <v>290414.30499999999</v>
      </c>
      <c r="ANO29" s="89">
        <f t="shared" si="586"/>
        <v>290488.91600000003</v>
      </c>
      <c r="ANP29" s="89">
        <f t="shared" si="586"/>
        <v>290589.50599999999</v>
      </c>
      <c r="ANQ29" s="89">
        <f t="shared" si="586"/>
        <v>290744.90500000003</v>
      </c>
      <c r="ANR29" s="89">
        <f t="shared" si="586"/>
        <v>290830.55099999998</v>
      </c>
      <c r="ANS29" s="89">
        <f t="shared" si="586"/>
        <v>290913.09499999997</v>
      </c>
      <c r="ANT29" s="89">
        <f t="shared" si="586"/>
        <v>290964.79300000001</v>
      </c>
      <c r="ANU29" s="89">
        <f t="shared" si="586"/>
        <v>291015.64199999999</v>
      </c>
      <c r="ANV29" s="89">
        <f t="shared" si="586"/>
        <v>291037.67700000003</v>
      </c>
      <c r="ANW29" s="89">
        <f t="shared" si="586"/>
        <v>291112.14500000002</v>
      </c>
      <c r="ANX29" s="89">
        <f t="shared" si="586"/>
        <v>291176.804</v>
      </c>
      <c r="ANY29" s="89">
        <f t="shared" si="586"/>
        <v>291225.01799999998</v>
      </c>
      <c r="ANZ29" s="89">
        <f t="shared" si="586"/>
        <v>291336.88099999999</v>
      </c>
      <c r="AOA29" s="89">
        <f t="shared" si="586"/>
        <v>291516.31099999999</v>
      </c>
      <c r="AOB29" s="89">
        <f t="shared" si="586"/>
        <v>291730.90899999999</v>
      </c>
      <c r="AOC29" s="89">
        <f t="shared" si="586"/>
        <v>291839.59399999998</v>
      </c>
      <c r="AOD29" s="89">
        <v>292017.34000000003</v>
      </c>
      <c r="AOE29">
        <v>292017.34000000003</v>
      </c>
    </row>
    <row r="30" spans="1:1072" x14ac:dyDescent="0.2">
      <c r="A30" s="157"/>
      <c r="B30" s="160"/>
      <c r="C30" s="47" t="s">
        <v>757</v>
      </c>
      <c r="D30" s="48">
        <v>155844.28200000001</v>
      </c>
      <c r="E30" s="18">
        <v>155946.01</v>
      </c>
      <c r="F30" s="18">
        <v>155986.31200000001</v>
      </c>
      <c r="G30" s="18">
        <v>156073.43700000001</v>
      </c>
      <c r="H30" s="18">
        <v>156365.43100000001</v>
      </c>
      <c r="I30" s="18">
        <v>156524.239</v>
      </c>
      <c r="J30" s="18">
        <v>156720.185</v>
      </c>
      <c r="K30" s="18">
        <v>157031.78899999999</v>
      </c>
      <c r="L30" s="18">
        <v>157182.962</v>
      </c>
      <c r="M30" s="18">
        <v>157357.179</v>
      </c>
      <c r="N30" s="18">
        <v>157483.24299999999</v>
      </c>
      <c r="O30" s="18">
        <v>157557.85800000001</v>
      </c>
      <c r="P30" s="18">
        <v>157646.291</v>
      </c>
      <c r="Q30" s="18">
        <v>157707.144</v>
      </c>
      <c r="R30" s="18">
        <v>157771.00899999999</v>
      </c>
      <c r="S30" s="18">
        <v>157902.39600000001</v>
      </c>
      <c r="T30" s="18">
        <v>158060.01199999999</v>
      </c>
      <c r="U30" s="18">
        <v>158209.89799999999</v>
      </c>
      <c r="V30" s="18">
        <v>158321.068</v>
      </c>
      <c r="W30" s="18">
        <v>158393.101</v>
      </c>
      <c r="X30" s="18">
        <v>158533.19899999999</v>
      </c>
      <c r="Y30" s="18">
        <v>158641.35699999999</v>
      </c>
      <c r="Z30" s="18">
        <v>158737.22200000001</v>
      </c>
      <c r="AA30" s="18">
        <v>158792.18299999999</v>
      </c>
      <c r="AB30" s="18">
        <v>159081.427</v>
      </c>
      <c r="AC30" s="18">
        <v>159237.76500000001</v>
      </c>
      <c r="AD30" s="18">
        <v>159375.38800000001</v>
      </c>
      <c r="AE30" s="18">
        <v>159474.046</v>
      </c>
      <c r="AF30" s="18">
        <v>159595.14799999999</v>
      </c>
      <c r="AG30" s="18">
        <v>159906.66899999999</v>
      </c>
      <c r="AH30" s="18">
        <v>160078.302</v>
      </c>
      <c r="AI30" s="17"/>
      <c r="AJ30" s="13">
        <v>160157.66899999999</v>
      </c>
      <c r="AK30" s="13">
        <v>160360.86600000001</v>
      </c>
      <c r="AL30" s="13">
        <v>160523.367</v>
      </c>
      <c r="AM30" s="13">
        <v>160835.73000000001</v>
      </c>
      <c r="AN30" s="13">
        <v>161074.674</v>
      </c>
      <c r="AO30" s="13">
        <v>161231.81400000001</v>
      </c>
      <c r="AP30" s="13">
        <v>161415.443</v>
      </c>
      <c r="AQ30" s="13">
        <v>161639.76500000001</v>
      </c>
      <c r="AR30" s="13">
        <v>161714.39600000001</v>
      </c>
      <c r="AS30" s="13">
        <v>161886.967</v>
      </c>
      <c r="AT30" s="13">
        <v>162047.33100000001</v>
      </c>
      <c r="AU30" s="13">
        <v>162265.97899999999</v>
      </c>
      <c r="AV30" s="13">
        <v>162359.291</v>
      </c>
      <c r="AW30" s="13">
        <v>162478.87700000001</v>
      </c>
      <c r="AX30" s="13">
        <v>162722.848</v>
      </c>
      <c r="AY30" s="13">
        <v>162849.06599999999</v>
      </c>
      <c r="AZ30" s="13">
        <v>162980.693</v>
      </c>
      <c r="BA30" s="13">
        <v>163140.48199999999</v>
      </c>
      <c r="BB30" s="13">
        <v>163335.45499999999</v>
      </c>
      <c r="BC30" s="13">
        <v>163431.77900000001</v>
      </c>
      <c r="BD30" s="13">
        <v>163571.234</v>
      </c>
      <c r="BE30" s="13">
        <v>163699.595</v>
      </c>
      <c r="BF30" s="13">
        <v>163861.94399999999</v>
      </c>
      <c r="BG30" s="13">
        <v>163941.83199999999</v>
      </c>
      <c r="BH30" s="13">
        <v>164123.04999999999</v>
      </c>
      <c r="BI30" s="13">
        <v>164185.701</v>
      </c>
      <c r="BJ30" s="13">
        <v>164318.345</v>
      </c>
      <c r="BK30" s="13">
        <v>164476.87599999999</v>
      </c>
      <c r="BL30" s="13">
        <v>164574.84599999999</v>
      </c>
      <c r="BM30" s="13">
        <v>164655.64799999999</v>
      </c>
      <c r="BO30" s="13">
        <v>164733.41800000001</v>
      </c>
      <c r="BP30" s="13">
        <v>164865.538</v>
      </c>
      <c r="BQ30" s="13">
        <v>165003.91200000001</v>
      </c>
      <c r="BR30" s="13">
        <v>165123.29800000001</v>
      </c>
      <c r="BS30" s="13">
        <v>165296.014</v>
      </c>
      <c r="BT30" s="13">
        <v>165507.11499999999</v>
      </c>
      <c r="BU30" s="13">
        <v>165622.25899999999</v>
      </c>
      <c r="BV30" s="13">
        <v>165722.80900000001</v>
      </c>
      <c r="BW30" s="13">
        <v>165833.07999999999</v>
      </c>
      <c r="BX30" s="13">
        <v>165960.595</v>
      </c>
      <c r="BY30" s="13">
        <v>166070.68900000001</v>
      </c>
      <c r="BZ30" s="13">
        <v>166189.264</v>
      </c>
      <c r="CA30" s="13">
        <v>166356.31299999999</v>
      </c>
      <c r="CB30" s="13">
        <v>166495.59700000001</v>
      </c>
      <c r="CC30" s="13">
        <v>166629.07399999999</v>
      </c>
      <c r="CD30" s="13">
        <v>166756.33900000001</v>
      </c>
      <c r="CE30" s="13">
        <v>166859.36300000001</v>
      </c>
      <c r="CF30" s="13">
        <v>166957.74</v>
      </c>
      <c r="CG30" s="13">
        <v>167073.28700000001</v>
      </c>
      <c r="CH30" s="13">
        <v>167142.97899999999</v>
      </c>
      <c r="CI30" s="13">
        <v>167248.82999999999</v>
      </c>
      <c r="CJ30" s="13">
        <v>167303.37</v>
      </c>
      <c r="CK30" s="13">
        <v>167398.10699999999</v>
      </c>
      <c r="CL30" s="13">
        <v>167550.606</v>
      </c>
      <c r="CM30" s="13">
        <v>167623.12299999999</v>
      </c>
      <c r="CN30" s="13">
        <v>167735.68799999999</v>
      </c>
      <c r="CO30" s="13">
        <v>167811.43799999999</v>
      </c>
      <c r="CP30" s="13">
        <v>167924.76199999999</v>
      </c>
      <c r="CQ30" s="13">
        <v>168006.57399999999</v>
      </c>
      <c r="CR30" s="13">
        <v>168127.77600000001</v>
      </c>
      <c r="CS30" s="13">
        <v>168225.74799999999</v>
      </c>
      <c r="CU30" s="13">
        <v>168341.495</v>
      </c>
      <c r="CV30" s="13">
        <v>168437.44899999999</v>
      </c>
      <c r="CW30" s="13">
        <v>168541.37899999999</v>
      </c>
      <c r="CX30" s="13">
        <v>168647.43299999999</v>
      </c>
      <c r="CY30" s="13">
        <v>168762.883</v>
      </c>
      <c r="CZ30" s="13">
        <v>168844.49</v>
      </c>
      <c r="DA30" s="13">
        <v>168970.541</v>
      </c>
      <c r="DB30" s="13">
        <v>169161.43400000001</v>
      </c>
      <c r="DC30" s="13">
        <v>169274.15400000001</v>
      </c>
      <c r="DD30" s="13">
        <v>169393.33799999999</v>
      </c>
      <c r="DE30" s="13">
        <v>169603.04399999999</v>
      </c>
      <c r="DF30" s="13">
        <v>169659.58</v>
      </c>
      <c r="DG30" s="13">
        <v>169762.60200000001</v>
      </c>
      <c r="DH30" s="13">
        <v>169950.796</v>
      </c>
      <c r="DI30" s="13">
        <v>170022.30499999999</v>
      </c>
      <c r="DJ30" s="13">
        <v>170127.959</v>
      </c>
      <c r="DK30" s="13">
        <v>170375.52100000001</v>
      </c>
      <c r="DL30" s="13">
        <v>170650.065</v>
      </c>
      <c r="DM30" s="13">
        <v>170804.77799999999</v>
      </c>
      <c r="DN30" s="13">
        <v>171004.07399999999</v>
      </c>
      <c r="DO30" s="13">
        <v>171112.88200000001</v>
      </c>
      <c r="DP30" s="13">
        <v>171329.71299999999</v>
      </c>
      <c r="DQ30" s="13">
        <v>171420.88699999999</v>
      </c>
      <c r="DR30" s="13">
        <v>171514.07</v>
      </c>
      <c r="DS30" s="13">
        <v>171644.72</v>
      </c>
      <c r="DT30" s="13">
        <v>171788.31200000001</v>
      </c>
      <c r="DU30" s="13">
        <v>172076.791</v>
      </c>
      <c r="DV30" s="13">
        <v>172228.41099999999</v>
      </c>
      <c r="DW30" s="13">
        <v>172435.867</v>
      </c>
      <c r="DX30" s="13">
        <v>172531.55799999999</v>
      </c>
      <c r="DY30" s="117"/>
      <c r="DZ30" s="13">
        <v>172618.226</v>
      </c>
      <c r="EA30" s="13">
        <v>172694.174</v>
      </c>
      <c r="EB30" s="13">
        <v>172831.701</v>
      </c>
      <c r="EC30" s="13">
        <v>172976.99400000001</v>
      </c>
      <c r="ED30" s="13">
        <v>173095.28899999999</v>
      </c>
      <c r="EE30" s="13">
        <v>173233.56599999999</v>
      </c>
      <c r="EF30" s="13">
        <v>173317.03099999999</v>
      </c>
      <c r="EG30" s="13">
        <v>173384.139</v>
      </c>
      <c r="EH30" s="13">
        <v>173666.356</v>
      </c>
      <c r="EI30" s="13">
        <v>173805.783</v>
      </c>
      <c r="EJ30" s="13">
        <v>173983.09599999999</v>
      </c>
      <c r="EK30" s="13">
        <v>174096.158</v>
      </c>
      <c r="EL30" s="13">
        <v>174186.62599999999</v>
      </c>
      <c r="EM30" s="13">
        <v>174342.13099999999</v>
      </c>
      <c r="EN30" s="13">
        <v>174489.74600000001</v>
      </c>
      <c r="EO30" s="13">
        <v>174607.25899999999</v>
      </c>
      <c r="EP30" s="13">
        <v>174709.552</v>
      </c>
      <c r="EQ30" s="13">
        <v>174823.554</v>
      </c>
      <c r="ER30" s="13">
        <v>174943.94899999999</v>
      </c>
      <c r="ES30" s="13">
        <v>175119.39</v>
      </c>
      <c r="ET30" s="13">
        <v>175258.54699999999</v>
      </c>
      <c r="EU30" s="13">
        <v>175408.63800000001</v>
      </c>
      <c r="EV30" s="13">
        <v>175659.13200000001</v>
      </c>
      <c r="EW30" s="13">
        <v>175925.717</v>
      </c>
      <c r="EX30" s="13">
        <v>176063.85399999999</v>
      </c>
      <c r="EY30" s="13">
        <v>176201.984</v>
      </c>
      <c r="EZ30" s="13">
        <v>176270.845</v>
      </c>
      <c r="FA30" s="13">
        <v>176418.05499999999</v>
      </c>
      <c r="FB30" s="13">
        <v>176567.12299999999</v>
      </c>
      <c r="FC30" s="13">
        <v>176671.649</v>
      </c>
      <c r="FD30" s="13">
        <v>176782.35800000001</v>
      </c>
      <c r="FE30" s="126"/>
      <c r="FF30" s="13">
        <v>176846.26300000001</v>
      </c>
      <c r="FG30" s="13">
        <v>176914.29399999999</v>
      </c>
      <c r="FH30" s="13">
        <v>177099.29399999999</v>
      </c>
      <c r="FI30" s="13">
        <v>177276.60399999999</v>
      </c>
      <c r="FJ30" s="13">
        <v>177385.875</v>
      </c>
      <c r="FK30" s="13">
        <v>177587.77900000001</v>
      </c>
      <c r="FL30" s="13">
        <v>177723.22200000001</v>
      </c>
      <c r="FM30" s="13">
        <v>177807.747</v>
      </c>
      <c r="FN30" s="13">
        <v>177931.856</v>
      </c>
      <c r="FO30" s="13">
        <v>177977.83</v>
      </c>
      <c r="FP30" s="13">
        <v>178112.66800000001</v>
      </c>
      <c r="FQ30" s="13">
        <v>178215.75</v>
      </c>
      <c r="FR30" s="13">
        <v>178271.413</v>
      </c>
      <c r="FS30" s="13">
        <v>178351.81099999999</v>
      </c>
      <c r="FT30" s="13">
        <v>178457.42300000001</v>
      </c>
      <c r="FU30" s="13">
        <v>178567.72399999999</v>
      </c>
      <c r="FV30" s="13">
        <v>178804.83199999999</v>
      </c>
      <c r="FW30" s="13">
        <v>178978.56099999999</v>
      </c>
      <c r="FX30" s="13">
        <v>179023.91800000001</v>
      </c>
      <c r="FY30" s="13">
        <v>179262.05100000001</v>
      </c>
      <c r="FZ30" s="13">
        <v>179380.59400000001</v>
      </c>
      <c r="GA30" s="13">
        <v>179456.05300000001</v>
      </c>
      <c r="GB30" s="13">
        <v>179587.815</v>
      </c>
      <c r="GC30" s="13">
        <v>179685.43400000001</v>
      </c>
      <c r="GD30" s="13">
        <v>179856.516</v>
      </c>
      <c r="GE30" s="13">
        <v>179993.82500000001</v>
      </c>
      <c r="GF30" s="13">
        <v>180096.28700000001</v>
      </c>
      <c r="GG30" s="13">
        <v>180195.24799999999</v>
      </c>
      <c r="GH30" s="13">
        <v>180421.01</v>
      </c>
      <c r="GI30" s="13">
        <v>180647.78</v>
      </c>
      <c r="GJ30" s="13">
        <v>180890.03400000001</v>
      </c>
      <c r="GK30" s="126"/>
      <c r="GL30" s="13">
        <v>180964.87</v>
      </c>
      <c r="GM30" s="13">
        <v>181076.20300000001</v>
      </c>
      <c r="GN30" s="13">
        <v>181148.35800000001</v>
      </c>
      <c r="GO30" s="13">
        <v>181233.712</v>
      </c>
      <c r="GP30" s="13">
        <v>181371.427</v>
      </c>
      <c r="GQ30" s="13">
        <v>181441.90400000001</v>
      </c>
      <c r="GR30" s="13">
        <v>181622.38</v>
      </c>
      <c r="GS30" s="13">
        <v>181804.42499999999</v>
      </c>
      <c r="GT30" s="13">
        <v>181933.00599999999</v>
      </c>
      <c r="GU30" s="13">
        <v>182039.59599999999</v>
      </c>
      <c r="GV30" s="13">
        <v>182148.85699999999</v>
      </c>
      <c r="GW30" s="13">
        <v>182241.272</v>
      </c>
      <c r="GX30" s="13">
        <v>182349.50099999999</v>
      </c>
      <c r="GY30" s="13">
        <v>182413.41399999999</v>
      </c>
      <c r="GZ30" s="13">
        <v>182476.701</v>
      </c>
      <c r="HA30" s="13">
        <v>182602.261</v>
      </c>
      <c r="HB30" s="13">
        <v>182697.511</v>
      </c>
      <c r="HC30" s="13">
        <v>182775.853</v>
      </c>
      <c r="HD30" s="13">
        <v>182991.72200000001</v>
      </c>
      <c r="HE30" s="13">
        <v>185143.53700000001</v>
      </c>
      <c r="HF30" s="13">
        <v>185306.19899999999</v>
      </c>
      <c r="HG30" s="13">
        <v>185456.41500000001</v>
      </c>
      <c r="HH30" s="13">
        <v>185631.929</v>
      </c>
      <c r="HI30" s="13">
        <v>185793.77499999999</v>
      </c>
      <c r="HJ30" s="13">
        <v>185848.818</v>
      </c>
      <c r="HK30" s="13">
        <v>185929.53400000001</v>
      </c>
      <c r="HL30" s="13">
        <v>186090.07699999999</v>
      </c>
      <c r="HM30" s="13">
        <v>186184.29500000001</v>
      </c>
      <c r="HN30" s="13">
        <v>186247.99799999999</v>
      </c>
      <c r="HO30" s="126"/>
      <c r="HP30" s="13">
        <v>186352.731</v>
      </c>
      <c r="HQ30" s="13">
        <v>186592.91699999999</v>
      </c>
      <c r="HR30" s="13">
        <v>186734.55799999999</v>
      </c>
      <c r="HS30" s="13">
        <v>186911.24100000001</v>
      </c>
      <c r="HT30" s="13">
        <v>187018.451</v>
      </c>
      <c r="HU30" s="13">
        <v>187199.12100000001</v>
      </c>
      <c r="HV30" s="13">
        <v>187388.79300000001</v>
      </c>
      <c r="HW30" s="13">
        <v>187527.96299999999</v>
      </c>
      <c r="HX30" s="13">
        <v>187599.08499999999</v>
      </c>
      <c r="HY30" s="13">
        <v>187719.69399999999</v>
      </c>
      <c r="HZ30" s="13">
        <v>187847.758</v>
      </c>
      <c r="IA30" s="13">
        <v>187932.39499999999</v>
      </c>
      <c r="IB30" s="13">
        <v>188056.122</v>
      </c>
      <c r="IC30" s="13">
        <v>188173.28400000001</v>
      </c>
      <c r="ID30" s="13">
        <v>188285.29399999999</v>
      </c>
      <c r="IE30" s="13">
        <v>188423.84299999999</v>
      </c>
      <c r="IF30" s="13">
        <v>188520.45300000001</v>
      </c>
      <c r="IG30" s="13">
        <v>188632.74100000001</v>
      </c>
      <c r="IH30" s="13">
        <v>188829.253</v>
      </c>
      <c r="II30" s="13">
        <v>188977.465</v>
      </c>
      <c r="IJ30" s="13">
        <v>189054.02600000001</v>
      </c>
      <c r="IK30" s="13">
        <v>189164.12100000001</v>
      </c>
      <c r="IL30" s="13">
        <v>189372.29399999999</v>
      </c>
      <c r="IM30" s="13">
        <v>189476.326</v>
      </c>
      <c r="IN30" s="13">
        <v>189662.32399999999</v>
      </c>
      <c r="IO30" s="13">
        <v>189882.98199999999</v>
      </c>
      <c r="IP30" s="13">
        <v>189883.40700000001</v>
      </c>
      <c r="IQ30" s="13">
        <v>189980.307</v>
      </c>
      <c r="IR30" s="13">
        <v>190140.01699999999</v>
      </c>
      <c r="IS30" s="13">
        <v>190220.57399999999</v>
      </c>
      <c r="IT30" s="13">
        <v>190329.878</v>
      </c>
      <c r="IU30" s="126"/>
      <c r="IV30" s="13">
        <v>190423.125</v>
      </c>
      <c r="IW30" s="13">
        <v>190624.076</v>
      </c>
      <c r="IX30" s="13">
        <v>190740.304</v>
      </c>
      <c r="IY30" s="13">
        <v>190966.95699999999</v>
      </c>
      <c r="IZ30" s="13">
        <v>191098.209</v>
      </c>
      <c r="JA30" s="13">
        <v>191216.24</v>
      </c>
      <c r="JB30" s="13">
        <v>191288.45600000001</v>
      </c>
      <c r="JC30" s="13">
        <v>191464.08199999999</v>
      </c>
      <c r="JD30" s="13">
        <v>191565.28</v>
      </c>
      <c r="JE30" s="13">
        <v>191669.489</v>
      </c>
      <c r="JF30" s="13">
        <v>191794.85699999999</v>
      </c>
      <c r="JG30" s="13">
        <v>191888.42300000001</v>
      </c>
      <c r="JH30" s="13">
        <v>192017.677</v>
      </c>
      <c r="JI30" s="13">
        <v>192112.86600000001</v>
      </c>
      <c r="JJ30" s="13">
        <v>192261.56200000001</v>
      </c>
      <c r="JK30" s="13">
        <v>192392.179</v>
      </c>
      <c r="JL30" s="13">
        <v>192518.027</v>
      </c>
      <c r="JM30" s="13">
        <v>192662.30600000001</v>
      </c>
      <c r="JN30" s="13">
        <v>192739.85399999999</v>
      </c>
      <c r="JO30" s="13">
        <v>192877.08499999999</v>
      </c>
      <c r="JP30" s="13">
        <v>192960.84899999999</v>
      </c>
      <c r="JQ30" s="13">
        <v>193347.37700000001</v>
      </c>
      <c r="JR30" s="13">
        <v>193472.022</v>
      </c>
      <c r="JS30" s="13">
        <v>193630.73300000001</v>
      </c>
      <c r="JT30" s="13">
        <v>193819.05</v>
      </c>
      <c r="JU30" s="13">
        <v>193971.18700000001</v>
      </c>
      <c r="JV30" s="13">
        <v>194072.288</v>
      </c>
      <c r="JW30" s="13">
        <v>194148.976</v>
      </c>
      <c r="JX30" s="13">
        <v>194258.38200000001</v>
      </c>
      <c r="JY30" s="13">
        <v>194351.83799999999</v>
      </c>
      <c r="JZ30" s="126"/>
      <c r="KA30" s="13">
        <v>194380.467</v>
      </c>
      <c r="KB30" s="13">
        <v>194505.20699999999</v>
      </c>
      <c r="KC30" s="13">
        <v>194660.272</v>
      </c>
      <c r="KD30" s="13">
        <v>194813.318</v>
      </c>
      <c r="KE30" s="13">
        <v>194943.804</v>
      </c>
      <c r="KF30" s="13">
        <v>195086.96100000001</v>
      </c>
      <c r="KG30" s="13">
        <v>195397.995</v>
      </c>
      <c r="KH30" s="13">
        <v>195634.546</v>
      </c>
      <c r="KI30" s="13">
        <v>196031.315</v>
      </c>
      <c r="KJ30" s="13">
        <v>196356.95699999999</v>
      </c>
      <c r="KK30" s="13">
        <v>196630.39199999999</v>
      </c>
      <c r="KL30" s="13">
        <v>196822.09</v>
      </c>
      <c r="KM30" s="13">
        <v>197103.889</v>
      </c>
      <c r="KN30" s="13">
        <v>197366.182</v>
      </c>
      <c r="KO30" s="13">
        <v>197538.86900000001</v>
      </c>
      <c r="KP30" s="13">
        <v>198746.40100000001</v>
      </c>
      <c r="KQ30" s="13">
        <v>198941.52600000001</v>
      </c>
      <c r="KR30" s="13">
        <v>199268.391</v>
      </c>
      <c r="KS30" s="13">
        <v>199366.66699999999</v>
      </c>
      <c r="KT30" s="13">
        <v>199569.92199999999</v>
      </c>
      <c r="KU30" s="13">
        <v>200248.90400000001</v>
      </c>
      <c r="KV30" s="13">
        <v>200806.14</v>
      </c>
      <c r="KW30" s="13">
        <v>202078.299</v>
      </c>
      <c r="KX30" s="13">
        <v>202231.552</v>
      </c>
      <c r="KY30" s="13">
        <v>202431.23300000001</v>
      </c>
      <c r="KZ30" s="13">
        <v>202516.40299999999</v>
      </c>
      <c r="LA30" s="13">
        <v>202675.98300000001</v>
      </c>
      <c r="LB30" s="13">
        <v>202873.62299999999</v>
      </c>
      <c r="LC30" s="13">
        <v>203194.364</v>
      </c>
      <c r="LD30" s="13">
        <v>203406.908</v>
      </c>
      <c r="LE30" s="13">
        <v>203739.67499999999</v>
      </c>
      <c r="LF30" s="126"/>
      <c r="LG30" s="13">
        <v>203907.946</v>
      </c>
      <c r="LH30" s="13">
        <v>204016.59099999999</v>
      </c>
      <c r="LI30" s="13">
        <v>204185.03</v>
      </c>
      <c r="LJ30" s="13">
        <v>204528.446</v>
      </c>
      <c r="LK30" s="13">
        <v>204723.04300000001</v>
      </c>
      <c r="LL30" s="13">
        <v>204926.715</v>
      </c>
      <c r="LM30" s="13">
        <v>205312.997</v>
      </c>
      <c r="LN30" s="13">
        <v>205572.666</v>
      </c>
      <c r="LO30" s="13">
        <v>205765.61499999999</v>
      </c>
      <c r="LP30" s="13">
        <v>206028.69</v>
      </c>
      <c r="LQ30" s="13">
        <v>206232.829</v>
      </c>
      <c r="LR30" s="13">
        <v>206379.97200000001</v>
      </c>
      <c r="LS30" s="13">
        <v>206597.25</v>
      </c>
      <c r="LT30" s="13">
        <v>206875.55100000001</v>
      </c>
      <c r="LU30" s="13">
        <v>207055.17199999999</v>
      </c>
      <c r="LV30" s="13">
        <v>207110.99</v>
      </c>
      <c r="LW30" s="13">
        <v>207281.397</v>
      </c>
      <c r="LX30" s="13">
        <v>207449.84299999999</v>
      </c>
      <c r="LY30" s="13">
        <v>207865.42800000001</v>
      </c>
      <c r="LZ30" s="13">
        <v>207958.20199999999</v>
      </c>
      <c r="MA30" s="13">
        <v>208089.76300000001</v>
      </c>
      <c r="MB30" s="13">
        <v>208226.77900000001</v>
      </c>
      <c r="MC30" s="13">
        <v>208345.52</v>
      </c>
      <c r="MD30" s="13">
        <v>208452.511</v>
      </c>
      <c r="ME30" s="13">
        <v>208559.717</v>
      </c>
      <c r="MF30" s="13">
        <v>208621.99799999999</v>
      </c>
      <c r="MG30" s="13">
        <v>208738.83499999999</v>
      </c>
      <c r="MH30" s="13">
        <v>208967.81299999999</v>
      </c>
      <c r="MI30" s="13">
        <v>209133.77600000001</v>
      </c>
      <c r="MJ30" s="13">
        <v>209335</v>
      </c>
      <c r="MK30" s="126"/>
      <c r="ML30" s="13">
        <v>209443.49799999999</v>
      </c>
      <c r="MM30" s="13">
        <v>209524.601</v>
      </c>
      <c r="MN30" s="13">
        <v>209526.81200000001</v>
      </c>
      <c r="MO30" s="13">
        <v>209636.85</v>
      </c>
      <c r="MP30" s="13">
        <v>209818.68</v>
      </c>
      <c r="MQ30" s="13">
        <v>209818.68</v>
      </c>
      <c r="MR30" s="13">
        <v>209818.68</v>
      </c>
      <c r="MS30" s="13">
        <v>209818.68</v>
      </c>
      <c r="MT30" s="13">
        <v>209828.91</v>
      </c>
      <c r="MU30" s="13">
        <v>209915.08100000001</v>
      </c>
      <c r="MV30" s="13">
        <v>210218.76699999999</v>
      </c>
      <c r="MW30" s="13">
        <v>210409.935</v>
      </c>
      <c r="MX30" s="13">
        <v>210611.481</v>
      </c>
      <c r="MY30" s="13">
        <v>210732.334</v>
      </c>
      <c r="MZ30" s="13">
        <v>210830.41899999999</v>
      </c>
      <c r="NA30" s="13">
        <v>211035.109</v>
      </c>
      <c r="NB30" s="13">
        <v>211147.62400000001</v>
      </c>
      <c r="NC30" s="13">
        <v>211311.769</v>
      </c>
      <c r="ND30" s="13">
        <v>211433.91500000001</v>
      </c>
      <c r="NE30" s="13">
        <v>211538.85699999999</v>
      </c>
      <c r="NF30" s="13">
        <v>211591.06400000001</v>
      </c>
      <c r="NG30" s="13">
        <v>211739.73199999999</v>
      </c>
      <c r="NH30" s="13">
        <v>211921.022</v>
      </c>
      <c r="NI30" s="13">
        <v>212033.068</v>
      </c>
      <c r="NJ30" s="13">
        <v>212121.04699999999</v>
      </c>
      <c r="NK30" s="13">
        <v>212318.68799999999</v>
      </c>
      <c r="NL30" s="13">
        <v>212394.522</v>
      </c>
      <c r="NM30" s="13">
        <v>212517.152</v>
      </c>
      <c r="NN30" s="13">
        <v>212670.72200000001</v>
      </c>
      <c r="NO30" s="13">
        <v>212875.79500000001</v>
      </c>
      <c r="NP30" s="13">
        <v>212987.80900000001</v>
      </c>
      <c r="NQ30" s="126"/>
      <c r="NR30" s="13">
        <v>213132.62899999999</v>
      </c>
      <c r="NS30" s="13">
        <v>213231.1</v>
      </c>
      <c r="NT30" s="13">
        <v>213458.995</v>
      </c>
      <c r="NU30" s="13">
        <v>213534.12299999999</v>
      </c>
      <c r="NV30" s="13">
        <v>213728.05100000001</v>
      </c>
      <c r="NW30" s="13">
        <v>213958.08</v>
      </c>
      <c r="NX30" s="13">
        <v>214157.74100000001</v>
      </c>
      <c r="NY30" s="13">
        <v>214297.65</v>
      </c>
      <c r="NZ30" s="13">
        <v>214415.565</v>
      </c>
      <c r="OA30" s="13">
        <v>214514.1</v>
      </c>
      <c r="OB30" s="13">
        <v>214711.24799999999</v>
      </c>
      <c r="OC30" s="13">
        <v>214823.89600000001</v>
      </c>
      <c r="OD30" s="13">
        <v>214960.758</v>
      </c>
      <c r="OE30" s="13">
        <v>215079.304</v>
      </c>
      <c r="OF30" s="13">
        <v>215216.79800000001</v>
      </c>
      <c r="OG30" s="13">
        <v>215427.1</v>
      </c>
      <c r="OH30" s="13">
        <v>215703.49</v>
      </c>
      <c r="OI30" s="13">
        <v>215804.13200000001</v>
      </c>
      <c r="OJ30" s="13">
        <v>216051.24100000001</v>
      </c>
      <c r="OK30" s="13">
        <v>216127.674</v>
      </c>
      <c r="OL30" s="13">
        <v>216228.326</v>
      </c>
      <c r="OM30" s="13">
        <v>216392.136</v>
      </c>
      <c r="ON30" s="13">
        <v>216587.068</v>
      </c>
      <c r="OO30" s="13">
        <v>216853.49600000001</v>
      </c>
      <c r="OP30" s="13">
        <v>216904.02799999999</v>
      </c>
      <c r="OQ30" s="13">
        <v>217048.99900000001</v>
      </c>
      <c r="OR30" s="13">
        <v>217161.44</v>
      </c>
      <c r="OS30" s="13">
        <v>217297.33900000001</v>
      </c>
      <c r="OT30" s="13">
        <v>217401.87400000001</v>
      </c>
      <c r="OU30" s="13">
        <v>217540.42</v>
      </c>
      <c r="OV30" s="13">
        <v>217792.78400000001</v>
      </c>
      <c r="OW30" s="126"/>
      <c r="OX30" s="13">
        <v>217865.16399999999</v>
      </c>
      <c r="OY30" s="13">
        <v>217977.18</v>
      </c>
      <c r="OZ30" s="13">
        <v>218158.26199999999</v>
      </c>
      <c r="PA30" s="13">
        <v>218286.49600000001</v>
      </c>
      <c r="PB30" s="13">
        <v>218490.736</v>
      </c>
      <c r="PC30" s="13">
        <v>218646.125</v>
      </c>
      <c r="PD30" s="13">
        <v>218771.56200000001</v>
      </c>
      <c r="PE30" s="13">
        <v>218843.55499999999</v>
      </c>
      <c r="PF30" s="13">
        <v>218953.46299999999</v>
      </c>
      <c r="PG30" s="13">
        <v>219052.42499999999</v>
      </c>
      <c r="PH30" s="13">
        <v>219202.541</v>
      </c>
      <c r="PI30" s="13">
        <v>219366.14499999999</v>
      </c>
      <c r="PJ30" s="13">
        <v>219523.008</v>
      </c>
      <c r="PK30" s="13">
        <v>219629.16500000001</v>
      </c>
      <c r="PL30" s="13">
        <v>219702.85800000001</v>
      </c>
      <c r="PM30" s="13">
        <v>219913.53099999999</v>
      </c>
      <c r="PN30" s="13">
        <v>220037.967</v>
      </c>
      <c r="PO30" s="13">
        <v>220176.93700000001</v>
      </c>
      <c r="PP30" s="13">
        <v>220252.10500000001</v>
      </c>
      <c r="PQ30" s="13">
        <v>220408.973</v>
      </c>
      <c r="PR30" s="13">
        <v>220506.58300000001</v>
      </c>
      <c r="PS30" s="13">
        <v>220639.23199999999</v>
      </c>
      <c r="PT30" s="13">
        <v>220683.614</v>
      </c>
      <c r="PU30" s="13">
        <v>220748.04199999999</v>
      </c>
      <c r="PV30" s="13">
        <v>220873.323</v>
      </c>
      <c r="PW30" s="13">
        <v>220957.541</v>
      </c>
      <c r="PX30" s="13">
        <v>221073.49799999999</v>
      </c>
      <c r="PY30" s="13">
        <v>221261.878</v>
      </c>
      <c r="PZ30" s="13">
        <v>221336.62100000001</v>
      </c>
      <c r="QA30" s="13">
        <v>221541.90700000001</v>
      </c>
      <c r="QB30" s="126"/>
      <c r="QC30" s="13">
        <v>221624.962</v>
      </c>
      <c r="QD30" s="13">
        <v>221726.81400000001</v>
      </c>
      <c r="QE30" s="13">
        <v>221797.34899999999</v>
      </c>
      <c r="QF30" s="13">
        <v>221883.677</v>
      </c>
      <c r="QG30" s="13">
        <v>222013.633</v>
      </c>
      <c r="QH30" s="13">
        <v>222135.12599999999</v>
      </c>
      <c r="QI30" s="13">
        <v>222293.834</v>
      </c>
      <c r="QJ30" s="13">
        <v>222409.43</v>
      </c>
      <c r="QK30" s="13">
        <v>222527.359</v>
      </c>
      <c r="QL30" s="13">
        <v>222683.264</v>
      </c>
      <c r="QM30" s="13">
        <v>222835.46100000001</v>
      </c>
      <c r="QN30" s="13">
        <v>222916.99799999999</v>
      </c>
      <c r="QO30" s="13">
        <v>223008.33499999999</v>
      </c>
      <c r="QP30" s="13">
        <v>223161.40900000001</v>
      </c>
      <c r="QQ30" s="13">
        <v>223244.02900000001</v>
      </c>
      <c r="QR30" s="13">
        <v>223289.68799999999</v>
      </c>
      <c r="QS30" s="13">
        <v>223374.48199999999</v>
      </c>
      <c r="QT30" s="13">
        <v>223479.497</v>
      </c>
      <c r="QU30" s="13">
        <v>223566.25399999999</v>
      </c>
      <c r="QV30" s="13">
        <v>223653.65599999999</v>
      </c>
      <c r="QW30" s="13">
        <v>223809.549</v>
      </c>
      <c r="QX30" s="13">
        <v>223928.70199999999</v>
      </c>
      <c r="QY30" s="13">
        <v>224066.99100000001</v>
      </c>
      <c r="QZ30" s="13">
        <v>224239.435</v>
      </c>
      <c r="RA30" s="13">
        <v>224348.14199999999</v>
      </c>
      <c r="RB30" s="13">
        <v>224470.992</v>
      </c>
      <c r="RC30" s="13">
        <v>224572.09400000001</v>
      </c>
      <c r="RD30" s="13">
        <v>224734.18799999999</v>
      </c>
      <c r="RE30" s="13">
        <v>224858.77100000001</v>
      </c>
      <c r="RF30" s="13">
        <v>224951.614</v>
      </c>
      <c r="RG30" s="13">
        <v>225252.71400000001</v>
      </c>
      <c r="RH30" s="126"/>
      <c r="RI30" s="13">
        <v>225327.72500000001</v>
      </c>
      <c r="RJ30" s="13">
        <v>225483.25</v>
      </c>
      <c r="RK30" s="13">
        <v>225575.22200000001</v>
      </c>
      <c r="RL30" s="13">
        <v>225802.872</v>
      </c>
      <c r="RM30" s="13">
        <v>225992.07399999999</v>
      </c>
      <c r="RN30" s="13">
        <v>226091.432</v>
      </c>
      <c r="RO30" s="13">
        <v>226285.799</v>
      </c>
      <c r="RP30" s="13">
        <v>226566.69899999999</v>
      </c>
      <c r="RQ30" s="13">
        <v>226656.49400000001</v>
      </c>
      <c r="RR30" s="13">
        <v>226709.068</v>
      </c>
      <c r="RS30" s="13">
        <v>226864.1</v>
      </c>
      <c r="RT30" s="13">
        <v>226947.98800000001</v>
      </c>
      <c r="RU30" s="13">
        <v>227089.91099999999</v>
      </c>
      <c r="RV30" s="13">
        <v>227232.63800000001</v>
      </c>
      <c r="RW30" s="13">
        <v>227354.55499999999</v>
      </c>
      <c r="RX30" s="13">
        <v>227503.647</v>
      </c>
      <c r="RY30" s="13">
        <v>227831.068</v>
      </c>
      <c r="RZ30" s="13">
        <v>227957.50899999999</v>
      </c>
      <c r="SA30" s="13">
        <v>228249.24299999999</v>
      </c>
      <c r="SB30" s="13">
        <v>228438.92499999999</v>
      </c>
      <c r="SC30" s="13">
        <v>228598.54199999999</v>
      </c>
      <c r="SD30" s="13">
        <v>228823.443</v>
      </c>
      <c r="SE30" s="13">
        <v>228936.149</v>
      </c>
      <c r="SF30" s="13">
        <v>229037.95199999999</v>
      </c>
      <c r="SG30" s="13">
        <v>229290.77900000001</v>
      </c>
      <c r="SH30" s="13">
        <v>229410.52900000001</v>
      </c>
      <c r="SI30" s="13">
        <v>229501.13099999999</v>
      </c>
      <c r="SJ30" s="13">
        <v>229653.253</v>
      </c>
      <c r="SK30" s="13">
        <v>229753.25</v>
      </c>
      <c r="SL30" s="13">
        <v>229856.33900000001</v>
      </c>
      <c r="SM30" s="126"/>
      <c r="SN30" s="13">
        <v>229932.69399999999</v>
      </c>
      <c r="SO30" s="13">
        <v>230097.755</v>
      </c>
      <c r="SP30" s="13">
        <v>231197.682</v>
      </c>
      <c r="SQ30" s="13">
        <v>231315.35800000001</v>
      </c>
      <c r="SR30" s="13">
        <v>231421.16500000001</v>
      </c>
      <c r="SS30" s="13">
        <v>231592.75700000001</v>
      </c>
      <c r="ST30" s="13">
        <v>231693.027</v>
      </c>
      <c r="SU30" s="13">
        <v>231857.49</v>
      </c>
      <c r="SV30" s="13">
        <v>231936.875</v>
      </c>
      <c r="SW30" s="13">
        <v>232036.95499999999</v>
      </c>
      <c r="SX30" s="13">
        <v>232152.17</v>
      </c>
      <c r="SY30" s="13">
        <v>232262.516</v>
      </c>
      <c r="SZ30" s="13">
        <v>232479.39</v>
      </c>
      <c r="TA30" s="13">
        <v>232627.48699999999</v>
      </c>
      <c r="TB30" s="13">
        <v>232759.74799999999</v>
      </c>
      <c r="TC30" s="13">
        <v>232901.86199999999</v>
      </c>
      <c r="TD30" s="13">
        <v>233003.50599999999</v>
      </c>
      <c r="TE30" s="13">
        <v>233197.90900000001</v>
      </c>
      <c r="TF30" s="13">
        <v>233342.546</v>
      </c>
      <c r="TG30" s="13">
        <v>233581.58300000001</v>
      </c>
      <c r="TH30" s="13">
        <v>233688.73699999999</v>
      </c>
      <c r="TI30" s="13">
        <v>233804.481</v>
      </c>
      <c r="TJ30" s="13">
        <v>233871.59899999999</v>
      </c>
      <c r="TK30" s="13">
        <v>233998</v>
      </c>
      <c r="TL30" s="13">
        <v>234037.152</v>
      </c>
      <c r="TM30" s="13">
        <v>234098.67199999999</v>
      </c>
      <c r="TN30" s="13">
        <v>234205.38099999999</v>
      </c>
      <c r="TO30" s="13">
        <v>234278.08900000001</v>
      </c>
      <c r="TP30" s="13">
        <v>234369.58199999999</v>
      </c>
      <c r="TQ30" s="13">
        <v>234507.82500000001</v>
      </c>
      <c r="TR30" s="13">
        <v>234702.44899999999</v>
      </c>
      <c r="TS30" s="126"/>
      <c r="TT30" s="13">
        <v>234802.42199999999</v>
      </c>
      <c r="TU30" s="13">
        <v>234929.94099999999</v>
      </c>
      <c r="TV30" s="13">
        <v>235026.141</v>
      </c>
      <c r="TW30" s="13">
        <v>235139.11600000001</v>
      </c>
      <c r="TX30" s="13">
        <v>235216.3</v>
      </c>
      <c r="TY30" s="13">
        <v>235385.64499999999</v>
      </c>
      <c r="TZ30" s="13">
        <v>235515.33199999999</v>
      </c>
      <c r="UA30" s="13">
        <v>235732.34</v>
      </c>
      <c r="UB30" s="13">
        <v>235828.98199999999</v>
      </c>
      <c r="UC30" s="13">
        <v>236038.67499999999</v>
      </c>
      <c r="UD30" s="13">
        <v>236307.57399999999</v>
      </c>
      <c r="UE30" s="13">
        <v>236376.79</v>
      </c>
      <c r="UF30" s="13">
        <v>236585.29300000001</v>
      </c>
      <c r="UG30" s="13">
        <v>236742.88800000001</v>
      </c>
      <c r="UH30" s="13">
        <v>236810.23800000001</v>
      </c>
      <c r="UI30" s="13">
        <v>236902.66399999999</v>
      </c>
      <c r="UJ30" s="13">
        <v>237113.8</v>
      </c>
      <c r="UK30" s="13">
        <v>237135.44399999999</v>
      </c>
      <c r="UL30" s="13">
        <v>237222.84700000001</v>
      </c>
      <c r="UM30" s="13">
        <v>237369.83900000001</v>
      </c>
      <c r="UN30" s="13">
        <v>237523.726</v>
      </c>
      <c r="UO30" s="13">
        <v>237663.81400000001</v>
      </c>
      <c r="UP30" s="13">
        <v>237900</v>
      </c>
      <c r="UQ30" s="13">
        <v>238176.46400000001</v>
      </c>
      <c r="UR30" s="13">
        <v>238370.84599999999</v>
      </c>
      <c r="US30" s="13">
        <v>238458.37</v>
      </c>
      <c r="UT30" s="13">
        <v>238589.68299999999</v>
      </c>
      <c r="UU30" s="13">
        <v>238683.54300000001</v>
      </c>
      <c r="UV30" s="13">
        <v>238683.54300000001</v>
      </c>
      <c r="UW30" s="13">
        <v>238772.649</v>
      </c>
      <c r="UX30" s="13">
        <v>238975.36900000001</v>
      </c>
      <c r="UY30" s="126"/>
      <c r="UZ30" s="13">
        <v>239081.37700000001</v>
      </c>
      <c r="VA30" s="13">
        <v>239262.55600000001</v>
      </c>
      <c r="VB30" s="13">
        <v>239525.38399999999</v>
      </c>
      <c r="VC30" s="13">
        <v>239620.21</v>
      </c>
      <c r="VD30" s="13">
        <v>239817.31099999999</v>
      </c>
      <c r="VE30" s="13">
        <v>239927.448</v>
      </c>
      <c r="VF30" s="13">
        <v>240090.46</v>
      </c>
      <c r="VG30" s="13">
        <v>240289.753</v>
      </c>
      <c r="VH30" s="13">
        <v>240348.065</v>
      </c>
      <c r="VI30" s="13">
        <v>240479.55</v>
      </c>
      <c r="VJ30" s="13">
        <v>240597.614</v>
      </c>
      <c r="VK30" s="13">
        <v>240732.76300000001</v>
      </c>
      <c r="VL30" s="13">
        <v>240920.55100000001</v>
      </c>
      <c r="VM30" s="13">
        <v>241099.008</v>
      </c>
      <c r="VN30" s="13">
        <v>241222.682</v>
      </c>
      <c r="VO30" s="13">
        <v>241369.48499999999</v>
      </c>
      <c r="VP30" s="13">
        <v>241436.51</v>
      </c>
      <c r="VQ30" s="13">
        <v>241555.18700000001</v>
      </c>
      <c r="VR30" s="13">
        <v>241642.65</v>
      </c>
      <c r="VS30" s="13">
        <v>241837.94399999999</v>
      </c>
      <c r="VT30" s="13">
        <v>241960.353</v>
      </c>
      <c r="VU30" s="13">
        <v>242111.99100000001</v>
      </c>
      <c r="VV30" s="13">
        <v>242195.06200000001</v>
      </c>
      <c r="VW30" s="13">
        <v>242274.16899999999</v>
      </c>
      <c r="VX30" s="13">
        <v>242439.21900000001</v>
      </c>
      <c r="VY30" s="13">
        <v>242601.63200000001</v>
      </c>
      <c r="VZ30" s="13">
        <v>242702.277</v>
      </c>
      <c r="WA30" s="13">
        <v>242819.193</v>
      </c>
      <c r="WB30" s="126"/>
      <c r="WC30" s="13">
        <v>242980.50700000001</v>
      </c>
      <c r="WD30" s="13">
        <v>243078.08100000001</v>
      </c>
      <c r="WE30" s="13">
        <v>243189.717</v>
      </c>
      <c r="WF30" s="13">
        <v>243428.34700000001</v>
      </c>
      <c r="WG30" s="13">
        <v>243501.08300000001</v>
      </c>
      <c r="WH30" s="13">
        <v>243501.08300000001</v>
      </c>
      <c r="WI30" s="13">
        <v>243622.37299999999</v>
      </c>
      <c r="WJ30" s="13">
        <v>243925.54399999999</v>
      </c>
      <c r="WK30" s="13">
        <v>244095.44699999999</v>
      </c>
      <c r="WL30" s="13">
        <v>244209.17499999999</v>
      </c>
      <c r="WM30" s="13">
        <v>244341.908</v>
      </c>
      <c r="WN30" s="13">
        <v>244410.149</v>
      </c>
      <c r="WO30" s="13">
        <v>244501.791</v>
      </c>
      <c r="WP30" s="13">
        <v>244588.152</v>
      </c>
      <c r="WQ30" s="13">
        <v>244691</v>
      </c>
      <c r="WR30" s="13">
        <v>244829.90599999999</v>
      </c>
      <c r="WS30" s="13">
        <v>244931.22200000001</v>
      </c>
      <c r="WT30" s="13">
        <v>244994.95300000001</v>
      </c>
      <c r="WU30" s="13">
        <v>245169.11</v>
      </c>
      <c r="WV30" s="13">
        <v>245247.538</v>
      </c>
      <c r="WW30" s="13">
        <v>245449.652</v>
      </c>
      <c r="WX30" s="13">
        <v>245602.60800000001</v>
      </c>
      <c r="WY30" s="13">
        <v>245653.81</v>
      </c>
      <c r="WZ30" s="13">
        <v>245826.323</v>
      </c>
      <c r="XA30" s="13">
        <v>246018.26199999999</v>
      </c>
      <c r="XB30" s="13">
        <v>246202.96100000001</v>
      </c>
      <c r="XC30" s="13">
        <v>246307.52</v>
      </c>
      <c r="XD30" s="13">
        <v>246412.25700000001</v>
      </c>
      <c r="XE30" s="13">
        <v>246483.71</v>
      </c>
      <c r="XF30" s="13">
        <v>246591.76500000001</v>
      </c>
      <c r="XG30" s="13">
        <v>246751.62700000001</v>
      </c>
      <c r="XH30" s="126"/>
      <c r="XI30" s="13">
        <v>246860.93299999999</v>
      </c>
      <c r="XJ30" s="13">
        <v>246968.761</v>
      </c>
      <c r="XK30" s="13">
        <v>247182.77900000001</v>
      </c>
      <c r="XL30" s="13">
        <v>247338.989</v>
      </c>
      <c r="XM30" s="13">
        <v>247413.052</v>
      </c>
      <c r="XN30" s="13">
        <v>247540.83499999999</v>
      </c>
      <c r="XO30" s="13">
        <v>247703.378</v>
      </c>
      <c r="XP30" s="13">
        <v>247790.29699999999</v>
      </c>
      <c r="XQ30" s="13">
        <v>247887.66899999999</v>
      </c>
      <c r="XR30" s="13">
        <v>247960.64</v>
      </c>
      <c r="XS30" s="13">
        <v>248092.43799999999</v>
      </c>
      <c r="XT30" s="13">
        <v>248184.652</v>
      </c>
      <c r="XU30" s="13">
        <v>248244.549</v>
      </c>
      <c r="XV30" s="13">
        <v>248374.82</v>
      </c>
      <c r="XW30" s="13">
        <v>248478.29</v>
      </c>
      <c r="XX30" s="13">
        <v>248626.57199999999</v>
      </c>
      <c r="XY30" s="13">
        <v>248735.59400000001</v>
      </c>
      <c r="XZ30" s="13">
        <v>248852.092</v>
      </c>
      <c r="YA30" s="13">
        <v>248944.76500000001</v>
      </c>
      <c r="YB30" s="13">
        <v>248957.66500000001</v>
      </c>
      <c r="YC30" s="13">
        <v>249040.45300000001</v>
      </c>
      <c r="YD30" s="13">
        <v>249180.226</v>
      </c>
      <c r="YE30" s="13">
        <v>249383.54300000001</v>
      </c>
      <c r="YF30" s="13">
        <v>249481.386</v>
      </c>
      <c r="YG30" s="13">
        <v>249562.23699999999</v>
      </c>
      <c r="YH30" s="13">
        <v>249793.84400000001</v>
      </c>
      <c r="YI30" s="13">
        <v>249948.01199999999</v>
      </c>
      <c r="YJ30" s="13">
        <v>250076.65700000001</v>
      </c>
      <c r="YK30" s="13">
        <v>250140.95199999999</v>
      </c>
      <c r="YL30" s="13">
        <v>250341.28</v>
      </c>
      <c r="YM30" s="126"/>
      <c r="YN30" s="13">
        <v>250463.21900000001</v>
      </c>
      <c r="YO30" s="13">
        <v>250574.77799999999</v>
      </c>
      <c r="YP30" s="13">
        <v>250669.17199999999</v>
      </c>
      <c r="YQ30" s="13">
        <v>250753.81</v>
      </c>
      <c r="YR30" s="13">
        <v>250886.48699999999</v>
      </c>
      <c r="YS30" s="13">
        <v>251023.03400000001</v>
      </c>
      <c r="YT30" s="13">
        <v>251097.64499999999</v>
      </c>
      <c r="YU30" s="13">
        <v>251111.62</v>
      </c>
      <c r="YV30" s="13">
        <v>251460.75399999999</v>
      </c>
      <c r="YW30" s="13">
        <v>251614.715</v>
      </c>
      <c r="YX30" s="13">
        <v>251797.611</v>
      </c>
      <c r="YY30" s="13">
        <v>251879.323</v>
      </c>
      <c r="YZ30" s="13">
        <v>251942.886</v>
      </c>
      <c r="ZA30" s="13">
        <v>252068.842</v>
      </c>
      <c r="ZB30" s="13">
        <v>252163.67499999999</v>
      </c>
      <c r="ZC30" s="13">
        <v>252225.39199999999</v>
      </c>
      <c r="ZD30" s="13">
        <v>252387.83900000001</v>
      </c>
      <c r="ZE30" s="13">
        <v>252561.05600000001</v>
      </c>
      <c r="ZF30" s="13">
        <v>252716.31200000001</v>
      </c>
      <c r="ZG30" s="13">
        <v>252804.834</v>
      </c>
      <c r="ZH30" s="13">
        <v>252917.51</v>
      </c>
      <c r="ZI30" s="13">
        <v>253322.13500000001</v>
      </c>
      <c r="ZJ30" s="13">
        <v>253407.07399999999</v>
      </c>
      <c r="ZK30" s="13">
        <v>253678.21100000001</v>
      </c>
      <c r="ZL30" s="13">
        <v>253800.80100000001</v>
      </c>
      <c r="ZM30" s="13">
        <v>253956.26800000001</v>
      </c>
      <c r="ZN30" s="13">
        <v>254047</v>
      </c>
      <c r="ZO30" s="13">
        <v>254136.89499999999</v>
      </c>
      <c r="ZP30" s="13">
        <v>254239.041</v>
      </c>
      <c r="ZQ30" s="13">
        <v>254415.96599999999</v>
      </c>
      <c r="ZR30" s="13">
        <v>254533.155</v>
      </c>
      <c r="ZS30" s="126"/>
      <c r="ZT30" s="13">
        <v>254641.75</v>
      </c>
      <c r="ZU30" s="13">
        <v>254775.93</v>
      </c>
      <c r="ZV30" s="13">
        <v>254889.247</v>
      </c>
      <c r="ZW30" s="13">
        <v>254999.533</v>
      </c>
      <c r="ZX30" s="13">
        <v>255132.85399999999</v>
      </c>
      <c r="ZY30" s="13">
        <v>255244.67199999999</v>
      </c>
      <c r="ZZ30" s="13">
        <v>255354.986</v>
      </c>
      <c r="AAA30" s="13">
        <v>255513.47099999999</v>
      </c>
      <c r="AAB30" s="13">
        <v>255602.516</v>
      </c>
      <c r="AAC30" s="13">
        <v>255762.85800000001</v>
      </c>
      <c r="AAD30" s="13">
        <v>255841.98699999999</v>
      </c>
      <c r="AAE30" s="13">
        <v>255983.052</v>
      </c>
      <c r="AAF30" s="13">
        <v>256073.93700000001</v>
      </c>
      <c r="AAG30" s="13">
        <v>256193.603</v>
      </c>
      <c r="AAH30" s="13">
        <v>256470.50700000001</v>
      </c>
      <c r="AAI30" s="13">
        <v>256619.51999999999</v>
      </c>
      <c r="AAJ30" s="13">
        <v>256680.37100000001</v>
      </c>
      <c r="AAK30" s="13">
        <v>256872.829</v>
      </c>
      <c r="AAL30" s="13">
        <v>257156.99</v>
      </c>
      <c r="AAM30" s="13">
        <v>257203.64499999999</v>
      </c>
      <c r="AAN30" s="13">
        <v>257322.99</v>
      </c>
      <c r="AAO30" s="13">
        <v>257380.40599999999</v>
      </c>
      <c r="AAP30" s="13">
        <v>257504.48199999999</v>
      </c>
      <c r="AAQ30" s="13">
        <v>257665.11799999999</v>
      </c>
      <c r="AAR30" s="13">
        <v>257724.03700000001</v>
      </c>
      <c r="AAS30" s="13">
        <v>257786.394</v>
      </c>
      <c r="AAT30" s="13">
        <v>257901.005</v>
      </c>
      <c r="AAU30" s="13">
        <v>258080.78400000001</v>
      </c>
      <c r="AAV30" s="13">
        <v>258233.64799999999</v>
      </c>
      <c r="AAW30" s="13">
        <v>258301.80900000001</v>
      </c>
      <c r="AAX30" s="126"/>
      <c r="AAY30" s="13">
        <v>258393.196</v>
      </c>
      <c r="AAZ30" s="13">
        <v>258488.67199999999</v>
      </c>
      <c r="ABA30" s="13">
        <v>258577.02499999999</v>
      </c>
      <c r="ABB30" s="13">
        <v>258773.785</v>
      </c>
      <c r="ABC30" s="13">
        <v>258934.2</v>
      </c>
      <c r="ABD30" s="13">
        <v>259001.18400000001</v>
      </c>
      <c r="ABE30" s="13">
        <v>259137.73</v>
      </c>
      <c r="ABF30" s="13">
        <v>259326.11300000001</v>
      </c>
      <c r="ABG30" s="13">
        <v>259414.921</v>
      </c>
      <c r="ABH30" s="13">
        <v>259483.946</v>
      </c>
      <c r="ABI30" s="13">
        <v>259701.894</v>
      </c>
      <c r="ABJ30" s="13">
        <v>259844.88699999999</v>
      </c>
      <c r="ABK30" s="13">
        <v>259950.90100000001</v>
      </c>
      <c r="ABL30" s="13">
        <v>260131.535</v>
      </c>
      <c r="ABM30" s="13">
        <v>260192.82</v>
      </c>
      <c r="ABN30" s="13">
        <v>260383.992</v>
      </c>
      <c r="ABO30" s="13">
        <v>260521.93599999999</v>
      </c>
      <c r="ABP30" s="13">
        <v>260641.71599999999</v>
      </c>
      <c r="ABQ30" s="13">
        <v>260641.71599999999</v>
      </c>
      <c r="ABR30" s="13">
        <v>260682.57399999999</v>
      </c>
      <c r="ABS30" s="13">
        <v>260742.78200000001</v>
      </c>
      <c r="ABT30" s="13">
        <v>260859.09</v>
      </c>
      <c r="ABU30" s="13">
        <v>260936.12299999999</v>
      </c>
      <c r="ABV30" s="13">
        <v>261022.14</v>
      </c>
      <c r="ABW30" s="13">
        <v>261151.698</v>
      </c>
      <c r="ABX30" s="13">
        <v>261230.18299999999</v>
      </c>
      <c r="ABY30" s="13">
        <v>261274.264</v>
      </c>
      <c r="ABZ30" s="13">
        <v>261411.23199999999</v>
      </c>
      <c r="ACA30" s="13">
        <v>261511.649</v>
      </c>
      <c r="ACB30" s="13">
        <v>261680.23699999999</v>
      </c>
      <c r="ACC30" s="13">
        <v>261832.27</v>
      </c>
      <c r="ACD30" s="126"/>
      <c r="ACE30" s="13">
        <v>261949.41200000001</v>
      </c>
      <c r="ACF30" s="13">
        <v>262055.424</v>
      </c>
      <c r="ACG30" s="13">
        <v>262160.79100000003</v>
      </c>
      <c r="ACH30" s="13">
        <v>262279.05099999998</v>
      </c>
      <c r="ACI30" s="13">
        <v>262393.66700000002</v>
      </c>
      <c r="ACJ30" s="13">
        <v>262521.636</v>
      </c>
      <c r="ACK30" s="13">
        <v>262648.71999999997</v>
      </c>
      <c r="ACL30" s="13">
        <v>262842.49699999997</v>
      </c>
      <c r="ACM30" s="13">
        <v>262969.36800000002</v>
      </c>
      <c r="ACN30" s="13">
        <v>263030.65299999999</v>
      </c>
      <c r="ACO30" s="13">
        <v>263156.02100000001</v>
      </c>
      <c r="ACP30" s="13">
        <v>263245.20299999998</v>
      </c>
      <c r="ACQ30" s="13">
        <v>263291.43599999999</v>
      </c>
      <c r="ACR30" s="13">
        <v>263451.21000000002</v>
      </c>
      <c r="ACS30" s="13">
        <v>263494.64799999999</v>
      </c>
      <c r="ACT30" s="13">
        <v>263646.24900000001</v>
      </c>
      <c r="ACU30" s="13">
        <v>263794.63400000002</v>
      </c>
      <c r="ACV30" s="13">
        <v>263943.228</v>
      </c>
      <c r="ACW30" s="13">
        <v>264022.14600000001</v>
      </c>
      <c r="ACX30" s="13">
        <v>264106.00900000002</v>
      </c>
      <c r="ACY30" s="13">
        <v>264191.15999999997</v>
      </c>
      <c r="ACZ30" s="13">
        <v>264299.76</v>
      </c>
      <c r="ADA30" s="13">
        <v>264418.89</v>
      </c>
      <c r="ADB30" s="13">
        <v>264494.424</v>
      </c>
      <c r="ADC30" s="13">
        <v>264638.28700000001</v>
      </c>
      <c r="ADD30" s="13">
        <v>264692.04300000001</v>
      </c>
      <c r="ADE30" s="13">
        <v>264797.201</v>
      </c>
      <c r="ADF30" s="13">
        <v>264926.24200000003</v>
      </c>
      <c r="ADG30" s="13">
        <v>265012.25300000003</v>
      </c>
      <c r="ADH30" s="13">
        <v>265073.53899999999</v>
      </c>
      <c r="ADI30" s="13">
        <v>265135.89500000002</v>
      </c>
      <c r="ADJ30" s="126"/>
      <c r="ADK30" s="13">
        <v>265230.51400000002</v>
      </c>
      <c r="ADL30" s="13">
        <v>265302.54499999998</v>
      </c>
      <c r="ADM30" s="13">
        <v>265396.73300000001</v>
      </c>
      <c r="ADN30" s="13">
        <v>265501.66600000003</v>
      </c>
      <c r="ADO30" s="13">
        <v>265617.78499999997</v>
      </c>
      <c r="ADP30" s="13">
        <v>265764.09299999999</v>
      </c>
      <c r="ADQ30" s="13">
        <v>265850.109</v>
      </c>
      <c r="ADR30" s="13">
        <v>265907.09000000003</v>
      </c>
      <c r="ADS30" s="13">
        <v>265995.45</v>
      </c>
      <c r="ADT30" s="13">
        <v>266084.902</v>
      </c>
      <c r="ADU30" s="13">
        <v>266184.891</v>
      </c>
      <c r="ADV30" s="13">
        <v>266258.64600000001</v>
      </c>
      <c r="ADW30" s="13">
        <v>266357.56400000001</v>
      </c>
      <c r="ADX30" s="13">
        <v>266423.74200000003</v>
      </c>
      <c r="ADY30" s="13">
        <v>266551.14799999999</v>
      </c>
      <c r="ADZ30" s="13">
        <v>266660.16600000003</v>
      </c>
      <c r="AEA30" s="13">
        <v>266740.15600000002</v>
      </c>
      <c r="AEB30" s="13">
        <v>266833.96399999998</v>
      </c>
      <c r="AEC30" s="13">
        <v>266918.255</v>
      </c>
      <c r="AED30" s="13">
        <v>267033.60700000002</v>
      </c>
      <c r="AEE30" s="13">
        <v>267229.342</v>
      </c>
      <c r="AEF30" s="13">
        <v>267373.62599999999</v>
      </c>
      <c r="AEG30" s="13">
        <v>267548.66499999998</v>
      </c>
      <c r="AEH30" s="13">
        <v>267614.24800000002</v>
      </c>
      <c r="AEI30" s="13">
        <v>267684.65000000002</v>
      </c>
      <c r="AEJ30" s="13">
        <v>267776.04300000001</v>
      </c>
      <c r="AEK30" s="13">
        <v>267909.87900000002</v>
      </c>
      <c r="AEL30" s="13">
        <v>267978.68900000001</v>
      </c>
      <c r="AEM30" s="13">
        <v>268030.29499999998</v>
      </c>
      <c r="AEN30" s="13">
        <v>268269.72200000001</v>
      </c>
      <c r="AEO30" s="126"/>
      <c r="AEP30" s="13">
        <v>268367.56300000002</v>
      </c>
      <c r="AEQ30" s="13">
        <v>268468.63099999999</v>
      </c>
      <c r="AER30" s="13">
        <v>268557.37</v>
      </c>
      <c r="AES30" s="13">
        <v>268622.52299999999</v>
      </c>
      <c r="AET30" s="13">
        <v>268704.08299999998</v>
      </c>
      <c r="AEU30" s="13">
        <v>268916.75599999999</v>
      </c>
      <c r="AEV30" s="13">
        <v>269015.57900000003</v>
      </c>
      <c r="AEW30" s="13">
        <v>269146.25099999999</v>
      </c>
      <c r="AEX30" s="13">
        <v>269242.03000000003</v>
      </c>
      <c r="AEY30" s="13">
        <v>269291.92</v>
      </c>
      <c r="AEZ30" s="13">
        <v>269342.02299999999</v>
      </c>
      <c r="AFA30" s="13">
        <v>269433.34100000001</v>
      </c>
      <c r="AFB30" s="13">
        <v>269512.17</v>
      </c>
      <c r="AFC30" s="13">
        <v>269617.96999999997</v>
      </c>
      <c r="AFD30" s="13">
        <v>269762.04499999998</v>
      </c>
      <c r="AFE30" s="13">
        <v>269849.77500000002</v>
      </c>
      <c r="AFF30" s="13">
        <v>270020.62099999998</v>
      </c>
      <c r="AFG30" s="13">
        <v>270209.44199999998</v>
      </c>
      <c r="AFH30" s="13">
        <v>270262.98100000003</v>
      </c>
      <c r="AFI30" s="13">
        <v>270453.52899999998</v>
      </c>
      <c r="AFJ30" s="13">
        <v>270580.82799999998</v>
      </c>
      <c r="AFK30" s="13">
        <v>270673.51299999998</v>
      </c>
      <c r="AFL30" s="13">
        <v>270749.41800000001</v>
      </c>
      <c r="AFM30" s="13">
        <v>270828.76500000001</v>
      </c>
      <c r="AFN30" s="13">
        <v>270833.065</v>
      </c>
      <c r="AFO30" s="13">
        <v>270927.24800000002</v>
      </c>
      <c r="AFP30" s="13">
        <v>271014.663</v>
      </c>
      <c r="AFQ30" s="13">
        <v>271092.288</v>
      </c>
      <c r="AFR30" s="13">
        <v>271155.66700000002</v>
      </c>
      <c r="AFS30" s="13">
        <v>271229.853</v>
      </c>
      <c r="AFT30" s="13">
        <v>271264.25699999998</v>
      </c>
      <c r="AFU30" s="126"/>
      <c r="AFV30" s="13">
        <v>271385.81900000002</v>
      </c>
      <c r="AFW30" s="13">
        <v>271453.55099999998</v>
      </c>
      <c r="AFX30" s="13">
        <v>271523.54300000001</v>
      </c>
      <c r="AFY30" s="13">
        <v>271585.47399999999</v>
      </c>
      <c r="AFZ30" s="13">
        <v>271659.66100000002</v>
      </c>
      <c r="AGA30" s="13">
        <v>271781.48100000003</v>
      </c>
      <c r="AGB30" s="13">
        <v>271890.614</v>
      </c>
      <c r="AGC30" s="13">
        <v>271980.50099999999</v>
      </c>
      <c r="AGD30" s="13">
        <v>272015.33500000002</v>
      </c>
      <c r="AGE30" s="13">
        <v>272145.59000000003</v>
      </c>
      <c r="AGF30" s="13">
        <v>272217.41100000002</v>
      </c>
      <c r="AGG30" s="13">
        <v>272337.83299999998</v>
      </c>
      <c r="AGH30" s="13">
        <v>272463.63299999997</v>
      </c>
      <c r="AGI30" s="13">
        <v>272520.61700000003</v>
      </c>
      <c r="AGJ30" s="13">
        <v>272594.59000000003</v>
      </c>
      <c r="AGK30" s="13">
        <v>272658.02299999999</v>
      </c>
      <c r="AGL30" s="13">
        <v>272707.47700000001</v>
      </c>
      <c r="AGM30" s="13">
        <v>272804.02399999998</v>
      </c>
      <c r="AGN30" s="13">
        <v>272897.56300000002</v>
      </c>
      <c r="AGO30" s="13">
        <v>272998.41600000003</v>
      </c>
      <c r="AGP30" s="13">
        <v>273045.01899999997</v>
      </c>
      <c r="AGQ30" s="13">
        <v>273160.20600000001</v>
      </c>
      <c r="AGR30" s="13">
        <v>273276.815</v>
      </c>
      <c r="AGS30" s="13">
        <v>273310.22899999999</v>
      </c>
      <c r="AGT30" s="13">
        <v>273371.78100000002</v>
      </c>
      <c r="AGU30" s="13">
        <v>273500.91399999999</v>
      </c>
      <c r="AGV30" s="13">
        <v>273566.609</v>
      </c>
      <c r="AGW30" s="13">
        <v>273729.08500000002</v>
      </c>
      <c r="AGX30" s="13">
        <v>273811.511</v>
      </c>
      <c r="AGY30" s="13">
        <v>273868.66399999999</v>
      </c>
      <c r="AGZ30" s="126"/>
      <c r="AHA30" s="13">
        <v>274050.01699999999</v>
      </c>
      <c r="AHB30" s="13">
        <v>274167.62199999997</v>
      </c>
      <c r="AHC30" s="13">
        <v>274235.761</v>
      </c>
      <c r="AHD30" s="13">
        <v>274308.55200000003</v>
      </c>
      <c r="AHE30" s="13">
        <v>274509.01899999997</v>
      </c>
      <c r="AHF30" s="13">
        <v>274620.92</v>
      </c>
      <c r="AHG30" s="13">
        <v>274781.50599999999</v>
      </c>
      <c r="AHH30" s="13">
        <v>274891.761</v>
      </c>
      <c r="AHI30" s="13">
        <v>274954.73300000001</v>
      </c>
      <c r="AHJ30" s="13">
        <v>275003.10499999998</v>
      </c>
      <c r="AHK30" s="13">
        <v>275048.86900000001</v>
      </c>
      <c r="AHL30" s="13">
        <v>275124.038</v>
      </c>
      <c r="AHM30" s="13">
        <v>275279.84000000003</v>
      </c>
      <c r="AHN30" s="13">
        <v>275346.29599999997</v>
      </c>
      <c r="AHO30" s="13">
        <v>275494.15700000001</v>
      </c>
      <c r="AHP30" s="13">
        <v>275586.61200000002</v>
      </c>
      <c r="AHQ30" s="13">
        <v>275661.34899999999</v>
      </c>
      <c r="AHR30" s="13">
        <v>275764.19699999999</v>
      </c>
      <c r="AHS30" s="13">
        <v>275871.12400000001</v>
      </c>
      <c r="AHT30" s="13">
        <v>275912.52399999998</v>
      </c>
      <c r="AHU30" s="13">
        <v>275975.24599999998</v>
      </c>
      <c r="AHV30" s="13">
        <v>276117.99599999998</v>
      </c>
      <c r="AHW30" s="13">
        <v>276231.46999999997</v>
      </c>
      <c r="AHX30" s="13">
        <v>276261.97600000002</v>
      </c>
      <c r="AHY30" s="13">
        <v>276304.68300000002</v>
      </c>
      <c r="AHZ30" s="13">
        <v>276392.505</v>
      </c>
      <c r="AIA30" s="13">
        <v>276443.05</v>
      </c>
      <c r="AIB30" s="13">
        <v>276517.78600000002</v>
      </c>
      <c r="AIC30" s="13">
        <v>276559.179</v>
      </c>
      <c r="AID30" s="13">
        <v>276628.41899999999</v>
      </c>
      <c r="AIE30" s="13">
        <v>276677.44199999998</v>
      </c>
      <c r="AIF30" s="126"/>
      <c r="AIG30" s="13">
        <v>276758.06400000001</v>
      </c>
      <c r="AIH30" s="13">
        <v>276849.58600000001</v>
      </c>
      <c r="AII30" s="13">
        <v>276926.49699999997</v>
      </c>
      <c r="AIJ30" s="13">
        <v>276980.26500000001</v>
      </c>
      <c r="AIK30" s="13">
        <v>277027.114</v>
      </c>
      <c r="AIL30" s="13">
        <v>277131.005</v>
      </c>
      <c r="AIM30" s="13">
        <v>277226.81699999998</v>
      </c>
      <c r="AIN30" s="13">
        <v>277320.42700000003</v>
      </c>
      <c r="AIO30" s="13">
        <v>277434.82</v>
      </c>
      <c r="AIP30" s="13">
        <v>277511.739</v>
      </c>
      <c r="AIQ30" s="13">
        <v>277583.7</v>
      </c>
      <c r="AIR30" s="13">
        <v>277661.28200000001</v>
      </c>
      <c r="AIS30" s="13">
        <v>277747.01299999998</v>
      </c>
      <c r="AIT30" s="13">
        <v>277837.89899999998</v>
      </c>
      <c r="AIU30" s="13">
        <v>277866.16700000002</v>
      </c>
      <c r="AIV30" s="13">
        <v>277900.74</v>
      </c>
      <c r="AIW30" s="13">
        <v>277915.95899999997</v>
      </c>
      <c r="AIX30" s="13">
        <v>277983.36499999999</v>
      </c>
      <c r="AIY30" s="13">
        <v>278071.42300000001</v>
      </c>
      <c r="AIZ30" s="13">
        <v>278152.516</v>
      </c>
      <c r="AJA30" s="13">
        <v>278246.005</v>
      </c>
      <c r="AJB30" s="13">
        <v>278368.85499999998</v>
      </c>
      <c r="AJC30" s="13">
        <v>278516.70699999999</v>
      </c>
      <c r="AJD30" s="13">
        <v>278668.89799999999</v>
      </c>
      <c r="AJE30" s="13">
        <v>278707.59499999997</v>
      </c>
      <c r="AJF30" s="13">
        <v>278846.26500000001</v>
      </c>
      <c r="AJG30" s="13">
        <v>278891.92499999999</v>
      </c>
      <c r="AJH30" s="13">
        <v>278943.88299999997</v>
      </c>
      <c r="AJI30" s="13">
        <v>279038.46000000002</v>
      </c>
      <c r="AJJ30" s="13">
        <v>279145.85800000001</v>
      </c>
      <c r="AJK30" s="13">
        <v>279231.74</v>
      </c>
      <c r="AJL30" s="126"/>
      <c r="AJM30" s="13">
        <v>279287.18599999999</v>
      </c>
      <c r="AJN30" s="13">
        <v>279378.93900000001</v>
      </c>
      <c r="AJO30" s="13">
        <v>279478.94400000002</v>
      </c>
      <c r="AJP30" s="13">
        <v>279594.41399999999</v>
      </c>
      <c r="AJQ30" s="13">
        <v>279716.821</v>
      </c>
      <c r="AJR30" s="13">
        <v>279800.08199999999</v>
      </c>
      <c r="AJS30" s="13">
        <v>279887.70400000003</v>
      </c>
      <c r="AJT30" s="13">
        <v>279954.01899999997</v>
      </c>
      <c r="AJU30" s="13">
        <v>280109.31</v>
      </c>
      <c r="AJV30" s="13">
        <v>280206.489</v>
      </c>
      <c r="AJW30" s="13">
        <v>280342.37099999998</v>
      </c>
      <c r="AJX30" s="13">
        <v>280552.77100000001</v>
      </c>
      <c r="AJY30" s="13">
        <v>280639.96899999998</v>
      </c>
      <c r="AJZ30" s="13">
        <v>280678.88799999998</v>
      </c>
      <c r="AKA30" s="13">
        <v>280792.38299999997</v>
      </c>
      <c r="AKB30" s="13">
        <v>280880.21999999997</v>
      </c>
      <c r="AKC30" s="13">
        <v>280995.75900000002</v>
      </c>
      <c r="AKD30" s="13">
        <v>281106.64199999999</v>
      </c>
      <c r="AKE30" s="13">
        <v>281266.41200000001</v>
      </c>
      <c r="AKF30" s="13">
        <v>281360.09700000001</v>
      </c>
      <c r="AKG30" s="13">
        <v>281519.69099999999</v>
      </c>
      <c r="AKH30" s="13">
        <v>281559.91600000003</v>
      </c>
      <c r="AKI30" s="13">
        <v>281656.66800000001</v>
      </c>
      <c r="AKJ30" s="13">
        <v>281744.50199999998</v>
      </c>
      <c r="AKK30" s="13">
        <v>281865.174</v>
      </c>
      <c r="AKL30" s="13">
        <v>281959.31800000003</v>
      </c>
      <c r="AKM30" s="13">
        <v>282087.60600000003</v>
      </c>
      <c r="AKN30" s="13">
        <v>282143.70199999999</v>
      </c>
      <c r="AKO30" s="126"/>
      <c r="AKP30" s="13">
        <v>282270.908</v>
      </c>
      <c r="AKQ30" s="13">
        <v>282384.179</v>
      </c>
      <c r="AKR30" s="13">
        <v>282492.02100000001</v>
      </c>
      <c r="AKS30" s="13">
        <v>282545.94199999998</v>
      </c>
      <c r="AKT30" s="13">
        <v>282674.43900000001</v>
      </c>
      <c r="AKU30" s="13">
        <v>282735.09600000002</v>
      </c>
      <c r="AKV30" s="13">
        <v>282838.36499999999</v>
      </c>
      <c r="AKW30" s="13">
        <v>282964.04300000001</v>
      </c>
      <c r="AKX30" s="13">
        <v>283142.75900000002</v>
      </c>
      <c r="AKY30" s="13">
        <v>283241.33799999999</v>
      </c>
      <c r="AKZ30" s="13">
        <v>283357.48700000002</v>
      </c>
      <c r="ALA30" s="13">
        <v>283434.92300000001</v>
      </c>
      <c r="ALB30" s="13">
        <v>283528.054</v>
      </c>
      <c r="ALC30" s="13">
        <v>283618.11099999998</v>
      </c>
      <c r="ALD30" s="13">
        <v>283814.08799999999</v>
      </c>
      <c r="ALE30" s="13">
        <v>284031.24300000002</v>
      </c>
      <c r="ALF30" s="13">
        <v>284114.85100000002</v>
      </c>
      <c r="ALG30" s="13">
        <v>284212.51500000001</v>
      </c>
      <c r="ALH30" s="13">
        <v>284307.20799999998</v>
      </c>
      <c r="ALI30" s="13">
        <v>284444.891</v>
      </c>
      <c r="ALJ30" s="13">
        <v>284522.87</v>
      </c>
      <c r="ALK30" s="13">
        <v>284743.13799999998</v>
      </c>
      <c r="ALL30" s="13">
        <v>284850.658</v>
      </c>
      <c r="ALM30" s="13">
        <v>284982.45799999998</v>
      </c>
      <c r="ALN30" s="13">
        <v>285181.05800000002</v>
      </c>
      <c r="ALO30" s="13">
        <v>285289.59999999998</v>
      </c>
      <c r="ALP30" s="13">
        <v>285410.2</v>
      </c>
      <c r="ALQ30" s="13">
        <v>285505.8</v>
      </c>
      <c r="ALR30" s="13">
        <v>285705.02500000002</v>
      </c>
      <c r="ALS30" s="13">
        <v>285896.42499999999</v>
      </c>
      <c r="ALT30" s="13">
        <v>285962.38199999998</v>
      </c>
      <c r="ALU30" s="126"/>
      <c r="ALV30" s="13">
        <v>286026.25199999998</v>
      </c>
      <c r="ALW30" s="13">
        <v>286125.766</v>
      </c>
      <c r="ALX30" s="13">
        <v>286252.076</v>
      </c>
      <c r="ALY30" s="13">
        <v>286396.76199999999</v>
      </c>
      <c r="ALZ30" s="13">
        <v>286434.62900000002</v>
      </c>
      <c r="AMA30" s="13">
        <v>286519.69099999999</v>
      </c>
      <c r="AMB30" s="13">
        <v>286619.75199999998</v>
      </c>
      <c r="AMC30" s="13">
        <v>286787.16399999999</v>
      </c>
      <c r="AMD30" s="13">
        <v>286903.10800000001</v>
      </c>
      <c r="AME30" s="13">
        <v>287043.63900000002</v>
      </c>
      <c r="AMF30" s="13">
        <v>287134.11800000002</v>
      </c>
      <c r="AMG30" s="13">
        <v>287190.64199999999</v>
      </c>
      <c r="AMH30" s="13">
        <v>287260.94300000003</v>
      </c>
      <c r="AMI30" s="13">
        <v>287404.04499999998</v>
      </c>
      <c r="AMJ30" s="13">
        <v>287499.63199999998</v>
      </c>
      <c r="AMK30" s="13">
        <v>287610.22100000002</v>
      </c>
      <c r="AML30" s="13">
        <v>287783.13699999999</v>
      </c>
      <c r="AMM30" s="13">
        <v>287933.05200000003</v>
      </c>
      <c r="AMN30" s="13">
        <v>288078.728</v>
      </c>
      <c r="AMO30" s="13">
        <v>288230.73599999998</v>
      </c>
      <c r="AMP30" s="13">
        <v>288280.07199999999</v>
      </c>
      <c r="AMQ30" s="13">
        <v>288396.84399999998</v>
      </c>
      <c r="AMR30" s="13">
        <v>288595.22899999999</v>
      </c>
      <c r="AMS30" s="13">
        <v>288736.57400000002</v>
      </c>
      <c r="AMT30" s="13">
        <v>288850.30300000001</v>
      </c>
      <c r="AMU30" s="13">
        <v>288985.364</v>
      </c>
      <c r="AMV30" s="13">
        <v>289103.46899999998</v>
      </c>
      <c r="AMW30" s="13">
        <v>289298.15700000001</v>
      </c>
      <c r="AMX30" s="13">
        <v>289494.04100000003</v>
      </c>
      <c r="AMY30" s="13">
        <v>289593.00300000003</v>
      </c>
      <c r="AMZ30" s="126"/>
      <c r="ANA30" s="13">
        <v>289668.962</v>
      </c>
      <c r="ANB30" s="13">
        <v>289725.27899999998</v>
      </c>
      <c r="ANC30" s="13">
        <v>289772.71000000002</v>
      </c>
      <c r="AND30" s="13">
        <v>289804.81300000002</v>
      </c>
      <c r="ANE30" s="13">
        <v>289899.04399999999</v>
      </c>
      <c r="ANF30" s="13">
        <v>289975.342</v>
      </c>
      <c r="ANG30" s="13">
        <v>290017.087</v>
      </c>
      <c r="ANH30" s="13">
        <v>290083.16899999999</v>
      </c>
      <c r="ANI30" s="13">
        <v>290145.51699999999</v>
      </c>
      <c r="ANJ30" s="13">
        <v>290218.81400000001</v>
      </c>
      <c r="ANK30" s="13">
        <v>290336.41100000002</v>
      </c>
      <c r="ANL30" s="13">
        <v>290375.14</v>
      </c>
      <c r="ANM30" s="13">
        <v>290414.30499999999</v>
      </c>
      <c r="ANN30" s="13">
        <v>290488.91600000003</v>
      </c>
      <c r="ANO30" s="13">
        <v>290589.50599999999</v>
      </c>
      <c r="ANP30" s="13">
        <v>290744.90500000003</v>
      </c>
      <c r="ANQ30" s="13">
        <v>290830.55099999998</v>
      </c>
      <c r="ANR30" s="13">
        <v>290913.09499999997</v>
      </c>
      <c r="ANS30" s="13">
        <v>290964.79300000001</v>
      </c>
      <c r="ANT30" s="13">
        <v>291015.64199999999</v>
      </c>
      <c r="ANU30" s="13">
        <v>291037.67700000003</v>
      </c>
      <c r="ANV30" s="13">
        <v>291112.14500000002</v>
      </c>
      <c r="ANW30" s="13">
        <v>291176.804</v>
      </c>
      <c r="ANX30" s="13">
        <v>291225.01799999998</v>
      </c>
      <c r="ANY30" s="13">
        <v>291336.88099999999</v>
      </c>
      <c r="ANZ30" s="13">
        <v>291516.31099999999</v>
      </c>
      <c r="AOA30" s="13">
        <v>291730.90899999999</v>
      </c>
      <c r="AOB30" s="13">
        <v>291839.59399999998</v>
      </c>
      <c r="AOC30" s="13">
        <v>292017.34000000003</v>
      </c>
      <c r="AOD30" s="13">
        <v>292260.26400000002</v>
      </c>
      <c r="AOE30">
        <v>292260.26400000002</v>
      </c>
    </row>
    <row r="31" spans="1:1072" x14ac:dyDescent="0.2">
      <c r="A31" s="157"/>
      <c r="B31" s="160"/>
      <c r="C31" s="6" t="s">
        <v>776</v>
      </c>
      <c r="D31" s="16">
        <f t="shared" ref="D31:AH31" si="587">D30-D29</f>
        <v>192.57099999999627</v>
      </c>
      <c r="E31" s="16">
        <f t="shared" si="587"/>
        <v>101.72800000000279</v>
      </c>
      <c r="F31" s="16">
        <f t="shared" si="587"/>
        <v>40.301999999996042</v>
      </c>
      <c r="G31" s="16">
        <f t="shared" si="587"/>
        <v>87.125</v>
      </c>
      <c r="H31" s="16">
        <f t="shared" si="587"/>
        <v>291.99400000000605</v>
      </c>
      <c r="I31" s="16">
        <f t="shared" si="587"/>
        <v>158.80799999998999</v>
      </c>
      <c r="J31" s="16">
        <f t="shared" si="587"/>
        <v>195.94599999999627</v>
      </c>
      <c r="K31" s="16">
        <f t="shared" si="587"/>
        <v>311.60399999999208</v>
      </c>
      <c r="L31" s="16">
        <f t="shared" si="587"/>
        <v>151.17300000000978</v>
      </c>
      <c r="M31" s="16">
        <f t="shared" si="587"/>
        <v>174.21700000000419</v>
      </c>
      <c r="N31" s="16">
        <f t="shared" si="587"/>
        <v>126.06399999998393</v>
      </c>
      <c r="O31" s="16">
        <f t="shared" si="587"/>
        <v>74.615000000019791</v>
      </c>
      <c r="P31" s="16">
        <f t="shared" si="587"/>
        <v>88.432999999989988</v>
      </c>
      <c r="Q31" s="16">
        <f t="shared" si="587"/>
        <v>60.853000000002794</v>
      </c>
      <c r="R31" s="16">
        <f t="shared" si="587"/>
        <v>63.864999999990687</v>
      </c>
      <c r="S31" s="16">
        <f t="shared" si="587"/>
        <v>131.387000000017</v>
      </c>
      <c r="T31" s="16">
        <f t="shared" si="587"/>
        <v>157.61599999997998</v>
      </c>
      <c r="U31" s="16">
        <f t="shared" si="587"/>
        <v>149.8859999999986</v>
      </c>
      <c r="V31" s="16">
        <f t="shared" si="587"/>
        <v>111.17000000001281</v>
      </c>
      <c r="W31" s="16">
        <f t="shared" si="587"/>
        <v>72.032999999995809</v>
      </c>
      <c r="X31" s="16">
        <f t="shared" si="587"/>
        <v>140.09799999999814</v>
      </c>
      <c r="Y31" s="16">
        <f t="shared" si="587"/>
        <v>108.15799999999581</v>
      </c>
      <c r="Z31" s="16">
        <f t="shared" si="587"/>
        <v>95.865000000019791</v>
      </c>
      <c r="AA31" s="16">
        <f t="shared" si="587"/>
        <v>54.960999999981141</v>
      </c>
      <c r="AB31" s="16">
        <f t="shared" si="587"/>
        <v>289.24400000000605</v>
      </c>
      <c r="AC31" s="16">
        <f t="shared" si="587"/>
        <v>156.33800000001793</v>
      </c>
      <c r="AD31" s="16">
        <f t="shared" si="587"/>
        <v>137.62299999999232</v>
      </c>
      <c r="AE31" s="16">
        <f t="shared" si="587"/>
        <v>98.657999999995809</v>
      </c>
      <c r="AF31" s="16">
        <f t="shared" si="587"/>
        <v>121.1019999999844</v>
      </c>
      <c r="AG31" s="16">
        <f t="shared" si="587"/>
        <v>311.52100000000792</v>
      </c>
      <c r="AH31" s="16">
        <f t="shared" si="587"/>
        <v>171.63300000000163</v>
      </c>
      <c r="AI31" s="17">
        <f>SUM(D31:AH31)</f>
        <v>4426.5909999999858</v>
      </c>
      <c r="AJ31" s="16">
        <f t="shared" ref="AJ31:BM31" si="588">AJ30-AJ29</f>
        <v>79.36699999999837</v>
      </c>
      <c r="AK31" s="16">
        <f t="shared" si="588"/>
        <v>203.19700000001467</v>
      </c>
      <c r="AL31" s="16">
        <f t="shared" si="588"/>
        <v>162.50099999998929</v>
      </c>
      <c r="AM31" s="16">
        <f t="shared" si="588"/>
        <v>312.36300000001211</v>
      </c>
      <c r="AN31" s="16">
        <f t="shared" si="588"/>
        <v>238.94399999998859</v>
      </c>
      <c r="AO31" s="16">
        <f t="shared" si="588"/>
        <v>157.14000000001397</v>
      </c>
      <c r="AP31" s="16">
        <f t="shared" si="588"/>
        <v>183.62899999998626</v>
      </c>
      <c r="AQ31" s="16">
        <f t="shared" si="588"/>
        <v>224.32200000001467</v>
      </c>
      <c r="AR31" s="16">
        <f t="shared" si="588"/>
        <v>74.630999999993946</v>
      </c>
      <c r="AS31" s="16">
        <f t="shared" si="588"/>
        <v>172.57099999999627</v>
      </c>
      <c r="AT31" s="16">
        <f t="shared" si="588"/>
        <v>160.3640000000014</v>
      </c>
      <c r="AU31" s="16">
        <f t="shared" si="588"/>
        <v>218.6479999999865</v>
      </c>
      <c r="AV31" s="16">
        <f t="shared" si="588"/>
        <v>93.312000000005355</v>
      </c>
      <c r="AW31" s="16">
        <f t="shared" si="588"/>
        <v>119.58600000001024</v>
      </c>
      <c r="AX31" s="16">
        <f t="shared" si="588"/>
        <v>243.97099999999045</v>
      </c>
      <c r="AY31" s="16">
        <f t="shared" si="588"/>
        <v>126.21799999999348</v>
      </c>
      <c r="AZ31" s="16">
        <f t="shared" si="588"/>
        <v>131.62700000000768</v>
      </c>
      <c r="BA31" s="16">
        <f t="shared" si="588"/>
        <v>159.78899999998976</v>
      </c>
      <c r="BB31" s="16">
        <f t="shared" si="588"/>
        <v>194.97299999999814</v>
      </c>
      <c r="BC31" s="16">
        <f t="shared" si="588"/>
        <v>96.324000000022352</v>
      </c>
      <c r="BD31" s="16">
        <f t="shared" si="588"/>
        <v>139.45499999998719</v>
      </c>
      <c r="BE31" s="16">
        <f t="shared" si="588"/>
        <v>128.36100000000442</v>
      </c>
      <c r="BF31" s="16">
        <f t="shared" si="588"/>
        <v>162.34899999998743</v>
      </c>
      <c r="BG31" s="16">
        <f t="shared" si="588"/>
        <v>79.888000000006286</v>
      </c>
      <c r="BH31" s="16">
        <f t="shared" si="588"/>
        <v>181.21799999999348</v>
      </c>
      <c r="BI31" s="16">
        <f t="shared" si="588"/>
        <v>62.651000000012573</v>
      </c>
      <c r="BJ31" s="16">
        <f t="shared" si="588"/>
        <v>132.64400000000023</v>
      </c>
      <c r="BK31" s="16">
        <f t="shared" si="588"/>
        <v>158.53099999998813</v>
      </c>
      <c r="BL31" s="16">
        <f t="shared" si="588"/>
        <v>97.970000000001164</v>
      </c>
      <c r="BM31" s="16">
        <f t="shared" si="588"/>
        <v>80.801999999996042</v>
      </c>
      <c r="BN31" s="89">
        <f>SUM(AJ31:BM31)</f>
        <v>4577.3459999999905</v>
      </c>
      <c r="BO31" s="16">
        <f t="shared" ref="BO31:CS31" si="589">BO30-BO29</f>
        <v>77.770000000018626</v>
      </c>
      <c r="BP31" s="16">
        <f t="shared" si="589"/>
        <v>132.11999999999534</v>
      </c>
      <c r="BQ31" s="16">
        <f t="shared" si="589"/>
        <v>138.37400000001071</v>
      </c>
      <c r="BR31" s="16">
        <f t="shared" si="589"/>
        <v>119.3859999999986</v>
      </c>
      <c r="BS31" s="16">
        <f t="shared" si="589"/>
        <v>172.7159999999858</v>
      </c>
      <c r="BT31" s="16">
        <f t="shared" si="589"/>
        <v>211.10099999999511</v>
      </c>
      <c r="BU31" s="16">
        <f t="shared" si="589"/>
        <v>115.14400000000023</v>
      </c>
      <c r="BV31" s="16">
        <f t="shared" si="589"/>
        <v>100.55000000001746</v>
      </c>
      <c r="BW31" s="16">
        <f t="shared" si="589"/>
        <v>110.27099999997881</v>
      </c>
      <c r="BX31" s="16">
        <f t="shared" si="589"/>
        <v>127.51500000001397</v>
      </c>
      <c r="BY31" s="16">
        <f t="shared" si="589"/>
        <v>110.09400000001187</v>
      </c>
      <c r="BZ31" s="16">
        <f t="shared" si="589"/>
        <v>118.57499999998254</v>
      </c>
      <c r="CA31" s="16">
        <f t="shared" si="589"/>
        <v>167.04899999999907</v>
      </c>
      <c r="CB31" s="16">
        <f t="shared" si="589"/>
        <v>139.2840000000142</v>
      </c>
      <c r="CC31" s="16">
        <f t="shared" si="589"/>
        <v>133.4769999999844</v>
      </c>
      <c r="CD31" s="16">
        <f t="shared" si="589"/>
        <v>127.26500000001397</v>
      </c>
      <c r="CE31" s="16">
        <f t="shared" si="589"/>
        <v>103.02400000000489</v>
      </c>
      <c r="CF31" s="16">
        <f t="shared" si="589"/>
        <v>98.37699999997858</v>
      </c>
      <c r="CG31" s="16">
        <f t="shared" si="589"/>
        <v>115.54700000002049</v>
      </c>
      <c r="CH31" s="16">
        <f t="shared" si="589"/>
        <v>69.691999999980908</v>
      </c>
      <c r="CI31" s="16">
        <f t="shared" si="589"/>
        <v>105.85099999999511</v>
      </c>
      <c r="CJ31" s="16">
        <f t="shared" si="589"/>
        <v>54.540000000008149</v>
      </c>
      <c r="CK31" s="16">
        <f t="shared" si="589"/>
        <v>94.736999999993714</v>
      </c>
      <c r="CL31" s="16">
        <f t="shared" si="589"/>
        <v>152.49900000001071</v>
      </c>
      <c r="CM31" s="16">
        <f t="shared" si="589"/>
        <v>72.516999999992549</v>
      </c>
      <c r="CN31" s="16">
        <f t="shared" si="589"/>
        <v>112.56500000000233</v>
      </c>
      <c r="CO31" s="16">
        <f t="shared" si="589"/>
        <v>75.75</v>
      </c>
      <c r="CP31" s="16">
        <f t="shared" si="589"/>
        <v>113.32399999999325</v>
      </c>
      <c r="CQ31" s="16">
        <f t="shared" si="589"/>
        <v>81.812000000005355</v>
      </c>
      <c r="CR31" s="16">
        <f t="shared" si="589"/>
        <v>121.20200000001932</v>
      </c>
      <c r="CS31" s="16">
        <f t="shared" si="589"/>
        <v>97.971999999979744</v>
      </c>
      <c r="CT31" s="89">
        <f>SUM(BO31:CS31)</f>
        <v>3570.1000000000058</v>
      </c>
      <c r="CU31" s="16">
        <f t="shared" ref="CU31:DX31" si="590">CU30-CU29</f>
        <v>115.74700000000303</v>
      </c>
      <c r="CV31" s="16">
        <f t="shared" si="590"/>
        <v>95.953999999997905</v>
      </c>
      <c r="CW31" s="16">
        <f t="shared" si="590"/>
        <v>103.92999999999302</v>
      </c>
      <c r="CX31" s="16">
        <f t="shared" si="590"/>
        <v>106.05400000000373</v>
      </c>
      <c r="CY31" s="16">
        <f t="shared" si="590"/>
        <v>115.45000000001164</v>
      </c>
      <c r="CZ31" s="16">
        <f t="shared" si="590"/>
        <v>81.606999999989057</v>
      </c>
      <c r="DA31" s="16">
        <f t="shared" si="590"/>
        <v>126.05100000000675</v>
      </c>
      <c r="DB31" s="16">
        <f t="shared" si="590"/>
        <v>190.89300000001094</v>
      </c>
      <c r="DC31" s="16">
        <f t="shared" si="590"/>
        <v>112.72000000000116</v>
      </c>
      <c r="DD31" s="16">
        <f t="shared" si="590"/>
        <v>119.18399999997928</v>
      </c>
      <c r="DE31" s="16">
        <f t="shared" si="590"/>
        <v>209.70600000000559</v>
      </c>
      <c r="DF31" s="16">
        <f t="shared" si="590"/>
        <v>56.535999999992782</v>
      </c>
      <c r="DG31" s="16">
        <f t="shared" si="590"/>
        <v>103.02200000002631</v>
      </c>
      <c r="DH31" s="16">
        <f t="shared" si="590"/>
        <v>188.19399999998859</v>
      </c>
      <c r="DI31" s="16">
        <f t="shared" si="590"/>
        <v>71.50899999999092</v>
      </c>
      <c r="DJ31" s="16">
        <f t="shared" si="590"/>
        <v>105.65400000000955</v>
      </c>
      <c r="DK31" s="16">
        <f t="shared" si="590"/>
        <v>247.56200000000536</v>
      </c>
      <c r="DL31" s="16">
        <f t="shared" si="590"/>
        <v>274.54399999999441</v>
      </c>
      <c r="DM31" s="16">
        <f t="shared" si="590"/>
        <v>154.71299999998882</v>
      </c>
      <c r="DN31" s="16">
        <f t="shared" si="590"/>
        <v>199.2960000000021</v>
      </c>
      <c r="DO31" s="16">
        <f t="shared" si="590"/>
        <v>108.80800000001909</v>
      </c>
      <c r="DP31" s="16">
        <f t="shared" si="590"/>
        <v>216.83099999997648</v>
      </c>
      <c r="DQ31" s="16">
        <f t="shared" si="590"/>
        <v>91.173999999999069</v>
      </c>
      <c r="DR31" s="16">
        <f t="shared" si="590"/>
        <v>93.183000000019092</v>
      </c>
      <c r="DS31" s="16">
        <f t="shared" si="590"/>
        <v>130.64999999999418</v>
      </c>
      <c r="DT31" s="16">
        <f t="shared" si="590"/>
        <v>143.59200000000419</v>
      </c>
      <c r="DU31" s="16">
        <f t="shared" si="590"/>
        <v>288.47899999999208</v>
      </c>
      <c r="DV31" s="16">
        <f t="shared" si="590"/>
        <v>151.61999999999534</v>
      </c>
      <c r="DW31" s="16">
        <f t="shared" si="590"/>
        <v>207.45600000000559</v>
      </c>
      <c r="DX31" s="16">
        <f t="shared" si="590"/>
        <v>95.690999999991618</v>
      </c>
      <c r="DY31" s="116">
        <f>SUM(CU31:DX31)</f>
        <v>4305.8099999999977</v>
      </c>
      <c r="DZ31" s="16">
        <f t="shared" ref="DZ31:FD31" si="591">DZ30-DZ29</f>
        <v>86.668000000005122</v>
      </c>
      <c r="EA31" s="16">
        <f t="shared" si="591"/>
        <v>75.948000000003958</v>
      </c>
      <c r="EB31" s="16">
        <f t="shared" si="591"/>
        <v>137.52700000000186</v>
      </c>
      <c r="EC31" s="16">
        <f t="shared" si="591"/>
        <v>145.29300000000512</v>
      </c>
      <c r="ED31" s="16">
        <f t="shared" si="591"/>
        <v>118.2949999999837</v>
      </c>
      <c r="EE31" s="16">
        <f t="shared" si="591"/>
        <v>138.27700000000186</v>
      </c>
      <c r="EF31" s="16">
        <f t="shared" si="591"/>
        <v>83.464999999996508</v>
      </c>
      <c r="EG31" s="16">
        <f t="shared" si="591"/>
        <v>67.108000000007451</v>
      </c>
      <c r="EH31" s="16">
        <f t="shared" si="591"/>
        <v>282.21700000000419</v>
      </c>
      <c r="EI31" s="16">
        <f t="shared" si="591"/>
        <v>139.42699999999604</v>
      </c>
      <c r="EJ31" s="16">
        <f t="shared" si="591"/>
        <v>177.31299999999464</v>
      </c>
      <c r="EK31" s="16">
        <f t="shared" si="591"/>
        <v>113.06200000000536</v>
      </c>
      <c r="EL31" s="16">
        <f t="shared" si="591"/>
        <v>90.467999999993481</v>
      </c>
      <c r="EM31" s="16">
        <f t="shared" si="591"/>
        <v>155.50500000000466</v>
      </c>
      <c r="EN31" s="16">
        <f t="shared" si="591"/>
        <v>147.61500000001979</v>
      </c>
      <c r="EO31" s="16">
        <f t="shared" si="591"/>
        <v>117.51299999997718</v>
      </c>
      <c r="EP31" s="16">
        <f t="shared" si="591"/>
        <v>102.29300000000512</v>
      </c>
      <c r="EQ31" s="16">
        <f t="shared" si="591"/>
        <v>114.00200000000768</v>
      </c>
      <c r="ER31" s="16">
        <f t="shared" si="591"/>
        <v>120.39499999998952</v>
      </c>
      <c r="ES31" s="16">
        <f t="shared" si="591"/>
        <v>175.44100000002072</v>
      </c>
      <c r="ET31" s="16">
        <f t="shared" si="591"/>
        <v>139.15699999997742</v>
      </c>
      <c r="EU31" s="16">
        <f t="shared" si="591"/>
        <v>150.0910000000149</v>
      </c>
      <c r="EV31" s="16">
        <f t="shared" si="591"/>
        <v>250.49400000000605</v>
      </c>
      <c r="EW31" s="16">
        <f t="shared" si="591"/>
        <v>266.58499999999185</v>
      </c>
      <c r="EX31" s="16">
        <f t="shared" si="591"/>
        <v>138.13699999998789</v>
      </c>
      <c r="EY31" s="16">
        <f t="shared" si="591"/>
        <v>138.13000000000466</v>
      </c>
      <c r="EZ31" s="16">
        <f t="shared" si="591"/>
        <v>68.861000000004424</v>
      </c>
      <c r="FA31" s="16">
        <f t="shared" si="591"/>
        <v>147.20999999999185</v>
      </c>
      <c r="FB31" s="16">
        <f t="shared" si="591"/>
        <v>149.0679999999993</v>
      </c>
      <c r="FC31" s="16">
        <f t="shared" si="591"/>
        <v>104.52600000001257</v>
      </c>
      <c r="FD31" s="16">
        <f t="shared" si="591"/>
        <v>110.70900000000256</v>
      </c>
      <c r="FE31" s="127">
        <f>SUM(DZ31:FD31)</f>
        <v>4250.8000000000175</v>
      </c>
      <c r="FF31" s="16">
        <f t="shared" ref="FF31:GJ31" si="592">FF30-FF29</f>
        <v>63.904999999998836</v>
      </c>
      <c r="FG31" s="16">
        <f t="shared" si="592"/>
        <v>68.030999999988126</v>
      </c>
      <c r="FH31" s="16">
        <f t="shared" si="592"/>
        <v>185</v>
      </c>
      <c r="FI31" s="16">
        <f t="shared" si="592"/>
        <v>177.30999999999767</v>
      </c>
      <c r="FJ31" s="16">
        <f t="shared" si="592"/>
        <v>109.27100000000792</v>
      </c>
      <c r="FK31" s="16">
        <f t="shared" si="592"/>
        <v>201.90400000000955</v>
      </c>
      <c r="FL31" s="16">
        <f t="shared" si="592"/>
        <v>135.4429999999993</v>
      </c>
      <c r="FM31" s="16">
        <f t="shared" si="592"/>
        <v>84.524999999994179</v>
      </c>
      <c r="FN31" s="16">
        <f t="shared" si="592"/>
        <v>124.10899999999674</v>
      </c>
      <c r="FO31" s="16">
        <f t="shared" si="592"/>
        <v>45.973999999987427</v>
      </c>
      <c r="FP31" s="16">
        <f t="shared" si="592"/>
        <v>134.83800000001793</v>
      </c>
      <c r="FQ31" s="16">
        <f t="shared" si="592"/>
        <v>103.08199999999488</v>
      </c>
      <c r="FR31" s="16">
        <f t="shared" si="592"/>
        <v>55.663000000000466</v>
      </c>
      <c r="FS31" s="16">
        <f t="shared" si="592"/>
        <v>80.397999999986496</v>
      </c>
      <c r="FT31" s="16">
        <f t="shared" si="592"/>
        <v>105.61200000002282</v>
      </c>
      <c r="FU31" s="16">
        <f t="shared" si="592"/>
        <v>110.30099999997765</v>
      </c>
      <c r="FV31" s="16">
        <f t="shared" si="592"/>
        <v>237.10800000000745</v>
      </c>
      <c r="FW31" s="16">
        <f t="shared" si="592"/>
        <v>173.72899999999208</v>
      </c>
      <c r="FX31" s="16">
        <f t="shared" si="592"/>
        <v>45.357000000018161</v>
      </c>
      <c r="FY31" s="16">
        <f t="shared" si="592"/>
        <v>238.13300000000163</v>
      </c>
      <c r="FZ31" s="16">
        <f t="shared" si="592"/>
        <v>118.54300000000512</v>
      </c>
      <c r="GA31" s="16">
        <f t="shared" si="592"/>
        <v>75.459000000002561</v>
      </c>
      <c r="GB31" s="16">
        <f t="shared" si="592"/>
        <v>131.76199999998789</v>
      </c>
      <c r="GC31" s="16">
        <f t="shared" si="592"/>
        <v>97.619000000006054</v>
      </c>
      <c r="GD31" s="16">
        <f t="shared" si="592"/>
        <v>171.08199999999488</v>
      </c>
      <c r="GE31" s="16">
        <f t="shared" si="592"/>
        <v>137.30900000000838</v>
      </c>
      <c r="GF31" s="16">
        <f t="shared" si="592"/>
        <v>102.46199999999953</v>
      </c>
      <c r="GG31" s="16">
        <f t="shared" si="592"/>
        <v>98.960999999981141</v>
      </c>
      <c r="GH31" s="16">
        <f t="shared" si="592"/>
        <v>225.762000000017</v>
      </c>
      <c r="GI31" s="16">
        <f t="shared" si="592"/>
        <v>226.76999999998952</v>
      </c>
      <c r="GJ31" s="16">
        <f t="shared" si="592"/>
        <v>242.25400000001537</v>
      </c>
      <c r="GK31" s="126"/>
      <c r="GL31" s="16">
        <f t="shared" ref="GL31:HN31" si="593">GL30-GL29</f>
        <v>74.835999999981141</v>
      </c>
      <c r="GM31" s="16">
        <f t="shared" si="593"/>
        <v>111.33300000001327</v>
      </c>
      <c r="GN31" s="16">
        <f t="shared" si="593"/>
        <v>72.154999999998836</v>
      </c>
      <c r="GO31" s="16">
        <f t="shared" si="593"/>
        <v>85.353999999992084</v>
      </c>
      <c r="GP31" s="16">
        <f t="shared" si="593"/>
        <v>137.71499999999651</v>
      </c>
      <c r="GQ31" s="16">
        <f t="shared" si="593"/>
        <v>70.477000000013504</v>
      </c>
      <c r="GR31" s="16">
        <f t="shared" si="593"/>
        <v>180.47599999999511</v>
      </c>
      <c r="GS31" s="16">
        <f t="shared" si="593"/>
        <v>182.0449999999837</v>
      </c>
      <c r="GT31" s="16">
        <f t="shared" si="593"/>
        <v>128.58100000000559</v>
      </c>
      <c r="GU31" s="16">
        <f t="shared" si="593"/>
        <v>106.58999999999651</v>
      </c>
      <c r="GV31" s="16">
        <f t="shared" si="593"/>
        <v>109.2609999999986</v>
      </c>
      <c r="GW31" s="16">
        <f t="shared" si="593"/>
        <v>92.415000000008149</v>
      </c>
      <c r="GX31" s="16">
        <f t="shared" si="593"/>
        <v>108.22899999999208</v>
      </c>
      <c r="GY31" s="16">
        <f t="shared" si="593"/>
        <v>63.913000000000466</v>
      </c>
      <c r="GZ31" s="16">
        <f t="shared" si="593"/>
        <v>63.287000000011176</v>
      </c>
      <c r="HA31" s="16">
        <f t="shared" si="593"/>
        <v>125.55999999999767</v>
      </c>
      <c r="HB31" s="16">
        <f t="shared" si="593"/>
        <v>95.25</v>
      </c>
      <c r="HC31" s="16">
        <f t="shared" si="593"/>
        <v>78.342000000004191</v>
      </c>
      <c r="HD31" s="16">
        <f t="shared" si="593"/>
        <v>215.86900000000605</v>
      </c>
      <c r="HE31" s="16">
        <f t="shared" si="593"/>
        <v>2151.8150000000023</v>
      </c>
      <c r="HF31" s="16">
        <f t="shared" si="593"/>
        <v>162.66199999998207</v>
      </c>
      <c r="HG31" s="16">
        <f t="shared" si="593"/>
        <v>150.2160000000149</v>
      </c>
      <c r="HH31" s="16">
        <f t="shared" si="593"/>
        <v>175.51399999999558</v>
      </c>
      <c r="HI31" s="16">
        <f t="shared" si="593"/>
        <v>161.84599999999045</v>
      </c>
      <c r="HJ31" s="16">
        <f t="shared" si="593"/>
        <v>55.043000000005122</v>
      </c>
      <c r="HK31" s="16">
        <f t="shared" si="593"/>
        <v>80.716000000014901</v>
      </c>
      <c r="HL31" s="16">
        <f t="shared" si="593"/>
        <v>160.54299999997602</v>
      </c>
      <c r="HM31" s="16">
        <f t="shared" si="593"/>
        <v>94.218000000022585</v>
      </c>
      <c r="HN31" s="16">
        <f t="shared" si="593"/>
        <v>63.702999999979511</v>
      </c>
      <c r="HO31" s="126"/>
      <c r="HP31" s="16">
        <f t="shared" ref="HP31:IT31" si="594">HP30-HP29</f>
        <v>104.73300000000745</v>
      </c>
      <c r="HQ31" s="16">
        <f t="shared" si="594"/>
        <v>240.18599999998696</v>
      </c>
      <c r="HR31" s="16">
        <f t="shared" si="594"/>
        <v>141.64100000000326</v>
      </c>
      <c r="HS31" s="16">
        <f t="shared" si="594"/>
        <v>176.68300000001909</v>
      </c>
      <c r="HT31" s="16">
        <f t="shared" si="594"/>
        <v>107.20999999999185</v>
      </c>
      <c r="HU31" s="16">
        <f t="shared" si="594"/>
        <v>180.67000000001281</v>
      </c>
      <c r="HV31" s="16">
        <f t="shared" si="594"/>
        <v>189.67199999999139</v>
      </c>
      <c r="HW31" s="16">
        <f t="shared" si="594"/>
        <v>139.1699999999837</v>
      </c>
      <c r="HX31" s="16">
        <f t="shared" si="594"/>
        <v>71.122000000003027</v>
      </c>
      <c r="HY31" s="16">
        <f t="shared" si="594"/>
        <v>120.60899999999674</v>
      </c>
      <c r="HZ31" s="16">
        <f t="shared" si="594"/>
        <v>128.06400000001304</v>
      </c>
      <c r="IA31" s="16">
        <f t="shared" si="594"/>
        <v>84.636999999987893</v>
      </c>
      <c r="IB31" s="16">
        <f t="shared" si="594"/>
        <v>123.7270000000135</v>
      </c>
      <c r="IC31" s="16">
        <f t="shared" si="594"/>
        <v>117.16200000001118</v>
      </c>
      <c r="ID31" s="16">
        <f t="shared" si="594"/>
        <v>112.00999999998021</v>
      </c>
      <c r="IE31" s="16">
        <f t="shared" si="594"/>
        <v>138.54899999999907</v>
      </c>
      <c r="IF31" s="16">
        <f t="shared" si="594"/>
        <v>96.610000000015134</v>
      </c>
      <c r="IG31" s="16">
        <f t="shared" si="594"/>
        <v>112.28800000000047</v>
      </c>
      <c r="IH31" s="16">
        <f t="shared" si="594"/>
        <v>196.51199999998789</v>
      </c>
      <c r="II31" s="16">
        <f t="shared" si="594"/>
        <v>148.21199999999953</v>
      </c>
      <c r="IJ31" s="16">
        <f t="shared" si="594"/>
        <v>76.561000000016065</v>
      </c>
      <c r="IK31" s="16">
        <f t="shared" si="594"/>
        <v>110.09500000000116</v>
      </c>
      <c r="IL31" s="16">
        <f t="shared" si="594"/>
        <v>208.17299999998068</v>
      </c>
      <c r="IM31" s="16">
        <f t="shared" si="594"/>
        <v>104.03200000000652</v>
      </c>
      <c r="IN31" s="16">
        <f t="shared" si="594"/>
        <v>185.99799999999232</v>
      </c>
      <c r="IO31" s="16">
        <f t="shared" si="594"/>
        <v>220.65799999999581</v>
      </c>
      <c r="IP31" s="16">
        <f t="shared" si="594"/>
        <v>0.4250000000174623</v>
      </c>
      <c r="IQ31" s="16">
        <f t="shared" si="594"/>
        <v>96.899999999994179</v>
      </c>
      <c r="IR31" s="16">
        <f t="shared" si="594"/>
        <v>159.70999999999185</v>
      </c>
      <c r="IS31" s="16">
        <f t="shared" si="594"/>
        <v>80.557000000000698</v>
      </c>
      <c r="IT31" s="16">
        <f t="shared" si="594"/>
        <v>109.30400000000373</v>
      </c>
      <c r="IU31" s="126"/>
      <c r="IV31" s="16">
        <f t="shared" ref="IV31:JY31" si="595">IV30-IV29</f>
        <v>93.247000000003027</v>
      </c>
      <c r="IW31" s="16">
        <f t="shared" si="595"/>
        <v>200.95100000000093</v>
      </c>
      <c r="IX31" s="16">
        <f t="shared" si="595"/>
        <v>116.22800000000279</v>
      </c>
      <c r="IY31" s="16">
        <f t="shared" si="595"/>
        <v>226.65299999999115</v>
      </c>
      <c r="IZ31" s="16">
        <f t="shared" si="595"/>
        <v>131.25200000000768</v>
      </c>
      <c r="JA31" s="16">
        <f t="shared" si="595"/>
        <v>118.03099999998813</v>
      </c>
      <c r="JB31" s="16">
        <f t="shared" si="595"/>
        <v>72.216000000014901</v>
      </c>
      <c r="JC31" s="16">
        <f t="shared" si="595"/>
        <v>175.62599999998929</v>
      </c>
      <c r="JD31" s="16">
        <f t="shared" si="595"/>
        <v>101.19800000000396</v>
      </c>
      <c r="JE31" s="16">
        <f t="shared" si="595"/>
        <v>104.20900000000256</v>
      </c>
      <c r="JF31" s="16">
        <f t="shared" si="595"/>
        <v>125.36799999998766</v>
      </c>
      <c r="JG31" s="16">
        <f t="shared" si="595"/>
        <v>93.566000000020722</v>
      </c>
      <c r="JH31" s="16">
        <f t="shared" si="595"/>
        <v>129.25399999998626</v>
      </c>
      <c r="JI31" s="16">
        <f t="shared" si="595"/>
        <v>95.189000000013039</v>
      </c>
      <c r="JJ31" s="16">
        <f t="shared" si="595"/>
        <v>148.69599999999627</v>
      </c>
      <c r="JK31" s="16">
        <f t="shared" si="595"/>
        <v>130.61699999999837</v>
      </c>
      <c r="JL31" s="16">
        <f t="shared" si="595"/>
        <v>125.84799999999814</v>
      </c>
      <c r="JM31" s="16">
        <f t="shared" si="595"/>
        <v>144.27900000000955</v>
      </c>
      <c r="JN31" s="16">
        <f t="shared" si="595"/>
        <v>77.547999999980675</v>
      </c>
      <c r="JO31" s="16">
        <f t="shared" si="595"/>
        <v>137.23099999999977</v>
      </c>
      <c r="JP31" s="16">
        <f t="shared" si="595"/>
        <v>83.763999999995576</v>
      </c>
      <c r="JQ31" s="16">
        <f t="shared" si="595"/>
        <v>386.52800000002026</v>
      </c>
      <c r="JR31" s="16">
        <f t="shared" si="595"/>
        <v>124.64499999998952</v>
      </c>
      <c r="JS31" s="16">
        <f t="shared" si="595"/>
        <v>158.71100000001024</v>
      </c>
      <c r="JT31" s="16">
        <f t="shared" si="595"/>
        <v>188.31699999998091</v>
      </c>
      <c r="JU31" s="16">
        <f t="shared" si="595"/>
        <v>152.137000000017</v>
      </c>
      <c r="JV31" s="16">
        <f t="shared" si="595"/>
        <v>101.10099999999511</v>
      </c>
      <c r="JW31" s="16">
        <f t="shared" si="595"/>
        <v>76.687999999994645</v>
      </c>
      <c r="JX31" s="16">
        <f t="shared" si="595"/>
        <v>109.40600000001723</v>
      </c>
      <c r="JY31" s="16">
        <f t="shared" si="595"/>
        <v>93.455999999976484</v>
      </c>
      <c r="JZ31" s="127">
        <f>SUM(IV31:JY31)</f>
        <v>4021.9599999999919</v>
      </c>
      <c r="KA31" s="16">
        <f t="shared" ref="KA31:LE31" si="596">KA30-KA29</f>
        <v>28.629000000015367</v>
      </c>
      <c r="KB31" s="16">
        <f t="shared" si="596"/>
        <v>124.73999999999069</v>
      </c>
      <c r="KC31" s="16">
        <f t="shared" si="596"/>
        <v>155.06500000000233</v>
      </c>
      <c r="KD31" s="16">
        <f t="shared" si="596"/>
        <v>153.0460000000021</v>
      </c>
      <c r="KE31" s="16">
        <f t="shared" si="596"/>
        <v>130.48600000000442</v>
      </c>
      <c r="KF31" s="16">
        <f t="shared" si="596"/>
        <v>143.15700000000652</v>
      </c>
      <c r="KG31" s="16">
        <f t="shared" si="596"/>
        <v>311.0339999999851</v>
      </c>
      <c r="KH31" s="16">
        <f t="shared" si="596"/>
        <v>236.55100000000675</v>
      </c>
      <c r="KI31" s="16">
        <f t="shared" si="596"/>
        <v>396.76900000000023</v>
      </c>
      <c r="KJ31" s="16">
        <f t="shared" si="596"/>
        <v>325.64199999999255</v>
      </c>
      <c r="KK31" s="16">
        <f t="shared" si="596"/>
        <v>273.43499999999767</v>
      </c>
      <c r="KL31" s="16">
        <f t="shared" si="596"/>
        <v>191.69800000000396</v>
      </c>
      <c r="KM31" s="16">
        <f t="shared" si="596"/>
        <v>281.79899999999907</v>
      </c>
      <c r="KN31" s="16">
        <f t="shared" si="596"/>
        <v>262.29300000000512</v>
      </c>
      <c r="KO31" s="16">
        <f t="shared" si="596"/>
        <v>172.68700000000536</v>
      </c>
      <c r="KP31" s="16">
        <f t="shared" si="596"/>
        <v>1207.5320000000065</v>
      </c>
      <c r="KQ31" s="16">
        <f t="shared" si="596"/>
        <v>195.125</v>
      </c>
      <c r="KR31" s="16">
        <f t="shared" si="596"/>
        <v>326.86499999999069</v>
      </c>
      <c r="KS31" s="16">
        <f t="shared" si="596"/>
        <v>98.275999999983469</v>
      </c>
      <c r="KT31" s="16">
        <f t="shared" si="596"/>
        <v>203.25500000000466</v>
      </c>
      <c r="KU31" s="16">
        <f t="shared" si="596"/>
        <v>678.98200000001816</v>
      </c>
      <c r="KV31" s="16">
        <f t="shared" si="596"/>
        <v>557.23600000000442</v>
      </c>
      <c r="KW31" s="16">
        <f t="shared" si="596"/>
        <v>1272.1589999999851</v>
      </c>
      <c r="KX31" s="16">
        <f t="shared" si="596"/>
        <v>153.25299999999697</v>
      </c>
      <c r="KY31" s="16">
        <f t="shared" si="596"/>
        <v>199.68100000001141</v>
      </c>
      <c r="KZ31" s="16">
        <f t="shared" si="596"/>
        <v>85.169999999983702</v>
      </c>
      <c r="LA31" s="16">
        <f t="shared" si="596"/>
        <v>159.5800000000163</v>
      </c>
      <c r="LB31" s="16">
        <f t="shared" si="596"/>
        <v>197.63999999998487</v>
      </c>
      <c r="LC31" s="16">
        <f t="shared" si="596"/>
        <v>320.74100000000908</v>
      </c>
      <c r="LD31" s="16">
        <f t="shared" si="596"/>
        <v>212.54399999999441</v>
      </c>
      <c r="LE31" s="16">
        <f t="shared" si="596"/>
        <v>332.76699999999255</v>
      </c>
      <c r="LF31" s="127">
        <f>SUM(KB31:LE31)</f>
        <v>9359.2079999999842</v>
      </c>
      <c r="LG31" s="16">
        <f t="shared" ref="LG31:MJ31" si="597">LG30-LG29</f>
        <v>168.27100000000792</v>
      </c>
      <c r="LH31" s="16">
        <f t="shared" si="597"/>
        <v>108.64499999998952</v>
      </c>
      <c r="LI31" s="16">
        <f t="shared" si="597"/>
        <v>168.43900000001304</v>
      </c>
      <c r="LJ31" s="16">
        <f t="shared" si="597"/>
        <v>343.41599999999744</v>
      </c>
      <c r="LK31" s="16">
        <f t="shared" si="597"/>
        <v>194.59700000000885</v>
      </c>
      <c r="LL31" s="16">
        <f t="shared" si="597"/>
        <v>203.67199999999139</v>
      </c>
      <c r="LM31" s="16">
        <f t="shared" si="597"/>
        <v>386.28200000000652</v>
      </c>
      <c r="LN31" s="16">
        <f t="shared" si="597"/>
        <v>259.66899999999441</v>
      </c>
      <c r="LO31" s="16">
        <f t="shared" si="597"/>
        <v>192.94899999999325</v>
      </c>
      <c r="LP31" s="16">
        <f t="shared" si="597"/>
        <v>263.07500000001164</v>
      </c>
      <c r="LQ31" s="16">
        <f t="shared" si="597"/>
        <v>204.13899999999558</v>
      </c>
      <c r="LR31" s="16">
        <f t="shared" si="597"/>
        <v>147.14300000001094</v>
      </c>
      <c r="LS31" s="16">
        <f t="shared" si="597"/>
        <v>217.27799999999115</v>
      </c>
      <c r="LT31" s="16">
        <f t="shared" si="597"/>
        <v>278.30100000000675</v>
      </c>
      <c r="LU31" s="16">
        <f t="shared" si="597"/>
        <v>179.62099999998463</v>
      </c>
      <c r="LV31" s="16">
        <f t="shared" si="597"/>
        <v>55.817999999999302</v>
      </c>
      <c r="LW31" s="16">
        <f t="shared" si="597"/>
        <v>170.40700000000652</v>
      </c>
      <c r="LX31" s="16">
        <f t="shared" si="597"/>
        <v>168.44599999999627</v>
      </c>
      <c r="LY31" s="16">
        <f t="shared" si="597"/>
        <v>415.58500000002095</v>
      </c>
      <c r="LZ31" s="16">
        <f t="shared" si="597"/>
        <v>92.773999999975786</v>
      </c>
      <c r="MA31" s="16">
        <f t="shared" si="597"/>
        <v>131.56100000001607</v>
      </c>
      <c r="MB31" s="16">
        <f t="shared" si="597"/>
        <v>137.01600000000326</v>
      </c>
      <c r="MC31" s="16">
        <f t="shared" si="597"/>
        <v>118.74099999997998</v>
      </c>
      <c r="MD31" s="16">
        <f t="shared" si="597"/>
        <v>106.99100000000908</v>
      </c>
      <c r="ME31" s="16">
        <f t="shared" si="597"/>
        <v>107.20600000000559</v>
      </c>
      <c r="MF31" s="16">
        <f t="shared" si="597"/>
        <v>62.280999999988126</v>
      </c>
      <c r="MG31" s="16">
        <f t="shared" si="597"/>
        <v>116.83699999999953</v>
      </c>
      <c r="MH31" s="16">
        <f t="shared" si="597"/>
        <v>228.97800000000279</v>
      </c>
      <c r="MI31" s="16">
        <f t="shared" si="597"/>
        <v>165.96300000001793</v>
      </c>
      <c r="MJ31" s="16">
        <f t="shared" si="597"/>
        <v>201.22399999998743</v>
      </c>
      <c r="MK31" s="127">
        <f>SUM(LG31:MJ31)</f>
        <v>5595.3250000000116</v>
      </c>
      <c r="ML31" s="16">
        <f t="shared" ref="ML31:NP31" si="598">ML30-ML29</f>
        <v>108.49799999999232</v>
      </c>
      <c r="MM31" s="16">
        <f t="shared" si="598"/>
        <v>81.103000000002794</v>
      </c>
      <c r="MN31" s="16">
        <f t="shared" si="598"/>
        <v>2.2110000000102445</v>
      </c>
      <c r="MO31" s="16">
        <f t="shared" si="598"/>
        <v>110.03800000000047</v>
      </c>
      <c r="MP31" s="16">
        <f t="shared" si="598"/>
        <v>181.82999999998719</v>
      </c>
      <c r="MQ31" s="16">
        <f t="shared" si="598"/>
        <v>0</v>
      </c>
      <c r="MR31" s="16">
        <f t="shared" si="598"/>
        <v>0</v>
      </c>
      <c r="MS31" s="16">
        <f t="shared" si="598"/>
        <v>0</v>
      </c>
      <c r="MT31" s="16">
        <f t="shared" si="598"/>
        <v>10.230000000010477</v>
      </c>
      <c r="MU31" s="16">
        <f t="shared" si="598"/>
        <v>86.171000000002095</v>
      </c>
      <c r="MV31" s="16">
        <f t="shared" si="598"/>
        <v>303.68599999998696</v>
      </c>
      <c r="MW31" s="16">
        <f t="shared" si="598"/>
        <v>191.16800000000512</v>
      </c>
      <c r="MX31" s="16">
        <f t="shared" si="598"/>
        <v>201.5460000000021</v>
      </c>
      <c r="MY31" s="16">
        <f t="shared" si="598"/>
        <v>120.85300000000279</v>
      </c>
      <c r="MZ31" s="16">
        <f t="shared" si="598"/>
        <v>98.084999999991851</v>
      </c>
      <c r="NA31" s="16">
        <f t="shared" si="598"/>
        <v>204.69000000000233</v>
      </c>
      <c r="NB31" s="16">
        <f t="shared" si="598"/>
        <v>112.51500000001397</v>
      </c>
      <c r="NC31" s="16">
        <f t="shared" si="598"/>
        <v>164.14499999998952</v>
      </c>
      <c r="ND31" s="16">
        <f t="shared" si="598"/>
        <v>122.14600000000792</v>
      </c>
      <c r="NE31" s="16">
        <f t="shared" si="598"/>
        <v>104.94199999998091</v>
      </c>
      <c r="NF31" s="16">
        <f t="shared" si="598"/>
        <v>52.207000000023982</v>
      </c>
      <c r="NG31" s="16">
        <f t="shared" si="598"/>
        <v>148.66799999997602</v>
      </c>
      <c r="NH31" s="16">
        <f t="shared" si="598"/>
        <v>181.29000000000815</v>
      </c>
      <c r="NI31" s="16">
        <f t="shared" si="598"/>
        <v>112.0460000000021</v>
      </c>
      <c r="NJ31" s="16">
        <f t="shared" si="598"/>
        <v>87.978999999992084</v>
      </c>
      <c r="NK31" s="16">
        <f t="shared" si="598"/>
        <v>197.64100000000326</v>
      </c>
      <c r="NL31" s="16">
        <f t="shared" si="598"/>
        <v>75.834000000002561</v>
      </c>
      <c r="NM31" s="16">
        <f t="shared" si="598"/>
        <v>122.63000000000466</v>
      </c>
      <c r="NN31" s="16">
        <f t="shared" si="598"/>
        <v>153.57000000000698</v>
      </c>
      <c r="NO31" s="16">
        <f t="shared" si="598"/>
        <v>205.07300000000396</v>
      </c>
      <c r="NP31" s="16">
        <f t="shared" si="598"/>
        <v>112.01399999999558</v>
      </c>
      <c r="NQ31" s="127">
        <f>SUM(MM31:NP31)</f>
        <v>3544.3110000000161</v>
      </c>
      <c r="NR31" s="16">
        <f t="shared" ref="NR31:OV31" si="599">NR30-NR29</f>
        <v>144.81999999997788</v>
      </c>
      <c r="NS31" s="16">
        <f t="shared" si="599"/>
        <v>98.471000000019558</v>
      </c>
      <c r="NT31" s="16">
        <f t="shared" si="599"/>
        <v>227.89499999998952</v>
      </c>
      <c r="NU31" s="16">
        <f t="shared" si="599"/>
        <v>75.127999999996973</v>
      </c>
      <c r="NV31" s="16">
        <f t="shared" si="599"/>
        <v>193.92800000001444</v>
      </c>
      <c r="NW31" s="16">
        <f t="shared" si="599"/>
        <v>230.02899999998044</v>
      </c>
      <c r="NX31" s="16">
        <f t="shared" si="599"/>
        <v>199.66100000002189</v>
      </c>
      <c r="NY31" s="16">
        <f t="shared" si="599"/>
        <v>139.9089999999851</v>
      </c>
      <c r="NZ31" s="16">
        <f t="shared" si="599"/>
        <v>117.91500000000815</v>
      </c>
      <c r="OA31" s="16">
        <f t="shared" si="599"/>
        <v>98.535000000003492</v>
      </c>
      <c r="OB31" s="16">
        <f t="shared" si="599"/>
        <v>197.1479999999865</v>
      </c>
      <c r="OC31" s="16">
        <f t="shared" si="599"/>
        <v>112.6480000000156</v>
      </c>
      <c r="OD31" s="16">
        <f t="shared" si="599"/>
        <v>136.86199999999371</v>
      </c>
      <c r="OE31" s="16">
        <f t="shared" si="599"/>
        <v>118.5460000000021</v>
      </c>
      <c r="OF31" s="16">
        <f t="shared" si="599"/>
        <v>137.49400000000605</v>
      </c>
      <c r="OG31" s="16">
        <f t="shared" si="599"/>
        <v>210.30199999999604</v>
      </c>
      <c r="OH31" s="16">
        <f t="shared" si="599"/>
        <v>276.38999999998487</v>
      </c>
      <c r="OI31" s="16">
        <f t="shared" si="599"/>
        <v>100.64200000002165</v>
      </c>
      <c r="OJ31" s="16">
        <f t="shared" si="599"/>
        <v>247.10899999999674</v>
      </c>
      <c r="OK31" s="16">
        <f t="shared" si="599"/>
        <v>76.432999999989988</v>
      </c>
      <c r="OL31" s="16">
        <f t="shared" si="599"/>
        <v>100.65200000000186</v>
      </c>
      <c r="OM31" s="16">
        <f t="shared" si="599"/>
        <v>163.80999999999767</v>
      </c>
      <c r="ON31" s="16">
        <f t="shared" si="599"/>
        <v>194.9320000000007</v>
      </c>
      <c r="OO31" s="16">
        <f t="shared" si="599"/>
        <v>266.42800000001444</v>
      </c>
      <c r="OP31" s="16">
        <f t="shared" si="599"/>
        <v>50.531999999977415</v>
      </c>
      <c r="OQ31" s="16">
        <f t="shared" si="599"/>
        <v>144.97100000001956</v>
      </c>
      <c r="OR31" s="16">
        <f t="shared" si="599"/>
        <v>112.44099999999162</v>
      </c>
      <c r="OS31" s="16">
        <f t="shared" si="599"/>
        <v>135.89900000000489</v>
      </c>
      <c r="OT31" s="16">
        <f t="shared" si="599"/>
        <v>104.53500000000349</v>
      </c>
      <c r="OU31" s="16">
        <f t="shared" si="599"/>
        <v>138.5460000000021</v>
      </c>
      <c r="OV31" s="16">
        <f t="shared" si="599"/>
        <v>252.3640000000014</v>
      </c>
      <c r="OW31" s="127">
        <f>SUM(NS31:OV31)</f>
        <v>4660.1550000000279</v>
      </c>
      <c r="OX31" s="16">
        <f t="shared" ref="OX31:QA31" si="600">OX30-OX29</f>
        <v>72.379999999975553</v>
      </c>
      <c r="OY31" s="16">
        <f t="shared" si="600"/>
        <v>112.01600000000326</v>
      </c>
      <c r="OZ31" s="16">
        <f t="shared" si="600"/>
        <v>181.08199999999488</v>
      </c>
      <c r="PA31" s="16">
        <f t="shared" si="600"/>
        <v>128.23400000002584</v>
      </c>
      <c r="PB31" s="16">
        <f t="shared" si="600"/>
        <v>204.23999999999069</v>
      </c>
      <c r="PC31" s="16">
        <f t="shared" si="600"/>
        <v>155.38899999999558</v>
      </c>
      <c r="PD31" s="16">
        <f t="shared" si="600"/>
        <v>125.43700000000536</v>
      </c>
      <c r="PE31" s="16">
        <f t="shared" si="600"/>
        <v>71.99299999998766</v>
      </c>
      <c r="PF31" s="16">
        <f t="shared" si="600"/>
        <v>109.90799999999581</v>
      </c>
      <c r="PG31" s="16">
        <f t="shared" si="600"/>
        <v>98.961999999999534</v>
      </c>
      <c r="PH31" s="16">
        <f t="shared" si="600"/>
        <v>150.11600000000908</v>
      </c>
      <c r="PI31" s="16">
        <f t="shared" si="600"/>
        <v>163.60399999999208</v>
      </c>
      <c r="PJ31" s="16">
        <f t="shared" si="600"/>
        <v>156.86300000001211</v>
      </c>
      <c r="PK31" s="16">
        <f t="shared" si="600"/>
        <v>106.15700000000652</v>
      </c>
      <c r="PL31" s="16">
        <f t="shared" si="600"/>
        <v>73.692999999999302</v>
      </c>
      <c r="PM31" s="16">
        <f t="shared" si="600"/>
        <v>210.67299999998068</v>
      </c>
      <c r="PN31" s="16">
        <f t="shared" si="600"/>
        <v>124.43600000001607</v>
      </c>
      <c r="PO31" s="16">
        <f t="shared" si="600"/>
        <v>138.97000000000116</v>
      </c>
      <c r="PP31" s="16">
        <f t="shared" si="600"/>
        <v>75.168000000005122</v>
      </c>
      <c r="PQ31" s="16">
        <f t="shared" si="600"/>
        <v>156.86799999998766</v>
      </c>
      <c r="PR31" s="16">
        <f t="shared" si="600"/>
        <v>97.610000000015134</v>
      </c>
      <c r="PS31" s="16">
        <f t="shared" si="600"/>
        <v>132.64899999997579</v>
      </c>
      <c r="PT31" s="16">
        <f t="shared" si="600"/>
        <v>44.38200000001234</v>
      </c>
      <c r="PU31" s="16">
        <f t="shared" si="600"/>
        <v>64.427999999985332</v>
      </c>
      <c r="PV31" s="16">
        <f t="shared" si="600"/>
        <v>125.28100000001723</v>
      </c>
      <c r="PW31" s="16">
        <f t="shared" si="600"/>
        <v>84.217999999993481</v>
      </c>
      <c r="PX31" s="16">
        <f t="shared" si="600"/>
        <v>115.95699999999488</v>
      </c>
      <c r="PY31" s="16">
        <f t="shared" si="600"/>
        <v>188.38000000000466</v>
      </c>
      <c r="PZ31" s="16">
        <f t="shared" si="600"/>
        <v>74.743000000016764</v>
      </c>
      <c r="QA31" s="16">
        <f t="shared" si="600"/>
        <v>205.28599999999278</v>
      </c>
      <c r="QB31" s="127">
        <f>SUM(OX31:QA31)</f>
        <v>3749.1229999999923</v>
      </c>
      <c r="QC31" s="16">
        <f t="shared" ref="QC31:RG31" si="601">QC30-QC29</f>
        <v>83.054999999993015</v>
      </c>
      <c r="QD31" s="16">
        <f t="shared" si="601"/>
        <v>101.8520000000135</v>
      </c>
      <c r="QE31" s="16">
        <f t="shared" si="601"/>
        <v>70.534999999974389</v>
      </c>
      <c r="QF31" s="16">
        <f t="shared" si="601"/>
        <v>86.328000000008615</v>
      </c>
      <c r="QG31" s="16">
        <f t="shared" si="601"/>
        <v>129.95600000000559</v>
      </c>
      <c r="QH31" s="16">
        <f t="shared" si="601"/>
        <v>121.49299999998766</v>
      </c>
      <c r="QI31" s="16">
        <f t="shared" si="601"/>
        <v>158.70800000001327</v>
      </c>
      <c r="QJ31" s="16">
        <f t="shared" si="601"/>
        <v>115.59599999999045</v>
      </c>
      <c r="QK31" s="16">
        <f t="shared" si="601"/>
        <v>117.92900000000373</v>
      </c>
      <c r="QL31" s="16">
        <f t="shared" si="601"/>
        <v>155.90499999999884</v>
      </c>
      <c r="QM31" s="16">
        <f t="shared" si="601"/>
        <v>152.19700000001467</v>
      </c>
      <c r="QN31" s="16">
        <f t="shared" si="601"/>
        <v>81.536999999982072</v>
      </c>
      <c r="QO31" s="16">
        <f t="shared" si="601"/>
        <v>91.336999999999534</v>
      </c>
      <c r="QP31" s="16">
        <f t="shared" si="601"/>
        <v>153.07400000002235</v>
      </c>
      <c r="QQ31" s="16">
        <f t="shared" si="601"/>
        <v>82.619999999995343</v>
      </c>
      <c r="QR31" s="16">
        <f t="shared" si="601"/>
        <v>45.658999999985099</v>
      </c>
      <c r="QS31" s="16">
        <f t="shared" si="601"/>
        <v>84.793999999994412</v>
      </c>
      <c r="QT31" s="16">
        <f t="shared" si="601"/>
        <v>105.01500000001397</v>
      </c>
      <c r="QU31" s="16">
        <f t="shared" si="601"/>
        <v>86.756999999983236</v>
      </c>
      <c r="QV31" s="16">
        <f t="shared" si="601"/>
        <v>87.402000000001863</v>
      </c>
      <c r="QW31" s="16">
        <f t="shared" si="601"/>
        <v>155.89300000001094</v>
      </c>
      <c r="QX31" s="16">
        <f t="shared" si="601"/>
        <v>119.15299999999115</v>
      </c>
      <c r="QY31" s="16">
        <f t="shared" si="601"/>
        <v>138.28900000001886</v>
      </c>
      <c r="QZ31" s="16">
        <f t="shared" si="601"/>
        <v>172.44399999998859</v>
      </c>
      <c r="RA31" s="16">
        <f t="shared" si="601"/>
        <v>108.70699999999488</v>
      </c>
      <c r="RB31" s="16">
        <f t="shared" si="601"/>
        <v>122.85000000000582</v>
      </c>
      <c r="RC31" s="16">
        <f t="shared" si="601"/>
        <v>101.1020000000135</v>
      </c>
      <c r="RD31" s="16">
        <f t="shared" si="601"/>
        <v>162.09399999998277</v>
      </c>
      <c r="RE31" s="16">
        <f t="shared" si="601"/>
        <v>124.58300000001327</v>
      </c>
      <c r="RF31" s="16">
        <f t="shared" si="601"/>
        <v>92.842999999993481</v>
      </c>
      <c r="RG31" s="16">
        <f t="shared" si="601"/>
        <v>301.10000000000582</v>
      </c>
      <c r="RH31" s="127">
        <f>SUM(QD31:RG31)</f>
        <v>3627.7520000000077</v>
      </c>
      <c r="RI31" s="16">
        <f t="shared" ref="RI31:SL31" si="602">RI30-RI29</f>
        <v>75.010999999998603</v>
      </c>
      <c r="RJ31" s="16">
        <f t="shared" si="602"/>
        <v>155.52499999999418</v>
      </c>
      <c r="RK31" s="16">
        <f t="shared" si="602"/>
        <v>91.972000000008848</v>
      </c>
      <c r="RL31" s="16">
        <f t="shared" si="602"/>
        <v>227.64999999999418</v>
      </c>
      <c r="RM31" s="16">
        <f t="shared" si="602"/>
        <v>189.20199999999022</v>
      </c>
      <c r="RN31" s="16">
        <f t="shared" si="602"/>
        <v>99.358000000007451</v>
      </c>
      <c r="RO31" s="16">
        <f t="shared" si="602"/>
        <v>194.36699999999837</v>
      </c>
      <c r="RP31" s="16">
        <f t="shared" si="602"/>
        <v>280.89999999999418</v>
      </c>
      <c r="RQ31" s="16">
        <f t="shared" si="602"/>
        <v>89.795000000012806</v>
      </c>
      <c r="RR31" s="16">
        <f t="shared" si="602"/>
        <v>52.573999999993248</v>
      </c>
      <c r="RS31" s="16">
        <f t="shared" si="602"/>
        <v>155.03200000000652</v>
      </c>
      <c r="RT31" s="16">
        <f t="shared" si="602"/>
        <v>83.888000000006286</v>
      </c>
      <c r="RU31" s="16">
        <f t="shared" si="602"/>
        <v>141.92299999998068</v>
      </c>
      <c r="RV31" s="16">
        <f t="shared" si="602"/>
        <v>142.7270000000135</v>
      </c>
      <c r="RW31" s="16">
        <f t="shared" si="602"/>
        <v>121.91699999998673</v>
      </c>
      <c r="RX31" s="16">
        <f t="shared" si="602"/>
        <v>149.09200000000419</v>
      </c>
      <c r="RY31" s="16">
        <f t="shared" si="602"/>
        <v>327.4210000000021</v>
      </c>
      <c r="RZ31" s="16">
        <f t="shared" si="602"/>
        <v>126.44099999999162</v>
      </c>
      <c r="SA31" s="16">
        <f t="shared" si="602"/>
        <v>291.73399999999674</v>
      </c>
      <c r="SB31" s="16">
        <f t="shared" si="602"/>
        <v>189.6820000000007</v>
      </c>
      <c r="SC31" s="16">
        <f t="shared" si="602"/>
        <v>159.61699999999837</v>
      </c>
      <c r="SD31" s="16">
        <f t="shared" si="602"/>
        <v>224.90100000001257</v>
      </c>
      <c r="SE31" s="16">
        <f t="shared" si="602"/>
        <v>112.70600000000559</v>
      </c>
      <c r="SF31" s="16">
        <f t="shared" si="602"/>
        <v>101.80299999998533</v>
      </c>
      <c r="SG31" s="16">
        <f t="shared" si="602"/>
        <v>252.82700000001932</v>
      </c>
      <c r="SH31" s="16">
        <f t="shared" si="602"/>
        <v>119.75</v>
      </c>
      <c r="SI31" s="16">
        <f t="shared" si="602"/>
        <v>90.6019999999844</v>
      </c>
      <c r="SJ31" s="16">
        <f t="shared" si="602"/>
        <v>152.12200000000303</v>
      </c>
      <c r="SK31" s="16">
        <f t="shared" si="602"/>
        <v>99.997000000003027</v>
      </c>
      <c r="SL31" s="16">
        <f t="shared" si="602"/>
        <v>103.08900000000722</v>
      </c>
      <c r="SM31" s="127">
        <f>SUM(RI31:SL31)</f>
        <v>4603.625</v>
      </c>
      <c r="SN31" s="16">
        <f t="shared" ref="SN31:TR31" si="603">SN30-SN29</f>
        <v>76.354999999981374</v>
      </c>
      <c r="SO31" s="16">
        <f t="shared" si="603"/>
        <v>165.06100000001607</v>
      </c>
      <c r="SP31" s="16">
        <f t="shared" si="603"/>
        <v>1099.926999999996</v>
      </c>
      <c r="SQ31" s="16">
        <f t="shared" si="603"/>
        <v>117.67600000000675</v>
      </c>
      <c r="SR31" s="16">
        <f t="shared" si="603"/>
        <v>105.8070000000007</v>
      </c>
      <c r="SS31" s="16">
        <f t="shared" si="603"/>
        <v>171.59200000000419</v>
      </c>
      <c r="ST31" s="16">
        <f t="shared" si="603"/>
        <v>100.26999999998952</v>
      </c>
      <c r="SU31" s="16">
        <f t="shared" si="603"/>
        <v>164.46299999998882</v>
      </c>
      <c r="SV31" s="16">
        <f t="shared" si="603"/>
        <v>79.385000000009313</v>
      </c>
      <c r="SW31" s="16">
        <f t="shared" si="603"/>
        <v>100.07999999998719</v>
      </c>
      <c r="SX31" s="16">
        <f t="shared" si="603"/>
        <v>115.21500000002561</v>
      </c>
      <c r="SY31" s="16">
        <f t="shared" si="603"/>
        <v>110.34599999999045</v>
      </c>
      <c r="SZ31" s="16">
        <f t="shared" si="603"/>
        <v>216.87400000001071</v>
      </c>
      <c r="TA31" s="16">
        <f t="shared" si="603"/>
        <v>148.09699999997974</v>
      </c>
      <c r="TB31" s="16">
        <f t="shared" si="603"/>
        <v>132.2609999999986</v>
      </c>
      <c r="TC31" s="16">
        <f t="shared" si="603"/>
        <v>142.1140000000014</v>
      </c>
      <c r="TD31" s="16">
        <f t="shared" si="603"/>
        <v>101.64400000000023</v>
      </c>
      <c r="TE31" s="16">
        <f t="shared" si="603"/>
        <v>194.40300000002026</v>
      </c>
      <c r="TF31" s="16">
        <f t="shared" si="603"/>
        <v>144.63699999998789</v>
      </c>
      <c r="TG31" s="16">
        <f t="shared" si="603"/>
        <v>239.03700000001118</v>
      </c>
      <c r="TH31" s="16">
        <f t="shared" si="603"/>
        <v>107.15399999998044</v>
      </c>
      <c r="TI31" s="16">
        <f t="shared" si="603"/>
        <v>115.74400000000605</v>
      </c>
      <c r="TJ31" s="16">
        <f t="shared" si="603"/>
        <v>67.11799999998766</v>
      </c>
      <c r="TK31" s="16">
        <f t="shared" si="603"/>
        <v>126.40100000001257</v>
      </c>
      <c r="TL31" s="16">
        <f t="shared" si="603"/>
        <v>39.152000000001863</v>
      </c>
      <c r="TM31" s="16">
        <f t="shared" si="603"/>
        <v>61.519999999989523</v>
      </c>
      <c r="TN31" s="16">
        <f t="shared" si="603"/>
        <v>106.70900000000256</v>
      </c>
      <c r="TO31" s="16">
        <f t="shared" si="603"/>
        <v>72.708000000013271</v>
      </c>
      <c r="TP31" s="16">
        <f t="shared" si="603"/>
        <v>91.49299999998766</v>
      </c>
      <c r="TQ31" s="16">
        <f t="shared" si="603"/>
        <v>138.24300000001676</v>
      </c>
      <c r="TR31" s="16">
        <f t="shared" si="603"/>
        <v>194.62399999998161</v>
      </c>
      <c r="TS31" s="127">
        <f>SUM(SO31:TR31)</f>
        <v>4769.7550000000047</v>
      </c>
      <c r="TT31" s="16">
        <f t="shared" ref="TT31:UX31" si="604">TT30-TT29</f>
        <v>99.972999999998137</v>
      </c>
      <c r="TU31" s="16">
        <f t="shared" si="604"/>
        <v>127.51900000000023</v>
      </c>
      <c r="TV31" s="16">
        <f t="shared" si="604"/>
        <v>96.200000000011642</v>
      </c>
      <c r="TW31" s="16">
        <f t="shared" si="604"/>
        <v>112.97500000000582</v>
      </c>
      <c r="TX31" s="16">
        <f t="shared" si="604"/>
        <v>77.183999999979278</v>
      </c>
      <c r="TY31" s="16">
        <f t="shared" si="604"/>
        <v>169.34500000000116</v>
      </c>
      <c r="TZ31" s="16">
        <f t="shared" si="604"/>
        <v>129.68700000000536</v>
      </c>
      <c r="UA31" s="16">
        <f t="shared" si="604"/>
        <v>217.00800000000163</v>
      </c>
      <c r="UB31" s="16">
        <f t="shared" si="604"/>
        <v>96.641999999992549</v>
      </c>
      <c r="UC31" s="16">
        <f t="shared" si="604"/>
        <v>209.6929999999993</v>
      </c>
      <c r="UD31" s="16">
        <f t="shared" si="604"/>
        <v>268.89900000000489</v>
      </c>
      <c r="UE31" s="16">
        <f t="shared" si="604"/>
        <v>69.216000000014901</v>
      </c>
      <c r="UF31" s="16">
        <f t="shared" si="604"/>
        <v>208.50299999999697</v>
      </c>
      <c r="UG31" s="16">
        <f t="shared" si="604"/>
        <v>157.59500000000116</v>
      </c>
      <c r="UH31" s="16">
        <f t="shared" si="604"/>
        <v>67.350000000005821</v>
      </c>
      <c r="UI31" s="16">
        <f t="shared" si="604"/>
        <v>92.425999999977648</v>
      </c>
      <c r="UJ31" s="16">
        <f t="shared" si="604"/>
        <v>211.1359999999986</v>
      </c>
      <c r="UK31" s="16">
        <f t="shared" si="604"/>
        <v>21.644000000000233</v>
      </c>
      <c r="UL31" s="16">
        <f t="shared" si="604"/>
        <v>87.403000000020256</v>
      </c>
      <c r="UM31" s="16">
        <f t="shared" si="604"/>
        <v>146.99199999999837</v>
      </c>
      <c r="UN31" s="16">
        <f t="shared" si="604"/>
        <v>153.88699999998789</v>
      </c>
      <c r="UO31" s="16">
        <f t="shared" si="604"/>
        <v>140.08800000001793</v>
      </c>
      <c r="UP31" s="16">
        <f t="shared" si="604"/>
        <v>236.18599999998696</v>
      </c>
      <c r="UQ31" s="16">
        <f t="shared" si="604"/>
        <v>276.46400000000722</v>
      </c>
      <c r="UR31" s="16">
        <f t="shared" si="604"/>
        <v>194.38199999998324</v>
      </c>
      <c r="US31" s="16">
        <f t="shared" si="604"/>
        <v>87.524000000004889</v>
      </c>
      <c r="UT31" s="16">
        <f t="shared" si="604"/>
        <v>131.31299999999464</v>
      </c>
      <c r="UU31" s="16">
        <f t="shared" si="604"/>
        <v>93.860000000015134</v>
      </c>
      <c r="UV31" s="16">
        <f t="shared" si="604"/>
        <v>0</v>
      </c>
      <c r="UW31" s="16">
        <f t="shared" si="604"/>
        <v>89.105999999999767</v>
      </c>
      <c r="UX31" s="16">
        <f t="shared" si="604"/>
        <v>202.72000000000116</v>
      </c>
      <c r="UY31" s="127">
        <f>SUM(TT31:UX31)</f>
        <v>4272.9200000000128</v>
      </c>
      <c r="UZ31" s="16">
        <f t="shared" ref="UZ31:WA31" si="605">UZ30-UZ29</f>
        <v>106.00800000000163</v>
      </c>
      <c r="VA31" s="16">
        <f t="shared" si="605"/>
        <v>181.17900000000373</v>
      </c>
      <c r="VB31" s="16">
        <f t="shared" si="605"/>
        <v>262.82799999997951</v>
      </c>
      <c r="VC31" s="16">
        <f t="shared" si="605"/>
        <v>94.826000000000931</v>
      </c>
      <c r="VD31" s="16">
        <f t="shared" si="605"/>
        <v>197.10099999999511</v>
      </c>
      <c r="VE31" s="16">
        <f t="shared" si="605"/>
        <v>110.137000000017</v>
      </c>
      <c r="VF31" s="16">
        <f t="shared" si="605"/>
        <v>163.01199999998789</v>
      </c>
      <c r="VG31" s="16">
        <f t="shared" si="605"/>
        <v>199.29300000000512</v>
      </c>
      <c r="VH31" s="16">
        <f t="shared" si="605"/>
        <v>58.312000000005355</v>
      </c>
      <c r="VI31" s="16">
        <f t="shared" si="605"/>
        <v>131.48499999998603</v>
      </c>
      <c r="VJ31" s="16">
        <f t="shared" si="605"/>
        <v>118.06400000001304</v>
      </c>
      <c r="VK31" s="16">
        <f t="shared" si="605"/>
        <v>135.14900000000489</v>
      </c>
      <c r="VL31" s="16">
        <f t="shared" si="605"/>
        <v>187.78800000000047</v>
      </c>
      <c r="VM31" s="16">
        <f t="shared" si="605"/>
        <v>178.45699999999488</v>
      </c>
      <c r="VN31" s="16">
        <f t="shared" si="605"/>
        <v>123.67399999999907</v>
      </c>
      <c r="VO31" s="16">
        <f t="shared" si="605"/>
        <v>146.80299999998533</v>
      </c>
      <c r="VP31" s="16">
        <f t="shared" si="605"/>
        <v>67.025000000023283</v>
      </c>
      <c r="VQ31" s="16">
        <f t="shared" si="605"/>
        <v>118.67699999999604</v>
      </c>
      <c r="VR31" s="16">
        <f t="shared" si="605"/>
        <v>87.462999999988824</v>
      </c>
      <c r="VS31" s="16">
        <f t="shared" si="605"/>
        <v>195.29399999999441</v>
      </c>
      <c r="VT31" s="16">
        <f t="shared" si="605"/>
        <v>122.4090000000142</v>
      </c>
      <c r="VU31" s="16">
        <f t="shared" si="605"/>
        <v>151.63800000000629</v>
      </c>
      <c r="VV31" s="16">
        <f t="shared" si="605"/>
        <v>83.070999999996275</v>
      </c>
      <c r="VW31" s="16">
        <f t="shared" si="605"/>
        <v>79.106999999989057</v>
      </c>
      <c r="VX31" s="16">
        <f t="shared" si="605"/>
        <v>165.05000000001746</v>
      </c>
      <c r="VY31" s="16">
        <f t="shared" si="605"/>
        <v>162.41300000000047</v>
      </c>
      <c r="VZ31" s="16">
        <f t="shared" si="605"/>
        <v>100.64499999998952</v>
      </c>
      <c r="WA31" s="16">
        <f t="shared" si="605"/>
        <v>116.91599999999744</v>
      </c>
      <c r="WB31" s="127">
        <f>SUM(UZ31:WA31)</f>
        <v>3843.8239999999932</v>
      </c>
      <c r="WC31" s="16">
        <f t="shared" ref="WC31:XG31" si="606">WC30-WC29</f>
        <v>161.31400000001304</v>
      </c>
      <c r="WD31" s="16">
        <f t="shared" si="606"/>
        <v>97.573999999993248</v>
      </c>
      <c r="WE31" s="16">
        <f t="shared" si="606"/>
        <v>111.6359999999986</v>
      </c>
      <c r="WF31" s="16">
        <f t="shared" si="606"/>
        <v>238.63000000000466</v>
      </c>
      <c r="WG31" s="16">
        <f t="shared" si="606"/>
        <v>72.736000000004424</v>
      </c>
      <c r="WH31" s="16">
        <f t="shared" si="606"/>
        <v>0</v>
      </c>
      <c r="WI31" s="16">
        <f t="shared" si="606"/>
        <v>121.28999999997905</v>
      </c>
      <c r="WJ31" s="16">
        <f t="shared" si="606"/>
        <v>303.1710000000021</v>
      </c>
      <c r="WK31" s="16">
        <f t="shared" si="606"/>
        <v>169.90299999999115</v>
      </c>
      <c r="WL31" s="16">
        <f t="shared" si="606"/>
        <v>113.72800000000279</v>
      </c>
      <c r="WM31" s="16">
        <f t="shared" si="606"/>
        <v>132.73300000000745</v>
      </c>
      <c r="WN31" s="16">
        <f t="shared" si="606"/>
        <v>68.24100000000908</v>
      </c>
      <c r="WO31" s="16">
        <f t="shared" si="606"/>
        <v>91.641999999992549</v>
      </c>
      <c r="WP31" s="16">
        <f t="shared" si="606"/>
        <v>86.361000000004424</v>
      </c>
      <c r="WQ31" s="16">
        <f t="shared" si="606"/>
        <v>102.84799999999814</v>
      </c>
      <c r="WR31" s="16">
        <f t="shared" si="606"/>
        <v>138.90599999998813</v>
      </c>
      <c r="WS31" s="16">
        <f t="shared" si="606"/>
        <v>101.31600000002072</v>
      </c>
      <c r="WT31" s="16">
        <f t="shared" si="606"/>
        <v>63.730999999999767</v>
      </c>
      <c r="WU31" s="16">
        <f t="shared" si="606"/>
        <v>174.15699999997742</v>
      </c>
      <c r="WV31" s="16">
        <f t="shared" si="606"/>
        <v>78.428000000014435</v>
      </c>
      <c r="WW31" s="16">
        <f t="shared" si="606"/>
        <v>202.1140000000014</v>
      </c>
      <c r="WX31" s="16">
        <f t="shared" si="606"/>
        <v>152.95600000000559</v>
      </c>
      <c r="WY31" s="16">
        <f t="shared" si="606"/>
        <v>51.201999999990221</v>
      </c>
      <c r="WZ31" s="16">
        <f t="shared" si="606"/>
        <v>172.51300000000629</v>
      </c>
      <c r="XA31" s="16">
        <f t="shared" si="606"/>
        <v>191.93899999998393</v>
      </c>
      <c r="XB31" s="16">
        <f t="shared" si="606"/>
        <v>184.69900000002235</v>
      </c>
      <c r="XC31" s="16">
        <f t="shared" si="606"/>
        <v>104.55899999997928</v>
      </c>
      <c r="XD31" s="16">
        <f t="shared" si="606"/>
        <v>104.73700000002282</v>
      </c>
      <c r="XE31" s="16">
        <f t="shared" si="606"/>
        <v>71.452999999979511</v>
      </c>
      <c r="XF31" s="16">
        <f t="shared" si="606"/>
        <v>108.05500000002212</v>
      </c>
      <c r="XG31" s="16">
        <f t="shared" si="606"/>
        <v>159.86199999999371</v>
      </c>
      <c r="XH31" s="127">
        <f>SUM(WC31:XG31)</f>
        <v>3932.4340000000084</v>
      </c>
      <c r="XI31" s="16">
        <f t="shared" ref="XI31:YL31" si="607">XI30-XI29</f>
        <v>109.3059999999823</v>
      </c>
      <c r="XJ31" s="16">
        <f t="shared" si="607"/>
        <v>107.82800000000861</v>
      </c>
      <c r="XK31" s="16">
        <f t="shared" si="607"/>
        <v>214.01800000001094</v>
      </c>
      <c r="XL31" s="16">
        <f t="shared" si="607"/>
        <v>156.20999999999185</v>
      </c>
      <c r="XM31" s="16">
        <f t="shared" si="607"/>
        <v>74.062999999994645</v>
      </c>
      <c r="XN31" s="16">
        <f t="shared" si="607"/>
        <v>127.78299999999581</v>
      </c>
      <c r="XO31" s="16">
        <f t="shared" si="607"/>
        <v>162.54300000000512</v>
      </c>
      <c r="XP31" s="16">
        <f t="shared" si="607"/>
        <v>86.918999999994412</v>
      </c>
      <c r="XQ31" s="16">
        <f t="shared" si="607"/>
        <v>97.372000000003027</v>
      </c>
      <c r="XR31" s="16">
        <f t="shared" si="607"/>
        <v>72.971000000019558</v>
      </c>
      <c r="XS31" s="16">
        <f t="shared" si="607"/>
        <v>131.79799999998068</v>
      </c>
      <c r="XT31" s="16">
        <f t="shared" si="607"/>
        <v>92.214000000007218</v>
      </c>
      <c r="XU31" s="16">
        <f t="shared" si="607"/>
        <v>59.896999999997206</v>
      </c>
      <c r="XV31" s="16">
        <f t="shared" si="607"/>
        <v>130.27100000000792</v>
      </c>
      <c r="XW31" s="16">
        <f t="shared" si="607"/>
        <v>103.47000000000116</v>
      </c>
      <c r="XX31" s="16">
        <f t="shared" si="607"/>
        <v>148.28199999997742</v>
      </c>
      <c r="XY31" s="16">
        <f t="shared" si="607"/>
        <v>109.02200000002631</v>
      </c>
      <c r="XZ31" s="16">
        <f t="shared" si="607"/>
        <v>116.49799999999232</v>
      </c>
      <c r="YA31" s="16">
        <f t="shared" si="607"/>
        <v>92.673000000009779</v>
      </c>
      <c r="YB31" s="16">
        <f t="shared" si="607"/>
        <v>12.899999999994179</v>
      </c>
      <c r="YC31" s="16">
        <f t="shared" si="607"/>
        <v>82.788000000000466</v>
      </c>
      <c r="YD31" s="16">
        <f t="shared" si="607"/>
        <v>139.7729999999865</v>
      </c>
      <c r="YE31" s="16">
        <f t="shared" si="607"/>
        <v>203.31700000001001</v>
      </c>
      <c r="YF31" s="16">
        <f t="shared" si="607"/>
        <v>97.842999999993481</v>
      </c>
      <c r="YG31" s="16">
        <f t="shared" si="607"/>
        <v>80.850999999995111</v>
      </c>
      <c r="YH31" s="16">
        <f t="shared" si="607"/>
        <v>231.60700000001816</v>
      </c>
      <c r="YI31" s="16">
        <f t="shared" si="607"/>
        <v>154.16799999997602</v>
      </c>
      <c r="YJ31" s="16">
        <f t="shared" si="607"/>
        <v>128.64500000001863</v>
      </c>
      <c r="YK31" s="16">
        <f t="shared" si="607"/>
        <v>64.294999999983702</v>
      </c>
      <c r="YL31" s="16">
        <f t="shared" si="607"/>
        <v>200.32800000000861</v>
      </c>
      <c r="YM31" s="127">
        <f>SUM(XH31:YL31)</f>
        <v>7522.0869999999995</v>
      </c>
      <c r="YN31" s="16">
        <f t="shared" ref="YN31:ZR31" si="608">YN30-YN29</f>
        <v>121.93900000001304</v>
      </c>
      <c r="YO31" s="16">
        <f t="shared" si="608"/>
        <v>111.55899999997928</v>
      </c>
      <c r="YP31" s="16">
        <f t="shared" si="608"/>
        <v>94.394000000000233</v>
      </c>
      <c r="YQ31" s="16">
        <f t="shared" si="608"/>
        <v>84.638000000006286</v>
      </c>
      <c r="YR31" s="16">
        <f t="shared" si="608"/>
        <v>132.67699999999604</v>
      </c>
      <c r="YS31" s="16">
        <f t="shared" si="608"/>
        <v>136.54700000002049</v>
      </c>
      <c r="YT31" s="16">
        <f t="shared" si="608"/>
        <v>74.61099999997532</v>
      </c>
      <c r="YU31" s="16">
        <f t="shared" si="608"/>
        <v>13.975000000005821</v>
      </c>
      <c r="YV31" s="16">
        <f t="shared" si="608"/>
        <v>349.13399999999092</v>
      </c>
      <c r="YW31" s="16">
        <f t="shared" si="608"/>
        <v>153.96100000001024</v>
      </c>
      <c r="YX31" s="16">
        <f t="shared" si="608"/>
        <v>182.89600000000792</v>
      </c>
      <c r="YY31" s="16">
        <f t="shared" si="608"/>
        <v>81.711999999999534</v>
      </c>
      <c r="YZ31" s="16">
        <f t="shared" si="608"/>
        <v>63.562999999994645</v>
      </c>
      <c r="ZA31" s="16">
        <f t="shared" si="608"/>
        <v>125.95600000000559</v>
      </c>
      <c r="ZB31" s="16">
        <f t="shared" si="608"/>
        <v>94.832999999984168</v>
      </c>
      <c r="ZC31" s="16">
        <f t="shared" si="608"/>
        <v>61.717000000004191</v>
      </c>
      <c r="ZD31" s="16">
        <f t="shared" si="608"/>
        <v>162.44700000001467</v>
      </c>
      <c r="ZE31" s="16">
        <f t="shared" si="608"/>
        <v>173.21700000000419</v>
      </c>
      <c r="ZF31" s="16">
        <f t="shared" si="608"/>
        <v>155.25599999999395</v>
      </c>
      <c r="ZG31" s="16">
        <f t="shared" si="608"/>
        <v>88.521999999997206</v>
      </c>
      <c r="ZH31" s="16">
        <f t="shared" si="608"/>
        <v>112.67600000000675</v>
      </c>
      <c r="ZI31" s="16">
        <f t="shared" si="608"/>
        <v>404.625</v>
      </c>
      <c r="ZJ31" s="16">
        <f t="shared" si="608"/>
        <v>84.938999999983935</v>
      </c>
      <c r="ZK31" s="16">
        <f t="shared" si="608"/>
        <v>271.137000000017</v>
      </c>
      <c r="ZL31" s="16">
        <f t="shared" si="608"/>
        <v>122.58999999999651</v>
      </c>
      <c r="ZM31" s="16">
        <f t="shared" si="608"/>
        <v>155.46700000000419</v>
      </c>
      <c r="ZN31" s="16">
        <f t="shared" si="608"/>
        <v>90.731999999989057</v>
      </c>
      <c r="ZO31" s="16">
        <f t="shared" si="608"/>
        <v>89.894999999989523</v>
      </c>
      <c r="ZP31" s="16">
        <f t="shared" si="608"/>
        <v>102.14600000000792</v>
      </c>
      <c r="ZQ31" s="16">
        <f t="shared" si="608"/>
        <v>176.92499999998836</v>
      </c>
      <c r="ZR31" s="16">
        <f t="shared" si="608"/>
        <v>117.18900000001304</v>
      </c>
      <c r="ZS31" s="127">
        <f>SUM(YN31:ZR31)</f>
        <v>4191.875</v>
      </c>
      <c r="ZT31" s="16">
        <f t="shared" ref="ZT31:AAW31" si="609">ZT30-ZT29</f>
        <v>108.59500000000116</v>
      </c>
      <c r="ZU31" s="16">
        <f t="shared" si="609"/>
        <v>134.17999999999302</v>
      </c>
      <c r="ZV31" s="16">
        <f t="shared" si="609"/>
        <v>113.31700000001001</v>
      </c>
      <c r="ZW31" s="16">
        <f t="shared" si="609"/>
        <v>110.28599999999278</v>
      </c>
      <c r="ZX31" s="16">
        <f t="shared" si="609"/>
        <v>133.32099999999627</v>
      </c>
      <c r="ZY31" s="16">
        <f t="shared" si="609"/>
        <v>111.8179999999993</v>
      </c>
      <c r="ZZ31" s="16">
        <f t="shared" si="609"/>
        <v>110.31400000001304</v>
      </c>
      <c r="AAA31" s="16">
        <f t="shared" si="609"/>
        <v>158.48499999998603</v>
      </c>
      <c r="AAB31" s="16">
        <f t="shared" si="609"/>
        <v>89.045000000012806</v>
      </c>
      <c r="AAC31" s="16">
        <f t="shared" si="609"/>
        <v>160.34200000000419</v>
      </c>
      <c r="AAD31" s="16">
        <f t="shared" si="609"/>
        <v>79.128999999986263</v>
      </c>
      <c r="AAE31" s="16">
        <f t="shared" si="609"/>
        <v>141.06500000000233</v>
      </c>
      <c r="AAF31" s="16">
        <f t="shared" si="609"/>
        <v>90.885000000009313</v>
      </c>
      <c r="AAG31" s="16">
        <f t="shared" si="609"/>
        <v>119.66599999999744</v>
      </c>
      <c r="AAH31" s="16">
        <f t="shared" si="609"/>
        <v>276.90400000000955</v>
      </c>
      <c r="AAI31" s="16">
        <f t="shared" si="609"/>
        <v>149.01299999997718</v>
      </c>
      <c r="AAJ31" s="16">
        <f t="shared" si="609"/>
        <v>60.851000000024214</v>
      </c>
      <c r="AAK31" s="16">
        <f t="shared" si="609"/>
        <v>192.45799999998417</v>
      </c>
      <c r="AAL31" s="16">
        <f t="shared" si="609"/>
        <v>284.16099999999278</v>
      </c>
      <c r="AAM31" s="16">
        <f t="shared" si="609"/>
        <v>46.654999999998836</v>
      </c>
      <c r="AAN31" s="16">
        <f t="shared" si="609"/>
        <v>119.34500000000116</v>
      </c>
      <c r="AAO31" s="16">
        <f t="shared" si="609"/>
        <v>57.415999999997439</v>
      </c>
      <c r="AAP31" s="16">
        <f t="shared" si="609"/>
        <v>124.07600000000093</v>
      </c>
      <c r="AAQ31" s="16">
        <f t="shared" si="609"/>
        <v>160.6359999999986</v>
      </c>
      <c r="AAR31" s="16">
        <f t="shared" si="609"/>
        <v>58.919000000023516</v>
      </c>
      <c r="AAS31" s="16">
        <f t="shared" si="609"/>
        <v>62.356999999989057</v>
      </c>
      <c r="AAT31" s="16">
        <f t="shared" si="609"/>
        <v>114.61100000000442</v>
      </c>
      <c r="AAU31" s="16">
        <f t="shared" si="609"/>
        <v>179.77900000000955</v>
      </c>
      <c r="AAV31" s="16">
        <f t="shared" si="609"/>
        <v>152.86399999997229</v>
      </c>
      <c r="AAW31" s="16">
        <f t="shared" si="609"/>
        <v>68.161000000021886</v>
      </c>
      <c r="AAX31" s="127">
        <f>SUM(ZT31:AAW31)</f>
        <v>3768.6540000000095</v>
      </c>
      <c r="AAY31" s="16">
        <f t="shared" ref="AAY31:ACC31" si="610">AAY30-AAY29</f>
        <v>91.386999999987893</v>
      </c>
      <c r="AAZ31" s="16">
        <f t="shared" si="610"/>
        <v>95.475999999995111</v>
      </c>
      <c r="ABA31" s="16">
        <f t="shared" si="610"/>
        <v>88.353000000002794</v>
      </c>
      <c r="ABB31" s="16">
        <f t="shared" si="610"/>
        <v>196.76000000000931</v>
      </c>
      <c r="ABC31" s="16">
        <f t="shared" si="610"/>
        <v>160.41500000000815</v>
      </c>
      <c r="ABD31" s="16">
        <f t="shared" si="610"/>
        <v>66.98399999999674</v>
      </c>
      <c r="ABE31" s="16">
        <f t="shared" si="610"/>
        <v>136.5460000000021</v>
      </c>
      <c r="ABF31" s="16">
        <f t="shared" si="610"/>
        <v>188.38300000000163</v>
      </c>
      <c r="ABG31" s="16">
        <f t="shared" si="610"/>
        <v>88.807999999989988</v>
      </c>
      <c r="ABH31" s="16">
        <f t="shared" si="610"/>
        <v>69.024999999994179</v>
      </c>
      <c r="ABI31" s="16">
        <f t="shared" si="610"/>
        <v>217.94800000000396</v>
      </c>
      <c r="ABJ31" s="16">
        <f t="shared" si="610"/>
        <v>142.99299999998766</v>
      </c>
      <c r="ABK31" s="16">
        <f t="shared" si="610"/>
        <v>106.01400000002468</v>
      </c>
      <c r="ABL31" s="16">
        <f t="shared" si="610"/>
        <v>180.63399999999092</v>
      </c>
      <c r="ABM31" s="16">
        <f t="shared" si="610"/>
        <v>61.285000000003492</v>
      </c>
      <c r="ABN31" s="16">
        <f t="shared" si="610"/>
        <v>191.17199999999139</v>
      </c>
      <c r="ABO31" s="16">
        <f t="shared" si="610"/>
        <v>137.94399999998859</v>
      </c>
      <c r="ABP31" s="16">
        <f t="shared" si="610"/>
        <v>119.77999999999884</v>
      </c>
      <c r="ABQ31" s="16">
        <f t="shared" si="610"/>
        <v>0</v>
      </c>
      <c r="ABR31" s="16">
        <f t="shared" si="610"/>
        <v>40.858000000007451</v>
      </c>
      <c r="ABS31" s="16">
        <f t="shared" si="610"/>
        <v>60.208000000013271</v>
      </c>
      <c r="ABT31" s="16">
        <f t="shared" si="610"/>
        <v>116.30799999998999</v>
      </c>
      <c r="ABU31" s="16">
        <f t="shared" si="610"/>
        <v>77.032999999995809</v>
      </c>
      <c r="ABV31" s="16">
        <f t="shared" si="610"/>
        <v>86.017000000021653</v>
      </c>
      <c r="ABW31" s="16">
        <f t="shared" si="610"/>
        <v>129.55799999998999</v>
      </c>
      <c r="ABX31" s="16">
        <f t="shared" si="610"/>
        <v>78.48499999998603</v>
      </c>
      <c r="ABY31" s="16">
        <f t="shared" si="610"/>
        <v>44.081000000005588</v>
      </c>
      <c r="ABZ31" s="16">
        <f t="shared" si="610"/>
        <v>136.96799999999348</v>
      </c>
      <c r="ACA31" s="16">
        <f t="shared" si="610"/>
        <v>100.41700000001583</v>
      </c>
      <c r="ACB31" s="16">
        <f t="shared" si="610"/>
        <v>168.58799999998882</v>
      </c>
      <c r="ACC31" s="16">
        <f t="shared" si="610"/>
        <v>152.03299999999581</v>
      </c>
      <c r="ACD31" s="127">
        <f>SUM(AAY31:ACC31)</f>
        <v>3530.4609999999811</v>
      </c>
      <c r="ACE31" s="16">
        <f t="shared" ref="ACE31:ADI31" si="611">ACE30-ACE29</f>
        <v>117.14200000002165</v>
      </c>
      <c r="ACF31" s="16">
        <f t="shared" si="611"/>
        <v>106.01199999998789</v>
      </c>
      <c r="ACG31" s="16">
        <f t="shared" si="611"/>
        <v>105.36700000002747</v>
      </c>
      <c r="ACH31" s="16">
        <f t="shared" si="611"/>
        <v>118.25999999995111</v>
      </c>
      <c r="ACI31" s="16">
        <f t="shared" si="611"/>
        <v>114.61600000003818</v>
      </c>
      <c r="ACJ31" s="16">
        <f t="shared" si="611"/>
        <v>127.96899999998277</v>
      </c>
      <c r="ACK31" s="16">
        <f t="shared" si="611"/>
        <v>127.08399999997346</v>
      </c>
      <c r="ACL31" s="16">
        <f t="shared" si="611"/>
        <v>193.77700000000186</v>
      </c>
      <c r="ACM31" s="16">
        <f t="shared" si="611"/>
        <v>126.87100000004284</v>
      </c>
      <c r="ACN31" s="16">
        <f t="shared" si="611"/>
        <v>61.284999999974389</v>
      </c>
      <c r="ACO31" s="16">
        <f t="shared" si="611"/>
        <v>125.36800000001676</v>
      </c>
      <c r="ACP31" s="16">
        <f t="shared" si="611"/>
        <v>89.181999999971595</v>
      </c>
      <c r="ACQ31" s="16">
        <f t="shared" si="611"/>
        <v>46.233000000007451</v>
      </c>
      <c r="ACR31" s="16">
        <f t="shared" si="611"/>
        <v>159.77400000003399</v>
      </c>
      <c r="ACS31" s="16">
        <f t="shared" si="611"/>
        <v>43.437999999965541</v>
      </c>
      <c r="ACT31" s="16">
        <f t="shared" si="611"/>
        <v>151.60100000002421</v>
      </c>
      <c r="ACU31" s="16">
        <f t="shared" si="611"/>
        <v>148.38500000000931</v>
      </c>
      <c r="ACV31" s="16">
        <f t="shared" si="611"/>
        <v>148.59399999998277</v>
      </c>
      <c r="ACW31" s="16">
        <f t="shared" si="611"/>
        <v>78.918000000005122</v>
      </c>
      <c r="ACX31" s="16">
        <f t="shared" si="611"/>
        <v>83.863000000012107</v>
      </c>
      <c r="ACY31" s="16">
        <f t="shared" si="611"/>
        <v>85.150999999954365</v>
      </c>
      <c r="ACZ31" s="16">
        <f t="shared" si="611"/>
        <v>108.60000000003492</v>
      </c>
      <c r="ADA31" s="16">
        <f t="shared" si="611"/>
        <v>119.13000000000466</v>
      </c>
      <c r="ADB31" s="16">
        <f t="shared" si="611"/>
        <v>75.533999999985099</v>
      </c>
      <c r="ADC31" s="16">
        <f t="shared" si="611"/>
        <v>143.86300000001211</v>
      </c>
      <c r="ADD31" s="16">
        <f t="shared" si="611"/>
        <v>53.755999999993946</v>
      </c>
      <c r="ADE31" s="16">
        <f t="shared" si="611"/>
        <v>105.15799999999581</v>
      </c>
      <c r="ADF31" s="16">
        <f t="shared" si="611"/>
        <v>129.04100000002654</v>
      </c>
      <c r="ADG31" s="16">
        <f t="shared" si="611"/>
        <v>86.010999999998603</v>
      </c>
      <c r="ADH31" s="16">
        <f t="shared" si="611"/>
        <v>61.285999999963678</v>
      </c>
      <c r="ADI31" s="16">
        <f t="shared" si="611"/>
        <v>62.356000000028871</v>
      </c>
      <c r="ADJ31" s="127">
        <f>SUM(ACE31:ADI31)</f>
        <v>3303.6250000000291</v>
      </c>
      <c r="ADK31" s="16">
        <f t="shared" ref="ADK31:AEN31" si="612">ADK30-ADK29</f>
        <v>94.619000000006054</v>
      </c>
      <c r="ADL31" s="16">
        <f t="shared" si="612"/>
        <v>72.030999999959022</v>
      </c>
      <c r="ADM31" s="16">
        <f t="shared" si="612"/>
        <v>94.188000000023749</v>
      </c>
      <c r="ADN31" s="16">
        <f t="shared" si="612"/>
        <v>104.93300000001909</v>
      </c>
      <c r="ADO31" s="16">
        <f t="shared" si="612"/>
        <v>116.11899999994785</v>
      </c>
      <c r="ADP31" s="16">
        <f t="shared" si="612"/>
        <v>146.30800000001909</v>
      </c>
      <c r="ADQ31" s="16">
        <f t="shared" si="612"/>
        <v>86.01600000000326</v>
      </c>
      <c r="ADR31" s="16">
        <f t="shared" si="612"/>
        <v>56.981000000028871</v>
      </c>
      <c r="ADS31" s="16">
        <f t="shared" si="612"/>
        <v>88.35999999998603</v>
      </c>
      <c r="ADT31" s="16">
        <f t="shared" si="612"/>
        <v>89.451999999990221</v>
      </c>
      <c r="ADU31" s="16">
        <f t="shared" si="612"/>
        <v>99.989000000001397</v>
      </c>
      <c r="ADV31" s="16">
        <f t="shared" si="612"/>
        <v>73.755000000004657</v>
      </c>
      <c r="ADW31" s="16">
        <f t="shared" si="612"/>
        <v>98.918000000005122</v>
      </c>
      <c r="ADX31" s="16">
        <f t="shared" si="612"/>
        <v>66.178000000014435</v>
      </c>
      <c r="ADY31" s="16">
        <f t="shared" si="612"/>
        <v>127.40599999995902</v>
      </c>
      <c r="ADZ31" s="16">
        <f t="shared" si="612"/>
        <v>109.01800000004005</v>
      </c>
      <c r="AEA31" s="16">
        <f t="shared" si="612"/>
        <v>79.989999999990687</v>
      </c>
      <c r="AEB31" s="16">
        <f t="shared" si="612"/>
        <v>93.807999999960884</v>
      </c>
      <c r="AEC31" s="16">
        <f t="shared" si="612"/>
        <v>84.291000000026543</v>
      </c>
      <c r="AED31" s="16">
        <f t="shared" si="612"/>
        <v>115.3520000000135</v>
      </c>
      <c r="AEE31" s="16">
        <f t="shared" si="612"/>
        <v>195.73499999998603</v>
      </c>
      <c r="AEF31" s="16">
        <f t="shared" si="612"/>
        <v>144.2839999999851</v>
      </c>
      <c r="AEG31" s="16">
        <f t="shared" si="612"/>
        <v>175.03899999998976</v>
      </c>
      <c r="AEH31" s="16">
        <f t="shared" si="612"/>
        <v>65.583000000042375</v>
      </c>
      <c r="AEI31" s="16">
        <f t="shared" si="612"/>
        <v>70.402000000001863</v>
      </c>
      <c r="AEJ31" s="16">
        <f t="shared" si="612"/>
        <v>91.392999999981839</v>
      </c>
      <c r="AEK31" s="16">
        <f t="shared" si="612"/>
        <v>133.83600000001024</v>
      </c>
      <c r="AEL31" s="16">
        <f t="shared" si="612"/>
        <v>68.809999999997672</v>
      </c>
      <c r="AEM31" s="16">
        <f t="shared" si="612"/>
        <v>51.605999999970663</v>
      </c>
      <c r="AEN31" s="16">
        <f t="shared" si="612"/>
        <v>239.42700000002515</v>
      </c>
      <c r="AEO31" s="127">
        <f>SUM(ADK31:AEN31)</f>
        <v>3133.8269999999902</v>
      </c>
      <c r="AEP31" s="16">
        <f t="shared" ref="AEP31:AFT31" si="613">AEP30-AEP29</f>
        <v>97.841000000014901</v>
      </c>
      <c r="AEQ31" s="16">
        <f t="shared" si="613"/>
        <v>101.0679999999702</v>
      </c>
      <c r="AER31" s="16">
        <f t="shared" si="613"/>
        <v>88.739000000001397</v>
      </c>
      <c r="AES31" s="16">
        <f t="shared" si="613"/>
        <v>65.152999999991152</v>
      </c>
      <c r="AET31" s="16">
        <f t="shared" si="613"/>
        <v>81.559999999997672</v>
      </c>
      <c r="AEU31" s="16">
        <f t="shared" si="613"/>
        <v>212.67300000000978</v>
      </c>
      <c r="AEV31" s="16">
        <f t="shared" si="613"/>
        <v>98.823000000033062</v>
      </c>
      <c r="AEW31" s="16">
        <f t="shared" si="613"/>
        <v>130.67199999996228</v>
      </c>
      <c r="AEX31" s="16">
        <f t="shared" si="613"/>
        <v>95.77900000003865</v>
      </c>
      <c r="AEY31" s="16">
        <f t="shared" si="613"/>
        <v>49.889999999955762</v>
      </c>
      <c r="AEZ31" s="16">
        <f t="shared" si="613"/>
        <v>50.103000000002794</v>
      </c>
      <c r="AFA31" s="16">
        <f t="shared" si="613"/>
        <v>91.318000000028405</v>
      </c>
      <c r="AFB31" s="16">
        <f t="shared" si="613"/>
        <v>78.828999999968801</v>
      </c>
      <c r="AFC31" s="16">
        <f t="shared" si="613"/>
        <v>105.79999999998836</v>
      </c>
      <c r="AFD31" s="16">
        <f t="shared" si="613"/>
        <v>144.07500000001164</v>
      </c>
      <c r="AFE31" s="16">
        <f t="shared" si="613"/>
        <v>87.730000000039581</v>
      </c>
      <c r="AFF31" s="16">
        <f t="shared" si="613"/>
        <v>170.84599999996135</v>
      </c>
      <c r="AFG31" s="16">
        <f t="shared" si="613"/>
        <v>188.82099999999627</v>
      </c>
      <c r="AFH31" s="16">
        <f t="shared" si="613"/>
        <v>53.539000000047963</v>
      </c>
      <c r="AFI31" s="16">
        <f t="shared" si="613"/>
        <v>190.54799999995157</v>
      </c>
      <c r="AFJ31" s="16">
        <f t="shared" si="613"/>
        <v>127.29899999999907</v>
      </c>
      <c r="AFK31" s="16">
        <f t="shared" si="613"/>
        <v>92.684999999997672</v>
      </c>
      <c r="AFL31" s="16">
        <f t="shared" si="613"/>
        <v>75.90500000002794</v>
      </c>
      <c r="AFM31" s="16">
        <f t="shared" si="613"/>
        <v>79.347000000008848</v>
      </c>
      <c r="AFN31" s="16">
        <f t="shared" si="613"/>
        <v>4.2999999999883585</v>
      </c>
      <c r="AFO31" s="16">
        <f t="shared" si="613"/>
        <v>94.183000000019092</v>
      </c>
      <c r="AFP31" s="16">
        <f t="shared" si="613"/>
        <v>87.414999999979045</v>
      </c>
      <c r="AFQ31" s="16">
        <f t="shared" si="613"/>
        <v>77.625</v>
      </c>
      <c r="AFR31" s="16">
        <f t="shared" si="613"/>
        <v>63.379000000015367</v>
      </c>
      <c r="AFS31" s="16">
        <f t="shared" si="613"/>
        <v>74.185999999986961</v>
      </c>
      <c r="AFT31" s="16">
        <f t="shared" si="613"/>
        <v>34.403999999980442</v>
      </c>
      <c r="AFU31" s="127">
        <f>SUM(AEP31:AFT31)</f>
        <v>2994.5349999999744</v>
      </c>
      <c r="AFV31" s="16">
        <f t="shared" ref="AFV31:AGY31" si="614">AFV30-AFV29</f>
        <v>121.56200000003446</v>
      </c>
      <c r="AFW31" s="16">
        <f t="shared" si="614"/>
        <v>67.731999999959953</v>
      </c>
      <c r="AFX31" s="16">
        <f t="shared" si="614"/>
        <v>69.992000000027474</v>
      </c>
      <c r="AFY31" s="16">
        <f t="shared" si="614"/>
        <v>61.930999999982305</v>
      </c>
      <c r="AFZ31" s="16">
        <f t="shared" si="614"/>
        <v>74.187000000034459</v>
      </c>
      <c r="AGA31" s="16">
        <f t="shared" si="614"/>
        <v>121.82000000000698</v>
      </c>
      <c r="AGB31" s="16">
        <f t="shared" si="614"/>
        <v>109.13299999997253</v>
      </c>
      <c r="AGC31" s="16">
        <f t="shared" si="614"/>
        <v>89.886999999987893</v>
      </c>
      <c r="AGD31" s="16">
        <f t="shared" si="614"/>
        <v>34.834000000031665</v>
      </c>
      <c r="AGE31" s="16">
        <f t="shared" si="614"/>
        <v>130.25500000000466</v>
      </c>
      <c r="AGF31" s="16">
        <f t="shared" si="614"/>
        <v>71.820999999996275</v>
      </c>
      <c r="AGG31" s="16">
        <f t="shared" si="614"/>
        <v>120.42199999996228</v>
      </c>
      <c r="AGH31" s="16">
        <f t="shared" si="614"/>
        <v>125.79999999998836</v>
      </c>
      <c r="AGI31" s="16">
        <f t="shared" si="614"/>
        <v>56.984000000054948</v>
      </c>
      <c r="AGJ31" s="16">
        <f t="shared" si="614"/>
        <v>73.972999999998137</v>
      </c>
      <c r="AGK31" s="16">
        <f t="shared" si="614"/>
        <v>63.432999999960884</v>
      </c>
      <c r="AGL31" s="16">
        <f t="shared" si="614"/>
        <v>49.454000000027008</v>
      </c>
      <c r="AGM31" s="16">
        <f t="shared" si="614"/>
        <v>96.546999999962281</v>
      </c>
      <c r="AGN31" s="16">
        <f t="shared" si="614"/>
        <v>93.539000000047963</v>
      </c>
      <c r="AGO31" s="16">
        <f t="shared" si="614"/>
        <v>100.85300000000279</v>
      </c>
      <c r="AGP31" s="16">
        <f t="shared" si="614"/>
        <v>46.602999999944586</v>
      </c>
      <c r="AGQ31" s="16">
        <f t="shared" si="614"/>
        <v>115.18700000003446</v>
      </c>
      <c r="AGR31" s="16">
        <f t="shared" si="614"/>
        <v>116.60899999999674</v>
      </c>
      <c r="AGS31" s="16">
        <f t="shared" si="614"/>
        <v>33.413999999989755</v>
      </c>
      <c r="AGT31" s="16">
        <f t="shared" si="614"/>
        <v>61.552000000025146</v>
      </c>
      <c r="AGU31" s="16">
        <f t="shared" si="614"/>
        <v>129.13299999997253</v>
      </c>
      <c r="AGV31" s="16">
        <f t="shared" si="614"/>
        <v>65.695000000006985</v>
      </c>
      <c r="AGW31" s="16">
        <f t="shared" si="614"/>
        <v>162.47600000002421</v>
      </c>
      <c r="AGX31" s="16">
        <f t="shared" si="614"/>
        <v>82.425999999977648</v>
      </c>
      <c r="AGY31" s="16">
        <f t="shared" si="614"/>
        <v>57.152999999991152</v>
      </c>
      <c r="AGZ31" s="127">
        <f>SUM(AFV31:AGY31)</f>
        <v>2604.4070000000065</v>
      </c>
      <c r="AHA31" s="16">
        <f t="shared" ref="AHA31:AIE31" si="615">AHA30-AHA29</f>
        <v>181.35300000000279</v>
      </c>
      <c r="AHB31" s="16">
        <f t="shared" si="615"/>
        <v>117.60499999998137</v>
      </c>
      <c r="AHC31" s="16">
        <f t="shared" si="615"/>
        <v>68.13900000002468</v>
      </c>
      <c r="AHD31" s="16">
        <f t="shared" si="615"/>
        <v>72.791000000026543</v>
      </c>
      <c r="AHE31" s="16">
        <f t="shared" si="615"/>
        <v>200.46699999994598</v>
      </c>
      <c r="AHF31" s="16">
        <f t="shared" si="615"/>
        <v>111.90100000001257</v>
      </c>
      <c r="AHG31" s="16">
        <f t="shared" si="615"/>
        <v>160.58600000001024</v>
      </c>
      <c r="AHH31" s="16">
        <f t="shared" si="615"/>
        <v>110.25500000000466</v>
      </c>
      <c r="AHI31" s="16">
        <f t="shared" si="615"/>
        <v>62.972000000008848</v>
      </c>
      <c r="AHJ31" s="16">
        <f t="shared" si="615"/>
        <v>48.371999999973923</v>
      </c>
      <c r="AHK31" s="16">
        <f t="shared" si="615"/>
        <v>45.76400000002468</v>
      </c>
      <c r="AHL31" s="16">
        <f t="shared" si="615"/>
        <v>75.168999999994412</v>
      </c>
      <c r="AHM31" s="16">
        <f t="shared" si="615"/>
        <v>155.80200000002515</v>
      </c>
      <c r="AHN31" s="16">
        <f t="shared" si="615"/>
        <v>66.45599999994738</v>
      </c>
      <c r="AHO31" s="16">
        <f t="shared" si="615"/>
        <v>147.86100000003353</v>
      </c>
      <c r="AHP31" s="16">
        <f t="shared" si="615"/>
        <v>92.455000000016298</v>
      </c>
      <c r="AHQ31" s="16">
        <f t="shared" si="615"/>
        <v>74.73699999996461</v>
      </c>
      <c r="AHR31" s="16">
        <f t="shared" si="615"/>
        <v>102.84799999999814</v>
      </c>
      <c r="AHS31" s="16">
        <f t="shared" si="615"/>
        <v>106.92700000002515</v>
      </c>
      <c r="AHT31" s="16">
        <f t="shared" si="615"/>
        <v>41.399999999965075</v>
      </c>
      <c r="AHU31" s="16">
        <f t="shared" si="615"/>
        <v>62.722000000008848</v>
      </c>
      <c r="AHV31" s="16">
        <f t="shared" si="615"/>
        <v>142.75</v>
      </c>
      <c r="AHW31" s="16">
        <f t="shared" si="615"/>
        <v>113.47399999998743</v>
      </c>
      <c r="AHX31" s="16">
        <f t="shared" si="615"/>
        <v>30.506000000052154</v>
      </c>
      <c r="AHY31" s="16">
        <f t="shared" si="615"/>
        <v>42.706999999994878</v>
      </c>
      <c r="AHZ31" s="16">
        <f t="shared" si="615"/>
        <v>87.821999999985565</v>
      </c>
      <c r="AIA31" s="16">
        <f t="shared" si="615"/>
        <v>50.544999999983702</v>
      </c>
      <c r="AIB31" s="16">
        <f t="shared" si="615"/>
        <v>74.736000000033528</v>
      </c>
      <c r="AIC31" s="16">
        <f t="shared" si="615"/>
        <v>41.392999999981839</v>
      </c>
      <c r="AID31" s="16">
        <f t="shared" si="615"/>
        <v>69.239999999990687</v>
      </c>
      <c r="AIE31" s="16">
        <f t="shared" si="615"/>
        <v>49.022999999986496</v>
      </c>
      <c r="AIF31" s="127">
        <f>SUM(AHA31:AIE31)</f>
        <v>2808.7779999999912</v>
      </c>
      <c r="AIG31" s="16">
        <f t="shared" ref="AIG31:AJK31" si="616">AIG30-AIG29</f>
        <v>80.622000000032131</v>
      </c>
      <c r="AIH31" s="16">
        <f t="shared" si="616"/>
        <v>91.521999999997206</v>
      </c>
      <c r="AII31" s="16">
        <f t="shared" si="616"/>
        <v>76.910999999963678</v>
      </c>
      <c r="AIJ31" s="16">
        <f t="shared" si="616"/>
        <v>53.768000000040047</v>
      </c>
      <c r="AIK31" s="16">
        <f t="shared" si="616"/>
        <v>46.848999999987427</v>
      </c>
      <c r="AIL31" s="16">
        <f t="shared" si="616"/>
        <v>103.89100000000326</v>
      </c>
      <c r="AIM31" s="16">
        <f t="shared" si="616"/>
        <v>95.811999999976251</v>
      </c>
      <c r="AIN31" s="16">
        <f t="shared" si="616"/>
        <v>93.610000000044238</v>
      </c>
      <c r="AIO31" s="16">
        <f t="shared" si="616"/>
        <v>114.39299999998184</v>
      </c>
      <c r="AIP31" s="16">
        <f t="shared" si="616"/>
        <v>76.918999999994412</v>
      </c>
      <c r="AIQ31" s="16">
        <f t="shared" si="616"/>
        <v>71.961000000010245</v>
      </c>
      <c r="AIR31" s="16">
        <f t="shared" si="616"/>
        <v>77.581999999994878</v>
      </c>
      <c r="AIS31" s="16">
        <f t="shared" si="616"/>
        <v>85.730999999970663</v>
      </c>
      <c r="AIT31" s="16">
        <f t="shared" si="616"/>
        <v>90.885999999998603</v>
      </c>
      <c r="AIU31" s="16">
        <f t="shared" si="616"/>
        <v>28.268000000040047</v>
      </c>
      <c r="AIV31" s="16">
        <f t="shared" si="616"/>
        <v>34.572999999974854</v>
      </c>
      <c r="AIW31" s="16">
        <f t="shared" si="616"/>
        <v>15.218999999982771</v>
      </c>
      <c r="AIX31" s="16">
        <f t="shared" si="616"/>
        <v>67.406000000017229</v>
      </c>
      <c r="AIY31" s="16">
        <f t="shared" si="616"/>
        <v>88.058000000019092</v>
      </c>
      <c r="AIZ31" s="16">
        <f t="shared" si="616"/>
        <v>81.092999999993481</v>
      </c>
      <c r="AJA31" s="16">
        <f t="shared" si="616"/>
        <v>93.489000000001397</v>
      </c>
      <c r="AJB31" s="16">
        <f t="shared" si="616"/>
        <v>122.84999999997672</v>
      </c>
      <c r="AJC31" s="16">
        <f t="shared" si="616"/>
        <v>147.8520000000135</v>
      </c>
      <c r="AJD31" s="16">
        <f t="shared" si="616"/>
        <v>152.19099999999162</v>
      </c>
      <c r="AJE31" s="16">
        <f t="shared" si="616"/>
        <v>38.696999999985565</v>
      </c>
      <c r="AJF31" s="16">
        <f t="shared" si="616"/>
        <v>138.67000000004191</v>
      </c>
      <c r="AJG31" s="16">
        <f t="shared" si="616"/>
        <v>45.659999999974389</v>
      </c>
      <c r="AJH31" s="16">
        <f t="shared" si="616"/>
        <v>51.957999999984168</v>
      </c>
      <c r="AJI31" s="16">
        <f t="shared" si="616"/>
        <v>94.577000000048429</v>
      </c>
      <c r="AJJ31" s="16">
        <f t="shared" si="616"/>
        <v>107.3979999999865</v>
      </c>
      <c r="AJK31" s="16">
        <f t="shared" si="616"/>
        <v>85.881999999983236</v>
      </c>
      <c r="AJL31" s="127">
        <f>SUM(AIG31:AJK31)</f>
        <v>2554.2980000000098</v>
      </c>
      <c r="AJM31" s="16">
        <f t="shared" ref="AJM31:AKN31" si="617">AJM30-AJM29</f>
        <v>55.445999999996275</v>
      </c>
      <c r="AJN31" s="16">
        <f t="shared" si="617"/>
        <v>91.753000000026077</v>
      </c>
      <c r="AJO31" s="16">
        <f t="shared" si="617"/>
        <v>100.00500000000466</v>
      </c>
      <c r="AJP31" s="16">
        <f t="shared" si="617"/>
        <v>115.46999999997206</v>
      </c>
      <c r="AJQ31" s="16">
        <f t="shared" si="617"/>
        <v>122.40700000000652</v>
      </c>
      <c r="AJR31" s="16">
        <f t="shared" si="617"/>
        <v>83.260999999998603</v>
      </c>
      <c r="AJS31" s="16">
        <f t="shared" si="617"/>
        <v>87.622000000032131</v>
      </c>
      <c r="AJT31" s="16">
        <f t="shared" si="617"/>
        <v>66.314999999944121</v>
      </c>
      <c r="AJU31" s="16">
        <f t="shared" si="617"/>
        <v>155.29100000002654</v>
      </c>
      <c r="AJV31" s="16">
        <f t="shared" si="617"/>
        <v>97.179000000003725</v>
      </c>
      <c r="AJW31" s="16">
        <f t="shared" si="617"/>
        <v>135.88199999998324</v>
      </c>
      <c r="AJX31" s="16">
        <f t="shared" si="617"/>
        <v>210.40000000002328</v>
      </c>
      <c r="AJY31" s="16">
        <f t="shared" si="617"/>
        <v>87.197999999974854</v>
      </c>
      <c r="AJZ31" s="16">
        <f t="shared" si="617"/>
        <v>38.918999999994412</v>
      </c>
      <c r="AKA31" s="16">
        <f t="shared" si="617"/>
        <v>113.49499999999534</v>
      </c>
      <c r="AKB31" s="16">
        <f t="shared" si="617"/>
        <v>87.836999999999534</v>
      </c>
      <c r="AKC31" s="16">
        <f t="shared" si="617"/>
        <v>115.53900000004796</v>
      </c>
      <c r="AKD31" s="16">
        <f t="shared" si="617"/>
        <v>110.88299999997253</v>
      </c>
      <c r="AKE31" s="16">
        <f t="shared" si="617"/>
        <v>159.77000000001863</v>
      </c>
      <c r="AKF31" s="16">
        <f t="shared" si="617"/>
        <v>93.684999999997672</v>
      </c>
      <c r="AKG31" s="16">
        <f t="shared" si="617"/>
        <v>159.59399999998277</v>
      </c>
      <c r="AKH31" s="16">
        <f t="shared" si="617"/>
        <v>40.225000000034925</v>
      </c>
      <c r="AKI31" s="16">
        <f t="shared" si="617"/>
        <v>96.75199999997858</v>
      </c>
      <c r="AKJ31" s="16">
        <f t="shared" si="617"/>
        <v>87.833999999973457</v>
      </c>
      <c r="AKK31" s="16">
        <f t="shared" si="617"/>
        <v>120.67200000002049</v>
      </c>
      <c r="AKL31" s="16">
        <f t="shared" si="617"/>
        <v>94.144000000029337</v>
      </c>
      <c r="AKM31" s="16">
        <f t="shared" si="617"/>
        <v>128.28800000000047</v>
      </c>
      <c r="AKN31" s="16">
        <f t="shared" si="617"/>
        <v>56.09599999996135</v>
      </c>
      <c r="AKO31" s="127">
        <f>SUM(AJM31:AKN31)</f>
        <v>2911.9619999999995</v>
      </c>
      <c r="AKP31" s="16">
        <f t="shared" ref="AKP31:ALT31" si="618">AKP30-AKP29</f>
        <v>127.20600000000559</v>
      </c>
      <c r="AKQ31" s="16">
        <f t="shared" si="618"/>
        <v>113.27100000000792</v>
      </c>
      <c r="AKR31" s="16">
        <f t="shared" si="618"/>
        <v>107.84200000000419</v>
      </c>
      <c r="AKS31" s="16">
        <f t="shared" si="618"/>
        <v>53.920999999972992</v>
      </c>
      <c r="AKT31" s="16">
        <f t="shared" si="618"/>
        <v>128.49700000003213</v>
      </c>
      <c r="AKU31" s="16">
        <f t="shared" si="618"/>
        <v>60.657000000006519</v>
      </c>
      <c r="AKV31" s="16">
        <f t="shared" si="618"/>
        <v>103.26899999997113</v>
      </c>
      <c r="AKW31" s="16">
        <f t="shared" si="618"/>
        <v>125.67800000001444</v>
      </c>
      <c r="AKX31" s="16">
        <f t="shared" si="618"/>
        <v>178.7160000000149</v>
      </c>
      <c r="AKY31" s="16">
        <f t="shared" si="618"/>
        <v>98.578999999968801</v>
      </c>
      <c r="AKZ31" s="16">
        <f t="shared" si="618"/>
        <v>116.14900000003399</v>
      </c>
      <c r="ALA31" s="16">
        <f t="shared" si="618"/>
        <v>77.435999999986961</v>
      </c>
      <c r="ALB31" s="16">
        <f t="shared" si="618"/>
        <v>93.130999999993946</v>
      </c>
      <c r="ALC31" s="16">
        <f t="shared" si="618"/>
        <v>90.056999999971595</v>
      </c>
      <c r="ALD31" s="16">
        <f t="shared" si="618"/>
        <v>195.9770000000135</v>
      </c>
      <c r="ALE31" s="16">
        <f t="shared" si="618"/>
        <v>217.15500000002794</v>
      </c>
      <c r="ALF31" s="16">
        <f t="shared" si="618"/>
        <v>83.608000000007451</v>
      </c>
      <c r="ALG31" s="16">
        <f t="shared" si="618"/>
        <v>97.663999999989755</v>
      </c>
      <c r="ALH31" s="16">
        <f t="shared" si="618"/>
        <v>94.692999999970198</v>
      </c>
      <c r="ALI31" s="16">
        <f t="shared" si="618"/>
        <v>137.68300000001909</v>
      </c>
      <c r="ALJ31" s="16">
        <f t="shared" si="618"/>
        <v>77.978999999992084</v>
      </c>
      <c r="ALK31" s="16">
        <f t="shared" si="618"/>
        <v>220.26799999998184</v>
      </c>
      <c r="ALL31" s="16">
        <f t="shared" si="618"/>
        <v>107.52000000001863</v>
      </c>
      <c r="ALM31" s="16">
        <f t="shared" si="618"/>
        <v>131.79999999998836</v>
      </c>
      <c r="ALN31" s="16">
        <f t="shared" si="618"/>
        <v>198.60000000003492</v>
      </c>
      <c r="ALO31" s="16">
        <f t="shared" si="618"/>
        <v>108.54199999995762</v>
      </c>
      <c r="ALP31" s="16">
        <f t="shared" si="618"/>
        <v>120.60000000003492</v>
      </c>
      <c r="ALQ31" s="16">
        <f t="shared" si="618"/>
        <v>95.599999999976717</v>
      </c>
      <c r="ALR31" s="16">
        <f t="shared" si="618"/>
        <v>199.22500000003492</v>
      </c>
      <c r="ALS31" s="16">
        <f t="shared" si="618"/>
        <v>191.39999999996508</v>
      </c>
      <c r="ALT31" s="16">
        <f t="shared" si="618"/>
        <v>65.956999999994878</v>
      </c>
      <c r="ALU31" s="127">
        <f>SUM(AKP31:ALT31)</f>
        <v>3818.679999999993</v>
      </c>
      <c r="ALV31" s="16">
        <f t="shared" ref="ALV31:AMY31" si="619">ALV30-ALV29</f>
        <v>63.869999999995343</v>
      </c>
      <c r="ALW31" s="16">
        <f t="shared" si="619"/>
        <v>99.51400000002468</v>
      </c>
      <c r="ALX31" s="16">
        <f t="shared" si="619"/>
        <v>126.30999999999767</v>
      </c>
      <c r="ALY31" s="16">
        <f t="shared" si="619"/>
        <v>144.68599999998696</v>
      </c>
      <c r="ALZ31" s="16">
        <f t="shared" si="619"/>
        <v>37.867000000027474</v>
      </c>
      <c r="AMA31" s="16">
        <f t="shared" si="619"/>
        <v>85.061999999976251</v>
      </c>
      <c r="AMB31" s="16">
        <f t="shared" si="619"/>
        <v>100.06099999998696</v>
      </c>
      <c r="AMC31" s="16">
        <f t="shared" si="619"/>
        <v>167.41200000001118</v>
      </c>
      <c r="AMD31" s="16">
        <f t="shared" si="619"/>
        <v>115.9440000000177</v>
      </c>
      <c r="AME31" s="16">
        <f t="shared" si="619"/>
        <v>140.53100000001723</v>
      </c>
      <c r="AMF31" s="16">
        <f t="shared" si="619"/>
        <v>90.478999999992084</v>
      </c>
      <c r="AMG31" s="16">
        <f t="shared" si="619"/>
        <v>56.523999999975786</v>
      </c>
      <c r="AMH31" s="16">
        <f t="shared" si="619"/>
        <v>70.301000000035856</v>
      </c>
      <c r="AMI31" s="16">
        <f t="shared" si="619"/>
        <v>143.1019999999553</v>
      </c>
      <c r="AMJ31" s="16">
        <f t="shared" si="619"/>
        <v>95.586999999999534</v>
      </c>
      <c r="AMK31" s="16">
        <f t="shared" si="619"/>
        <v>110.58900000003632</v>
      </c>
      <c r="AML31" s="16">
        <f t="shared" si="619"/>
        <v>172.91599999996834</v>
      </c>
      <c r="AMM31" s="16">
        <f t="shared" si="619"/>
        <v>149.91500000003725</v>
      </c>
      <c r="AMN31" s="16">
        <f t="shared" si="619"/>
        <v>145.67599999997765</v>
      </c>
      <c r="AMO31" s="16">
        <f t="shared" si="619"/>
        <v>152.00799999997253</v>
      </c>
      <c r="AMP31" s="16">
        <f t="shared" si="619"/>
        <v>49.336000000010245</v>
      </c>
      <c r="AMQ31" s="16">
        <f t="shared" si="619"/>
        <v>116.77199999999721</v>
      </c>
      <c r="AMR31" s="16">
        <f t="shared" si="619"/>
        <v>198.38500000000931</v>
      </c>
      <c r="AMS31" s="16">
        <f t="shared" si="619"/>
        <v>141.34500000003027</v>
      </c>
      <c r="AMT31" s="16">
        <f t="shared" si="619"/>
        <v>113.72899999999208</v>
      </c>
      <c r="AMU31" s="16">
        <f t="shared" si="619"/>
        <v>135.06099999998696</v>
      </c>
      <c r="AMV31" s="16">
        <f t="shared" si="619"/>
        <v>118.10499999998137</v>
      </c>
      <c r="AMW31" s="16">
        <f t="shared" si="619"/>
        <v>194.68800000002375</v>
      </c>
      <c r="AMX31" s="16">
        <f t="shared" si="619"/>
        <v>195.88400000002002</v>
      </c>
      <c r="AMY31" s="16">
        <f t="shared" si="619"/>
        <v>98.961999999999534</v>
      </c>
      <c r="AMZ31" s="127">
        <f>SUM(ALV31:AMY31)</f>
        <v>3630.6210000000428</v>
      </c>
      <c r="ANA31" s="16">
        <f t="shared" ref="ANA31:AOE31" si="620">ANA30-ANA29</f>
        <v>75.958999999973457</v>
      </c>
      <c r="ANB31" s="16">
        <f t="shared" si="620"/>
        <v>56.316999999980908</v>
      </c>
      <c r="ANC31" s="16">
        <f t="shared" si="620"/>
        <v>47.431000000040513</v>
      </c>
      <c r="AND31" s="16">
        <f t="shared" si="620"/>
        <v>32.103000000002794</v>
      </c>
      <c r="ANE31" s="16">
        <f t="shared" si="620"/>
        <v>94.230999999970663</v>
      </c>
      <c r="ANF31" s="16">
        <f t="shared" si="620"/>
        <v>76.298000000009779</v>
      </c>
      <c r="ANG31" s="16">
        <f t="shared" si="620"/>
        <v>41.744999999995343</v>
      </c>
      <c r="ANH31" s="16">
        <f t="shared" si="620"/>
        <v>66.081999999994878</v>
      </c>
      <c r="ANI31" s="16">
        <f t="shared" si="620"/>
        <v>62.347999999998137</v>
      </c>
      <c r="ANJ31" s="16">
        <f t="shared" si="620"/>
        <v>73.297000000020489</v>
      </c>
      <c r="ANK31" s="16">
        <f t="shared" si="620"/>
        <v>117.59700000000885</v>
      </c>
      <c r="ANL31" s="16">
        <f t="shared" si="620"/>
        <v>38.728999999992084</v>
      </c>
      <c r="ANM31" s="16">
        <f t="shared" si="620"/>
        <v>39.164999999979045</v>
      </c>
      <c r="ANN31" s="16">
        <f t="shared" si="620"/>
        <v>74.611000000033528</v>
      </c>
      <c r="ANO31" s="16">
        <f t="shared" si="620"/>
        <v>100.5899999999674</v>
      </c>
      <c r="ANP31" s="16">
        <f t="shared" si="620"/>
        <v>155.39900000003399</v>
      </c>
      <c r="ANQ31" s="16">
        <f t="shared" si="620"/>
        <v>85.645999999949709</v>
      </c>
      <c r="ANR31" s="16">
        <f t="shared" si="620"/>
        <v>82.543999999994412</v>
      </c>
      <c r="ANS31" s="16">
        <f t="shared" si="620"/>
        <v>51.698000000033062</v>
      </c>
      <c r="ANT31" s="16">
        <f t="shared" si="620"/>
        <v>50.848999999987427</v>
      </c>
      <c r="ANU31" s="16">
        <f t="shared" si="620"/>
        <v>22.035000000032596</v>
      </c>
      <c r="ANV31" s="16">
        <f t="shared" si="620"/>
        <v>74.467999999993481</v>
      </c>
      <c r="ANW31" s="16">
        <f t="shared" si="620"/>
        <v>64.658999999985099</v>
      </c>
      <c r="ANX31" s="16">
        <f t="shared" si="620"/>
        <v>48.213999999978114</v>
      </c>
      <c r="ANY31" s="16">
        <f t="shared" si="620"/>
        <v>111.86300000001211</v>
      </c>
      <c r="ANZ31" s="16">
        <f t="shared" si="620"/>
        <v>179.42999999999302</v>
      </c>
      <c r="AOA31" s="16">
        <f t="shared" si="620"/>
        <v>214.59799999999814</v>
      </c>
      <c r="AOB31" s="16">
        <f t="shared" si="620"/>
        <v>108.68499999999767</v>
      </c>
      <c r="AOC31" s="16">
        <f t="shared" si="620"/>
        <v>177.74600000004284</v>
      </c>
      <c r="AOD31" s="16">
        <f t="shared" si="620"/>
        <v>242.92399999999907</v>
      </c>
      <c r="AOE31">
        <f t="shared" si="620"/>
        <v>242.92399999999907</v>
      </c>
    </row>
    <row r="32" spans="1:1072" x14ac:dyDescent="0.2">
      <c r="A32" s="157"/>
      <c r="B32" s="5"/>
      <c r="C32" s="6" t="s">
        <v>777</v>
      </c>
      <c r="D32" s="16">
        <f t="shared" ref="D32:AH32" si="621">D31+D28+D25+D22</f>
        <v>1224.2479999999632</v>
      </c>
      <c r="E32" s="16">
        <f t="shared" si="621"/>
        <v>1003.600000000064</v>
      </c>
      <c r="F32" s="16">
        <f t="shared" si="621"/>
        <v>696.24499999996624</v>
      </c>
      <c r="G32" s="16">
        <f t="shared" si="621"/>
        <v>1041.6270000000077</v>
      </c>
      <c r="H32" s="16">
        <f t="shared" si="621"/>
        <v>1370.5029999999679</v>
      </c>
      <c r="I32" s="16">
        <f t="shared" si="621"/>
        <v>822.19800000003306</v>
      </c>
      <c r="J32" s="16">
        <f t="shared" si="621"/>
        <v>1071.6059999999998</v>
      </c>
      <c r="K32" s="16">
        <f t="shared" si="621"/>
        <v>961.01699999999255</v>
      </c>
      <c r="L32" s="16">
        <f t="shared" si="621"/>
        <v>864.07300000003306</v>
      </c>
      <c r="M32" s="16">
        <f t="shared" si="621"/>
        <v>914.77199999999721</v>
      </c>
      <c r="N32" s="16">
        <f t="shared" si="621"/>
        <v>991.04899999996996</v>
      </c>
      <c r="O32" s="16">
        <f t="shared" si="621"/>
        <v>686.87400000003981</v>
      </c>
      <c r="P32" s="16">
        <f t="shared" si="621"/>
        <v>723.42199999996228</v>
      </c>
      <c r="Q32" s="16">
        <f t="shared" si="621"/>
        <v>846.46099999998114</v>
      </c>
      <c r="R32" s="16">
        <f t="shared" si="621"/>
        <v>841.29200000001583</v>
      </c>
      <c r="S32" s="16">
        <f t="shared" si="621"/>
        <v>694.90700000006473</v>
      </c>
      <c r="T32" s="16">
        <f t="shared" si="621"/>
        <v>1289.2559999999357</v>
      </c>
      <c r="U32" s="16">
        <f t="shared" si="621"/>
        <v>748.6359999999986</v>
      </c>
      <c r="V32" s="16">
        <f t="shared" si="621"/>
        <v>676.33300000004238</v>
      </c>
      <c r="W32" s="16">
        <f t="shared" si="621"/>
        <v>854.58099999991828</v>
      </c>
      <c r="X32" s="16">
        <f t="shared" si="621"/>
        <v>943.2050000000454</v>
      </c>
      <c r="Y32" s="16">
        <f t="shared" si="621"/>
        <v>909.18100000001141</v>
      </c>
      <c r="Z32" s="16">
        <f t="shared" si="621"/>
        <v>935.38300000003073</v>
      </c>
      <c r="AA32" s="16">
        <f t="shared" si="621"/>
        <v>840.83099999991828</v>
      </c>
      <c r="AB32" s="16">
        <f t="shared" si="621"/>
        <v>1143.600000000064</v>
      </c>
      <c r="AC32" s="16">
        <f t="shared" si="621"/>
        <v>1035.0349999999744</v>
      </c>
      <c r="AD32" s="16">
        <f t="shared" si="621"/>
        <v>885.75500000003376</v>
      </c>
      <c r="AE32" s="16">
        <f t="shared" si="621"/>
        <v>844.88099999996484</v>
      </c>
      <c r="AF32" s="16">
        <f t="shared" si="621"/>
        <v>1339.6359999999695</v>
      </c>
      <c r="AG32" s="16">
        <f t="shared" si="621"/>
        <v>1280.685000000085</v>
      </c>
      <c r="AH32" s="16">
        <f t="shared" si="621"/>
        <v>1182.3499999999767</v>
      </c>
      <c r="AI32" s="17"/>
      <c r="AJ32" s="16">
        <f t="shared" ref="AJ32:BM32" si="622">AJ31+AJ28+AJ25+AJ22</f>
        <v>1085.783999999956</v>
      </c>
      <c r="AK32" s="16">
        <f t="shared" si="622"/>
        <v>1392.4130000000005</v>
      </c>
      <c r="AL32" s="16">
        <f t="shared" si="622"/>
        <v>1251.4040000000386</v>
      </c>
      <c r="AM32" s="16">
        <f t="shared" si="622"/>
        <v>1491.2099999999919</v>
      </c>
      <c r="AN32" s="16">
        <f t="shared" si="622"/>
        <v>1556.0809999999765</v>
      </c>
      <c r="AO32" s="16">
        <f t="shared" si="622"/>
        <v>1866.7150000000256</v>
      </c>
      <c r="AP32" s="16">
        <f t="shared" si="622"/>
        <v>1645.2830000000249</v>
      </c>
      <c r="AQ32" s="16">
        <f t="shared" si="622"/>
        <v>1970.292999999976</v>
      </c>
      <c r="AR32" s="16">
        <f t="shared" si="622"/>
        <v>1077.8560000000289</v>
      </c>
      <c r="AS32" s="16">
        <f t="shared" si="622"/>
        <v>1243.1789999999455</v>
      </c>
      <c r="AT32" s="16">
        <f t="shared" si="622"/>
        <v>1299.7840000000142</v>
      </c>
      <c r="AU32" s="16">
        <f t="shared" si="622"/>
        <v>1152.8680000000168</v>
      </c>
      <c r="AV32" s="16">
        <f t="shared" si="622"/>
        <v>934.59200000000419</v>
      </c>
      <c r="AW32" s="16">
        <f t="shared" si="622"/>
        <v>919.04299999997602</v>
      </c>
      <c r="AX32" s="16">
        <f t="shared" si="622"/>
        <v>1061.2110000000102</v>
      </c>
      <c r="AY32" s="16">
        <f t="shared" si="622"/>
        <v>986.25600000002305</v>
      </c>
      <c r="AZ32" s="16">
        <f t="shared" si="622"/>
        <v>946.89399999994203</v>
      </c>
      <c r="BA32" s="16">
        <f t="shared" si="622"/>
        <v>1188.737999999983</v>
      </c>
      <c r="BB32" s="16">
        <f t="shared" si="622"/>
        <v>1048.5970000000088</v>
      </c>
      <c r="BC32" s="16">
        <f t="shared" si="622"/>
        <v>796.60800000003655</v>
      </c>
      <c r="BD32" s="16">
        <f t="shared" si="622"/>
        <v>993.09000000002561</v>
      </c>
      <c r="BE32" s="16">
        <f t="shared" si="622"/>
        <v>1195.7960000000021</v>
      </c>
      <c r="BF32" s="16">
        <f t="shared" si="622"/>
        <v>1305.3679999999877</v>
      </c>
      <c r="BG32" s="16">
        <f t="shared" si="622"/>
        <v>970.27099999997881</v>
      </c>
      <c r="BH32" s="16">
        <f t="shared" si="622"/>
        <v>989.74300000001676</v>
      </c>
      <c r="BI32" s="16">
        <f t="shared" si="622"/>
        <v>1081.3849999999802</v>
      </c>
      <c r="BJ32" s="16">
        <f t="shared" si="622"/>
        <v>1102.4220000000205</v>
      </c>
      <c r="BK32" s="16">
        <f t="shared" si="622"/>
        <v>1145.6890000000421</v>
      </c>
      <c r="BL32" s="16">
        <f t="shared" si="622"/>
        <v>1191.3889999999374</v>
      </c>
      <c r="BM32" s="16">
        <f t="shared" si="622"/>
        <v>875.79400000002352</v>
      </c>
      <c r="BN32" s="89">
        <f>SUM(AJ32:BM32)</f>
        <v>35765.755999999994</v>
      </c>
      <c r="BO32" s="16">
        <f t="shared" ref="BO32:CS32" si="623">BO31+BO28+BO25+BO22</f>
        <v>808.80199999999604</v>
      </c>
      <c r="BP32" s="16">
        <f t="shared" si="623"/>
        <v>902.28199999997742</v>
      </c>
      <c r="BQ32" s="16">
        <f t="shared" si="623"/>
        <v>1172.8300000000454</v>
      </c>
      <c r="BR32" s="16">
        <f t="shared" si="623"/>
        <v>983.32500000001164</v>
      </c>
      <c r="BS32" s="16">
        <f t="shared" si="623"/>
        <v>1563.6069999999308</v>
      </c>
      <c r="BT32" s="16">
        <f t="shared" si="623"/>
        <v>1263.3350000000501</v>
      </c>
      <c r="BU32" s="16">
        <f t="shared" si="623"/>
        <v>1054.9459999999381</v>
      </c>
      <c r="BV32" s="16">
        <f t="shared" si="623"/>
        <v>777.865000000078</v>
      </c>
      <c r="BW32" s="16">
        <f t="shared" si="623"/>
        <v>1320.2319999999017</v>
      </c>
      <c r="BX32" s="16">
        <f t="shared" si="623"/>
        <v>1031.2770000000892</v>
      </c>
      <c r="BY32" s="16">
        <f t="shared" si="623"/>
        <v>1000.6270000000077</v>
      </c>
      <c r="BZ32" s="16">
        <f t="shared" si="623"/>
        <v>874.07699999999022</v>
      </c>
      <c r="CA32" s="16">
        <f t="shared" si="623"/>
        <v>1138.9039999999804</v>
      </c>
      <c r="CB32" s="16">
        <f t="shared" si="623"/>
        <v>1027.5580000000191</v>
      </c>
      <c r="CC32" s="16">
        <f t="shared" si="623"/>
        <v>770.49499999999534</v>
      </c>
      <c r="CD32" s="16">
        <f t="shared" si="623"/>
        <v>991.76699999999255</v>
      </c>
      <c r="CE32" s="16">
        <f t="shared" si="623"/>
        <v>1100.073000000004</v>
      </c>
      <c r="CF32" s="16">
        <f t="shared" si="623"/>
        <v>963.396999999939</v>
      </c>
      <c r="CG32" s="16">
        <f t="shared" si="623"/>
        <v>716.38400000002002</v>
      </c>
      <c r="CH32" s="16">
        <f t="shared" si="623"/>
        <v>994.80700000005891</v>
      </c>
      <c r="CI32" s="16">
        <f t="shared" si="623"/>
        <v>830.86100000000442</v>
      </c>
      <c r="CJ32" s="16">
        <f t="shared" si="623"/>
        <v>761.98299999997835</v>
      </c>
      <c r="CK32" s="16">
        <f t="shared" si="623"/>
        <v>866.88499999995111</v>
      </c>
      <c r="CL32" s="16">
        <f t="shared" si="623"/>
        <v>1076.6860000000452</v>
      </c>
      <c r="CM32" s="16">
        <f t="shared" si="623"/>
        <v>720.49699999994482</v>
      </c>
      <c r="CN32" s="16">
        <f t="shared" si="623"/>
        <v>853.53900000004796</v>
      </c>
      <c r="CO32" s="16">
        <f t="shared" si="623"/>
        <v>825.658999999956</v>
      </c>
      <c r="CP32" s="16">
        <f t="shared" si="623"/>
        <v>1143.3059999999823</v>
      </c>
      <c r="CQ32" s="16">
        <f t="shared" si="623"/>
        <v>781.57300000006217</v>
      </c>
      <c r="CR32" s="16">
        <f t="shared" si="623"/>
        <v>980.81499999997322</v>
      </c>
      <c r="CS32" s="16">
        <f t="shared" si="623"/>
        <v>919.21300000004703</v>
      </c>
      <c r="CT32" s="89">
        <f>SUM(BO32:CS32)</f>
        <v>30217.607000000018</v>
      </c>
      <c r="CU32" s="16">
        <f t="shared" ref="CU32:DX32" si="624">CU31+CU28+CU25+CU22</f>
        <v>961.03499999991618</v>
      </c>
      <c r="CV32" s="16">
        <f t="shared" si="624"/>
        <v>947.08400000006077</v>
      </c>
      <c r="CW32" s="16">
        <f t="shared" si="624"/>
        <v>927.03099999998813</v>
      </c>
      <c r="CX32" s="16">
        <f t="shared" si="624"/>
        <v>1170.7069999999949</v>
      </c>
      <c r="CY32" s="16">
        <f t="shared" si="624"/>
        <v>952.17300000000978</v>
      </c>
      <c r="CZ32" s="16">
        <f t="shared" si="624"/>
        <v>1010.7329999999783</v>
      </c>
      <c r="DA32" s="16">
        <f t="shared" si="624"/>
        <v>1119.1440000000584</v>
      </c>
      <c r="DB32" s="16">
        <f t="shared" si="624"/>
        <v>1018.20100000003</v>
      </c>
      <c r="DC32" s="16">
        <f t="shared" si="624"/>
        <v>1119.1849999999395</v>
      </c>
      <c r="DD32" s="16">
        <f t="shared" si="624"/>
        <v>947.99799999999232</v>
      </c>
      <c r="DE32" s="16">
        <f t="shared" si="624"/>
        <v>1197.5220000000263</v>
      </c>
      <c r="DF32" s="16">
        <f t="shared" si="624"/>
        <v>551.4309999999241</v>
      </c>
      <c r="DG32" s="16">
        <f t="shared" si="624"/>
        <v>502.41200000004028</v>
      </c>
      <c r="DH32" s="16">
        <f t="shared" si="624"/>
        <v>992.94899999999325</v>
      </c>
      <c r="DI32" s="16">
        <f t="shared" si="624"/>
        <v>635.42599999997765</v>
      </c>
      <c r="DJ32" s="16">
        <f t="shared" si="624"/>
        <v>822.42600000006496</v>
      </c>
      <c r="DK32" s="16">
        <f t="shared" si="624"/>
        <v>1784.3549999999814</v>
      </c>
      <c r="DL32" s="16">
        <f t="shared" si="624"/>
        <v>945.60500000001048</v>
      </c>
      <c r="DM32" s="16">
        <f t="shared" si="624"/>
        <v>637.06200000000536</v>
      </c>
      <c r="DN32" s="16">
        <f t="shared" si="624"/>
        <v>1377.9899999999616</v>
      </c>
      <c r="DO32" s="16">
        <f t="shared" si="624"/>
        <v>863.57099999999627</v>
      </c>
      <c r="DP32" s="16">
        <f t="shared" si="624"/>
        <v>1203.7849999999744</v>
      </c>
      <c r="DQ32" s="16">
        <f t="shared" si="624"/>
        <v>905.2500000000291</v>
      </c>
      <c r="DR32" s="16">
        <f t="shared" si="624"/>
        <v>985.12200000000303</v>
      </c>
      <c r="DS32" s="16">
        <f t="shared" si="624"/>
        <v>819.0350000000617</v>
      </c>
      <c r="DT32" s="16">
        <f t="shared" si="624"/>
        <v>903.03299999996671</v>
      </c>
      <c r="DU32" s="16">
        <f t="shared" si="624"/>
        <v>1196.2679999999527</v>
      </c>
      <c r="DV32" s="16">
        <f t="shared" si="624"/>
        <v>1295.0469999999914</v>
      </c>
      <c r="DW32" s="16">
        <f t="shared" si="624"/>
        <v>1084.390000000014</v>
      </c>
      <c r="DX32" s="16">
        <f t="shared" si="624"/>
        <v>981.57600000000093</v>
      </c>
      <c r="DY32" s="116">
        <f>SUM(CU32:DX32)</f>
        <v>29857.545999999944</v>
      </c>
      <c r="DZ32" s="16">
        <f t="shared" ref="DZ32:FD32" si="625">DZ31+DZ28+DZ25+DZ22</f>
        <v>938.14300000001094</v>
      </c>
      <c r="EA32" s="16">
        <f t="shared" si="625"/>
        <v>1206.2889999999607</v>
      </c>
      <c r="EB32" s="16">
        <f t="shared" si="625"/>
        <v>782.59700000003795</v>
      </c>
      <c r="EC32" s="16">
        <f t="shared" si="625"/>
        <v>960.07399999999325</v>
      </c>
      <c r="ED32" s="16">
        <f t="shared" si="625"/>
        <v>1080.9539999999688</v>
      </c>
      <c r="EE32" s="16">
        <f t="shared" si="625"/>
        <v>956.06400000004214</v>
      </c>
      <c r="EF32" s="16">
        <f t="shared" si="625"/>
        <v>1145.5829999999551</v>
      </c>
      <c r="EG32" s="16">
        <f t="shared" si="625"/>
        <v>1054.5640000000712</v>
      </c>
      <c r="EH32" s="16">
        <f t="shared" si="625"/>
        <v>1389.0569999999716</v>
      </c>
      <c r="EI32" s="16">
        <f t="shared" si="625"/>
        <v>1092.9660000000149</v>
      </c>
      <c r="EJ32" s="16">
        <f t="shared" si="625"/>
        <v>1238.6600000000035</v>
      </c>
      <c r="EK32" s="16">
        <f t="shared" si="625"/>
        <v>1506.8009999999776</v>
      </c>
      <c r="EL32" s="16">
        <f t="shared" si="625"/>
        <v>1207.5580000000482</v>
      </c>
      <c r="EM32" s="16">
        <f t="shared" si="625"/>
        <v>1468.323999999935</v>
      </c>
      <c r="EN32" s="16">
        <f t="shared" si="625"/>
        <v>1404.6070000000473</v>
      </c>
      <c r="EO32" s="16">
        <f t="shared" si="625"/>
        <v>1070.4979999999632</v>
      </c>
      <c r="EP32" s="16">
        <f t="shared" si="625"/>
        <v>1067.170999999973</v>
      </c>
      <c r="EQ32" s="16">
        <f t="shared" si="625"/>
        <v>1296.6440000000293</v>
      </c>
      <c r="ER32" s="16">
        <f t="shared" si="625"/>
        <v>1015.9070000000065</v>
      </c>
      <c r="ES32" s="16">
        <f t="shared" si="625"/>
        <v>1256.2420000000275</v>
      </c>
      <c r="ET32" s="16">
        <f t="shared" si="625"/>
        <v>1787.7699999999895</v>
      </c>
      <c r="EU32" s="16">
        <f t="shared" si="625"/>
        <v>1514.0010000000184</v>
      </c>
      <c r="EV32" s="16">
        <f t="shared" si="625"/>
        <v>1917.5899999999674</v>
      </c>
      <c r="EW32" s="16">
        <f t="shared" si="625"/>
        <v>1121.9149999999499</v>
      </c>
      <c r="EX32" s="16">
        <f t="shared" si="625"/>
        <v>564.46000000005006</v>
      </c>
      <c r="EY32" s="16">
        <f t="shared" si="625"/>
        <v>887.98200000004726</v>
      </c>
      <c r="EZ32" s="16">
        <f t="shared" si="625"/>
        <v>839.50999999995111</v>
      </c>
      <c r="FA32" s="16">
        <f t="shared" si="625"/>
        <v>973.32700000001932</v>
      </c>
      <c r="FB32" s="16">
        <f t="shared" si="625"/>
        <v>950.84799999999814</v>
      </c>
      <c r="FC32" s="16">
        <f t="shared" si="625"/>
        <v>1198.4760000000533</v>
      </c>
      <c r="FD32" s="16">
        <f t="shared" si="625"/>
        <v>937.53499999991618</v>
      </c>
      <c r="FE32" s="127">
        <f>SUM(DZ32:FD32)</f>
        <v>35832.116999999998</v>
      </c>
      <c r="FF32" s="16">
        <f t="shared" ref="FF32:GJ32" si="626">FF31+FF28+FF25+FF22</f>
        <v>885.49400000006426</v>
      </c>
      <c r="FG32" s="16">
        <f t="shared" si="626"/>
        <v>843.62400000001071</v>
      </c>
      <c r="FH32" s="16">
        <f t="shared" si="626"/>
        <v>1256.5809999999474</v>
      </c>
      <c r="FI32" s="16">
        <f t="shared" si="626"/>
        <v>1064.9849999999569</v>
      </c>
      <c r="FJ32" s="16">
        <f t="shared" si="626"/>
        <v>1034.3750000000582</v>
      </c>
      <c r="FK32" s="16">
        <f t="shared" si="626"/>
        <v>1142.5749999999825</v>
      </c>
      <c r="FL32" s="16">
        <f t="shared" si="626"/>
        <v>977.15900000004331</v>
      </c>
      <c r="FM32" s="16">
        <f t="shared" si="626"/>
        <v>845.03499999991618</v>
      </c>
      <c r="FN32" s="16">
        <f t="shared" si="626"/>
        <v>1240.0990000000456</v>
      </c>
      <c r="FO32" s="16">
        <f t="shared" si="626"/>
        <v>780.33299999998417</v>
      </c>
      <c r="FP32" s="16">
        <f t="shared" si="626"/>
        <v>1012.7090000000608</v>
      </c>
      <c r="FQ32" s="16">
        <f t="shared" si="626"/>
        <v>1605.7029999999213</v>
      </c>
      <c r="FR32" s="16">
        <f t="shared" si="626"/>
        <v>826.72100000007777</v>
      </c>
      <c r="FS32" s="16">
        <f t="shared" si="626"/>
        <v>1207.9439999999595</v>
      </c>
      <c r="FT32" s="16">
        <f t="shared" si="626"/>
        <v>1372.3330000000424</v>
      </c>
      <c r="FU32" s="16">
        <f t="shared" si="626"/>
        <v>897.53599999990547</v>
      </c>
      <c r="FV32" s="16">
        <f t="shared" si="626"/>
        <v>1288.7620000001043</v>
      </c>
      <c r="FW32" s="16">
        <f t="shared" si="626"/>
        <v>1026.7469999999157</v>
      </c>
      <c r="FX32" s="16">
        <f t="shared" si="626"/>
        <v>1084.713000000047</v>
      </c>
      <c r="FY32" s="16">
        <f t="shared" si="626"/>
        <v>1200.768999999942</v>
      </c>
      <c r="FZ32" s="16">
        <f t="shared" si="626"/>
        <v>989.47900000005029</v>
      </c>
      <c r="GA32" s="16">
        <f t="shared" si="626"/>
        <v>1243.5819999999658</v>
      </c>
      <c r="GB32" s="16">
        <f t="shared" si="626"/>
        <v>1498.50900000002</v>
      </c>
      <c r="GC32" s="16">
        <f t="shared" si="626"/>
        <v>899.66599999996834</v>
      </c>
      <c r="GD32" s="16">
        <f t="shared" si="626"/>
        <v>885.84500000008848</v>
      </c>
      <c r="GE32" s="16">
        <f t="shared" si="626"/>
        <v>1262.5509999999776</v>
      </c>
      <c r="GF32" s="16">
        <f t="shared" si="626"/>
        <v>1164.0869999999995</v>
      </c>
      <c r="GG32" s="16">
        <f t="shared" si="626"/>
        <v>1161.5699999999779</v>
      </c>
      <c r="GH32" s="16">
        <f t="shared" si="626"/>
        <v>1459.6760000000068</v>
      </c>
      <c r="GI32" s="16">
        <f t="shared" si="626"/>
        <v>1336.5809999999765</v>
      </c>
      <c r="GJ32" s="16">
        <f t="shared" si="626"/>
        <v>1171.6520000000019</v>
      </c>
      <c r="GK32" s="127">
        <f>SUM(FF32:GJ32)</f>
        <v>34667.395000000019</v>
      </c>
      <c r="GL32" s="16">
        <f t="shared" ref="GL32:HN32" si="627">GL31+GL28+GL25+GL22</f>
        <v>1092.7020000000193</v>
      </c>
      <c r="GM32" s="16">
        <f t="shared" si="627"/>
        <v>1347.7940000000235</v>
      </c>
      <c r="GN32" s="16">
        <f t="shared" si="627"/>
        <v>1032.6359999999695</v>
      </c>
      <c r="GO32" s="16">
        <f t="shared" si="627"/>
        <v>787.85399999999208</v>
      </c>
      <c r="GP32" s="16">
        <f t="shared" si="627"/>
        <v>1083.0900000000547</v>
      </c>
      <c r="GQ32" s="16">
        <f t="shared" si="627"/>
        <v>888.08499999996275</v>
      </c>
      <c r="GR32" s="16">
        <f t="shared" si="627"/>
        <v>1204.792999999976</v>
      </c>
      <c r="GS32" s="16">
        <f t="shared" si="627"/>
        <v>1232.5360000000219</v>
      </c>
      <c r="GT32" s="16">
        <f t="shared" si="627"/>
        <v>847.72399999998743</v>
      </c>
      <c r="GU32" s="16">
        <f t="shared" si="627"/>
        <v>1344.6760000000068</v>
      </c>
      <c r="GV32" s="16">
        <f t="shared" si="627"/>
        <v>940.70199999999022</v>
      </c>
      <c r="GW32" s="16">
        <f t="shared" si="627"/>
        <v>986.908999999956</v>
      </c>
      <c r="GX32" s="16">
        <f t="shared" si="627"/>
        <v>825.37300000002142</v>
      </c>
      <c r="GY32" s="16">
        <f t="shared" si="627"/>
        <v>1003.2949999999837</v>
      </c>
      <c r="GZ32" s="16">
        <f t="shared" si="627"/>
        <v>875.82100000005448</v>
      </c>
      <c r="HA32" s="16">
        <f t="shared" si="627"/>
        <v>1016.2759999999544</v>
      </c>
      <c r="HB32" s="16">
        <f t="shared" si="627"/>
        <v>806.7390000000596</v>
      </c>
      <c r="HC32" s="16">
        <f t="shared" si="627"/>
        <v>768.53800000000047</v>
      </c>
      <c r="HD32" s="16">
        <f t="shared" si="627"/>
        <v>1378.1520000000019</v>
      </c>
      <c r="HE32" s="16">
        <f t="shared" si="627"/>
        <v>2908.2949999999837</v>
      </c>
      <c r="HF32" s="16">
        <f t="shared" si="627"/>
        <v>904.79900000002817</v>
      </c>
      <c r="HG32" s="16">
        <f t="shared" si="627"/>
        <v>938.0329999999376</v>
      </c>
      <c r="HH32" s="16">
        <f t="shared" si="627"/>
        <v>1050.4890000000305</v>
      </c>
      <c r="HI32" s="16">
        <f t="shared" si="627"/>
        <v>1548.2049999999872</v>
      </c>
      <c r="HJ32" s="16">
        <f t="shared" si="627"/>
        <v>782.18700000003446</v>
      </c>
      <c r="HK32" s="16">
        <f t="shared" si="627"/>
        <v>1013.7089999999735</v>
      </c>
      <c r="HL32" s="16">
        <f t="shared" si="627"/>
        <v>915.42999999996391</v>
      </c>
      <c r="HM32" s="16">
        <f t="shared" si="627"/>
        <v>823.42900000003283</v>
      </c>
      <c r="HN32" s="16">
        <f t="shared" si="627"/>
        <v>973.55499999993481</v>
      </c>
      <c r="HO32" s="127">
        <f>SUM(GL32:HN32)</f>
        <v>31321.825999999943</v>
      </c>
      <c r="HP32" s="16">
        <f t="shared" ref="HP32:IT32" si="628">HP31+HP28+HP25+HP22</f>
        <v>1028.2040000000852</v>
      </c>
      <c r="HQ32" s="16">
        <f t="shared" si="628"/>
        <v>1365.225999999966</v>
      </c>
      <c r="HR32" s="16">
        <f t="shared" si="628"/>
        <v>887.93599999998696</v>
      </c>
      <c r="HS32" s="16">
        <f t="shared" si="628"/>
        <v>1618.5870000000577</v>
      </c>
      <c r="HT32" s="16">
        <f t="shared" si="628"/>
        <v>1095.4979999999341</v>
      </c>
      <c r="HU32" s="16">
        <f t="shared" si="628"/>
        <v>1319.3390000000654</v>
      </c>
      <c r="HV32" s="16">
        <f t="shared" si="628"/>
        <v>1429.5169999999634</v>
      </c>
      <c r="HW32" s="16">
        <f t="shared" si="628"/>
        <v>1006.804999999993</v>
      </c>
      <c r="HX32" s="16">
        <f t="shared" si="628"/>
        <v>1401.4369999999471</v>
      </c>
      <c r="HY32" s="16">
        <f t="shared" si="628"/>
        <v>1072.063000000082</v>
      </c>
      <c r="HZ32" s="16">
        <f t="shared" si="628"/>
        <v>1164.23199999996</v>
      </c>
      <c r="IA32" s="16">
        <f t="shared" si="628"/>
        <v>1008.6279999999679</v>
      </c>
      <c r="IB32" s="16">
        <f t="shared" si="628"/>
        <v>887.65300000004936</v>
      </c>
      <c r="IC32" s="16">
        <f t="shared" si="628"/>
        <v>1146.8030000000144</v>
      </c>
      <c r="ID32" s="16">
        <f t="shared" si="628"/>
        <v>997.46399999994901</v>
      </c>
      <c r="IE32" s="16">
        <f t="shared" si="628"/>
        <v>808.59900000004563</v>
      </c>
      <c r="IF32" s="16">
        <f t="shared" si="628"/>
        <v>911.02500000005239</v>
      </c>
      <c r="IG32" s="16">
        <f t="shared" si="628"/>
        <v>1131.216999999946</v>
      </c>
      <c r="IH32" s="16">
        <f t="shared" si="628"/>
        <v>1148.8800000000047</v>
      </c>
      <c r="II32" s="16">
        <f t="shared" si="628"/>
        <v>861.50199999997858</v>
      </c>
      <c r="IJ32" s="16">
        <f t="shared" si="628"/>
        <v>1018.5340000000724</v>
      </c>
      <c r="IK32" s="16">
        <f t="shared" si="628"/>
        <v>1192.3550000000105</v>
      </c>
      <c r="IL32" s="16">
        <f t="shared" si="628"/>
        <v>1210.1329999999434</v>
      </c>
      <c r="IM32" s="16">
        <f t="shared" si="628"/>
        <v>715.37299999996321</v>
      </c>
      <c r="IN32" s="16">
        <f t="shared" si="628"/>
        <v>1336.5290000000095</v>
      </c>
      <c r="IO32" s="16">
        <f t="shared" si="628"/>
        <v>1046.0219999999972</v>
      </c>
      <c r="IP32" s="16">
        <f t="shared" si="628"/>
        <v>1046.5960000000487</v>
      </c>
      <c r="IQ32" s="16">
        <f t="shared" si="628"/>
        <v>1265.3049999999057</v>
      </c>
      <c r="IR32" s="16">
        <f t="shared" si="628"/>
        <v>1558.8830000000598</v>
      </c>
      <c r="IS32" s="16">
        <f t="shared" si="628"/>
        <v>782.60099999999511</v>
      </c>
      <c r="IT32" s="16">
        <f t="shared" si="628"/>
        <v>731.11000000004424</v>
      </c>
      <c r="IU32" s="127">
        <f>SUM(HP32:IT32)</f>
        <v>34194.056000000099</v>
      </c>
      <c r="IV32" s="16">
        <f t="shared" ref="IV32:JY32" si="629">IV31+IV28+IV25+IV22</f>
        <v>859.76599999991595</v>
      </c>
      <c r="IW32" s="16">
        <f t="shared" si="629"/>
        <v>1270.3960000000661</v>
      </c>
      <c r="IX32" s="16">
        <f t="shared" si="629"/>
        <v>844.86499999999069</v>
      </c>
      <c r="IY32" s="16">
        <f t="shared" si="629"/>
        <v>1062.5299999999697</v>
      </c>
      <c r="IZ32" s="16">
        <f t="shared" si="629"/>
        <v>1207.06700000001</v>
      </c>
      <c r="JA32" s="16">
        <f t="shared" si="629"/>
        <v>805.69200000001001</v>
      </c>
      <c r="JB32" s="16">
        <f t="shared" si="629"/>
        <v>759.83400000003166</v>
      </c>
      <c r="JC32" s="16">
        <f t="shared" si="629"/>
        <v>1474.0760000000009</v>
      </c>
      <c r="JD32" s="16">
        <f t="shared" si="629"/>
        <v>941.44499999991967</v>
      </c>
      <c r="JE32" s="16">
        <f t="shared" si="629"/>
        <v>886.35900000002584</v>
      </c>
      <c r="JF32" s="16">
        <f t="shared" si="629"/>
        <v>1082.2830000000249</v>
      </c>
      <c r="JG32" s="16">
        <f t="shared" si="629"/>
        <v>1094.3580000000366</v>
      </c>
      <c r="JH32" s="16">
        <f t="shared" si="629"/>
        <v>1325.4219999999914</v>
      </c>
      <c r="JI32" s="16">
        <f t="shared" si="629"/>
        <v>826.43700000003446</v>
      </c>
      <c r="JJ32" s="16">
        <f t="shared" si="629"/>
        <v>1010.6979999999749</v>
      </c>
      <c r="JK32" s="16">
        <f t="shared" si="629"/>
        <v>976.51999999987311</v>
      </c>
      <c r="JL32" s="16">
        <f t="shared" si="629"/>
        <v>1148.7240000001621</v>
      </c>
      <c r="JM32" s="16">
        <f t="shared" si="629"/>
        <v>994.38999999992666</v>
      </c>
      <c r="JN32" s="16">
        <f t="shared" si="629"/>
        <v>1058.3849999999802</v>
      </c>
      <c r="JO32" s="16">
        <f t="shared" si="629"/>
        <v>1003.8940000000584</v>
      </c>
      <c r="JP32" s="16">
        <f t="shared" si="629"/>
        <v>614.82199999995646</v>
      </c>
      <c r="JQ32" s="16">
        <f t="shared" si="629"/>
        <v>1466.0410000000556</v>
      </c>
      <c r="JR32" s="16">
        <f t="shared" si="629"/>
        <v>905.34199999997509</v>
      </c>
      <c r="JS32" s="16">
        <f t="shared" si="629"/>
        <v>873.58699999999953</v>
      </c>
      <c r="JT32" s="16">
        <f t="shared" si="629"/>
        <v>879.61999999987893</v>
      </c>
      <c r="JU32" s="16">
        <f t="shared" si="629"/>
        <v>1003.9400000000314</v>
      </c>
      <c r="JV32" s="16">
        <f t="shared" si="629"/>
        <v>779.8200000000943</v>
      </c>
      <c r="JW32" s="16">
        <f t="shared" si="629"/>
        <v>946.97999999989406</v>
      </c>
      <c r="JX32" s="16">
        <f t="shared" si="629"/>
        <v>1117.0920000000042</v>
      </c>
      <c r="JY32" s="16">
        <f t="shared" si="629"/>
        <v>915.0010000000766</v>
      </c>
      <c r="JZ32" s="127">
        <f>SUM(IU32:JY32)</f>
        <v>64329.442000000068</v>
      </c>
      <c r="KA32" s="16">
        <f t="shared" ref="KA32:LE32" si="630">KA31+KA28+KA25+KA22</f>
        <v>683.36899999994785</v>
      </c>
      <c r="KB32" s="16">
        <f t="shared" si="630"/>
        <v>971.30300000001444</v>
      </c>
      <c r="KC32" s="16">
        <f t="shared" si="630"/>
        <v>1255.9130000000005</v>
      </c>
      <c r="KD32" s="16">
        <f t="shared" si="630"/>
        <v>891.88600000002771</v>
      </c>
      <c r="KE32" s="16">
        <f t="shared" si="630"/>
        <v>999.60500000001048</v>
      </c>
      <c r="KF32" s="16">
        <f t="shared" si="630"/>
        <v>1006.685999999987</v>
      </c>
      <c r="KG32" s="16">
        <f t="shared" si="630"/>
        <v>1306.6030000000028</v>
      </c>
      <c r="KH32" s="16">
        <f t="shared" si="630"/>
        <v>1108.3359999999811</v>
      </c>
      <c r="KI32" s="16">
        <f t="shared" si="630"/>
        <v>1390.4360000000161</v>
      </c>
      <c r="KJ32" s="16">
        <f t="shared" si="630"/>
        <v>1343.0929999999935</v>
      </c>
      <c r="KK32" s="16">
        <f t="shared" si="630"/>
        <v>1241.4890000000014</v>
      </c>
      <c r="KL32" s="16">
        <f t="shared" si="630"/>
        <v>845.96300000007614</v>
      </c>
      <c r="KM32" s="16">
        <f t="shared" si="630"/>
        <v>2124.5379999998841</v>
      </c>
      <c r="KN32" s="16">
        <f t="shared" si="630"/>
        <v>1459.0440000000526</v>
      </c>
      <c r="KO32" s="16">
        <f t="shared" si="630"/>
        <v>912.24200000005658</v>
      </c>
      <c r="KP32" s="16">
        <f t="shared" si="630"/>
        <v>2109.6699999999255</v>
      </c>
      <c r="KQ32" s="16">
        <f t="shared" si="630"/>
        <v>1387.6750000000466</v>
      </c>
      <c r="KR32" s="16">
        <f t="shared" si="630"/>
        <v>1536.2269999999553</v>
      </c>
      <c r="KS32" s="16">
        <f t="shared" si="630"/>
        <v>992.26300000006449</v>
      </c>
      <c r="KT32" s="16">
        <f t="shared" si="630"/>
        <v>1375.1179999999586</v>
      </c>
      <c r="KU32" s="16">
        <f t="shared" si="630"/>
        <v>1880.4180000000051</v>
      </c>
      <c r="KV32" s="16">
        <f t="shared" si="630"/>
        <v>1687.9409999999043</v>
      </c>
      <c r="KW32" s="16">
        <f t="shared" si="630"/>
        <v>2552.3240000000224</v>
      </c>
      <c r="KX32" s="16">
        <f t="shared" si="630"/>
        <v>1444.3200000000943</v>
      </c>
      <c r="KY32" s="16">
        <f t="shared" si="630"/>
        <v>1278.0299999999988</v>
      </c>
      <c r="KZ32" s="16">
        <f t="shared" si="630"/>
        <v>957.25599999999395</v>
      </c>
      <c r="LA32" s="16">
        <f t="shared" si="630"/>
        <v>1259.2129999999306</v>
      </c>
      <c r="LB32" s="16">
        <f t="shared" si="630"/>
        <v>1519.5649999999732</v>
      </c>
      <c r="LC32" s="16">
        <f t="shared" si="630"/>
        <v>1568.9230000000971</v>
      </c>
      <c r="LD32" s="16">
        <f t="shared" si="630"/>
        <v>1086.7509999999893</v>
      </c>
      <c r="LE32" s="16">
        <f t="shared" si="630"/>
        <v>1526.1280000000261</v>
      </c>
      <c r="LF32" s="127">
        <f>SUM(KA32:LE32)</f>
        <v>41702.328000000038</v>
      </c>
      <c r="LG32" s="16">
        <f t="shared" ref="LG32:MJ32" si="631">LG31+LG28+LG25+LG22</f>
        <v>1310.0579999999609</v>
      </c>
      <c r="LH32" s="16">
        <f t="shared" si="631"/>
        <v>1188.4859999999462</v>
      </c>
      <c r="LI32" s="16">
        <f t="shared" si="631"/>
        <v>1717.9929999999586</v>
      </c>
      <c r="LJ32" s="16">
        <f t="shared" si="631"/>
        <v>1710.926000000065</v>
      </c>
      <c r="LK32" s="16">
        <f t="shared" si="631"/>
        <v>1263.1319999999832</v>
      </c>
      <c r="LL32" s="16">
        <f t="shared" si="631"/>
        <v>1294.5170000000217</v>
      </c>
      <c r="LM32" s="16">
        <f t="shared" si="631"/>
        <v>1714.6380000000354</v>
      </c>
      <c r="LN32" s="16">
        <f t="shared" si="631"/>
        <v>1575.570000000007</v>
      </c>
      <c r="LO32" s="16">
        <f t="shared" si="631"/>
        <v>954.61600000000908</v>
      </c>
      <c r="LP32" s="16">
        <f t="shared" si="631"/>
        <v>1387.8349999999627</v>
      </c>
      <c r="LQ32" s="16">
        <f t="shared" si="631"/>
        <v>1682.1520000000892</v>
      </c>
      <c r="LR32" s="16">
        <f t="shared" si="631"/>
        <v>1300.4439999998722</v>
      </c>
      <c r="LS32" s="16">
        <f t="shared" si="631"/>
        <v>1462.4039999999804</v>
      </c>
      <c r="LT32" s="16">
        <f t="shared" si="631"/>
        <v>1579.7440000000934</v>
      </c>
      <c r="LU32" s="16">
        <f t="shared" si="631"/>
        <v>1268.0739999999641</v>
      </c>
      <c r="LV32" s="16">
        <f t="shared" si="631"/>
        <v>1068.3339999999444</v>
      </c>
      <c r="LW32" s="16">
        <f t="shared" si="631"/>
        <v>1064.2800000000279</v>
      </c>
      <c r="LX32" s="16">
        <f t="shared" si="631"/>
        <v>1320.5550000000512</v>
      </c>
      <c r="LY32" s="16">
        <f t="shared" si="631"/>
        <v>1439.289999999979</v>
      </c>
      <c r="LZ32" s="16">
        <f t="shared" si="631"/>
        <v>1410.7790000000386</v>
      </c>
      <c r="MA32" s="16">
        <f t="shared" si="631"/>
        <v>1402.8699999999662</v>
      </c>
      <c r="MB32" s="16">
        <f t="shared" si="631"/>
        <v>1208.8499999999767</v>
      </c>
      <c r="MC32" s="16">
        <f t="shared" si="631"/>
        <v>823.31600000004983</v>
      </c>
      <c r="MD32" s="16">
        <f t="shared" si="631"/>
        <v>1107.4199999999546</v>
      </c>
      <c r="ME32" s="16">
        <f t="shared" si="631"/>
        <v>1178.6390000000829</v>
      </c>
      <c r="MF32" s="16">
        <f t="shared" si="631"/>
        <v>1285.4629999999597</v>
      </c>
      <c r="MG32" s="16">
        <f t="shared" si="631"/>
        <v>1136.7160000000149</v>
      </c>
      <c r="MH32" s="16">
        <f t="shared" si="631"/>
        <v>1156.6680000000051</v>
      </c>
      <c r="MI32" s="16">
        <f t="shared" si="631"/>
        <v>1064.1069999999891</v>
      </c>
      <c r="MJ32" s="16">
        <f t="shared" si="631"/>
        <v>1302.082999999926</v>
      </c>
      <c r="MK32" s="127">
        <f>SUM(LF32:MJ32)</f>
        <v>81082.286999999953</v>
      </c>
      <c r="ML32" s="16">
        <f t="shared" ref="ML32:NP32" si="632">ML31+ML28+ML25+ML22</f>
        <v>1288.2180000000226</v>
      </c>
      <c r="MM32" s="16">
        <f t="shared" si="632"/>
        <v>1415.8090000000084</v>
      </c>
      <c r="MN32" s="16">
        <f t="shared" si="632"/>
        <v>856.35599999997066</v>
      </c>
      <c r="MO32" s="16">
        <f t="shared" si="632"/>
        <v>1118.4590000000899</v>
      </c>
      <c r="MP32" s="16">
        <f t="shared" si="632"/>
        <v>1411.5819999999658</v>
      </c>
      <c r="MQ32" s="16">
        <f t="shared" si="632"/>
        <v>950.2839999999851</v>
      </c>
      <c r="MR32" s="16">
        <f t="shared" si="632"/>
        <v>1266.0890000000363</v>
      </c>
      <c r="MS32" s="16">
        <f t="shared" si="632"/>
        <v>1143.576999999932</v>
      </c>
      <c r="MT32" s="16">
        <f t="shared" si="632"/>
        <v>993.98000000006869</v>
      </c>
      <c r="MU32" s="16">
        <f t="shared" si="632"/>
        <v>772.18799999999464</v>
      </c>
      <c r="MV32" s="16">
        <f t="shared" si="632"/>
        <v>1388.4769999998971</v>
      </c>
      <c r="MW32" s="16">
        <f t="shared" si="632"/>
        <v>1126.1840000001248</v>
      </c>
      <c r="MX32" s="16">
        <f t="shared" si="632"/>
        <v>1260.2509999999602</v>
      </c>
      <c r="MY32" s="16">
        <f t="shared" si="632"/>
        <v>959.6699999999837</v>
      </c>
      <c r="MZ32" s="16">
        <f t="shared" si="632"/>
        <v>1229.7440000000352</v>
      </c>
      <c r="NA32" s="16">
        <f t="shared" si="632"/>
        <v>1341.0609999999288</v>
      </c>
      <c r="NB32" s="16">
        <f t="shared" si="632"/>
        <v>1189.1220000000321</v>
      </c>
      <c r="NC32" s="16">
        <f t="shared" si="632"/>
        <v>1120.1540000000095</v>
      </c>
      <c r="ND32" s="16">
        <f t="shared" si="632"/>
        <v>1295.7530000000261</v>
      </c>
      <c r="NE32" s="16">
        <f t="shared" si="632"/>
        <v>1018.0079999999725</v>
      </c>
      <c r="NF32" s="16">
        <f t="shared" si="632"/>
        <v>735.06899999993038</v>
      </c>
      <c r="NG32" s="16">
        <f t="shared" si="632"/>
        <v>1167.9100000001199</v>
      </c>
      <c r="NH32" s="16">
        <f t="shared" si="632"/>
        <v>997.61799999998766</v>
      </c>
      <c r="NI32" s="16">
        <f t="shared" si="632"/>
        <v>949.65599999998813</v>
      </c>
      <c r="NJ32" s="16">
        <f t="shared" si="632"/>
        <v>1243.0909999999567</v>
      </c>
      <c r="NK32" s="16">
        <f t="shared" si="632"/>
        <v>1498.2139999999781</v>
      </c>
      <c r="NL32" s="16">
        <f t="shared" si="632"/>
        <v>827.4890000000305</v>
      </c>
      <c r="NM32" s="16">
        <f t="shared" si="632"/>
        <v>1073.6120000000228</v>
      </c>
      <c r="NN32" s="16">
        <f t="shared" si="632"/>
        <v>1077.7120000000577</v>
      </c>
      <c r="NO32" s="16">
        <f t="shared" si="632"/>
        <v>1165.094999999943</v>
      </c>
      <c r="NP32" s="16">
        <f t="shared" si="632"/>
        <v>1053.1230000000505</v>
      </c>
      <c r="NQ32" s="127">
        <f>SUM(ML32:NP32)</f>
        <v>34933.555000000109</v>
      </c>
      <c r="NR32" s="16">
        <f t="shared" ref="NR32:OV32" si="633">NR31+NR28+NR25+NR22</f>
        <v>1002.9369999998889</v>
      </c>
      <c r="NS32" s="16">
        <f t="shared" si="633"/>
        <v>1330.743000000075</v>
      </c>
      <c r="NT32" s="16">
        <f t="shared" si="633"/>
        <v>1191.4909999999509</v>
      </c>
      <c r="NU32" s="16">
        <f t="shared" si="633"/>
        <v>915.12999999997555</v>
      </c>
      <c r="NV32" s="16">
        <f t="shared" si="633"/>
        <v>1061.3869999999879</v>
      </c>
      <c r="NW32" s="16">
        <f t="shared" si="633"/>
        <v>1439.8720000000903</v>
      </c>
      <c r="NX32" s="16">
        <f t="shared" si="633"/>
        <v>1345.7660000000033</v>
      </c>
      <c r="NY32" s="16">
        <f t="shared" si="633"/>
        <v>1230.835000000021</v>
      </c>
      <c r="NZ32" s="16">
        <f t="shared" si="633"/>
        <v>1182.9059999999881</v>
      </c>
      <c r="OA32" s="16">
        <f t="shared" si="633"/>
        <v>909.08199999996577</v>
      </c>
      <c r="OB32" s="16">
        <f t="shared" si="633"/>
        <v>1028.9439999999013</v>
      </c>
      <c r="OC32" s="16">
        <f t="shared" si="633"/>
        <v>876.31300000011106</v>
      </c>
      <c r="OD32" s="16">
        <f t="shared" si="633"/>
        <v>1041.7789999999513</v>
      </c>
      <c r="OE32" s="16">
        <f t="shared" si="633"/>
        <v>1216.4490000000515</v>
      </c>
      <c r="OF32" s="16">
        <f t="shared" si="633"/>
        <v>1115.9930000000168</v>
      </c>
      <c r="OG32" s="16">
        <f t="shared" si="633"/>
        <v>1114.6169999999984</v>
      </c>
      <c r="OH32" s="16">
        <f t="shared" si="633"/>
        <v>1005.4579999999551</v>
      </c>
      <c r="OI32" s="16">
        <f t="shared" si="633"/>
        <v>995.70000000004075</v>
      </c>
      <c r="OJ32" s="16">
        <f t="shared" si="633"/>
        <v>1142.2559999999357</v>
      </c>
      <c r="OK32" s="16">
        <f t="shared" si="633"/>
        <v>999.14500000004773</v>
      </c>
      <c r="OL32" s="16">
        <f t="shared" si="633"/>
        <v>1019.8449999999721</v>
      </c>
      <c r="OM32" s="16">
        <f t="shared" si="633"/>
        <v>1418.2409999999218</v>
      </c>
      <c r="ON32" s="16">
        <f t="shared" si="633"/>
        <v>1260.396000000037</v>
      </c>
      <c r="OO32" s="16">
        <f t="shared" si="633"/>
        <v>1178.4630000001052</v>
      </c>
      <c r="OP32" s="16">
        <f t="shared" si="633"/>
        <v>675.11699999999837</v>
      </c>
      <c r="OQ32" s="16">
        <f t="shared" si="633"/>
        <v>1205.1639999999898</v>
      </c>
      <c r="OR32" s="16">
        <f t="shared" si="633"/>
        <v>1104.4529999999213</v>
      </c>
      <c r="OS32" s="16">
        <f t="shared" si="633"/>
        <v>1194.7610000000859</v>
      </c>
      <c r="OT32" s="16">
        <f t="shared" si="633"/>
        <v>1039.0599999999686</v>
      </c>
      <c r="OU32" s="16">
        <f t="shared" si="633"/>
        <v>1207.3699999999662</v>
      </c>
      <c r="OV32" s="16">
        <f t="shared" si="633"/>
        <v>1619.243000000075</v>
      </c>
      <c r="OW32" s="127">
        <f>SUM(NR32:OV32)</f>
        <v>35068.915999999997</v>
      </c>
      <c r="OX32" s="16">
        <f t="shared" ref="OX32:QA32" si="634">OX31+OX28+OX25+OX22</f>
        <v>855.48399999996764</v>
      </c>
      <c r="OY32" s="16">
        <f t="shared" si="634"/>
        <v>1707.6779999999562</v>
      </c>
      <c r="OZ32" s="16">
        <f t="shared" si="634"/>
        <v>1157.4229999999516</v>
      </c>
      <c r="PA32" s="16">
        <f t="shared" si="634"/>
        <v>949.25500000015018</v>
      </c>
      <c r="PB32" s="16">
        <f t="shared" si="634"/>
        <v>1321.8489999999292</v>
      </c>
      <c r="PC32" s="16">
        <f t="shared" si="634"/>
        <v>1336.4780000000319</v>
      </c>
      <c r="PD32" s="16">
        <f t="shared" si="634"/>
        <v>1329.8409999999276</v>
      </c>
      <c r="PE32" s="16">
        <f t="shared" si="634"/>
        <v>1168.091000000044</v>
      </c>
      <c r="PF32" s="16">
        <f t="shared" si="634"/>
        <v>976.7819999998901</v>
      </c>
      <c r="PG32" s="16">
        <f t="shared" si="634"/>
        <v>1136.6770000001416</v>
      </c>
      <c r="PH32" s="16">
        <f t="shared" si="634"/>
        <v>1295.0169999999634</v>
      </c>
      <c r="PI32" s="16">
        <f t="shared" si="634"/>
        <v>1098.1269999999786</v>
      </c>
      <c r="PJ32" s="16">
        <f t="shared" si="634"/>
        <v>1515.8250000000116</v>
      </c>
      <c r="PK32" s="16">
        <f t="shared" si="634"/>
        <v>1072.2379999999539</v>
      </c>
      <c r="PL32" s="16">
        <f t="shared" si="634"/>
        <v>976.99400000003516</v>
      </c>
      <c r="PM32" s="16">
        <f t="shared" si="634"/>
        <v>1010.9290000000328</v>
      </c>
      <c r="PN32" s="16">
        <f t="shared" si="634"/>
        <v>993.2609999999695</v>
      </c>
      <c r="PO32" s="16">
        <f t="shared" si="634"/>
        <v>860.2039999999979</v>
      </c>
      <c r="PP32" s="16">
        <f t="shared" si="634"/>
        <v>1269.8060000000987</v>
      </c>
      <c r="PQ32" s="16">
        <f t="shared" si="634"/>
        <v>1115.2829999999667</v>
      </c>
      <c r="PR32" s="16">
        <f t="shared" si="634"/>
        <v>1029.033999999956</v>
      </c>
      <c r="PS32" s="16">
        <f t="shared" si="634"/>
        <v>875.95199999999022</v>
      </c>
      <c r="PT32" s="16">
        <f t="shared" si="634"/>
        <v>984.66200000004028</v>
      </c>
      <c r="PU32" s="16">
        <f t="shared" si="634"/>
        <v>1068.4089999998978</v>
      </c>
      <c r="PV32" s="16">
        <f t="shared" si="634"/>
        <v>903.51200000010431</v>
      </c>
      <c r="PW32" s="16">
        <f t="shared" si="634"/>
        <v>1118.311999999918</v>
      </c>
      <c r="PX32" s="16">
        <f t="shared" si="634"/>
        <v>1012.4170000000158</v>
      </c>
      <c r="PY32" s="16">
        <f t="shared" si="634"/>
        <v>1440.3970000000554</v>
      </c>
      <c r="PZ32" s="16">
        <f t="shared" si="634"/>
        <v>678.66799999994691</v>
      </c>
      <c r="QA32" s="16">
        <f t="shared" si="634"/>
        <v>1300.1480000000738</v>
      </c>
      <c r="QB32" s="127">
        <f>QB22+QB25+QB28+QB31</f>
        <v>33558.752999999997</v>
      </c>
      <c r="QC32" s="16">
        <f t="shared" ref="QC32:RG32" si="635">QC31+QC28+QC25+QC22</f>
        <v>1114.5419999999576</v>
      </c>
      <c r="QD32" s="16">
        <f t="shared" si="635"/>
        <v>874.20600000000559</v>
      </c>
      <c r="QE32" s="16">
        <f t="shared" si="635"/>
        <v>1026.9060000000172</v>
      </c>
      <c r="QF32" s="16">
        <f t="shared" si="635"/>
        <v>1226.2919999999285</v>
      </c>
      <c r="QG32" s="16">
        <f t="shared" si="635"/>
        <v>1131.408000000054</v>
      </c>
      <c r="QH32" s="16">
        <f t="shared" si="635"/>
        <v>678.08399999994435</v>
      </c>
      <c r="QI32" s="16">
        <f t="shared" si="635"/>
        <v>1070.1059999999998</v>
      </c>
      <c r="QJ32" s="16">
        <f t="shared" si="635"/>
        <v>1023.8150000000314</v>
      </c>
      <c r="QK32" s="16">
        <f t="shared" si="635"/>
        <v>1078.5780000000377</v>
      </c>
      <c r="QL32" s="16">
        <f t="shared" si="635"/>
        <v>974.50299999993877</v>
      </c>
      <c r="QM32" s="16">
        <f t="shared" si="635"/>
        <v>1139.1810000000114</v>
      </c>
      <c r="QN32" s="16">
        <f t="shared" si="635"/>
        <v>1253.4389999999839</v>
      </c>
      <c r="QO32" s="16">
        <f t="shared" si="635"/>
        <v>1157.0660000000498</v>
      </c>
      <c r="QP32" s="16">
        <f t="shared" si="635"/>
        <v>1384.7340000000549</v>
      </c>
      <c r="QQ32" s="16">
        <f t="shared" si="635"/>
        <v>933.87799999990966</v>
      </c>
      <c r="QR32" s="16">
        <f t="shared" si="635"/>
        <v>991.62700000003679</v>
      </c>
      <c r="QS32" s="16">
        <f t="shared" si="635"/>
        <v>1012.4000000000233</v>
      </c>
      <c r="QT32" s="16">
        <f t="shared" si="635"/>
        <v>1532.8379999999888</v>
      </c>
      <c r="QU32" s="16">
        <f t="shared" si="635"/>
        <v>1105.3699999999953</v>
      </c>
      <c r="QV32" s="16">
        <f t="shared" si="635"/>
        <v>718.42999999999302</v>
      </c>
      <c r="QW32" s="16">
        <f t="shared" si="635"/>
        <v>1030.3749999999709</v>
      </c>
      <c r="QX32" s="16">
        <f t="shared" si="635"/>
        <v>958.07700000004843</v>
      </c>
      <c r="QY32" s="16">
        <f t="shared" si="635"/>
        <v>896.69999999998254</v>
      </c>
      <c r="QZ32" s="16">
        <f t="shared" si="635"/>
        <v>1857.719999999943</v>
      </c>
      <c r="RA32" s="16">
        <f t="shared" si="635"/>
        <v>1397.3730000000214</v>
      </c>
      <c r="RB32" s="16">
        <f t="shared" si="635"/>
        <v>872.95000000009895</v>
      </c>
      <c r="RC32" s="16">
        <f t="shared" si="635"/>
        <v>820.16299999994226</v>
      </c>
      <c r="RD32" s="16">
        <f t="shared" si="635"/>
        <v>922.2949999999837</v>
      </c>
      <c r="RE32" s="16">
        <f t="shared" si="635"/>
        <v>1038.7309999999998</v>
      </c>
      <c r="RF32" s="16">
        <f t="shared" si="635"/>
        <v>981.20599999994738</v>
      </c>
      <c r="RG32" s="16">
        <f t="shared" si="635"/>
        <v>1285.3400000000547</v>
      </c>
      <c r="RH32" s="127">
        <f>RH22+RH25+RH28+RH31</f>
        <v>32373.790999999997</v>
      </c>
      <c r="RI32" s="16">
        <f t="shared" ref="RI32:SL32" si="636">RI31+RI28+RI25+RI22</f>
        <v>994.73700000002282</v>
      </c>
      <c r="RJ32" s="16">
        <f t="shared" si="636"/>
        <v>949.43000000002212</v>
      </c>
      <c r="RK32" s="16">
        <f t="shared" si="636"/>
        <v>1046.6109999999171</v>
      </c>
      <c r="RL32" s="16">
        <f t="shared" si="636"/>
        <v>1660.1650000000664</v>
      </c>
      <c r="RM32" s="16">
        <f t="shared" si="636"/>
        <v>1123.2929999998887</v>
      </c>
      <c r="RN32" s="16">
        <f t="shared" si="636"/>
        <v>743.3310000000638</v>
      </c>
      <c r="RO32" s="16">
        <f t="shared" si="636"/>
        <v>979.09000000005472</v>
      </c>
      <c r="RP32" s="16">
        <f t="shared" si="636"/>
        <v>1015.2159999999858</v>
      </c>
      <c r="RQ32" s="16">
        <f t="shared" si="636"/>
        <v>985.21199999991222</v>
      </c>
      <c r="RR32" s="16">
        <f t="shared" si="636"/>
        <v>852.81500000008964</v>
      </c>
      <c r="RS32" s="16">
        <f t="shared" si="636"/>
        <v>1308.3709999999846</v>
      </c>
      <c r="RT32" s="16">
        <f t="shared" si="636"/>
        <v>906.18000000002212</v>
      </c>
      <c r="RU32" s="16">
        <f t="shared" si="636"/>
        <v>1265.3089999998629</v>
      </c>
      <c r="RV32" s="16">
        <f t="shared" si="636"/>
        <v>1163.1280000000843</v>
      </c>
      <c r="RW32" s="16">
        <f t="shared" si="636"/>
        <v>1162.2109999999229</v>
      </c>
      <c r="RX32" s="16">
        <f t="shared" si="636"/>
        <v>1193.9860000001499</v>
      </c>
      <c r="RY32" s="16">
        <f t="shared" si="636"/>
        <v>1011.954999999929</v>
      </c>
      <c r="RZ32" s="16">
        <f t="shared" si="636"/>
        <v>878.01899999997113</v>
      </c>
      <c r="SA32" s="16">
        <f t="shared" si="636"/>
        <v>918.39600000006612</v>
      </c>
      <c r="SB32" s="16">
        <f t="shared" si="636"/>
        <v>960.75400000004447</v>
      </c>
      <c r="SC32" s="16">
        <f t="shared" si="636"/>
        <v>1078.1609999999346</v>
      </c>
      <c r="SD32" s="16">
        <f t="shared" si="636"/>
        <v>958.13900000002468</v>
      </c>
      <c r="SE32" s="16">
        <f t="shared" si="636"/>
        <v>956.32499999989523</v>
      </c>
      <c r="SF32" s="16">
        <f t="shared" si="636"/>
        <v>758.13100000008126</v>
      </c>
      <c r="SG32" s="16">
        <f t="shared" si="636"/>
        <v>1225.7549999999756</v>
      </c>
      <c r="SH32" s="16">
        <f t="shared" si="636"/>
        <v>1201.5200000000768</v>
      </c>
      <c r="SI32" s="16">
        <f t="shared" si="636"/>
        <v>894.26899999994203</v>
      </c>
      <c r="SJ32" s="16">
        <f t="shared" si="636"/>
        <v>1512.7880000000296</v>
      </c>
      <c r="SK32" s="16">
        <f t="shared" si="636"/>
        <v>1061.595999999874</v>
      </c>
      <c r="SL32" s="16">
        <f t="shared" si="636"/>
        <v>976.33100000003469</v>
      </c>
      <c r="SM32" s="127">
        <f>SM22+SM25+SM28+SM31</f>
        <v>31741.223999999929</v>
      </c>
      <c r="SN32" s="16">
        <f t="shared" ref="SN32:TR32" si="637">SN31+SN28+SN25+SN22</f>
        <v>661.5920000000624</v>
      </c>
      <c r="SO32" s="16">
        <f t="shared" si="637"/>
        <v>1806.5689999999886</v>
      </c>
      <c r="SP32" s="16">
        <f t="shared" si="637"/>
        <v>3154.1299999999756</v>
      </c>
      <c r="SQ32" s="16">
        <f t="shared" si="637"/>
        <v>1361.3110000000161</v>
      </c>
      <c r="SR32" s="16">
        <f t="shared" si="637"/>
        <v>1260.8150000000896</v>
      </c>
      <c r="SS32" s="16">
        <f t="shared" si="637"/>
        <v>1168.4159999999101</v>
      </c>
      <c r="ST32" s="16">
        <f t="shared" si="637"/>
        <v>1083.0529999999853</v>
      </c>
      <c r="SU32" s="16">
        <f t="shared" si="637"/>
        <v>1029.6480000000447</v>
      </c>
      <c r="SV32" s="16">
        <f t="shared" si="637"/>
        <v>1697.1119999999064</v>
      </c>
      <c r="SW32" s="16">
        <f t="shared" si="637"/>
        <v>1123.5400000000664</v>
      </c>
      <c r="SX32" s="16">
        <f t="shared" si="637"/>
        <v>1108.0830000001006</v>
      </c>
      <c r="SY32" s="16">
        <f t="shared" si="637"/>
        <v>980.06899999993038</v>
      </c>
      <c r="SZ32" s="16">
        <f t="shared" si="637"/>
        <v>1677.5200000000186</v>
      </c>
      <c r="TA32" s="16">
        <f t="shared" si="637"/>
        <v>1160.0269999999146</v>
      </c>
      <c r="TB32" s="16">
        <f t="shared" si="637"/>
        <v>1220.5360000000219</v>
      </c>
      <c r="TC32" s="16">
        <f t="shared" si="637"/>
        <v>1593.7960000000312</v>
      </c>
      <c r="TD32" s="16">
        <f t="shared" si="637"/>
        <v>1091.1799999999639</v>
      </c>
      <c r="TE32" s="16">
        <f t="shared" si="637"/>
        <v>1226.7660000000324</v>
      </c>
      <c r="TF32" s="16">
        <f t="shared" si="637"/>
        <v>1365.8039999999455</v>
      </c>
      <c r="TG32" s="16">
        <f t="shared" si="637"/>
        <v>1205.2490000000107</v>
      </c>
      <c r="TH32" s="16">
        <f t="shared" si="637"/>
        <v>1194.6259999999893</v>
      </c>
      <c r="TI32" s="16">
        <f t="shared" si="637"/>
        <v>1301.0370000001276</v>
      </c>
      <c r="TJ32" s="16">
        <f t="shared" si="637"/>
        <v>1067.0689999999304</v>
      </c>
      <c r="TK32" s="16">
        <f t="shared" si="637"/>
        <v>1221.7459999999846</v>
      </c>
      <c r="TL32" s="16">
        <f t="shared" si="637"/>
        <v>476.95899999997346</v>
      </c>
      <c r="TM32" s="16">
        <f t="shared" si="637"/>
        <v>723.93600000001607</v>
      </c>
      <c r="TN32" s="16">
        <f t="shared" si="637"/>
        <v>974.74400000003516</v>
      </c>
      <c r="TO32" s="16">
        <f t="shared" si="637"/>
        <v>940.07999999992899</v>
      </c>
      <c r="TP32" s="16">
        <f t="shared" si="637"/>
        <v>846.08900000012363</v>
      </c>
      <c r="TQ32" s="16">
        <f t="shared" si="637"/>
        <v>1000.0109999999986</v>
      </c>
      <c r="TR32" s="16">
        <f t="shared" si="637"/>
        <v>1151.9749999998894</v>
      </c>
      <c r="TS32" s="127">
        <f>TS22+TS25+TS28+TS31</f>
        <v>37211.89599999995</v>
      </c>
      <c r="TT32" s="16">
        <f t="shared" ref="TT32:UX32" si="638">TT31+TT28+TT25+TT22</f>
        <v>656.32400000002235</v>
      </c>
      <c r="TU32" s="16">
        <f t="shared" si="638"/>
        <v>968.78900000001886</v>
      </c>
      <c r="TV32" s="16">
        <f t="shared" si="638"/>
        <v>890.65999999997439</v>
      </c>
      <c r="TW32" s="16">
        <f t="shared" si="638"/>
        <v>959.25299999999697</v>
      </c>
      <c r="TX32" s="16">
        <f t="shared" si="638"/>
        <v>754.65600000004633</v>
      </c>
      <c r="TY32" s="16">
        <f t="shared" si="638"/>
        <v>1086.6059999999998</v>
      </c>
      <c r="TZ32" s="16">
        <f t="shared" si="638"/>
        <v>1029.8299999999872</v>
      </c>
      <c r="UA32" s="16">
        <f t="shared" si="638"/>
        <v>1503.2690000000002</v>
      </c>
      <c r="UB32" s="16">
        <f t="shared" si="638"/>
        <v>1104.2209999999614</v>
      </c>
      <c r="UC32" s="16">
        <f t="shared" si="638"/>
        <v>1195.3489999999583</v>
      </c>
      <c r="UD32" s="16">
        <f t="shared" si="638"/>
        <v>1026.4230000000971</v>
      </c>
      <c r="UE32" s="16">
        <f t="shared" si="638"/>
        <v>985.7729999999865</v>
      </c>
      <c r="UF32" s="16">
        <f t="shared" si="638"/>
        <v>1671.4520000000193</v>
      </c>
      <c r="UG32" s="16">
        <f t="shared" si="638"/>
        <v>982.77700000003097</v>
      </c>
      <c r="UH32" s="16">
        <f t="shared" si="638"/>
        <v>1016.0029999999388</v>
      </c>
      <c r="UI32" s="16">
        <f t="shared" si="638"/>
        <v>1047.6570000000065</v>
      </c>
      <c r="UJ32" s="16">
        <f t="shared" si="638"/>
        <v>1181.4110000000219</v>
      </c>
      <c r="UK32" s="16">
        <f t="shared" si="638"/>
        <v>1200.5679999999993</v>
      </c>
      <c r="UL32" s="16">
        <f t="shared" si="638"/>
        <v>1021.097000000038</v>
      </c>
      <c r="UM32" s="16">
        <f t="shared" si="638"/>
        <v>1205.8309999999183</v>
      </c>
      <c r="UN32" s="16">
        <f t="shared" si="638"/>
        <v>1126.2379999999539</v>
      </c>
      <c r="UO32" s="16">
        <f t="shared" si="638"/>
        <v>1446.1460000000952</v>
      </c>
      <c r="UP32" s="16">
        <f t="shared" si="638"/>
        <v>1046.1219999999157</v>
      </c>
      <c r="UQ32" s="16">
        <f t="shared" si="638"/>
        <v>1398.6490000000049</v>
      </c>
      <c r="UR32" s="16">
        <f t="shared" si="638"/>
        <v>1425.6710000000312</v>
      </c>
      <c r="US32" s="16">
        <f t="shared" si="638"/>
        <v>1461.8280000000086</v>
      </c>
      <c r="UT32" s="16">
        <f t="shared" si="638"/>
        <v>1128.6410000000324</v>
      </c>
      <c r="UU32" s="16">
        <f t="shared" si="638"/>
        <v>1046.3070000000589</v>
      </c>
      <c r="UV32" s="16">
        <f t="shared" si="638"/>
        <v>0</v>
      </c>
      <c r="UW32" s="16">
        <f t="shared" si="638"/>
        <v>900.21199999991222</v>
      </c>
      <c r="UX32" s="16">
        <f t="shared" si="638"/>
        <v>1143.5420000000449</v>
      </c>
      <c r="UY32" s="127">
        <f>UY22+UY25+UY28+UY31</f>
        <v>33611.30500000008</v>
      </c>
      <c r="UZ32" s="16">
        <f t="shared" ref="UZ32:WA32" si="639">UZ31+UZ28+UZ25+UZ22</f>
        <v>1225.0359999999346</v>
      </c>
      <c r="VA32" s="16">
        <f t="shared" si="639"/>
        <v>947.90200000000186</v>
      </c>
      <c r="VB32" s="16">
        <f t="shared" si="639"/>
        <v>1900.9910000000382</v>
      </c>
      <c r="VC32" s="16">
        <f t="shared" si="639"/>
        <v>1130.1320000000414</v>
      </c>
      <c r="VD32" s="16">
        <f t="shared" si="639"/>
        <v>1183.2829999998503</v>
      </c>
      <c r="VE32" s="16">
        <f t="shared" si="639"/>
        <v>873.01600000014878</v>
      </c>
      <c r="VF32" s="16">
        <f t="shared" si="639"/>
        <v>1325.1709999999148</v>
      </c>
      <c r="VG32" s="16">
        <f t="shared" si="639"/>
        <v>1601.9960000000428</v>
      </c>
      <c r="VH32" s="16">
        <f t="shared" si="639"/>
        <v>779.4429999999993</v>
      </c>
      <c r="VI32" s="16">
        <f t="shared" si="639"/>
        <v>1134.8929999999236</v>
      </c>
      <c r="VJ32" s="16">
        <f t="shared" si="639"/>
        <v>1588.3400000000838</v>
      </c>
      <c r="VK32" s="16">
        <f t="shared" si="639"/>
        <v>924.17400000002817</v>
      </c>
      <c r="VL32" s="16">
        <f t="shared" si="639"/>
        <v>1202.6219999999157</v>
      </c>
      <c r="VM32" s="16">
        <f t="shared" si="639"/>
        <v>1168.9729999999981</v>
      </c>
      <c r="VN32" s="16">
        <f t="shared" si="639"/>
        <v>1033.7220000000671</v>
      </c>
      <c r="VO32" s="16">
        <f t="shared" si="639"/>
        <v>808.7499999999709</v>
      </c>
      <c r="VP32" s="16">
        <f t="shared" si="639"/>
        <v>1046.7449999999953</v>
      </c>
      <c r="VQ32" s="16">
        <f t="shared" si="639"/>
        <v>1094.0039999999863</v>
      </c>
      <c r="VR32" s="16">
        <f t="shared" si="639"/>
        <v>1502.3090000000084</v>
      </c>
      <c r="VS32" s="16">
        <f t="shared" si="639"/>
        <v>1228.7909999999683</v>
      </c>
      <c r="VT32" s="16">
        <f t="shared" si="639"/>
        <v>1160.1339999999909</v>
      </c>
      <c r="VU32" s="16">
        <f t="shared" si="639"/>
        <v>1148.1010000000533</v>
      </c>
      <c r="VV32" s="16">
        <f t="shared" si="639"/>
        <v>1042.0280000000494</v>
      </c>
      <c r="VW32" s="16">
        <f t="shared" si="639"/>
        <v>1187.4139999999024</v>
      </c>
      <c r="VX32" s="16">
        <f t="shared" si="639"/>
        <v>1306.4940000000934</v>
      </c>
      <c r="VY32" s="16">
        <f t="shared" si="639"/>
        <v>1210.9579999999842</v>
      </c>
      <c r="VZ32" s="16">
        <f t="shared" si="639"/>
        <v>1144.4739999999001</v>
      </c>
      <c r="WA32" s="16">
        <f t="shared" si="639"/>
        <v>1087.8559999999998</v>
      </c>
      <c r="WB32" s="127">
        <f>WB22+WB25+WB28+WB31</f>
        <v>32987.751999999891</v>
      </c>
      <c r="WC32" s="16">
        <f t="shared" ref="WC32:XG32" si="640">WC31+WC28+WC25+WC22</f>
        <v>1285.7530000000843</v>
      </c>
      <c r="WD32" s="16">
        <f t="shared" si="640"/>
        <v>829.091000000044</v>
      </c>
      <c r="WE32" s="16">
        <f t="shared" si="640"/>
        <v>1417.0149999999558</v>
      </c>
      <c r="WF32" s="16">
        <f t="shared" si="640"/>
        <v>1148.1020000000135</v>
      </c>
      <c r="WG32" s="16">
        <f t="shared" si="640"/>
        <v>1008.95100000003</v>
      </c>
      <c r="WH32" s="16">
        <f t="shared" si="640"/>
        <v>-0.60000000009313226</v>
      </c>
      <c r="WI32" s="16">
        <f t="shared" si="640"/>
        <v>978.08199999999488</v>
      </c>
      <c r="WJ32" s="16">
        <f t="shared" si="640"/>
        <v>1560.5450000000128</v>
      </c>
      <c r="WK32" s="16">
        <f t="shared" si="640"/>
        <v>1094.3079999999609</v>
      </c>
      <c r="WL32" s="16">
        <f t="shared" si="640"/>
        <v>1205.0470000000205</v>
      </c>
      <c r="WM32" s="16">
        <f t="shared" si="640"/>
        <v>1309.2800000000861</v>
      </c>
      <c r="WN32" s="16">
        <f t="shared" si="640"/>
        <v>944.033999999956</v>
      </c>
      <c r="WO32" s="16">
        <f t="shared" si="640"/>
        <v>963.70799999998417</v>
      </c>
      <c r="WP32" s="16">
        <f t="shared" si="640"/>
        <v>1027.2209999999905</v>
      </c>
      <c r="WQ32" s="16">
        <f t="shared" si="640"/>
        <v>1381.0380000000587</v>
      </c>
      <c r="WR32" s="16">
        <f t="shared" si="640"/>
        <v>749.66299999991315</v>
      </c>
      <c r="WS32" s="16">
        <f t="shared" si="640"/>
        <v>1234.9360000000743</v>
      </c>
      <c r="WT32" s="16">
        <f t="shared" si="640"/>
        <v>795.97400000001653</v>
      </c>
      <c r="WU32" s="16">
        <f t="shared" si="640"/>
        <v>1177.3539999999048</v>
      </c>
      <c r="WV32" s="16">
        <f t="shared" si="640"/>
        <v>919.79200000007404</v>
      </c>
      <c r="WW32" s="16">
        <f t="shared" si="640"/>
        <v>1494.4569999999949</v>
      </c>
      <c r="WX32" s="16">
        <f t="shared" si="640"/>
        <v>1050.7550000000047</v>
      </c>
      <c r="WY32" s="16">
        <f t="shared" si="640"/>
        <v>979.728000000061</v>
      </c>
      <c r="WZ32" s="16">
        <f t="shared" si="640"/>
        <v>1372.2149999999383</v>
      </c>
      <c r="XA32" s="16">
        <f t="shared" si="640"/>
        <v>1121.3099999999686</v>
      </c>
      <c r="XB32" s="16">
        <f t="shared" si="640"/>
        <v>765.25600000005215</v>
      </c>
      <c r="XC32" s="16">
        <f t="shared" si="640"/>
        <v>1116.8169999999518</v>
      </c>
      <c r="XD32" s="16">
        <f t="shared" si="640"/>
        <v>939.54599999997299</v>
      </c>
      <c r="XE32" s="16">
        <f t="shared" si="640"/>
        <v>1395.5370000000694</v>
      </c>
      <c r="XF32" s="16">
        <f t="shared" si="640"/>
        <v>866.23300000003655</v>
      </c>
      <c r="XG32" s="16">
        <f t="shared" si="640"/>
        <v>1427.0869999999704</v>
      </c>
      <c r="XH32" s="127">
        <f>SUM(WC32:XG32)</f>
        <v>33558.235000000102</v>
      </c>
      <c r="XI32" s="16">
        <f t="shared" ref="XI32:YL32" si="641">XI31+XI28+XI25+XI22</f>
        <v>786.8300000000163</v>
      </c>
      <c r="XJ32" s="16">
        <f t="shared" si="641"/>
        <v>989.70999999993364</v>
      </c>
      <c r="XK32" s="16">
        <f t="shared" si="641"/>
        <v>903.98999999996158</v>
      </c>
      <c r="XL32" s="16">
        <f t="shared" si="641"/>
        <v>1026.9680000000808</v>
      </c>
      <c r="XM32" s="16">
        <f t="shared" si="641"/>
        <v>1137.097000000038</v>
      </c>
      <c r="XN32" s="16">
        <f t="shared" si="641"/>
        <v>1032.506999999925</v>
      </c>
      <c r="XO32" s="16">
        <f t="shared" si="641"/>
        <v>1122.6609999999637</v>
      </c>
      <c r="XP32" s="16">
        <f t="shared" si="641"/>
        <v>1126.4479999999749</v>
      </c>
      <c r="XQ32" s="16">
        <f t="shared" si="641"/>
        <v>866.23900000008871</v>
      </c>
      <c r="XR32" s="16">
        <f t="shared" si="641"/>
        <v>985.31500000000233</v>
      </c>
      <c r="XS32" s="16">
        <f t="shared" si="641"/>
        <v>882.77099999997881</v>
      </c>
      <c r="XT32" s="16">
        <f t="shared" si="641"/>
        <v>1092.801000000065</v>
      </c>
      <c r="XU32" s="16">
        <f t="shared" si="641"/>
        <v>724.68999999994412</v>
      </c>
      <c r="XV32" s="16">
        <f t="shared" si="641"/>
        <v>897.75900000002002</v>
      </c>
      <c r="XW32" s="16">
        <f t="shared" si="641"/>
        <v>1069.4350000000268</v>
      </c>
      <c r="XX32" s="16">
        <f t="shared" si="641"/>
        <v>1055.6519999998563</v>
      </c>
      <c r="XY32" s="16">
        <f t="shared" si="641"/>
        <v>1004.6840000000957</v>
      </c>
      <c r="XZ32" s="16">
        <f t="shared" si="641"/>
        <v>863.66599999999744</v>
      </c>
      <c r="YA32" s="16">
        <f t="shared" si="641"/>
        <v>756.13299999997253</v>
      </c>
      <c r="YB32" s="16">
        <f t="shared" si="641"/>
        <v>773.73099999994156</v>
      </c>
      <c r="YC32" s="16">
        <f t="shared" si="641"/>
        <v>770.42700000008335</v>
      </c>
      <c r="YD32" s="16">
        <f t="shared" si="641"/>
        <v>1000.9880000000121</v>
      </c>
      <c r="YE32" s="16">
        <f t="shared" si="641"/>
        <v>1181.1949999999779</v>
      </c>
      <c r="YF32" s="16">
        <f t="shared" si="641"/>
        <v>926.86900000006426</v>
      </c>
      <c r="YG32" s="16">
        <f t="shared" si="641"/>
        <v>843.37199999994482</v>
      </c>
      <c r="YH32" s="16">
        <f t="shared" si="641"/>
        <v>946.19200000003912</v>
      </c>
      <c r="YI32" s="16">
        <f t="shared" si="641"/>
        <v>889.15099999998347</v>
      </c>
      <c r="YJ32" s="16">
        <f t="shared" si="641"/>
        <v>891.14299999998184</v>
      </c>
      <c r="YK32" s="16">
        <f t="shared" si="641"/>
        <v>695.0570000000298</v>
      </c>
      <c r="YL32" s="16">
        <f t="shared" si="641"/>
        <v>722.73399999996764</v>
      </c>
      <c r="YM32" s="127">
        <f>SUM(XH32:YL32)</f>
        <v>61524.45000000007</v>
      </c>
      <c r="YN32" s="16">
        <f t="shared" ref="YN32:ZR32" si="642">YN31+YN28+YN25+YN22</f>
        <v>1246.7599999999511</v>
      </c>
      <c r="YO32" s="16">
        <f t="shared" si="642"/>
        <v>1308.9260000000068</v>
      </c>
      <c r="YP32" s="16">
        <f t="shared" si="642"/>
        <v>981.87299999999232</v>
      </c>
      <c r="YQ32" s="16">
        <f t="shared" si="642"/>
        <v>820.32800000006682</v>
      </c>
      <c r="YR32" s="16">
        <f t="shared" si="642"/>
        <v>948.84299999996438</v>
      </c>
      <c r="YS32" s="16">
        <f t="shared" si="642"/>
        <v>775.83799999998882</v>
      </c>
      <c r="YT32" s="16">
        <f t="shared" si="642"/>
        <v>901.42300000006799</v>
      </c>
      <c r="YU32" s="16">
        <f t="shared" si="642"/>
        <v>457.51900000000023</v>
      </c>
      <c r="YV32" s="16">
        <f t="shared" si="642"/>
        <v>1096.6179999998712</v>
      </c>
      <c r="YW32" s="16">
        <f t="shared" si="642"/>
        <v>894.86600000009639</v>
      </c>
      <c r="YX32" s="16">
        <f t="shared" si="642"/>
        <v>917.34100000007311</v>
      </c>
      <c r="YY32" s="16">
        <f t="shared" si="642"/>
        <v>649.82399999996414</v>
      </c>
      <c r="YZ32" s="16">
        <f t="shared" si="642"/>
        <v>1036.5009999999602</v>
      </c>
      <c r="ZA32" s="16">
        <f t="shared" si="642"/>
        <v>988.40000000008149</v>
      </c>
      <c r="ZB32" s="16">
        <f t="shared" si="642"/>
        <v>813.3849999998929</v>
      </c>
      <c r="ZC32" s="16">
        <f t="shared" si="642"/>
        <v>894.26700000005076</v>
      </c>
      <c r="ZD32" s="16">
        <f t="shared" si="642"/>
        <v>1218.7900000000081</v>
      </c>
      <c r="ZE32" s="16">
        <f t="shared" si="642"/>
        <v>716.39799999992829</v>
      </c>
      <c r="ZF32" s="16">
        <f t="shared" si="642"/>
        <v>1064.338000000047</v>
      </c>
      <c r="ZG32" s="16">
        <f t="shared" si="642"/>
        <v>758.17300000000978</v>
      </c>
      <c r="ZH32" s="16">
        <f t="shared" si="642"/>
        <v>1307.2939999999653</v>
      </c>
      <c r="ZI32" s="16">
        <f t="shared" si="642"/>
        <v>1165.3090000000084</v>
      </c>
      <c r="ZJ32" s="16">
        <f t="shared" si="642"/>
        <v>935.70300000006682</v>
      </c>
      <c r="ZK32" s="16">
        <f t="shared" si="642"/>
        <v>1266.9649999999383</v>
      </c>
      <c r="ZL32" s="16">
        <f t="shared" si="642"/>
        <v>764.10400000002119</v>
      </c>
      <c r="ZM32" s="16">
        <f t="shared" si="642"/>
        <v>1189.1290000000154</v>
      </c>
      <c r="ZN32" s="16">
        <f t="shared" si="642"/>
        <v>1063.6309999999648</v>
      </c>
      <c r="ZO32" s="16">
        <f t="shared" si="642"/>
        <v>990.46899999995367</v>
      </c>
      <c r="ZP32" s="16">
        <f t="shared" si="642"/>
        <v>978.4220000000787</v>
      </c>
      <c r="ZQ32" s="16">
        <f t="shared" si="642"/>
        <v>1192.0269999999437</v>
      </c>
      <c r="ZR32" s="16">
        <f t="shared" si="642"/>
        <v>932.71500000002561</v>
      </c>
      <c r="ZS32" s="127">
        <f>SUM(YN32:ZR32)</f>
        <v>30276.179000000004</v>
      </c>
      <c r="ZT32" s="16">
        <f t="shared" ref="ZT32:AAW32" si="643">ZT31+ZT28+ZT25+ZT22</f>
        <v>1266.3290000000561</v>
      </c>
      <c r="ZU32" s="16">
        <f t="shared" si="643"/>
        <v>1027.3869999999297</v>
      </c>
      <c r="ZV32" s="16">
        <f t="shared" si="643"/>
        <v>900.92400000002817</v>
      </c>
      <c r="ZW32" s="16">
        <f t="shared" si="643"/>
        <v>844.25199999994948</v>
      </c>
      <c r="ZX32" s="16">
        <f t="shared" si="643"/>
        <v>1038.9729999999981</v>
      </c>
      <c r="ZY32" s="16">
        <f t="shared" si="643"/>
        <v>984.03099999998813</v>
      </c>
      <c r="ZZ32" s="16">
        <f t="shared" si="643"/>
        <v>1150.463000000047</v>
      </c>
      <c r="AAA32" s="16">
        <f t="shared" si="643"/>
        <v>981.42600000003586</v>
      </c>
      <c r="AAB32" s="16">
        <f t="shared" si="643"/>
        <v>794.66499999994994</v>
      </c>
      <c r="AAC32" s="16">
        <f t="shared" si="643"/>
        <v>1942.5020000000368</v>
      </c>
      <c r="AAD32" s="16">
        <f t="shared" si="643"/>
        <v>1357.4879999999248</v>
      </c>
      <c r="AAE32" s="16">
        <f t="shared" si="643"/>
        <v>1035.3670000000857</v>
      </c>
      <c r="AAF32" s="16">
        <f t="shared" si="643"/>
        <v>1096.0299999999697</v>
      </c>
      <c r="AAG32" s="16">
        <f t="shared" si="643"/>
        <v>1129.5630000000529</v>
      </c>
      <c r="AAH32" s="16">
        <f t="shared" si="643"/>
        <v>1018.9549999999872</v>
      </c>
      <c r="AAI32" s="16">
        <f t="shared" si="643"/>
        <v>1006.1319999999832</v>
      </c>
      <c r="AAJ32" s="16">
        <f t="shared" si="643"/>
        <v>812.50299999996787</v>
      </c>
      <c r="AAK32" s="16">
        <f t="shared" si="643"/>
        <v>1507.6119999999646</v>
      </c>
      <c r="AAL32" s="16">
        <f t="shared" si="643"/>
        <v>965.80499999996391</v>
      </c>
      <c r="AAM32" s="16">
        <f t="shared" si="643"/>
        <v>1025.2210000000487</v>
      </c>
      <c r="AAN32" s="16">
        <f t="shared" si="643"/>
        <v>1259.1200000000244</v>
      </c>
      <c r="AAO32" s="16">
        <f t="shared" si="643"/>
        <v>756.14300000001094</v>
      </c>
      <c r="AAP32" s="16">
        <f t="shared" si="643"/>
        <v>1213.3449999999139</v>
      </c>
      <c r="AAQ32" s="16">
        <f t="shared" si="643"/>
        <v>848.37100000010105</v>
      </c>
      <c r="AAR32" s="16">
        <f t="shared" si="643"/>
        <v>832.08599999992293</v>
      </c>
      <c r="AAS32" s="16">
        <f t="shared" si="643"/>
        <v>905.46900000007008</v>
      </c>
      <c r="AAT32" s="16">
        <f t="shared" si="643"/>
        <v>951.08999999999651</v>
      </c>
      <c r="AAU32" s="16">
        <f t="shared" si="643"/>
        <v>1041.155000000057</v>
      </c>
      <c r="AAV32" s="16">
        <f t="shared" si="643"/>
        <v>780.11399999991409</v>
      </c>
      <c r="AAW32" s="16">
        <f t="shared" si="643"/>
        <v>779.34700000000885</v>
      </c>
      <c r="AAX32" s="127">
        <f>SUM(ZT32:AAW32)</f>
        <v>31251.867999999988</v>
      </c>
      <c r="AAY32" s="16">
        <f t="shared" ref="AAY32:ACC32" si="644">AAY31+AAY28+AAY25+AAY22</f>
        <v>1106.9239999999991</v>
      </c>
      <c r="AAZ32" s="16">
        <f t="shared" si="644"/>
        <v>856.05799999998999</v>
      </c>
      <c r="ABA32" s="16">
        <f t="shared" si="644"/>
        <v>1062.9210000000312</v>
      </c>
      <c r="ABB32" s="16">
        <f t="shared" si="644"/>
        <v>957.34499999997206</v>
      </c>
      <c r="ABC32" s="16">
        <f t="shared" si="644"/>
        <v>980.44899999999325</v>
      </c>
      <c r="ABD32" s="16">
        <f t="shared" si="644"/>
        <v>885.41700000007404</v>
      </c>
      <c r="ABE32" s="16">
        <f t="shared" si="644"/>
        <v>1042.0809999999765</v>
      </c>
      <c r="ABF32" s="16">
        <f t="shared" si="644"/>
        <v>1080.31700000001</v>
      </c>
      <c r="ABG32" s="16">
        <f t="shared" si="644"/>
        <v>759.20299999995041</v>
      </c>
      <c r="ABH32" s="16">
        <f t="shared" si="644"/>
        <v>1195.8430000000808</v>
      </c>
      <c r="ABI32" s="16">
        <f t="shared" si="644"/>
        <v>1126.5879999999015</v>
      </c>
      <c r="ABJ32" s="16">
        <f t="shared" si="644"/>
        <v>890.21099999998114</v>
      </c>
      <c r="ABK32" s="16">
        <f t="shared" si="644"/>
        <v>960.65700000006473</v>
      </c>
      <c r="ABL32" s="16">
        <f t="shared" si="644"/>
        <v>1166.1729999999807</v>
      </c>
      <c r="ABM32" s="16">
        <f t="shared" si="644"/>
        <v>949.28900000001886</v>
      </c>
      <c r="ABN32" s="16">
        <f t="shared" si="644"/>
        <v>940.7719999999681</v>
      </c>
      <c r="ABO32" s="16">
        <f t="shared" si="644"/>
        <v>995.91200000004028</v>
      </c>
      <c r="ABP32" s="16">
        <f t="shared" si="644"/>
        <v>1330.7919999999867</v>
      </c>
      <c r="ABQ32" s="16">
        <f t="shared" si="644"/>
        <v>1211.6959999999381</v>
      </c>
      <c r="ABR32" s="16">
        <f t="shared" si="644"/>
        <v>834.82600000005914</v>
      </c>
      <c r="ABS32" s="16">
        <f t="shared" si="644"/>
        <v>644.88300000000163</v>
      </c>
      <c r="ABT32" s="16">
        <f t="shared" si="644"/>
        <v>724.85499999995227</v>
      </c>
      <c r="ABU32" s="16">
        <f t="shared" si="644"/>
        <v>978.08500000002095</v>
      </c>
      <c r="ABV32" s="16">
        <f t="shared" si="644"/>
        <v>849.37800000005518</v>
      </c>
      <c r="ABW32" s="16">
        <f t="shared" si="644"/>
        <v>1041.752999999997</v>
      </c>
      <c r="ABX32" s="16">
        <f t="shared" si="644"/>
        <v>919.74399999988964</v>
      </c>
      <c r="ABY32" s="16">
        <f t="shared" si="644"/>
        <v>790.04900000005728</v>
      </c>
      <c r="ABZ32" s="16">
        <f t="shared" si="644"/>
        <v>1391.1459999999497</v>
      </c>
      <c r="ACA32" s="16">
        <f t="shared" si="644"/>
        <v>1039.800000000163</v>
      </c>
      <c r="ACB32" s="16">
        <f t="shared" si="644"/>
        <v>807.05399999988731</v>
      </c>
      <c r="ACC32" s="16">
        <f t="shared" si="644"/>
        <v>835.48300000006566</v>
      </c>
      <c r="ACD32" s="127">
        <f>SUM(AAY32:ACC32)</f>
        <v>30355.704000000056</v>
      </c>
      <c r="ACE32" s="16">
        <f t="shared" ref="ACE32:ADI32" si="645">ACE31+ACE28+ACE25+ACE22</f>
        <v>1156.0569999998843</v>
      </c>
      <c r="ACF32" s="16">
        <f t="shared" si="645"/>
        <v>1293.1460000000661</v>
      </c>
      <c r="ACG32" s="16">
        <f t="shared" si="645"/>
        <v>1014.7619999999879</v>
      </c>
      <c r="ACH32" s="16">
        <f t="shared" si="645"/>
        <v>998.14000000001397</v>
      </c>
      <c r="ACI32" s="16">
        <f t="shared" si="645"/>
        <v>937.12900000001537</v>
      </c>
      <c r="ACJ32" s="16">
        <f t="shared" si="645"/>
        <v>1021.0800000000163</v>
      </c>
      <c r="ACK32" s="16">
        <f t="shared" si="645"/>
        <v>955.46699999994598</v>
      </c>
      <c r="ACL32" s="16">
        <f t="shared" si="645"/>
        <v>1127.6749999999884</v>
      </c>
      <c r="ACM32" s="16">
        <f t="shared" si="645"/>
        <v>1030.2999999999884</v>
      </c>
      <c r="ACN32" s="16">
        <f t="shared" si="645"/>
        <v>774.55900000000838</v>
      </c>
      <c r="ACO32" s="16">
        <f t="shared" si="645"/>
        <v>1081.1520000000601</v>
      </c>
      <c r="ACP32" s="16">
        <f t="shared" si="645"/>
        <v>1044.4439999999595</v>
      </c>
      <c r="ACQ32" s="16">
        <f t="shared" si="645"/>
        <v>855.44300000008661</v>
      </c>
      <c r="ACR32" s="16">
        <f t="shared" si="645"/>
        <v>1243.7919999998994</v>
      </c>
      <c r="ACS32" s="16">
        <f t="shared" si="645"/>
        <v>962.36699999996927</v>
      </c>
      <c r="ACT32" s="16">
        <f t="shared" si="645"/>
        <v>1118.5250000000233</v>
      </c>
      <c r="ACU32" s="16">
        <f t="shared" si="645"/>
        <v>902.98000000009779</v>
      </c>
      <c r="ACV32" s="16">
        <f t="shared" si="645"/>
        <v>1185.3479999999399</v>
      </c>
      <c r="ACW32" s="16">
        <f t="shared" si="645"/>
        <v>1032.6719999999623</v>
      </c>
      <c r="ACX32" s="16">
        <f t="shared" si="645"/>
        <v>900.35200000007171</v>
      </c>
      <c r="ACY32" s="16">
        <f t="shared" si="645"/>
        <v>855.83399999997346</v>
      </c>
      <c r="ACZ32" s="16">
        <f t="shared" si="645"/>
        <v>943.38900000002468</v>
      </c>
      <c r="ADA32" s="16">
        <f t="shared" si="645"/>
        <v>1011.4699999999139</v>
      </c>
      <c r="ADB32" s="16">
        <f t="shared" si="645"/>
        <v>1031.6380000000936</v>
      </c>
      <c r="ADC32" s="16">
        <f t="shared" si="645"/>
        <v>1028.9779999999446</v>
      </c>
      <c r="ADD32" s="16">
        <f t="shared" si="645"/>
        <v>811.27700000000186</v>
      </c>
      <c r="ADE32" s="16">
        <f t="shared" si="645"/>
        <v>922.35299999994459</v>
      </c>
      <c r="ADF32" s="16">
        <f t="shared" si="645"/>
        <v>929.40700000006473</v>
      </c>
      <c r="ADG32" s="16">
        <f t="shared" si="645"/>
        <v>953.45200000004843</v>
      </c>
      <c r="ADH32" s="16">
        <f t="shared" si="645"/>
        <v>935.15700000000652</v>
      </c>
      <c r="ADI32" s="16">
        <f t="shared" si="645"/>
        <v>870.54300000000512</v>
      </c>
      <c r="ADJ32" s="127">
        <f>SUM(ACE32:ADI32)</f>
        <v>30928.888000000006</v>
      </c>
      <c r="ADK32" s="16">
        <f t="shared" ref="ADK32:AEN32" si="646">ADK31+ADK28+ADK25+ADK22</f>
        <v>881.49900000001071</v>
      </c>
      <c r="ADL32" s="16">
        <f t="shared" si="646"/>
        <v>968.6459999998915</v>
      </c>
      <c r="ADM32" s="16">
        <f t="shared" si="646"/>
        <v>1153.9450000001234</v>
      </c>
      <c r="ADN32" s="16">
        <f t="shared" si="646"/>
        <v>1012.7579999999143</v>
      </c>
      <c r="ADO32" s="16">
        <f t="shared" si="646"/>
        <v>1094.0920000000042</v>
      </c>
      <c r="ADP32" s="16">
        <f t="shared" si="646"/>
        <v>1094.5490000000573</v>
      </c>
      <c r="ADQ32" s="16">
        <f t="shared" si="646"/>
        <v>853.69099999993341</v>
      </c>
      <c r="ADR32" s="16">
        <f t="shared" si="646"/>
        <v>729.05100000003586</v>
      </c>
      <c r="ADS32" s="16">
        <f t="shared" si="646"/>
        <v>1089.2539999999572</v>
      </c>
      <c r="ADT32" s="16">
        <f t="shared" si="646"/>
        <v>915.7170000000624</v>
      </c>
      <c r="ADU32" s="16">
        <f t="shared" si="646"/>
        <v>1054.3559999999707</v>
      </c>
      <c r="ADV32" s="16">
        <f t="shared" si="646"/>
        <v>1035.8429999999935</v>
      </c>
      <c r="ADW32" s="16">
        <f t="shared" si="646"/>
        <v>1198.4330000000773</v>
      </c>
      <c r="ADX32" s="16">
        <f t="shared" si="646"/>
        <v>706.33600000001024</v>
      </c>
      <c r="ADY32" s="16">
        <f t="shared" si="646"/>
        <v>1200.4289999999455</v>
      </c>
      <c r="ADZ32" s="16">
        <f t="shared" si="646"/>
        <v>995.06999999989057</v>
      </c>
      <c r="AEA32" s="16">
        <f t="shared" si="646"/>
        <v>898.84500000008848</v>
      </c>
      <c r="AEB32" s="16">
        <f t="shared" si="646"/>
        <v>945.08599999989383</v>
      </c>
      <c r="AEC32" s="16">
        <f t="shared" si="646"/>
        <v>838.63400000007823</v>
      </c>
      <c r="AED32" s="16">
        <f t="shared" si="646"/>
        <v>1125.310999999987</v>
      </c>
      <c r="AEE32" s="16">
        <f t="shared" si="646"/>
        <v>887.08000000007451</v>
      </c>
      <c r="AEF32" s="16">
        <f t="shared" si="646"/>
        <v>1058.9859999999753</v>
      </c>
      <c r="AEG32" s="16">
        <f t="shared" si="646"/>
        <v>929.60699999995995</v>
      </c>
      <c r="AEH32" s="16">
        <f t="shared" si="646"/>
        <v>720.41200000001118</v>
      </c>
      <c r="AEI32" s="16">
        <f t="shared" si="646"/>
        <v>704.53200000000652</v>
      </c>
      <c r="AEJ32" s="16">
        <f t="shared" si="646"/>
        <v>1024.6019999999553</v>
      </c>
      <c r="AEK32" s="16">
        <f t="shared" si="646"/>
        <v>1044.0000000000582</v>
      </c>
      <c r="AEL32" s="16">
        <f t="shared" si="646"/>
        <v>621.80099999997765</v>
      </c>
      <c r="AEM32" s="16">
        <f t="shared" si="646"/>
        <v>726.85699999995995</v>
      </c>
      <c r="AEN32" s="16">
        <f t="shared" si="646"/>
        <v>1133.2900000000373</v>
      </c>
      <c r="AEO32" s="127">
        <f>SUM(ADK32:AEN32)</f>
        <v>28642.711999999941</v>
      </c>
      <c r="AEP32" s="16">
        <f t="shared" ref="AEP32:AFT32" si="647">AEP31+AEP28+AEP25+AEP22</f>
        <v>786.64000000001397</v>
      </c>
      <c r="AEQ32" s="16">
        <f t="shared" si="647"/>
        <v>843.50999999995111</v>
      </c>
      <c r="AER32" s="16">
        <f t="shared" si="647"/>
        <v>736.2620000000461</v>
      </c>
      <c r="AES32" s="16">
        <f t="shared" si="647"/>
        <v>826.22299999993993</v>
      </c>
      <c r="AET32" s="16">
        <f t="shared" si="647"/>
        <v>851.86599999997998</v>
      </c>
      <c r="AEU32" s="16">
        <f t="shared" si="647"/>
        <v>952.83200000011129</v>
      </c>
      <c r="AEV32" s="16">
        <f t="shared" si="647"/>
        <v>794.62800000002608</v>
      </c>
      <c r="AEW32" s="16">
        <f t="shared" si="647"/>
        <v>964.70699999993667</v>
      </c>
      <c r="AEX32" s="16">
        <f t="shared" si="647"/>
        <v>956.34999999997672</v>
      </c>
      <c r="AEY32" s="16">
        <f t="shared" si="647"/>
        <v>905.94000000006054</v>
      </c>
      <c r="AEZ32" s="16">
        <f t="shared" si="647"/>
        <v>850.18699999991804</v>
      </c>
      <c r="AFA32" s="16">
        <f t="shared" si="647"/>
        <v>573.41300000005867</v>
      </c>
      <c r="AFB32" s="16">
        <f t="shared" si="647"/>
        <v>890.85899999999674</v>
      </c>
      <c r="AFC32" s="16">
        <f t="shared" si="647"/>
        <v>683.20599999994738</v>
      </c>
      <c r="AFD32" s="16">
        <f t="shared" si="647"/>
        <v>916.48300000000745</v>
      </c>
      <c r="AFE32" s="16">
        <f t="shared" si="647"/>
        <v>871.59200000000419</v>
      </c>
      <c r="AFF32" s="16">
        <f t="shared" si="647"/>
        <v>989.76699999999255</v>
      </c>
      <c r="AFG32" s="16">
        <f t="shared" si="647"/>
        <v>1063.0949999999721</v>
      </c>
      <c r="AFH32" s="16">
        <f t="shared" si="647"/>
        <v>965.31600000004983</v>
      </c>
      <c r="AFI32" s="16">
        <f t="shared" si="647"/>
        <v>1000.6960000000545</v>
      </c>
      <c r="AFJ32" s="16">
        <f t="shared" si="647"/>
        <v>765.95199999993201</v>
      </c>
      <c r="AFK32" s="16">
        <f t="shared" si="647"/>
        <v>648.32900000002701</v>
      </c>
      <c r="AFL32" s="16">
        <f t="shared" si="647"/>
        <v>840.30200000002515</v>
      </c>
      <c r="AFM32" s="16">
        <f t="shared" si="647"/>
        <v>707.88199999998324</v>
      </c>
      <c r="AFN32" s="16">
        <f t="shared" si="647"/>
        <v>1037.8040000000037</v>
      </c>
      <c r="AFO32" s="16">
        <f t="shared" si="647"/>
        <v>748.07600000000093</v>
      </c>
      <c r="AFP32" s="16">
        <f t="shared" si="647"/>
        <v>832.41199999995297</v>
      </c>
      <c r="AFQ32" s="16">
        <f t="shared" si="647"/>
        <v>851.45199999999022</v>
      </c>
      <c r="AFR32" s="16">
        <f t="shared" si="647"/>
        <v>592.16800000006333</v>
      </c>
      <c r="AFS32" s="16">
        <f t="shared" si="647"/>
        <v>980.77399999991758</v>
      </c>
      <c r="AFT32" s="16">
        <f t="shared" si="647"/>
        <v>720.36600000003818</v>
      </c>
      <c r="AFU32" s="127">
        <f>SUM(AEP32:AFT32)</f>
        <v>26149.088999999978</v>
      </c>
      <c r="AFV32" s="16">
        <f t="shared" ref="AFV32:AGY32" si="648">AFV31+AFV28+AFV25+AFV22</f>
        <v>836.66599999996834</v>
      </c>
      <c r="AFW32" s="16">
        <f t="shared" si="648"/>
        <v>752.18400000006659</v>
      </c>
      <c r="AFX32" s="16">
        <f t="shared" si="648"/>
        <v>850.18599999998696</v>
      </c>
      <c r="AFY32" s="16">
        <f t="shared" si="648"/>
        <v>707.6239999999525</v>
      </c>
      <c r="AFZ32" s="16">
        <f t="shared" si="648"/>
        <v>874.33000000007451</v>
      </c>
      <c r="AGA32" s="16">
        <f t="shared" si="648"/>
        <v>673.04700000002049</v>
      </c>
      <c r="AGB32" s="16">
        <f t="shared" si="648"/>
        <v>868.3520000000135</v>
      </c>
      <c r="AGC32" s="16">
        <f t="shared" si="648"/>
        <v>712.84299999993527</v>
      </c>
      <c r="AGD32" s="16">
        <f t="shared" si="648"/>
        <v>739.97500000003492</v>
      </c>
      <c r="AGE32" s="16">
        <f t="shared" si="648"/>
        <v>784.4890000000014</v>
      </c>
      <c r="AGF32" s="16">
        <f t="shared" si="648"/>
        <v>857.478000000061</v>
      </c>
      <c r="AGG32" s="16">
        <f t="shared" si="648"/>
        <v>827.25899999990361</v>
      </c>
      <c r="AGH32" s="16">
        <f t="shared" si="648"/>
        <v>738.49199999996927</v>
      </c>
      <c r="AGI32" s="16">
        <f t="shared" si="648"/>
        <v>785.95800000004238</v>
      </c>
      <c r="AGJ32" s="16">
        <f t="shared" si="648"/>
        <v>707.8859999999404</v>
      </c>
      <c r="AGK32" s="16">
        <f t="shared" si="648"/>
        <v>849.18100000004051</v>
      </c>
      <c r="AGL32" s="16">
        <f t="shared" si="648"/>
        <v>610.32700000010664</v>
      </c>
      <c r="AGM32" s="16">
        <f t="shared" si="648"/>
        <v>783.43899999983842</v>
      </c>
      <c r="AGN32" s="16">
        <f t="shared" si="648"/>
        <v>715.25500000012107</v>
      </c>
      <c r="AGO32" s="16">
        <f t="shared" si="648"/>
        <v>884.9189999999362</v>
      </c>
      <c r="AGP32" s="16">
        <f t="shared" si="648"/>
        <v>933.02899999998044</v>
      </c>
      <c r="AGQ32" s="16">
        <f t="shared" si="648"/>
        <v>1176.2470000000321</v>
      </c>
      <c r="AGR32" s="16">
        <f t="shared" si="648"/>
        <v>1014.6000000000931</v>
      </c>
      <c r="AGS32" s="16">
        <f t="shared" si="648"/>
        <v>741.90199999988545</v>
      </c>
      <c r="AGT32" s="16">
        <f t="shared" si="648"/>
        <v>718.58199999999488</v>
      </c>
      <c r="AGU32" s="16">
        <f t="shared" si="648"/>
        <v>914.19799999997485</v>
      </c>
      <c r="AGV32" s="16">
        <f t="shared" si="648"/>
        <v>813.30400000012014</v>
      </c>
      <c r="AGW32" s="16">
        <f t="shared" si="648"/>
        <v>1102.4629999999888</v>
      </c>
      <c r="AGX32" s="16">
        <f t="shared" si="648"/>
        <v>1079.707999999926</v>
      </c>
      <c r="AGY32" s="16">
        <f t="shared" si="648"/>
        <v>838.25700000004144</v>
      </c>
      <c r="AGZ32" s="127">
        <f>SUM(AFV32:AGY32)</f>
        <v>24892.180000000051</v>
      </c>
      <c r="AHA32" s="16">
        <f t="shared" ref="AHA32:AIE32" si="649">AHA31+AHA28+AHA25+AHA22</f>
        <v>883.01899999997113</v>
      </c>
      <c r="AHB32" s="16">
        <f t="shared" si="649"/>
        <v>905.17300000000978</v>
      </c>
      <c r="AHC32" s="16">
        <f t="shared" si="649"/>
        <v>1090.8220000000438</v>
      </c>
      <c r="AHD32" s="16">
        <f t="shared" si="649"/>
        <v>852.69899999996414</v>
      </c>
      <c r="AHE32" s="16">
        <f t="shared" si="649"/>
        <v>1446.9400000000023</v>
      </c>
      <c r="AHF32" s="16">
        <f t="shared" si="649"/>
        <v>756.43800000002375</v>
      </c>
      <c r="AHG32" s="16">
        <f t="shared" si="649"/>
        <v>866.68599999992875</v>
      </c>
      <c r="AHH32" s="16">
        <f t="shared" si="649"/>
        <v>818.64299999998184</v>
      </c>
      <c r="AHI32" s="16">
        <f t="shared" si="649"/>
        <v>1098.4720000000088</v>
      </c>
      <c r="AHJ32" s="16">
        <f t="shared" si="649"/>
        <v>828.08300000004238</v>
      </c>
      <c r="AHK32" s="16">
        <f t="shared" si="649"/>
        <v>521.46599999995669</v>
      </c>
      <c r="AHL32" s="16">
        <f t="shared" si="649"/>
        <v>1065.9040000000386</v>
      </c>
      <c r="AHM32" s="16">
        <f t="shared" si="649"/>
        <v>874.81400000001304</v>
      </c>
      <c r="AHN32" s="16">
        <f t="shared" si="649"/>
        <v>612.55400000000373</v>
      </c>
      <c r="AHO32" s="16">
        <f t="shared" si="649"/>
        <v>1001.0109999999404</v>
      </c>
      <c r="AHP32" s="16">
        <f t="shared" si="649"/>
        <v>880.14400000014575</v>
      </c>
      <c r="AHQ32" s="16">
        <f t="shared" si="649"/>
        <v>853.10699999990175</v>
      </c>
      <c r="AHR32" s="16">
        <f t="shared" si="649"/>
        <v>971.29800000000978</v>
      </c>
      <c r="AHS32" s="16">
        <f t="shared" si="649"/>
        <v>882.69099999999162</v>
      </c>
      <c r="AHT32" s="16">
        <f t="shared" si="649"/>
        <v>763.18199999991339</v>
      </c>
      <c r="AHU32" s="16">
        <f t="shared" si="649"/>
        <v>937.89300000015646</v>
      </c>
      <c r="AHV32" s="16">
        <f t="shared" si="649"/>
        <v>985.66699999984121</v>
      </c>
      <c r="AHW32" s="16">
        <f t="shared" si="649"/>
        <v>1065.2700000000186</v>
      </c>
      <c r="AHX32" s="16">
        <f t="shared" si="649"/>
        <v>815.38200000009965</v>
      </c>
      <c r="AHY32" s="16">
        <f t="shared" si="649"/>
        <v>600.60799999994924</v>
      </c>
      <c r="AHZ32" s="16">
        <f t="shared" si="649"/>
        <v>560.87000000005355</v>
      </c>
      <c r="AIA32" s="16">
        <f t="shared" si="649"/>
        <v>659.44699999998556</v>
      </c>
      <c r="AIB32" s="16">
        <f t="shared" si="649"/>
        <v>514.03000000002794</v>
      </c>
      <c r="AIC32" s="16">
        <f t="shared" si="649"/>
        <v>721.43099999986589</v>
      </c>
      <c r="AID32" s="16">
        <f t="shared" si="649"/>
        <v>757.94500000006519</v>
      </c>
      <c r="AIE32" s="16">
        <f t="shared" si="649"/>
        <v>926.10499999998137</v>
      </c>
      <c r="AIF32" s="127">
        <f>SUM(AHA32:AIE32)</f>
        <v>26517.793999999936</v>
      </c>
      <c r="AIG32" s="16">
        <f t="shared" ref="AIG32:AJK32" si="650">AIG31+AIG28+AIG25+AIG22</f>
        <v>728.31300000002375</v>
      </c>
      <c r="AIH32" s="16">
        <f t="shared" si="650"/>
        <v>772.38500000000931</v>
      </c>
      <c r="AII32" s="16">
        <f t="shared" si="650"/>
        <v>822.99499999999534</v>
      </c>
      <c r="AIJ32" s="16">
        <f t="shared" si="650"/>
        <v>582.65600000007544</v>
      </c>
      <c r="AIK32" s="16">
        <f t="shared" si="650"/>
        <v>760.96099999995204</v>
      </c>
      <c r="AIL32" s="16">
        <f t="shared" si="650"/>
        <v>921.43400000006659</v>
      </c>
      <c r="AIM32" s="16">
        <f t="shared" si="650"/>
        <v>862.73199999995995</v>
      </c>
      <c r="AIN32" s="16">
        <f t="shared" si="650"/>
        <v>916.17799999995623</v>
      </c>
      <c r="AIO32" s="16">
        <f t="shared" si="650"/>
        <v>920.64600000000792</v>
      </c>
      <c r="AIP32" s="16">
        <f t="shared" si="650"/>
        <v>1144.1980000000331</v>
      </c>
      <c r="AIQ32" s="16">
        <f t="shared" si="650"/>
        <v>603.65399999998044</v>
      </c>
      <c r="AIR32" s="16">
        <f t="shared" si="650"/>
        <v>697.22999999998137</v>
      </c>
      <c r="AIS32" s="16">
        <f t="shared" si="650"/>
        <v>634.02299999992829</v>
      </c>
      <c r="AIT32" s="16">
        <f t="shared" si="650"/>
        <v>738.56000000011409</v>
      </c>
      <c r="AIU32" s="16">
        <f t="shared" si="650"/>
        <v>282.21399999997811</v>
      </c>
      <c r="AIV32" s="16">
        <f t="shared" si="650"/>
        <v>320.6940000000177</v>
      </c>
      <c r="AIW32" s="16">
        <f t="shared" si="650"/>
        <v>326.36399999994319</v>
      </c>
      <c r="AIX32" s="16">
        <f t="shared" si="650"/>
        <v>499.32500000001164</v>
      </c>
      <c r="AIY32" s="16">
        <f t="shared" si="650"/>
        <v>757.2489999999525</v>
      </c>
      <c r="AIZ32" s="16">
        <f t="shared" si="650"/>
        <v>702.27900000003865</v>
      </c>
      <c r="AJA32" s="16">
        <f t="shared" si="650"/>
        <v>847.18600000004517</v>
      </c>
      <c r="AJB32" s="16">
        <f t="shared" si="650"/>
        <v>651.90299999987474</v>
      </c>
      <c r="AJC32" s="16">
        <f t="shared" si="650"/>
        <v>710.97500000003492</v>
      </c>
      <c r="AJD32" s="16">
        <f t="shared" si="650"/>
        <v>842.51500000007218</v>
      </c>
      <c r="AJE32" s="16">
        <f t="shared" si="650"/>
        <v>502.46199999988312</v>
      </c>
      <c r="AJF32" s="16">
        <f t="shared" si="650"/>
        <v>675.4100000000908</v>
      </c>
      <c r="AJG32" s="16">
        <f t="shared" si="650"/>
        <v>793.8179999999702</v>
      </c>
      <c r="AJH32" s="16">
        <f t="shared" si="650"/>
        <v>931.67500000004657</v>
      </c>
      <c r="AJI32" s="16">
        <f t="shared" si="650"/>
        <v>755.52800000004936</v>
      </c>
      <c r="AJJ32" s="16">
        <f t="shared" si="650"/>
        <v>927.5209999998915</v>
      </c>
      <c r="AJK32" s="16">
        <f t="shared" si="650"/>
        <v>827.27800000004936</v>
      </c>
      <c r="AJL32" s="127">
        <f>SUM(AIG32:AJK32)</f>
        <v>22460.361000000034</v>
      </c>
      <c r="AJM32" s="16">
        <f t="shared" ref="AJM32:AKN32" si="651">AJM31+AJM28+AJM25+AJM22</f>
        <v>697.27899999998044</v>
      </c>
      <c r="AJN32" s="16">
        <f t="shared" si="651"/>
        <v>812.05800000001909</v>
      </c>
      <c r="AJO32" s="16">
        <f t="shared" si="651"/>
        <v>760.31700000003912</v>
      </c>
      <c r="AJP32" s="16">
        <f t="shared" si="651"/>
        <v>764.27500000002328</v>
      </c>
      <c r="AJQ32" s="16">
        <f t="shared" si="651"/>
        <v>1008.4789999999339</v>
      </c>
      <c r="AJR32" s="16">
        <f t="shared" si="651"/>
        <v>705.75399999995716</v>
      </c>
      <c r="AJS32" s="16">
        <f t="shared" si="651"/>
        <v>690.44800000009127</v>
      </c>
      <c r="AJT32" s="16">
        <f t="shared" si="651"/>
        <v>1010.2399999999907</v>
      </c>
      <c r="AJU32" s="16">
        <f t="shared" si="651"/>
        <v>909.59400000004098</v>
      </c>
      <c r="AJV32" s="16">
        <f t="shared" si="651"/>
        <v>819.23299999994924</v>
      </c>
      <c r="AJW32" s="16">
        <f t="shared" si="651"/>
        <v>834.04299999988871</v>
      </c>
      <c r="AJX32" s="16">
        <f t="shared" si="651"/>
        <v>1048.0770000001066</v>
      </c>
      <c r="AJY32" s="16">
        <f t="shared" si="651"/>
        <v>935.15000000002328</v>
      </c>
      <c r="AJZ32" s="16">
        <f t="shared" si="651"/>
        <v>765.97099999990314</v>
      </c>
      <c r="AKA32" s="16">
        <f t="shared" si="651"/>
        <v>762.92799999995623</v>
      </c>
      <c r="AKB32" s="16">
        <f t="shared" si="651"/>
        <v>785.90200000011828</v>
      </c>
      <c r="AKC32" s="16">
        <f t="shared" si="651"/>
        <v>679.55200000002515</v>
      </c>
      <c r="AKD32" s="16">
        <f t="shared" si="651"/>
        <v>701.63899999990826</v>
      </c>
      <c r="AKE32" s="16">
        <f t="shared" si="651"/>
        <v>714.63400000002002</v>
      </c>
      <c r="AKF32" s="16">
        <f t="shared" si="651"/>
        <v>984.84799999999814</v>
      </c>
      <c r="AKG32" s="16">
        <f t="shared" si="651"/>
        <v>665.78200000000652</v>
      </c>
      <c r="AKH32" s="16">
        <f t="shared" si="651"/>
        <v>621.62100000010105</v>
      </c>
      <c r="AKI32" s="16">
        <f t="shared" si="651"/>
        <v>881.54899999994086</v>
      </c>
      <c r="AKJ32" s="16">
        <f t="shared" si="651"/>
        <v>948.36599999997998</v>
      </c>
      <c r="AKK32" s="16">
        <f t="shared" si="651"/>
        <v>841.37899999995716</v>
      </c>
      <c r="AKL32" s="16">
        <f t="shared" si="651"/>
        <v>664.00200000009499</v>
      </c>
      <c r="AKM32" s="16">
        <f t="shared" si="651"/>
        <v>811.85800000006566</v>
      </c>
      <c r="AKN32" s="16">
        <f t="shared" si="651"/>
        <v>948.2029999998631</v>
      </c>
      <c r="AKO32" s="127">
        <f>SUM(AJM32:AKN32)</f>
        <v>22773.180999999982</v>
      </c>
      <c r="AKP32" s="16">
        <f t="shared" ref="AKP32:ALT32" si="652">AKP31+AKP28+AKP25+AKP22</f>
        <v>800.99500000005355</v>
      </c>
      <c r="AKQ32" s="16">
        <f t="shared" si="652"/>
        <v>851.20199999999022</v>
      </c>
      <c r="AKR32" s="16">
        <f t="shared" si="652"/>
        <v>826.86600000003818</v>
      </c>
      <c r="AKS32" s="16">
        <f t="shared" si="652"/>
        <v>604.01899999985471</v>
      </c>
      <c r="AKT32" s="16">
        <f t="shared" si="652"/>
        <v>765.35300000000279</v>
      </c>
      <c r="AKU32" s="16">
        <f t="shared" si="652"/>
        <v>687.48100000014529</v>
      </c>
      <c r="AKV32" s="16">
        <f t="shared" si="652"/>
        <v>1491.4949999999953</v>
      </c>
      <c r="AKW32" s="16">
        <f t="shared" si="652"/>
        <v>819.86699999991106</v>
      </c>
      <c r="AKX32" s="16">
        <f t="shared" si="652"/>
        <v>795.40100000001257</v>
      </c>
      <c r="AKY32" s="16">
        <f t="shared" si="652"/>
        <v>581.05099999997765</v>
      </c>
      <c r="AKZ32" s="16">
        <f t="shared" si="652"/>
        <v>728.21500000008382</v>
      </c>
      <c r="ALA32" s="16">
        <f t="shared" si="652"/>
        <v>729.78399999992689</v>
      </c>
      <c r="ALB32" s="16">
        <f t="shared" si="652"/>
        <v>817.44200000009732</v>
      </c>
      <c r="ALC32" s="16">
        <f t="shared" si="652"/>
        <v>1017.5439999999362</v>
      </c>
      <c r="ALD32" s="16">
        <f t="shared" si="652"/>
        <v>1085.2970000000205</v>
      </c>
      <c r="ALE32" s="16">
        <f t="shared" si="652"/>
        <v>1014.942999999912</v>
      </c>
      <c r="ALF32" s="16">
        <f t="shared" si="652"/>
        <v>811.62000000011176</v>
      </c>
      <c r="ALG32" s="16">
        <f t="shared" si="652"/>
        <v>875.54300000000512</v>
      </c>
      <c r="ALH32" s="16">
        <f t="shared" si="652"/>
        <v>884.08699999999953</v>
      </c>
      <c r="ALI32" s="16">
        <f t="shared" si="652"/>
        <v>788.68399999995017</v>
      </c>
      <c r="ALJ32" s="16">
        <f t="shared" si="652"/>
        <v>1015.0559999999823</v>
      </c>
      <c r="ALK32" s="16">
        <f t="shared" si="652"/>
        <v>1127.9960000000428</v>
      </c>
      <c r="ALL32" s="16">
        <f t="shared" si="652"/>
        <v>5162.3579999999492</v>
      </c>
      <c r="ALM32" s="16">
        <f t="shared" si="652"/>
        <v>817.00200000003679</v>
      </c>
      <c r="ALN32" s="16">
        <f t="shared" si="652"/>
        <v>885.20000000001164</v>
      </c>
      <c r="ALO32" s="16">
        <f t="shared" si="652"/>
        <v>708.42599999997765</v>
      </c>
      <c r="ALP32" s="16">
        <f t="shared" si="652"/>
        <v>931.39999999996508</v>
      </c>
      <c r="ALQ32" s="16">
        <f t="shared" si="652"/>
        <v>846.40400000003865</v>
      </c>
      <c r="ALR32" s="16">
        <f t="shared" si="652"/>
        <v>859.62499999994179</v>
      </c>
      <c r="ALS32" s="16">
        <f t="shared" si="652"/>
        <v>888.00000000011642</v>
      </c>
      <c r="ALT32" s="16">
        <f t="shared" si="652"/>
        <v>731.77599999989616</v>
      </c>
      <c r="ALU32" s="127">
        <f>SUM(AKP32:ALT32)</f>
        <v>30950.131999999983</v>
      </c>
      <c r="ALV32" s="16">
        <f t="shared" ref="ALV32:AMY32" si="653">ALV31+ALV28+ALV25+ALV22</f>
        <v>1001.4370000000345</v>
      </c>
      <c r="ALW32" s="16">
        <f t="shared" si="653"/>
        <v>802.94399999995949</v>
      </c>
      <c r="ALX32" s="16">
        <f t="shared" si="653"/>
        <v>876.89000000007218</v>
      </c>
      <c r="ALY32" s="16">
        <f t="shared" si="653"/>
        <v>976.41800000000512</v>
      </c>
      <c r="ALZ32" s="16">
        <f t="shared" si="653"/>
        <v>406.01999999996042</v>
      </c>
      <c r="AMA32" s="16">
        <f t="shared" si="653"/>
        <v>686.65299999999115</v>
      </c>
      <c r="AMB32" s="16">
        <f t="shared" si="653"/>
        <v>846.60799999989104</v>
      </c>
      <c r="AMC32" s="16">
        <f t="shared" si="653"/>
        <v>849.11100000020815</v>
      </c>
      <c r="AMD32" s="16">
        <f t="shared" si="653"/>
        <v>877.65200000000186</v>
      </c>
      <c r="AME32" s="16">
        <f t="shared" si="653"/>
        <v>898.32600000000093</v>
      </c>
      <c r="AMF32" s="16">
        <f t="shared" si="653"/>
        <v>1195.9879999998957</v>
      </c>
      <c r="AMG32" s="16">
        <f t="shared" si="653"/>
        <v>834.98199999995995</v>
      </c>
      <c r="AMH32" s="16">
        <f t="shared" si="653"/>
        <v>864.72300000005635</v>
      </c>
      <c r="AMI32" s="16">
        <f t="shared" si="653"/>
        <v>869.46899999998277</v>
      </c>
      <c r="AMJ32" s="16">
        <f t="shared" si="653"/>
        <v>1066.1760000000359</v>
      </c>
      <c r="AMK32" s="16">
        <f t="shared" si="653"/>
        <v>1166.4409999999916</v>
      </c>
      <c r="AML32" s="16">
        <f t="shared" si="653"/>
        <v>831.13100000005215</v>
      </c>
      <c r="AMM32" s="16">
        <f t="shared" si="653"/>
        <v>901.78899999993155</v>
      </c>
      <c r="AMN32" s="16">
        <f t="shared" si="653"/>
        <v>906.55600000004051</v>
      </c>
      <c r="AMO32" s="16">
        <f t="shared" si="653"/>
        <v>768.17299999989336</v>
      </c>
      <c r="AMP32" s="16">
        <f t="shared" si="653"/>
        <v>691.01700000005076</v>
      </c>
      <c r="AMQ32" s="16">
        <f t="shared" si="653"/>
        <v>938.04200000001583</v>
      </c>
      <c r="AMR32" s="16">
        <f t="shared" si="653"/>
        <v>1028.2919999998994</v>
      </c>
      <c r="AMS32" s="16">
        <f t="shared" si="653"/>
        <v>1005.1510000002454</v>
      </c>
      <c r="AMT32" s="16">
        <f t="shared" si="653"/>
        <v>1045.2869999998366</v>
      </c>
      <c r="AMU32" s="16">
        <f t="shared" si="653"/>
        <v>919.37100000010105</v>
      </c>
      <c r="AMV32" s="16">
        <f t="shared" si="653"/>
        <v>1076.2379999999539</v>
      </c>
      <c r="AMW32" s="16">
        <f t="shared" si="653"/>
        <v>1092.8800000000047</v>
      </c>
      <c r="AMX32" s="16">
        <f t="shared" si="653"/>
        <v>941.60500000009779</v>
      </c>
      <c r="AMY32" s="16">
        <f t="shared" si="653"/>
        <v>798.64999999990687</v>
      </c>
      <c r="AMZ32" s="127">
        <f>SUM(ALV32:AMY32)</f>
        <v>27164.020000000077</v>
      </c>
      <c r="ANA32" s="16">
        <f t="shared" ref="ANA32:AOC32" si="654">ANA31+ANA28+ANA25+ANA22</f>
        <v>729.91200000006938</v>
      </c>
      <c r="ANB32" s="16">
        <f t="shared" si="654"/>
        <v>708.31199999991804</v>
      </c>
      <c r="ANC32" s="16">
        <f t="shared" si="654"/>
        <v>398.75200000003679</v>
      </c>
      <c r="AND32" s="16">
        <f t="shared" si="654"/>
        <v>627.92199999990407</v>
      </c>
      <c r="ANE32" s="16">
        <f t="shared" si="654"/>
        <v>427.31300000002375</v>
      </c>
      <c r="ANF32" s="16">
        <f t="shared" si="654"/>
        <v>609.82000000000698</v>
      </c>
      <c r="ANG32" s="16">
        <f t="shared" si="654"/>
        <v>475.71800000005169</v>
      </c>
      <c r="ANH32" s="16">
        <f t="shared" si="654"/>
        <v>554.54299999988871</v>
      </c>
      <c r="ANI32" s="16">
        <f t="shared" si="654"/>
        <v>613.97000000008848</v>
      </c>
      <c r="ANJ32" s="16">
        <f t="shared" si="654"/>
        <v>724.70900000003166</v>
      </c>
      <c r="ANK32" s="16">
        <f t="shared" si="654"/>
        <v>679.0789999999688</v>
      </c>
      <c r="ANL32" s="16">
        <f t="shared" si="654"/>
        <v>370.93000000005122</v>
      </c>
      <c r="ANM32" s="16">
        <f t="shared" si="654"/>
        <v>652.17599999986123</v>
      </c>
      <c r="ANN32" s="16">
        <f t="shared" si="654"/>
        <v>607.71200000011595</v>
      </c>
      <c r="ANO32" s="16">
        <f t="shared" si="654"/>
        <v>778.65100000001257</v>
      </c>
      <c r="ANP32" s="16">
        <f t="shared" si="654"/>
        <v>717.18400000000838</v>
      </c>
      <c r="ANQ32" s="16">
        <f t="shared" si="654"/>
        <v>537.418999999878</v>
      </c>
      <c r="ANR32" s="16">
        <f t="shared" si="654"/>
        <v>667.64900000003399</v>
      </c>
      <c r="ANS32" s="16">
        <f t="shared" si="654"/>
        <v>666.3070000000298</v>
      </c>
      <c r="ANT32" s="16">
        <f t="shared" si="654"/>
        <v>793.68999999988591</v>
      </c>
      <c r="ANU32" s="16">
        <f t="shared" si="654"/>
        <v>603.58300000015879</v>
      </c>
      <c r="ANV32" s="16">
        <f t="shared" si="654"/>
        <v>1104.5489999999409</v>
      </c>
      <c r="ANW32" s="16">
        <f t="shared" si="654"/>
        <v>872.37599999998929</v>
      </c>
      <c r="ANX32" s="16">
        <f t="shared" si="654"/>
        <v>654.46799999993527</v>
      </c>
      <c r="ANY32" s="16">
        <f t="shared" si="654"/>
        <v>894.59500000008848</v>
      </c>
      <c r="ANZ32" s="16">
        <f t="shared" si="654"/>
        <v>1194.0719999999856</v>
      </c>
      <c r="AOA32" s="16">
        <f t="shared" si="654"/>
        <v>756.01800000004005</v>
      </c>
      <c r="AOB32" s="16">
        <f t="shared" si="654"/>
        <v>794.99099999997998</v>
      </c>
      <c r="AOC32" s="16">
        <f t="shared" si="654"/>
        <v>1184.1470000000554</v>
      </c>
      <c r="AOD32" s="16">
        <f>AOD25+AOD28+AOD31</f>
        <v>640.47199999995064</v>
      </c>
      <c r="AOE32">
        <f>AOE25+AOE28+AOE31</f>
        <v>640.47199999995064</v>
      </c>
      <c r="AOF32">
        <f>AOF25+AOF28+AOF31</f>
        <v>-459552.60800000001</v>
      </c>
    </row>
    <row r="33" spans="1:1072" x14ac:dyDescent="0.2">
      <c r="A33" s="157"/>
      <c r="B33" s="5"/>
      <c r="C33" s="11" t="s">
        <v>778</v>
      </c>
      <c r="D33" s="48">
        <v>0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49">
        <f>SUM(D33:AF33)</f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>
        <v>4</v>
      </c>
      <c r="BA33">
        <v>63.561999999999998</v>
      </c>
      <c r="BB33">
        <v>9.6739999999999995</v>
      </c>
      <c r="DH33">
        <v>16.600000000000001</v>
      </c>
      <c r="DJ33">
        <v>45</v>
      </c>
      <c r="DY33" s="116">
        <f>SUM(CU33:DX33)</f>
        <v>61.6</v>
      </c>
      <c r="EF33">
        <v>45.462000000000003</v>
      </c>
      <c r="EL33">
        <v>111.33499999999999</v>
      </c>
      <c r="FE33" s="126"/>
      <c r="GK33" s="127">
        <f>SUM(FF33:GJ33)</f>
        <v>0</v>
      </c>
      <c r="GN33">
        <v>4</v>
      </c>
      <c r="GS33">
        <v>5</v>
      </c>
      <c r="HO33" s="127">
        <f>SUM(GJ33:HN33)</f>
        <v>9</v>
      </c>
      <c r="IQ33">
        <v>29.881</v>
      </c>
      <c r="IU33" s="127">
        <f>SUM(HP33:IT33)</f>
        <v>29.881</v>
      </c>
      <c r="JC33">
        <v>109.80200000000001</v>
      </c>
      <c r="JZ33" s="127">
        <f>SUM(IV33:JY33)</f>
        <v>109.80200000000001</v>
      </c>
      <c r="LF33" s="127">
        <f>SUM(KB33:LE33)</f>
        <v>0</v>
      </c>
      <c r="MA33">
        <v>14</v>
      </c>
      <c r="MK33" s="127">
        <f>SUM(LG33:MJ33)</f>
        <v>14</v>
      </c>
      <c r="MM33">
        <v>52.345999999999997</v>
      </c>
      <c r="MO33">
        <v>36.905999999999999</v>
      </c>
      <c r="MQ33">
        <v>8.2469999999999999</v>
      </c>
      <c r="MT33">
        <v>12.292</v>
      </c>
      <c r="MU33">
        <v>100.93300000000001</v>
      </c>
      <c r="MV33">
        <v>43.88</v>
      </c>
      <c r="NQ33" s="127">
        <f>SUM(MM33:NP33)</f>
        <v>254.60399999999998</v>
      </c>
      <c r="OW33" s="127">
        <f>SUM(NS33:OV33)</f>
        <v>0</v>
      </c>
      <c r="PF33">
        <v>26.887</v>
      </c>
      <c r="PT33">
        <v>97.33</v>
      </c>
      <c r="PU33">
        <v>68.430000000000007</v>
      </c>
      <c r="QB33" s="127">
        <f>SUM(OX33:QA33)</f>
        <v>192.64699999999999</v>
      </c>
      <c r="RF33">
        <v>7</v>
      </c>
      <c r="RH33" s="127">
        <f>SUM(QD33:RG33)</f>
        <v>7</v>
      </c>
      <c r="SM33" s="127">
        <f>SUM(RI33:SL33)</f>
        <v>0</v>
      </c>
      <c r="ST33">
        <v>76.716999999999999</v>
      </c>
      <c r="TS33" s="127">
        <f>SUM(SO33:TR33)</f>
        <v>76.716999999999999</v>
      </c>
      <c r="UU33">
        <v>32.088999999999999</v>
      </c>
      <c r="UW33">
        <v>88.957999999999998</v>
      </c>
      <c r="UX33">
        <v>6.9820000000000002</v>
      </c>
      <c r="UY33" s="127">
        <f>SUM(TU33:UX33)</f>
        <v>128.029</v>
      </c>
      <c r="UZ33">
        <v>0</v>
      </c>
      <c r="VA33">
        <v>0</v>
      </c>
      <c r="VB33">
        <v>6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 s="127">
        <f>SUM(UX33:WA33)</f>
        <v>141.011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 s="127">
        <f>SUM(WD33:XG33)</f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 s="127">
        <f>SUM(XI33:YL33)</f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 s="127">
        <f>SUM(YO33:ZR33)</f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 s="127">
        <f>SUM(ZT33:AAW33)</f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67.905000000000001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 s="127">
        <f>SUM(AAY33:ACC33)</f>
        <v>67.905000000000001</v>
      </c>
      <c r="ACE33">
        <v>0</v>
      </c>
      <c r="ACF33">
        <v>15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40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 s="127">
        <f>SUM(ACE33:ADI33)</f>
        <v>55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 s="127">
        <f>SUM(ADK33:AEN33)</f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 s="127">
        <f>SUM(AEQ33:AFT33)</f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 s="127">
        <f>SUM(AFV33:AGY33)</f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 s="127">
        <f>SUM(AHB33:AIE33)</f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40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 s="127">
        <f>SUM(AIH33:AJK33)</f>
        <v>40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14.35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 s="127">
        <f>SUM(AJM33:AKN33)</f>
        <v>14.35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8.9380000000000006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8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 s="127">
        <f>SUM(AKP33:ALT33)</f>
        <v>16.938000000000002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8</v>
      </c>
      <c r="AMX33">
        <v>0</v>
      </c>
      <c r="AMY33">
        <v>0</v>
      </c>
      <c r="AMZ33" s="127">
        <f>SUM(ALV33:AMY33)</f>
        <v>8</v>
      </c>
      <c r="ANA33">
        <v>0</v>
      </c>
      <c r="ANB33">
        <v>0</v>
      </c>
      <c r="ANC33">
        <v>0</v>
      </c>
      <c r="AND33">
        <v>4.3220000000000001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5</v>
      </c>
    </row>
    <row r="34" spans="1:1072" ht="16" customHeight="1" thickBot="1" x14ac:dyDescent="0.25">
      <c r="A34" s="158"/>
      <c r="B34" s="7"/>
      <c r="C34" s="8" t="s">
        <v>779</v>
      </c>
      <c r="D34" s="9">
        <f t="shared" ref="D34:AH34" si="655">D32-D33</f>
        <v>1224.2479999999632</v>
      </c>
      <c r="E34" s="9">
        <f t="shared" si="655"/>
        <v>1003.600000000064</v>
      </c>
      <c r="F34" s="9">
        <f t="shared" si="655"/>
        <v>696.24499999996624</v>
      </c>
      <c r="G34" s="9">
        <f t="shared" si="655"/>
        <v>1041.6270000000077</v>
      </c>
      <c r="H34" s="9">
        <f t="shared" si="655"/>
        <v>1370.5029999999679</v>
      </c>
      <c r="I34" s="9">
        <f t="shared" si="655"/>
        <v>822.19800000003306</v>
      </c>
      <c r="J34" s="9">
        <f t="shared" si="655"/>
        <v>1071.6059999999998</v>
      </c>
      <c r="K34" s="9">
        <f t="shared" si="655"/>
        <v>961.01699999999255</v>
      </c>
      <c r="L34" s="9">
        <f t="shared" si="655"/>
        <v>864.07300000003306</v>
      </c>
      <c r="M34" s="9">
        <f t="shared" si="655"/>
        <v>914.77199999999721</v>
      </c>
      <c r="N34" s="9">
        <f t="shared" si="655"/>
        <v>991.04899999996996</v>
      </c>
      <c r="O34" s="9">
        <f t="shared" si="655"/>
        <v>686.87400000003981</v>
      </c>
      <c r="P34" s="9">
        <f t="shared" si="655"/>
        <v>723.42199999996228</v>
      </c>
      <c r="Q34" s="9">
        <f t="shared" si="655"/>
        <v>846.46099999998114</v>
      </c>
      <c r="R34" s="9">
        <f t="shared" si="655"/>
        <v>841.29200000001583</v>
      </c>
      <c r="S34" s="9">
        <f t="shared" si="655"/>
        <v>694.90700000006473</v>
      </c>
      <c r="T34" s="9">
        <f t="shared" si="655"/>
        <v>1289.2559999999357</v>
      </c>
      <c r="U34" s="9">
        <f t="shared" si="655"/>
        <v>748.6359999999986</v>
      </c>
      <c r="V34" s="9">
        <f t="shared" si="655"/>
        <v>676.33300000004238</v>
      </c>
      <c r="W34" s="9">
        <f t="shared" si="655"/>
        <v>854.58099999991828</v>
      </c>
      <c r="X34" s="9">
        <f t="shared" si="655"/>
        <v>943.2050000000454</v>
      </c>
      <c r="Y34" s="9">
        <f t="shared" si="655"/>
        <v>909.18100000001141</v>
      </c>
      <c r="Z34" s="9">
        <f t="shared" si="655"/>
        <v>935.38300000003073</v>
      </c>
      <c r="AA34" s="9">
        <f t="shared" si="655"/>
        <v>840.83099999991828</v>
      </c>
      <c r="AB34" s="9">
        <f t="shared" si="655"/>
        <v>1143.600000000064</v>
      </c>
      <c r="AC34" s="9">
        <f t="shared" si="655"/>
        <v>1035.0349999999744</v>
      </c>
      <c r="AD34" s="9">
        <f t="shared" si="655"/>
        <v>885.75500000003376</v>
      </c>
      <c r="AE34" s="9">
        <f t="shared" si="655"/>
        <v>844.88099999996484</v>
      </c>
      <c r="AF34" s="9">
        <f t="shared" si="655"/>
        <v>1339.6359999999695</v>
      </c>
      <c r="AG34" s="9">
        <f t="shared" si="655"/>
        <v>1280.685000000085</v>
      </c>
      <c r="AH34" s="9">
        <f t="shared" si="655"/>
        <v>1182.3499999999767</v>
      </c>
      <c r="AI34" s="17">
        <f>SUM(D34:AH34)</f>
        <v>29663.242000000027</v>
      </c>
      <c r="AJ34" s="9">
        <f t="shared" ref="AJ34:BM34" si="656">AJ32-AJ33</f>
        <v>1085.783999999956</v>
      </c>
      <c r="AK34" s="9">
        <f t="shared" si="656"/>
        <v>1392.4130000000005</v>
      </c>
      <c r="AL34" s="9">
        <f t="shared" si="656"/>
        <v>1251.4040000000386</v>
      </c>
      <c r="AM34" s="9">
        <f t="shared" si="656"/>
        <v>1491.2099999999919</v>
      </c>
      <c r="AN34" s="9">
        <f t="shared" si="656"/>
        <v>1556.0809999999765</v>
      </c>
      <c r="AO34" s="9">
        <f t="shared" si="656"/>
        <v>1866.7150000000256</v>
      </c>
      <c r="AP34" s="9">
        <f t="shared" si="656"/>
        <v>1645.2830000000249</v>
      </c>
      <c r="AQ34" s="9">
        <f t="shared" si="656"/>
        <v>1970.292999999976</v>
      </c>
      <c r="AR34" s="9">
        <f t="shared" si="656"/>
        <v>1077.8560000000289</v>
      </c>
      <c r="AS34" s="9">
        <f t="shared" si="656"/>
        <v>1243.1789999999455</v>
      </c>
      <c r="AT34" s="9">
        <f t="shared" si="656"/>
        <v>1295.7840000000142</v>
      </c>
      <c r="AU34" s="9">
        <f t="shared" si="656"/>
        <v>1152.8680000000168</v>
      </c>
      <c r="AV34" s="9">
        <f t="shared" si="656"/>
        <v>934.59200000000419</v>
      </c>
      <c r="AW34" s="9">
        <f t="shared" si="656"/>
        <v>919.04299999997602</v>
      </c>
      <c r="AX34" s="9">
        <f t="shared" si="656"/>
        <v>1061.2110000000102</v>
      </c>
      <c r="AY34" s="9">
        <f t="shared" si="656"/>
        <v>986.25600000002305</v>
      </c>
      <c r="AZ34" s="9">
        <f t="shared" si="656"/>
        <v>946.89399999994203</v>
      </c>
      <c r="BA34" s="9">
        <f t="shared" si="656"/>
        <v>1125.1759999999831</v>
      </c>
      <c r="BB34" s="9">
        <f t="shared" si="656"/>
        <v>1038.9230000000089</v>
      </c>
      <c r="BC34" s="9">
        <f t="shared" si="656"/>
        <v>796.60800000003655</v>
      </c>
      <c r="BD34" s="9">
        <f t="shared" si="656"/>
        <v>993.09000000002561</v>
      </c>
      <c r="BE34" s="9">
        <f t="shared" si="656"/>
        <v>1195.7960000000021</v>
      </c>
      <c r="BF34" s="9">
        <f t="shared" si="656"/>
        <v>1305.3679999999877</v>
      </c>
      <c r="BG34" s="9">
        <f t="shared" si="656"/>
        <v>970.27099999997881</v>
      </c>
      <c r="BH34" s="9">
        <f t="shared" si="656"/>
        <v>989.74300000001676</v>
      </c>
      <c r="BI34" s="9">
        <f t="shared" si="656"/>
        <v>1081.3849999999802</v>
      </c>
      <c r="BJ34" s="9">
        <f t="shared" si="656"/>
        <v>1102.4220000000205</v>
      </c>
      <c r="BK34" s="9">
        <f t="shared" si="656"/>
        <v>1145.6890000000421</v>
      </c>
      <c r="BL34" s="9">
        <f t="shared" si="656"/>
        <v>1191.3889999999374</v>
      </c>
      <c r="BM34" s="9">
        <f t="shared" si="656"/>
        <v>875.79400000002352</v>
      </c>
      <c r="BN34" s="89">
        <f>SUM(AJ34:BM34)</f>
        <v>35688.519999999997</v>
      </c>
      <c r="BO34" s="9">
        <f t="shared" ref="BO34:CS34" si="657">BO32-BO33</f>
        <v>808.80199999999604</v>
      </c>
      <c r="BP34" s="9">
        <f t="shared" si="657"/>
        <v>902.28199999997742</v>
      </c>
      <c r="BQ34" s="9">
        <f t="shared" si="657"/>
        <v>1172.8300000000454</v>
      </c>
      <c r="BR34" s="9">
        <f t="shared" si="657"/>
        <v>983.32500000001164</v>
      </c>
      <c r="BS34" s="9">
        <f t="shared" si="657"/>
        <v>1563.6069999999308</v>
      </c>
      <c r="BT34" s="9">
        <f t="shared" si="657"/>
        <v>1263.3350000000501</v>
      </c>
      <c r="BU34" s="9">
        <f t="shared" si="657"/>
        <v>1054.9459999999381</v>
      </c>
      <c r="BV34" s="9">
        <f t="shared" si="657"/>
        <v>777.865000000078</v>
      </c>
      <c r="BW34" s="9">
        <f t="shared" si="657"/>
        <v>1320.2319999999017</v>
      </c>
      <c r="BX34" s="9">
        <f t="shared" si="657"/>
        <v>1031.2770000000892</v>
      </c>
      <c r="BY34" s="9">
        <f t="shared" si="657"/>
        <v>1000.6270000000077</v>
      </c>
      <c r="BZ34" s="9">
        <f t="shared" si="657"/>
        <v>874.07699999999022</v>
      </c>
      <c r="CA34" s="9">
        <f t="shared" si="657"/>
        <v>1138.9039999999804</v>
      </c>
      <c r="CB34" s="9">
        <f t="shared" si="657"/>
        <v>1027.5580000000191</v>
      </c>
      <c r="CC34" s="9">
        <f t="shared" si="657"/>
        <v>770.49499999999534</v>
      </c>
      <c r="CD34" s="9">
        <f t="shared" si="657"/>
        <v>991.76699999999255</v>
      </c>
      <c r="CE34" s="9">
        <f t="shared" si="657"/>
        <v>1100.073000000004</v>
      </c>
      <c r="CF34" s="9">
        <f t="shared" si="657"/>
        <v>963.396999999939</v>
      </c>
      <c r="CG34" s="9">
        <f t="shared" si="657"/>
        <v>716.38400000002002</v>
      </c>
      <c r="CH34" s="9">
        <f t="shared" si="657"/>
        <v>994.80700000005891</v>
      </c>
      <c r="CI34" s="9">
        <f t="shared" si="657"/>
        <v>830.86100000000442</v>
      </c>
      <c r="CJ34" s="9">
        <f t="shared" si="657"/>
        <v>761.98299999997835</v>
      </c>
      <c r="CK34" s="9">
        <f t="shared" si="657"/>
        <v>866.88499999995111</v>
      </c>
      <c r="CL34" s="9">
        <f t="shared" si="657"/>
        <v>1076.6860000000452</v>
      </c>
      <c r="CM34" s="9">
        <f t="shared" si="657"/>
        <v>720.49699999994482</v>
      </c>
      <c r="CN34" s="9">
        <f t="shared" si="657"/>
        <v>853.53900000004796</v>
      </c>
      <c r="CO34" s="9">
        <f t="shared" si="657"/>
        <v>825.658999999956</v>
      </c>
      <c r="CP34" s="9">
        <f t="shared" si="657"/>
        <v>1143.3059999999823</v>
      </c>
      <c r="CQ34" s="9">
        <f t="shared" si="657"/>
        <v>781.57300000006217</v>
      </c>
      <c r="CR34" s="9">
        <f t="shared" si="657"/>
        <v>980.81499999997322</v>
      </c>
      <c r="CS34" s="9">
        <f t="shared" si="657"/>
        <v>919.21300000004703</v>
      </c>
      <c r="CT34" s="89">
        <f>SUM(BO34:CS34)</f>
        <v>30217.607000000018</v>
      </c>
      <c r="CU34" s="9">
        <f t="shared" ref="CU34:DX34" si="658">CU32-CU33</f>
        <v>961.03499999991618</v>
      </c>
      <c r="CV34" s="9">
        <f t="shared" si="658"/>
        <v>947.08400000006077</v>
      </c>
      <c r="CW34" s="9">
        <f t="shared" si="658"/>
        <v>927.03099999998813</v>
      </c>
      <c r="CX34" s="9">
        <f t="shared" si="658"/>
        <v>1170.7069999999949</v>
      </c>
      <c r="CY34" s="9">
        <f t="shared" si="658"/>
        <v>952.17300000000978</v>
      </c>
      <c r="CZ34" s="9">
        <f t="shared" si="658"/>
        <v>1010.7329999999783</v>
      </c>
      <c r="DA34" s="9">
        <f t="shared" si="658"/>
        <v>1119.1440000000584</v>
      </c>
      <c r="DB34" s="9">
        <f t="shared" si="658"/>
        <v>1018.20100000003</v>
      </c>
      <c r="DC34" s="9">
        <f t="shared" si="658"/>
        <v>1119.1849999999395</v>
      </c>
      <c r="DD34" s="9">
        <f t="shared" si="658"/>
        <v>947.99799999999232</v>
      </c>
      <c r="DE34" s="9">
        <f t="shared" si="658"/>
        <v>1197.5220000000263</v>
      </c>
      <c r="DF34" s="9">
        <f t="shared" si="658"/>
        <v>551.4309999999241</v>
      </c>
      <c r="DG34" s="9">
        <f t="shared" si="658"/>
        <v>502.41200000004028</v>
      </c>
      <c r="DH34" s="9">
        <f t="shared" si="658"/>
        <v>976.34899999999323</v>
      </c>
      <c r="DI34" s="9">
        <f t="shared" si="658"/>
        <v>635.42599999997765</v>
      </c>
      <c r="DJ34" s="9">
        <f t="shared" si="658"/>
        <v>777.42600000006496</v>
      </c>
      <c r="DK34" s="9">
        <f t="shared" si="658"/>
        <v>1784.3549999999814</v>
      </c>
      <c r="DL34" s="9">
        <f t="shared" si="658"/>
        <v>945.60500000001048</v>
      </c>
      <c r="DM34" s="9">
        <f t="shared" si="658"/>
        <v>637.06200000000536</v>
      </c>
      <c r="DN34" s="9">
        <f t="shared" si="658"/>
        <v>1377.9899999999616</v>
      </c>
      <c r="DO34" s="9">
        <f t="shared" si="658"/>
        <v>863.57099999999627</v>
      </c>
      <c r="DP34" s="9">
        <f t="shared" si="658"/>
        <v>1203.7849999999744</v>
      </c>
      <c r="DQ34" s="9">
        <f t="shared" si="658"/>
        <v>905.2500000000291</v>
      </c>
      <c r="DR34" s="9">
        <f t="shared" si="658"/>
        <v>985.12200000000303</v>
      </c>
      <c r="DS34" s="9">
        <f t="shared" si="658"/>
        <v>819.0350000000617</v>
      </c>
      <c r="DT34" s="9">
        <f t="shared" si="658"/>
        <v>903.03299999996671</v>
      </c>
      <c r="DU34" s="9">
        <f t="shared" si="658"/>
        <v>1196.2679999999527</v>
      </c>
      <c r="DV34" s="9">
        <f t="shared" si="658"/>
        <v>1295.0469999999914</v>
      </c>
      <c r="DW34" s="9">
        <f t="shared" si="658"/>
        <v>1084.390000000014</v>
      </c>
      <c r="DX34" s="9">
        <f t="shared" si="658"/>
        <v>981.57600000000093</v>
      </c>
      <c r="DY34" s="116">
        <f>SUM(CU34:DX34)</f>
        <v>29795.945999999945</v>
      </c>
      <c r="DZ34" s="9">
        <f t="shared" ref="DZ34:FD34" si="659">DZ32-DZ33</f>
        <v>938.14300000001094</v>
      </c>
      <c r="EA34" s="9">
        <f t="shared" si="659"/>
        <v>1206.2889999999607</v>
      </c>
      <c r="EB34" s="9">
        <f t="shared" si="659"/>
        <v>782.59700000003795</v>
      </c>
      <c r="EC34" s="9">
        <f t="shared" si="659"/>
        <v>960.07399999999325</v>
      </c>
      <c r="ED34" s="9">
        <f t="shared" si="659"/>
        <v>1080.9539999999688</v>
      </c>
      <c r="EE34" s="9">
        <f t="shared" si="659"/>
        <v>956.06400000004214</v>
      </c>
      <c r="EF34" s="9">
        <f t="shared" si="659"/>
        <v>1100.1209999999551</v>
      </c>
      <c r="EG34" s="9">
        <f t="shared" si="659"/>
        <v>1054.5640000000712</v>
      </c>
      <c r="EH34" s="9">
        <f t="shared" si="659"/>
        <v>1389.0569999999716</v>
      </c>
      <c r="EI34" s="9">
        <f t="shared" si="659"/>
        <v>1092.9660000000149</v>
      </c>
      <c r="EJ34" s="9">
        <f t="shared" si="659"/>
        <v>1238.6600000000035</v>
      </c>
      <c r="EK34" s="9">
        <f t="shared" si="659"/>
        <v>1506.8009999999776</v>
      </c>
      <c r="EL34" s="9">
        <f t="shared" si="659"/>
        <v>1096.2230000000482</v>
      </c>
      <c r="EM34" s="9">
        <f t="shared" si="659"/>
        <v>1468.323999999935</v>
      </c>
      <c r="EN34" s="9">
        <f t="shared" si="659"/>
        <v>1404.6070000000473</v>
      </c>
      <c r="EO34" s="9">
        <f t="shared" si="659"/>
        <v>1070.4979999999632</v>
      </c>
      <c r="EP34" s="9">
        <f t="shared" si="659"/>
        <v>1067.170999999973</v>
      </c>
      <c r="EQ34" s="9">
        <f t="shared" si="659"/>
        <v>1296.6440000000293</v>
      </c>
      <c r="ER34" s="9">
        <f t="shared" si="659"/>
        <v>1015.9070000000065</v>
      </c>
      <c r="ES34" s="9">
        <f t="shared" si="659"/>
        <v>1256.2420000000275</v>
      </c>
      <c r="ET34" s="9">
        <f t="shared" si="659"/>
        <v>1787.7699999999895</v>
      </c>
      <c r="EU34" s="9">
        <f t="shared" si="659"/>
        <v>1514.0010000000184</v>
      </c>
      <c r="EV34" s="9">
        <f t="shared" si="659"/>
        <v>1917.5899999999674</v>
      </c>
      <c r="EW34" s="9">
        <f t="shared" si="659"/>
        <v>1121.9149999999499</v>
      </c>
      <c r="EX34" s="9">
        <f t="shared" si="659"/>
        <v>564.46000000005006</v>
      </c>
      <c r="EY34" s="9">
        <f t="shared" si="659"/>
        <v>887.98200000004726</v>
      </c>
      <c r="EZ34" s="9">
        <f t="shared" si="659"/>
        <v>839.50999999995111</v>
      </c>
      <c r="FA34" s="9">
        <f t="shared" si="659"/>
        <v>973.32700000001932</v>
      </c>
      <c r="FB34" s="9">
        <f t="shared" si="659"/>
        <v>950.84799999999814</v>
      </c>
      <c r="FC34" s="9">
        <f t="shared" si="659"/>
        <v>1198.4760000000533</v>
      </c>
      <c r="FD34" s="9">
        <f t="shared" si="659"/>
        <v>937.53499999991618</v>
      </c>
      <c r="FE34" s="127">
        <f>SUM(DZ34:FD34)</f>
        <v>35675.32</v>
      </c>
      <c r="FF34" s="9">
        <f t="shared" ref="FF34:GJ34" si="660">FF32-FF33</f>
        <v>885.49400000006426</v>
      </c>
      <c r="FG34" s="9">
        <f t="shared" si="660"/>
        <v>843.62400000001071</v>
      </c>
      <c r="FH34" s="9">
        <f t="shared" si="660"/>
        <v>1256.5809999999474</v>
      </c>
      <c r="FI34" s="9">
        <f t="shared" si="660"/>
        <v>1064.9849999999569</v>
      </c>
      <c r="FJ34" s="9">
        <f t="shared" si="660"/>
        <v>1034.3750000000582</v>
      </c>
      <c r="FK34" s="9">
        <f t="shared" si="660"/>
        <v>1142.5749999999825</v>
      </c>
      <c r="FL34" s="9">
        <f t="shared" si="660"/>
        <v>977.15900000004331</v>
      </c>
      <c r="FM34" s="9">
        <f t="shared" si="660"/>
        <v>845.03499999991618</v>
      </c>
      <c r="FN34" s="9">
        <f t="shared" si="660"/>
        <v>1240.0990000000456</v>
      </c>
      <c r="FO34" s="9">
        <f t="shared" si="660"/>
        <v>780.33299999998417</v>
      </c>
      <c r="FP34" s="9">
        <f t="shared" si="660"/>
        <v>1012.7090000000608</v>
      </c>
      <c r="FQ34" s="9">
        <f t="shared" si="660"/>
        <v>1605.7029999999213</v>
      </c>
      <c r="FR34" s="9">
        <f t="shared" si="660"/>
        <v>826.72100000007777</v>
      </c>
      <c r="FS34" s="9">
        <f t="shared" si="660"/>
        <v>1207.9439999999595</v>
      </c>
      <c r="FT34" s="9">
        <f t="shared" si="660"/>
        <v>1372.3330000000424</v>
      </c>
      <c r="FU34" s="9">
        <f t="shared" si="660"/>
        <v>897.53599999990547</v>
      </c>
      <c r="FV34" s="9">
        <f t="shared" si="660"/>
        <v>1288.7620000001043</v>
      </c>
      <c r="FW34" s="9">
        <f t="shared" si="660"/>
        <v>1026.7469999999157</v>
      </c>
      <c r="FX34" s="9">
        <f t="shared" si="660"/>
        <v>1084.713000000047</v>
      </c>
      <c r="FY34" s="9">
        <f t="shared" si="660"/>
        <v>1200.768999999942</v>
      </c>
      <c r="FZ34" s="9">
        <f t="shared" si="660"/>
        <v>989.47900000005029</v>
      </c>
      <c r="GA34" s="9">
        <f t="shared" si="660"/>
        <v>1243.5819999999658</v>
      </c>
      <c r="GB34" s="9">
        <f t="shared" si="660"/>
        <v>1498.50900000002</v>
      </c>
      <c r="GC34" s="9">
        <f t="shared" si="660"/>
        <v>899.66599999996834</v>
      </c>
      <c r="GD34" s="9">
        <f t="shared" si="660"/>
        <v>885.84500000008848</v>
      </c>
      <c r="GE34" s="9">
        <f t="shared" si="660"/>
        <v>1262.5509999999776</v>
      </c>
      <c r="GF34" s="9">
        <f t="shared" si="660"/>
        <v>1164.0869999999995</v>
      </c>
      <c r="GG34" s="9">
        <f t="shared" si="660"/>
        <v>1161.5699999999779</v>
      </c>
      <c r="GH34" s="9">
        <f t="shared" si="660"/>
        <v>1459.6760000000068</v>
      </c>
      <c r="GI34" s="9">
        <f t="shared" si="660"/>
        <v>1336.5809999999765</v>
      </c>
      <c r="GJ34" s="9">
        <f t="shared" si="660"/>
        <v>1171.6520000000019</v>
      </c>
      <c r="GK34" s="126"/>
      <c r="GL34" s="9">
        <f t="shared" ref="GL34:HN34" si="661">GL32-GL33</f>
        <v>1092.7020000000193</v>
      </c>
      <c r="GM34" s="9">
        <f t="shared" si="661"/>
        <v>1347.7940000000235</v>
      </c>
      <c r="GN34" s="9">
        <f t="shared" si="661"/>
        <v>1028.6359999999695</v>
      </c>
      <c r="GO34" s="9">
        <f t="shared" si="661"/>
        <v>787.85399999999208</v>
      </c>
      <c r="GP34" s="9">
        <f t="shared" si="661"/>
        <v>1083.0900000000547</v>
      </c>
      <c r="GQ34" s="9">
        <f t="shared" si="661"/>
        <v>888.08499999996275</v>
      </c>
      <c r="GR34" s="9">
        <f t="shared" si="661"/>
        <v>1204.792999999976</v>
      </c>
      <c r="GS34" s="9">
        <f t="shared" si="661"/>
        <v>1227.5360000000219</v>
      </c>
      <c r="GT34" s="9">
        <f t="shared" si="661"/>
        <v>847.72399999998743</v>
      </c>
      <c r="GU34" s="9">
        <f t="shared" si="661"/>
        <v>1344.6760000000068</v>
      </c>
      <c r="GV34" s="9">
        <f t="shared" si="661"/>
        <v>940.70199999999022</v>
      </c>
      <c r="GW34" s="9">
        <f t="shared" si="661"/>
        <v>986.908999999956</v>
      </c>
      <c r="GX34" s="9">
        <f t="shared" si="661"/>
        <v>825.37300000002142</v>
      </c>
      <c r="GY34" s="9">
        <f t="shared" si="661"/>
        <v>1003.2949999999837</v>
      </c>
      <c r="GZ34" s="9">
        <f t="shared" si="661"/>
        <v>875.82100000005448</v>
      </c>
      <c r="HA34" s="9">
        <f t="shared" si="661"/>
        <v>1016.2759999999544</v>
      </c>
      <c r="HB34" s="9">
        <f t="shared" si="661"/>
        <v>806.7390000000596</v>
      </c>
      <c r="HC34" s="9">
        <f t="shared" si="661"/>
        <v>768.53800000000047</v>
      </c>
      <c r="HD34" s="9">
        <f t="shared" si="661"/>
        <v>1378.1520000000019</v>
      </c>
      <c r="HE34" s="9">
        <f t="shared" si="661"/>
        <v>2908.2949999999837</v>
      </c>
      <c r="HF34" s="9">
        <f t="shared" si="661"/>
        <v>904.79900000002817</v>
      </c>
      <c r="HG34" s="9">
        <f t="shared" si="661"/>
        <v>938.0329999999376</v>
      </c>
      <c r="HH34" s="9">
        <f t="shared" si="661"/>
        <v>1050.4890000000305</v>
      </c>
      <c r="HI34" s="9">
        <f t="shared" si="661"/>
        <v>1548.2049999999872</v>
      </c>
      <c r="HJ34" s="9">
        <f t="shared" si="661"/>
        <v>782.18700000003446</v>
      </c>
      <c r="HK34" s="9">
        <f t="shared" si="661"/>
        <v>1013.7089999999735</v>
      </c>
      <c r="HL34" s="9">
        <f t="shared" si="661"/>
        <v>915.42999999996391</v>
      </c>
      <c r="HM34" s="9">
        <f t="shared" si="661"/>
        <v>823.42900000003283</v>
      </c>
      <c r="HN34" s="9">
        <f t="shared" si="661"/>
        <v>973.55499999993481</v>
      </c>
      <c r="HO34" s="126"/>
      <c r="HP34" s="9">
        <f t="shared" ref="HP34:IT34" si="662">HP32-HP33</f>
        <v>1028.2040000000852</v>
      </c>
      <c r="HQ34" s="9">
        <f t="shared" si="662"/>
        <v>1365.225999999966</v>
      </c>
      <c r="HR34" s="9">
        <f t="shared" si="662"/>
        <v>887.93599999998696</v>
      </c>
      <c r="HS34" s="9">
        <f t="shared" si="662"/>
        <v>1618.5870000000577</v>
      </c>
      <c r="HT34" s="9">
        <f t="shared" si="662"/>
        <v>1095.4979999999341</v>
      </c>
      <c r="HU34" s="9">
        <f t="shared" si="662"/>
        <v>1319.3390000000654</v>
      </c>
      <c r="HV34" s="9">
        <f t="shared" si="662"/>
        <v>1429.5169999999634</v>
      </c>
      <c r="HW34" s="9">
        <f t="shared" si="662"/>
        <v>1006.804999999993</v>
      </c>
      <c r="HX34" s="9">
        <f t="shared" si="662"/>
        <v>1401.4369999999471</v>
      </c>
      <c r="HY34" s="9">
        <f t="shared" si="662"/>
        <v>1072.063000000082</v>
      </c>
      <c r="HZ34" s="9">
        <f t="shared" si="662"/>
        <v>1164.23199999996</v>
      </c>
      <c r="IA34" s="9">
        <f t="shared" si="662"/>
        <v>1008.6279999999679</v>
      </c>
      <c r="IB34" s="9">
        <f t="shared" si="662"/>
        <v>887.65300000004936</v>
      </c>
      <c r="IC34" s="9">
        <f t="shared" si="662"/>
        <v>1146.8030000000144</v>
      </c>
      <c r="ID34" s="9">
        <f t="shared" si="662"/>
        <v>997.46399999994901</v>
      </c>
      <c r="IE34" s="9">
        <f t="shared" si="662"/>
        <v>808.59900000004563</v>
      </c>
      <c r="IF34" s="9">
        <f t="shared" si="662"/>
        <v>911.02500000005239</v>
      </c>
      <c r="IG34" s="9">
        <f t="shared" si="662"/>
        <v>1131.216999999946</v>
      </c>
      <c r="IH34" s="9">
        <f t="shared" si="662"/>
        <v>1148.8800000000047</v>
      </c>
      <c r="II34" s="9">
        <f t="shared" si="662"/>
        <v>861.50199999997858</v>
      </c>
      <c r="IJ34" s="9">
        <f t="shared" si="662"/>
        <v>1018.5340000000724</v>
      </c>
      <c r="IK34" s="9">
        <f t="shared" si="662"/>
        <v>1192.3550000000105</v>
      </c>
      <c r="IL34" s="9">
        <f t="shared" si="662"/>
        <v>1210.1329999999434</v>
      </c>
      <c r="IM34" s="9">
        <f t="shared" si="662"/>
        <v>715.37299999996321</v>
      </c>
      <c r="IN34" s="9">
        <f t="shared" si="662"/>
        <v>1336.5290000000095</v>
      </c>
      <c r="IO34" s="9">
        <f t="shared" si="662"/>
        <v>1046.0219999999972</v>
      </c>
      <c r="IP34" s="9">
        <f t="shared" si="662"/>
        <v>1046.5960000000487</v>
      </c>
      <c r="IQ34" s="9">
        <f t="shared" si="662"/>
        <v>1235.4239999999056</v>
      </c>
      <c r="IR34" s="9">
        <f t="shared" si="662"/>
        <v>1558.8830000000598</v>
      </c>
      <c r="IS34" s="9">
        <f t="shared" si="662"/>
        <v>782.60099999999511</v>
      </c>
      <c r="IT34" s="9">
        <f t="shared" si="662"/>
        <v>731.11000000004424</v>
      </c>
      <c r="IU34" s="126"/>
      <c r="IV34" s="9">
        <f t="shared" ref="IV34:JY34" si="663">IV32-IV33</f>
        <v>859.76599999991595</v>
      </c>
      <c r="IW34" s="9">
        <f t="shared" si="663"/>
        <v>1270.3960000000661</v>
      </c>
      <c r="IX34" s="9">
        <f t="shared" si="663"/>
        <v>844.86499999999069</v>
      </c>
      <c r="IY34" s="9">
        <f t="shared" si="663"/>
        <v>1062.5299999999697</v>
      </c>
      <c r="IZ34" s="9">
        <f t="shared" si="663"/>
        <v>1207.06700000001</v>
      </c>
      <c r="JA34" s="9">
        <f t="shared" si="663"/>
        <v>805.69200000001001</v>
      </c>
      <c r="JB34" s="9">
        <f t="shared" si="663"/>
        <v>759.83400000003166</v>
      </c>
      <c r="JC34" s="9">
        <f t="shared" si="663"/>
        <v>1364.274000000001</v>
      </c>
      <c r="JD34" s="9">
        <f t="shared" si="663"/>
        <v>941.44499999991967</v>
      </c>
      <c r="JE34" s="9">
        <f t="shared" si="663"/>
        <v>886.35900000002584</v>
      </c>
      <c r="JF34" s="9">
        <f t="shared" si="663"/>
        <v>1082.2830000000249</v>
      </c>
      <c r="JG34" s="9">
        <f t="shared" si="663"/>
        <v>1094.3580000000366</v>
      </c>
      <c r="JH34" s="9">
        <f t="shared" si="663"/>
        <v>1325.4219999999914</v>
      </c>
      <c r="JI34" s="9">
        <f t="shared" si="663"/>
        <v>826.43700000003446</v>
      </c>
      <c r="JJ34" s="9">
        <f t="shared" si="663"/>
        <v>1010.6979999999749</v>
      </c>
      <c r="JK34" s="9">
        <f t="shared" si="663"/>
        <v>976.51999999987311</v>
      </c>
      <c r="JL34" s="9">
        <f t="shared" si="663"/>
        <v>1148.7240000001621</v>
      </c>
      <c r="JM34" s="9">
        <f t="shared" si="663"/>
        <v>994.38999999992666</v>
      </c>
      <c r="JN34" s="9">
        <f t="shared" si="663"/>
        <v>1058.3849999999802</v>
      </c>
      <c r="JO34" s="9">
        <f t="shared" si="663"/>
        <v>1003.8940000000584</v>
      </c>
      <c r="JP34" s="9">
        <f t="shared" si="663"/>
        <v>614.82199999995646</v>
      </c>
      <c r="JQ34" s="9">
        <f t="shared" si="663"/>
        <v>1466.0410000000556</v>
      </c>
      <c r="JR34" s="9">
        <f t="shared" si="663"/>
        <v>905.34199999997509</v>
      </c>
      <c r="JS34" s="9">
        <f t="shared" si="663"/>
        <v>873.58699999999953</v>
      </c>
      <c r="JT34" s="9">
        <f t="shared" si="663"/>
        <v>879.61999999987893</v>
      </c>
      <c r="JU34" s="9">
        <f t="shared" si="663"/>
        <v>1003.9400000000314</v>
      </c>
      <c r="JV34" s="9">
        <f t="shared" si="663"/>
        <v>779.8200000000943</v>
      </c>
      <c r="JW34" s="9">
        <f t="shared" si="663"/>
        <v>946.97999999989406</v>
      </c>
      <c r="JX34" s="9">
        <f t="shared" si="663"/>
        <v>1117.0920000000042</v>
      </c>
      <c r="JY34" s="9">
        <f t="shared" si="663"/>
        <v>915.0010000000766</v>
      </c>
      <c r="JZ34" s="144">
        <f>JZ22+JZ25+JZ28+JZ31-JZ33</f>
        <v>30025.58399999997</v>
      </c>
      <c r="KA34" s="9">
        <f t="shared" ref="KA34:LE34" si="664">KA32-KA33</f>
        <v>683.36899999994785</v>
      </c>
      <c r="KB34" s="9">
        <f t="shared" si="664"/>
        <v>971.30300000001444</v>
      </c>
      <c r="KC34" s="9">
        <f t="shared" si="664"/>
        <v>1255.9130000000005</v>
      </c>
      <c r="KD34" s="9">
        <f t="shared" si="664"/>
        <v>891.88600000002771</v>
      </c>
      <c r="KE34" s="9">
        <f t="shared" si="664"/>
        <v>999.60500000001048</v>
      </c>
      <c r="KF34" s="9">
        <f t="shared" si="664"/>
        <v>1006.685999999987</v>
      </c>
      <c r="KG34" s="9">
        <f t="shared" si="664"/>
        <v>1306.6030000000028</v>
      </c>
      <c r="KH34" s="9">
        <f t="shared" si="664"/>
        <v>1108.3359999999811</v>
      </c>
      <c r="KI34" s="9">
        <f t="shared" si="664"/>
        <v>1390.4360000000161</v>
      </c>
      <c r="KJ34" s="9">
        <f t="shared" si="664"/>
        <v>1343.0929999999935</v>
      </c>
      <c r="KK34" s="9">
        <f t="shared" si="664"/>
        <v>1241.4890000000014</v>
      </c>
      <c r="KL34" s="9">
        <f t="shared" si="664"/>
        <v>845.96300000007614</v>
      </c>
      <c r="KM34" s="9">
        <f t="shared" si="664"/>
        <v>2124.5379999998841</v>
      </c>
      <c r="KN34" s="9">
        <f t="shared" si="664"/>
        <v>1459.0440000000526</v>
      </c>
      <c r="KO34" s="9">
        <f t="shared" si="664"/>
        <v>912.24200000005658</v>
      </c>
      <c r="KP34" s="9">
        <f t="shared" si="664"/>
        <v>2109.6699999999255</v>
      </c>
      <c r="KQ34" s="9">
        <f t="shared" si="664"/>
        <v>1387.6750000000466</v>
      </c>
      <c r="KR34" s="9">
        <f t="shared" si="664"/>
        <v>1536.2269999999553</v>
      </c>
      <c r="KS34" s="9">
        <f t="shared" si="664"/>
        <v>992.26300000006449</v>
      </c>
      <c r="KT34" s="9">
        <f t="shared" si="664"/>
        <v>1375.1179999999586</v>
      </c>
      <c r="KU34" s="9">
        <f t="shared" si="664"/>
        <v>1880.4180000000051</v>
      </c>
      <c r="KV34" s="9">
        <f t="shared" si="664"/>
        <v>1687.9409999999043</v>
      </c>
      <c r="KW34" s="9">
        <f t="shared" si="664"/>
        <v>2552.3240000000224</v>
      </c>
      <c r="KX34" s="9">
        <f t="shared" si="664"/>
        <v>1444.3200000000943</v>
      </c>
      <c r="KY34" s="9">
        <f t="shared" si="664"/>
        <v>1278.0299999999988</v>
      </c>
      <c r="KZ34" s="9">
        <f t="shared" si="664"/>
        <v>957.25599999999395</v>
      </c>
      <c r="LA34" s="9">
        <f t="shared" si="664"/>
        <v>1259.2129999999306</v>
      </c>
      <c r="LB34" s="9">
        <f t="shared" si="664"/>
        <v>1519.5649999999732</v>
      </c>
      <c r="LC34" s="9">
        <f t="shared" si="664"/>
        <v>1568.9230000000971</v>
      </c>
      <c r="LD34" s="9">
        <f t="shared" si="664"/>
        <v>1086.7509999999893</v>
      </c>
      <c r="LE34" s="9">
        <f t="shared" si="664"/>
        <v>1526.1280000000261</v>
      </c>
      <c r="LF34" s="144">
        <f>LF22+LF25+LF28+LF31-LF33</f>
        <v>41673.699000000022</v>
      </c>
      <c r="LG34" s="9">
        <f t="shared" ref="LG34:MJ34" si="665">LG32-LG33</f>
        <v>1310.0579999999609</v>
      </c>
      <c r="LH34" s="9">
        <f t="shared" si="665"/>
        <v>1188.4859999999462</v>
      </c>
      <c r="LI34" s="9">
        <f t="shared" si="665"/>
        <v>1717.9929999999586</v>
      </c>
      <c r="LJ34" s="9">
        <f t="shared" si="665"/>
        <v>1710.926000000065</v>
      </c>
      <c r="LK34" s="9">
        <f t="shared" si="665"/>
        <v>1263.1319999999832</v>
      </c>
      <c r="LL34" s="9">
        <f t="shared" si="665"/>
        <v>1294.5170000000217</v>
      </c>
      <c r="LM34" s="9">
        <f t="shared" si="665"/>
        <v>1714.6380000000354</v>
      </c>
      <c r="LN34" s="9">
        <f t="shared" si="665"/>
        <v>1575.570000000007</v>
      </c>
      <c r="LO34" s="9">
        <f t="shared" si="665"/>
        <v>954.61600000000908</v>
      </c>
      <c r="LP34" s="9">
        <f t="shared" si="665"/>
        <v>1387.8349999999627</v>
      </c>
      <c r="LQ34" s="9">
        <f t="shared" si="665"/>
        <v>1682.1520000000892</v>
      </c>
      <c r="LR34" s="9">
        <f t="shared" si="665"/>
        <v>1300.4439999998722</v>
      </c>
      <c r="LS34" s="9">
        <f t="shared" si="665"/>
        <v>1462.4039999999804</v>
      </c>
      <c r="LT34" s="9">
        <f t="shared" si="665"/>
        <v>1579.7440000000934</v>
      </c>
      <c r="LU34" s="9">
        <f t="shared" si="665"/>
        <v>1268.0739999999641</v>
      </c>
      <c r="LV34" s="9">
        <f t="shared" si="665"/>
        <v>1068.3339999999444</v>
      </c>
      <c r="LW34" s="9">
        <f t="shared" si="665"/>
        <v>1064.2800000000279</v>
      </c>
      <c r="LX34" s="9">
        <f t="shared" si="665"/>
        <v>1320.5550000000512</v>
      </c>
      <c r="LY34" s="9">
        <f t="shared" si="665"/>
        <v>1439.289999999979</v>
      </c>
      <c r="LZ34" s="9">
        <f t="shared" si="665"/>
        <v>1410.7790000000386</v>
      </c>
      <c r="MA34" s="9">
        <f t="shared" si="665"/>
        <v>1388.8699999999662</v>
      </c>
      <c r="MB34" s="9">
        <f t="shared" si="665"/>
        <v>1208.8499999999767</v>
      </c>
      <c r="MC34" s="9">
        <f t="shared" si="665"/>
        <v>823.31600000004983</v>
      </c>
      <c r="MD34" s="9">
        <f t="shared" si="665"/>
        <v>1107.4199999999546</v>
      </c>
      <c r="ME34" s="9">
        <f t="shared" si="665"/>
        <v>1178.6390000000829</v>
      </c>
      <c r="MF34" s="9">
        <f t="shared" si="665"/>
        <v>1285.4629999999597</v>
      </c>
      <c r="MG34" s="9">
        <f t="shared" si="665"/>
        <v>1136.7160000000149</v>
      </c>
      <c r="MH34" s="9">
        <f t="shared" si="665"/>
        <v>1156.6680000000051</v>
      </c>
      <c r="MI34" s="9">
        <f t="shared" si="665"/>
        <v>1064.1069999999891</v>
      </c>
      <c r="MJ34" s="9">
        <f t="shared" si="665"/>
        <v>1302.082999999926</v>
      </c>
      <c r="MK34" s="144">
        <f>MK22+MK25+MK28+MK31-MK33</f>
        <v>71680.449999999953</v>
      </c>
      <c r="ML34" s="9">
        <f t="shared" ref="ML34:NP34" si="666">ML32-ML33</f>
        <v>1288.2180000000226</v>
      </c>
      <c r="MM34" s="9">
        <f t="shared" si="666"/>
        <v>1363.4630000000084</v>
      </c>
      <c r="MN34" s="9">
        <f t="shared" si="666"/>
        <v>856.35599999997066</v>
      </c>
      <c r="MO34" s="9">
        <f t="shared" si="666"/>
        <v>1081.5530000000899</v>
      </c>
      <c r="MP34" s="9">
        <f t="shared" si="666"/>
        <v>1411.5819999999658</v>
      </c>
      <c r="MQ34" s="9">
        <f t="shared" si="666"/>
        <v>942.03699999998514</v>
      </c>
      <c r="MR34" s="9">
        <f t="shared" si="666"/>
        <v>1266.0890000000363</v>
      </c>
      <c r="MS34" s="9">
        <f t="shared" si="666"/>
        <v>1143.576999999932</v>
      </c>
      <c r="MT34" s="9">
        <f t="shared" si="666"/>
        <v>981.68800000006866</v>
      </c>
      <c r="MU34" s="9">
        <f t="shared" si="666"/>
        <v>671.25499999999465</v>
      </c>
      <c r="MV34" s="9">
        <f t="shared" si="666"/>
        <v>1344.596999999897</v>
      </c>
      <c r="MW34" s="9">
        <f t="shared" si="666"/>
        <v>1126.1840000001248</v>
      </c>
      <c r="MX34" s="9">
        <f t="shared" si="666"/>
        <v>1260.2509999999602</v>
      </c>
      <c r="MY34" s="9">
        <f t="shared" si="666"/>
        <v>959.6699999999837</v>
      </c>
      <c r="MZ34" s="9">
        <f t="shared" si="666"/>
        <v>1229.7440000000352</v>
      </c>
      <c r="NA34" s="9">
        <f t="shared" si="666"/>
        <v>1341.0609999999288</v>
      </c>
      <c r="NB34" s="9">
        <f t="shared" si="666"/>
        <v>1189.1220000000321</v>
      </c>
      <c r="NC34" s="9">
        <f t="shared" si="666"/>
        <v>1120.1540000000095</v>
      </c>
      <c r="ND34" s="9">
        <f t="shared" si="666"/>
        <v>1295.7530000000261</v>
      </c>
      <c r="NE34" s="9">
        <f t="shared" si="666"/>
        <v>1018.0079999999725</v>
      </c>
      <c r="NF34" s="9">
        <f t="shared" si="666"/>
        <v>735.06899999993038</v>
      </c>
      <c r="NG34" s="9">
        <f t="shared" si="666"/>
        <v>1167.9100000001199</v>
      </c>
      <c r="NH34" s="9">
        <f t="shared" si="666"/>
        <v>997.61799999998766</v>
      </c>
      <c r="NI34" s="9">
        <f t="shared" si="666"/>
        <v>949.65599999998813</v>
      </c>
      <c r="NJ34" s="9">
        <f t="shared" si="666"/>
        <v>1243.0909999999567</v>
      </c>
      <c r="NK34" s="9">
        <f t="shared" si="666"/>
        <v>1498.2139999999781</v>
      </c>
      <c r="NL34" s="9">
        <f t="shared" si="666"/>
        <v>827.4890000000305</v>
      </c>
      <c r="NM34" s="9">
        <f t="shared" si="666"/>
        <v>1073.6120000000228</v>
      </c>
      <c r="NN34" s="9">
        <f t="shared" si="666"/>
        <v>1077.7120000000577</v>
      </c>
      <c r="NO34" s="9">
        <f t="shared" si="666"/>
        <v>1165.094999999943</v>
      </c>
      <c r="NP34" s="9">
        <f t="shared" si="666"/>
        <v>1053.1230000000505</v>
      </c>
      <c r="NQ34" s="144">
        <f>NQ22+NQ25+NQ28+NQ31-NQ33</f>
        <v>34570.453000000118</v>
      </c>
      <c r="NR34" s="9">
        <f t="shared" ref="NR34:OV34" si="667">NR32-NR33</f>
        <v>1002.9369999998889</v>
      </c>
      <c r="NS34" s="9">
        <f t="shared" si="667"/>
        <v>1330.743000000075</v>
      </c>
      <c r="NT34" s="9">
        <f t="shared" si="667"/>
        <v>1191.4909999999509</v>
      </c>
      <c r="NU34" s="9">
        <f t="shared" si="667"/>
        <v>915.12999999997555</v>
      </c>
      <c r="NV34" s="9">
        <f t="shared" si="667"/>
        <v>1061.3869999999879</v>
      </c>
      <c r="NW34" s="9">
        <f t="shared" si="667"/>
        <v>1439.8720000000903</v>
      </c>
      <c r="NX34" s="9">
        <f t="shared" si="667"/>
        <v>1345.7660000000033</v>
      </c>
      <c r="NY34" s="9">
        <f t="shared" si="667"/>
        <v>1230.835000000021</v>
      </c>
      <c r="NZ34" s="9">
        <f t="shared" si="667"/>
        <v>1182.9059999999881</v>
      </c>
      <c r="OA34" s="9">
        <f t="shared" si="667"/>
        <v>909.08199999996577</v>
      </c>
      <c r="OB34" s="9">
        <f t="shared" si="667"/>
        <v>1028.9439999999013</v>
      </c>
      <c r="OC34" s="9">
        <f t="shared" si="667"/>
        <v>876.31300000011106</v>
      </c>
      <c r="OD34" s="9">
        <f t="shared" si="667"/>
        <v>1041.7789999999513</v>
      </c>
      <c r="OE34" s="9">
        <f t="shared" si="667"/>
        <v>1216.4490000000515</v>
      </c>
      <c r="OF34" s="9">
        <f t="shared" si="667"/>
        <v>1115.9930000000168</v>
      </c>
      <c r="OG34" s="9">
        <f t="shared" si="667"/>
        <v>1114.6169999999984</v>
      </c>
      <c r="OH34" s="9">
        <f t="shared" si="667"/>
        <v>1005.4579999999551</v>
      </c>
      <c r="OI34" s="9">
        <f t="shared" si="667"/>
        <v>995.70000000004075</v>
      </c>
      <c r="OJ34" s="9">
        <f t="shared" si="667"/>
        <v>1142.2559999999357</v>
      </c>
      <c r="OK34" s="9">
        <f t="shared" si="667"/>
        <v>999.14500000004773</v>
      </c>
      <c r="OL34" s="9">
        <f t="shared" si="667"/>
        <v>1019.8449999999721</v>
      </c>
      <c r="OM34" s="9">
        <f t="shared" si="667"/>
        <v>1418.2409999999218</v>
      </c>
      <c r="ON34" s="9">
        <f t="shared" si="667"/>
        <v>1260.396000000037</v>
      </c>
      <c r="OO34" s="9">
        <f t="shared" si="667"/>
        <v>1178.4630000001052</v>
      </c>
      <c r="OP34" s="9">
        <f t="shared" si="667"/>
        <v>675.11699999999837</v>
      </c>
      <c r="OQ34" s="9">
        <f t="shared" si="667"/>
        <v>1205.1639999999898</v>
      </c>
      <c r="OR34" s="9">
        <f t="shared" si="667"/>
        <v>1104.4529999999213</v>
      </c>
      <c r="OS34" s="9">
        <f t="shared" si="667"/>
        <v>1194.7610000000859</v>
      </c>
      <c r="OT34" s="9">
        <f t="shared" si="667"/>
        <v>1039.0599999999686</v>
      </c>
      <c r="OU34" s="9">
        <f t="shared" si="667"/>
        <v>1207.3699999999662</v>
      </c>
      <c r="OV34" s="9">
        <f t="shared" si="667"/>
        <v>1619.243000000075</v>
      </c>
      <c r="OW34" s="144">
        <f>OW22+OW25+OW28+OW31-OW33</f>
        <v>34924.09600000002</v>
      </c>
      <c r="OX34" s="9">
        <f t="shared" ref="OX34:QA34" si="668">OX32-OX33</f>
        <v>855.48399999996764</v>
      </c>
      <c r="OY34" s="9">
        <f t="shared" si="668"/>
        <v>1707.6779999999562</v>
      </c>
      <c r="OZ34" s="9">
        <f t="shared" si="668"/>
        <v>1157.4229999999516</v>
      </c>
      <c r="PA34" s="9">
        <f t="shared" si="668"/>
        <v>949.25500000015018</v>
      </c>
      <c r="PB34" s="9">
        <f t="shared" si="668"/>
        <v>1321.8489999999292</v>
      </c>
      <c r="PC34" s="9">
        <f t="shared" si="668"/>
        <v>1336.4780000000319</v>
      </c>
      <c r="PD34" s="9">
        <f t="shared" si="668"/>
        <v>1329.8409999999276</v>
      </c>
      <c r="PE34" s="9">
        <f t="shared" si="668"/>
        <v>1168.091000000044</v>
      </c>
      <c r="PF34" s="9">
        <f t="shared" si="668"/>
        <v>949.89499999989016</v>
      </c>
      <c r="PG34" s="9">
        <f t="shared" si="668"/>
        <v>1136.6770000001416</v>
      </c>
      <c r="PH34" s="9">
        <f t="shared" si="668"/>
        <v>1295.0169999999634</v>
      </c>
      <c r="PI34" s="9">
        <f t="shared" si="668"/>
        <v>1098.1269999999786</v>
      </c>
      <c r="PJ34" s="9">
        <f t="shared" si="668"/>
        <v>1515.8250000000116</v>
      </c>
      <c r="PK34" s="9">
        <f t="shared" si="668"/>
        <v>1072.2379999999539</v>
      </c>
      <c r="PL34" s="9">
        <f t="shared" si="668"/>
        <v>976.99400000003516</v>
      </c>
      <c r="PM34" s="9">
        <f t="shared" si="668"/>
        <v>1010.9290000000328</v>
      </c>
      <c r="PN34" s="9">
        <f t="shared" si="668"/>
        <v>993.2609999999695</v>
      </c>
      <c r="PO34" s="9">
        <f t="shared" si="668"/>
        <v>860.2039999999979</v>
      </c>
      <c r="PP34" s="9">
        <f t="shared" si="668"/>
        <v>1269.8060000000987</v>
      </c>
      <c r="PQ34" s="9">
        <f t="shared" si="668"/>
        <v>1115.2829999999667</v>
      </c>
      <c r="PR34" s="9">
        <f t="shared" si="668"/>
        <v>1029.033999999956</v>
      </c>
      <c r="PS34" s="9">
        <f t="shared" si="668"/>
        <v>875.95199999999022</v>
      </c>
      <c r="PT34" s="9">
        <f t="shared" si="668"/>
        <v>887.33200000004024</v>
      </c>
      <c r="PU34" s="9">
        <f t="shared" si="668"/>
        <v>999.97899999989772</v>
      </c>
      <c r="PV34" s="9">
        <f t="shared" si="668"/>
        <v>903.51200000010431</v>
      </c>
      <c r="PW34" s="9">
        <f t="shared" si="668"/>
        <v>1118.311999999918</v>
      </c>
      <c r="PX34" s="9">
        <f t="shared" si="668"/>
        <v>1012.4170000000158</v>
      </c>
      <c r="PY34" s="9">
        <f t="shared" si="668"/>
        <v>1440.3970000000554</v>
      </c>
      <c r="PZ34" s="9">
        <f t="shared" si="668"/>
        <v>678.66799999994691</v>
      </c>
      <c r="QA34" s="9">
        <f t="shared" si="668"/>
        <v>1300.1480000000738</v>
      </c>
      <c r="QB34" s="144">
        <f>QB22+QB25+QB28+QB31-QB33</f>
        <v>33366.106</v>
      </c>
      <c r="QC34" s="9"/>
      <c r="QD34" s="9">
        <f t="shared" ref="QD34:RG34" si="669">QD32-QD33</f>
        <v>874.20600000000559</v>
      </c>
      <c r="QE34" s="9">
        <f t="shared" si="669"/>
        <v>1026.9060000000172</v>
      </c>
      <c r="QF34" s="9">
        <f t="shared" si="669"/>
        <v>1226.2919999999285</v>
      </c>
      <c r="QG34" s="9">
        <f t="shared" si="669"/>
        <v>1131.408000000054</v>
      </c>
      <c r="QH34" s="9">
        <f t="shared" si="669"/>
        <v>678.08399999994435</v>
      </c>
      <c r="QI34" s="9">
        <f t="shared" si="669"/>
        <v>1070.1059999999998</v>
      </c>
      <c r="QJ34" s="9">
        <f t="shared" si="669"/>
        <v>1023.8150000000314</v>
      </c>
      <c r="QK34" s="9">
        <f t="shared" si="669"/>
        <v>1078.5780000000377</v>
      </c>
      <c r="QL34" s="9">
        <f t="shared" si="669"/>
        <v>974.50299999993877</v>
      </c>
      <c r="QM34" s="9">
        <f t="shared" si="669"/>
        <v>1139.1810000000114</v>
      </c>
      <c r="QN34" s="9">
        <f t="shared" si="669"/>
        <v>1253.4389999999839</v>
      </c>
      <c r="QO34" s="9">
        <f t="shared" si="669"/>
        <v>1157.0660000000498</v>
      </c>
      <c r="QP34" s="9">
        <f t="shared" si="669"/>
        <v>1384.7340000000549</v>
      </c>
      <c r="QQ34" s="9">
        <f t="shared" si="669"/>
        <v>933.87799999990966</v>
      </c>
      <c r="QR34" s="9">
        <f t="shared" si="669"/>
        <v>991.62700000003679</v>
      </c>
      <c r="QS34" s="9">
        <f t="shared" si="669"/>
        <v>1012.4000000000233</v>
      </c>
      <c r="QT34" s="9">
        <f t="shared" si="669"/>
        <v>1532.8379999999888</v>
      </c>
      <c r="QU34" s="9">
        <f t="shared" si="669"/>
        <v>1105.3699999999953</v>
      </c>
      <c r="QV34" s="9">
        <f t="shared" si="669"/>
        <v>718.42999999999302</v>
      </c>
      <c r="QW34" s="9">
        <f t="shared" si="669"/>
        <v>1030.3749999999709</v>
      </c>
      <c r="QX34" s="9">
        <f t="shared" si="669"/>
        <v>958.07700000004843</v>
      </c>
      <c r="QY34" s="9">
        <f t="shared" si="669"/>
        <v>896.69999999998254</v>
      </c>
      <c r="QZ34" s="9">
        <f t="shared" si="669"/>
        <v>1857.719999999943</v>
      </c>
      <c r="RA34" s="9">
        <f t="shared" si="669"/>
        <v>1397.3730000000214</v>
      </c>
      <c r="RB34" s="9">
        <f t="shared" si="669"/>
        <v>872.95000000009895</v>
      </c>
      <c r="RC34" s="9">
        <f t="shared" si="669"/>
        <v>820.16299999994226</v>
      </c>
      <c r="RD34" s="9">
        <f t="shared" si="669"/>
        <v>922.2949999999837</v>
      </c>
      <c r="RE34" s="9">
        <f t="shared" si="669"/>
        <v>1038.7309999999998</v>
      </c>
      <c r="RF34" s="9">
        <f t="shared" si="669"/>
        <v>974.20599999994738</v>
      </c>
      <c r="RG34" s="9">
        <f t="shared" si="669"/>
        <v>1285.3400000000547</v>
      </c>
      <c r="RH34" s="144">
        <f>RH22+RH25+RH28+RH31-RH33</f>
        <v>32366.790999999997</v>
      </c>
      <c r="RI34" s="9">
        <f t="shared" ref="RI34:SL34" si="670">RI32-RI33</f>
        <v>994.73700000002282</v>
      </c>
      <c r="RJ34" s="9">
        <f t="shared" si="670"/>
        <v>949.43000000002212</v>
      </c>
      <c r="RK34" s="9">
        <f t="shared" si="670"/>
        <v>1046.6109999999171</v>
      </c>
      <c r="RL34" s="9">
        <f t="shared" si="670"/>
        <v>1660.1650000000664</v>
      </c>
      <c r="RM34" s="9">
        <f t="shared" si="670"/>
        <v>1123.2929999998887</v>
      </c>
      <c r="RN34" s="9">
        <f t="shared" si="670"/>
        <v>743.3310000000638</v>
      </c>
      <c r="RO34" s="9">
        <f t="shared" si="670"/>
        <v>979.09000000005472</v>
      </c>
      <c r="RP34" s="9">
        <f t="shared" si="670"/>
        <v>1015.2159999999858</v>
      </c>
      <c r="RQ34" s="9">
        <f t="shared" si="670"/>
        <v>985.21199999991222</v>
      </c>
      <c r="RR34" s="9">
        <f t="shared" si="670"/>
        <v>852.81500000008964</v>
      </c>
      <c r="RS34" s="9">
        <f t="shared" si="670"/>
        <v>1308.3709999999846</v>
      </c>
      <c r="RT34" s="9">
        <f t="shared" si="670"/>
        <v>906.18000000002212</v>
      </c>
      <c r="RU34" s="9">
        <f t="shared" si="670"/>
        <v>1265.3089999998629</v>
      </c>
      <c r="RV34" s="9">
        <f t="shared" si="670"/>
        <v>1163.1280000000843</v>
      </c>
      <c r="RW34" s="9">
        <f t="shared" si="670"/>
        <v>1162.2109999999229</v>
      </c>
      <c r="RX34" s="9">
        <f t="shared" si="670"/>
        <v>1193.9860000001499</v>
      </c>
      <c r="RY34" s="9">
        <f t="shared" si="670"/>
        <v>1011.954999999929</v>
      </c>
      <c r="RZ34" s="9">
        <f t="shared" si="670"/>
        <v>878.01899999997113</v>
      </c>
      <c r="SA34" s="9">
        <f t="shared" si="670"/>
        <v>918.39600000006612</v>
      </c>
      <c r="SB34" s="9">
        <f t="shared" si="670"/>
        <v>960.75400000004447</v>
      </c>
      <c r="SC34" s="9">
        <f t="shared" si="670"/>
        <v>1078.1609999999346</v>
      </c>
      <c r="SD34" s="9">
        <f t="shared" si="670"/>
        <v>958.13900000002468</v>
      </c>
      <c r="SE34" s="9">
        <f t="shared" si="670"/>
        <v>956.32499999989523</v>
      </c>
      <c r="SF34" s="9">
        <f t="shared" si="670"/>
        <v>758.13100000008126</v>
      </c>
      <c r="SG34" s="9">
        <f t="shared" si="670"/>
        <v>1225.7549999999756</v>
      </c>
      <c r="SH34" s="9">
        <f t="shared" si="670"/>
        <v>1201.5200000000768</v>
      </c>
      <c r="SI34" s="9">
        <f t="shared" si="670"/>
        <v>894.26899999994203</v>
      </c>
      <c r="SJ34" s="9">
        <f t="shared" si="670"/>
        <v>1512.7880000000296</v>
      </c>
      <c r="SK34" s="9">
        <f t="shared" si="670"/>
        <v>1061.595999999874</v>
      </c>
      <c r="SL34" s="9">
        <f t="shared" si="670"/>
        <v>976.33100000003469</v>
      </c>
      <c r="SM34" s="144">
        <f>SM22+SM25+SM28+SM31-SM33</f>
        <v>31741.223999999929</v>
      </c>
      <c r="SN34" s="9">
        <f t="shared" ref="SN34:TR34" si="671">SN32-SN33</f>
        <v>661.5920000000624</v>
      </c>
      <c r="SO34" s="9">
        <f t="shared" si="671"/>
        <v>1806.5689999999886</v>
      </c>
      <c r="SP34" s="9">
        <f t="shared" si="671"/>
        <v>3154.1299999999756</v>
      </c>
      <c r="SQ34" s="9">
        <f t="shared" si="671"/>
        <v>1361.3110000000161</v>
      </c>
      <c r="SR34" s="9">
        <f t="shared" si="671"/>
        <v>1260.8150000000896</v>
      </c>
      <c r="SS34" s="9">
        <f t="shared" si="671"/>
        <v>1168.4159999999101</v>
      </c>
      <c r="ST34" s="9">
        <f t="shared" si="671"/>
        <v>1006.3359999999853</v>
      </c>
      <c r="SU34" s="9">
        <f t="shared" si="671"/>
        <v>1029.6480000000447</v>
      </c>
      <c r="SV34" s="9">
        <f t="shared" si="671"/>
        <v>1697.1119999999064</v>
      </c>
      <c r="SW34" s="9">
        <f t="shared" si="671"/>
        <v>1123.5400000000664</v>
      </c>
      <c r="SX34" s="9">
        <f t="shared" si="671"/>
        <v>1108.0830000001006</v>
      </c>
      <c r="SY34" s="9">
        <f t="shared" si="671"/>
        <v>980.06899999993038</v>
      </c>
      <c r="SZ34" s="9">
        <f t="shared" si="671"/>
        <v>1677.5200000000186</v>
      </c>
      <c r="TA34" s="9">
        <f t="shared" si="671"/>
        <v>1160.0269999999146</v>
      </c>
      <c r="TB34" s="9">
        <f t="shared" si="671"/>
        <v>1220.5360000000219</v>
      </c>
      <c r="TC34" s="9">
        <f t="shared" si="671"/>
        <v>1593.7960000000312</v>
      </c>
      <c r="TD34" s="9">
        <f t="shared" si="671"/>
        <v>1091.1799999999639</v>
      </c>
      <c r="TE34" s="9">
        <f t="shared" si="671"/>
        <v>1226.7660000000324</v>
      </c>
      <c r="TF34" s="9">
        <f t="shared" si="671"/>
        <v>1365.8039999999455</v>
      </c>
      <c r="TG34" s="9">
        <f t="shared" si="671"/>
        <v>1205.2490000000107</v>
      </c>
      <c r="TH34" s="9">
        <f t="shared" si="671"/>
        <v>1194.6259999999893</v>
      </c>
      <c r="TI34" s="9">
        <f t="shared" si="671"/>
        <v>1301.0370000001276</v>
      </c>
      <c r="TJ34" s="9">
        <f t="shared" si="671"/>
        <v>1067.0689999999304</v>
      </c>
      <c r="TK34" s="9">
        <f t="shared" si="671"/>
        <v>1221.7459999999846</v>
      </c>
      <c r="TL34" s="9">
        <f t="shared" si="671"/>
        <v>476.95899999997346</v>
      </c>
      <c r="TM34" s="9">
        <f t="shared" si="671"/>
        <v>723.93600000001607</v>
      </c>
      <c r="TN34" s="9">
        <f t="shared" si="671"/>
        <v>974.74400000003516</v>
      </c>
      <c r="TO34" s="9">
        <f t="shared" si="671"/>
        <v>940.07999999992899</v>
      </c>
      <c r="TP34" s="9">
        <f t="shared" si="671"/>
        <v>846.08900000012363</v>
      </c>
      <c r="TQ34" s="9">
        <f t="shared" si="671"/>
        <v>1000.0109999999986</v>
      </c>
      <c r="TR34" s="9">
        <f t="shared" si="671"/>
        <v>1151.9749999998894</v>
      </c>
      <c r="TS34" s="144">
        <f>TS22+TS25+TS28+TS31-TS33</f>
        <v>37135.178999999953</v>
      </c>
      <c r="TT34" s="9">
        <f t="shared" ref="TT34:UX34" si="672">TT32-TT33</f>
        <v>656.32400000002235</v>
      </c>
      <c r="TU34" s="9">
        <f t="shared" si="672"/>
        <v>968.78900000001886</v>
      </c>
      <c r="TV34" s="9">
        <f t="shared" si="672"/>
        <v>890.65999999997439</v>
      </c>
      <c r="TW34" s="9">
        <f t="shared" si="672"/>
        <v>959.25299999999697</v>
      </c>
      <c r="TX34" s="9">
        <f t="shared" si="672"/>
        <v>754.65600000004633</v>
      </c>
      <c r="TY34" s="9">
        <f t="shared" si="672"/>
        <v>1086.6059999999998</v>
      </c>
      <c r="TZ34" s="9">
        <f t="shared" si="672"/>
        <v>1029.8299999999872</v>
      </c>
      <c r="UA34" s="9">
        <f t="shared" si="672"/>
        <v>1503.2690000000002</v>
      </c>
      <c r="UB34" s="9">
        <f t="shared" si="672"/>
        <v>1104.2209999999614</v>
      </c>
      <c r="UC34" s="9">
        <f t="shared" si="672"/>
        <v>1195.3489999999583</v>
      </c>
      <c r="UD34" s="9">
        <f t="shared" si="672"/>
        <v>1026.4230000000971</v>
      </c>
      <c r="UE34" s="9">
        <f t="shared" si="672"/>
        <v>985.7729999999865</v>
      </c>
      <c r="UF34" s="9">
        <f t="shared" si="672"/>
        <v>1671.4520000000193</v>
      </c>
      <c r="UG34" s="9">
        <f t="shared" si="672"/>
        <v>982.77700000003097</v>
      </c>
      <c r="UH34" s="9">
        <f t="shared" si="672"/>
        <v>1016.0029999999388</v>
      </c>
      <c r="UI34" s="9">
        <f t="shared" si="672"/>
        <v>1047.6570000000065</v>
      </c>
      <c r="UJ34" s="9">
        <f t="shared" si="672"/>
        <v>1181.4110000000219</v>
      </c>
      <c r="UK34" s="9">
        <f t="shared" si="672"/>
        <v>1200.5679999999993</v>
      </c>
      <c r="UL34" s="9">
        <f t="shared" si="672"/>
        <v>1021.097000000038</v>
      </c>
      <c r="UM34" s="9">
        <f t="shared" si="672"/>
        <v>1205.8309999999183</v>
      </c>
      <c r="UN34" s="9">
        <f t="shared" si="672"/>
        <v>1126.2379999999539</v>
      </c>
      <c r="UO34" s="9">
        <f t="shared" si="672"/>
        <v>1446.1460000000952</v>
      </c>
      <c r="UP34" s="9">
        <f t="shared" si="672"/>
        <v>1046.1219999999157</v>
      </c>
      <c r="UQ34" s="9">
        <f t="shared" si="672"/>
        <v>1398.6490000000049</v>
      </c>
      <c r="UR34" s="9">
        <f t="shared" si="672"/>
        <v>1425.6710000000312</v>
      </c>
      <c r="US34" s="9">
        <f t="shared" si="672"/>
        <v>1461.8280000000086</v>
      </c>
      <c r="UT34" s="9">
        <f t="shared" si="672"/>
        <v>1128.6410000000324</v>
      </c>
      <c r="UU34" s="9">
        <f t="shared" si="672"/>
        <v>1014.218000000059</v>
      </c>
      <c r="UV34" s="9">
        <f t="shared" si="672"/>
        <v>0</v>
      </c>
      <c r="UW34" s="9">
        <f t="shared" si="672"/>
        <v>811.25399999991225</v>
      </c>
      <c r="UX34" s="9">
        <f t="shared" si="672"/>
        <v>1136.560000000045</v>
      </c>
      <c r="UY34" s="144">
        <f>UY22+UY25+UY28+UY31-UY33</f>
        <v>33483.276000000078</v>
      </c>
      <c r="UZ34" s="9">
        <f t="shared" ref="UZ34:WA34" si="673">UZ32-UZ33</f>
        <v>1225.0359999999346</v>
      </c>
      <c r="VA34" s="9">
        <f t="shared" si="673"/>
        <v>947.90200000000186</v>
      </c>
      <c r="VB34" s="9">
        <f t="shared" si="673"/>
        <v>1894.9910000000382</v>
      </c>
      <c r="VC34" s="9">
        <f t="shared" si="673"/>
        <v>1130.1320000000414</v>
      </c>
      <c r="VD34" s="9">
        <f t="shared" si="673"/>
        <v>1183.2829999998503</v>
      </c>
      <c r="VE34" s="9">
        <f t="shared" si="673"/>
        <v>873.01600000014878</v>
      </c>
      <c r="VF34" s="9">
        <f t="shared" si="673"/>
        <v>1325.1709999999148</v>
      </c>
      <c r="VG34" s="9">
        <f t="shared" si="673"/>
        <v>1601.9960000000428</v>
      </c>
      <c r="VH34" s="9">
        <f t="shared" si="673"/>
        <v>779.4429999999993</v>
      </c>
      <c r="VI34" s="9">
        <f t="shared" si="673"/>
        <v>1134.8929999999236</v>
      </c>
      <c r="VJ34" s="9">
        <f t="shared" si="673"/>
        <v>1588.3400000000838</v>
      </c>
      <c r="VK34" s="9">
        <f t="shared" si="673"/>
        <v>924.17400000002817</v>
      </c>
      <c r="VL34" s="9">
        <f t="shared" si="673"/>
        <v>1202.6219999999157</v>
      </c>
      <c r="VM34" s="9">
        <f t="shared" si="673"/>
        <v>1168.9729999999981</v>
      </c>
      <c r="VN34" s="9">
        <f t="shared" si="673"/>
        <v>1033.7220000000671</v>
      </c>
      <c r="VO34" s="9">
        <f t="shared" si="673"/>
        <v>808.7499999999709</v>
      </c>
      <c r="VP34" s="9">
        <f t="shared" si="673"/>
        <v>1046.7449999999953</v>
      </c>
      <c r="VQ34" s="9">
        <f t="shared" si="673"/>
        <v>1094.0039999999863</v>
      </c>
      <c r="VR34" s="9">
        <f t="shared" si="673"/>
        <v>1502.3090000000084</v>
      </c>
      <c r="VS34" s="9">
        <f t="shared" si="673"/>
        <v>1228.7909999999683</v>
      </c>
      <c r="VT34" s="9">
        <f t="shared" si="673"/>
        <v>1160.1339999999909</v>
      </c>
      <c r="VU34" s="9">
        <f t="shared" si="673"/>
        <v>1148.1010000000533</v>
      </c>
      <c r="VV34" s="9">
        <f t="shared" si="673"/>
        <v>1042.0280000000494</v>
      </c>
      <c r="VW34" s="9">
        <f t="shared" si="673"/>
        <v>1187.4139999999024</v>
      </c>
      <c r="VX34" s="9">
        <f t="shared" si="673"/>
        <v>1306.4940000000934</v>
      </c>
      <c r="VY34" s="9">
        <f t="shared" si="673"/>
        <v>1210.9579999999842</v>
      </c>
      <c r="VZ34" s="9">
        <f t="shared" si="673"/>
        <v>1144.4739999999001</v>
      </c>
      <c r="WA34" s="9">
        <f t="shared" si="673"/>
        <v>1087.8559999999998</v>
      </c>
      <c r="WB34" s="144">
        <f>WB22+WB25+WB28+WB31-WB33</f>
        <v>32846.740999999893</v>
      </c>
      <c r="WC34" s="9">
        <f t="shared" ref="WC34:XG34" si="674">WC32-WC33</f>
        <v>1285.7530000000843</v>
      </c>
      <c r="WD34" s="9">
        <f t="shared" si="674"/>
        <v>829.091000000044</v>
      </c>
      <c r="WE34" s="9">
        <f t="shared" si="674"/>
        <v>1417.0149999999558</v>
      </c>
      <c r="WF34" s="9">
        <f t="shared" si="674"/>
        <v>1148.1020000000135</v>
      </c>
      <c r="WG34" s="9">
        <f t="shared" si="674"/>
        <v>1008.95100000003</v>
      </c>
      <c r="WH34" s="9">
        <f t="shared" si="674"/>
        <v>-0.60000000009313226</v>
      </c>
      <c r="WI34" s="9">
        <f t="shared" si="674"/>
        <v>978.08199999999488</v>
      </c>
      <c r="WJ34" s="9">
        <f t="shared" si="674"/>
        <v>1560.5450000000128</v>
      </c>
      <c r="WK34" s="9">
        <f t="shared" si="674"/>
        <v>1094.3079999999609</v>
      </c>
      <c r="WL34" s="9">
        <f t="shared" si="674"/>
        <v>1205.0470000000205</v>
      </c>
      <c r="WM34" s="9">
        <f t="shared" si="674"/>
        <v>1309.2800000000861</v>
      </c>
      <c r="WN34" s="9">
        <f t="shared" si="674"/>
        <v>944.033999999956</v>
      </c>
      <c r="WO34" s="9">
        <f t="shared" si="674"/>
        <v>963.70799999998417</v>
      </c>
      <c r="WP34" s="9">
        <f t="shared" si="674"/>
        <v>1027.2209999999905</v>
      </c>
      <c r="WQ34" s="9">
        <f t="shared" si="674"/>
        <v>1381.0380000000587</v>
      </c>
      <c r="WR34" s="9">
        <f t="shared" si="674"/>
        <v>749.66299999991315</v>
      </c>
      <c r="WS34" s="9">
        <f t="shared" si="674"/>
        <v>1234.9360000000743</v>
      </c>
      <c r="WT34" s="9">
        <f t="shared" si="674"/>
        <v>795.97400000001653</v>
      </c>
      <c r="WU34" s="9">
        <f t="shared" si="674"/>
        <v>1177.3539999999048</v>
      </c>
      <c r="WV34" s="9">
        <f t="shared" si="674"/>
        <v>919.79200000007404</v>
      </c>
      <c r="WW34" s="9">
        <f t="shared" si="674"/>
        <v>1494.4569999999949</v>
      </c>
      <c r="WX34" s="9">
        <f t="shared" si="674"/>
        <v>1050.7550000000047</v>
      </c>
      <c r="WY34" s="9">
        <f t="shared" si="674"/>
        <v>979.728000000061</v>
      </c>
      <c r="WZ34" s="9">
        <f t="shared" si="674"/>
        <v>1372.2149999999383</v>
      </c>
      <c r="XA34" s="9">
        <f t="shared" si="674"/>
        <v>1121.3099999999686</v>
      </c>
      <c r="XB34" s="9">
        <f t="shared" si="674"/>
        <v>765.25600000005215</v>
      </c>
      <c r="XC34" s="9">
        <f t="shared" si="674"/>
        <v>1116.8169999999518</v>
      </c>
      <c r="XD34" s="9">
        <f t="shared" si="674"/>
        <v>939.54599999997299</v>
      </c>
      <c r="XE34" s="9">
        <f t="shared" si="674"/>
        <v>1395.5370000000694</v>
      </c>
      <c r="XF34" s="9">
        <f t="shared" si="674"/>
        <v>866.23300000003655</v>
      </c>
      <c r="XG34" s="9">
        <f t="shared" si="674"/>
        <v>1427.0869999999704</v>
      </c>
      <c r="XH34" s="144">
        <f>XH22+XH25+XH28+XH31-XH33</f>
        <v>33558.235000000102</v>
      </c>
      <c r="XI34" s="9">
        <f t="shared" ref="XI34:YL34" si="675">XI32-XI33</f>
        <v>786.8300000000163</v>
      </c>
      <c r="XJ34" s="9">
        <f t="shared" si="675"/>
        <v>989.70999999993364</v>
      </c>
      <c r="XK34" s="9">
        <f t="shared" si="675"/>
        <v>903.98999999996158</v>
      </c>
      <c r="XL34" s="9">
        <f t="shared" si="675"/>
        <v>1026.9680000000808</v>
      </c>
      <c r="XM34" s="9">
        <f t="shared" si="675"/>
        <v>1137.097000000038</v>
      </c>
      <c r="XN34" s="9">
        <f t="shared" si="675"/>
        <v>1032.506999999925</v>
      </c>
      <c r="XO34" s="9">
        <f t="shared" si="675"/>
        <v>1122.6609999999637</v>
      </c>
      <c r="XP34" s="9">
        <f t="shared" si="675"/>
        <v>1126.4479999999749</v>
      </c>
      <c r="XQ34" s="9">
        <f t="shared" si="675"/>
        <v>866.23900000008871</v>
      </c>
      <c r="XR34" s="9">
        <f t="shared" si="675"/>
        <v>985.31500000000233</v>
      </c>
      <c r="XS34" s="9">
        <f t="shared" si="675"/>
        <v>882.77099999997881</v>
      </c>
      <c r="XT34" s="9">
        <f t="shared" si="675"/>
        <v>1092.801000000065</v>
      </c>
      <c r="XU34" s="9">
        <f t="shared" si="675"/>
        <v>724.68999999994412</v>
      </c>
      <c r="XV34" s="9">
        <f t="shared" si="675"/>
        <v>897.75900000002002</v>
      </c>
      <c r="XW34" s="9">
        <f t="shared" si="675"/>
        <v>1069.4350000000268</v>
      </c>
      <c r="XX34" s="9">
        <f t="shared" si="675"/>
        <v>1055.6519999998563</v>
      </c>
      <c r="XY34" s="9">
        <f t="shared" si="675"/>
        <v>1004.6840000000957</v>
      </c>
      <c r="XZ34" s="9">
        <f t="shared" si="675"/>
        <v>863.66599999999744</v>
      </c>
      <c r="YA34" s="9">
        <f t="shared" si="675"/>
        <v>756.13299999997253</v>
      </c>
      <c r="YB34" s="9">
        <f t="shared" si="675"/>
        <v>773.73099999994156</v>
      </c>
      <c r="YC34" s="9">
        <f t="shared" si="675"/>
        <v>770.42700000008335</v>
      </c>
      <c r="YD34" s="9">
        <f t="shared" si="675"/>
        <v>1000.9880000000121</v>
      </c>
      <c r="YE34" s="9">
        <f t="shared" si="675"/>
        <v>1181.1949999999779</v>
      </c>
      <c r="YF34" s="9">
        <f t="shared" si="675"/>
        <v>926.86900000006426</v>
      </c>
      <c r="YG34" s="9">
        <f t="shared" si="675"/>
        <v>843.37199999994482</v>
      </c>
      <c r="YH34" s="9">
        <f t="shared" si="675"/>
        <v>946.19200000003912</v>
      </c>
      <c r="YI34" s="9">
        <f t="shared" si="675"/>
        <v>889.15099999998347</v>
      </c>
      <c r="YJ34" s="9">
        <f t="shared" si="675"/>
        <v>891.14299999998184</v>
      </c>
      <c r="YK34" s="9">
        <f t="shared" si="675"/>
        <v>695.0570000000298</v>
      </c>
      <c r="YL34" s="9">
        <f t="shared" si="675"/>
        <v>722.73399999996764</v>
      </c>
      <c r="YM34" s="144">
        <f>YM22+YM25+YM28+YM31-YM33</f>
        <v>61524.45000000007</v>
      </c>
      <c r="YN34" s="9">
        <f t="shared" ref="YN34:ZR34" si="676">YN32-YN33</f>
        <v>1246.7599999999511</v>
      </c>
      <c r="YO34" s="9">
        <f t="shared" si="676"/>
        <v>1308.9260000000068</v>
      </c>
      <c r="YP34" s="9">
        <f t="shared" si="676"/>
        <v>981.87299999999232</v>
      </c>
      <c r="YQ34" s="9">
        <f t="shared" si="676"/>
        <v>820.32800000006682</v>
      </c>
      <c r="YR34" s="9">
        <f t="shared" si="676"/>
        <v>948.84299999996438</v>
      </c>
      <c r="YS34" s="9">
        <f t="shared" si="676"/>
        <v>775.83799999998882</v>
      </c>
      <c r="YT34" s="9">
        <f t="shared" si="676"/>
        <v>901.42300000006799</v>
      </c>
      <c r="YU34" s="9">
        <f t="shared" si="676"/>
        <v>457.51900000000023</v>
      </c>
      <c r="YV34" s="9">
        <f t="shared" si="676"/>
        <v>1096.6179999998712</v>
      </c>
      <c r="YW34" s="9">
        <f t="shared" si="676"/>
        <v>894.86600000009639</v>
      </c>
      <c r="YX34" s="9">
        <f t="shared" si="676"/>
        <v>917.34100000007311</v>
      </c>
      <c r="YY34" s="9">
        <f t="shared" si="676"/>
        <v>649.82399999996414</v>
      </c>
      <c r="YZ34" s="9">
        <f t="shared" si="676"/>
        <v>1036.5009999999602</v>
      </c>
      <c r="ZA34" s="9">
        <f t="shared" si="676"/>
        <v>988.40000000008149</v>
      </c>
      <c r="ZB34" s="9">
        <f t="shared" si="676"/>
        <v>813.3849999998929</v>
      </c>
      <c r="ZC34" s="9">
        <f t="shared" si="676"/>
        <v>894.26700000005076</v>
      </c>
      <c r="ZD34" s="9">
        <f t="shared" si="676"/>
        <v>1218.7900000000081</v>
      </c>
      <c r="ZE34" s="9">
        <f t="shared" si="676"/>
        <v>716.39799999992829</v>
      </c>
      <c r="ZF34" s="9">
        <f t="shared" si="676"/>
        <v>1064.338000000047</v>
      </c>
      <c r="ZG34" s="9">
        <f t="shared" si="676"/>
        <v>758.17300000000978</v>
      </c>
      <c r="ZH34" s="9">
        <f t="shared" si="676"/>
        <v>1307.2939999999653</v>
      </c>
      <c r="ZI34" s="9">
        <f t="shared" si="676"/>
        <v>1165.3090000000084</v>
      </c>
      <c r="ZJ34" s="9">
        <f t="shared" si="676"/>
        <v>935.70300000006682</v>
      </c>
      <c r="ZK34" s="9">
        <f t="shared" si="676"/>
        <v>1266.9649999999383</v>
      </c>
      <c r="ZL34" s="9">
        <f t="shared" si="676"/>
        <v>764.10400000002119</v>
      </c>
      <c r="ZM34" s="9">
        <f t="shared" si="676"/>
        <v>1189.1290000000154</v>
      </c>
      <c r="ZN34" s="9">
        <f t="shared" si="676"/>
        <v>1063.6309999999648</v>
      </c>
      <c r="ZO34" s="9">
        <f t="shared" si="676"/>
        <v>990.46899999995367</v>
      </c>
      <c r="ZP34" s="9">
        <f t="shared" si="676"/>
        <v>978.4220000000787</v>
      </c>
      <c r="ZQ34" s="9">
        <f t="shared" si="676"/>
        <v>1192.0269999999437</v>
      </c>
      <c r="ZR34" s="9">
        <f t="shared" si="676"/>
        <v>932.71500000002561</v>
      </c>
      <c r="ZS34" s="144">
        <f>ZS22+ZS25+ZS28+ZS31-ZS33</f>
        <v>30276.179000000004</v>
      </c>
      <c r="ZT34" s="9">
        <f t="shared" ref="ZT34:AAW34" si="677">ZT32-ZT33</f>
        <v>1266.3290000000561</v>
      </c>
      <c r="ZU34" s="9">
        <f t="shared" si="677"/>
        <v>1027.3869999999297</v>
      </c>
      <c r="ZV34" s="9">
        <f t="shared" si="677"/>
        <v>900.92400000002817</v>
      </c>
      <c r="ZW34" s="9">
        <f t="shared" si="677"/>
        <v>844.25199999994948</v>
      </c>
      <c r="ZX34" s="9">
        <f t="shared" si="677"/>
        <v>1038.9729999999981</v>
      </c>
      <c r="ZY34" s="9">
        <f t="shared" si="677"/>
        <v>984.03099999998813</v>
      </c>
      <c r="ZZ34" s="9">
        <f t="shared" si="677"/>
        <v>1150.463000000047</v>
      </c>
      <c r="AAA34" s="9">
        <f t="shared" si="677"/>
        <v>981.42600000003586</v>
      </c>
      <c r="AAB34" s="9">
        <f t="shared" si="677"/>
        <v>794.66499999994994</v>
      </c>
      <c r="AAC34" s="9">
        <f t="shared" si="677"/>
        <v>1942.5020000000368</v>
      </c>
      <c r="AAD34" s="9">
        <f t="shared" si="677"/>
        <v>1357.4879999999248</v>
      </c>
      <c r="AAE34" s="9">
        <f t="shared" si="677"/>
        <v>1035.3670000000857</v>
      </c>
      <c r="AAF34" s="9">
        <f t="shared" si="677"/>
        <v>1096.0299999999697</v>
      </c>
      <c r="AAG34" s="9">
        <f t="shared" si="677"/>
        <v>1129.5630000000529</v>
      </c>
      <c r="AAH34" s="9">
        <f t="shared" si="677"/>
        <v>1018.9549999999872</v>
      </c>
      <c r="AAI34" s="9">
        <f t="shared" si="677"/>
        <v>1006.1319999999832</v>
      </c>
      <c r="AAJ34" s="9">
        <f t="shared" si="677"/>
        <v>812.50299999996787</v>
      </c>
      <c r="AAK34" s="9">
        <f t="shared" si="677"/>
        <v>1507.6119999999646</v>
      </c>
      <c r="AAL34" s="9">
        <f t="shared" si="677"/>
        <v>965.80499999996391</v>
      </c>
      <c r="AAM34" s="9">
        <f t="shared" si="677"/>
        <v>1025.2210000000487</v>
      </c>
      <c r="AAN34" s="9">
        <f t="shared" si="677"/>
        <v>1259.1200000000244</v>
      </c>
      <c r="AAO34" s="9">
        <f t="shared" si="677"/>
        <v>756.14300000001094</v>
      </c>
      <c r="AAP34" s="9">
        <f t="shared" si="677"/>
        <v>1213.3449999999139</v>
      </c>
      <c r="AAQ34" s="9">
        <f t="shared" si="677"/>
        <v>848.37100000010105</v>
      </c>
      <c r="AAR34" s="9">
        <f t="shared" si="677"/>
        <v>832.08599999992293</v>
      </c>
      <c r="AAS34" s="9">
        <f t="shared" si="677"/>
        <v>905.46900000007008</v>
      </c>
      <c r="AAT34" s="9">
        <f t="shared" si="677"/>
        <v>951.08999999999651</v>
      </c>
      <c r="AAU34" s="9">
        <f t="shared" si="677"/>
        <v>1041.155000000057</v>
      </c>
      <c r="AAV34" s="9">
        <f t="shared" si="677"/>
        <v>780.11399999991409</v>
      </c>
      <c r="AAW34" s="9">
        <f t="shared" si="677"/>
        <v>779.34700000000885</v>
      </c>
      <c r="AAX34" s="144">
        <f>AAX22+AAX25+AAX28+AAX31-AAX33</f>
        <v>31251.867999999988</v>
      </c>
      <c r="AAY34" s="9">
        <f t="shared" ref="AAY34:ACC34" si="678">AAY32-AAY33</f>
        <v>1106.9239999999991</v>
      </c>
      <c r="AAZ34" s="9">
        <f t="shared" si="678"/>
        <v>856.05799999998999</v>
      </c>
      <c r="ABA34" s="9">
        <f t="shared" si="678"/>
        <v>1062.9210000000312</v>
      </c>
      <c r="ABB34" s="9">
        <f t="shared" si="678"/>
        <v>957.34499999997206</v>
      </c>
      <c r="ABC34" s="9">
        <f t="shared" si="678"/>
        <v>980.44899999999325</v>
      </c>
      <c r="ABD34" s="9">
        <f t="shared" si="678"/>
        <v>885.41700000007404</v>
      </c>
      <c r="ABE34" s="9">
        <f t="shared" si="678"/>
        <v>1042.0809999999765</v>
      </c>
      <c r="ABF34" s="9">
        <f t="shared" si="678"/>
        <v>1080.31700000001</v>
      </c>
      <c r="ABG34" s="9">
        <f t="shared" si="678"/>
        <v>759.20299999995041</v>
      </c>
      <c r="ABH34" s="9">
        <f t="shared" si="678"/>
        <v>1195.8430000000808</v>
      </c>
      <c r="ABI34" s="9">
        <f t="shared" si="678"/>
        <v>1126.5879999999015</v>
      </c>
      <c r="ABJ34" s="9">
        <f t="shared" si="678"/>
        <v>890.21099999998114</v>
      </c>
      <c r="ABK34" s="9">
        <f t="shared" si="678"/>
        <v>960.65700000006473</v>
      </c>
      <c r="ABL34" s="9">
        <f t="shared" si="678"/>
        <v>1166.1729999999807</v>
      </c>
      <c r="ABM34" s="9">
        <f t="shared" si="678"/>
        <v>949.28900000001886</v>
      </c>
      <c r="ABN34" s="9">
        <f t="shared" si="678"/>
        <v>940.7719999999681</v>
      </c>
      <c r="ABO34" s="9">
        <f t="shared" si="678"/>
        <v>928.00700000004031</v>
      </c>
      <c r="ABP34" s="9">
        <f t="shared" si="678"/>
        <v>1330.7919999999867</v>
      </c>
      <c r="ABQ34" s="9">
        <f t="shared" si="678"/>
        <v>1211.6959999999381</v>
      </c>
      <c r="ABR34" s="9">
        <f t="shared" si="678"/>
        <v>834.82600000005914</v>
      </c>
      <c r="ABS34" s="9">
        <f t="shared" si="678"/>
        <v>644.88300000000163</v>
      </c>
      <c r="ABT34" s="9">
        <f t="shared" si="678"/>
        <v>724.85499999995227</v>
      </c>
      <c r="ABU34" s="9">
        <f t="shared" si="678"/>
        <v>978.08500000002095</v>
      </c>
      <c r="ABV34" s="9">
        <f t="shared" si="678"/>
        <v>849.37800000005518</v>
      </c>
      <c r="ABW34" s="9">
        <f t="shared" si="678"/>
        <v>1041.752999999997</v>
      </c>
      <c r="ABX34" s="9">
        <f t="shared" si="678"/>
        <v>919.74399999988964</v>
      </c>
      <c r="ABY34" s="9">
        <f t="shared" si="678"/>
        <v>790.04900000005728</v>
      </c>
      <c r="ABZ34" s="9">
        <f t="shared" si="678"/>
        <v>1391.1459999999497</v>
      </c>
      <c r="ACA34" s="9">
        <f t="shared" si="678"/>
        <v>1039.800000000163</v>
      </c>
      <c r="ACB34" s="9">
        <f t="shared" si="678"/>
        <v>807.05399999988731</v>
      </c>
      <c r="ACC34" s="9">
        <f t="shared" si="678"/>
        <v>835.48300000006566</v>
      </c>
      <c r="ACD34" s="127">
        <f>SUM(AAY34:ACC34)</f>
        <v>30287.799000000057</v>
      </c>
      <c r="ACE34" s="9">
        <f t="shared" ref="ACE34:ADI34" si="679">ACE32-ACE33</f>
        <v>1156.0569999998843</v>
      </c>
      <c r="ACF34" s="9">
        <f t="shared" si="679"/>
        <v>1278.1460000000661</v>
      </c>
      <c r="ACG34" s="9">
        <f t="shared" si="679"/>
        <v>1014.7619999999879</v>
      </c>
      <c r="ACH34" s="9">
        <f t="shared" si="679"/>
        <v>998.14000000001397</v>
      </c>
      <c r="ACI34" s="9">
        <f t="shared" si="679"/>
        <v>937.12900000001537</v>
      </c>
      <c r="ACJ34" s="9">
        <f t="shared" si="679"/>
        <v>1021.0800000000163</v>
      </c>
      <c r="ACK34" s="9">
        <f t="shared" si="679"/>
        <v>955.46699999994598</v>
      </c>
      <c r="ACL34" s="9">
        <f t="shared" si="679"/>
        <v>1127.6749999999884</v>
      </c>
      <c r="ACM34" s="9">
        <f t="shared" si="679"/>
        <v>1030.2999999999884</v>
      </c>
      <c r="ACN34" s="9">
        <f t="shared" si="679"/>
        <v>774.55900000000838</v>
      </c>
      <c r="ACO34" s="9">
        <f t="shared" si="679"/>
        <v>1081.1520000000601</v>
      </c>
      <c r="ACP34" s="9">
        <f t="shared" si="679"/>
        <v>1004.4439999999595</v>
      </c>
      <c r="ACQ34" s="9">
        <f t="shared" si="679"/>
        <v>855.44300000008661</v>
      </c>
      <c r="ACR34" s="9">
        <f t="shared" si="679"/>
        <v>1243.7919999998994</v>
      </c>
      <c r="ACS34" s="9">
        <f t="shared" si="679"/>
        <v>962.36699999996927</v>
      </c>
      <c r="ACT34" s="9">
        <f t="shared" si="679"/>
        <v>1118.5250000000233</v>
      </c>
      <c r="ACU34" s="9">
        <f t="shared" si="679"/>
        <v>902.98000000009779</v>
      </c>
      <c r="ACV34" s="9">
        <f t="shared" si="679"/>
        <v>1185.3479999999399</v>
      </c>
      <c r="ACW34" s="9">
        <f t="shared" si="679"/>
        <v>1032.6719999999623</v>
      </c>
      <c r="ACX34" s="9">
        <f t="shared" si="679"/>
        <v>900.35200000007171</v>
      </c>
      <c r="ACY34" s="9">
        <f t="shared" si="679"/>
        <v>855.83399999997346</v>
      </c>
      <c r="ACZ34" s="9">
        <f t="shared" si="679"/>
        <v>943.38900000002468</v>
      </c>
      <c r="ADA34" s="9">
        <f t="shared" si="679"/>
        <v>1011.4699999999139</v>
      </c>
      <c r="ADB34" s="9">
        <f t="shared" si="679"/>
        <v>1031.6380000000936</v>
      </c>
      <c r="ADC34" s="9">
        <f t="shared" si="679"/>
        <v>1028.9779999999446</v>
      </c>
      <c r="ADD34" s="9">
        <f t="shared" si="679"/>
        <v>811.27700000000186</v>
      </c>
      <c r="ADE34" s="9">
        <f t="shared" si="679"/>
        <v>922.35299999994459</v>
      </c>
      <c r="ADF34" s="9">
        <f t="shared" si="679"/>
        <v>929.40700000006473</v>
      </c>
      <c r="ADG34" s="9">
        <f t="shared" si="679"/>
        <v>953.45200000004843</v>
      </c>
      <c r="ADH34" s="9">
        <f t="shared" si="679"/>
        <v>935.15700000000652</v>
      </c>
      <c r="ADI34" s="9">
        <f t="shared" si="679"/>
        <v>870.54300000000512</v>
      </c>
      <c r="ADJ34" s="127">
        <f>SUM(ACE34:ADI34)</f>
        <v>30873.888000000006</v>
      </c>
      <c r="ADK34" s="9">
        <f t="shared" ref="ADK34:AEN34" si="680">ADK32-ADK33</f>
        <v>881.49900000001071</v>
      </c>
      <c r="ADL34" s="9">
        <f t="shared" si="680"/>
        <v>968.6459999998915</v>
      </c>
      <c r="ADM34" s="9">
        <f t="shared" si="680"/>
        <v>1153.9450000001234</v>
      </c>
      <c r="ADN34" s="9">
        <f t="shared" si="680"/>
        <v>1012.7579999999143</v>
      </c>
      <c r="ADO34" s="9">
        <f t="shared" si="680"/>
        <v>1094.0920000000042</v>
      </c>
      <c r="ADP34" s="9">
        <f t="shared" si="680"/>
        <v>1094.5490000000573</v>
      </c>
      <c r="ADQ34" s="9">
        <f t="shared" si="680"/>
        <v>853.69099999993341</v>
      </c>
      <c r="ADR34" s="9">
        <f t="shared" si="680"/>
        <v>729.05100000003586</v>
      </c>
      <c r="ADS34" s="9">
        <f t="shared" si="680"/>
        <v>1089.2539999999572</v>
      </c>
      <c r="ADT34" s="9">
        <f t="shared" si="680"/>
        <v>915.7170000000624</v>
      </c>
      <c r="ADU34" s="9">
        <f t="shared" si="680"/>
        <v>1054.3559999999707</v>
      </c>
      <c r="ADV34" s="9">
        <f t="shared" si="680"/>
        <v>1035.8429999999935</v>
      </c>
      <c r="ADW34" s="9">
        <f t="shared" si="680"/>
        <v>1198.4330000000773</v>
      </c>
      <c r="ADX34" s="9">
        <f t="shared" si="680"/>
        <v>706.33600000001024</v>
      </c>
      <c r="ADY34" s="9">
        <f t="shared" si="680"/>
        <v>1200.4289999999455</v>
      </c>
      <c r="ADZ34" s="9">
        <f t="shared" si="680"/>
        <v>995.06999999989057</v>
      </c>
      <c r="AEA34" s="9">
        <f t="shared" si="680"/>
        <v>898.84500000008848</v>
      </c>
      <c r="AEB34" s="9">
        <f t="shared" si="680"/>
        <v>945.08599999989383</v>
      </c>
      <c r="AEC34" s="9">
        <f t="shared" si="680"/>
        <v>838.63400000007823</v>
      </c>
      <c r="AED34" s="9">
        <f t="shared" si="680"/>
        <v>1125.310999999987</v>
      </c>
      <c r="AEE34" s="9">
        <f t="shared" si="680"/>
        <v>887.08000000007451</v>
      </c>
      <c r="AEF34" s="9">
        <f t="shared" si="680"/>
        <v>1058.9859999999753</v>
      </c>
      <c r="AEG34" s="9">
        <f t="shared" si="680"/>
        <v>929.60699999995995</v>
      </c>
      <c r="AEH34" s="9">
        <f t="shared" si="680"/>
        <v>720.41200000001118</v>
      </c>
      <c r="AEI34" s="9">
        <f t="shared" si="680"/>
        <v>704.53200000000652</v>
      </c>
      <c r="AEJ34" s="9">
        <f t="shared" si="680"/>
        <v>1024.6019999999553</v>
      </c>
      <c r="AEK34" s="9">
        <f t="shared" si="680"/>
        <v>1044.0000000000582</v>
      </c>
      <c r="AEL34" s="9">
        <f t="shared" si="680"/>
        <v>621.80099999997765</v>
      </c>
      <c r="AEM34" s="9">
        <f t="shared" si="680"/>
        <v>726.85699999995995</v>
      </c>
      <c r="AEN34" s="9">
        <f t="shared" si="680"/>
        <v>1133.2900000000373</v>
      </c>
      <c r="AEO34" s="127">
        <f>SUM(ADK34:AEN34)</f>
        <v>28642.711999999941</v>
      </c>
      <c r="AEP34" s="9">
        <f t="shared" ref="AEP34:AFT34" si="681">AEP32-AEP33</f>
        <v>786.64000000001397</v>
      </c>
      <c r="AEQ34" s="9">
        <f t="shared" si="681"/>
        <v>843.50999999995111</v>
      </c>
      <c r="AER34" s="9">
        <f t="shared" si="681"/>
        <v>736.2620000000461</v>
      </c>
      <c r="AES34" s="9">
        <f t="shared" si="681"/>
        <v>826.22299999993993</v>
      </c>
      <c r="AET34" s="9">
        <f t="shared" si="681"/>
        <v>851.86599999997998</v>
      </c>
      <c r="AEU34" s="9">
        <f t="shared" si="681"/>
        <v>952.83200000011129</v>
      </c>
      <c r="AEV34" s="9">
        <f t="shared" si="681"/>
        <v>794.62800000002608</v>
      </c>
      <c r="AEW34" s="9">
        <f t="shared" si="681"/>
        <v>964.70699999993667</v>
      </c>
      <c r="AEX34" s="9">
        <f t="shared" si="681"/>
        <v>956.34999999997672</v>
      </c>
      <c r="AEY34" s="9">
        <f t="shared" si="681"/>
        <v>905.94000000006054</v>
      </c>
      <c r="AEZ34" s="9">
        <f t="shared" si="681"/>
        <v>850.18699999991804</v>
      </c>
      <c r="AFA34" s="9">
        <f t="shared" si="681"/>
        <v>573.41300000005867</v>
      </c>
      <c r="AFB34" s="9">
        <f t="shared" si="681"/>
        <v>890.85899999999674</v>
      </c>
      <c r="AFC34" s="9">
        <f t="shared" si="681"/>
        <v>683.20599999994738</v>
      </c>
      <c r="AFD34" s="9">
        <f t="shared" si="681"/>
        <v>916.48300000000745</v>
      </c>
      <c r="AFE34" s="9">
        <f t="shared" si="681"/>
        <v>871.59200000000419</v>
      </c>
      <c r="AFF34" s="9">
        <f t="shared" si="681"/>
        <v>989.76699999999255</v>
      </c>
      <c r="AFG34" s="9">
        <f t="shared" si="681"/>
        <v>1063.0949999999721</v>
      </c>
      <c r="AFH34" s="9">
        <f t="shared" si="681"/>
        <v>965.31600000004983</v>
      </c>
      <c r="AFI34" s="9">
        <f t="shared" si="681"/>
        <v>1000.6960000000545</v>
      </c>
      <c r="AFJ34" s="9">
        <f t="shared" si="681"/>
        <v>765.95199999993201</v>
      </c>
      <c r="AFK34" s="9">
        <f t="shared" si="681"/>
        <v>648.32900000002701</v>
      </c>
      <c r="AFL34" s="9">
        <f t="shared" si="681"/>
        <v>840.30200000002515</v>
      </c>
      <c r="AFM34" s="9">
        <f t="shared" si="681"/>
        <v>707.88199999998324</v>
      </c>
      <c r="AFN34" s="9">
        <f t="shared" si="681"/>
        <v>1037.8040000000037</v>
      </c>
      <c r="AFO34" s="9">
        <f t="shared" si="681"/>
        <v>748.07600000000093</v>
      </c>
      <c r="AFP34" s="9">
        <f t="shared" si="681"/>
        <v>832.41199999995297</v>
      </c>
      <c r="AFQ34" s="9">
        <f t="shared" si="681"/>
        <v>851.45199999999022</v>
      </c>
      <c r="AFR34" s="9">
        <f t="shared" si="681"/>
        <v>592.16800000006333</v>
      </c>
      <c r="AFS34" s="9">
        <f t="shared" si="681"/>
        <v>980.77399999991758</v>
      </c>
      <c r="AFT34" s="9">
        <f t="shared" si="681"/>
        <v>720.36600000003818</v>
      </c>
      <c r="AFU34" s="127">
        <f>SUM(AEP34:AFT34)</f>
        <v>26149.088999999978</v>
      </c>
      <c r="AFV34" s="9">
        <f t="shared" ref="AFV34:AGY34" si="682">AFV32-AFV33</f>
        <v>836.66599999996834</v>
      </c>
      <c r="AFW34" s="9">
        <f t="shared" si="682"/>
        <v>752.18400000006659</v>
      </c>
      <c r="AFX34" s="9">
        <f t="shared" si="682"/>
        <v>850.18599999998696</v>
      </c>
      <c r="AFY34" s="9">
        <f t="shared" si="682"/>
        <v>707.6239999999525</v>
      </c>
      <c r="AFZ34" s="9">
        <f t="shared" si="682"/>
        <v>874.33000000007451</v>
      </c>
      <c r="AGA34" s="9">
        <f t="shared" si="682"/>
        <v>673.04700000002049</v>
      </c>
      <c r="AGB34" s="9">
        <f t="shared" si="682"/>
        <v>868.3520000000135</v>
      </c>
      <c r="AGC34" s="9">
        <f t="shared" si="682"/>
        <v>712.84299999993527</v>
      </c>
      <c r="AGD34" s="9">
        <f t="shared" si="682"/>
        <v>739.97500000003492</v>
      </c>
      <c r="AGE34" s="9">
        <f t="shared" si="682"/>
        <v>784.4890000000014</v>
      </c>
      <c r="AGF34" s="9">
        <f t="shared" si="682"/>
        <v>857.478000000061</v>
      </c>
      <c r="AGG34" s="9">
        <f t="shared" si="682"/>
        <v>827.25899999990361</v>
      </c>
      <c r="AGH34" s="9">
        <f t="shared" si="682"/>
        <v>738.49199999996927</v>
      </c>
      <c r="AGI34" s="9">
        <f t="shared" si="682"/>
        <v>785.95800000004238</v>
      </c>
      <c r="AGJ34" s="9">
        <f t="shared" si="682"/>
        <v>707.8859999999404</v>
      </c>
      <c r="AGK34" s="9">
        <f t="shared" si="682"/>
        <v>849.18100000004051</v>
      </c>
      <c r="AGL34" s="9">
        <f t="shared" si="682"/>
        <v>610.32700000010664</v>
      </c>
      <c r="AGM34" s="9">
        <f t="shared" si="682"/>
        <v>783.43899999983842</v>
      </c>
      <c r="AGN34" s="9">
        <f t="shared" si="682"/>
        <v>715.25500000012107</v>
      </c>
      <c r="AGO34" s="9">
        <f t="shared" si="682"/>
        <v>884.9189999999362</v>
      </c>
      <c r="AGP34" s="9">
        <f t="shared" si="682"/>
        <v>933.02899999998044</v>
      </c>
      <c r="AGQ34" s="9">
        <f t="shared" si="682"/>
        <v>1176.2470000000321</v>
      </c>
      <c r="AGR34" s="9">
        <f t="shared" si="682"/>
        <v>1014.6000000000931</v>
      </c>
      <c r="AGS34" s="9">
        <f t="shared" si="682"/>
        <v>741.90199999988545</v>
      </c>
      <c r="AGT34" s="9">
        <f t="shared" si="682"/>
        <v>718.58199999999488</v>
      </c>
      <c r="AGU34" s="9">
        <f t="shared" si="682"/>
        <v>914.19799999997485</v>
      </c>
      <c r="AGV34" s="9">
        <f t="shared" si="682"/>
        <v>813.30400000012014</v>
      </c>
      <c r="AGW34" s="9">
        <f t="shared" si="682"/>
        <v>1102.4629999999888</v>
      </c>
      <c r="AGX34" s="9">
        <f t="shared" si="682"/>
        <v>1079.707999999926</v>
      </c>
      <c r="AGY34" s="9">
        <f t="shared" si="682"/>
        <v>838.25700000004144</v>
      </c>
      <c r="AGZ34" s="127">
        <f>SUM(AFV34:AGY34)</f>
        <v>24892.180000000051</v>
      </c>
      <c r="AHA34" s="9">
        <f t="shared" ref="AHA34:AIE34" si="683">AHA32-AHA33</f>
        <v>883.01899999997113</v>
      </c>
      <c r="AHB34" s="9">
        <f t="shared" si="683"/>
        <v>905.17300000000978</v>
      </c>
      <c r="AHC34" s="9">
        <f t="shared" si="683"/>
        <v>1090.8220000000438</v>
      </c>
      <c r="AHD34" s="9">
        <f t="shared" si="683"/>
        <v>852.69899999996414</v>
      </c>
      <c r="AHE34" s="9">
        <f t="shared" si="683"/>
        <v>1446.9400000000023</v>
      </c>
      <c r="AHF34" s="9">
        <f t="shared" si="683"/>
        <v>756.43800000002375</v>
      </c>
      <c r="AHG34" s="9">
        <f t="shared" si="683"/>
        <v>866.68599999992875</v>
      </c>
      <c r="AHH34" s="9">
        <f t="shared" si="683"/>
        <v>818.64299999998184</v>
      </c>
      <c r="AHI34" s="9">
        <f t="shared" si="683"/>
        <v>1098.4720000000088</v>
      </c>
      <c r="AHJ34" s="9">
        <f t="shared" si="683"/>
        <v>828.08300000004238</v>
      </c>
      <c r="AHK34" s="9">
        <f t="shared" si="683"/>
        <v>521.46599999995669</v>
      </c>
      <c r="AHL34" s="9">
        <f t="shared" si="683"/>
        <v>1065.9040000000386</v>
      </c>
      <c r="AHM34" s="9">
        <f t="shared" si="683"/>
        <v>874.81400000001304</v>
      </c>
      <c r="AHN34" s="9">
        <f t="shared" si="683"/>
        <v>612.55400000000373</v>
      </c>
      <c r="AHO34" s="9">
        <f t="shared" si="683"/>
        <v>1001.0109999999404</v>
      </c>
      <c r="AHP34" s="9">
        <f t="shared" si="683"/>
        <v>880.14400000014575</v>
      </c>
      <c r="AHQ34" s="9">
        <f t="shared" si="683"/>
        <v>853.10699999990175</v>
      </c>
      <c r="AHR34" s="9">
        <f t="shared" si="683"/>
        <v>971.29800000000978</v>
      </c>
      <c r="AHS34" s="9">
        <f t="shared" si="683"/>
        <v>882.69099999999162</v>
      </c>
      <c r="AHT34" s="9">
        <f t="shared" si="683"/>
        <v>763.18199999991339</v>
      </c>
      <c r="AHU34" s="9">
        <f t="shared" si="683"/>
        <v>937.89300000015646</v>
      </c>
      <c r="AHV34" s="9">
        <f t="shared" si="683"/>
        <v>985.66699999984121</v>
      </c>
      <c r="AHW34" s="9">
        <f t="shared" si="683"/>
        <v>1065.2700000000186</v>
      </c>
      <c r="AHX34" s="9">
        <f t="shared" si="683"/>
        <v>815.38200000009965</v>
      </c>
      <c r="AHY34" s="9">
        <f t="shared" si="683"/>
        <v>600.60799999994924</v>
      </c>
      <c r="AHZ34" s="9">
        <f t="shared" si="683"/>
        <v>560.87000000005355</v>
      </c>
      <c r="AIA34" s="9">
        <f t="shared" si="683"/>
        <v>659.44699999998556</v>
      </c>
      <c r="AIB34" s="9">
        <f t="shared" si="683"/>
        <v>514.03000000002794</v>
      </c>
      <c r="AIC34" s="9">
        <f t="shared" si="683"/>
        <v>721.43099999986589</v>
      </c>
      <c r="AID34" s="9">
        <f t="shared" si="683"/>
        <v>757.94500000006519</v>
      </c>
      <c r="AIE34" s="9">
        <f t="shared" si="683"/>
        <v>926.10499999998137</v>
      </c>
      <c r="AIF34" s="127">
        <f>SUM(AHB34:AIE34)</f>
        <v>25634.774999999965</v>
      </c>
      <c r="AIG34" s="9">
        <f t="shared" ref="AIG34:AJK34" si="684">AIG32-AIG33</f>
        <v>728.31300000002375</v>
      </c>
      <c r="AIH34" s="9">
        <f t="shared" si="684"/>
        <v>772.38500000000931</v>
      </c>
      <c r="AII34" s="9">
        <f t="shared" si="684"/>
        <v>822.99499999999534</v>
      </c>
      <c r="AIJ34" s="9">
        <f t="shared" si="684"/>
        <v>582.65600000007544</v>
      </c>
      <c r="AIK34" s="9">
        <f t="shared" si="684"/>
        <v>760.96099999995204</v>
      </c>
      <c r="AIL34" s="9">
        <f t="shared" si="684"/>
        <v>921.43400000006659</v>
      </c>
      <c r="AIM34" s="9">
        <f t="shared" si="684"/>
        <v>862.73199999995995</v>
      </c>
      <c r="AIN34" s="9">
        <f t="shared" si="684"/>
        <v>916.17799999995623</v>
      </c>
      <c r="AIO34" s="9">
        <f t="shared" si="684"/>
        <v>920.64600000000792</v>
      </c>
      <c r="AIP34" s="9">
        <f t="shared" si="684"/>
        <v>1144.1980000000331</v>
      </c>
      <c r="AIQ34" s="9">
        <f t="shared" si="684"/>
        <v>603.65399999998044</v>
      </c>
      <c r="AIR34" s="9">
        <f t="shared" si="684"/>
        <v>697.22999999998137</v>
      </c>
      <c r="AIS34" s="9">
        <f t="shared" si="684"/>
        <v>634.02299999992829</v>
      </c>
      <c r="AIT34" s="9">
        <f t="shared" si="684"/>
        <v>698.56000000011409</v>
      </c>
      <c r="AIU34" s="9">
        <f t="shared" si="684"/>
        <v>282.21399999997811</v>
      </c>
      <c r="AIV34" s="9">
        <f t="shared" si="684"/>
        <v>320.6940000000177</v>
      </c>
      <c r="AIW34" s="9">
        <f t="shared" si="684"/>
        <v>326.36399999994319</v>
      </c>
      <c r="AIX34" s="9">
        <f t="shared" si="684"/>
        <v>499.32500000001164</v>
      </c>
      <c r="AIY34" s="9">
        <f t="shared" si="684"/>
        <v>757.2489999999525</v>
      </c>
      <c r="AIZ34" s="9">
        <f t="shared" si="684"/>
        <v>702.27900000003865</v>
      </c>
      <c r="AJA34" s="9">
        <f t="shared" si="684"/>
        <v>847.18600000004517</v>
      </c>
      <c r="AJB34" s="9">
        <f t="shared" si="684"/>
        <v>651.90299999987474</v>
      </c>
      <c r="AJC34" s="9">
        <f t="shared" si="684"/>
        <v>710.97500000003492</v>
      </c>
      <c r="AJD34" s="9">
        <f t="shared" si="684"/>
        <v>842.51500000007218</v>
      </c>
      <c r="AJE34" s="9">
        <f t="shared" si="684"/>
        <v>502.46199999988312</v>
      </c>
      <c r="AJF34" s="9">
        <f t="shared" si="684"/>
        <v>675.4100000000908</v>
      </c>
      <c r="AJG34" s="9">
        <f t="shared" si="684"/>
        <v>793.8179999999702</v>
      </c>
      <c r="AJH34" s="9">
        <f t="shared" si="684"/>
        <v>931.67500000004657</v>
      </c>
      <c r="AJI34" s="9">
        <f t="shared" si="684"/>
        <v>755.52800000004936</v>
      </c>
      <c r="AJJ34" s="9">
        <f t="shared" si="684"/>
        <v>927.5209999998915</v>
      </c>
      <c r="AJK34" s="9">
        <f t="shared" si="684"/>
        <v>827.27800000004936</v>
      </c>
      <c r="AJL34" s="127">
        <f>SUM(AIH34:AJK34)</f>
        <v>21692.04800000001</v>
      </c>
      <c r="AJM34" s="9">
        <f t="shared" ref="AJM34:AKN34" si="685">AJM32-AJM33</f>
        <v>697.27899999998044</v>
      </c>
      <c r="AJN34" s="9">
        <f t="shared" si="685"/>
        <v>812.05800000001909</v>
      </c>
      <c r="AJO34" s="9">
        <f t="shared" si="685"/>
        <v>760.31700000003912</v>
      </c>
      <c r="AJP34" s="9">
        <f t="shared" si="685"/>
        <v>764.27500000002328</v>
      </c>
      <c r="AJQ34" s="9">
        <f t="shared" si="685"/>
        <v>1008.4789999999339</v>
      </c>
      <c r="AJR34" s="9">
        <f t="shared" si="685"/>
        <v>705.75399999995716</v>
      </c>
      <c r="AJS34" s="9">
        <f t="shared" si="685"/>
        <v>690.44800000009127</v>
      </c>
      <c r="AJT34" s="9">
        <f t="shared" si="685"/>
        <v>1010.2399999999907</v>
      </c>
      <c r="AJU34" s="9">
        <f t="shared" si="685"/>
        <v>909.59400000004098</v>
      </c>
      <c r="AJV34" s="9">
        <f t="shared" si="685"/>
        <v>819.23299999994924</v>
      </c>
      <c r="AJW34" s="9">
        <f t="shared" si="685"/>
        <v>834.04299999988871</v>
      </c>
      <c r="AJX34" s="9">
        <f t="shared" si="685"/>
        <v>1048.0770000001066</v>
      </c>
      <c r="AJY34" s="9">
        <f t="shared" si="685"/>
        <v>935.15000000002328</v>
      </c>
      <c r="AJZ34" s="9">
        <f t="shared" si="685"/>
        <v>765.97099999990314</v>
      </c>
      <c r="AKA34" s="9">
        <f t="shared" si="685"/>
        <v>762.92799999995623</v>
      </c>
      <c r="AKB34" s="9">
        <f t="shared" si="685"/>
        <v>785.90200000011828</v>
      </c>
      <c r="AKC34" s="9">
        <f t="shared" si="685"/>
        <v>679.55200000002515</v>
      </c>
      <c r="AKD34" s="9">
        <f t="shared" si="685"/>
        <v>701.63899999990826</v>
      </c>
      <c r="AKE34" s="9">
        <f t="shared" si="685"/>
        <v>714.63400000002002</v>
      </c>
      <c r="AKF34" s="9">
        <f t="shared" si="685"/>
        <v>984.84799999999814</v>
      </c>
      <c r="AKG34" s="9">
        <f t="shared" si="685"/>
        <v>651.4320000000065</v>
      </c>
      <c r="AKH34" s="9">
        <f t="shared" si="685"/>
        <v>621.62100000010105</v>
      </c>
      <c r="AKI34" s="9">
        <f t="shared" si="685"/>
        <v>881.54899999994086</v>
      </c>
      <c r="AKJ34" s="9">
        <f t="shared" si="685"/>
        <v>948.36599999997998</v>
      </c>
      <c r="AKK34" s="9">
        <f t="shared" si="685"/>
        <v>841.37899999995716</v>
      </c>
      <c r="AKL34" s="9">
        <f t="shared" si="685"/>
        <v>664.00200000009499</v>
      </c>
      <c r="AKM34" s="9">
        <f t="shared" si="685"/>
        <v>811.85800000006566</v>
      </c>
      <c r="AKN34" s="9">
        <f t="shared" si="685"/>
        <v>948.2029999998631</v>
      </c>
      <c r="AKO34" s="127">
        <f>SUM(AJM34:AKN34)</f>
        <v>22758.830999999984</v>
      </c>
      <c r="AKP34" s="9">
        <f t="shared" ref="AKP34:ALT34" si="686">AKP32-AKP33</f>
        <v>800.99500000005355</v>
      </c>
      <c r="AKQ34" s="9">
        <f t="shared" si="686"/>
        <v>851.20199999999022</v>
      </c>
      <c r="AKR34" s="9">
        <f t="shared" si="686"/>
        <v>826.86600000003818</v>
      </c>
      <c r="AKS34" s="9">
        <f t="shared" si="686"/>
        <v>604.01899999985471</v>
      </c>
      <c r="AKT34" s="9">
        <f t="shared" si="686"/>
        <v>765.35300000000279</v>
      </c>
      <c r="AKU34" s="9">
        <f t="shared" si="686"/>
        <v>687.48100000014529</v>
      </c>
      <c r="AKV34" s="9">
        <f t="shared" si="686"/>
        <v>1491.4949999999953</v>
      </c>
      <c r="AKW34" s="9">
        <f t="shared" si="686"/>
        <v>819.86699999991106</v>
      </c>
      <c r="AKX34" s="9">
        <f t="shared" si="686"/>
        <v>786.46300000001258</v>
      </c>
      <c r="AKY34" s="9">
        <f t="shared" si="686"/>
        <v>581.05099999997765</v>
      </c>
      <c r="AKZ34" s="9">
        <f t="shared" si="686"/>
        <v>728.21500000008382</v>
      </c>
      <c r="ALA34" s="9">
        <f t="shared" si="686"/>
        <v>729.78399999992689</v>
      </c>
      <c r="ALB34" s="9">
        <f t="shared" si="686"/>
        <v>817.44200000009732</v>
      </c>
      <c r="ALC34" s="9">
        <f t="shared" si="686"/>
        <v>1017.5439999999362</v>
      </c>
      <c r="ALD34" s="9">
        <f t="shared" si="686"/>
        <v>1085.2970000000205</v>
      </c>
      <c r="ALE34" s="9">
        <f t="shared" si="686"/>
        <v>1014.942999999912</v>
      </c>
      <c r="ALF34" s="9">
        <f t="shared" si="686"/>
        <v>811.62000000011176</v>
      </c>
      <c r="ALG34" s="9">
        <f t="shared" si="686"/>
        <v>867.54300000000512</v>
      </c>
      <c r="ALH34" s="9">
        <f t="shared" si="686"/>
        <v>884.08699999999953</v>
      </c>
      <c r="ALI34" s="9">
        <f t="shared" si="686"/>
        <v>788.68399999995017</v>
      </c>
      <c r="ALJ34" s="9">
        <f t="shared" si="686"/>
        <v>1015.0559999999823</v>
      </c>
      <c r="ALK34" s="9">
        <f t="shared" si="686"/>
        <v>1127.9960000000428</v>
      </c>
      <c r="ALL34" s="9">
        <f t="shared" si="686"/>
        <v>5162.3579999999492</v>
      </c>
      <c r="ALM34" s="9">
        <f t="shared" si="686"/>
        <v>817.00200000003679</v>
      </c>
      <c r="ALN34" s="9">
        <f t="shared" si="686"/>
        <v>885.20000000001164</v>
      </c>
      <c r="ALO34" s="9">
        <f t="shared" si="686"/>
        <v>708.42599999997765</v>
      </c>
      <c r="ALP34" s="9">
        <f t="shared" si="686"/>
        <v>931.39999999996508</v>
      </c>
      <c r="ALQ34" s="9">
        <f t="shared" si="686"/>
        <v>846.40400000003865</v>
      </c>
      <c r="ALR34" s="9">
        <f t="shared" si="686"/>
        <v>859.62499999994179</v>
      </c>
      <c r="ALS34" s="9">
        <f t="shared" si="686"/>
        <v>888.00000000011642</v>
      </c>
      <c r="ALT34" s="9">
        <f t="shared" si="686"/>
        <v>731.77599999989616</v>
      </c>
      <c r="ALU34" s="127">
        <f>SUM(AKP34:ALT34)</f>
        <v>30933.193999999981</v>
      </c>
      <c r="ALV34" s="9">
        <f t="shared" ref="ALV34:AMY34" si="687">ALV32-ALV33</f>
        <v>1001.4370000000345</v>
      </c>
      <c r="ALW34" s="9">
        <f t="shared" si="687"/>
        <v>802.94399999995949</v>
      </c>
      <c r="ALX34" s="9">
        <f t="shared" si="687"/>
        <v>876.89000000007218</v>
      </c>
      <c r="ALY34" s="9">
        <f t="shared" si="687"/>
        <v>976.41800000000512</v>
      </c>
      <c r="ALZ34" s="9">
        <f t="shared" si="687"/>
        <v>406.01999999996042</v>
      </c>
      <c r="AMA34" s="9">
        <f t="shared" si="687"/>
        <v>686.65299999999115</v>
      </c>
      <c r="AMB34" s="9">
        <f t="shared" si="687"/>
        <v>846.60799999989104</v>
      </c>
      <c r="AMC34" s="9">
        <f t="shared" si="687"/>
        <v>849.11100000020815</v>
      </c>
      <c r="AMD34" s="9">
        <f t="shared" si="687"/>
        <v>877.65200000000186</v>
      </c>
      <c r="AME34" s="9">
        <f t="shared" si="687"/>
        <v>898.32600000000093</v>
      </c>
      <c r="AMF34" s="9">
        <f t="shared" si="687"/>
        <v>1195.9879999998957</v>
      </c>
      <c r="AMG34" s="9">
        <f t="shared" si="687"/>
        <v>834.98199999995995</v>
      </c>
      <c r="AMH34" s="9">
        <f t="shared" si="687"/>
        <v>864.72300000005635</v>
      </c>
      <c r="AMI34" s="9">
        <f t="shared" si="687"/>
        <v>869.46899999998277</v>
      </c>
      <c r="AMJ34" s="9">
        <f t="shared" si="687"/>
        <v>1066.1760000000359</v>
      </c>
      <c r="AMK34" s="9">
        <f t="shared" si="687"/>
        <v>1166.4409999999916</v>
      </c>
      <c r="AML34" s="9">
        <f t="shared" si="687"/>
        <v>831.13100000005215</v>
      </c>
      <c r="AMM34" s="9">
        <f t="shared" si="687"/>
        <v>901.78899999993155</v>
      </c>
      <c r="AMN34" s="9">
        <f t="shared" si="687"/>
        <v>906.55600000004051</v>
      </c>
      <c r="AMO34" s="9">
        <f t="shared" si="687"/>
        <v>768.17299999989336</v>
      </c>
      <c r="AMP34" s="9">
        <f t="shared" si="687"/>
        <v>691.01700000005076</v>
      </c>
      <c r="AMQ34" s="9">
        <f t="shared" si="687"/>
        <v>938.04200000001583</v>
      </c>
      <c r="AMR34" s="9">
        <f t="shared" si="687"/>
        <v>1028.2919999998994</v>
      </c>
      <c r="AMS34" s="9">
        <f t="shared" si="687"/>
        <v>1005.1510000002454</v>
      </c>
      <c r="AMT34" s="9">
        <f t="shared" si="687"/>
        <v>1045.2869999998366</v>
      </c>
      <c r="AMU34" s="9">
        <f t="shared" si="687"/>
        <v>919.37100000010105</v>
      </c>
      <c r="AMV34" s="9">
        <f t="shared" si="687"/>
        <v>1076.2379999999539</v>
      </c>
      <c r="AMW34" s="9">
        <f t="shared" si="687"/>
        <v>1084.8800000000047</v>
      </c>
      <c r="AMX34" s="9">
        <f t="shared" si="687"/>
        <v>941.60500000009779</v>
      </c>
      <c r="AMY34" s="9">
        <f t="shared" si="687"/>
        <v>798.64999999990687</v>
      </c>
      <c r="AMZ34" s="127">
        <f>SUM(ALV34:AMY34)</f>
        <v>27156.020000000077</v>
      </c>
      <c r="ANA34" s="9">
        <f t="shared" ref="ANA34:AOF34" si="688">ANA32-ANA33</f>
        <v>729.91200000006938</v>
      </c>
      <c r="ANB34" s="9">
        <f t="shared" si="688"/>
        <v>708.31199999991804</v>
      </c>
      <c r="ANC34" s="9">
        <f t="shared" si="688"/>
        <v>398.75200000003679</v>
      </c>
      <c r="AND34" s="9">
        <f t="shared" si="688"/>
        <v>623.59999999990407</v>
      </c>
      <c r="ANE34" s="9">
        <f t="shared" si="688"/>
        <v>427.31300000002375</v>
      </c>
      <c r="ANF34" s="9">
        <f t="shared" si="688"/>
        <v>609.82000000000698</v>
      </c>
      <c r="ANG34" s="9">
        <f t="shared" si="688"/>
        <v>475.71800000005169</v>
      </c>
      <c r="ANH34" s="9">
        <f t="shared" si="688"/>
        <v>554.54299999988871</v>
      </c>
      <c r="ANI34" s="9">
        <f t="shared" si="688"/>
        <v>613.97000000008848</v>
      </c>
      <c r="ANJ34" s="9">
        <f t="shared" si="688"/>
        <v>724.70900000003166</v>
      </c>
      <c r="ANK34" s="9">
        <f t="shared" si="688"/>
        <v>679.0789999999688</v>
      </c>
      <c r="ANL34" s="9">
        <f t="shared" si="688"/>
        <v>370.93000000005122</v>
      </c>
      <c r="ANM34" s="9">
        <f t="shared" si="688"/>
        <v>652.17599999986123</v>
      </c>
      <c r="ANN34" s="9">
        <f t="shared" si="688"/>
        <v>607.71200000011595</v>
      </c>
      <c r="ANO34" s="9">
        <f t="shared" si="688"/>
        <v>778.65100000001257</v>
      </c>
      <c r="ANP34" s="9">
        <f t="shared" si="688"/>
        <v>717.18400000000838</v>
      </c>
      <c r="ANQ34" s="9">
        <f t="shared" si="688"/>
        <v>537.418999999878</v>
      </c>
      <c r="ANR34" s="9">
        <f t="shared" si="688"/>
        <v>667.64900000003399</v>
      </c>
      <c r="ANS34" s="9">
        <f t="shared" si="688"/>
        <v>666.3070000000298</v>
      </c>
      <c r="ANT34" s="9">
        <f t="shared" si="688"/>
        <v>793.68999999988591</v>
      </c>
      <c r="ANU34" s="9">
        <f t="shared" si="688"/>
        <v>603.58300000015879</v>
      </c>
      <c r="ANV34" s="9">
        <f t="shared" si="688"/>
        <v>1104.5489999999409</v>
      </c>
      <c r="ANW34" s="9">
        <f t="shared" si="688"/>
        <v>872.37599999998929</v>
      </c>
      <c r="ANX34" s="9">
        <f t="shared" si="688"/>
        <v>654.46799999993527</v>
      </c>
      <c r="ANY34" s="9">
        <f t="shared" si="688"/>
        <v>894.59500000008848</v>
      </c>
      <c r="ANZ34" s="9">
        <f t="shared" si="688"/>
        <v>1194.0719999999856</v>
      </c>
      <c r="AOA34" s="9">
        <f t="shared" si="688"/>
        <v>756.01800000004005</v>
      </c>
      <c r="AOB34" s="9">
        <f t="shared" si="688"/>
        <v>794.99099999997998</v>
      </c>
      <c r="AOC34" s="9">
        <f t="shared" si="688"/>
        <v>1184.1470000000554</v>
      </c>
      <c r="AOD34" s="9">
        <f t="shared" si="688"/>
        <v>640.47199999995064</v>
      </c>
      <c r="AOE34">
        <f t="shared" si="688"/>
        <v>640.47199999995064</v>
      </c>
      <c r="AOF34">
        <f t="shared" si="688"/>
        <v>-459557.60800000001</v>
      </c>
    </row>
    <row r="35" spans="1:1072" x14ac:dyDescent="0.2">
      <c r="A35" s="19"/>
      <c r="B35" s="5"/>
      <c r="C35" s="11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GK35" s="127">
        <f>SUM(FF35:GJ35)</f>
        <v>0</v>
      </c>
      <c r="HO35" s="127">
        <f>SUM(GJ35:HN35)</f>
        <v>0</v>
      </c>
    </row>
    <row r="36" spans="1:1072" x14ac:dyDescent="0.2">
      <c r="PB36">
        <v>1237</v>
      </c>
    </row>
    <row r="37" spans="1:1072" x14ac:dyDescent="0.2">
      <c r="MA37">
        <v>1387</v>
      </c>
    </row>
    <row r="38" spans="1:1072" x14ac:dyDescent="0.2">
      <c r="BN38" s="1">
        <f>BN34+BN18</f>
        <v>121220.99900000004</v>
      </c>
      <c r="MA38">
        <v>1402</v>
      </c>
    </row>
    <row r="39" spans="1:1072" x14ac:dyDescent="0.2">
      <c r="MA39">
        <f>MA38-MA37</f>
        <v>15</v>
      </c>
    </row>
    <row r="40" spans="1:1072" x14ac:dyDescent="0.2">
      <c r="ZB40">
        <v>4800</v>
      </c>
      <c r="AEO40">
        <v>48000</v>
      </c>
      <c r="AMJ40">
        <f>8000000/3650</f>
        <v>2191.7808219178082</v>
      </c>
    </row>
    <row r="41" spans="1:1072" x14ac:dyDescent="0.2">
      <c r="YX41">
        <v>5354</v>
      </c>
      <c r="ZB41">
        <v>9914</v>
      </c>
      <c r="AEO41">
        <v>28600</v>
      </c>
    </row>
    <row r="42" spans="1:1072" x14ac:dyDescent="0.2">
      <c r="YX42">
        <v>521</v>
      </c>
      <c r="ZB42">
        <f>SUM(ZB40:ZB41)</f>
        <v>14714</v>
      </c>
    </row>
    <row r="43" spans="1:1072" x14ac:dyDescent="0.2">
      <c r="YX43">
        <f>YX41-YX42</f>
        <v>4833</v>
      </c>
      <c r="ZB43">
        <v>14721</v>
      </c>
    </row>
    <row r="44" spans="1:1072" x14ac:dyDescent="0.2">
      <c r="YX44">
        <v>9914</v>
      </c>
      <c r="ZB44">
        <f>ZB43-ZB42</f>
        <v>7</v>
      </c>
    </row>
    <row r="45" spans="1:1072" x14ac:dyDescent="0.2">
      <c r="YX45">
        <f>SUM(YX43:YX44)</f>
        <v>14747</v>
      </c>
      <c r="YY45">
        <v>14721</v>
      </c>
      <c r="YZ45">
        <f>YX45-YY45</f>
        <v>26</v>
      </c>
    </row>
    <row r="46" spans="1:1072" x14ac:dyDescent="0.2">
      <c r="CM46">
        <v>14194000</v>
      </c>
    </row>
    <row r="47" spans="1:1072" x14ac:dyDescent="0.2">
      <c r="CM47">
        <v>6608000</v>
      </c>
    </row>
    <row r="48" spans="1:1072" x14ac:dyDescent="0.2">
      <c r="CM48">
        <f>CM46-CM47</f>
        <v>7586000</v>
      </c>
      <c r="CN48">
        <v>11301000</v>
      </c>
      <c r="CO48">
        <f>SUM(CM48:CN48)</f>
        <v>18887000</v>
      </c>
    </row>
  </sheetData>
  <mergeCells count="10">
    <mergeCell ref="A4:A18"/>
    <mergeCell ref="B23:B25"/>
    <mergeCell ref="B4:B6"/>
    <mergeCell ref="B10:B12"/>
    <mergeCell ref="A20:A34"/>
    <mergeCell ref="B20:B22"/>
    <mergeCell ref="B26:B28"/>
    <mergeCell ref="B13:B15"/>
    <mergeCell ref="B29:B31"/>
    <mergeCell ref="B7:B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E77"/>
  <sheetViews>
    <sheetView zoomScaleNormal="230" workbookViewId="0">
      <pane xSplit="2" ySplit="3" topLeftCell="ANH79" activePane="bottomRight" state="frozen"/>
      <selection pane="topRight" activeCell="C1" sqref="C1"/>
      <selection pane="bottomLeft" activeCell="A4" sqref="A4"/>
      <selection pane="bottomRight" activeCell="AOE22" sqref="AOE22"/>
    </sheetView>
  </sheetViews>
  <sheetFormatPr baseColWidth="10" defaultColWidth="8.83203125" defaultRowHeight="15" x14ac:dyDescent="0.2"/>
  <cols>
    <col min="2" max="2" width="19.83203125" customWidth="1"/>
    <col min="3" max="3" width="14.5" customWidth="1"/>
    <col min="4" max="4" width="15.1640625" customWidth="1"/>
    <col min="5" max="5" width="10.5" customWidth="1"/>
    <col min="6" max="6" width="13.5" customWidth="1"/>
    <col min="7" max="7" width="13" bestFit="1" customWidth="1"/>
    <col min="8" max="8" width="12.5" customWidth="1"/>
    <col min="9" max="9" width="12.1640625" customWidth="1"/>
    <col min="10" max="11" width="13" customWidth="1"/>
    <col min="12" max="12" width="11.6640625" customWidth="1"/>
    <col min="13" max="13" width="11.5" customWidth="1"/>
    <col min="14" max="14" width="11" customWidth="1"/>
    <col min="15" max="15" width="11.5" customWidth="1"/>
    <col min="16" max="16" width="12" customWidth="1"/>
    <col min="17" max="17" width="10.83203125" customWidth="1"/>
    <col min="18" max="18" width="10.6640625" customWidth="1"/>
    <col min="19" max="19" width="13" customWidth="1"/>
    <col min="20" max="20" width="11.5" customWidth="1"/>
    <col min="21" max="21" width="13.5" customWidth="1"/>
    <col min="22" max="22" width="13.1640625" customWidth="1"/>
    <col min="23" max="23" width="10.5" customWidth="1"/>
    <col min="24" max="24" width="14.1640625" customWidth="1"/>
    <col min="25" max="25" width="11.83203125" customWidth="1"/>
    <col min="26" max="26" width="14" customWidth="1"/>
    <col min="27" max="27" width="13.1640625" customWidth="1"/>
    <col min="28" max="28" width="11.1640625" customWidth="1"/>
    <col min="29" max="29" width="10.5" customWidth="1"/>
    <col min="30" max="31" width="11.5" customWidth="1"/>
    <col min="32" max="32" width="14.1640625" customWidth="1"/>
    <col min="33" max="33" width="10.83203125" customWidth="1"/>
    <col min="34" max="34" width="16" customWidth="1"/>
    <col min="35" max="35" width="12.83203125" customWidth="1"/>
    <col min="36" max="36" width="13.83203125" customWidth="1"/>
    <col min="37" max="37" width="11.83203125" customWidth="1"/>
    <col min="38" max="38" width="11.1640625" customWidth="1"/>
    <col min="39" max="39" width="11.5" customWidth="1"/>
    <col min="40" max="40" width="11" customWidth="1"/>
    <col min="41" max="41" width="12.1640625" customWidth="1"/>
    <col min="42" max="42" width="13.6640625" customWidth="1"/>
    <col min="43" max="43" width="11.5" customWidth="1"/>
    <col min="44" max="44" width="10.6640625" customWidth="1"/>
    <col min="45" max="45" width="12.1640625" customWidth="1"/>
    <col min="46" max="46" width="11.1640625" customWidth="1"/>
    <col min="47" max="47" width="12" customWidth="1"/>
    <col min="48" max="48" width="11.5" customWidth="1"/>
    <col min="49" max="49" width="11.83203125" customWidth="1"/>
    <col min="50" max="50" width="10.83203125" customWidth="1"/>
    <col min="51" max="51" width="11.1640625" customWidth="1"/>
    <col min="52" max="52" width="10.83203125" customWidth="1"/>
    <col min="53" max="53" width="12.1640625" customWidth="1"/>
    <col min="54" max="54" width="11.5" customWidth="1"/>
    <col min="55" max="55" width="11.83203125" customWidth="1"/>
    <col min="56" max="56" width="12" customWidth="1"/>
    <col min="57" max="57" width="12.1640625" customWidth="1"/>
    <col min="58" max="59" width="11.1640625" customWidth="1"/>
    <col min="60" max="60" width="11" customWidth="1"/>
    <col min="61" max="61" width="11.6640625" customWidth="1"/>
    <col min="62" max="62" width="11.1640625" customWidth="1"/>
    <col min="63" max="63" width="12.1640625" customWidth="1"/>
    <col min="64" max="64" width="11.1640625" customWidth="1"/>
    <col min="65" max="65" width="15.1640625" customWidth="1"/>
    <col min="66" max="66" width="13.1640625" bestFit="1" customWidth="1"/>
    <col min="67" max="67" width="13.5" customWidth="1"/>
    <col min="68" max="68" width="11.1640625" customWidth="1"/>
    <col min="69" max="69" width="11" customWidth="1"/>
    <col min="70" max="70" width="10.83203125" customWidth="1"/>
    <col min="71" max="71" width="12.1640625" customWidth="1"/>
    <col min="72" max="72" width="11.6640625" customWidth="1"/>
    <col min="73" max="73" width="10.83203125" customWidth="1"/>
    <col min="74" max="74" width="12.1640625" customWidth="1"/>
    <col min="75" max="75" width="11.83203125" customWidth="1"/>
    <col min="76" max="76" width="10.5" customWidth="1"/>
    <col min="77" max="77" width="11.1640625" customWidth="1"/>
    <col min="78" max="78" width="10.1640625" customWidth="1"/>
    <col min="79" max="79" width="11.5" customWidth="1"/>
    <col min="80" max="80" width="11.6640625" customWidth="1"/>
    <col min="81" max="81" width="11.5" customWidth="1"/>
    <col min="82" max="82" width="11" customWidth="1"/>
    <col min="83" max="83" width="12" customWidth="1"/>
    <col min="84" max="84" width="11.83203125" customWidth="1"/>
    <col min="85" max="86" width="11.5" customWidth="1"/>
    <col min="87" max="87" width="11" customWidth="1"/>
    <col min="88" max="89" width="11.1640625" customWidth="1"/>
    <col min="90" max="90" width="12" customWidth="1"/>
    <col min="91" max="91" width="12.1640625" customWidth="1"/>
    <col min="92" max="92" width="11" customWidth="1"/>
    <col min="93" max="93" width="11.1640625" customWidth="1"/>
    <col min="94" max="94" width="11" customWidth="1"/>
    <col min="95" max="95" width="11.1640625" customWidth="1"/>
    <col min="96" max="96" width="13" customWidth="1"/>
    <col min="97" max="97" width="13.83203125" bestFit="1" customWidth="1"/>
    <col min="98" max="98" width="11.6640625" customWidth="1"/>
    <col min="99" max="99" width="13.1640625" bestFit="1" customWidth="1"/>
    <col min="100" max="100" width="11.5" customWidth="1"/>
    <col min="101" max="101" width="11" customWidth="1"/>
    <col min="102" max="102" width="10.83203125" customWidth="1"/>
    <col min="103" max="103" width="10.6640625" customWidth="1"/>
    <col min="104" max="104" width="12" customWidth="1"/>
    <col min="105" max="105" width="12.1640625" customWidth="1"/>
    <col min="106" max="106" width="11.1640625" customWidth="1"/>
    <col min="107" max="107" width="11.5" customWidth="1"/>
    <col min="108" max="108" width="10.83203125" customWidth="1"/>
    <col min="109" max="109" width="11.1640625" customWidth="1"/>
    <col min="110" max="110" width="11.6640625" customWidth="1"/>
    <col min="111" max="111" width="10.6640625" customWidth="1"/>
    <col min="112" max="112" width="12" customWidth="1"/>
    <col min="113" max="113" width="11.6640625" customWidth="1"/>
    <col min="114" max="114" width="11.1640625" bestFit="1" customWidth="1"/>
    <col min="115" max="116" width="11.5" customWidth="1"/>
    <col min="117" max="117" width="11.6640625" customWidth="1"/>
    <col min="118" max="118" width="11.5" customWidth="1"/>
    <col min="119" max="120" width="12.1640625" customWidth="1"/>
    <col min="121" max="121" width="11" customWidth="1"/>
    <col min="122" max="122" width="10.83203125" customWidth="1"/>
    <col min="123" max="123" width="11.5" customWidth="1"/>
    <col min="124" max="124" width="11" customWidth="1"/>
    <col min="125" max="127" width="11.1640625" customWidth="1"/>
    <col min="128" max="128" width="14.5" bestFit="1" customWidth="1"/>
    <col min="129" max="129" width="11.6640625" customWidth="1"/>
    <col min="130" max="130" width="13" customWidth="1"/>
    <col min="131" max="131" width="12.83203125" customWidth="1"/>
    <col min="132" max="132" width="10.83203125" customWidth="1"/>
    <col min="133" max="133" width="13.1640625" bestFit="1" customWidth="1"/>
    <col min="134" max="134" width="10.5" customWidth="1"/>
    <col min="135" max="135" width="12.1640625" customWidth="1"/>
    <col min="136" max="136" width="10.5" customWidth="1"/>
    <col min="137" max="137" width="11.1640625" customWidth="1"/>
    <col min="138" max="138" width="11.6640625" customWidth="1"/>
    <col min="139" max="139" width="11.5" customWidth="1"/>
    <col min="140" max="140" width="11.6640625" customWidth="1"/>
    <col min="141" max="141" width="11.5" customWidth="1"/>
    <col min="142" max="142" width="12.1640625" customWidth="1"/>
    <col min="143" max="144" width="12.5" customWidth="1"/>
    <col min="145" max="145" width="11.83203125" customWidth="1"/>
    <col min="146" max="146" width="11.5" customWidth="1"/>
    <col min="147" max="148" width="14.1640625" customWidth="1"/>
    <col min="149" max="149" width="11.5" customWidth="1"/>
    <col min="150" max="150" width="16.1640625" customWidth="1"/>
    <col min="151" max="151" width="14.5" customWidth="1"/>
    <col min="152" max="152" width="14" customWidth="1"/>
    <col min="153" max="153" width="16" customWidth="1"/>
    <col min="154" max="154" width="16.5" customWidth="1"/>
    <col min="155" max="155" width="14.5" customWidth="1"/>
    <col min="156" max="156" width="12.83203125" customWidth="1"/>
    <col min="157" max="157" width="17" customWidth="1"/>
    <col min="158" max="158" width="13.6640625" customWidth="1"/>
    <col min="159" max="159" width="14" customWidth="1"/>
    <col min="160" max="160" width="14.6640625" bestFit="1" customWidth="1"/>
    <col min="161" max="161" width="13.33203125" bestFit="1" customWidth="1"/>
    <col min="162" max="162" width="12.83203125" customWidth="1"/>
    <col min="163" max="163" width="15" customWidth="1"/>
    <col min="164" max="164" width="14.1640625" customWidth="1"/>
    <col min="165" max="165" width="11.33203125" customWidth="1"/>
    <col min="166" max="166" width="12" customWidth="1"/>
    <col min="167" max="167" width="11.1640625" customWidth="1"/>
    <col min="168" max="168" width="14.33203125" customWidth="1"/>
    <col min="169" max="169" width="11.33203125" customWidth="1"/>
    <col min="170" max="170" width="12" customWidth="1"/>
    <col min="171" max="171" width="11.5" customWidth="1"/>
    <col min="172" max="172" width="12.33203125" customWidth="1"/>
    <col min="173" max="173" width="11.6640625" customWidth="1"/>
    <col min="174" max="174" width="11.83203125" customWidth="1"/>
    <col min="175" max="175" width="12.5" customWidth="1"/>
    <col min="176" max="176" width="12" customWidth="1"/>
    <col min="177" max="177" width="11.83203125" customWidth="1"/>
    <col min="178" max="178" width="11" customWidth="1"/>
    <col min="179" max="179" width="13.83203125" customWidth="1"/>
    <col min="180" max="180" width="13.5" customWidth="1"/>
    <col min="181" max="181" width="12.1640625" customWidth="1"/>
    <col min="182" max="182" width="11.1640625" customWidth="1"/>
    <col min="183" max="183" width="14.5" customWidth="1"/>
    <col min="184" max="184" width="11.33203125" customWidth="1"/>
    <col min="185" max="185" width="11.5" customWidth="1"/>
    <col min="186" max="187" width="10.83203125" customWidth="1"/>
    <col min="188" max="188" width="11" customWidth="1"/>
    <col min="189" max="189" width="12.1640625" customWidth="1"/>
    <col min="190" max="190" width="12" customWidth="1"/>
    <col min="191" max="191" width="12.1640625" customWidth="1"/>
    <col min="192" max="192" width="15.6640625" customWidth="1"/>
    <col min="193" max="193" width="14.1640625" customWidth="1"/>
    <col min="194" max="194" width="12.83203125" customWidth="1"/>
    <col min="195" max="195" width="12.33203125" customWidth="1"/>
    <col min="196" max="197" width="12" customWidth="1"/>
    <col min="198" max="198" width="12.5" customWidth="1"/>
    <col min="199" max="199" width="11.33203125" customWidth="1"/>
    <col min="200" max="200" width="10.83203125" customWidth="1"/>
    <col min="201" max="201" width="12.1640625" customWidth="1"/>
    <col min="202" max="202" width="11.6640625" customWidth="1"/>
    <col min="203" max="203" width="12.1640625" customWidth="1"/>
    <col min="204" max="204" width="11.6640625" customWidth="1"/>
    <col min="205" max="206" width="12.1640625" customWidth="1"/>
    <col min="207" max="207" width="13.33203125" customWidth="1"/>
    <col min="208" max="208" width="11.33203125" customWidth="1"/>
    <col min="209" max="209" width="11.1640625" customWidth="1"/>
    <col min="210" max="210" width="13.1640625" customWidth="1"/>
    <col min="211" max="212" width="11.1640625" customWidth="1"/>
    <col min="213" max="213" width="12.1640625" customWidth="1"/>
    <col min="214" max="214" width="12.5" customWidth="1"/>
    <col min="215" max="215" width="12.1640625" customWidth="1"/>
    <col min="216" max="217" width="11.1640625" customWidth="1"/>
    <col min="218" max="218" width="12.83203125" customWidth="1"/>
    <col min="219" max="219" width="11.1640625" customWidth="1"/>
    <col min="220" max="220" width="15.6640625" customWidth="1"/>
    <col min="221" max="221" width="11.6640625" customWidth="1"/>
    <col min="222" max="222" width="17" customWidth="1"/>
    <col min="223" max="223" width="15.83203125" customWidth="1"/>
    <col min="224" max="224" width="12" customWidth="1"/>
    <col min="225" max="225" width="10.83203125" customWidth="1"/>
    <col min="226" max="226" width="12" customWidth="1"/>
    <col min="227" max="227" width="10.83203125" customWidth="1"/>
    <col min="228" max="228" width="12.1640625" customWidth="1"/>
    <col min="229" max="229" width="13.5" customWidth="1"/>
    <col min="230" max="230" width="11" customWidth="1"/>
    <col min="231" max="231" width="13.6640625" customWidth="1"/>
    <col min="232" max="232" width="12.1640625" customWidth="1"/>
    <col min="233" max="233" width="11.5" customWidth="1"/>
    <col min="234" max="234" width="12.6640625" customWidth="1"/>
    <col min="235" max="235" width="11.1640625" customWidth="1"/>
    <col min="236" max="236" width="11" customWidth="1"/>
    <col min="237" max="237" width="12.5" customWidth="1"/>
    <col min="238" max="238" width="11.1640625" customWidth="1"/>
    <col min="239" max="239" width="11.33203125" customWidth="1"/>
    <col min="240" max="240" width="12.33203125" customWidth="1"/>
    <col min="241" max="241" width="12.5" customWidth="1"/>
    <col min="242" max="242" width="11.1640625" customWidth="1"/>
    <col min="243" max="243" width="12" customWidth="1"/>
    <col min="244" max="244" width="11.83203125" customWidth="1"/>
    <col min="245" max="245" width="12.33203125" customWidth="1"/>
    <col min="246" max="246" width="11.83203125" customWidth="1"/>
    <col min="247" max="247" width="11.1640625" customWidth="1"/>
    <col min="248" max="248" width="11.6640625" customWidth="1"/>
    <col min="249" max="250" width="10.83203125" customWidth="1"/>
    <col min="251" max="251" width="11" customWidth="1"/>
    <col min="252" max="252" width="13.5" customWidth="1"/>
    <col min="253" max="253" width="11.1640625" customWidth="1"/>
    <col min="254" max="254" width="16" customWidth="1"/>
    <col min="255" max="255" width="12.83203125" customWidth="1"/>
    <col min="256" max="256" width="12.6640625" customWidth="1"/>
    <col min="257" max="257" width="12.83203125" customWidth="1"/>
    <col min="258" max="258" width="12" customWidth="1"/>
    <col min="259" max="259" width="10.83203125" customWidth="1"/>
    <col min="260" max="260" width="11.5" customWidth="1"/>
    <col min="261" max="261" width="10.5" customWidth="1"/>
    <col min="262" max="262" width="11.83203125" customWidth="1"/>
    <col min="263" max="263" width="10.83203125" customWidth="1"/>
    <col min="264" max="264" width="12.33203125" customWidth="1"/>
    <col min="265" max="266" width="10.1640625" customWidth="1"/>
    <col min="267" max="267" width="11" customWidth="1"/>
    <col min="268" max="268" width="11.83203125" customWidth="1"/>
    <col min="269" max="269" width="10.6640625" customWidth="1"/>
    <col min="270" max="271" width="10.5" customWidth="1"/>
    <col min="272" max="272" width="11.83203125" customWidth="1"/>
    <col min="273" max="273" width="10.6640625" customWidth="1"/>
    <col min="274" max="274" width="15" customWidth="1"/>
    <col min="275" max="275" width="11.1640625" customWidth="1"/>
    <col min="276" max="276" width="11.83203125" customWidth="1"/>
    <col min="277" max="277" width="11.33203125" customWidth="1"/>
    <col min="278" max="278" width="11.83203125" customWidth="1"/>
    <col min="279" max="279" width="10.6640625" customWidth="1"/>
    <col min="280" max="280" width="12" customWidth="1"/>
    <col min="281" max="281" width="10.83203125" customWidth="1"/>
    <col min="282" max="282" width="10.6640625" customWidth="1"/>
    <col min="283" max="283" width="10.5" customWidth="1"/>
    <col min="284" max="284" width="12.1640625" customWidth="1"/>
    <col min="285" max="285" width="15.5" customWidth="1"/>
    <col min="286" max="286" width="12.83203125" customWidth="1"/>
    <col min="287" max="287" width="12.1640625" customWidth="1"/>
    <col min="288" max="288" width="10.5" customWidth="1"/>
    <col min="289" max="289" width="11.1640625" customWidth="1"/>
    <col min="290" max="290" width="10.5" customWidth="1"/>
    <col min="291" max="291" width="13.1640625" customWidth="1"/>
    <col min="292" max="292" width="10.83203125" customWidth="1"/>
    <col min="293" max="293" width="10.6640625" customWidth="1"/>
    <col min="294" max="294" width="11" customWidth="1"/>
    <col min="295" max="295" width="10.83203125" customWidth="1"/>
    <col min="296" max="296" width="11.1640625" customWidth="1"/>
    <col min="297" max="297" width="12.6640625" customWidth="1"/>
    <col min="298" max="298" width="11" customWidth="1"/>
    <col min="299" max="299" width="10.6640625" customWidth="1"/>
    <col min="300" max="300" width="10.5" customWidth="1"/>
    <col min="301" max="301" width="11.1640625" customWidth="1"/>
    <col min="302" max="302" width="11.5" customWidth="1"/>
    <col min="303" max="303" width="11.1640625" customWidth="1"/>
    <col min="304" max="304" width="12" customWidth="1"/>
    <col min="305" max="305" width="11.1640625" customWidth="1"/>
    <col min="306" max="306" width="11.83203125" customWidth="1"/>
    <col min="307" max="307" width="11.6640625" customWidth="1"/>
    <col min="308" max="308" width="13" customWidth="1"/>
    <col min="309" max="309" width="11.33203125" customWidth="1"/>
    <col min="310" max="310" width="10.83203125" customWidth="1"/>
    <col min="311" max="311" width="12" customWidth="1"/>
    <col min="312" max="312" width="11.5" customWidth="1"/>
    <col min="313" max="313" width="12.5" customWidth="1"/>
    <col min="314" max="314" width="12" customWidth="1"/>
    <col min="315" max="315" width="13.83203125" customWidth="1"/>
    <col min="316" max="316" width="13.6640625" customWidth="1"/>
    <col min="317" max="317" width="16" customWidth="1"/>
    <col min="318" max="318" width="12.1640625" customWidth="1"/>
    <col min="319" max="319" width="14.5" customWidth="1"/>
    <col min="320" max="320" width="12.5" customWidth="1"/>
    <col min="321" max="321" width="11" customWidth="1"/>
    <col min="322" max="322" width="11.83203125" customWidth="1"/>
    <col min="323" max="323" width="11.1640625" customWidth="1"/>
    <col min="324" max="324" width="10.83203125" customWidth="1"/>
    <col min="325" max="325" width="11.1640625" customWidth="1"/>
    <col min="326" max="326" width="12.5" customWidth="1"/>
    <col min="327" max="327" width="10.83203125" customWidth="1"/>
    <col min="328" max="328" width="10.6640625" customWidth="1"/>
    <col min="329" max="329" width="11.33203125" customWidth="1"/>
    <col min="330" max="330" width="11.6640625" customWidth="1"/>
    <col min="331" max="331" width="10.83203125" customWidth="1"/>
    <col min="332" max="332" width="11.5" customWidth="1"/>
    <col min="333" max="333" width="10.6640625" customWidth="1"/>
    <col min="334" max="334" width="10.83203125" customWidth="1"/>
    <col min="335" max="335" width="12.5" customWidth="1"/>
    <col min="336" max="336" width="11.1640625" customWidth="1"/>
    <col min="337" max="337" width="10.5" customWidth="1"/>
    <col min="338" max="338" width="10.83203125" customWidth="1"/>
    <col min="339" max="339" width="13" customWidth="1"/>
    <col min="340" max="340" width="11.5" customWidth="1"/>
    <col min="341" max="341" width="12.5" customWidth="1"/>
    <col min="342" max="342" width="11.1640625" customWidth="1"/>
    <col min="343" max="343" width="13.33203125" customWidth="1"/>
    <col min="344" max="344" width="12" customWidth="1"/>
    <col min="345" max="345" width="13.1640625" customWidth="1"/>
    <col min="346" max="346" width="13.5" customWidth="1"/>
    <col min="347" max="347" width="16" customWidth="1"/>
    <col min="348" max="348" width="17.5" customWidth="1"/>
    <col min="349" max="349" width="18.5" customWidth="1"/>
    <col min="350" max="350" width="13.5" customWidth="1"/>
    <col min="351" max="351" width="13.1640625" customWidth="1"/>
    <col min="352" max="352" width="12.5" customWidth="1"/>
    <col min="353" max="353" width="15.1640625" customWidth="1"/>
    <col min="354" max="354" width="14.1640625" customWidth="1"/>
    <col min="355" max="355" width="12.1640625" customWidth="1"/>
    <col min="356" max="356" width="12.5" customWidth="1"/>
    <col min="357" max="357" width="13.1640625" customWidth="1"/>
    <col min="358" max="358" width="12.6640625" customWidth="1"/>
    <col min="359" max="359" width="14" customWidth="1"/>
    <col min="360" max="360" width="16" customWidth="1"/>
    <col min="361" max="361" width="13.5" customWidth="1"/>
    <col min="362" max="362" width="12.6640625" customWidth="1"/>
    <col min="363" max="363" width="13.5" customWidth="1"/>
    <col min="364" max="364" width="11.83203125" customWidth="1"/>
    <col min="365" max="365" width="13.5" customWidth="1"/>
    <col min="366" max="366" width="12.83203125" customWidth="1"/>
    <col min="367" max="367" width="15.33203125" customWidth="1"/>
    <col min="368" max="368" width="12.83203125" customWidth="1"/>
    <col min="369" max="369" width="12.33203125" customWidth="1"/>
    <col min="370" max="370" width="11.6640625" customWidth="1"/>
    <col min="371" max="371" width="12" customWidth="1"/>
    <col min="372" max="372" width="11.33203125" customWidth="1"/>
    <col min="373" max="373" width="13" customWidth="1"/>
    <col min="374" max="374" width="12.83203125" customWidth="1"/>
    <col min="375" max="375" width="14.1640625" customWidth="1"/>
    <col min="376" max="376" width="10.6640625" customWidth="1"/>
    <col min="377" max="377" width="11" customWidth="1"/>
    <col min="378" max="378" width="10.5" customWidth="1"/>
    <col min="379" max="379" width="11.83203125" customWidth="1"/>
    <col min="380" max="380" width="17" customWidth="1"/>
    <col min="381" max="381" width="11.83203125" customWidth="1"/>
    <col min="382" max="382" width="13.33203125" bestFit="1" customWidth="1"/>
    <col min="383" max="384" width="11" customWidth="1"/>
    <col min="385" max="385" width="14.5" customWidth="1"/>
    <col min="386" max="386" width="12.33203125" customWidth="1"/>
    <col min="387" max="387" width="11.33203125" customWidth="1"/>
    <col min="388" max="388" width="11.83203125" customWidth="1"/>
    <col min="389" max="389" width="12.83203125" customWidth="1"/>
    <col min="390" max="390" width="12.33203125" customWidth="1"/>
    <col min="391" max="391" width="11.1640625" customWidth="1"/>
    <col min="392" max="392" width="12" customWidth="1"/>
    <col min="393" max="393" width="11" customWidth="1"/>
    <col min="394" max="394" width="11.33203125" customWidth="1"/>
    <col min="395" max="395" width="12.1640625" customWidth="1"/>
    <col min="396" max="396" width="11.33203125" customWidth="1"/>
    <col min="397" max="397" width="10.83203125" customWidth="1"/>
    <col min="398" max="398" width="11" customWidth="1"/>
    <col min="399" max="399" width="11.5" customWidth="1"/>
    <col min="400" max="400" width="11.83203125" customWidth="1"/>
    <col min="401" max="401" width="14.1640625" customWidth="1"/>
    <col min="402" max="402" width="12.1640625" customWidth="1"/>
    <col min="403" max="403" width="10.6640625" customWidth="1"/>
    <col min="404" max="404" width="11.5" customWidth="1"/>
    <col min="405" max="405" width="13.1640625" customWidth="1"/>
    <col min="406" max="406" width="12" customWidth="1"/>
    <col min="407" max="407" width="11.33203125" customWidth="1"/>
    <col min="408" max="408" width="13.1640625" customWidth="1"/>
    <col min="409" max="409" width="12.1640625" customWidth="1"/>
    <col min="410" max="411" width="10.83203125" customWidth="1"/>
    <col min="412" max="412" width="17.1640625" customWidth="1"/>
    <col min="413" max="413" width="16" customWidth="1"/>
    <col min="414" max="414" width="13" customWidth="1"/>
    <col min="415" max="415" width="12.1640625" customWidth="1"/>
    <col min="416" max="416" width="11.83203125" customWidth="1"/>
    <col min="417" max="417" width="12.1640625" customWidth="1"/>
    <col min="418" max="418" width="11.83203125" customWidth="1"/>
    <col min="419" max="419" width="13.1640625" customWidth="1"/>
    <col min="420" max="420" width="13.5" customWidth="1"/>
    <col min="421" max="421" width="11.1640625" customWidth="1"/>
    <col min="422" max="422" width="12.1640625" customWidth="1"/>
    <col min="423" max="423" width="11.5" customWidth="1"/>
    <col min="424" max="424" width="12.1640625" customWidth="1"/>
    <col min="425" max="425" width="11.6640625" customWidth="1"/>
    <col min="426" max="426" width="11.83203125" customWidth="1"/>
    <col min="427" max="427" width="11.33203125" customWidth="1"/>
    <col min="428" max="428" width="12.83203125" customWidth="1"/>
    <col min="429" max="429" width="10.83203125" customWidth="1"/>
    <col min="430" max="430" width="12.5" customWidth="1"/>
    <col min="431" max="431" width="11.1640625" customWidth="1"/>
    <col min="432" max="432" width="11.83203125" customWidth="1"/>
    <col min="433" max="433" width="10.83203125" customWidth="1"/>
    <col min="434" max="434" width="11.83203125" customWidth="1"/>
    <col min="435" max="435" width="12.83203125" customWidth="1"/>
    <col min="436" max="436" width="11.6640625" customWidth="1"/>
    <col min="437" max="437" width="12.33203125" customWidth="1"/>
    <col min="438" max="438" width="12.1640625" customWidth="1"/>
    <col min="439" max="439" width="11" customWidth="1"/>
    <col min="440" max="440" width="11.5" customWidth="1"/>
    <col min="441" max="441" width="15.1640625" customWidth="1"/>
    <col min="442" max="442" width="11.83203125" customWidth="1"/>
    <col min="443" max="443" width="17.5" customWidth="1"/>
    <col min="444" max="444" width="15" customWidth="1"/>
    <col min="445" max="445" width="12.33203125" customWidth="1"/>
    <col min="446" max="446" width="15" customWidth="1"/>
    <col min="447" max="447" width="16" customWidth="1"/>
    <col min="448" max="448" width="12.83203125" customWidth="1"/>
    <col min="449" max="449" width="12" customWidth="1"/>
    <col min="450" max="450" width="11.33203125" customWidth="1"/>
    <col min="451" max="451" width="10.83203125" customWidth="1"/>
    <col min="452" max="452" width="11" customWidth="1"/>
    <col min="453" max="453" width="10.83203125" customWidth="1"/>
    <col min="454" max="454" width="11" customWidth="1"/>
    <col min="455" max="455" width="12.5" customWidth="1"/>
    <col min="456" max="456" width="11.1640625" customWidth="1"/>
    <col min="457" max="457" width="11.83203125" customWidth="1"/>
    <col min="458" max="458" width="11.5" customWidth="1"/>
    <col min="459" max="459" width="11.83203125" customWidth="1"/>
    <col min="460" max="460" width="10.83203125" customWidth="1"/>
    <col min="461" max="461" width="11" customWidth="1"/>
    <col min="462" max="462" width="11.6640625" customWidth="1"/>
    <col min="463" max="463" width="10.83203125" customWidth="1"/>
    <col min="464" max="464" width="11.1640625" customWidth="1"/>
    <col min="465" max="465" width="11.83203125" customWidth="1"/>
    <col min="466" max="466" width="10.1640625" customWidth="1"/>
    <col min="467" max="467" width="10.83203125" customWidth="1"/>
    <col min="468" max="468" width="11.83203125" customWidth="1"/>
    <col min="469" max="469" width="12.1640625" customWidth="1"/>
    <col min="470" max="470" width="11.33203125" customWidth="1"/>
    <col min="471" max="472" width="11.1640625" customWidth="1"/>
    <col min="473" max="474" width="10.5" customWidth="1"/>
    <col min="475" max="475" width="17.83203125" customWidth="1"/>
    <col min="476" max="476" width="13.1640625" customWidth="1"/>
    <col min="477" max="477" width="12.1640625" customWidth="1"/>
    <col min="478" max="478" width="11.1640625" customWidth="1"/>
    <col min="479" max="479" width="11.5" customWidth="1"/>
    <col min="480" max="480" width="11.33203125" customWidth="1"/>
    <col min="481" max="481" width="11.5" customWidth="1"/>
    <col min="482" max="482" width="12" customWidth="1"/>
    <col min="483" max="483" width="11" customWidth="1"/>
    <col min="484" max="484" width="11.5" customWidth="1"/>
    <col min="485" max="485" width="11.6640625" customWidth="1"/>
    <col min="486" max="486" width="12.6640625" customWidth="1"/>
    <col min="487" max="487" width="10.83203125" customWidth="1"/>
    <col min="488" max="488" width="12" customWidth="1"/>
    <col min="489" max="490" width="11.83203125" customWidth="1"/>
    <col min="491" max="491" width="10.6640625" customWidth="1"/>
    <col min="492" max="492" width="11.33203125" customWidth="1"/>
    <col min="493" max="493" width="12.33203125" customWidth="1"/>
    <col min="494" max="494" width="11" customWidth="1"/>
    <col min="495" max="495" width="13.83203125" customWidth="1"/>
    <col min="496" max="496" width="11.5" customWidth="1"/>
    <col min="497" max="497" width="11.83203125" customWidth="1"/>
    <col min="498" max="498" width="10.83203125" customWidth="1"/>
    <col min="499" max="499" width="11.83203125" customWidth="1"/>
    <col min="500" max="500" width="11.1640625" customWidth="1"/>
    <col min="501" max="501" width="11" customWidth="1"/>
    <col min="502" max="502" width="11.83203125" customWidth="1"/>
    <col min="503" max="503" width="11.1640625" customWidth="1"/>
    <col min="504" max="505" width="11.5" customWidth="1"/>
    <col min="506" max="506" width="16.33203125" customWidth="1"/>
    <col min="507" max="507" width="12.5" customWidth="1"/>
    <col min="508" max="508" width="13.33203125" customWidth="1"/>
    <col min="509" max="509" width="13.5" customWidth="1"/>
    <col min="510" max="510" width="11.5" customWidth="1"/>
    <col min="511" max="511" width="11.6640625" customWidth="1"/>
    <col min="512" max="512" width="11" customWidth="1"/>
    <col min="513" max="513" width="10.6640625" customWidth="1"/>
    <col min="514" max="514" width="11.5" customWidth="1"/>
    <col min="515" max="515" width="11.1640625" customWidth="1"/>
    <col min="516" max="516" width="12" customWidth="1"/>
    <col min="517" max="517" width="11.6640625" customWidth="1"/>
    <col min="518" max="518" width="11.83203125" customWidth="1"/>
    <col min="519" max="519" width="11.5" customWidth="1"/>
    <col min="520" max="520" width="12.6640625" customWidth="1"/>
    <col min="521" max="521" width="10.83203125" customWidth="1"/>
    <col min="522" max="522" width="11" customWidth="1"/>
    <col min="523" max="523" width="11.33203125" customWidth="1"/>
    <col min="524" max="524" width="10.5" customWidth="1"/>
    <col min="525" max="525" width="10.6640625" customWidth="1"/>
    <col min="526" max="526" width="11" customWidth="1"/>
    <col min="527" max="527" width="12.5" customWidth="1"/>
    <col min="528" max="528" width="12.1640625" customWidth="1"/>
    <col min="529" max="529" width="11.5" customWidth="1"/>
    <col min="530" max="530" width="11.1640625" customWidth="1"/>
    <col min="531" max="531" width="11.83203125" customWidth="1"/>
    <col min="532" max="533" width="11.6640625" customWidth="1"/>
    <col min="534" max="534" width="12.83203125" customWidth="1"/>
    <col min="535" max="535" width="11.5" customWidth="1"/>
    <col min="536" max="536" width="13" customWidth="1"/>
    <col min="537" max="537" width="10.83203125" customWidth="1"/>
    <col min="538" max="538" width="16.83203125" customWidth="1"/>
    <col min="539" max="539" width="13.83203125" customWidth="1"/>
    <col min="540" max="540" width="11.83203125" customWidth="1"/>
    <col min="541" max="542" width="11.6640625" customWidth="1"/>
    <col min="543" max="543" width="12.5" customWidth="1"/>
    <col min="544" max="546" width="11.83203125" customWidth="1"/>
    <col min="547" max="547" width="12.5" customWidth="1"/>
    <col min="548" max="550" width="11.33203125" customWidth="1"/>
    <col min="551" max="551" width="11.83203125" customWidth="1"/>
    <col min="552" max="552" width="12" customWidth="1"/>
    <col min="553" max="553" width="10.83203125" customWidth="1"/>
    <col min="554" max="554" width="10.6640625" customWidth="1"/>
    <col min="555" max="555" width="11.83203125" customWidth="1"/>
    <col min="556" max="556" width="11.1640625" customWidth="1"/>
    <col min="557" max="557" width="11.6640625" customWidth="1"/>
    <col min="558" max="558" width="13.6640625" customWidth="1"/>
    <col min="559" max="559" width="11" customWidth="1"/>
    <col min="560" max="560" width="11.6640625" customWidth="1"/>
    <col min="561" max="561" width="13" customWidth="1"/>
    <col min="562" max="562" width="10.83203125" customWidth="1"/>
    <col min="563" max="563" width="13.1640625" customWidth="1"/>
    <col min="564" max="564" width="11" customWidth="1"/>
    <col min="565" max="565" width="11.6640625" customWidth="1"/>
    <col min="566" max="566" width="11.33203125" customWidth="1"/>
    <col min="567" max="567" width="11" customWidth="1"/>
    <col min="568" max="568" width="12" customWidth="1"/>
    <col min="569" max="569" width="11.6640625" customWidth="1"/>
    <col min="570" max="570" width="15.83203125" customWidth="1"/>
    <col min="571" max="571" width="11.6640625" customWidth="1"/>
    <col min="572" max="572" width="14.33203125" customWidth="1"/>
    <col min="573" max="573" width="10.83203125" customWidth="1"/>
    <col min="574" max="574" width="11.1640625" customWidth="1"/>
    <col min="575" max="575" width="11.33203125" customWidth="1"/>
    <col min="576" max="576" width="12.1640625" customWidth="1"/>
    <col min="577" max="577" width="11.33203125" customWidth="1"/>
    <col min="578" max="579" width="10.6640625" customWidth="1"/>
    <col min="580" max="580" width="11.83203125" customWidth="1"/>
    <col min="581" max="581" width="13.5" customWidth="1"/>
    <col min="582" max="582" width="12" customWidth="1"/>
    <col min="583" max="583" width="12.1640625" customWidth="1"/>
    <col min="584" max="584" width="12.83203125" customWidth="1"/>
    <col min="585" max="585" width="13.1640625" customWidth="1"/>
    <col min="586" max="586" width="11.83203125" customWidth="1"/>
    <col min="587" max="587" width="11.6640625" customWidth="1"/>
    <col min="588" max="588" width="11.33203125" customWidth="1"/>
    <col min="589" max="589" width="11.5" customWidth="1"/>
    <col min="590" max="590" width="12.1640625" customWidth="1"/>
    <col min="591" max="591" width="11.5" customWidth="1"/>
    <col min="592" max="592" width="10.6640625" customWidth="1"/>
    <col min="593" max="597" width="11" customWidth="1"/>
    <col min="598" max="598" width="11.1640625" customWidth="1"/>
    <col min="599" max="599" width="16.1640625" customWidth="1"/>
    <col min="600" max="600" width="14.5" customWidth="1"/>
    <col min="601" max="601" width="13.1640625" customWidth="1"/>
    <col min="602" max="602" width="11.1640625" customWidth="1"/>
    <col min="603" max="603" width="12.1640625" customWidth="1"/>
    <col min="604" max="604" width="11.5" customWidth="1"/>
    <col min="605" max="605" width="10.1640625" customWidth="1"/>
    <col min="606" max="606" width="11" customWidth="1"/>
    <col min="607" max="607" width="11.6640625" customWidth="1"/>
    <col min="608" max="608" width="11.33203125" customWidth="1"/>
    <col min="609" max="609" width="11.83203125" customWidth="1"/>
    <col min="610" max="610" width="11.5" customWidth="1"/>
    <col min="611" max="612" width="10.83203125" customWidth="1"/>
    <col min="613" max="613" width="11" customWidth="1"/>
    <col min="614" max="614" width="11.1640625" customWidth="1"/>
    <col min="615" max="615" width="13.5" customWidth="1"/>
    <col min="616" max="616" width="10.83203125" customWidth="1"/>
    <col min="617" max="618" width="11.83203125" customWidth="1"/>
    <col min="619" max="619" width="12" customWidth="1"/>
    <col min="620" max="620" width="11" customWidth="1"/>
    <col min="621" max="621" width="10.83203125" customWidth="1"/>
    <col min="622" max="622" width="13.33203125" customWidth="1"/>
    <col min="623" max="623" width="12.1640625" customWidth="1"/>
    <col min="624" max="624" width="10.83203125" customWidth="1"/>
    <col min="625" max="625" width="12.5" customWidth="1"/>
    <col min="626" max="626" width="12.33203125" customWidth="1"/>
    <col min="627" max="627" width="11.5" customWidth="1"/>
    <col min="628" max="628" width="11.1640625" customWidth="1"/>
    <col min="629" max="629" width="12.1640625" customWidth="1"/>
    <col min="630" max="630" width="11.1640625" customWidth="1"/>
    <col min="631" max="631" width="16.1640625" customWidth="1"/>
    <col min="632" max="632" width="13" customWidth="1"/>
    <col min="633" max="633" width="12.83203125" customWidth="1"/>
    <col min="634" max="634" width="11.33203125" customWidth="1"/>
    <col min="635" max="635" width="11" customWidth="1"/>
    <col min="636" max="636" width="11.1640625" customWidth="1"/>
    <col min="637" max="637" width="10.1640625" customWidth="1"/>
    <col min="638" max="638" width="11.33203125" customWidth="1"/>
    <col min="639" max="639" width="12.5" customWidth="1"/>
    <col min="640" max="640" width="11.83203125" customWidth="1"/>
    <col min="641" max="641" width="10.83203125" customWidth="1"/>
    <col min="642" max="642" width="11.5" customWidth="1"/>
    <col min="643" max="643" width="11.1640625" customWidth="1"/>
    <col min="644" max="644" width="11.83203125" customWidth="1"/>
    <col min="645" max="646" width="11.5" customWidth="1"/>
    <col min="647" max="647" width="11.33203125" customWidth="1"/>
    <col min="648" max="648" width="11.83203125" customWidth="1"/>
    <col min="649" max="649" width="12" customWidth="1"/>
    <col min="650" max="650" width="12.1640625" customWidth="1"/>
    <col min="651" max="651" width="12" customWidth="1"/>
    <col min="652" max="652" width="11.83203125" customWidth="1"/>
    <col min="653" max="653" width="11.33203125" customWidth="1"/>
    <col min="654" max="654" width="11.6640625" customWidth="1"/>
    <col min="655" max="655" width="10.83203125" customWidth="1"/>
    <col min="656" max="656" width="12.5" customWidth="1"/>
    <col min="657" max="657" width="11" customWidth="1"/>
    <col min="658" max="658" width="10.83203125" customWidth="1"/>
    <col min="659" max="659" width="11.5" customWidth="1"/>
    <col min="660" max="660" width="10.83203125" customWidth="1"/>
    <col min="661" max="661" width="11.5" customWidth="1"/>
    <col min="662" max="662" width="15" customWidth="1"/>
    <col min="663" max="663" width="12.6640625" customWidth="1"/>
    <col min="664" max="664" width="13" customWidth="1"/>
    <col min="665" max="665" width="11.33203125" customWidth="1"/>
    <col min="666" max="666" width="13" customWidth="1"/>
    <col min="667" max="667" width="11.6640625" customWidth="1"/>
    <col min="668" max="668" width="11.5" customWidth="1"/>
    <col min="669" max="669" width="12.1640625" customWidth="1"/>
    <col min="670" max="671" width="11.83203125" customWidth="1"/>
    <col min="672" max="672" width="10.5" customWidth="1"/>
    <col min="673" max="673" width="11.6640625" customWidth="1"/>
    <col min="674" max="674" width="11.5" customWidth="1"/>
    <col min="675" max="676" width="11" customWidth="1"/>
    <col min="677" max="677" width="10.83203125" customWidth="1"/>
    <col min="678" max="678" width="11" customWidth="1"/>
    <col min="679" max="679" width="12.83203125" customWidth="1"/>
    <col min="680" max="680" width="11.33203125" customWidth="1"/>
    <col min="681" max="681" width="11.1640625" customWidth="1"/>
    <col min="682" max="682" width="11.83203125" customWidth="1"/>
    <col min="683" max="683" width="12.5" customWidth="1"/>
    <col min="684" max="684" width="11.1640625" customWidth="1"/>
    <col min="685" max="685" width="11.83203125" customWidth="1"/>
    <col min="686" max="686" width="12.5" customWidth="1"/>
    <col min="687" max="687" width="13.33203125" customWidth="1"/>
    <col min="688" max="688" width="11" customWidth="1"/>
    <col min="689" max="690" width="11.83203125" customWidth="1"/>
    <col min="691" max="691" width="11" customWidth="1"/>
    <col min="692" max="692" width="11.83203125" customWidth="1"/>
    <col min="693" max="693" width="12.5" customWidth="1"/>
    <col min="694" max="694" width="16.6640625" customWidth="1"/>
    <col min="695" max="695" width="11.83203125" customWidth="1"/>
    <col min="696" max="696" width="12.33203125" customWidth="1"/>
    <col min="697" max="697" width="12" customWidth="1"/>
    <col min="698" max="698" width="10.5" customWidth="1"/>
    <col min="699" max="699" width="11.5" customWidth="1"/>
    <col min="700" max="700" width="10.83203125" customWidth="1"/>
    <col min="701" max="701" width="11" customWidth="1"/>
    <col min="702" max="702" width="11.1640625" customWidth="1"/>
    <col min="703" max="703" width="11.6640625" customWidth="1"/>
    <col min="704" max="704" width="11.1640625" customWidth="1"/>
    <col min="705" max="705" width="10.6640625" customWidth="1"/>
    <col min="706" max="706" width="10.83203125" customWidth="1"/>
    <col min="707" max="707" width="11" customWidth="1"/>
    <col min="708" max="708" width="13.5" customWidth="1"/>
    <col min="709" max="709" width="11" customWidth="1"/>
    <col min="710" max="710" width="10.6640625" customWidth="1"/>
    <col min="711" max="711" width="11.1640625" customWidth="1"/>
    <col min="712" max="712" width="10.83203125" customWidth="1"/>
    <col min="713" max="713" width="10.5" customWidth="1"/>
    <col min="714" max="714" width="11.1640625" customWidth="1"/>
    <col min="715" max="715" width="11.6640625" customWidth="1"/>
    <col min="716" max="716" width="11.33203125" customWidth="1"/>
    <col min="717" max="717" width="11.5" customWidth="1"/>
    <col min="718" max="718" width="13.83203125" customWidth="1"/>
    <col min="719" max="719" width="11.5" customWidth="1"/>
    <col min="720" max="720" width="10.83203125" customWidth="1"/>
    <col min="721" max="721" width="11.83203125" customWidth="1"/>
    <col min="722" max="722" width="10.83203125" customWidth="1"/>
    <col min="723" max="723" width="11.1640625" customWidth="1"/>
    <col min="724" max="724" width="10.6640625" customWidth="1"/>
    <col min="725" max="725" width="15.5" customWidth="1"/>
    <col min="726" max="727" width="13" customWidth="1"/>
    <col min="728" max="728" width="12" customWidth="1"/>
    <col min="729" max="729" width="11.5" customWidth="1"/>
    <col min="730" max="730" width="11.1640625" customWidth="1"/>
    <col min="731" max="731" width="11.83203125" customWidth="1"/>
    <col min="732" max="732" width="11.6640625" customWidth="1"/>
    <col min="733" max="733" width="12" customWidth="1"/>
    <col min="734" max="734" width="11.83203125" customWidth="1"/>
    <col min="735" max="735" width="15" customWidth="1"/>
    <col min="736" max="736" width="12.83203125" customWidth="1"/>
    <col min="737" max="737" width="11.6640625" customWidth="1"/>
    <col min="738" max="738" width="10.83203125" customWidth="1"/>
    <col min="739" max="739" width="11.1640625" customWidth="1"/>
    <col min="740" max="740" width="12.6640625" customWidth="1"/>
    <col min="741" max="741" width="12.5" customWidth="1"/>
    <col min="742" max="742" width="11.1640625" customWidth="1"/>
    <col min="743" max="743" width="11.33203125" customWidth="1"/>
    <col min="744" max="744" width="11.6640625" customWidth="1"/>
    <col min="745" max="746" width="11.33203125" customWidth="1"/>
    <col min="747" max="747" width="11.83203125" customWidth="1"/>
    <col min="748" max="748" width="11" customWidth="1"/>
    <col min="749" max="749" width="11.1640625" customWidth="1"/>
    <col min="750" max="750" width="11.83203125" customWidth="1"/>
    <col min="751" max="751" width="10.83203125" customWidth="1"/>
    <col min="752" max="752" width="11.1640625" customWidth="1"/>
    <col min="753" max="753" width="11.33203125" customWidth="1"/>
    <col min="754" max="754" width="13.1640625" customWidth="1"/>
    <col min="755" max="755" width="12.1640625" customWidth="1"/>
    <col min="756" max="756" width="12.5" customWidth="1"/>
    <col min="757" max="757" width="19" customWidth="1"/>
    <col min="758" max="758" width="16.5" customWidth="1"/>
    <col min="759" max="760" width="12.5" customWidth="1"/>
    <col min="761" max="761" width="11.5" customWidth="1"/>
    <col min="762" max="762" width="11.1640625" customWidth="1"/>
    <col min="763" max="763" width="10.5" customWidth="1"/>
    <col min="764" max="764" width="11.5" customWidth="1"/>
    <col min="765" max="765" width="12" customWidth="1"/>
    <col min="766" max="766" width="11.1640625" customWidth="1"/>
    <col min="767" max="767" width="12.83203125" customWidth="1"/>
    <col min="768" max="768" width="11.6640625" customWidth="1"/>
    <col min="769" max="769" width="12.83203125" customWidth="1"/>
    <col min="770" max="770" width="12.6640625" customWidth="1"/>
    <col min="771" max="771" width="12.1640625" customWidth="1"/>
    <col min="772" max="772" width="12.83203125" customWidth="1"/>
    <col min="773" max="773" width="12.1640625" customWidth="1"/>
    <col min="774" max="774" width="13.6640625" customWidth="1"/>
    <col min="775" max="775" width="12.6640625" customWidth="1"/>
    <col min="776" max="776" width="15.6640625" customWidth="1"/>
    <col min="777" max="777" width="13.6640625" customWidth="1"/>
    <col min="778" max="778" width="13.83203125" customWidth="1"/>
    <col min="779" max="779" width="13" customWidth="1"/>
    <col min="780" max="780" width="12.83203125" customWidth="1"/>
    <col min="781" max="781" width="12.33203125" customWidth="1"/>
    <col min="782" max="782" width="13.1640625" customWidth="1"/>
    <col min="783" max="783" width="12.33203125" customWidth="1"/>
    <col min="784" max="784" width="13.1640625" customWidth="1"/>
    <col min="785" max="785" width="12.6640625" customWidth="1"/>
    <col min="786" max="786" width="12.5" customWidth="1"/>
    <col min="787" max="787" width="12.1640625" customWidth="1"/>
    <col min="788" max="788" width="13.33203125" customWidth="1"/>
    <col min="789" max="789" width="16.5" customWidth="1"/>
    <col min="790" max="790" width="13.1640625" customWidth="1"/>
    <col min="791" max="791" width="13.5" customWidth="1"/>
    <col min="792" max="792" width="12.33203125" customWidth="1"/>
    <col min="793" max="793" width="12.83203125" customWidth="1"/>
    <col min="794" max="794" width="14.1640625" customWidth="1"/>
    <col min="795" max="795" width="12.1640625" customWidth="1"/>
    <col min="796" max="796" width="10.6640625" customWidth="1"/>
    <col min="797" max="797" width="11.83203125" customWidth="1"/>
    <col min="798" max="798" width="11.5" customWidth="1"/>
    <col min="799" max="799" width="11" customWidth="1"/>
    <col min="800" max="801" width="11.1640625" customWidth="1"/>
    <col min="802" max="803" width="10.83203125" customWidth="1"/>
    <col min="804" max="804" width="10.6640625" customWidth="1"/>
    <col min="805" max="805" width="13.33203125" customWidth="1"/>
    <col min="806" max="806" width="11.83203125" customWidth="1"/>
    <col min="807" max="807" width="11.5" customWidth="1"/>
    <col min="808" max="808" width="11.1640625" customWidth="1"/>
    <col min="809" max="809" width="11.5" customWidth="1"/>
    <col min="810" max="810" width="10.6640625" customWidth="1"/>
    <col min="811" max="811" width="13.83203125" customWidth="1"/>
    <col min="812" max="812" width="12.6640625" customWidth="1"/>
    <col min="813" max="813" width="11.83203125" customWidth="1"/>
    <col min="814" max="815" width="11.6640625" customWidth="1"/>
    <col min="816" max="816" width="12" customWidth="1"/>
    <col min="817" max="817" width="10.6640625" customWidth="1"/>
    <col min="818" max="818" width="12.33203125" customWidth="1"/>
    <col min="819" max="819" width="13.5" customWidth="1"/>
    <col min="820" max="820" width="15.33203125" customWidth="1"/>
    <col min="821" max="821" width="12.5" customWidth="1"/>
    <col min="822" max="822" width="11.6640625" customWidth="1"/>
    <col min="823" max="823" width="11.33203125" customWidth="1"/>
    <col min="824" max="824" width="11.83203125" customWidth="1"/>
    <col min="825" max="825" width="12.6640625" customWidth="1"/>
    <col min="826" max="826" width="11.33203125" customWidth="1"/>
    <col min="827" max="827" width="12" customWidth="1"/>
    <col min="828" max="828" width="10.6640625" customWidth="1"/>
    <col min="829" max="829" width="12.5" customWidth="1"/>
    <col min="830" max="830" width="10.6640625" customWidth="1"/>
    <col min="831" max="831" width="11.83203125" customWidth="1"/>
    <col min="832" max="832" width="12.33203125" customWidth="1"/>
    <col min="833" max="833" width="11.5" customWidth="1"/>
    <col min="834" max="834" width="11.6640625" customWidth="1"/>
    <col min="835" max="835" width="11.1640625" customWidth="1"/>
    <col min="836" max="837" width="11.6640625" customWidth="1"/>
    <col min="838" max="838" width="11.1640625" customWidth="1"/>
    <col min="839" max="839" width="11.6640625" customWidth="1"/>
    <col min="840" max="840" width="12" customWidth="1"/>
    <col min="841" max="841" width="11.33203125" customWidth="1"/>
    <col min="842" max="842" width="12.1640625" customWidth="1"/>
    <col min="843" max="843" width="13" customWidth="1"/>
    <col min="844" max="844" width="12.5" customWidth="1"/>
    <col min="845" max="845" width="12" customWidth="1"/>
    <col min="846" max="846" width="11.83203125" customWidth="1"/>
    <col min="847" max="847" width="13.33203125" customWidth="1"/>
    <col min="848" max="848" width="11.6640625" customWidth="1"/>
    <col min="849" max="849" width="12.83203125" customWidth="1"/>
    <col min="850" max="850" width="12.6640625" customWidth="1"/>
    <col min="851" max="851" width="15" customWidth="1"/>
    <col min="852" max="852" width="17.5" customWidth="1"/>
    <col min="853" max="853" width="13.5" customWidth="1"/>
    <col min="854" max="854" width="12.5" customWidth="1"/>
    <col min="855" max="855" width="11.6640625" customWidth="1"/>
    <col min="856" max="858" width="11.5" customWidth="1"/>
    <col min="859" max="859" width="10.6640625" customWidth="1"/>
    <col min="860" max="860" width="11.83203125" customWidth="1"/>
    <col min="861" max="861" width="12.33203125" customWidth="1"/>
    <col min="862" max="862" width="11.33203125" customWidth="1"/>
    <col min="863" max="863" width="13" customWidth="1"/>
    <col min="864" max="864" width="12" customWidth="1"/>
    <col min="865" max="865" width="11.33203125" customWidth="1"/>
    <col min="866" max="867" width="11" customWidth="1"/>
    <col min="868" max="868" width="10.83203125" customWidth="1"/>
    <col min="869" max="869" width="14" customWidth="1"/>
    <col min="870" max="870" width="10.83203125" customWidth="1"/>
    <col min="871" max="871" width="12.1640625" customWidth="1"/>
    <col min="872" max="872" width="12" customWidth="1"/>
    <col min="873" max="873" width="11.33203125" customWidth="1"/>
    <col min="874" max="874" width="11.5" customWidth="1"/>
    <col min="875" max="875" width="11" customWidth="1"/>
    <col min="876" max="876" width="11.33203125" customWidth="1"/>
    <col min="877" max="878" width="12.1640625" customWidth="1"/>
    <col min="879" max="879" width="12" customWidth="1"/>
    <col min="880" max="880" width="11.33203125" customWidth="1"/>
    <col min="881" max="881" width="11.6640625" customWidth="1"/>
    <col min="882" max="882" width="10.83203125" customWidth="1"/>
    <col min="883" max="883" width="16.33203125" customWidth="1"/>
    <col min="884" max="884" width="12" customWidth="1"/>
    <col min="885" max="885" width="12.5" customWidth="1"/>
    <col min="886" max="886" width="12" customWidth="1"/>
    <col min="887" max="887" width="12.6640625" customWidth="1"/>
    <col min="888" max="888" width="11.83203125" customWidth="1"/>
    <col min="889" max="889" width="11" customWidth="1"/>
    <col min="890" max="890" width="10.83203125" customWidth="1"/>
    <col min="891" max="891" width="12.83203125" customWidth="1"/>
    <col min="892" max="892" width="11.5" customWidth="1"/>
    <col min="893" max="893" width="10.83203125" customWidth="1"/>
    <col min="894" max="894" width="10.6640625" customWidth="1"/>
    <col min="895" max="895" width="12.1640625" customWidth="1"/>
    <col min="896" max="896" width="11.83203125" customWidth="1"/>
    <col min="897" max="897" width="10.6640625" customWidth="1"/>
    <col min="898" max="898" width="10.5" customWidth="1"/>
    <col min="899" max="899" width="10.6640625" customWidth="1"/>
    <col min="900" max="900" width="11.6640625" customWidth="1"/>
    <col min="901" max="901" width="11.83203125" customWidth="1"/>
    <col min="902" max="902" width="11.33203125" customWidth="1"/>
    <col min="903" max="903" width="11.6640625" customWidth="1"/>
    <col min="904" max="904" width="11.5" customWidth="1"/>
    <col min="905" max="905" width="12" customWidth="1"/>
    <col min="906" max="906" width="11.33203125" customWidth="1"/>
    <col min="907" max="907" width="10.6640625" customWidth="1"/>
    <col min="908" max="908" width="11.5" customWidth="1"/>
    <col min="909" max="909" width="11.33203125" customWidth="1"/>
    <col min="910" max="910" width="12.5" customWidth="1"/>
    <col min="911" max="911" width="10.83203125" customWidth="1"/>
    <col min="912" max="912" width="11.6640625" customWidth="1"/>
    <col min="913" max="913" width="12.1640625" customWidth="1"/>
    <col min="914" max="914" width="12" customWidth="1"/>
    <col min="915" max="915" width="16.5" customWidth="1"/>
    <col min="916" max="916" width="12.6640625" customWidth="1"/>
    <col min="917" max="917" width="12.5" customWidth="1"/>
    <col min="918" max="918" width="12.1640625" customWidth="1"/>
    <col min="919" max="919" width="13.1640625" customWidth="1"/>
    <col min="920" max="920" width="11.83203125" customWidth="1"/>
    <col min="921" max="921" width="11.1640625" customWidth="1"/>
    <col min="922" max="922" width="10.6640625" customWidth="1"/>
    <col min="923" max="923" width="10.83203125" customWidth="1"/>
    <col min="924" max="924" width="11.1640625" customWidth="1"/>
    <col min="925" max="925" width="10.6640625" customWidth="1"/>
    <col min="926" max="926" width="12.1640625" customWidth="1"/>
    <col min="927" max="927" width="11.6640625" customWidth="1"/>
    <col min="928" max="928" width="11.5" customWidth="1"/>
    <col min="929" max="929" width="11.6640625" customWidth="1"/>
    <col min="930" max="930" width="10.33203125" customWidth="1"/>
    <col min="931" max="931" width="11.1640625" customWidth="1"/>
    <col min="932" max="932" width="10.33203125" customWidth="1"/>
    <col min="933" max="933" width="11" customWidth="1"/>
    <col min="934" max="934" width="10.83203125" customWidth="1"/>
    <col min="935" max="935" width="10.1640625" customWidth="1"/>
    <col min="936" max="936" width="11.6640625" customWidth="1"/>
    <col min="937" max="937" width="11.5" customWidth="1"/>
    <col min="938" max="938" width="11.33203125" customWidth="1"/>
    <col min="939" max="939" width="11.6640625" customWidth="1"/>
    <col min="940" max="940" width="11" customWidth="1"/>
    <col min="941" max="941" width="10.6640625" customWidth="1"/>
    <col min="942" max="942" width="10.5" customWidth="1"/>
    <col min="943" max="943" width="12" customWidth="1"/>
    <col min="944" max="944" width="11.33203125" customWidth="1"/>
    <col min="945" max="945" width="11.1640625" customWidth="1"/>
    <col min="946" max="946" width="10.6640625" customWidth="1"/>
    <col min="947" max="947" width="15.6640625" customWidth="1"/>
    <col min="948" max="948" width="13.33203125" customWidth="1"/>
    <col min="949" max="949" width="12.6640625" customWidth="1"/>
    <col min="950" max="950" width="11.33203125" customWidth="1"/>
    <col min="951" max="951" width="10.6640625" customWidth="1"/>
    <col min="952" max="952" width="11.5" customWidth="1"/>
    <col min="953" max="954" width="10.6640625" customWidth="1"/>
    <col min="955" max="955" width="11.5" customWidth="1"/>
    <col min="956" max="956" width="11.83203125" customWidth="1"/>
    <col min="957" max="957" width="12.5" customWidth="1"/>
    <col min="958" max="958" width="10.83203125" customWidth="1"/>
    <col min="959" max="959" width="11.5" customWidth="1"/>
    <col min="960" max="961" width="11.33203125" customWidth="1"/>
    <col min="962" max="962" width="12" customWidth="1"/>
    <col min="963" max="963" width="11.6640625" customWidth="1"/>
    <col min="964" max="964" width="11.1640625" customWidth="1"/>
    <col min="965" max="966" width="11.33203125" customWidth="1"/>
    <col min="967" max="967" width="10.6640625" customWidth="1"/>
    <col min="968" max="968" width="10.83203125" customWidth="1"/>
    <col min="969" max="969" width="10.6640625" customWidth="1"/>
    <col min="970" max="970" width="13" customWidth="1"/>
    <col min="971" max="971" width="11.6640625" customWidth="1"/>
    <col min="972" max="972" width="10.5" customWidth="1"/>
    <col min="973" max="973" width="11.5" customWidth="1"/>
    <col min="974" max="974" width="10.5" customWidth="1"/>
    <col min="975" max="975" width="11.83203125" customWidth="1"/>
    <col min="976" max="976" width="17" customWidth="1"/>
    <col min="977" max="977" width="13" customWidth="1"/>
    <col min="978" max="978" width="12.1640625" customWidth="1"/>
    <col min="979" max="979" width="11.5" customWidth="1"/>
    <col min="980" max="980" width="11" customWidth="1"/>
    <col min="981" max="981" width="11.6640625" customWidth="1"/>
    <col min="982" max="982" width="11.33203125" customWidth="1"/>
    <col min="983" max="983" width="10.5" customWidth="1"/>
    <col min="984" max="984" width="10.6640625" customWidth="1"/>
    <col min="985" max="985" width="11.6640625" customWidth="1"/>
    <col min="986" max="986" width="11.83203125" customWidth="1"/>
    <col min="987" max="987" width="12.5" customWidth="1"/>
    <col min="988" max="988" width="11.83203125" customWidth="1"/>
    <col min="989" max="989" width="12.1640625" customWidth="1"/>
    <col min="990" max="990" width="10.6640625" customWidth="1"/>
    <col min="991" max="991" width="10.83203125" customWidth="1"/>
    <col min="992" max="992" width="11.33203125" customWidth="1"/>
    <col min="993" max="993" width="10.6640625" customWidth="1"/>
    <col min="994" max="994" width="11.5" customWidth="1"/>
    <col min="995" max="995" width="11.1640625" customWidth="1"/>
    <col min="996" max="996" width="11.6640625" customWidth="1"/>
    <col min="997" max="997" width="12.83203125" customWidth="1"/>
    <col min="998" max="998" width="10.6640625" customWidth="1"/>
    <col min="999" max="999" width="12.83203125" customWidth="1"/>
    <col min="1000" max="1000" width="11.6640625" customWidth="1"/>
    <col min="1001" max="1001" width="10.6640625" customWidth="1"/>
    <col min="1002" max="1002" width="10.83203125" customWidth="1"/>
    <col min="1003" max="1003" width="11.6640625" customWidth="1"/>
    <col min="1004" max="1004" width="10.6640625" customWidth="1"/>
    <col min="1005" max="1005" width="11.5" customWidth="1"/>
    <col min="1006" max="1006" width="11.33203125" customWidth="1"/>
    <col min="1007" max="1007" width="11.6640625" customWidth="1"/>
    <col min="1008" max="1008" width="16.5" customWidth="1"/>
    <col min="1009" max="1009" width="12.6640625" customWidth="1"/>
    <col min="1010" max="1010" width="11.5" customWidth="1"/>
    <col min="1011" max="1011" width="10.5" customWidth="1"/>
    <col min="1012" max="1012" width="12.1640625" customWidth="1"/>
    <col min="1013" max="1013" width="10.83203125" customWidth="1"/>
    <col min="1014" max="1014" width="10.6640625" customWidth="1"/>
    <col min="1015" max="1015" width="11.5" customWidth="1"/>
    <col min="1016" max="1016" width="12.33203125" customWidth="1"/>
    <col min="1017" max="1017" width="12" customWidth="1"/>
    <col min="1018" max="1018" width="11.5" customWidth="1"/>
    <col min="1019" max="1019" width="11" customWidth="1"/>
    <col min="1020" max="1020" width="11.83203125" customWidth="1"/>
    <col min="1021" max="1022" width="11.5" customWidth="1"/>
    <col min="1023" max="1023" width="11.83203125" customWidth="1"/>
    <col min="1024" max="1024" width="11.33203125" customWidth="1"/>
    <col min="1025" max="1025" width="11.83203125" customWidth="1"/>
    <col min="1026" max="1026" width="11" customWidth="1"/>
    <col min="1027" max="1027" width="12.6640625" customWidth="1"/>
    <col min="1028" max="1028" width="11.1640625" customWidth="1"/>
    <col min="1029" max="1029" width="12.1640625" customWidth="1"/>
    <col min="1030" max="1030" width="11.33203125" customWidth="1"/>
    <col min="1031" max="1031" width="10.6640625" customWidth="1"/>
    <col min="1032" max="1032" width="11" customWidth="1"/>
    <col min="1033" max="1033" width="12.1640625" customWidth="1"/>
    <col min="1034" max="1034" width="11.6640625" customWidth="1"/>
    <col min="1035" max="1035" width="12.1640625" customWidth="1"/>
    <col min="1036" max="1036" width="10.83203125" customWidth="1"/>
    <col min="1037" max="1037" width="11.1640625" customWidth="1"/>
    <col min="1038" max="1038" width="11.33203125" customWidth="1"/>
    <col min="1039" max="1039" width="15.83203125" customWidth="1"/>
    <col min="1040" max="1040" width="12.5" customWidth="1"/>
    <col min="1041" max="1041" width="12.83203125" customWidth="1"/>
    <col min="1042" max="1042" width="11.1640625" customWidth="1"/>
    <col min="1043" max="1043" width="12.5" customWidth="1"/>
    <col min="1044" max="1044" width="12.1640625" customWidth="1"/>
    <col min="1045" max="1045" width="11.33203125" customWidth="1"/>
    <col min="1046" max="1047" width="11" customWidth="1"/>
    <col min="1048" max="1048" width="10.6640625" customWidth="1"/>
    <col min="1049" max="1049" width="11.6640625" customWidth="1"/>
    <col min="1050" max="1050" width="11.5" customWidth="1"/>
    <col min="1051" max="1051" width="10.1640625" customWidth="1"/>
    <col min="1052" max="1053" width="10.5" customWidth="1"/>
    <col min="1054" max="1054" width="11.33203125" customWidth="1"/>
    <col min="1055" max="1056" width="10.33203125" customWidth="1"/>
    <col min="1057" max="1057" width="11.33203125" customWidth="1"/>
    <col min="1058" max="1059" width="11" customWidth="1"/>
    <col min="1060" max="1060" width="10.6640625" customWidth="1"/>
    <col min="1061" max="1061" width="11" customWidth="1"/>
    <col min="1062" max="1063" width="10.5" customWidth="1"/>
    <col min="1064" max="1064" width="11" customWidth="1"/>
    <col min="1065" max="1065" width="10.33203125" customWidth="1"/>
    <col min="1066" max="1066" width="10.83203125" customWidth="1"/>
    <col min="1067" max="1067" width="11.33203125" customWidth="1"/>
    <col min="1068" max="1068" width="10.33203125" customWidth="1"/>
    <col min="1069" max="1069" width="11.33203125" customWidth="1"/>
  </cols>
  <sheetData>
    <row r="1" spans="1:1071" x14ac:dyDescent="0.2">
      <c r="F1" s="1"/>
      <c r="AGO1" s="130" t="s">
        <v>1380</v>
      </c>
    </row>
    <row r="2" spans="1:1071" x14ac:dyDescent="0.2">
      <c r="F2" s="1"/>
      <c r="SI2" s="13"/>
      <c r="AGO2" s="130">
        <v>502.31700000000001</v>
      </c>
    </row>
    <row r="3" spans="1:1071" x14ac:dyDescent="0.2">
      <c r="A3" s="2" t="s">
        <v>0</v>
      </c>
      <c r="B3" s="2" t="s">
        <v>1</v>
      </c>
      <c r="C3" s="3">
        <v>44204</v>
      </c>
      <c r="D3" s="3">
        <v>44965</v>
      </c>
      <c r="E3" s="3">
        <v>44993</v>
      </c>
      <c r="F3" s="3">
        <v>45024</v>
      </c>
      <c r="G3" s="3">
        <v>45054</v>
      </c>
      <c r="H3" s="3">
        <v>45085</v>
      </c>
      <c r="I3" s="3">
        <v>45115</v>
      </c>
      <c r="J3" s="3">
        <v>45146</v>
      </c>
      <c r="K3" s="3">
        <v>45177</v>
      </c>
      <c r="L3" s="3">
        <v>45207</v>
      </c>
      <c r="M3" s="3">
        <v>45238</v>
      </c>
      <c r="N3" s="3">
        <v>45268</v>
      </c>
      <c r="O3" s="3" t="s">
        <v>2</v>
      </c>
      <c r="P3" s="3" t="s">
        <v>3</v>
      </c>
      <c r="Q3" s="3" t="s">
        <v>4</v>
      </c>
      <c r="R3" s="3" t="s">
        <v>5</v>
      </c>
      <c r="S3" s="3" t="s">
        <v>6</v>
      </c>
      <c r="T3" s="3" t="s">
        <v>7</v>
      </c>
      <c r="U3" s="3" t="s">
        <v>8</v>
      </c>
      <c r="V3" s="3" t="s">
        <v>9</v>
      </c>
      <c r="W3" s="3" t="s">
        <v>10</v>
      </c>
      <c r="X3" s="3" t="s">
        <v>11</v>
      </c>
      <c r="Y3" s="3" t="s">
        <v>12</v>
      </c>
      <c r="Z3" s="3" t="s">
        <v>13</v>
      </c>
      <c r="AA3" s="3" t="s">
        <v>14</v>
      </c>
      <c r="AB3" s="3" t="s">
        <v>15</v>
      </c>
      <c r="AC3" s="3" t="s">
        <v>16</v>
      </c>
      <c r="AD3" s="3" t="s">
        <v>17</v>
      </c>
      <c r="AE3" s="3" t="s">
        <v>18</v>
      </c>
      <c r="AF3" s="3" t="s">
        <v>19</v>
      </c>
      <c r="AG3" s="3" t="s">
        <v>20</v>
      </c>
      <c r="AH3" s="93" t="s">
        <v>21</v>
      </c>
      <c r="AI3" s="88">
        <v>45170</v>
      </c>
      <c r="AJ3" s="88">
        <f t="shared" ref="AJ3:BL3" si="0">AI3+1</f>
        <v>45171</v>
      </c>
      <c r="AK3" s="88">
        <f t="shared" si="0"/>
        <v>45172</v>
      </c>
      <c r="AL3" s="88">
        <f t="shared" si="0"/>
        <v>45173</v>
      </c>
      <c r="AM3" s="88">
        <f t="shared" si="0"/>
        <v>45174</v>
      </c>
      <c r="AN3" s="88">
        <f t="shared" si="0"/>
        <v>45175</v>
      </c>
      <c r="AO3" s="88">
        <f t="shared" si="0"/>
        <v>45176</v>
      </c>
      <c r="AP3" s="88">
        <f t="shared" si="0"/>
        <v>45177</v>
      </c>
      <c r="AQ3" s="88">
        <f t="shared" si="0"/>
        <v>45178</v>
      </c>
      <c r="AR3" s="88">
        <f t="shared" si="0"/>
        <v>45179</v>
      </c>
      <c r="AS3" s="88">
        <f t="shared" si="0"/>
        <v>45180</v>
      </c>
      <c r="AT3" s="88">
        <f t="shared" si="0"/>
        <v>45181</v>
      </c>
      <c r="AU3" s="88">
        <f t="shared" si="0"/>
        <v>45182</v>
      </c>
      <c r="AV3" s="88">
        <f t="shared" si="0"/>
        <v>45183</v>
      </c>
      <c r="AW3" s="88">
        <f t="shared" si="0"/>
        <v>45184</v>
      </c>
      <c r="AX3" s="88">
        <f t="shared" si="0"/>
        <v>45185</v>
      </c>
      <c r="AY3" s="88">
        <f t="shared" si="0"/>
        <v>45186</v>
      </c>
      <c r="AZ3" s="88">
        <f t="shared" si="0"/>
        <v>45187</v>
      </c>
      <c r="BA3" s="88">
        <f t="shared" si="0"/>
        <v>45188</v>
      </c>
      <c r="BB3" s="88">
        <f t="shared" si="0"/>
        <v>45189</v>
      </c>
      <c r="BC3" s="88">
        <f t="shared" si="0"/>
        <v>45190</v>
      </c>
      <c r="BD3" s="88">
        <f t="shared" si="0"/>
        <v>45191</v>
      </c>
      <c r="BE3" s="88">
        <f t="shared" si="0"/>
        <v>45192</v>
      </c>
      <c r="BF3" s="88">
        <f t="shared" si="0"/>
        <v>45193</v>
      </c>
      <c r="BG3" s="88">
        <f t="shared" si="0"/>
        <v>45194</v>
      </c>
      <c r="BH3" s="88">
        <f t="shared" si="0"/>
        <v>45195</v>
      </c>
      <c r="BI3" s="88">
        <f t="shared" si="0"/>
        <v>45196</v>
      </c>
      <c r="BJ3" s="88">
        <f t="shared" si="0"/>
        <v>45197</v>
      </c>
      <c r="BK3" s="88">
        <f t="shared" si="0"/>
        <v>45198</v>
      </c>
      <c r="BL3" s="88">
        <f t="shared" si="0"/>
        <v>45199</v>
      </c>
      <c r="BM3" s="96" t="s">
        <v>22</v>
      </c>
      <c r="BN3" s="88">
        <f t="shared" ref="BN3:CQ3" si="1">AI3+30</f>
        <v>45200</v>
      </c>
      <c r="BO3" s="88">
        <f t="shared" si="1"/>
        <v>45201</v>
      </c>
      <c r="BP3" s="88">
        <f t="shared" si="1"/>
        <v>45202</v>
      </c>
      <c r="BQ3" s="88">
        <f t="shared" si="1"/>
        <v>45203</v>
      </c>
      <c r="BR3" s="88">
        <f t="shared" si="1"/>
        <v>45204</v>
      </c>
      <c r="BS3" s="88">
        <f t="shared" si="1"/>
        <v>45205</v>
      </c>
      <c r="BT3" s="88">
        <f t="shared" si="1"/>
        <v>45206</v>
      </c>
      <c r="BU3" s="88">
        <f t="shared" si="1"/>
        <v>45207</v>
      </c>
      <c r="BV3" s="88">
        <f t="shared" si="1"/>
        <v>45208</v>
      </c>
      <c r="BW3" s="88">
        <f t="shared" si="1"/>
        <v>45209</v>
      </c>
      <c r="BX3" s="88">
        <f t="shared" si="1"/>
        <v>45210</v>
      </c>
      <c r="BY3" s="88">
        <f t="shared" si="1"/>
        <v>45211</v>
      </c>
      <c r="BZ3" s="88">
        <f t="shared" si="1"/>
        <v>45212</v>
      </c>
      <c r="CA3" s="88">
        <f t="shared" si="1"/>
        <v>45213</v>
      </c>
      <c r="CB3" s="88">
        <f t="shared" si="1"/>
        <v>45214</v>
      </c>
      <c r="CC3" s="88">
        <f t="shared" si="1"/>
        <v>45215</v>
      </c>
      <c r="CD3" s="88">
        <f t="shared" si="1"/>
        <v>45216</v>
      </c>
      <c r="CE3" s="88">
        <f t="shared" si="1"/>
        <v>45217</v>
      </c>
      <c r="CF3" s="88">
        <f t="shared" si="1"/>
        <v>45218</v>
      </c>
      <c r="CG3" s="88">
        <f t="shared" si="1"/>
        <v>45219</v>
      </c>
      <c r="CH3" s="88">
        <f t="shared" si="1"/>
        <v>45220</v>
      </c>
      <c r="CI3" s="88">
        <f t="shared" si="1"/>
        <v>45221</v>
      </c>
      <c r="CJ3" s="88">
        <f t="shared" si="1"/>
        <v>45222</v>
      </c>
      <c r="CK3" s="88">
        <f t="shared" si="1"/>
        <v>45223</v>
      </c>
      <c r="CL3" s="88">
        <f t="shared" si="1"/>
        <v>45224</v>
      </c>
      <c r="CM3" s="88">
        <f t="shared" si="1"/>
        <v>45225</v>
      </c>
      <c r="CN3" s="88">
        <f t="shared" si="1"/>
        <v>45226</v>
      </c>
      <c r="CO3" s="88">
        <f t="shared" si="1"/>
        <v>45227</v>
      </c>
      <c r="CP3" s="88">
        <f t="shared" si="1"/>
        <v>45228</v>
      </c>
      <c r="CQ3" s="88">
        <f t="shared" si="1"/>
        <v>45229</v>
      </c>
      <c r="CR3" s="88">
        <f>BN3+30</f>
        <v>45230</v>
      </c>
      <c r="CS3" s="88" t="s">
        <v>22</v>
      </c>
      <c r="CT3" s="88">
        <f t="shared" ref="CT3:DW3" si="2">BO3+30</f>
        <v>45231</v>
      </c>
      <c r="CU3" s="88">
        <f t="shared" si="2"/>
        <v>45232</v>
      </c>
      <c r="CV3" s="88">
        <f t="shared" si="2"/>
        <v>45233</v>
      </c>
      <c r="CW3" s="88">
        <f t="shared" si="2"/>
        <v>45234</v>
      </c>
      <c r="CX3" s="88">
        <f t="shared" si="2"/>
        <v>45235</v>
      </c>
      <c r="CY3" s="88">
        <f t="shared" si="2"/>
        <v>45236</v>
      </c>
      <c r="CZ3" s="88">
        <f t="shared" si="2"/>
        <v>45237</v>
      </c>
      <c r="DA3" s="88">
        <f t="shared" si="2"/>
        <v>45238</v>
      </c>
      <c r="DB3" s="88">
        <f t="shared" si="2"/>
        <v>45239</v>
      </c>
      <c r="DC3" s="88">
        <f t="shared" si="2"/>
        <v>45240</v>
      </c>
      <c r="DD3" s="88">
        <f t="shared" si="2"/>
        <v>45241</v>
      </c>
      <c r="DE3" s="88">
        <f t="shared" si="2"/>
        <v>45242</v>
      </c>
      <c r="DF3" s="88">
        <f t="shared" si="2"/>
        <v>45243</v>
      </c>
      <c r="DG3" s="88">
        <f t="shared" si="2"/>
        <v>45244</v>
      </c>
      <c r="DH3" s="88">
        <f t="shared" si="2"/>
        <v>45245</v>
      </c>
      <c r="DI3" s="88">
        <f t="shared" si="2"/>
        <v>45246</v>
      </c>
      <c r="DJ3" s="88">
        <f t="shared" si="2"/>
        <v>45247</v>
      </c>
      <c r="DK3" s="88">
        <f t="shared" si="2"/>
        <v>45248</v>
      </c>
      <c r="DL3" s="88">
        <f t="shared" si="2"/>
        <v>45249</v>
      </c>
      <c r="DM3" s="88">
        <f t="shared" si="2"/>
        <v>45250</v>
      </c>
      <c r="DN3" s="88">
        <f t="shared" si="2"/>
        <v>45251</v>
      </c>
      <c r="DO3" s="88">
        <f t="shared" si="2"/>
        <v>45252</v>
      </c>
      <c r="DP3" s="88">
        <f t="shared" si="2"/>
        <v>45253</v>
      </c>
      <c r="DQ3" s="88">
        <f t="shared" si="2"/>
        <v>45254</v>
      </c>
      <c r="DR3" s="88">
        <f t="shared" si="2"/>
        <v>45255</v>
      </c>
      <c r="DS3" s="88">
        <f t="shared" si="2"/>
        <v>45256</v>
      </c>
      <c r="DT3" s="88">
        <f t="shared" si="2"/>
        <v>45257</v>
      </c>
      <c r="DU3" s="88">
        <f t="shared" si="2"/>
        <v>45258</v>
      </c>
      <c r="DV3" s="88">
        <f t="shared" si="2"/>
        <v>45259</v>
      </c>
      <c r="DW3" s="88">
        <f t="shared" si="2"/>
        <v>45260</v>
      </c>
      <c r="DX3" s="88" t="s">
        <v>21</v>
      </c>
      <c r="DY3" s="115">
        <v>45261</v>
      </c>
      <c r="DZ3" s="115">
        <f t="shared" ref="DZ3:FC3" si="3">DY3+1</f>
        <v>45262</v>
      </c>
      <c r="EA3" s="115">
        <f t="shared" si="3"/>
        <v>45263</v>
      </c>
      <c r="EB3" s="115">
        <f t="shared" si="3"/>
        <v>45264</v>
      </c>
      <c r="EC3" s="115">
        <f t="shared" si="3"/>
        <v>45265</v>
      </c>
      <c r="ED3" s="115">
        <f t="shared" si="3"/>
        <v>45266</v>
      </c>
      <c r="EE3" s="115">
        <f t="shared" si="3"/>
        <v>45267</v>
      </c>
      <c r="EF3" s="115">
        <f t="shared" si="3"/>
        <v>45268</v>
      </c>
      <c r="EG3" s="115">
        <f t="shared" si="3"/>
        <v>45269</v>
      </c>
      <c r="EH3" s="115">
        <f t="shared" si="3"/>
        <v>45270</v>
      </c>
      <c r="EI3" s="115">
        <f t="shared" si="3"/>
        <v>45271</v>
      </c>
      <c r="EJ3" s="115">
        <f t="shared" si="3"/>
        <v>45272</v>
      </c>
      <c r="EK3" s="115">
        <f t="shared" si="3"/>
        <v>45273</v>
      </c>
      <c r="EL3" s="115">
        <f t="shared" si="3"/>
        <v>45274</v>
      </c>
      <c r="EM3" s="115">
        <f t="shared" si="3"/>
        <v>45275</v>
      </c>
      <c r="EN3" s="115">
        <f t="shared" si="3"/>
        <v>45276</v>
      </c>
      <c r="EO3" s="115">
        <f t="shared" si="3"/>
        <v>45277</v>
      </c>
      <c r="EP3" s="115">
        <f t="shared" si="3"/>
        <v>45278</v>
      </c>
      <c r="EQ3" s="115">
        <f t="shared" si="3"/>
        <v>45279</v>
      </c>
      <c r="ER3" s="115">
        <f t="shared" si="3"/>
        <v>45280</v>
      </c>
      <c r="ES3" s="115">
        <f t="shared" si="3"/>
        <v>45281</v>
      </c>
      <c r="ET3" s="115">
        <f t="shared" si="3"/>
        <v>45282</v>
      </c>
      <c r="EU3" s="115">
        <f t="shared" si="3"/>
        <v>45283</v>
      </c>
      <c r="EV3" s="115">
        <f t="shared" si="3"/>
        <v>45284</v>
      </c>
      <c r="EW3" s="115">
        <f t="shared" si="3"/>
        <v>45285</v>
      </c>
      <c r="EX3" s="115">
        <f t="shared" si="3"/>
        <v>45286</v>
      </c>
      <c r="EY3" s="115">
        <f t="shared" si="3"/>
        <v>45287</v>
      </c>
      <c r="EZ3" s="115">
        <f t="shared" si="3"/>
        <v>45288</v>
      </c>
      <c r="FA3" s="115">
        <f t="shared" si="3"/>
        <v>45289</v>
      </c>
      <c r="FB3" s="115">
        <f t="shared" si="3"/>
        <v>45290</v>
      </c>
      <c r="FC3" s="115">
        <f t="shared" si="3"/>
        <v>45291</v>
      </c>
      <c r="FD3" s="125" t="s">
        <v>21</v>
      </c>
      <c r="FE3" s="115">
        <f>FC3+1</f>
        <v>45292</v>
      </c>
      <c r="FF3" s="115">
        <f t="shared" ref="FF3:GI3" si="4">FE3+1</f>
        <v>45293</v>
      </c>
      <c r="FG3" s="115">
        <f t="shared" si="4"/>
        <v>45294</v>
      </c>
      <c r="FH3" s="115">
        <f t="shared" si="4"/>
        <v>45295</v>
      </c>
      <c r="FI3" s="115">
        <f t="shared" si="4"/>
        <v>45296</v>
      </c>
      <c r="FJ3" s="115">
        <f t="shared" si="4"/>
        <v>45297</v>
      </c>
      <c r="FK3" s="115">
        <f t="shared" si="4"/>
        <v>45298</v>
      </c>
      <c r="FL3" s="115">
        <f t="shared" si="4"/>
        <v>45299</v>
      </c>
      <c r="FM3" s="115">
        <f t="shared" si="4"/>
        <v>45300</v>
      </c>
      <c r="FN3" s="115">
        <f t="shared" si="4"/>
        <v>45301</v>
      </c>
      <c r="FO3" s="115">
        <f t="shared" si="4"/>
        <v>45302</v>
      </c>
      <c r="FP3" s="115">
        <f t="shared" si="4"/>
        <v>45303</v>
      </c>
      <c r="FQ3" s="115">
        <f t="shared" si="4"/>
        <v>45304</v>
      </c>
      <c r="FR3" s="115">
        <f t="shared" si="4"/>
        <v>45305</v>
      </c>
      <c r="FS3" s="115">
        <f t="shared" si="4"/>
        <v>45306</v>
      </c>
      <c r="FT3" s="115">
        <f t="shared" si="4"/>
        <v>45307</v>
      </c>
      <c r="FU3" s="115">
        <f t="shared" si="4"/>
        <v>45308</v>
      </c>
      <c r="FV3" s="115">
        <f t="shared" si="4"/>
        <v>45309</v>
      </c>
      <c r="FW3" s="115">
        <f t="shared" si="4"/>
        <v>45310</v>
      </c>
      <c r="FX3" s="115">
        <f t="shared" si="4"/>
        <v>45311</v>
      </c>
      <c r="FY3" s="115">
        <f t="shared" si="4"/>
        <v>45312</v>
      </c>
      <c r="FZ3" s="115">
        <f t="shared" si="4"/>
        <v>45313</v>
      </c>
      <c r="GA3" s="115">
        <f t="shared" si="4"/>
        <v>45314</v>
      </c>
      <c r="GB3" s="115">
        <f t="shared" si="4"/>
        <v>45315</v>
      </c>
      <c r="GC3" s="115">
        <f t="shared" si="4"/>
        <v>45316</v>
      </c>
      <c r="GD3" s="115">
        <f t="shared" si="4"/>
        <v>45317</v>
      </c>
      <c r="GE3" s="115">
        <f t="shared" si="4"/>
        <v>45318</v>
      </c>
      <c r="GF3" s="115">
        <f t="shared" si="4"/>
        <v>45319</v>
      </c>
      <c r="GG3" s="115">
        <f t="shared" si="4"/>
        <v>45320</v>
      </c>
      <c r="GH3" s="115">
        <f t="shared" si="4"/>
        <v>45321</v>
      </c>
      <c r="GI3" s="115">
        <f t="shared" si="4"/>
        <v>45322</v>
      </c>
      <c r="GJ3" s="125" t="s">
        <v>21</v>
      </c>
      <c r="GK3" s="115">
        <f>GI3+1</f>
        <v>45323</v>
      </c>
      <c r="GL3" s="115">
        <f t="shared" ref="GL3:HM3" si="5">GK3+1</f>
        <v>45324</v>
      </c>
      <c r="GM3" s="115">
        <f t="shared" si="5"/>
        <v>45325</v>
      </c>
      <c r="GN3" s="115">
        <f t="shared" si="5"/>
        <v>45326</v>
      </c>
      <c r="GO3" s="115">
        <f t="shared" si="5"/>
        <v>45327</v>
      </c>
      <c r="GP3" s="115">
        <f t="shared" si="5"/>
        <v>45328</v>
      </c>
      <c r="GQ3" s="115">
        <f t="shared" si="5"/>
        <v>45329</v>
      </c>
      <c r="GR3" s="115">
        <f t="shared" si="5"/>
        <v>45330</v>
      </c>
      <c r="GS3" s="115">
        <f t="shared" si="5"/>
        <v>45331</v>
      </c>
      <c r="GT3" s="115">
        <f t="shared" si="5"/>
        <v>45332</v>
      </c>
      <c r="GU3" s="115">
        <f t="shared" si="5"/>
        <v>45333</v>
      </c>
      <c r="GV3" s="115">
        <f t="shared" si="5"/>
        <v>45334</v>
      </c>
      <c r="GW3" s="115">
        <f t="shared" si="5"/>
        <v>45335</v>
      </c>
      <c r="GX3" s="115">
        <f t="shared" si="5"/>
        <v>45336</v>
      </c>
      <c r="GY3" s="115">
        <f t="shared" si="5"/>
        <v>45337</v>
      </c>
      <c r="GZ3" s="115">
        <f t="shared" si="5"/>
        <v>45338</v>
      </c>
      <c r="HA3" s="115">
        <f t="shared" si="5"/>
        <v>45339</v>
      </c>
      <c r="HB3" s="115">
        <f t="shared" si="5"/>
        <v>45340</v>
      </c>
      <c r="HC3" s="115">
        <f t="shared" si="5"/>
        <v>45341</v>
      </c>
      <c r="HD3" s="115">
        <f t="shared" si="5"/>
        <v>45342</v>
      </c>
      <c r="HE3" s="115">
        <f t="shared" si="5"/>
        <v>45343</v>
      </c>
      <c r="HF3" s="115">
        <f t="shared" si="5"/>
        <v>45344</v>
      </c>
      <c r="HG3" s="115">
        <f t="shared" si="5"/>
        <v>45345</v>
      </c>
      <c r="HH3" s="115">
        <f t="shared" si="5"/>
        <v>45346</v>
      </c>
      <c r="HI3" s="115">
        <f t="shared" si="5"/>
        <v>45347</v>
      </c>
      <c r="HJ3" s="115">
        <f t="shared" si="5"/>
        <v>45348</v>
      </c>
      <c r="HK3" s="115">
        <f t="shared" si="5"/>
        <v>45349</v>
      </c>
      <c r="HL3" s="115">
        <f t="shared" si="5"/>
        <v>45350</v>
      </c>
      <c r="HM3" s="115">
        <f t="shared" si="5"/>
        <v>45351</v>
      </c>
      <c r="HN3" s="125" t="s">
        <v>21</v>
      </c>
      <c r="HO3" s="115">
        <v>45352</v>
      </c>
      <c r="HP3" s="115">
        <f t="shared" ref="HP3:IS3" si="6">HO3+1</f>
        <v>45353</v>
      </c>
      <c r="HQ3" s="115">
        <f t="shared" si="6"/>
        <v>45354</v>
      </c>
      <c r="HR3" s="115">
        <f t="shared" si="6"/>
        <v>45355</v>
      </c>
      <c r="HS3" s="115">
        <f t="shared" si="6"/>
        <v>45356</v>
      </c>
      <c r="HT3" s="115">
        <f t="shared" si="6"/>
        <v>45357</v>
      </c>
      <c r="HU3" s="115">
        <f t="shared" si="6"/>
        <v>45358</v>
      </c>
      <c r="HV3" s="115">
        <f t="shared" si="6"/>
        <v>45359</v>
      </c>
      <c r="HW3" s="115">
        <f t="shared" si="6"/>
        <v>45360</v>
      </c>
      <c r="HX3" s="115">
        <f t="shared" si="6"/>
        <v>45361</v>
      </c>
      <c r="HY3" s="115">
        <f t="shared" si="6"/>
        <v>45362</v>
      </c>
      <c r="HZ3" s="115">
        <f t="shared" si="6"/>
        <v>45363</v>
      </c>
      <c r="IA3" s="115">
        <f t="shared" si="6"/>
        <v>45364</v>
      </c>
      <c r="IB3" s="115">
        <f t="shared" si="6"/>
        <v>45365</v>
      </c>
      <c r="IC3" s="115">
        <f t="shared" si="6"/>
        <v>45366</v>
      </c>
      <c r="ID3" s="115">
        <f t="shared" si="6"/>
        <v>45367</v>
      </c>
      <c r="IE3" s="115">
        <f t="shared" si="6"/>
        <v>45368</v>
      </c>
      <c r="IF3" s="115">
        <f t="shared" si="6"/>
        <v>45369</v>
      </c>
      <c r="IG3" s="115">
        <f t="shared" si="6"/>
        <v>45370</v>
      </c>
      <c r="IH3" s="115">
        <f t="shared" si="6"/>
        <v>45371</v>
      </c>
      <c r="II3" s="115">
        <f t="shared" si="6"/>
        <v>45372</v>
      </c>
      <c r="IJ3" s="115">
        <f t="shared" si="6"/>
        <v>45373</v>
      </c>
      <c r="IK3" s="115">
        <f t="shared" si="6"/>
        <v>45374</v>
      </c>
      <c r="IL3" s="115">
        <f t="shared" si="6"/>
        <v>45375</v>
      </c>
      <c r="IM3" s="115">
        <f t="shared" si="6"/>
        <v>45376</v>
      </c>
      <c r="IN3" s="115">
        <f t="shared" si="6"/>
        <v>45377</v>
      </c>
      <c r="IO3" s="115">
        <f t="shared" si="6"/>
        <v>45378</v>
      </c>
      <c r="IP3" s="115">
        <f t="shared" si="6"/>
        <v>45379</v>
      </c>
      <c r="IQ3" s="115">
        <f t="shared" si="6"/>
        <v>45380</v>
      </c>
      <c r="IR3" s="115">
        <f t="shared" si="6"/>
        <v>45381</v>
      </c>
      <c r="IS3" s="115">
        <f t="shared" si="6"/>
        <v>45382</v>
      </c>
      <c r="IT3" t="s">
        <v>781</v>
      </c>
      <c r="IU3" s="115">
        <v>45383</v>
      </c>
      <c r="IV3" s="115">
        <f t="shared" ref="IV3:JX3" si="7">IU3+1</f>
        <v>45384</v>
      </c>
      <c r="IW3" s="115">
        <f t="shared" si="7"/>
        <v>45385</v>
      </c>
      <c r="IX3" s="115">
        <f t="shared" si="7"/>
        <v>45386</v>
      </c>
      <c r="IY3" s="115">
        <f t="shared" si="7"/>
        <v>45387</v>
      </c>
      <c r="IZ3" s="115">
        <f t="shared" si="7"/>
        <v>45388</v>
      </c>
      <c r="JA3" s="115">
        <f t="shared" si="7"/>
        <v>45389</v>
      </c>
      <c r="JB3" s="115">
        <f t="shared" si="7"/>
        <v>45390</v>
      </c>
      <c r="JC3" s="115">
        <f t="shared" si="7"/>
        <v>45391</v>
      </c>
      <c r="JD3" s="115">
        <f t="shared" si="7"/>
        <v>45392</v>
      </c>
      <c r="JE3" s="115">
        <f t="shared" si="7"/>
        <v>45393</v>
      </c>
      <c r="JF3" s="115">
        <f t="shared" si="7"/>
        <v>45394</v>
      </c>
      <c r="JG3" s="115">
        <f t="shared" si="7"/>
        <v>45395</v>
      </c>
      <c r="JH3" s="115">
        <f t="shared" si="7"/>
        <v>45396</v>
      </c>
      <c r="JI3" s="115">
        <f t="shared" si="7"/>
        <v>45397</v>
      </c>
      <c r="JJ3" s="115">
        <f t="shared" si="7"/>
        <v>45398</v>
      </c>
      <c r="JK3" s="115">
        <f t="shared" si="7"/>
        <v>45399</v>
      </c>
      <c r="JL3" s="115">
        <f t="shared" si="7"/>
        <v>45400</v>
      </c>
      <c r="JM3" s="115">
        <f t="shared" si="7"/>
        <v>45401</v>
      </c>
      <c r="JN3" s="115">
        <f t="shared" si="7"/>
        <v>45402</v>
      </c>
      <c r="JO3" s="115">
        <f t="shared" si="7"/>
        <v>45403</v>
      </c>
      <c r="JP3" s="115">
        <f t="shared" si="7"/>
        <v>45404</v>
      </c>
      <c r="JQ3" s="115">
        <f t="shared" si="7"/>
        <v>45405</v>
      </c>
      <c r="JR3" s="115">
        <f t="shared" si="7"/>
        <v>45406</v>
      </c>
      <c r="JS3" s="115">
        <f t="shared" si="7"/>
        <v>45407</v>
      </c>
      <c r="JT3" s="115">
        <f t="shared" si="7"/>
        <v>45408</v>
      </c>
      <c r="JU3" s="115">
        <f t="shared" si="7"/>
        <v>45409</v>
      </c>
      <c r="JV3" s="115">
        <f t="shared" si="7"/>
        <v>45410</v>
      </c>
      <c r="JW3" s="115">
        <f t="shared" si="7"/>
        <v>45411</v>
      </c>
      <c r="JX3" s="115">
        <f t="shared" si="7"/>
        <v>45412</v>
      </c>
      <c r="JY3" t="s">
        <v>781</v>
      </c>
      <c r="JZ3" s="115">
        <v>45413</v>
      </c>
      <c r="KA3" s="115">
        <f t="shared" ref="KA3:LD3" si="8">JZ3+1</f>
        <v>45414</v>
      </c>
      <c r="KB3" s="115">
        <f t="shared" si="8"/>
        <v>45415</v>
      </c>
      <c r="KC3" s="115">
        <f t="shared" si="8"/>
        <v>45416</v>
      </c>
      <c r="KD3" s="115">
        <f t="shared" si="8"/>
        <v>45417</v>
      </c>
      <c r="KE3" s="115">
        <f t="shared" si="8"/>
        <v>45418</v>
      </c>
      <c r="KF3" s="115">
        <f t="shared" si="8"/>
        <v>45419</v>
      </c>
      <c r="KG3" s="115">
        <f t="shared" si="8"/>
        <v>45420</v>
      </c>
      <c r="KH3" s="115">
        <f t="shared" si="8"/>
        <v>45421</v>
      </c>
      <c r="KI3" s="115">
        <f t="shared" si="8"/>
        <v>45422</v>
      </c>
      <c r="KJ3" s="115">
        <f t="shared" si="8"/>
        <v>45423</v>
      </c>
      <c r="KK3" s="115">
        <f t="shared" si="8"/>
        <v>45424</v>
      </c>
      <c r="KL3" s="115">
        <f t="shared" si="8"/>
        <v>45425</v>
      </c>
      <c r="KM3" s="115">
        <f t="shared" si="8"/>
        <v>45426</v>
      </c>
      <c r="KN3" s="115">
        <f t="shared" si="8"/>
        <v>45427</v>
      </c>
      <c r="KO3" s="115">
        <f t="shared" si="8"/>
        <v>45428</v>
      </c>
      <c r="KP3" s="115">
        <f t="shared" si="8"/>
        <v>45429</v>
      </c>
      <c r="KQ3" s="115">
        <f t="shared" si="8"/>
        <v>45430</v>
      </c>
      <c r="KR3" s="115">
        <f t="shared" si="8"/>
        <v>45431</v>
      </c>
      <c r="KS3" s="115">
        <f t="shared" si="8"/>
        <v>45432</v>
      </c>
      <c r="KT3" s="115">
        <f t="shared" si="8"/>
        <v>45433</v>
      </c>
      <c r="KU3" s="115">
        <f t="shared" si="8"/>
        <v>45434</v>
      </c>
      <c r="KV3" s="115">
        <f t="shared" si="8"/>
        <v>45435</v>
      </c>
      <c r="KW3" s="115">
        <f t="shared" si="8"/>
        <v>45436</v>
      </c>
      <c r="KX3" s="115">
        <f t="shared" si="8"/>
        <v>45437</v>
      </c>
      <c r="KY3" s="115">
        <f t="shared" si="8"/>
        <v>45438</v>
      </c>
      <c r="KZ3" s="115">
        <f t="shared" si="8"/>
        <v>45439</v>
      </c>
      <c r="LA3" s="115">
        <f t="shared" si="8"/>
        <v>45440</v>
      </c>
      <c r="LB3" s="115">
        <f t="shared" si="8"/>
        <v>45441</v>
      </c>
      <c r="LC3" s="115">
        <f t="shared" si="8"/>
        <v>45442</v>
      </c>
      <c r="LD3" s="115">
        <f t="shared" si="8"/>
        <v>45443</v>
      </c>
      <c r="LE3" t="s">
        <v>781</v>
      </c>
      <c r="LF3" s="115" t="s">
        <v>1381</v>
      </c>
      <c r="LG3" s="115" t="s">
        <v>1382</v>
      </c>
      <c r="LH3" s="115" t="s">
        <v>1383</v>
      </c>
      <c r="LI3" s="115" t="s">
        <v>1384</v>
      </c>
      <c r="LJ3" s="115" t="s">
        <v>1385</v>
      </c>
      <c r="LK3" s="115" t="s">
        <v>1386</v>
      </c>
      <c r="LL3" s="115" t="s">
        <v>1387</v>
      </c>
      <c r="LM3" s="115" t="s">
        <v>1388</v>
      </c>
      <c r="LN3" s="115" t="s">
        <v>1389</v>
      </c>
      <c r="LO3" s="115" t="s">
        <v>1390</v>
      </c>
      <c r="LP3" s="115" t="s">
        <v>1391</v>
      </c>
      <c r="LQ3" s="115" t="s">
        <v>1392</v>
      </c>
      <c r="LR3" s="115" t="s">
        <v>1393</v>
      </c>
      <c r="LS3" s="115" t="s">
        <v>1394</v>
      </c>
      <c r="LT3" s="115" t="s">
        <v>1395</v>
      </c>
      <c r="LU3" s="115" t="s">
        <v>1396</v>
      </c>
      <c r="LV3" s="115" t="s">
        <v>1397</v>
      </c>
      <c r="LW3" s="115" t="s">
        <v>1398</v>
      </c>
      <c r="LX3" s="115" t="s">
        <v>1399</v>
      </c>
      <c r="LY3" s="115" t="s">
        <v>1400</v>
      </c>
      <c r="LZ3" s="115" t="s">
        <v>1401</v>
      </c>
      <c r="MA3" s="115" t="s">
        <v>1402</v>
      </c>
      <c r="MB3" s="115" t="s">
        <v>1403</v>
      </c>
      <c r="MC3" s="115" t="s">
        <v>1404</v>
      </c>
      <c r="MD3" s="115" t="s">
        <v>1405</v>
      </c>
      <c r="ME3" s="115" t="s">
        <v>1406</v>
      </c>
      <c r="MF3" s="115" t="s">
        <v>1407</v>
      </c>
      <c r="MG3" s="115" t="s">
        <v>1408</v>
      </c>
      <c r="MH3" s="115" t="s">
        <v>1409</v>
      </c>
      <c r="MI3" s="115" t="s">
        <v>1410</v>
      </c>
      <c r="MJ3" t="s">
        <v>781</v>
      </c>
      <c r="MK3" s="115" t="s">
        <v>53</v>
      </c>
      <c r="ML3" s="115" t="s">
        <v>54</v>
      </c>
      <c r="MM3" s="115" t="s">
        <v>55</v>
      </c>
      <c r="MN3" s="115" t="s">
        <v>56</v>
      </c>
      <c r="MO3" s="115" t="s">
        <v>57</v>
      </c>
      <c r="MP3" s="115" t="s">
        <v>58</v>
      </c>
      <c r="MQ3" s="115" t="s">
        <v>59</v>
      </c>
      <c r="MR3" s="115" t="s">
        <v>60</v>
      </c>
      <c r="MS3" s="115" t="s">
        <v>61</v>
      </c>
      <c r="MT3" s="115" t="s">
        <v>62</v>
      </c>
      <c r="MU3" s="115" t="s">
        <v>63</v>
      </c>
      <c r="MV3" s="115" t="s">
        <v>64</v>
      </c>
      <c r="MW3" s="115" t="s">
        <v>65</v>
      </c>
      <c r="MX3" s="115" t="s">
        <v>66</v>
      </c>
      <c r="MY3" s="115" t="s">
        <v>67</v>
      </c>
      <c r="MZ3" s="115" t="s">
        <v>68</v>
      </c>
      <c r="NA3" s="115" t="s">
        <v>69</v>
      </c>
      <c r="NB3" s="115" t="s">
        <v>70</v>
      </c>
      <c r="NC3" s="115" t="s">
        <v>71</v>
      </c>
      <c r="ND3" s="115" t="s">
        <v>72</v>
      </c>
      <c r="NE3" s="115" t="s">
        <v>73</v>
      </c>
      <c r="NF3" s="115" t="s">
        <v>74</v>
      </c>
      <c r="NG3" s="115" t="s">
        <v>75</v>
      </c>
      <c r="NH3" s="115" t="s">
        <v>76</v>
      </c>
      <c r="NI3" s="115" t="s">
        <v>77</v>
      </c>
      <c r="NJ3" s="115" t="s">
        <v>78</v>
      </c>
      <c r="NK3" s="115" t="s">
        <v>79</v>
      </c>
      <c r="NL3" s="115" t="s">
        <v>80</v>
      </c>
      <c r="NM3" s="115" t="s">
        <v>81</v>
      </c>
      <c r="NN3" s="115" t="s">
        <v>82</v>
      </c>
      <c r="NO3" s="115" t="s">
        <v>83</v>
      </c>
      <c r="NP3" t="s">
        <v>781</v>
      </c>
      <c r="NQ3" s="115" t="s">
        <v>84</v>
      </c>
      <c r="NR3" s="115" t="s">
        <v>85</v>
      </c>
      <c r="NS3" s="115" t="s">
        <v>86</v>
      </c>
      <c r="NT3" s="115" t="s">
        <v>87</v>
      </c>
      <c r="NU3" s="115" t="s">
        <v>88</v>
      </c>
      <c r="NV3" s="115" t="s">
        <v>89</v>
      </c>
      <c r="NW3" s="115" t="s">
        <v>90</v>
      </c>
      <c r="NX3" s="115" t="s">
        <v>91</v>
      </c>
      <c r="NY3" s="115" t="s">
        <v>92</v>
      </c>
      <c r="NZ3" s="115" t="s">
        <v>93</v>
      </c>
      <c r="OA3" s="115" t="s">
        <v>94</v>
      </c>
      <c r="OB3" s="115" t="s">
        <v>95</v>
      </c>
      <c r="OC3" s="115" t="s">
        <v>96</v>
      </c>
      <c r="OD3" s="115" t="s">
        <v>97</v>
      </c>
      <c r="OE3" s="115" t="s">
        <v>98</v>
      </c>
      <c r="OF3" s="115" t="s">
        <v>99</v>
      </c>
      <c r="OG3" s="115" t="s">
        <v>100</v>
      </c>
      <c r="OH3" s="115" t="s">
        <v>101</v>
      </c>
      <c r="OI3" s="115" t="s">
        <v>102</v>
      </c>
      <c r="OJ3" s="115" t="s">
        <v>103</v>
      </c>
      <c r="OK3" s="115" t="s">
        <v>104</v>
      </c>
      <c r="OL3" s="115" t="s">
        <v>105</v>
      </c>
      <c r="OM3" s="115" t="s">
        <v>106</v>
      </c>
      <c r="ON3" s="115" t="s">
        <v>107</v>
      </c>
      <c r="OO3" s="115" t="s">
        <v>108</v>
      </c>
      <c r="OP3" s="115" t="s">
        <v>109</v>
      </c>
      <c r="OQ3" s="115" t="s">
        <v>110</v>
      </c>
      <c r="OR3" s="115" t="s">
        <v>111</v>
      </c>
      <c r="OS3" s="115" t="s">
        <v>112</v>
      </c>
      <c r="OT3" s="115" t="s">
        <v>113</v>
      </c>
      <c r="OU3" s="115" t="s">
        <v>114</v>
      </c>
      <c r="OV3" t="s">
        <v>781</v>
      </c>
      <c r="OW3" s="115" t="s">
        <v>115</v>
      </c>
      <c r="OX3" s="115" t="s">
        <v>116</v>
      </c>
      <c r="OY3" s="115" t="s">
        <v>117</v>
      </c>
      <c r="OZ3" s="115" t="s">
        <v>118</v>
      </c>
      <c r="PA3" s="115" t="s">
        <v>119</v>
      </c>
      <c r="PB3" s="115" t="s">
        <v>120</v>
      </c>
      <c r="PC3" s="115" t="s">
        <v>121</v>
      </c>
      <c r="PD3" s="115" t="s">
        <v>122</v>
      </c>
      <c r="PE3" s="115" t="s">
        <v>123</v>
      </c>
      <c r="PF3" s="115" t="s">
        <v>124</v>
      </c>
      <c r="PG3" s="115" t="s">
        <v>125</v>
      </c>
      <c r="PH3" s="115" t="s">
        <v>126</v>
      </c>
      <c r="PI3" s="115" t="s">
        <v>127</v>
      </c>
      <c r="PJ3" s="115" t="s">
        <v>128</v>
      </c>
      <c r="PK3" s="115" t="s">
        <v>129</v>
      </c>
      <c r="PL3" s="115" t="s">
        <v>130</v>
      </c>
      <c r="PM3" s="115" t="s">
        <v>131</v>
      </c>
      <c r="PN3" s="115" t="s">
        <v>132</v>
      </c>
      <c r="PO3" s="115" t="s">
        <v>133</v>
      </c>
      <c r="PP3" s="115" t="s">
        <v>134</v>
      </c>
      <c r="PQ3" s="115" t="s">
        <v>135</v>
      </c>
      <c r="PR3" s="115" t="s">
        <v>136</v>
      </c>
      <c r="PS3" s="115" t="s">
        <v>137</v>
      </c>
      <c r="PT3" s="115" t="s">
        <v>138</v>
      </c>
      <c r="PU3" s="115" t="s">
        <v>139</v>
      </c>
      <c r="PV3" s="115" t="s">
        <v>140</v>
      </c>
      <c r="PW3" s="115" t="s">
        <v>141</v>
      </c>
      <c r="PX3" s="115" t="s">
        <v>142</v>
      </c>
      <c r="PY3" s="115" t="s">
        <v>143</v>
      </c>
      <c r="PZ3" s="115" t="s">
        <v>144</v>
      </c>
      <c r="QA3" t="s">
        <v>781</v>
      </c>
      <c r="QB3" s="115" t="s">
        <v>844</v>
      </c>
      <c r="QC3" s="115" t="s">
        <v>845</v>
      </c>
      <c r="QD3" s="115" t="s">
        <v>846</v>
      </c>
      <c r="QE3" s="115" t="s">
        <v>847</v>
      </c>
      <c r="QF3" s="115" t="s">
        <v>848</v>
      </c>
      <c r="QG3" s="115" t="s">
        <v>849</v>
      </c>
      <c r="QH3" s="115" t="s">
        <v>850</v>
      </c>
      <c r="QI3" s="115" t="s">
        <v>851</v>
      </c>
      <c r="QJ3" s="115" t="s">
        <v>852</v>
      </c>
      <c r="QK3" s="115" t="s">
        <v>853</v>
      </c>
      <c r="QL3" s="115" t="s">
        <v>854</v>
      </c>
      <c r="QM3" s="115" t="s">
        <v>855</v>
      </c>
      <c r="QN3" s="115" t="s">
        <v>856</v>
      </c>
      <c r="QO3" s="115" t="s">
        <v>857</v>
      </c>
      <c r="QP3" s="115" t="s">
        <v>858</v>
      </c>
      <c r="QQ3" s="115" t="s">
        <v>859</v>
      </c>
      <c r="QR3" s="115" t="s">
        <v>860</v>
      </c>
      <c r="QS3" s="115" t="s">
        <v>861</v>
      </c>
      <c r="QT3" s="115" t="s">
        <v>862</v>
      </c>
      <c r="QU3" s="115" t="s">
        <v>863</v>
      </c>
      <c r="QV3" s="115" t="s">
        <v>864</v>
      </c>
      <c r="QW3" s="115" t="s">
        <v>865</v>
      </c>
      <c r="QX3" s="115" t="s">
        <v>866</v>
      </c>
      <c r="QY3" s="115" t="s">
        <v>867</v>
      </c>
      <c r="QZ3" s="115" t="s">
        <v>868</v>
      </c>
      <c r="RA3" s="115" t="s">
        <v>869</v>
      </c>
      <c r="RB3" s="115" t="s">
        <v>870</v>
      </c>
      <c r="RC3" s="115" t="s">
        <v>871</v>
      </c>
      <c r="RD3" s="115" t="s">
        <v>872</v>
      </c>
      <c r="RE3" s="115" t="s">
        <v>873</v>
      </c>
      <c r="RF3" s="115" t="s">
        <v>874</v>
      </c>
      <c r="RG3" s="127">
        <f>SUM(QC3:RF3)</f>
        <v>0</v>
      </c>
      <c r="RH3" s="115" t="s">
        <v>1411</v>
      </c>
      <c r="RI3" s="115" t="s">
        <v>1412</v>
      </c>
      <c r="RJ3" s="115" t="s">
        <v>1413</v>
      </c>
      <c r="RK3" s="115" t="s">
        <v>1414</v>
      </c>
      <c r="RL3" s="115" t="s">
        <v>1415</v>
      </c>
      <c r="RM3" s="115" t="s">
        <v>1416</v>
      </c>
      <c r="RN3" s="115" t="s">
        <v>1417</v>
      </c>
      <c r="RO3" s="115" t="s">
        <v>1418</v>
      </c>
      <c r="RP3" s="115" t="s">
        <v>1419</v>
      </c>
      <c r="RQ3" s="115" t="s">
        <v>1420</v>
      </c>
      <c r="RR3" s="115" t="s">
        <v>1421</v>
      </c>
      <c r="RS3" s="115" t="s">
        <v>1422</v>
      </c>
      <c r="RT3" s="115" t="s">
        <v>1423</v>
      </c>
      <c r="RU3" s="115" t="s">
        <v>1424</v>
      </c>
      <c r="RV3" s="115" t="s">
        <v>1425</v>
      </c>
      <c r="RW3" s="115" t="s">
        <v>1426</v>
      </c>
      <c r="RX3" s="115" t="s">
        <v>1427</v>
      </c>
      <c r="RY3" s="115" t="s">
        <v>1428</v>
      </c>
      <c r="RZ3" s="115" t="s">
        <v>1429</v>
      </c>
      <c r="SA3" s="115" t="s">
        <v>1430</v>
      </c>
      <c r="SB3" s="115" t="s">
        <v>1431</v>
      </c>
      <c r="SC3" s="115" t="s">
        <v>1432</v>
      </c>
      <c r="SD3" s="115" t="s">
        <v>1433</v>
      </c>
      <c r="SE3" s="115" t="s">
        <v>1434</v>
      </c>
      <c r="SF3" s="115" t="s">
        <v>1435</v>
      </c>
      <c r="SG3" s="115" t="s">
        <v>1436</v>
      </c>
      <c r="SH3" s="115" t="s">
        <v>1437</v>
      </c>
      <c r="SI3" s="115" t="s">
        <v>1438</v>
      </c>
      <c r="SJ3" s="115" t="s">
        <v>1439</v>
      </c>
      <c r="SK3" s="115" t="s">
        <v>1440</v>
      </c>
      <c r="SL3" s="127" t="s">
        <v>782</v>
      </c>
      <c r="SM3" s="115" t="s">
        <v>206</v>
      </c>
      <c r="SN3" s="115" t="s">
        <v>207</v>
      </c>
      <c r="SO3" s="115" t="s">
        <v>208</v>
      </c>
      <c r="SP3" s="115" t="s">
        <v>209</v>
      </c>
      <c r="SQ3" s="115" t="s">
        <v>210</v>
      </c>
      <c r="SR3" s="115" t="s">
        <v>211</v>
      </c>
      <c r="SS3" s="115" t="s">
        <v>212</v>
      </c>
      <c r="ST3" s="115" t="s">
        <v>213</v>
      </c>
      <c r="SU3" s="115" t="s">
        <v>214</v>
      </c>
      <c r="SV3" s="115" t="s">
        <v>215</v>
      </c>
      <c r="SW3" s="115" t="s">
        <v>216</v>
      </c>
      <c r="SX3" s="115" t="s">
        <v>217</v>
      </c>
      <c r="SY3" s="115" t="s">
        <v>218</v>
      </c>
      <c r="SZ3" s="115" t="s">
        <v>219</v>
      </c>
      <c r="TA3" s="115" t="s">
        <v>220</v>
      </c>
      <c r="TB3" s="115" t="s">
        <v>221</v>
      </c>
      <c r="TC3" s="115" t="s">
        <v>222</v>
      </c>
      <c r="TD3" s="115" t="s">
        <v>223</v>
      </c>
      <c r="TE3" s="115" t="s">
        <v>224</v>
      </c>
      <c r="TF3" s="115" t="s">
        <v>225</v>
      </c>
      <c r="TG3" s="115" t="s">
        <v>226</v>
      </c>
      <c r="TH3" s="115" t="s">
        <v>227</v>
      </c>
      <c r="TI3" s="115" t="s">
        <v>228</v>
      </c>
      <c r="TJ3" s="115" t="s">
        <v>229</v>
      </c>
      <c r="TK3" s="115" t="s">
        <v>230</v>
      </c>
      <c r="TL3" s="115" t="s">
        <v>231</v>
      </c>
      <c r="TM3" s="115" t="s">
        <v>232</v>
      </c>
      <c r="TN3" s="115" t="s">
        <v>233</v>
      </c>
      <c r="TO3" s="115" t="s">
        <v>234</v>
      </c>
      <c r="TP3" s="115" t="s">
        <v>235</v>
      </c>
      <c r="TQ3" s="115" t="s">
        <v>236</v>
      </c>
      <c r="TR3" s="127" t="s">
        <v>782</v>
      </c>
      <c r="TS3" s="115" t="s">
        <v>905</v>
      </c>
      <c r="TT3" s="115" t="s">
        <v>238</v>
      </c>
      <c r="TU3" s="115" t="s">
        <v>239</v>
      </c>
      <c r="TV3" s="115" t="s">
        <v>240</v>
      </c>
      <c r="TW3" s="115" t="s">
        <v>241</v>
      </c>
      <c r="TX3" s="115" t="s">
        <v>242</v>
      </c>
      <c r="TY3" s="115" t="s">
        <v>243</v>
      </c>
      <c r="TZ3" s="115" t="s">
        <v>244</v>
      </c>
      <c r="UA3" s="115" t="s">
        <v>245</v>
      </c>
      <c r="UB3" s="115" t="s">
        <v>246</v>
      </c>
      <c r="UC3" s="115" t="s">
        <v>247</v>
      </c>
      <c r="UD3" s="115" t="s">
        <v>248</v>
      </c>
      <c r="UE3" s="115" t="s">
        <v>249</v>
      </c>
      <c r="UF3" s="115" t="s">
        <v>250</v>
      </c>
      <c r="UG3" s="115" t="s">
        <v>251</v>
      </c>
      <c r="UH3" s="115" t="s">
        <v>252</v>
      </c>
      <c r="UI3" s="115" t="s">
        <v>253</v>
      </c>
      <c r="UJ3" s="115" t="s">
        <v>254</v>
      </c>
      <c r="UK3" s="115" t="s">
        <v>255</v>
      </c>
      <c r="UL3" s="115" t="s">
        <v>256</v>
      </c>
      <c r="UM3" s="115" t="s">
        <v>257</v>
      </c>
      <c r="UN3" s="115" t="s">
        <v>258</v>
      </c>
      <c r="UO3" s="115" t="s">
        <v>259</v>
      </c>
      <c r="UP3" s="115" t="s">
        <v>260</v>
      </c>
      <c r="UQ3" s="115" t="s">
        <v>261</v>
      </c>
      <c r="UR3" s="115" t="s">
        <v>262</v>
      </c>
      <c r="US3" s="115" t="s">
        <v>263</v>
      </c>
      <c r="UT3" s="115" t="s">
        <v>264</v>
      </c>
      <c r="UU3" s="115" t="s">
        <v>265</v>
      </c>
      <c r="UV3" s="115" t="s">
        <v>266</v>
      </c>
      <c r="UW3" s="115" t="s">
        <v>267</v>
      </c>
      <c r="UX3" s="127" t="s">
        <v>782</v>
      </c>
      <c r="UY3" s="115" t="s">
        <v>268</v>
      </c>
      <c r="UZ3" s="115" t="s">
        <v>269</v>
      </c>
      <c r="VA3" s="115" t="s">
        <v>270</v>
      </c>
      <c r="VB3" s="115" t="s">
        <v>271</v>
      </c>
      <c r="VC3" s="115" t="s">
        <v>272</v>
      </c>
      <c r="VD3" s="115" t="s">
        <v>273</v>
      </c>
      <c r="VE3" s="115" t="s">
        <v>274</v>
      </c>
      <c r="VF3" s="115" t="s">
        <v>275</v>
      </c>
      <c r="VG3" s="115" t="s">
        <v>276</v>
      </c>
      <c r="VH3" s="115" t="s">
        <v>277</v>
      </c>
      <c r="VI3" s="115" t="s">
        <v>278</v>
      </c>
      <c r="VJ3" s="115" t="s">
        <v>279</v>
      </c>
      <c r="VK3" s="115" t="s">
        <v>280</v>
      </c>
      <c r="VL3" s="115" t="s">
        <v>281</v>
      </c>
      <c r="VM3" s="115" t="s">
        <v>282</v>
      </c>
      <c r="VN3" s="115" t="s">
        <v>283</v>
      </c>
      <c r="VO3" s="115" t="s">
        <v>284</v>
      </c>
      <c r="VP3" s="115" t="s">
        <v>285</v>
      </c>
      <c r="VQ3" s="115" t="s">
        <v>286</v>
      </c>
      <c r="VR3" s="115" t="s">
        <v>287</v>
      </c>
      <c r="VS3" s="115" t="s">
        <v>288</v>
      </c>
      <c r="VT3" s="115" t="s">
        <v>289</v>
      </c>
      <c r="VU3" s="115" t="s">
        <v>290</v>
      </c>
      <c r="VV3" s="115" t="s">
        <v>291</v>
      </c>
      <c r="VW3" s="115" t="s">
        <v>292</v>
      </c>
      <c r="VX3" s="115" t="s">
        <v>293</v>
      </c>
      <c r="VY3" s="115" t="s">
        <v>294</v>
      </c>
      <c r="VZ3" s="115" t="s">
        <v>295</v>
      </c>
      <c r="WA3" s="127" t="s">
        <v>782</v>
      </c>
      <c r="WB3" s="115" t="s">
        <v>296</v>
      </c>
      <c r="WC3" s="115" t="s">
        <v>297</v>
      </c>
      <c r="WD3" s="115" t="s">
        <v>298</v>
      </c>
      <c r="WE3" s="115" t="s">
        <v>299</v>
      </c>
      <c r="WF3" s="115" t="s">
        <v>300</v>
      </c>
      <c r="WG3" s="115" t="s">
        <v>301</v>
      </c>
      <c r="WH3" s="115" t="s">
        <v>302</v>
      </c>
      <c r="WI3" s="115" t="s">
        <v>303</v>
      </c>
      <c r="WJ3" s="115" t="s">
        <v>304</v>
      </c>
      <c r="WK3" s="115" t="s">
        <v>305</v>
      </c>
      <c r="WL3" s="115" t="s">
        <v>306</v>
      </c>
      <c r="WM3" s="115" t="s">
        <v>307</v>
      </c>
      <c r="WN3" s="115" t="s">
        <v>308</v>
      </c>
      <c r="WO3" s="115" t="s">
        <v>309</v>
      </c>
      <c r="WP3" s="115" t="s">
        <v>310</v>
      </c>
      <c r="WQ3" s="115" t="s">
        <v>311</v>
      </c>
      <c r="WR3" s="115" t="s">
        <v>312</v>
      </c>
      <c r="WS3" s="115" t="s">
        <v>313</v>
      </c>
      <c r="WT3" s="115" t="s">
        <v>314</v>
      </c>
      <c r="WU3" s="115" t="s">
        <v>315</v>
      </c>
      <c r="WV3" s="115" t="s">
        <v>316</v>
      </c>
      <c r="WW3" s="115" t="s">
        <v>317</v>
      </c>
      <c r="WX3" s="115" t="s">
        <v>318</v>
      </c>
      <c r="WY3" s="115" t="s">
        <v>319</v>
      </c>
      <c r="WZ3" s="115" t="s">
        <v>320</v>
      </c>
      <c r="XA3" s="115" t="s">
        <v>321</v>
      </c>
      <c r="XB3" s="115" t="s">
        <v>322</v>
      </c>
      <c r="XC3" s="115" t="s">
        <v>323</v>
      </c>
      <c r="XD3" s="115" t="s">
        <v>324</v>
      </c>
      <c r="XE3" s="115" t="s">
        <v>325</v>
      </c>
      <c r="XF3" s="115" t="s">
        <v>326</v>
      </c>
      <c r="XG3" s="127" t="s">
        <v>782</v>
      </c>
      <c r="XH3" s="115" t="s">
        <v>327</v>
      </c>
      <c r="XI3" s="115" t="s">
        <v>328</v>
      </c>
      <c r="XJ3" s="115" t="s">
        <v>329</v>
      </c>
      <c r="XK3" s="115" t="s">
        <v>330</v>
      </c>
      <c r="XL3" s="115" t="s">
        <v>331</v>
      </c>
      <c r="XM3" s="115" t="s">
        <v>332</v>
      </c>
      <c r="XN3" s="115" t="s">
        <v>333</v>
      </c>
      <c r="XO3" s="115" t="s">
        <v>334</v>
      </c>
      <c r="XP3" s="115" t="s">
        <v>335</v>
      </c>
      <c r="XQ3" s="115" t="s">
        <v>336</v>
      </c>
      <c r="XR3" s="115" t="s">
        <v>337</v>
      </c>
      <c r="XS3" s="115" t="s">
        <v>338</v>
      </c>
      <c r="XT3" s="115" t="s">
        <v>339</v>
      </c>
      <c r="XU3" s="115" t="s">
        <v>340</v>
      </c>
      <c r="XV3" s="115" t="s">
        <v>341</v>
      </c>
      <c r="XW3" s="115" t="s">
        <v>342</v>
      </c>
      <c r="XX3" s="115" t="s">
        <v>343</v>
      </c>
      <c r="XY3" s="115" t="s">
        <v>344</v>
      </c>
      <c r="XZ3" s="115" t="s">
        <v>345</v>
      </c>
      <c r="YA3" s="115" t="s">
        <v>346</v>
      </c>
      <c r="YB3" s="115" t="s">
        <v>347</v>
      </c>
      <c r="YC3" s="115" t="s">
        <v>348</v>
      </c>
      <c r="YD3" s="115" t="s">
        <v>349</v>
      </c>
      <c r="YE3" s="115" t="s">
        <v>350</v>
      </c>
      <c r="YF3" s="115" t="s">
        <v>351</v>
      </c>
      <c r="YG3" s="115" t="s">
        <v>352</v>
      </c>
      <c r="YH3" s="115" t="s">
        <v>353</v>
      </c>
      <c r="YI3" s="115" t="s">
        <v>354</v>
      </c>
      <c r="YJ3" s="115" t="s">
        <v>355</v>
      </c>
      <c r="YK3" s="115" t="s">
        <v>356</v>
      </c>
      <c r="YL3" s="127" t="s">
        <v>782</v>
      </c>
      <c r="YM3" s="115" t="s">
        <v>357</v>
      </c>
      <c r="YN3" s="115" t="s">
        <v>358</v>
      </c>
      <c r="YO3" s="115" t="s">
        <v>359</v>
      </c>
      <c r="YP3" s="115" t="s">
        <v>360</v>
      </c>
      <c r="YQ3" s="115" t="s">
        <v>361</v>
      </c>
      <c r="YR3" s="115" t="s">
        <v>362</v>
      </c>
      <c r="YS3" s="115" t="s">
        <v>363</v>
      </c>
      <c r="YT3" s="115" t="s">
        <v>364</v>
      </c>
      <c r="YU3" s="115" t="s">
        <v>365</v>
      </c>
      <c r="YV3" s="115" t="s">
        <v>366</v>
      </c>
      <c r="YW3" s="115" t="s">
        <v>367</v>
      </c>
      <c r="YX3" s="115" t="s">
        <v>368</v>
      </c>
      <c r="YY3" s="115" t="s">
        <v>369</v>
      </c>
      <c r="YZ3" s="115" t="s">
        <v>370</v>
      </c>
      <c r="ZA3" s="115" t="s">
        <v>371</v>
      </c>
      <c r="ZB3" s="115" t="s">
        <v>372</v>
      </c>
      <c r="ZC3" s="115" t="s">
        <v>373</v>
      </c>
      <c r="ZD3" s="115" t="s">
        <v>374</v>
      </c>
      <c r="ZE3" s="115" t="s">
        <v>375</v>
      </c>
      <c r="ZF3" s="115" t="s">
        <v>376</v>
      </c>
      <c r="ZG3" s="115" t="s">
        <v>377</v>
      </c>
      <c r="ZH3" s="115" t="s">
        <v>378</v>
      </c>
      <c r="ZI3" s="115" t="s">
        <v>379</v>
      </c>
      <c r="ZJ3" s="115" t="s">
        <v>380</v>
      </c>
      <c r="ZK3" s="115" t="s">
        <v>381</v>
      </c>
      <c r="ZL3" s="115" t="s">
        <v>382</v>
      </c>
      <c r="ZM3" s="115" t="s">
        <v>383</v>
      </c>
      <c r="ZN3" s="115" t="s">
        <v>384</v>
      </c>
      <c r="ZO3" s="115" t="s">
        <v>385</v>
      </c>
      <c r="ZP3" s="115" t="s">
        <v>386</v>
      </c>
      <c r="ZQ3" s="115" t="s">
        <v>387</v>
      </c>
      <c r="ZR3" s="127" t="s">
        <v>782</v>
      </c>
      <c r="ZS3" s="115" t="s">
        <v>388</v>
      </c>
      <c r="ZT3" s="115" t="s">
        <v>389</v>
      </c>
      <c r="ZU3" s="115" t="s">
        <v>390</v>
      </c>
      <c r="ZV3" s="115" t="s">
        <v>391</v>
      </c>
      <c r="ZW3" s="115" t="s">
        <v>392</v>
      </c>
      <c r="ZX3" s="115" t="s">
        <v>393</v>
      </c>
      <c r="ZY3" s="115" t="s">
        <v>394</v>
      </c>
      <c r="ZZ3" s="115" t="s">
        <v>395</v>
      </c>
      <c r="AAA3" s="115" t="s">
        <v>396</v>
      </c>
      <c r="AAB3" s="115" t="s">
        <v>397</v>
      </c>
      <c r="AAC3" s="115" t="s">
        <v>398</v>
      </c>
      <c r="AAD3" s="115" t="s">
        <v>399</v>
      </c>
      <c r="AAE3" s="115" t="s">
        <v>400</v>
      </c>
      <c r="AAF3" s="115" t="s">
        <v>401</v>
      </c>
      <c r="AAG3" s="115" t="s">
        <v>402</v>
      </c>
      <c r="AAH3" s="115" t="s">
        <v>403</v>
      </c>
      <c r="AAI3" s="115" t="s">
        <v>404</v>
      </c>
      <c r="AAJ3" s="115" t="s">
        <v>405</v>
      </c>
      <c r="AAK3" s="115" t="s">
        <v>406</v>
      </c>
      <c r="AAL3" s="115" t="s">
        <v>407</v>
      </c>
      <c r="AAM3" s="115" t="s">
        <v>408</v>
      </c>
      <c r="AAN3" s="115" t="s">
        <v>409</v>
      </c>
      <c r="AAO3" s="115" t="s">
        <v>410</v>
      </c>
      <c r="AAP3" s="115" t="s">
        <v>411</v>
      </c>
      <c r="AAQ3" s="115" t="s">
        <v>412</v>
      </c>
      <c r="AAR3" s="115" t="s">
        <v>413</v>
      </c>
      <c r="AAS3" s="115" t="s">
        <v>414</v>
      </c>
      <c r="AAT3" s="115" t="s">
        <v>415</v>
      </c>
      <c r="AAU3" s="115" t="s">
        <v>416</v>
      </c>
      <c r="AAV3" s="115" t="s">
        <v>417</v>
      </c>
      <c r="AAW3" s="127" t="s">
        <v>782</v>
      </c>
      <c r="AAX3" s="115" t="s">
        <v>53</v>
      </c>
      <c r="AAY3" s="115" t="s">
        <v>54</v>
      </c>
      <c r="AAZ3" s="115" t="s">
        <v>55</v>
      </c>
      <c r="ABA3" s="115" t="s">
        <v>56</v>
      </c>
      <c r="ABB3" s="115" t="s">
        <v>57</v>
      </c>
      <c r="ABC3" s="115" t="s">
        <v>58</v>
      </c>
      <c r="ABD3" s="115" t="s">
        <v>59</v>
      </c>
      <c r="ABE3" s="115" t="s">
        <v>60</v>
      </c>
      <c r="ABF3" s="115" t="s">
        <v>61</v>
      </c>
      <c r="ABG3" s="115" t="s">
        <v>62</v>
      </c>
      <c r="ABH3" s="115" t="s">
        <v>63</v>
      </c>
      <c r="ABI3" s="115" t="s">
        <v>64</v>
      </c>
      <c r="ABJ3" s="115" t="s">
        <v>65</v>
      </c>
      <c r="ABK3" s="115" t="s">
        <v>66</v>
      </c>
      <c r="ABL3" s="115" t="s">
        <v>67</v>
      </c>
      <c r="ABM3" s="115" t="s">
        <v>68</v>
      </c>
      <c r="ABN3" s="115" t="s">
        <v>69</v>
      </c>
      <c r="ABO3" s="115" t="s">
        <v>70</v>
      </c>
      <c r="ABP3" s="115" t="s">
        <v>71</v>
      </c>
      <c r="ABQ3" s="115" t="s">
        <v>72</v>
      </c>
      <c r="ABR3" s="115" t="s">
        <v>73</v>
      </c>
      <c r="ABS3" s="115" t="s">
        <v>74</v>
      </c>
      <c r="ABT3" s="115" t="s">
        <v>75</v>
      </c>
      <c r="ABU3" s="115" t="s">
        <v>76</v>
      </c>
      <c r="ABV3" s="115" t="s">
        <v>77</v>
      </c>
      <c r="ABW3" s="115" t="s">
        <v>78</v>
      </c>
      <c r="ABX3" s="115" t="s">
        <v>79</v>
      </c>
      <c r="ABY3" s="115" t="s">
        <v>80</v>
      </c>
      <c r="ABZ3" s="115" t="s">
        <v>81</v>
      </c>
      <c r="ACA3" s="115" t="s">
        <v>82</v>
      </c>
      <c r="ACB3" s="115" t="s">
        <v>83</v>
      </c>
      <c r="ACC3" s="127" t="s">
        <v>782</v>
      </c>
      <c r="ACD3" s="115" t="s">
        <v>84</v>
      </c>
      <c r="ACE3" s="115" t="s">
        <v>85</v>
      </c>
      <c r="ACF3" s="115" t="s">
        <v>86</v>
      </c>
      <c r="ACG3" s="115" t="s">
        <v>87</v>
      </c>
      <c r="ACH3" s="115" t="s">
        <v>88</v>
      </c>
      <c r="ACI3" s="115" t="s">
        <v>89</v>
      </c>
      <c r="ACJ3" s="115" t="s">
        <v>90</v>
      </c>
      <c r="ACK3" s="115" t="s">
        <v>91</v>
      </c>
      <c r="ACL3" s="115" t="s">
        <v>92</v>
      </c>
      <c r="ACM3" s="115" t="s">
        <v>93</v>
      </c>
      <c r="ACN3" s="115" t="s">
        <v>94</v>
      </c>
      <c r="ACO3" s="115" t="s">
        <v>95</v>
      </c>
      <c r="ACP3" s="115" t="s">
        <v>96</v>
      </c>
      <c r="ACQ3" s="115" t="s">
        <v>97</v>
      </c>
      <c r="ACR3" s="115" t="s">
        <v>98</v>
      </c>
      <c r="ACS3" s="115" t="s">
        <v>99</v>
      </c>
      <c r="ACT3" s="115" t="s">
        <v>100</v>
      </c>
      <c r="ACU3" s="115" t="s">
        <v>101</v>
      </c>
      <c r="ACV3" s="115" t="s">
        <v>102</v>
      </c>
      <c r="ACW3" s="115" t="s">
        <v>103</v>
      </c>
      <c r="ACX3" s="115" t="s">
        <v>104</v>
      </c>
      <c r="ACY3" s="115" t="s">
        <v>105</v>
      </c>
      <c r="ACZ3" s="115" t="s">
        <v>106</v>
      </c>
      <c r="ADA3" s="115" t="s">
        <v>107</v>
      </c>
      <c r="ADB3" s="115" t="s">
        <v>108</v>
      </c>
      <c r="ADC3" s="115" t="s">
        <v>109</v>
      </c>
      <c r="ADD3" s="115" t="s">
        <v>110</v>
      </c>
      <c r="ADE3" s="115" t="s">
        <v>111</v>
      </c>
      <c r="ADF3" s="115" t="s">
        <v>112</v>
      </c>
      <c r="ADG3" s="115" t="s">
        <v>113</v>
      </c>
      <c r="ADH3" s="115" t="s">
        <v>114</v>
      </c>
      <c r="ADI3" s="127" t="s">
        <v>782</v>
      </c>
      <c r="ADJ3" s="115" t="s">
        <v>968</v>
      </c>
      <c r="ADK3" s="115" t="s">
        <v>969</v>
      </c>
      <c r="ADL3" s="115" t="s">
        <v>970</v>
      </c>
      <c r="ADM3" s="115" t="s">
        <v>971</v>
      </c>
      <c r="ADN3" s="115" t="s">
        <v>972</v>
      </c>
      <c r="ADO3" s="115" t="s">
        <v>973</v>
      </c>
      <c r="ADP3" s="115" t="s">
        <v>974</v>
      </c>
      <c r="ADQ3" s="115" t="s">
        <v>975</v>
      </c>
      <c r="ADR3" s="115" t="s">
        <v>976</v>
      </c>
      <c r="ADS3" s="115" t="s">
        <v>977</v>
      </c>
      <c r="ADT3" s="115" t="s">
        <v>978</v>
      </c>
      <c r="ADU3" s="115" t="s">
        <v>979</v>
      </c>
      <c r="ADV3" s="115" t="s">
        <v>980</v>
      </c>
      <c r="ADW3" s="115" t="s">
        <v>981</v>
      </c>
      <c r="ADX3" s="115" t="s">
        <v>982</v>
      </c>
      <c r="ADY3" s="115" t="s">
        <v>983</v>
      </c>
      <c r="ADZ3" s="115" t="s">
        <v>984</v>
      </c>
      <c r="AEA3" s="115" t="s">
        <v>985</v>
      </c>
      <c r="AEB3" s="115" t="s">
        <v>986</v>
      </c>
      <c r="AEC3" s="115" t="s">
        <v>987</v>
      </c>
      <c r="AED3" s="115" t="s">
        <v>988</v>
      </c>
      <c r="AEE3" s="115" t="s">
        <v>989</v>
      </c>
      <c r="AEF3" s="115" t="s">
        <v>990</v>
      </c>
      <c r="AEG3" s="115" t="s">
        <v>991</v>
      </c>
      <c r="AEH3" s="115" t="s">
        <v>992</v>
      </c>
      <c r="AEI3" s="115" t="s">
        <v>993</v>
      </c>
      <c r="AEJ3" s="115" t="s">
        <v>994</v>
      </c>
      <c r="AEK3" s="115" t="s">
        <v>995</v>
      </c>
      <c r="AEL3" s="115" t="s">
        <v>996</v>
      </c>
      <c r="AEM3" s="115" t="s">
        <v>997</v>
      </c>
      <c r="AEN3" s="127" t="s">
        <v>782</v>
      </c>
      <c r="AEO3" s="115" t="s">
        <v>510</v>
      </c>
      <c r="AEP3" s="115" t="s">
        <v>511</v>
      </c>
      <c r="AEQ3" s="115" t="s">
        <v>512</v>
      </c>
      <c r="AER3" s="115" t="s">
        <v>513</v>
      </c>
      <c r="AES3" s="115" t="s">
        <v>514</v>
      </c>
      <c r="AET3" s="115" t="s">
        <v>515</v>
      </c>
      <c r="AEU3" s="115" t="s">
        <v>516</v>
      </c>
      <c r="AEV3" s="115" t="s">
        <v>517</v>
      </c>
      <c r="AEW3" s="115" t="s">
        <v>518</v>
      </c>
      <c r="AEX3" s="115" t="s">
        <v>519</v>
      </c>
      <c r="AEY3" s="115" t="s">
        <v>520</v>
      </c>
      <c r="AEZ3" s="115" t="s">
        <v>521</v>
      </c>
      <c r="AFA3" s="115" t="s">
        <v>522</v>
      </c>
      <c r="AFB3" s="115" t="s">
        <v>523</v>
      </c>
      <c r="AFC3" s="115" t="s">
        <v>524</v>
      </c>
      <c r="AFD3" s="115" t="s">
        <v>525</v>
      </c>
      <c r="AFE3" s="115" t="s">
        <v>526</v>
      </c>
      <c r="AFF3" s="115" t="s">
        <v>527</v>
      </c>
      <c r="AFG3" s="115" t="s">
        <v>528</v>
      </c>
      <c r="AFH3" s="115" t="s">
        <v>529</v>
      </c>
      <c r="AFI3" s="115" t="s">
        <v>530</v>
      </c>
      <c r="AFJ3" s="115" t="s">
        <v>531</v>
      </c>
      <c r="AFK3" s="115" t="s">
        <v>532</v>
      </c>
      <c r="AFL3" s="115" t="s">
        <v>533</v>
      </c>
      <c r="AFM3" s="115" t="s">
        <v>534</v>
      </c>
      <c r="AFN3" s="115" t="s">
        <v>535</v>
      </c>
      <c r="AFO3" s="115" t="s">
        <v>536</v>
      </c>
      <c r="AFP3" s="115" t="s">
        <v>537</v>
      </c>
      <c r="AFQ3" s="115" t="s">
        <v>538</v>
      </c>
      <c r="AFR3" s="115" t="s">
        <v>539</v>
      </c>
      <c r="AFS3" s="115" t="s">
        <v>540</v>
      </c>
      <c r="AFT3" s="127" t="s">
        <v>782</v>
      </c>
      <c r="AFU3" s="115" t="s">
        <v>541</v>
      </c>
      <c r="AFV3" s="115" t="s">
        <v>542</v>
      </c>
      <c r="AFW3" s="115" t="s">
        <v>543</v>
      </c>
      <c r="AFX3" s="115" t="s">
        <v>544</v>
      </c>
      <c r="AFY3" s="115" t="s">
        <v>545</v>
      </c>
      <c r="AFZ3" s="115" t="s">
        <v>546</v>
      </c>
      <c r="AGA3" s="115" t="s">
        <v>547</v>
      </c>
      <c r="AGB3" s="115" t="s">
        <v>548</v>
      </c>
      <c r="AGC3" s="115" t="s">
        <v>549</v>
      </c>
      <c r="AGD3" s="115" t="s">
        <v>550</v>
      </c>
      <c r="AGE3" s="115" t="s">
        <v>551</v>
      </c>
      <c r="AGF3" s="115" t="s">
        <v>552</v>
      </c>
      <c r="AGG3" s="115" t="s">
        <v>553</v>
      </c>
      <c r="AGH3" s="115" t="s">
        <v>554</v>
      </c>
      <c r="AGI3" s="115" t="s">
        <v>555</v>
      </c>
      <c r="AGJ3" s="115" t="s">
        <v>556</v>
      </c>
      <c r="AGK3" s="115" t="s">
        <v>557</v>
      </c>
      <c r="AGL3" s="115" t="s">
        <v>558</v>
      </c>
      <c r="AGM3" s="115" t="s">
        <v>559</v>
      </c>
      <c r="AGN3" s="115" t="s">
        <v>560</v>
      </c>
      <c r="AGO3" s="115" t="s">
        <v>561</v>
      </c>
      <c r="AGP3" s="115" t="s">
        <v>562</v>
      </c>
      <c r="AGQ3" s="115" t="s">
        <v>563</v>
      </c>
      <c r="AGR3" s="115" t="s">
        <v>564</v>
      </c>
      <c r="AGS3" s="115" t="s">
        <v>565</v>
      </c>
      <c r="AGT3" s="115" t="s">
        <v>566</v>
      </c>
      <c r="AGU3" s="115" t="s">
        <v>567</v>
      </c>
      <c r="AGV3" s="115" t="s">
        <v>568</v>
      </c>
      <c r="AGW3" s="115" t="s">
        <v>569</v>
      </c>
      <c r="AGX3" s="115" t="s">
        <v>570</v>
      </c>
      <c r="AGY3" s="127" t="s">
        <v>782</v>
      </c>
      <c r="AGZ3" s="115" t="s">
        <v>1441</v>
      </c>
      <c r="AHA3" s="115" t="s">
        <v>1442</v>
      </c>
      <c r="AHB3" s="115" t="s">
        <v>1443</v>
      </c>
      <c r="AHC3" s="115" t="s">
        <v>1444</v>
      </c>
      <c r="AHD3" s="115" t="s">
        <v>1445</v>
      </c>
      <c r="AHE3" s="115" t="s">
        <v>1446</v>
      </c>
      <c r="AHF3" s="115" t="s">
        <v>1447</v>
      </c>
      <c r="AHG3" s="115" t="s">
        <v>1448</v>
      </c>
      <c r="AHH3" s="115" t="s">
        <v>1449</v>
      </c>
      <c r="AHI3" s="115" t="s">
        <v>1450</v>
      </c>
      <c r="AHJ3" s="115" t="s">
        <v>1451</v>
      </c>
      <c r="AHK3" s="115" t="s">
        <v>1452</v>
      </c>
      <c r="AHL3" s="115" t="s">
        <v>1453</v>
      </c>
      <c r="AHM3" s="115" t="s">
        <v>1454</v>
      </c>
      <c r="AHN3" s="115" t="s">
        <v>1455</v>
      </c>
      <c r="AHO3" s="115" t="s">
        <v>1456</v>
      </c>
      <c r="AHP3" s="115" t="s">
        <v>1457</v>
      </c>
      <c r="AHQ3" s="115" t="s">
        <v>1458</v>
      </c>
      <c r="AHR3" s="115" t="s">
        <v>1459</v>
      </c>
      <c r="AHS3" s="115" t="s">
        <v>1460</v>
      </c>
      <c r="AHT3" s="115" t="s">
        <v>1461</v>
      </c>
      <c r="AHU3" s="115" t="s">
        <v>1462</v>
      </c>
      <c r="AHV3" s="115" t="s">
        <v>1463</v>
      </c>
      <c r="AHW3" s="115" t="s">
        <v>1464</v>
      </c>
      <c r="AHX3" s="115" t="s">
        <v>1465</v>
      </c>
      <c r="AHY3" s="115" t="s">
        <v>1466</v>
      </c>
      <c r="AHZ3" s="115" t="s">
        <v>1467</v>
      </c>
      <c r="AIA3" s="115" t="s">
        <v>1468</v>
      </c>
      <c r="AIB3" s="115" t="s">
        <v>1469</v>
      </c>
      <c r="AIC3" s="115" t="s">
        <v>1470</v>
      </c>
      <c r="AID3" s="115" t="s">
        <v>1471</v>
      </c>
      <c r="AIE3" s="127" t="s">
        <v>782</v>
      </c>
      <c r="AIF3" s="115" t="s">
        <v>998</v>
      </c>
      <c r="AIG3" s="115" t="s">
        <v>999</v>
      </c>
      <c r="AIH3" s="115" t="s">
        <v>1000</v>
      </c>
      <c r="AII3" s="115" t="s">
        <v>1001</v>
      </c>
      <c r="AIJ3" s="115" t="s">
        <v>1002</v>
      </c>
      <c r="AIK3" s="115" t="s">
        <v>1003</v>
      </c>
      <c r="AIL3" s="115" t="s">
        <v>1004</v>
      </c>
      <c r="AIM3" s="115" t="s">
        <v>1005</v>
      </c>
      <c r="AIN3" s="115" t="s">
        <v>1006</v>
      </c>
      <c r="AIO3" s="115" t="s">
        <v>1007</v>
      </c>
      <c r="AIP3" s="115" t="s">
        <v>1008</v>
      </c>
      <c r="AIQ3" s="115" t="s">
        <v>1009</v>
      </c>
      <c r="AIR3" s="115" t="s">
        <v>1010</v>
      </c>
      <c r="AIS3" s="115" t="s">
        <v>1011</v>
      </c>
      <c r="AIT3" s="115" t="s">
        <v>1012</v>
      </c>
      <c r="AIU3" s="115" t="s">
        <v>1013</v>
      </c>
      <c r="AIV3" s="115" t="s">
        <v>1014</v>
      </c>
      <c r="AIW3" s="115" t="s">
        <v>1015</v>
      </c>
      <c r="AIX3" s="115" t="s">
        <v>1016</v>
      </c>
      <c r="AIY3" s="115" t="s">
        <v>1017</v>
      </c>
      <c r="AIZ3" s="115" t="s">
        <v>1018</v>
      </c>
      <c r="AJA3" s="115" t="s">
        <v>1019</v>
      </c>
      <c r="AJB3" s="115" t="s">
        <v>1020</v>
      </c>
      <c r="AJC3" s="115" t="s">
        <v>1021</v>
      </c>
      <c r="AJD3" s="115" t="s">
        <v>1022</v>
      </c>
      <c r="AJE3" s="115" t="s">
        <v>1023</v>
      </c>
      <c r="AJF3" s="115" t="s">
        <v>1024</v>
      </c>
      <c r="AJG3" s="115" t="s">
        <v>1025</v>
      </c>
      <c r="AJH3" s="115" t="s">
        <v>1026</v>
      </c>
      <c r="AJI3" s="115" t="s">
        <v>1027</v>
      </c>
      <c r="AJJ3" s="115" t="s">
        <v>1028</v>
      </c>
      <c r="AJK3" s="127" t="s">
        <v>782</v>
      </c>
      <c r="AJL3" s="115" t="s">
        <v>633</v>
      </c>
      <c r="AJM3" s="115" t="s">
        <v>634</v>
      </c>
      <c r="AJN3" s="115" t="s">
        <v>635</v>
      </c>
      <c r="AJO3" s="115" t="s">
        <v>636</v>
      </c>
      <c r="AJP3" s="115" t="s">
        <v>637</v>
      </c>
      <c r="AJQ3" s="115" t="s">
        <v>638</v>
      </c>
      <c r="AJR3" s="115" t="s">
        <v>639</v>
      </c>
      <c r="AJS3" s="115" t="s">
        <v>640</v>
      </c>
      <c r="AJT3" s="115" t="s">
        <v>641</v>
      </c>
      <c r="AJU3" s="115" t="s">
        <v>642</v>
      </c>
      <c r="AJV3" s="115" t="s">
        <v>643</v>
      </c>
      <c r="AJW3" s="115" t="s">
        <v>644</v>
      </c>
      <c r="AJX3" s="115" t="s">
        <v>645</v>
      </c>
      <c r="AJY3" s="115" t="s">
        <v>646</v>
      </c>
      <c r="AJZ3" s="115" t="s">
        <v>647</v>
      </c>
      <c r="AKA3" s="115" t="s">
        <v>648</v>
      </c>
      <c r="AKB3" s="115" t="s">
        <v>649</v>
      </c>
      <c r="AKC3" s="115" t="s">
        <v>650</v>
      </c>
      <c r="AKD3" s="115" t="s">
        <v>651</v>
      </c>
      <c r="AKE3" s="115" t="s">
        <v>652</v>
      </c>
      <c r="AKF3" s="115" t="s">
        <v>653</v>
      </c>
      <c r="AKG3" s="115" t="s">
        <v>654</v>
      </c>
      <c r="AKH3" s="115" t="s">
        <v>655</v>
      </c>
      <c r="AKI3" s="115" t="s">
        <v>656</v>
      </c>
      <c r="AKJ3" s="115" t="s">
        <v>657</v>
      </c>
      <c r="AKK3" s="115" t="s">
        <v>658</v>
      </c>
      <c r="AKL3" s="115" t="s">
        <v>659</v>
      </c>
      <c r="AKM3" s="115" t="s">
        <v>660</v>
      </c>
      <c r="AKN3" s="127" t="s">
        <v>782</v>
      </c>
      <c r="AKO3" s="115" t="s">
        <v>1472</v>
      </c>
      <c r="AKP3" s="115" t="s">
        <v>1473</v>
      </c>
      <c r="AKQ3" s="115" t="s">
        <v>1474</v>
      </c>
      <c r="AKR3" s="115" t="s">
        <v>1475</v>
      </c>
      <c r="AKS3" s="115" t="s">
        <v>1476</v>
      </c>
      <c r="AKT3" s="115" t="s">
        <v>1477</v>
      </c>
      <c r="AKU3" s="115" t="s">
        <v>1478</v>
      </c>
      <c r="AKV3" s="115" t="s">
        <v>1479</v>
      </c>
      <c r="AKW3" s="115" t="s">
        <v>1480</v>
      </c>
      <c r="AKX3" s="115" t="s">
        <v>1481</v>
      </c>
      <c r="AKY3" s="115" t="s">
        <v>1482</v>
      </c>
      <c r="AKZ3" s="115" t="s">
        <v>1483</v>
      </c>
      <c r="ALA3" s="115" t="s">
        <v>1484</v>
      </c>
      <c r="ALB3" s="115" t="s">
        <v>1485</v>
      </c>
      <c r="ALC3" s="115" t="s">
        <v>1486</v>
      </c>
      <c r="ALD3" s="115" t="s">
        <v>1487</v>
      </c>
      <c r="ALE3" s="115" t="s">
        <v>1488</v>
      </c>
      <c r="ALF3" s="115" t="s">
        <v>1489</v>
      </c>
      <c r="ALG3" s="115" t="s">
        <v>1490</v>
      </c>
      <c r="ALH3" s="115" t="s">
        <v>1491</v>
      </c>
      <c r="ALI3" s="115" t="s">
        <v>1492</v>
      </c>
      <c r="ALJ3" s="115" t="s">
        <v>1493</v>
      </c>
      <c r="ALK3" s="115" t="s">
        <v>1494</v>
      </c>
      <c r="ALL3" s="115" t="s">
        <v>1495</v>
      </c>
      <c r="ALM3" s="115" t="s">
        <v>1496</v>
      </c>
      <c r="ALN3" s="115" t="s">
        <v>1497</v>
      </c>
      <c r="ALO3" s="115" t="s">
        <v>1498</v>
      </c>
      <c r="ALP3" s="115" t="s">
        <v>1499</v>
      </c>
      <c r="ALQ3" s="115" t="s">
        <v>1500</v>
      </c>
      <c r="ALR3" s="115" t="s">
        <v>1501</v>
      </c>
      <c r="ALS3" s="115" t="s">
        <v>1502</v>
      </c>
      <c r="ALT3" s="127" t="s">
        <v>782</v>
      </c>
      <c r="ALU3" s="115" t="s">
        <v>692</v>
      </c>
      <c r="ALV3" s="115" t="s">
        <v>693</v>
      </c>
      <c r="ALW3" s="115" t="s">
        <v>694</v>
      </c>
      <c r="ALX3" s="115" t="s">
        <v>695</v>
      </c>
      <c r="ALY3" s="115" t="s">
        <v>696</v>
      </c>
      <c r="ALZ3" s="115" t="s">
        <v>697</v>
      </c>
      <c r="AMA3" s="115" t="s">
        <v>698</v>
      </c>
      <c r="AMB3" s="115" t="s">
        <v>699</v>
      </c>
      <c r="AMC3" s="115" t="s">
        <v>700</v>
      </c>
      <c r="AMD3" s="115" t="s">
        <v>701</v>
      </c>
      <c r="AME3" s="115" t="s">
        <v>702</v>
      </c>
      <c r="AMF3" s="115" t="s">
        <v>703</v>
      </c>
      <c r="AMG3" s="115" t="s">
        <v>704</v>
      </c>
      <c r="AMH3" s="115" t="s">
        <v>705</v>
      </c>
      <c r="AMI3" s="115" t="s">
        <v>706</v>
      </c>
      <c r="AMJ3" s="115" t="s">
        <v>707</v>
      </c>
      <c r="AMK3" s="115" t="s">
        <v>708</v>
      </c>
      <c r="AML3" s="115" t="s">
        <v>709</v>
      </c>
      <c r="AMM3" s="115" t="s">
        <v>710</v>
      </c>
      <c r="AMN3" s="115" t="s">
        <v>711</v>
      </c>
      <c r="AMO3" s="115" t="s">
        <v>712</v>
      </c>
      <c r="AMP3" s="115" t="s">
        <v>713</v>
      </c>
      <c r="AMQ3" s="115" t="s">
        <v>714</v>
      </c>
      <c r="AMR3" s="115" t="s">
        <v>715</v>
      </c>
      <c r="AMS3" s="115" t="s">
        <v>716</v>
      </c>
      <c r="AMT3" s="115" t="s">
        <v>717</v>
      </c>
      <c r="AMU3" s="115" t="s">
        <v>718</v>
      </c>
      <c r="AMV3" s="115" t="s">
        <v>719</v>
      </c>
      <c r="AMW3" s="115" t="s">
        <v>720</v>
      </c>
      <c r="AMX3" s="115" t="s">
        <v>721</v>
      </c>
      <c r="AMY3" s="127" t="s">
        <v>782</v>
      </c>
      <c r="AMZ3" s="115" t="s">
        <v>1059</v>
      </c>
      <c r="ANA3" s="115" t="s">
        <v>1060</v>
      </c>
      <c r="ANB3" s="115" t="s">
        <v>1061</v>
      </c>
      <c r="ANC3" s="115" t="s">
        <v>1062</v>
      </c>
      <c r="AND3" s="115" t="s">
        <v>1063</v>
      </c>
      <c r="ANE3" s="115" t="s">
        <v>1064</v>
      </c>
      <c r="ANF3" s="115" t="s">
        <v>1065</v>
      </c>
      <c r="ANG3" s="115" t="s">
        <v>1066</v>
      </c>
      <c r="ANH3" s="115" t="s">
        <v>1067</v>
      </c>
      <c r="ANI3" s="115" t="s">
        <v>1068</v>
      </c>
      <c r="ANJ3" s="115" t="s">
        <v>1069</v>
      </c>
      <c r="ANK3" s="115" t="s">
        <v>1070</v>
      </c>
      <c r="ANL3" s="115" t="s">
        <v>1071</v>
      </c>
      <c r="ANM3" s="115" t="s">
        <v>1072</v>
      </c>
      <c r="ANN3" s="115" t="s">
        <v>1073</v>
      </c>
      <c r="ANO3" s="115" t="s">
        <v>1074</v>
      </c>
      <c r="ANP3" s="115" t="s">
        <v>1075</v>
      </c>
      <c r="ANQ3" s="115" t="s">
        <v>1076</v>
      </c>
      <c r="ANR3" s="115" t="s">
        <v>1077</v>
      </c>
      <c r="ANS3" s="115" t="s">
        <v>1078</v>
      </c>
      <c r="ANT3" s="115" t="s">
        <v>1079</v>
      </c>
      <c r="ANU3" s="115" t="s">
        <v>1080</v>
      </c>
      <c r="ANV3" s="115" t="s">
        <v>1081</v>
      </c>
      <c r="ANW3" s="115" t="s">
        <v>1082</v>
      </c>
      <c r="ANX3" s="115" t="s">
        <v>1083</v>
      </c>
      <c r="ANY3" s="115" t="s">
        <v>1084</v>
      </c>
      <c r="ANZ3" s="115" t="s">
        <v>1085</v>
      </c>
      <c r="AOA3" s="115" t="s">
        <v>1086</v>
      </c>
      <c r="AOB3" s="115" t="s">
        <v>1087</v>
      </c>
      <c r="AOC3" s="115" t="s">
        <v>1088</v>
      </c>
      <c r="AOD3" s="115"/>
      <c r="AOE3" s="115"/>
    </row>
    <row r="4" spans="1:1071" x14ac:dyDescent="0.2">
      <c r="A4" s="166" t="s">
        <v>1503</v>
      </c>
      <c r="B4" s="5" t="s">
        <v>1504</v>
      </c>
      <c r="C4" s="20">
        <f>METER!D18</f>
        <v>2515.9920000000566</v>
      </c>
      <c r="D4" s="20">
        <f>METER!E18</f>
        <v>2602.7119999999995</v>
      </c>
      <c r="E4" s="20">
        <f>METER!F18</f>
        <v>2463.9309999999823</v>
      </c>
      <c r="F4" s="20">
        <f>METER!G18</f>
        <v>2646.283000000054</v>
      </c>
      <c r="G4" s="20">
        <f>METER!H18</f>
        <v>2707.9720000000088</v>
      </c>
      <c r="H4" s="20">
        <f>METER!I18</f>
        <v>2924.6559999999299</v>
      </c>
      <c r="I4" s="20">
        <f>METER!J18</f>
        <v>2531.3330000000715</v>
      </c>
      <c r="J4" s="20">
        <f>METER!K18</f>
        <v>2074.2060000000056</v>
      </c>
      <c r="K4" s="20">
        <f>METER!L18</f>
        <v>2119.2049999999872</v>
      </c>
      <c r="L4" s="20">
        <f>METER!M18</f>
        <v>2367.5359999999928</v>
      </c>
      <c r="M4" s="20">
        <f>METER!N18</f>
        <v>2401.3019999999378</v>
      </c>
      <c r="N4" s="20">
        <f>METER!O18</f>
        <v>2763.7470000001194</v>
      </c>
      <c r="O4" s="20">
        <f>METER!P18</f>
        <v>2484.146000000037</v>
      </c>
      <c r="P4" s="20">
        <f>METER!Q18</f>
        <v>2667.1489999999758</v>
      </c>
      <c r="Q4" s="20">
        <f>METER!R18</f>
        <v>2297.0429999999469</v>
      </c>
      <c r="R4" s="20">
        <f>METER!S18</f>
        <v>2449.0470000000205</v>
      </c>
      <c r="S4" s="20">
        <f>METER!T18</f>
        <v>2391.0480000000098</v>
      </c>
      <c r="T4" s="20">
        <f>METER!U18</f>
        <v>2805.2589999998745</v>
      </c>
      <c r="U4" s="20">
        <f>METER!V18</f>
        <v>2358.7680000000109</v>
      </c>
      <c r="V4" s="20">
        <f>METER!W18</f>
        <v>2156.3570000000473</v>
      </c>
      <c r="W4" s="20">
        <f>METER!X18</f>
        <v>1917.8290000000852</v>
      </c>
      <c r="X4" s="20">
        <f>METER!Y18</f>
        <v>2097.9469999999274</v>
      </c>
      <c r="Y4" s="20">
        <f>METER!Z18</f>
        <v>2254.5150000001013</v>
      </c>
      <c r="Z4" s="20">
        <f>METER!AA18</f>
        <v>2294.7610000000277</v>
      </c>
      <c r="AA4" s="20">
        <f>METER!AB18</f>
        <v>2808.735999999888</v>
      </c>
      <c r="AB4" s="20">
        <f>METER!AC18</f>
        <v>2826.5720000000147</v>
      </c>
      <c r="AC4" s="20">
        <f>METER!AD18</f>
        <v>2551.2730000000156</v>
      </c>
      <c r="AD4" s="20">
        <f>METER!AE18</f>
        <v>2109.6019999999553</v>
      </c>
      <c r="AE4" s="20">
        <f>METER!AF18</f>
        <v>2161.3019999999378</v>
      </c>
      <c r="AF4" s="20">
        <f>METER!AG18</f>
        <v>2107.965000000142</v>
      </c>
      <c r="AG4" s="20">
        <f>METER!AH18</f>
        <v>2506.5579999999027</v>
      </c>
      <c r="AH4" s="94">
        <f>SUM(C4:AG4)</f>
        <v>75364.752000000066</v>
      </c>
      <c r="AI4" s="20">
        <f>METER!AJ18</f>
        <v>2969.1580000000831</v>
      </c>
      <c r="AJ4" s="20">
        <f>METER!AK18</f>
        <v>2698.1450000000186</v>
      </c>
      <c r="AK4" s="20">
        <f>METER!AL18</f>
        <v>2582.4199999999546</v>
      </c>
      <c r="AL4" s="20">
        <f>METER!AM18</f>
        <v>2546.7720000000554</v>
      </c>
      <c r="AM4" s="20">
        <f>METER!AN18</f>
        <v>2375.1819999999134</v>
      </c>
      <c r="AN4" s="20">
        <f>METER!AO18</f>
        <v>1841.4459999999963</v>
      </c>
      <c r="AO4" s="20">
        <f>METER!AP18</f>
        <v>12384.530999999959</v>
      </c>
      <c r="AP4" s="20">
        <f>METER!AQ18</f>
        <v>2964.377999999997</v>
      </c>
      <c r="AQ4" s="20">
        <f>METER!AR18</f>
        <v>2587.7720000000554</v>
      </c>
      <c r="AR4" s="20">
        <f>METER!AS18</f>
        <v>2209.6530000000494</v>
      </c>
      <c r="AS4" s="20">
        <f>METER!AT18</f>
        <v>2037.8069999999134</v>
      </c>
      <c r="AT4" s="20">
        <f>METER!AU18</f>
        <v>1650.3730000001087</v>
      </c>
      <c r="AU4" s="20">
        <f>METER!AV18</f>
        <v>11893.728999999905</v>
      </c>
      <c r="AV4" s="20">
        <f>METER!AW18</f>
        <v>2006.9279999999853</v>
      </c>
      <c r="AW4" s="20">
        <f>METER!AX18</f>
        <v>2152.9230000000971</v>
      </c>
      <c r="AX4" s="20">
        <f>METER!AY18</f>
        <v>2232.3069999999716</v>
      </c>
      <c r="AY4" s="20">
        <f>METER!AZ18</f>
        <v>1988.0550000000221</v>
      </c>
      <c r="AZ4" s="20">
        <f>METER!BA18</f>
        <v>2149.3840000000068</v>
      </c>
      <c r="BA4" s="20">
        <f>METER!BB18</f>
        <v>1822.4059999999156</v>
      </c>
      <c r="BB4" s="20">
        <f>METER!BC18</f>
        <v>1922.8449999999721</v>
      </c>
      <c r="BC4" s="20">
        <f>METER!BD18</f>
        <v>1959.0540000001492</v>
      </c>
      <c r="BD4" s="20">
        <f>METER!BE18</f>
        <v>2289.8449999999721</v>
      </c>
      <c r="BE4" s="20">
        <f>METER!BF18</f>
        <v>2263.4409999999043</v>
      </c>
      <c r="BF4" s="20">
        <f>METER!BG18</f>
        <v>1913.8750000000582</v>
      </c>
      <c r="BG4" s="20">
        <f>METER!BH18</f>
        <v>2035.7119999999122</v>
      </c>
      <c r="BH4" s="20">
        <f>METER!BI18</f>
        <v>1949.6750000000175</v>
      </c>
      <c r="BI4" s="20">
        <f>METER!BJ18</f>
        <v>1992.7820000000647</v>
      </c>
      <c r="BJ4" s="20">
        <f>METER!BK18</f>
        <v>1844.1840000000084</v>
      </c>
      <c r="BK4" s="20">
        <f>METER!BL18</f>
        <v>2057.8920000000217</v>
      </c>
      <c r="BL4" s="20">
        <f>METER!BM18</f>
        <v>2209.8049999999639</v>
      </c>
      <c r="BM4" s="97">
        <f t="shared" ref="BM4:BM9" si="9">SUM(AI4:BL4)</f>
        <v>85532.47900000005</v>
      </c>
      <c r="BN4" s="20">
        <f>METER!BO18</f>
        <v>1896.1620000000403</v>
      </c>
      <c r="BO4" s="20">
        <f>METER!BP18</f>
        <v>2038.2319999999891</v>
      </c>
      <c r="BP4" s="20">
        <f>METER!BQ18</f>
        <v>1984.4679999999935</v>
      </c>
      <c r="BQ4" s="20">
        <f>METER!BR18</f>
        <v>1885.9349999999686</v>
      </c>
      <c r="BR4" s="20">
        <f>METER!BS18</f>
        <v>1792.4199999999837</v>
      </c>
      <c r="BS4" s="20">
        <f>METER!BT18</f>
        <v>2103.1970000000438</v>
      </c>
      <c r="BT4" s="20">
        <f>METER!BU18</f>
        <v>1828.2419999999111</v>
      </c>
      <c r="BU4" s="20">
        <f>METER!BV18</f>
        <v>2090.7940000000817</v>
      </c>
      <c r="BV4" s="20">
        <f>METER!BW18</f>
        <v>1940.5490000000282</v>
      </c>
      <c r="BW4" s="20">
        <f>METER!BX18</f>
        <v>1744.6819999999425</v>
      </c>
      <c r="BX4" s="20">
        <f>METER!BY18</f>
        <v>1724.216000000044</v>
      </c>
      <c r="BY4" s="20">
        <f>METER!BZ18</f>
        <v>1783.0089999999327</v>
      </c>
      <c r="BZ4" s="20">
        <f>METER!CA18</f>
        <v>2058.3080000000482</v>
      </c>
      <c r="CA4" s="20">
        <f>METER!CB18</f>
        <v>2062.2369999999646</v>
      </c>
      <c r="CB4" s="20">
        <f>METER!CC18</f>
        <v>1972.3250000000116</v>
      </c>
      <c r="CC4" s="20">
        <f>METER!CD18</f>
        <v>1861.4250000000757</v>
      </c>
      <c r="CD4" s="20">
        <f>METER!CE18</f>
        <v>1979.5199999999313</v>
      </c>
      <c r="CE4" s="20">
        <f>METER!CF18</f>
        <v>1727.4770000001008</v>
      </c>
      <c r="CF4" s="20">
        <f>METER!CG18</f>
        <v>1761.4429999998829</v>
      </c>
      <c r="CG4" s="20">
        <f>METER!CH18</f>
        <v>1883.9180000000051</v>
      </c>
      <c r="CH4" s="20">
        <f>METER!CI18</f>
        <v>1967.0059999999357</v>
      </c>
      <c r="CI4" s="20">
        <f>METER!CJ18</f>
        <v>2072.969000000041</v>
      </c>
      <c r="CJ4" s="20">
        <f>METER!CK18</f>
        <v>1749.9840000001038</v>
      </c>
      <c r="CK4" s="20">
        <f>METER!CL18</f>
        <v>1968.658999999956</v>
      </c>
      <c r="CL4" s="20">
        <f>METER!CM18</f>
        <v>1832.5890000000654</v>
      </c>
      <c r="CM4" s="20">
        <f>METER!CN18</f>
        <v>1879.8129999999946</v>
      </c>
      <c r="CN4" s="20">
        <f>METER!CO18</f>
        <v>1960.5429999999469</v>
      </c>
      <c r="CO4" s="20">
        <f>METER!CP18</f>
        <v>2145.3869999999006</v>
      </c>
      <c r="CP4" s="20">
        <f>METER!CQ18</f>
        <v>1875.3370000000868</v>
      </c>
      <c r="CQ4" s="20">
        <f>METER!CR18</f>
        <v>1975.6299999999756</v>
      </c>
      <c r="CR4" s="20">
        <f>METER!CS18</f>
        <v>1812.8409999999858</v>
      </c>
      <c r="CS4" s="111">
        <f t="shared" ref="CS4:CS20" si="10">SUM(BN4:CR4)</f>
        <v>59359.316999999974</v>
      </c>
      <c r="CT4" s="20">
        <f>METER!CU18</f>
        <v>1984.6310000000231</v>
      </c>
      <c r="CU4" s="20">
        <f>METER!CV18</f>
        <v>1774.6489999999758</v>
      </c>
      <c r="CV4" s="20">
        <f>METER!CW18</f>
        <v>2036.8670000000275</v>
      </c>
      <c r="CW4" s="20">
        <f>METER!CX18</f>
        <v>2580.2030000000086</v>
      </c>
      <c r="CX4" s="20">
        <f>METER!CY18</f>
        <v>2221.2740000000049</v>
      </c>
      <c r="CY4" s="20">
        <f>METER!CZ18</f>
        <v>2031.4730000000563</v>
      </c>
      <c r="CZ4" s="20">
        <f>METER!DA18</f>
        <v>1811.5549999999639</v>
      </c>
      <c r="DA4" s="20">
        <f>METER!DB18</f>
        <v>1897.6029999999737</v>
      </c>
      <c r="DB4" s="20">
        <f>METER!DC18</f>
        <v>2069.5329999999376</v>
      </c>
      <c r="DC4" s="20">
        <f>METER!DD18</f>
        <v>2154.6170000000566</v>
      </c>
      <c r="DD4" s="20">
        <f>METER!DE18</f>
        <v>2222.435999999987</v>
      </c>
      <c r="DE4" s="20">
        <f>METER!DF18</f>
        <v>1878.3369999999413</v>
      </c>
      <c r="DF4" s="20">
        <f>METER!DG18</f>
        <v>1831.6640000000189</v>
      </c>
      <c r="DG4" s="20">
        <f>METER!DH18</f>
        <v>2090.5280000000494</v>
      </c>
      <c r="DH4" s="20">
        <f>METER!DI18</f>
        <v>1791.5830000000133</v>
      </c>
      <c r="DI4" s="20">
        <f>METER!DJ18</f>
        <v>1200.2230000000563</v>
      </c>
      <c r="DJ4" s="20">
        <f>METER!DK18</f>
        <v>1279.5739999999641</v>
      </c>
      <c r="DK4" s="20">
        <f>METER!DL18</f>
        <v>1880.1539999998931</v>
      </c>
      <c r="DL4" s="20">
        <f>METER!DM18</f>
        <v>1597.1719999999623</v>
      </c>
      <c r="DM4" s="20">
        <f>METER!DN18</f>
        <v>1719.8310000000056</v>
      </c>
      <c r="DN4" s="20">
        <f>METER!DO18</f>
        <v>1413.1220000000321</v>
      </c>
      <c r="DO4" s="20">
        <f>METER!DP18</f>
        <v>1780.7030000000668</v>
      </c>
      <c r="DP4" s="20">
        <f>METER!DQ18</f>
        <v>1851.4770000001008</v>
      </c>
      <c r="DQ4" s="20">
        <f>METER!DR18</f>
        <v>1827.1629999998549</v>
      </c>
      <c r="DR4" s="20">
        <f>METER!DS18</f>
        <v>2147.0460000000894</v>
      </c>
      <c r="DS4" s="20">
        <f>METER!DT18</f>
        <v>1673.6210000000137</v>
      </c>
      <c r="DT4" s="20">
        <f>METER!DU18</f>
        <v>1571.161999999953</v>
      </c>
      <c r="DU4" s="20">
        <f>METER!DV18</f>
        <v>1448.7960000000603</v>
      </c>
      <c r="DV4" s="20">
        <f>METER!DW18</f>
        <v>1348.1109999999753</v>
      </c>
      <c r="DW4" s="20">
        <f>METER!DX18</f>
        <v>1769.3489999999001</v>
      </c>
      <c r="DX4" s="119">
        <f>SUM(CT4:DW4)</f>
        <v>54884.456999999966</v>
      </c>
      <c r="DY4" s="20">
        <f>METER!DZ18</f>
        <v>1951.8110000000161</v>
      </c>
      <c r="DZ4" s="20">
        <f>METER!EA18</f>
        <v>1746.7599999999511</v>
      </c>
      <c r="EA4" s="20">
        <f>METER!EB18</f>
        <v>1455.4300000001094</v>
      </c>
      <c r="EB4" s="20">
        <f>METER!EC18</f>
        <v>1503.222999999969</v>
      </c>
      <c r="EC4" s="20">
        <f>METER!ED18</f>
        <v>1514.4670000000042</v>
      </c>
      <c r="ED4" s="20">
        <f>METER!EE18</f>
        <v>1680.0629999999073</v>
      </c>
      <c r="EE4" s="20">
        <f>METER!EF18</f>
        <v>1631.3470000000088</v>
      </c>
      <c r="EF4" s="20">
        <f>METER!EG18</f>
        <v>1895.8700000000827</v>
      </c>
      <c r="EG4" s="20">
        <f>METER!EH18</f>
        <v>2167.4899999999907</v>
      </c>
      <c r="EH4" s="20">
        <f>METER!EI18</f>
        <v>2043.6309999999939</v>
      </c>
      <c r="EI4" s="20">
        <f>METER!EJ18</f>
        <v>1755.9329999999609</v>
      </c>
      <c r="EJ4" s="20">
        <f>METER!EK18</f>
        <v>2028.5110000001732</v>
      </c>
      <c r="EK4" s="20">
        <f>METER!EL18</f>
        <v>1934.6149999999907</v>
      </c>
      <c r="EL4" s="20">
        <f>METER!EM18</f>
        <v>1822.5469999999914</v>
      </c>
      <c r="EM4" s="20">
        <f>METER!EN18</f>
        <v>2333.9719999999215</v>
      </c>
      <c r="EN4" s="20">
        <f>METER!EO18</f>
        <v>2480.4439999999013</v>
      </c>
      <c r="EO4" s="20">
        <f>METER!EP18</f>
        <v>2027.9810000001744</v>
      </c>
      <c r="EP4" s="20">
        <f>METER!EQ18</f>
        <v>2295.2619999999297</v>
      </c>
      <c r="EQ4" s="20">
        <f>METER!ER18</f>
        <v>1747.1759999999776</v>
      </c>
      <c r="ER4" s="20">
        <f>METER!ES18</f>
        <v>2257.0379999999423</v>
      </c>
      <c r="ES4" s="20">
        <f>METER!ET18</f>
        <v>2410.9380000000237</v>
      </c>
      <c r="ET4" s="20">
        <f>METER!EU18</f>
        <v>2816.9270000000542</v>
      </c>
      <c r="EU4" s="20">
        <f>METER!EV18</f>
        <v>2781.7860000000219</v>
      </c>
      <c r="EV4" s="20">
        <f>METER!EW18</f>
        <v>2579.6509999999253</v>
      </c>
      <c r="EW4" s="20">
        <f>METER!EX18</f>
        <v>1920.8440000000701</v>
      </c>
      <c r="EX4" s="20">
        <f>METER!EY18</f>
        <v>1519.1909999999625</v>
      </c>
      <c r="EY4" s="20">
        <f>METER!EZ18</f>
        <v>1790.9210000000021</v>
      </c>
      <c r="EZ4" s="20">
        <f>METER!FA18</f>
        <v>1746.0899999999674</v>
      </c>
      <c r="FA4" s="20">
        <f>METER!FB18</f>
        <v>1984.4010000000126</v>
      </c>
      <c r="FB4" s="20">
        <f>METER!FC18</f>
        <v>1924.8220000001311</v>
      </c>
      <c r="FC4" s="20">
        <f>METER!FD18</f>
        <v>2145.0129999998026</v>
      </c>
      <c r="FD4" s="128">
        <f>SUM(DY4:FC4)</f>
        <v>61894.15499999997</v>
      </c>
      <c r="FE4" s="20">
        <f>METER!FF18</f>
        <v>1837.7400000000198</v>
      </c>
      <c r="FF4" s="20">
        <f>METER!FG18</f>
        <v>1939.7040000000561</v>
      </c>
      <c r="FG4" s="20">
        <f>METER!FH18</f>
        <v>1573.5720000000147</v>
      </c>
      <c r="FH4" s="20">
        <f>METER!FI18</f>
        <v>2007.180999999895</v>
      </c>
      <c r="FI4" s="20">
        <f>METER!FJ18</f>
        <v>1980.6150000001071</v>
      </c>
      <c r="FJ4" s="20">
        <f>METER!FK18</f>
        <v>1941.4819999999308</v>
      </c>
      <c r="FK4" s="20">
        <f>METER!FL18</f>
        <v>1914.1230000000505</v>
      </c>
      <c r="FL4" s="20">
        <f>METER!FM18</f>
        <v>1966.039000000048</v>
      </c>
      <c r="FM4" s="20">
        <f>METER!FN18</f>
        <v>1942.9090000000142</v>
      </c>
      <c r="FN4" s="20">
        <f>METER!FO18</f>
        <v>1798.0210000000661</v>
      </c>
      <c r="FO4" s="20">
        <f>METER!FP18</f>
        <v>1758.905999999959</v>
      </c>
      <c r="FP4" s="20">
        <f>METER!FQ18</f>
        <v>1885.5269999998854</v>
      </c>
      <c r="FQ4" s="20">
        <f>METER!FR18</f>
        <v>2088.1040000001085</v>
      </c>
      <c r="FR4" s="20">
        <f>METER!FS18</f>
        <v>1745.39300000004</v>
      </c>
      <c r="FS4" s="20">
        <f>METER!FT18</f>
        <v>1557.8849999998929</v>
      </c>
      <c r="FT4" s="20">
        <f>METER!FU18</f>
        <v>1851.1110000000917</v>
      </c>
      <c r="FU4" s="20">
        <f>METER!FV18</f>
        <v>1466.9099999997707</v>
      </c>
      <c r="FV4" s="20">
        <f>METER!FW18</f>
        <v>1732.1300000002084</v>
      </c>
      <c r="FW4" s="20">
        <f>METER!FX18</f>
        <v>2018.3020000000251</v>
      </c>
      <c r="FX4" s="20">
        <f>METER!FY18</f>
        <v>2231.9319999998843</v>
      </c>
      <c r="FY4" s="20">
        <f>METER!FZ18</f>
        <v>1844.372999999905</v>
      </c>
      <c r="FZ4" s="20">
        <f>METER!GA18</f>
        <v>1658.5270000002638</v>
      </c>
      <c r="GA4" s="20">
        <f>METER!GB18</f>
        <v>1871.0989999997546</v>
      </c>
      <c r="GB4" s="20">
        <f>METER!GC18</f>
        <v>1613.6630000001751</v>
      </c>
      <c r="GC4" s="20">
        <f>METER!GD18</f>
        <v>2249.7529999999097</v>
      </c>
      <c r="GD4" s="20">
        <f>METER!GE18</f>
        <v>1976.2229999999399</v>
      </c>
      <c r="GE4" s="20">
        <f>METER!GF18</f>
        <v>1698.9150000002119</v>
      </c>
      <c r="GF4" s="20">
        <f>METER!GG18</f>
        <v>1783.7929999998305</v>
      </c>
      <c r="GG4" s="20">
        <f>METER!GH18</f>
        <v>2027.4670000001497</v>
      </c>
      <c r="GH4" s="20">
        <f>METER!GI18</f>
        <v>1734.7850000000326</v>
      </c>
      <c r="GI4" s="20">
        <f>METER!GJ18</f>
        <v>1671.783999999956</v>
      </c>
      <c r="GJ4" s="127">
        <f>SUM(FE4:GI4)</f>
        <v>57367.968000000197</v>
      </c>
      <c r="GK4" s="20">
        <f>METER!GL18</f>
        <v>1807.9849999998114</v>
      </c>
      <c r="GL4" s="20">
        <f>METER!GM18</f>
        <v>1925.2930000001506</v>
      </c>
      <c r="GM4" s="20">
        <f>METER!GN18</f>
        <v>2703.0769999999948</v>
      </c>
      <c r="GN4" s="20">
        <f>METER!GO18</f>
        <v>2259.8379999998142</v>
      </c>
      <c r="GO4" s="20">
        <f>METER!GP18</f>
        <v>2119.0360000001092</v>
      </c>
      <c r="GP4" s="20">
        <f>METER!GQ18</f>
        <v>2087.9839999999094</v>
      </c>
      <c r="GQ4" s="20">
        <f>METER!GR18</f>
        <v>2352.6100000001898</v>
      </c>
      <c r="GR4" s="20">
        <f>METER!GS18</f>
        <v>1993.0989999999001</v>
      </c>
      <c r="GS4" s="20">
        <f>METER!GT18</f>
        <v>2046.7529999999097</v>
      </c>
      <c r="GT4" s="20">
        <f>METER!GU18</f>
        <v>1874.4230000000098</v>
      </c>
      <c r="GU4" s="20">
        <f>METER!GV18</f>
        <v>1920.2820000001229</v>
      </c>
      <c r="GV4" s="20">
        <f>METER!GW18</f>
        <v>1948.2109999999229</v>
      </c>
      <c r="GW4" s="20">
        <f>METER!GX18</f>
        <v>2190.1770000001125</v>
      </c>
      <c r="GX4" s="20">
        <f>METER!GY18</f>
        <v>1988.0599999997939</v>
      </c>
      <c r="GY4" s="20">
        <f>METER!GZ18</f>
        <v>1779.060000000085</v>
      </c>
      <c r="GZ4" s="20">
        <f>METER!HA18</f>
        <v>1797.5520000000251</v>
      </c>
      <c r="HA4" s="20">
        <f>METER!HB18</f>
        <v>2109.9379999999364</v>
      </c>
      <c r="HB4" s="20">
        <f>METER!HC18</f>
        <v>1783.9160000000848</v>
      </c>
      <c r="HC4" s="20">
        <f>METER!HD18</f>
        <v>1691.4269999999378</v>
      </c>
      <c r="HD4" s="20">
        <f>METER!HE18</f>
        <v>2102.9460000000545</v>
      </c>
      <c r="HE4" s="20">
        <f>METER!HF18</f>
        <v>1853.98199999996</v>
      </c>
      <c r="HF4" s="20">
        <f>METER!HG18</f>
        <v>1862.7320000001346</v>
      </c>
      <c r="HG4" s="20">
        <f>METER!HH18</f>
        <v>1910.7739999999467</v>
      </c>
      <c r="HH4" s="20">
        <f>METER!HI18</f>
        <v>1947.097000000038</v>
      </c>
      <c r="HI4" s="20">
        <f>METER!HJ18</f>
        <v>1514.5989999999292</v>
      </c>
      <c r="HJ4" s="20">
        <f>METER!HK18</f>
        <v>1945.8200000000652</v>
      </c>
      <c r="HK4" s="20">
        <f>METER!HL18</f>
        <v>1788.1879999999364</v>
      </c>
      <c r="HL4" s="20">
        <f>METER!HM18</f>
        <v>1742.8760000000766</v>
      </c>
      <c r="HM4" s="20">
        <f>METER!HN18</f>
        <v>2029.3819999998668</v>
      </c>
      <c r="HN4" s="127">
        <f>SUM(GK4:HM4)</f>
        <v>57077.116999999824</v>
      </c>
      <c r="HO4" s="20">
        <f>METER!HP18</f>
        <v>2278.9950000000827</v>
      </c>
      <c r="HP4" s="20">
        <f>METER!HQ18</f>
        <v>2331.9439999999886</v>
      </c>
      <c r="HQ4" s="20">
        <f>METER!HR18</f>
        <v>2198.3529999999155</v>
      </c>
      <c r="HR4" s="20">
        <f>METER!HS18</f>
        <v>2083.3380000001052</v>
      </c>
      <c r="HS4" s="20">
        <f>METER!HT18</f>
        <v>2058.2450000001118</v>
      </c>
      <c r="HT4" s="20">
        <f>METER!HU18</f>
        <v>2059.7819999999774</v>
      </c>
      <c r="HU4" s="20">
        <f>METER!HV18</f>
        <v>2346.3479999999399</v>
      </c>
      <c r="HV4" s="20">
        <f>METER!HW18</f>
        <v>2092.8879999999772</v>
      </c>
      <c r="HW4" s="20">
        <f>METER!HX18</f>
        <v>1982.3490000000456</v>
      </c>
      <c r="HX4" s="20">
        <f>METER!HY18</f>
        <v>1894.8789999999281</v>
      </c>
      <c r="HY4" s="20">
        <f>METER!HZ18</f>
        <v>1998.5509999999776</v>
      </c>
      <c r="HZ4" s="20">
        <f>METER!IA18</f>
        <v>1734.9940000000934</v>
      </c>
      <c r="IA4" s="20">
        <f>METER!IB18</f>
        <v>1639.0789999999979</v>
      </c>
      <c r="IB4" s="20">
        <f>METER!IC18</f>
        <v>1588.7099999999045</v>
      </c>
      <c r="IC4" s="20">
        <f>METER!ID18</f>
        <v>2071.5479999999807</v>
      </c>
      <c r="ID4" s="20">
        <f>METER!IE18</f>
        <v>1954.4960000000719</v>
      </c>
      <c r="IE4" s="20">
        <f>METER!IF18</f>
        <v>1810.7749999998196</v>
      </c>
      <c r="IF4" s="20">
        <f>METER!IG18</f>
        <v>2061.5070000000705</v>
      </c>
      <c r="IG4" s="20">
        <f>METER!IH18</f>
        <v>1791.203000000125</v>
      </c>
      <c r="IH4" s="20">
        <f>METER!II18</f>
        <v>1815.024999999936</v>
      </c>
      <c r="II4" s="20">
        <f>METER!IJ18</f>
        <v>1660.8670000000857</v>
      </c>
      <c r="IJ4" s="20">
        <f>METER!IK18</f>
        <v>2002.9359999998996</v>
      </c>
      <c r="IK4" s="20">
        <f>METER!IL18</f>
        <v>2031.9760000001406</v>
      </c>
      <c r="IL4" s="20">
        <f>METER!IM18</f>
        <v>1798.8259999999136</v>
      </c>
      <c r="IM4" s="20">
        <f>METER!IN18</f>
        <v>1880.6899999998568</v>
      </c>
      <c r="IN4" s="20">
        <f>METER!IO18</f>
        <v>1659.8489999999874</v>
      </c>
      <c r="IO4" s="20">
        <f>METER!IP18</f>
        <v>1880.8760000001639</v>
      </c>
      <c r="IP4" s="20">
        <f>METER!IQ18</f>
        <v>1844.5109999999404</v>
      </c>
      <c r="IQ4" s="20">
        <f>METER!IR18</f>
        <v>1640.3190000000759</v>
      </c>
      <c r="IR4" s="20">
        <f>METER!IS18</f>
        <v>1954.7349999999278</v>
      </c>
      <c r="IS4" s="20">
        <f>METER!IT18</f>
        <v>1357.1619999999821</v>
      </c>
      <c r="IT4" s="127">
        <f>SUM(HO4:IS4)</f>
        <v>59505.756000000023</v>
      </c>
      <c r="IU4" s="20">
        <f>METER!IV18</f>
        <v>1468.997000000003</v>
      </c>
      <c r="IV4" s="20">
        <f>METER!IW18</f>
        <v>1862.4590000000026</v>
      </c>
      <c r="IW4" s="20">
        <f>METER!IX18</f>
        <v>1649.4570000000531</v>
      </c>
      <c r="IX4" s="20">
        <f>METER!IY18</f>
        <v>1645.4719999999506</v>
      </c>
      <c r="IY4" s="20">
        <f>METER!IZ18</f>
        <v>1853.3479999999399</v>
      </c>
      <c r="IZ4" s="20">
        <f>METER!JA18</f>
        <v>2056.8160000000207</v>
      </c>
      <c r="JA4" s="20">
        <f>METER!JB18</f>
        <v>1600.4979999999923</v>
      </c>
      <c r="JB4" s="20">
        <f>METER!JC18</f>
        <v>1867.1240000000107</v>
      </c>
      <c r="JC4" s="20">
        <f>METER!JD18</f>
        <v>1636.8770000000368</v>
      </c>
      <c r="JD4" s="20">
        <f>METER!JE18</f>
        <v>1926.3210000000836</v>
      </c>
      <c r="JE4" s="20">
        <f>METER!JF18</f>
        <v>1578.7939999999362</v>
      </c>
      <c r="JF4" s="20">
        <f>METER!JG18</f>
        <v>1781.0480000001553</v>
      </c>
      <c r="JG4" s="20">
        <f>METER!JH18</f>
        <v>1736.1959999997925</v>
      </c>
      <c r="JH4" s="20">
        <f>METER!JI18</f>
        <v>1275.0760000002047</v>
      </c>
      <c r="JI4" s="20">
        <f>METER!JJ18</f>
        <v>1937.2169999998005</v>
      </c>
      <c r="JJ4" s="20">
        <f>METER!JK18</f>
        <v>1626.2510000000766</v>
      </c>
      <c r="JK4" s="20">
        <f>METER!JL18</f>
        <v>1562.6399999999558</v>
      </c>
      <c r="JL4" s="20">
        <f>METER!JM18</f>
        <v>1515.9640000001818</v>
      </c>
      <c r="JM4" s="20">
        <f>METER!JN18</f>
        <v>1888.8639999998268</v>
      </c>
      <c r="JN4" s="20">
        <f>METER!JO18</f>
        <v>1569.0490000000864</v>
      </c>
      <c r="JO4" s="20">
        <f>METER!JP18</f>
        <v>1444.5010000000184</v>
      </c>
      <c r="JP4" s="20">
        <f>METER!JQ18</f>
        <v>1751.875999999902</v>
      </c>
      <c r="JQ4" s="20">
        <f>METER!JR18</f>
        <v>1468.9880000000703</v>
      </c>
      <c r="JR4" s="20">
        <f>METER!JS18</f>
        <v>1731.4620000001159</v>
      </c>
      <c r="JS4" s="20">
        <f>METER!JT18</f>
        <v>1747.336999999854</v>
      </c>
      <c r="JT4" s="20">
        <f>METER!JU18</f>
        <v>1965.0909999999276</v>
      </c>
      <c r="JU4" s="20">
        <f>METER!JV18</f>
        <v>2487.512999999919</v>
      </c>
      <c r="JV4" s="20">
        <f>METER!JW18</f>
        <v>1831.7090000000608</v>
      </c>
      <c r="JW4" s="20">
        <f>METER!JX18</f>
        <v>1588.4219999999623</v>
      </c>
      <c r="JX4" s="20">
        <f>METER!JY18</f>
        <v>1728.5740000000515</v>
      </c>
      <c r="JY4" s="127">
        <f>SUM(IU4:JX4)</f>
        <v>51783.940999999992</v>
      </c>
      <c r="JZ4" s="20">
        <f>METER!KA18</f>
        <v>1763.6549999999988</v>
      </c>
      <c r="KA4" s="20">
        <f>METER!KB18</f>
        <v>1826.0380000000587</v>
      </c>
      <c r="KB4" s="20">
        <f>METER!KC18</f>
        <v>1711.653999999864</v>
      </c>
      <c r="KC4" s="20">
        <f>METER!KD18</f>
        <v>1795.3479999999981</v>
      </c>
      <c r="KD4" s="20">
        <f>METER!KE18</f>
        <v>1882.9480000000913</v>
      </c>
      <c r="KE4" s="20">
        <f>METER!KF18</f>
        <v>1794.7630000001809</v>
      </c>
      <c r="KF4" s="20">
        <f>METER!KG18</f>
        <v>1815.3049999999639</v>
      </c>
      <c r="KG4" s="20">
        <f>METER!KH18</f>
        <v>1575.8519999998389</v>
      </c>
      <c r="KH4" s="20">
        <f>METER!KI18</f>
        <v>1795.2250000000058</v>
      </c>
      <c r="KI4" s="20">
        <f>METER!KJ18</f>
        <v>1727.5320000000356</v>
      </c>
      <c r="KJ4" s="20">
        <f>METER!KK18</f>
        <v>2045.5680000000284</v>
      </c>
      <c r="KK4" s="20">
        <f>METER!KL18</f>
        <v>1733.8899999999267</v>
      </c>
      <c r="KL4" s="20">
        <f>METER!KM18</f>
        <v>1997.9429999998829</v>
      </c>
      <c r="KM4" s="20">
        <f>METER!KN18</f>
        <v>1667.6190000002971</v>
      </c>
      <c r="KN4" s="20">
        <f>METER!KO18</f>
        <v>1538.43299999999</v>
      </c>
      <c r="KO4" s="20">
        <f>METER!KP18</f>
        <v>1742.2369999999646</v>
      </c>
      <c r="KP4" s="20">
        <f>METER!KQ18</f>
        <v>1702.1179999998712</v>
      </c>
      <c r="KQ4" s="20">
        <f>METER!KR18</f>
        <v>1783.9379999999655</v>
      </c>
      <c r="KR4" s="20">
        <f>METER!KS18</f>
        <v>1667.82600000003</v>
      </c>
      <c r="KS4" s="20">
        <f>METER!KT18</f>
        <v>1914.614000000176</v>
      </c>
      <c r="KT4" s="20">
        <f>METER!KU18</f>
        <v>1457.1589999998978</v>
      </c>
      <c r="KU4" s="20">
        <f>METER!KV18</f>
        <v>1600.0749999998661</v>
      </c>
      <c r="KV4" s="20">
        <f>METER!KW18</f>
        <v>1833.9650000001711</v>
      </c>
      <c r="KW4" s="20">
        <f>METER!KX18</f>
        <v>1984.5729999999166</v>
      </c>
      <c r="KX4" s="20">
        <f>METER!KY18</f>
        <v>1727.8739999999816</v>
      </c>
      <c r="KY4" s="20">
        <f>METER!KZ18</f>
        <v>1902.3680000000459</v>
      </c>
      <c r="KZ4" s="20">
        <f>METER!LA18</f>
        <v>1869.0810000000056</v>
      </c>
      <c r="LA4" s="20">
        <f>METER!LB18</f>
        <v>1816.4000000000233</v>
      </c>
      <c r="LB4" s="20">
        <f>METER!LC18</f>
        <v>1720.8429999999644</v>
      </c>
      <c r="LC4" s="20">
        <f>METER!LD18</f>
        <v>1817.9409999999043</v>
      </c>
      <c r="LD4" s="20">
        <f>METER!LE18</f>
        <v>2259.8820000001288</v>
      </c>
      <c r="LE4" s="127">
        <f>SUM(KA4:LD4)</f>
        <v>53709.012000000075</v>
      </c>
      <c r="LF4" s="20">
        <f>METER!LG18</f>
        <v>2428.6429999999527</v>
      </c>
      <c r="LG4" s="20">
        <f>METER!LH18</f>
        <v>1842.9939999999769</v>
      </c>
      <c r="LH4" s="20">
        <f>METER!LI18</f>
        <v>2134.1430000001274</v>
      </c>
      <c r="LI4" s="20">
        <f>METER!LJ18</f>
        <v>2196.8519999999553</v>
      </c>
      <c r="LJ4" s="20">
        <f>METER!LK18</f>
        <v>1814.7359999998007</v>
      </c>
      <c r="LK4" s="20">
        <f>METER!LL18</f>
        <v>1780.9450000000361</v>
      </c>
      <c r="LL4" s="20">
        <f>METER!LM18</f>
        <v>2259.6270000001532</v>
      </c>
      <c r="LM4" s="20">
        <f>METER!LN18</f>
        <v>2535.9169999999867</v>
      </c>
      <c r="LN4" s="20">
        <f>METER!LO18</f>
        <v>2013.6580000001122</v>
      </c>
      <c r="LO4" s="20">
        <f>METER!LP18</f>
        <v>2060.506999999925</v>
      </c>
      <c r="LP4" s="20">
        <f>METER!LQ18</f>
        <v>1881.4099999997998</v>
      </c>
      <c r="LQ4" s="20">
        <f>METER!LR18</f>
        <v>1895.1740000001737</v>
      </c>
      <c r="LR4" s="20">
        <f>METER!LS18</f>
        <v>1881.8389999998326</v>
      </c>
      <c r="LS4" s="20">
        <f>METER!LT18</f>
        <v>2090.336000000214</v>
      </c>
      <c r="LT4" s="20">
        <f>METER!LU18</f>
        <v>2541.2459999999264</v>
      </c>
      <c r="LU4" s="20">
        <f>METER!LV18</f>
        <v>2026.1599999999453</v>
      </c>
      <c r="LV4" s="20">
        <f>METER!LW18</f>
        <v>1809.7519999999495</v>
      </c>
      <c r="LW4" s="20">
        <f>METER!LX18</f>
        <v>1992.0840000001481</v>
      </c>
      <c r="LX4" s="20">
        <f>METER!LY18</f>
        <v>1852.4480000000913</v>
      </c>
      <c r="LY4" s="20">
        <f>METER!LZ18</f>
        <v>2001.7139999997744</v>
      </c>
      <c r="LZ4" s="20">
        <f>METER!MA18</f>
        <v>2075.4700000001176</v>
      </c>
      <c r="MA4" s="20">
        <f>METER!MB18</f>
        <v>2003.3389999998326</v>
      </c>
      <c r="MB4" s="20">
        <f>METER!MC18</f>
        <v>2053.6290000001609</v>
      </c>
      <c r="MC4" s="20">
        <f>METER!MD18</f>
        <v>2221.3950000001059</v>
      </c>
      <c r="MD4" s="20">
        <f>METER!ME18</f>
        <v>1730.2049999999581</v>
      </c>
      <c r="ME4" s="20">
        <f>METER!MF18</f>
        <v>1939.2749999998778</v>
      </c>
      <c r="MF4" s="20">
        <f>METER!MG18</f>
        <v>1558.4469999999856</v>
      </c>
      <c r="MG4" s="20">
        <f>METER!MH18</f>
        <v>1938.935000000085</v>
      </c>
      <c r="MH4" s="20">
        <f>METER!MI18</f>
        <v>1951.0820000000822</v>
      </c>
      <c r="MI4" s="20">
        <f>METER!MJ18</f>
        <v>1801.0859999998647</v>
      </c>
      <c r="MJ4" s="127">
        <f>SUM(LF4:MI4)</f>
        <v>60313.047999999952</v>
      </c>
      <c r="MK4" s="20">
        <f>METER!ML18</f>
        <v>2189.9460000000545</v>
      </c>
      <c r="ML4" s="20">
        <f>METER!MM18</f>
        <v>1930.987999999983</v>
      </c>
      <c r="MM4" s="20">
        <f>METER!MN18</f>
        <v>1757.3420000000624</v>
      </c>
      <c r="MN4" s="20">
        <f>METER!MO18</f>
        <v>1829.3569999999891</v>
      </c>
      <c r="MO4" s="20">
        <f>METER!MP18</f>
        <v>2055.3739999998943</v>
      </c>
      <c r="MP4" s="20">
        <f>METER!MQ18</f>
        <v>1915.3080000001064</v>
      </c>
      <c r="MQ4" s="20">
        <f>METER!MR18</f>
        <v>1987.0559999998077</v>
      </c>
      <c r="MR4" s="20">
        <f>METER!MS18</f>
        <v>1889.9200000001001</v>
      </c>
      <c r="MS4" s="20">
        <f>METER!MT18</f>
        <v>1723.8770000000368</v>
      </c>
      <c r="MT4" s="20">
        <f>METER!MU18</f>
        <v>1509.0249999999046</v>
      </c>
      <c r="MU4" s="20">
        <f>METER!MV18</f>
        <v>1755.7990000001512</v>
      </c>
      <c r="MV4" s="20">
        <f>METER!MW18</f>
        <v>1930.424999999901</v>
      </c>
      <c r="MW4" s="20">
        <f>METER!MX18</f>
        <v>2385.9340000000084</v>
      </c>
      <c r="MX4" s="20">
        <f>METER!MY18</f>
        <v>1500.3539999999339</v>
      </c>
      <c r="MY4" s="20">
        <f>METER!MZ18</f>
        <v>1628.730000000156</v>
      </c>
      <c r="MZ4" s="20">
        <f>METER!NA18</f>
        <v>2012.104999999865</v>
      </c>
      <c r="NA4" s="20">
        <f>METER!NB18</f>
        <v>1663.139000000112</v>
      </c>
      <c r="NB4" s="20">
        <f>METER!NC18</f>
        <v>1976.9399999998277</v>
      </c>
      <c r="NC4" s="20">
        <f>METER!ND18</f>
        <v>1855.2760000001872</v>
      </c>
      <c r="ND4" s="20">
        <f>METER!NE18</f>
        <v>2026.1699999998964</v>
      </c>
      <c r="NE4" s="20">
        <f>METER!NF18</f>
        <v>1539.9280000000144</v>
      </c>
      <c r="NF4" s="20">
        <f>METER!NG18</f>
        <v>1643.5639999999257</v>
      </c>
      <c r="NG4" s="20">
        <f>METER!NH18</f>
        <v>1532.8440000002447</v>
      </c>
      <c r="NH4" s="20">
        <f>METER!NI18</f>
        <v>1550.4629999998142</v>
      </c>
      <c r="NI4" s="20">
        <f>METER!NJ18</f>
        <v>1783.8890000000829</v>
      </c>
      <c r="NJ4" s="20">
        <f>METER!NK18</f>
        <v>1930.5329999998503</v>
      </c>
      <c r="NK4" s="20">
        <f>METER!NL18</f>
        <v>2284.4120000000403</v>
      </c>
      <c r="NL4" s="20">
        <f>METER!NM18</f>
        <v>1425.4040000002133</v>
      </c>
      <c r="NM4" s="20">
        <f>METER!NN18</f>
        <v>1958.9449999998324</v>
      </c>
      <c r="NN4" s="20">
        <f>METER!NO18</f>
        <v>1721.1140000000887</v>
      </c>
      <c r="NO4" s="20">
        <f>METER!NP18</f>
        <v>1370.8809999999357</v>
      </c>
      <c r="NP4" s="127">
        <f>SUM(ML4:NO4)</f>
        <v>54075.095999999961</v>
      </c>
      <c r="NQ4" s="20">
        <f>METER!NR18</f>
        <v>1796.6559999999299</v>
      </c>
      <c r="NR4" s="20">
        <f>METER!NS18</f>
        <v>1774.2400000001071</v>
      </c>
      <c r="NS4" s="20">
        <f>METER!NT18</f>
        <v>2174.3570000000473</v>
      </c>
      <c r="NT4" s="20">
        <f>METER!NU18</f>
        <v>1755.2449999999953</v>
      </c>
      <c r="NU4" s="20">
        <f>METER!NV18</f>
        <v>1860.8999999998778</v>
      </c>
      <c r="NV4" s="20">
        <f>METER!NW18</f>
        <v>2223.0799999999581</v>
      </c>
      <c r="NW4" s="20">
        <f>METER!NX18</f>
        <v>1671.3940000000875</v>
      </c>
      <c r="NX4" s="20">
        <f>METER!NY18</f>
        <v>1891.2829999999667</v>
      </c>
      <c r="NY4" s="20">
        <f>METER!NZ18</f>
        <v>2064.8940000000293</v>
      </c>
      <c r="NZ4" s="20">
        <f>METER!OA18</f>
        <v>2098.3849999999511</v>
      </c>
      <c r="OA4" s="20">
        <f>METER!OB18</f>
        <v>1737.5220000000554</v>
      </c>
      <c r="OB4" s="20">
        <f>METER!OC18</f>
        <v>1781.3280000000377</v>
      </c>
      <c r="OC4" s="20">
        <f>METER!OD18</f>
        <v>1911.2009999999427</v>
      </c>
      <c r="OD4" s="20">
        <f>METER!OE18</f>
        <v>1956.721000000136</v>
      </c>
      <c r="OE4" s="20">
        <f>METER!OF18</f>
        <v>1893.0019999997749</v>
      </c>
      <c r="OF4" s="20">
        <f>METER!OG18</f>
        <v>2056.5920000001497</v>
      </c>
      <c r="OG4" s="20">
        <f>METER!OH18</f>
        <v>2139.1030000000319</v>
      </c>
      <c r="OH4" s="20">
        <f>METER!OI18</f>
        <v>1757.4399999998277</v>
      </c>
      <c r="OI4" s="20">
        <f>METER!OJ18</f>
        <v>1990.25400000019</v>
      </c>
      <c r="OJ4" s="20">
        <f>METER!OK18</f>
        <v>1814.5350000000035</v>
      </c>
      <c r="OK4" s="20">
        <f>METER!OL18</f>
        <v>1708.6169999998529</v>
      </c>
      <c r="OL4" s="20">
        <f>METER!OM18</f>
        <v>1929.0230000001029</v>
      </c>
      <c r="OM4" s="20">
        <f>METER!ON18</f>
        <v>1793.3760000000766</v>
      </c>
      <c r="ON4" s="20">
        <f>METER!OO18</f>
        <v>2031.791999999783</v>
      </c>
      <c r="OO4" s="20">
        <f>METER!OP18</f>
        <v>1376.5460000000021</v>
      </c>
      <c r="OP4" s="20">
        <f>METER!OQ18</f>
        <v>1799.1449999998731</v>
      </c>
      <c r="OQ4" s="20">
        <f>METER!OR18</f>
        <v>1868.1030000002647</v>
      </c>
      <c r="OR4" s="20">
        <f>METER!OS18</f>
        <v>1605.4269999999669</v>
      </c>
      <c r="OS4" s="20">
        <f>METER!OT18</f>
        <v>1958.8889999999956</v>
      </c>
      <c r="OT4" s="20">
        <f>METER!OU18</f>
        <v>1831.176999999996</v>
      </c>
      <c r="OU4" s="20">
        <f>METER!OV18</f>
        <v>2132.3409999998403</v>
      </c>
      <c r="OV4" s="127">
        <f>SUM(NR4:OU4)</f>
        <v>56585.911999999924</v>
      </c>
      <c r="OW4" s="20">
        <f>METER!OX18</f>
        <v>1708.6050000001269</v>
      </c>
      <c r="OX4" s="20">
        <f>METER!OY18</f>
        <v>1904.4049999999988</v>
      </c>
      <c r="OY4" s="20">
        <f>METER!OZ18</f>
        <v>1840.9350000000268</v>
      </c>
      <c r="OZ4" s="20">
        <f>METER!PA18</f>
        <v>1758.3039999999455</v>
      </c>
      <c r="PA4" s="20">
        <f>METER!PB18</f>
        <v>1832.625</v>
      </c>
      <c r="PB4" s="20">
        <f>METER!PC18</f>
        <v>1983.163000000146</v>
      </c>
      <c r="PC4" s="20">
        <f>METER!PD18</f>
        <v>1988.4119999998074</v>
      </c>
      <c r="PD4" s="20">
        <f>METER!PE18</f>
        <v>1730.6600000002072</v>
      </c>
      <c r="PE4" s="20">
        <f>METER!PF18</f>
        <v>2068.5279999998165</v>
      </c>
      <c r="PF4" s="20">
        <f>METER!PG18</f>
        <v>1730.7260000001406</v>
      </c>
      <c r="PG4" s="20">
        <f>METER!PH18</f>
        <v>1583.216999999946</v>
      </c>
      <c r="PH4" s="20">
        <f>METER!PI18</f>
        <v>1600.0890000000072</v>
      </c>
      <c r="PI4" s="20">
        <f>METER!PJ18</f>
        <v>2133.1889999999548</v>
      </c>
      <c r="PJ4" s="20">
        <f>METER!PK18</f>
        <v>1990.9460000000836</v>
      </c>
      <c r="PK4" s="20">
        <f>METER!PL18</f>
        <v>1539.9779999999446</v>
      </c>
      <c r="PL4" s="20">
        <f>METER!PM18</f>
        <v>1999.1449999999895</v>
      </c>
      <c r="PM4" s="20">
        <f>METER!PN18</f>
        <v>1859.939999999915</v>
      </c>
      <c r="PN4" s="20">
        <f>METER!PO18</f>
        <v>1581.5640000001877</v>
      </c>
      <c r="PO4" s="20">
        <f>METER!PP18</f>
        <v>1531.9119999999239</v>
      </c>
      <c r="PP4" s="20">
        <f>METER!PQ18</f>
        <v>1633.2209999999905</v>
      </c>
      <c r="PQ4" s="20">
        <f>METER!PR18</f>
        <v>1428.4089999998687</v>
      </c>
      <c r="PR4" s="20">
        <f>METER!PS18</f>
        <v>1351.6670000001614</v>
      </c>
      <c r="PS4" s="20">
        <f>METER!PT18</f>
        <v>1568.3809999998775</v>
      </c>
      <c r="PT4" s="20">
        <f>METER!PU18</f>
        <v>1693.0670000000378</v>
      </c>
      <c r="PU4" s="20">
        <f>METER!PV18</f>
        <v>1363.2260000000824</v>
      </c>
      <c r="PV4" s="20">
        <f>METER!PW18</f>
        <v>1325.7109999999229</v>
      </c>
      <c r="PW4" s="20">
        <f>METER!PX18</f>
        <v>1754.0229999998992</v>
      </c>
      <c r="PX4" s="20">
        <f>METER!PY18</f>
        <v>1454.5680000001157</v>
      </c>
      <c r="PY4" s="20">
        <f>METER!PZ18</f>
        <v>877.71300000004351</v>
      </c>
      <c r="PZ4" s="20">
        <f>METER!QA18</f>
        <v>1683.3589999998803</v>
      </c>
      <c r="QA4" s="127">
        <f>SUM(OW4:PZ4)</f>
        <v>50499.688000000053</v>
      </c>
      <c r="QB4" s="20">
        <f>METER!QC18</f>
        <v>1430.0030000000843</v>
      </c>
      <c r="QC4" s="20">
        <f>METER!QD18</f>
        <v>1355.8379999999306</v>
      </c>
      <c r="QD4" s="20">
        <f>METER!QE18</f>
        <v>1600.4890000001469</v>
      </c>
      <c r="QE4" s="20">
        <f>METER!QF18</f>
        <v>2190.2709999999206</v>
      </c>
      <c r="QF4" s="20">
        <f>METER!QG18</f>
        <v>2226.8630000000121</v>
      </c>
      <c r="QG4" s="20">
        <f>METER!QH18</f>
        <v>1656.7460000000428</v>
      </c>
      <c r="QH4" s="20">
        <f>METER!QI18</f>
        <v>2188.4540000000561</v>
      </c>
      <c r="QI4" s="20">
        <f>METER!QJ18</f>
        <v>1742.899999999936</v>
      </c>
      <c r="QJ4" s="20">
        <f>METER!QK18</f>
        <v>1769.8970000000263</v>
      </c>
      <c r="QK4" s="20">
        <f>METER!QL18</f>
        <v>1747.1439999998547</v>
      </c>
      <c r="QL4" s="20">
        <f>METER!QM18</f>
        <v>2121.7240000000456</v>
      </c>
      <c r="QM4" s="20">
        <f>METER!QN18</f>
        <v>1979.940000000177</v>
      </c>
      <c r="QN4" s="20">
        <f>METER!QO18</f>
        <v>1836.8869999999006</v>
      </c>
      <c r="QO4" s="20">
        <f>METER!QP18</f>
        <v>2082.4369999999763</v>
      </c>
      <c r="QP4" s="20">
        <f>METER!QQ18</f>
        <v>1832.1859999999288</v>
      </c>
      <c r="QQ4" s="20">
        <f>METER!QR18</f>
        <v>1457.5070000000997</v>
      </c>
      <c r="QR4" s="20">
        <f>METER!QS18</f>
        <v>1641.4900000000489</v>
      </c>
      <c r="QS4" s="20">
        <f>METER!QT18</f>
        <v>2025.4279999998398</v>
      </c>
      <c r="QT4" s="20">
        <f>METER!QU18</f>
        <v>1880.3940000001458</v>
      </c>
      <c r="QU4" s="20">
        <f>METER!QV18</f>
        <v>1635.5809999999474</v>
      </c>
      <c r="QV4" s="20">
        <f>METER!QW18</f>
        <v>1584.585999999952</v>
      </c>
      <c r="QW4" s="20">
        <f>METER!QX18</f>
        <v>1446.8319999999367</v>
      </c>
      <c r="QX4" s="20">
        <f>METER!QY18</f>
        <v>1617.6710000002058</v>
      </c>
      <c r="QY4" s="20">
        <f>METER!QZ18</f>
        <v>1549.0139999999083</v>
      </c>
      <c r="QZ4" s="20">
        <f>METER!RA18</f>
        <v>2260.2139999998617</v>
      </c>
      <c r="RA4" s="20">
        <f>METER!RB18</f>
        <v>1793.377000000095</v>
      </c>
      <c r="RB4" s="20">
        <f>METER!RC18</f>
        <v>1448.9440000000759</v>
      </c>
      <c r="RC4" s="20">
        <f>METER!RD18</f>
        <v>1562.6839999998338</v>
      </c>
      <c r="RD4" s="20">
        <f>METER!RE18</f>
        <v>1636.0439999999944</v>
      </c>
      <c r="RE4" s="20">
        <f>METER!RF18</f>
        <v>1260.963000000047</v>
      </c>
      <c r="RF4" s="20">
        <f>METER!RG18</f>
        <v>1750.5970000000088</v>
      </c>
      <c r="RG4" s="127">
        <f>SUM(QB4:RF4)</f>
        <v>54313.10500000004</v>
      </c>
      <c r="RH4" s="20">
        <f>METER!RI18</f>
        <v>1904.6920000001555</v>
      </c>
      <c r="RI4" s="20">
        <f>METER!RJ18</f>
        <v>1925.0999999999185</v>
      </c>
      <c r="RJ4" s="20">
        <f>METER!RK18</f>
        <v>1624.1710000000312</v>
      </c>
      <c r="RK4" s="20">
        <f>METER!RL18</f>
        <v>1932.5999999998603</v>
      </c>
      <c r="RL4" s="20">
        <f>METER!RM18</f>
        <v>1552.00400000019</v>
      </c>
      <c r="RM4" s="20">
        <f>METER!RN18</f>
        <v>1430.9859999999753</v>
      </c>
      <c r="RN4" s="20">
        <f>METER!RO18</f>
        <v>1248.9919999997946</v>
      </c>
      <c r="RO4" s="20">
        <f>METER!RP18</f>
        <v>1723.6960000001127</v>
      </c>
      <c r="RP4" s="20">
        <f>METER!RQ18</f>
        <v>1751.8550000000396</v>
      </c>
      <c r="RQ4" s="20">
        <f>METER!RR18</f>
        <v>1595.4299999999348</v>
      </c>
      <c r="RR4" s="20">
        <f>METER!RS18</f>
        <v>1642.0590000000084</v>
      </c>
      <c r="RS4" s="20">
        <f>METER!RT18</f>
        <v>1505.8860000000568</v>
      </c>
      <c r="RT4" s="20">
        <f>METER!RU18</f>
        <v>1612.9749999999185</v>
      </c>
      <c r="RU4" s="20">
        <f>METER!RV18</f>
        <v>1332.8740000001271</v>
      </c>
      <c r="RV4" s="20">
        <f>METER!RW18</f>
        <v>1709.7089999999735</v>
      </c>
      <c r="RW4" s="20">
        <f>METER!RX18</f>
        <v>1660.076999999932</v>
      </c>
      <c r="RX4" s="20">
        <f>METER!RY18</f>
        <v>1506.8759999999893</v>
      </c>
      <c r="RY4" s="20">
        <f>METER!RZ18</f>
        <v>1612.3800000001211</v>
      </c>
      <c r="RZ4" s="20">
        <f>METER!SA18</f>
        <v>1940.6869999998016</v>
      </c>
      <c r="SA4" s="20">
        <f>METER!SB18</f>
        <v>1566.283000000054</v>
      </c>
      <c r="SB4" s="20">
        <f>METER!SC18</f>
        <v>1482.7520000000368</v>
      </c>
      <c r="SC4" s="20">
        <f>METER!SD18</f>
        <v>1950.2210000000196</v>
      </c>
      <c r="SD4" s="20">
        <f>METER!SE18</f>
        <v>1969.335000000021</v>
      </c>
      <c r="SE4" s="20">
        <f>METER!SF18</f>
        <v>1482.914000000048</v>
      </c>
      <c r="SF4" s="20">
        <f>METER!SG18</f>
        <v>1685.4500000000116</v>
      </c>
      <c r="SG4" s="20">
        <f>METER!SH18</f>
        <v>1768.2969999998459</v>
      </c>
      <c r="SH4" s="20">
        <f>METER!SI18</f>
        <v>1633.8840000000782</v>
      </c>
      <c r="SI4" s="20">
        <f>METER!SJ18</f>
        <v>1759.015000000014</v>
      </c>
      <c r="SJ4" s="20">
        <f>METER!SK18</f>
        <v>1810.9949999998789</v>
      </c>
      <c r="SK4" s="20">
        <f>METER!SL18</f>
        <v>2096.5130000001518</v>
      </c>
      <c r="SL4" s="127">
        <f>SUM(RH4:SK4)</f>
        <v>50418.708000000101</v>
      </c>
      <c r="SM4" s="20">
        <f>METER!SN18</f>
        <v>1580.7300000000978</v>
      </c>
      <c r="SN4" s="20">
        <f>METER!SO18</f>
        <v>1789.9479999998002</v>
      </c>
      <c r="SO4" s="20">
        <f>METER!SP18</f>
        <v>1563.1090000001132</v>
      </c>
      <c r="SP4" s="20">
        <f>METER!SQ18</f>
        <v>1730.705999999831</v>
      </c>
      <c r="SQ4" s="20">
        <f>METER!SR18</f>
        <v>1541.7430000001332</v>
      </c>
      <c r="SR4" s="20">
        <f>METER!SS18</f>
        <v>1816.4240000001155</v>
      </c>
      <c r="SS4" s="20">
        <f>METER!ST18</f>
        <v>2153.6219999997993</v>
      </c>
      <c r="ST4" s="20">
        <f>METER!SU18</f>
        <v>1684.4840000000549</v>
      </c>
      <c r="SU4" s="20">
        <f>METER!SV18</f>
        <v>1921.4769999999553</v>
      </c>
      <c r="SV4" s="20">
        <f>METER!SW18</f>
        <v>1648.5100000000675</v>
      </c>
      <c r="SW4" s="20">
        <f>METER!SX18</f>
        <v>1731.8409999998985</v>
      </c>
      <c r="SX4" s="20">
        <f>METER!SY18</f>
        <v>1788.4520000001066</v>
      </c>
      <c r="SY4" s="20">
        <f>METER!SZ18</f>
        <v>2036.8309999998892</v>
      </c>
      <c r="SZ4" s="20">
        <f>METER!TA18</f>
        <v>1955.2530000003171</v>
      </c>
      <c r="TA4" s="20">
        <f>METER!TB18</f>
        <v>1576.808999999892</v>
      </c>
      <c r="TB4" s="20">
        <f>METER!TC18</f>
        <v>1711.7679999998072</v>
      </c>
      <c r="TC4" s="20">
        <f>METER!TD18</f>
        <v>1858.5290000001551</v>
      </c>
      <c r="TD4" s="20">
        <f>METER!TE18</f>
        <v>1776.4129999998841</v>
      </c>
      <c r="TE4" s="20">
        <f>METER!TF18</f>
        <v>1945.354999999865</v>
      </c>
      <c r="TF4" s="20">
        <f>METER!TG18</f>
        <v>1949.184000000183</v>
      </c>
      <c r="TG4" s="20">
        <f>METER!TH18</f>
        <v>2099.7470000000321</v>
      </c>
      <c r="TH4" s="20">
        <f>METER!TI18</f>
        <v>2053.8539999999339</v>
      </c>
      <c r="TI4" s="20">
        <f>METER!TJ18</f>
        <v>2112.3130000000237</v>
      </c>
      <c r="TJ4" s="20">
        <f>METER!TK18</f>
        <v>1994.2679999998072</v>
      </c>
      <c r="TK4" s="20">
        <f>METER!TL18</f>
        <v>1599.6340000000782</v>
      </c>
      <c r="TL4" s="20">
        <f>METER!TM18</f>
        <v>1476.3050000000512</v>
      </c>
      <c r="TM4" s="20">
        <f>METER!TN18</f>
        <v>1619.7360000000917</v>
      </c>
      <c r="TN4" s="20">
        <f>METER!TO18</f>
        <v>1626.8630000000703</v>
      </c>
      <c r="TO4" s="20">
        <f>METER!TP18</f>
        <v>1368.8849999998929</v>
      </c>
      <c r="TP4" s="20">
        <f>METER!TQ18</f>
        <v>1640.7190000001574</v>
      </c>
      <c r="TQ4" s="20">
        <f>METER!TR18</f>
        <v>1834.3739999997779</v>
      </c>
      <c r="TR4" s="127">
        <f>SUM(SM4:TQ4)</f>
        <v>55187.885999999882</v>
      </c>
      <c r="TS4" s="20">
        <f>METER!TT18</f>
        <v>1300.9000000001979</v>
      </c>
      <c r="TT4" s="20">
        <f>METER!TU18</f>
        <v>1437.359999999986</v>
      </c>
      <c r="TU4" s="20">
        <f>METER!TV18</f>
        <v>1577.9369999999763</v>
      </c>
      <c r="TV4" s="20">
        <f>METER!TW18</f>
        <v>1688.1179999997257</v>
      </c>
      <c r="TW4" s="20">
        <f>METER!TX18</f>
        <v>1400.191000000108</v>
      </c>
      <c r="TX4" s="20">
        <f>METER!TY18</f>
        <v>1761.0659999999916</v>
      </c>
      <c r="TY4" s="20">
        <f>METER!TZ18</f>
        <v>1866.7260000000824</v>
      </c>
      <c r="TZ4" s="20">
        <f>METER!UA18</f>
        <v>1658.0889999999781</v>
      </c>
      <c r="UA4" s="20">
        <f>METER!UB18</f>
        <v>1652.0050000002375</v>
      </c>
      <c r="UB4" s="20">
        <f>METER!UC18</f>
        <v>1789.332999999926</v>
      </c>
      <c r="UC4" s="20">
        <f>METER!UD18</f>
        <v>1971.1609999999637</v>
      </c>
      <c r="UD4" s="20">
        <f>METER!UE18</f>
        <v>1471.3449999999721</v>
      </c>
      <c r="UE4" s="20">
        <f>METER!UF18</f>
        <v>1706.6729999999516</v>
      </c>
      <c r="UF4" s="20">
        <f>METER!UG18</f>
        <v>1822.9309999999241</v>
      </c>
      <c r="UG4" s="20">
        <f>METER!UH18</f>
        <v>1826.0230000000447</v>
      </c>
      <c r="UH4" s="20">
        <f>METER!UI18</f>
        <v>1746.9479999999749</v>
      </c>
      <c r="UI4" s="20">
        <f>METER!UJ18</f>
        <v>1906.9089999999269</v>
      </c>
      <c r="UJ4" s="20">
        <f>METER!UK18</f>
        <v>1910.3410000001313</v>
      </c>
      <c r="UK4" s="20">
        <f>METER!UL18</f>
        <v>1845.8789999999572</v>
      </c>
      <c r="UL4" s="20">
        <f>METER!UM18</f>
        <v>1554.0419999999576</v>
      </c>
      <c r="UM4" s="20">
        <f>METER!UN18</f>
        <v>1597.2140000000945</v>
      </c>
      <c r="UN4" s="20">
        <f>METER!UO18</f>
        <v>1710.963000000047</v>
      </c>
      <c r="UO4" s="20">
        <f>METER!UP18</f>
        <v>1730.8889999998501</v>
      </c>
      <c r="UP4" s="20">
        <f>METER!UQ18</f>
        <v>2041.6840000002412</v>
      </c>
      <c r="UQ4" s="20">
        <f>METER!UR18</f>
        <v>1739.2389999997104</v>
      </c>
      <c r="UR4" s="20">
        <f>METER!US18</f>
        <v>1645.480000000156</v>
      </c>
      <c r="US4" s="20">
        <f>METER!UT18</f>
        <v>1878.7589999999618</v>
      </c>
      <c r="UT4" s="20">
        <f>METER!UU18</f>
        <v>1635.3420000000624</v>
      </c>
      <c r="UU4" s="20">
        <f>METER!UV18</f>
        <v>1614.9089999998687</v>
      </c>
      <c r="UV4" s="20">
        <f>METER!UW18</f>
        <v>1724.1419999999925</v>
      </c>
      <c r="UW4" s="20">
        <f>METER!UX18</f>
        <v>1889.8820000000997</v>
      </c>
      <c r="UX4" s="127">
        <f>SUM(TS4:UW4)</f>
        <v>53102.480000000098</v>
      </c>
      <c r="UY4" s="20">
        <f>METER!UZ18</f>
        <v>1946.0080000000307</v>
      </c>
      <c r="UZ4" s="20">
        <f>METER!VA18</f>
        <v>1672.0379999999423</v>
      </c>
      <c r="VA4" s="20">
        <f>METER!VB18</f>
        <v>1948.6829999999609</v>
      </c>
      <c r="VB4" s="20">
        <f>METER!VC18</f>
        <v>1589.5559999999823</v>
      </c>
      <c r="VC4" s="20">
        <f>METER!VD18</f>
        <v>1808.3940000000875</v>
      </c>
      <c r="VD4" s="20">
        <f>METER!VE18</f>
        <v>1768.030999999959</v>
      </c>
      <c r="VE4" s="20">
        <f>METER!VF18</f>
        <v>1839.905999999959</v>
      </c>
      <c r="VF4" s="20">
        <f>METER!VG18</f>
        <v>1760.939000000013</v>
      </c>
      <c r="VG4" s="20">
        <f>METER!VH18</f>
        <v>1635.2670000000508</v>
      </c>
      <c r="VH4" s="20">
        <f>METER!VI18</f>
        <v>1736.6339999999036</v>
      </c>
      <c r="VI4" s="20">
        <f>METER!VJ18</f>
        <v>1554.0409999999683</v>
      </c>
      <c r="VJ4" s="20">
        <f>METER!VK18</f>
        <v>1658.1520000000601</v>
      </c>
      <c r="VK4" s="20">
        <f>METER!VL18</f>
        <v>1658.9310000001569</v>
      </c>
      <c r="VL4" s="20">
        <f>METER!VM18</f>
        <v>2338.5179999998072</v>
      </c>
      <c r="VM4" s="20">
        <f>METER!VN18</f>
        <v>1411.9130000001751</v>
      </c>
      <c r="VN4" s="20">
        <f>METER!VO18</f>
        <v>1946.9229999996605</v>
      </c>
      <c r="VO4" s="20">
        <f>METER!VP18</f>
        <v>1866.7540000002189</v>
      </c>
      <c r="VP4" s="20">
        <f>METER!VQ18</f>
        <v>1636.2119999999413</v>
      </c>
      <c r="VQ4" s="20">
        <f>METER!VR18</f>
        <v>1670.5909999999567</v>
      </c>
      <c r="VR4" s="20">
        <f>METER!VS18</f>
        <v>1670.2100000001374</v>
      </c>
      <c r="VS4" s="20">
        <f>METER!VT18</f>
        <v>1679.9019999999437</v>
      </c>
      <c r="VT4" s="20">
        <f>METER!VU18</f>
        <v>2010.1099999999278</v>
      </c>
      <c r="VU4" s="20">
        <f>METER!VV18</f>
        <v>1532.975999999966</v>
      </c>
      <c r="VV4" s="20">
        <f>METER!VW18</f>
        <v>1641.7560000001686</v>
      </c>
      <c r="VW4" s="20">
        <f>METER!VX18</f>
        <v>1675.7359999999171</v>
      </c>
      <c r="VX4" s="20">
        <f>METER!VY18</f>
        <v>1561.8079999999609</v>
      </c>
      <c r="VY4" s="20">
        <f>METER!VZ18</f>
        <v>1863.8329999999842</v>
      </c>
      <c r="VZ4" s="20">
        <f>METER!WA18</f>
        <v>1638.2710000001243</v>
      </c>
      <c r="WA4" s="127">
        <f>SUM(UY4:VZ4)</f>
        <v>48722.092999999964</v>
      </c>
      <c r="WB4" s="20">
        <f>METER!WC18</f>
        <v>1858.3310000000056</v>
      </c>
      <c r="WC4" s="20">
        <f>METER!WD18</f>
        <v>1490.5630000000237</v>
      </c>
      <c r="WD4" s="20">
        <f>METER!WE18</f>
        <v>1697.769999999844</v>
      </c>
      <c r="WE4" s="20">
        <f>METER!WF18</f>
        <v>1507.2920000002487</v>
      </c>
      <c r="WF4" s="20">
        <f>METER!WG18</f>
        <v>1342.3209999998799</v>
      </c>
      <c r="WG4" s="20">
        <f>METER!WH18</f>
        <v>1623.9980000001378</v>
      </c>
      <c r="WH4" s="20">
        <f>METER!WI18</f>
        <v>1698.6249999997672</v>
      </c>
      <c r="WI4" s="20">
        <f>METER!WJ18</f>
        <v>1523.3960000000661</v>
      </c>
      <c r="WJ4" s="20">
        <f>METER!WK18</f>
        <v>1598.8630000000703</v>
      </c>
      <c r="WK4" s="20">
        <f>METER!WL18</f>
        <v>1801.39300000004</v>
      </c>
      <c r="WL4" s="20">
        <f>METER!WM18</f>
        <v>1860.9370000001509</v>
      </c>
      <c r="WM4" s="20">
        <f>METER!WN18</f>
        <v>1437.5380000000005</v>
      </c>
      <c r="WN4" s="20">
        <f>METER!WO18</f>
        <v>1456.49099999998</v>
      </c>
      <c r="WO4" s="20">
        <f>METER!WP18</f>
        <v>1699.8959999997169</v>
      </c>
      <c r="WP4" s="20">
        <f>METER!WQ18</f>
        <v>1906.3979999999283</v>
      </c>
      <c r="WQ4" s="20">
        <f>METER!WR18</f>
        <v>1401.0950000000303</v>
      </c>
      <c r="WR4" s="20">
        <f>METER!WS18</f>
        <v>1423.5599999999977</v>
      </c>
      <c r="WS4" s="20">
        <f>METER!WT18</f>
        <v>1489.9049999999115</v>
      </c>
      <c r="WT4" s="20">
        <f>METER!WU18</f>
        <v>1627.8340000003227</v>
      </c>
      <c r="WU4" s="20">
        <f>METER!WV18</f>
        <v>1537.9129999998841</v>
      </c>
      <c r="WV4" s="20">
        <f>METER!WW18</f>
        <v>1545.9949999999371</v>
      </c>
      <c r="WW4" s="20">
        <f>METER!WX18</f>
        <v>1818.7750000000233</v>
      </c>
      <c r="WX4" s="20">
        <f>METER!WY18</f>
        <v>1681.4139999999315</v>
      </c>
      <c r="WY4" s="20">
        <f>METER!WZ18</f>
        <v>1708.1340000001364</v>
      </c>
      <c r="WZ4" s="20">
        <f>METER!XA18</f>
        <v>1547.2270000000717</v>
      </c>
      <c r="XA4" s="20">
        <f>METER!XB18</f>
        <v>1529.2679999999818</v>
      </c>
      <c r="XB4" s="20">
        <f>METER!XC18</f>
        <v>1871.7970000000787</v>
      </c>
      <c r="XC4" s="20">
        <f>METER!XD18</f>
        <v>2079.9039999998058</v>
      </c>
      <c r="XD4" s="20">
        <f>METER!XE18</f>
        <v>2021.9689999999828</v>
      </c>
      <c r="XE4" s="20">
        <f>METER!XF18</f>
        <v>1703.8580000001821</v>
      </c>
      <c r="XF4" s="20">
        <f>METER!XG18</f>
        <v>1341.5449999999255</v>
      </c>
      <c r="XG4" s="127">
        <f>SUM(WB4:XF4)</f>
        <v>50834.005000000063</v>
      </c>
      <c r="XH4" s="20">
        <f>METER!XI18</f>
        <v>1692.2409999998054</v>
      </c>
      <c r="XI4" s="20">
        <f>METER!XJ18</f>
        <v>1506.2030000000377</v>
      </c>
      <c r="XJ4" s="20">
        <f>METER!XK18</f>
        <v>1711.5090000000782</v>
      </c>
      <c r="XK4" s="20">
        <f>METER!XL18</f>
        <v>1680.3559999999707</v>
      </c>
      <c r="XL4" s="20">
        <f>METER!XM18</f>
        <v>1820.1860000001034</v>
      </c>
      <c r="XM4" s="20">
        <f>METER!XN18</f>
        <v>1590.1610000000801</v>
      </c>
      <c r="XN4" s="20">
        <f>METER!XO18</f>
        <v>1904.0979999997653</v>
      </c>
      <c r="XO4" s="20">
        <f>METER!XP18</f>
        <v>1588.1199999999953</v>
      </c>
      <c r="XP4" s="20">
        <f>METER!XQ18</f>
        <v>1520.6850000001141</v>
      </c>
      <c r="XQ4" s="20">
        <f>METER!XR18</f>
        <v>1763.6979999999749</v>
      </c>
      <c r="XR4" s="20">
        <f>METER!XS18</f>
        <v>1899.9039999999804</v>
      </c>
      <c r="XS4" s="20">
        <f>METER!XT18</f>
        <v>1826.386000000115</v>
      </c>
      <c r="XT4" s="20">
        <f>METER!XU18</f>
        <v>1692.4009999998379</v>
      </c>
      <c r="XU4" s="20">
        <f>METER!XV18</f>
        <v>1598.5230000000447</v>
      </c>
      <c r="XV4" s="20">
        <f>METER!XW18</f>
        <v>1693.7560000001104</v>
      </c>
      <c r="XW4" s="20">
        <f>METER!XX18</f>
        <v>1913.1249999997672</v>
      </c>
      <c r="XX4" s="20">
        <f>METER!XY18</f>
        <v>1796.4920000001439</v>
      </c>
      <c r="XY4" s="20">
        <f>METER!XZ18</f>
        <v>1646.5489999999409</v>
      </c>
      <c r="XZ4" s="20">
        <f>METER!YA18</f>
        <v>2097.1949999999488</v>
      </c>
      <c r="YA4" s="20">
        <f>METER!YB18</f>
        <v>1299.4640000001527</v>
      </c>
      <c r="YB4" s="20">
        <f>METER!YC18</f>
        <v>1657.9019999998854</v>
      </c>
      <c r="YC4" s="20">
        <f>METER!YD18</f>
        <v>1626.0690000000759</v>
      </c>
      <c r="YD4" s="20">
        <f>METER!YE18</f>
        <v>1460.0790000002016</v>
      </c>
      <c r="YE4" s="20">
        <f>METER!YF18</f>
        <v>1800.1049999997485</v>
      </c>
      <c r="YF4" s="20">
        <f>METER!YG18</f>
        <v>1998.8780000000261</v>
      </c>
      <c r="YG4" s="20">
        <f>METER!YH18</f>
        <v>1835.5479999998934</v>
      </c>
      <c r="YH4" s="20">
        <f>METER!YI18</f>
        <v>1678.8930000002147</v>
      </c>
      <c r="YI4" s="20">
        <f>METER!YJ18</f>
        <v>1550.3559999997378</v>
      </c>
      <c r="YJ4" s="20">
        <f>METER!YK18</f>
        <v>1664.5949999999721</v>
      </c>
      <c r="YK4" s="20">
        <f>METER!YL18</f>
        <v>1649.1830000002519</v>
      </c>
      <c r="YL4" s="127">
        <f>SUM(XH4:YK4)</f>
        <v>51162.659999999974</v>
      </c>
      <c r="YM4" s="20">
        <f>METER!YN18</f>
        <v>1616.1609999999055</v>
      </c>
      <c r="YN4" s="20">
        <f>METER!YO18</f>
        <v>2148.1169999999693</v>
      </c>
      <c r="YO4" s="20">
        <f>METER!YP18</f>
        <v>1845.8790000000736</v>
      </c>
      <c r="YP4" s="20">
        <f>METER!YQ18</f>
        <v>2019.9130000000005</v>
      </c>
      <c r="YQ4" s="20">
        <f>METER!YR18</f>
        <v>2277.8149999998277</v>
      </c>
      <c r="YR4" s="20">
        <f>METER!YS18</f>
        <v>2105.6240000000689</v>
      </c>
      <c r="YS4" s="20">
        <f>METER!YT18</f>
        <v>1506.4140000002226</v>
      </c>
      <c r="YT4" s="20">
        <f>METER!YU18</f>
        <v>0</v>
      </c>
      <c r="YU4" s="20">
        <f>METER!YV18</f>
        <v>1219.4219999999623</v>
      </c>
      <c r="YV4" s="20">
        <f>METER!YW18</f>
        <v>1929.8150000000023</v>
      </c>
      <c r="YW4" s="20">
        <f>METER!YX18</f>
        <v>1330.7189999998664</v>
      </c>
      <c r="YX4" s="20">
        <f>METER!YY18</f>
        <v>1839.5610000000452</v>
      </c>
      <c r="YY4" s="20">
        <f>METER!YZ18</f>
        <v>1434.5270000000601</v>
      </c>
      <c r="YZ4" s="20">
        <f>METER!ZA18</f>
        <v>1625.2979999999516</v>
      </c>
      <c r="ZA4" s="20">
        <f>METER!ZB18</f>
        <v>1678.1989999999059</v>
      </c>
      <c r="ZB4" s="20">
        <f>METER!ZC18</f>
        <v>1619.978000000061</v>
      </c>
      <c r="ZC4" s="20">
        <f>METER!ZD18</f>
        <v>1863.4360000000452</v>
      </c>
      <c r="ZD4" s="20">
        <f>METER!ZE18</f>
        <v>1814.9360000000452</v>
      </c>
      <c r="ZE4" s="20">
        <f>METER!ZF18</f>
        <v>1954.1760000000359</v>
      </c>
      <c r="ZF4" s="20">
        <f>METER!ZG18</f>
        <v>1807.128999999899</v>
      </c>
      <c r="ZG4" s="20">
        <f>METER!ZH18</f>
        <v>1706.2339999998803</v>
      </c>
      <c r="ZH4" s="20">
        <f>METER!ZI18</f>
        <v>1786.024000000034</v>
      </c>
      <c r="ZI4" s="20">
        <f>METER!ZJ18</f>
        <v>2210.6350000000675</v>
      </c>
      <c r="ZJ4" s="20">
        <f>METER!ZK18</f>
        <v>2536.7269999999553</v>
      </c>
      <c r="ZK4" s="20">
        <f>METER!ZL18</f>
        <v>2154.2029999998631</v>
      </c>
      <c r="ZL4" s="20">
        <f>METER!ZM18</f>
        <v>2091.8040000001201</v>
      </c>
      <c r="ZM4" s="20">
        <f>METER!ZN18</f>
        <v>1778.1150000001071</v>
      </c>
      <c r="ZN4" s="20">
        <f>METER!ZO18</f>
        <v>2067.75</v>
      </c>
      <c r="ZO4" s="20">
        <f>METER!ZP18</f>
        <v>1811.1780000000144</v>
      </c>
      <c r="ZP4" s="20">
        <f>METER!ZQ18</f>
        <v>1956.3830000000889</v>
      </c>
      <c r="ZQ4" s="20">
        <f>METER!ZR18</f>
        <v>2094.5599999999977</v>
      </c>
      <c r="ZR4" s="127">
        <f>SUM(YM4:ZQ4)</f>
        <v>55830.732000000076</v>
      </c>
      <c r="ZS4" s="20">
        <f>METER!ZT18</f>
        <v>1865.0989999999292</v>
      </c>
      <c r="ZT4" s="20">
        <f>METER!ZU18</f>
        <v>1836.0799999998417</v>
      </c>
      <c r="ZU4" s="20">
        <f>METER!ZV18</f>
        <v>2005.3750000000582</v>
      </c>
      <c r="ZV4" s="20">
        <f>METER!ZW18</f>
        <v>1910.0080000000307</v>
      </c>
      <c r="ZW4" s="20">
        <f>METER!ZX18</f>
        <v>2212.2810000001336</v>
      </c>
      <c r="ZX4" s="20">
        <f>METER!ZY18</f>
        <v>1963.1799999998184</v>
      </c>
      <c r="ZY4" s="20">
        <f>METER!ZZ18</f>
        <v>1978.6169999999693</v>
      </c>
      <c r="ZZ4" s="20">
        <f>METER!AAA18</f>
        <v>1939.7380000003031</v>
      </c>
      <c r="AAA4" s="20">
        <f>METER!AAB18</f>
        <v>1745.2639999997336</v>
      </c>
      <c r="AAB4" s="20">
        <f>METER!AAC18</f>
        <v>1887.3520000000717</v>
      </c>
      <c r="AAC4" s="20">
        <f>METER!AAD18</f>
        <v>1711.8620000000228</v>
      </c>
      <c r="AAD4" s="20">
        <f>METER!AAE18</f>
        <v>1643.5100000000675</v>
      </c>
      <c r="AAE4" s="20">
        <f>METER!AAF18</f>
        <v>2240.4919999997364</v>
      </c>
      <c r="AAF4" s="20">
        <f>METER!AAG18</f>
        <v>2257.6790000002366</v>
      </c>
      <c r="AAG4" s="20">
        <f>METER!AAH18</f>
        <v>2004.5559999998659</v>
      </c>
      <c r="AAH4" s="20">
        <f>METER!AAI18</f>
        <v>1909.1040000001667</v>
      </c>
      <c r="AAI4" s="20">
        <f>METER!AAJ18</f>
        <v>1940.7549999997718</v>
      </c>
      <c r="AAJ4" s="20">
        <f>METER!AAK18</f>
        <v>1862.7230000002892</v>
      </c>
      <c r="AAK4" s="20">
        <f>METER!AAL18</f>
        <v>2062.4919999997364</v>
      </c>
      <c r="AAL4" s="20">
        <f>METER!AAM18</f>
        <v>1964.144000000204</v>
      </c>
      <c r="AAM4" s="20">
        <f>METER!AAN18</f>
        <v>2180.9720000000088</v>
      </c>
      <c r="AAN4" s="20">
        <f>METER!AAO18</f>
        <v>1641.8499999999185</v>
      </c>
      <c r="AAO4" s="20">
        <f>METER!AAP18</f>
        <v>1920.2529999997932</v>
      </c>
      <c r="AAP4" s="20">
        <f>METER!AAQ18</f>
        <v>1772.7320000000182</v>
      </c>
      <c r="AAQ4" s="20">
        <f>METER!AAR18</f>
        <v>1964.2879999999423</v>
      </c>
      <c r="AAR4" s="20">
        <f>METER!AAS18</f>
        <v>1914.6890000001877</v>
      </c>
      <c r="AAS4" s="20">
        <f>METER!AAT18</f>
        <v>2074.1969999999856</v>
      </c>
      <c r="AAT4" s="20">
        <f>METER!AAU18</f>
        <v>2266.3080000000191</v>
      </c>
      <c r="AAU4" s="20">
        <f>METER!AAV18</f>
        <v>1800.1040000003413</v>
      </c>
      <c r="AAV4" s="20">
        <f>METER!AAW18</f>
        <v>1871.7499999997672</v>
      </c>
      <c r="AAW4" s="127">
        <f>SUM(ZS4:AAV4)</f>
        <v>58347.453999999969</v>
      </c>
      <c r="AAX4" s="20">
        <f>METER!AAY18</f>
        <v>1988.5240000000922</v>
      </c>
      <c r="AAY4" s="20">
        <f>METER!AAZ18</f>
        <v>1730.1829999999609</v>
      </c>
      <c r="AAZ4" s="20">
        <f>METER!ABA18</f>
        <v>1793.723999999871</v>
      </c>
      <c r="ABA4" s="20">
        <f>METER!ABB18</f>
        <v>2018.6749999999884</v>
      </c>
      <c r="ABB4" s="20">
        <f>METER!ABC18</f>
        <v>2648.5220000001136</v>
      </c>
      <c r="ABC4" s="20">
        <f>METER!ABD18</f>
        <v>2104.4649999999092</v>
      </c>
      <c r="ABD4" s="20">
        <f>METER!ABE18</f>
        <v>1824.5999999999767</v>
      </c>
      <c r="ABE4" s="20">
        <f>METER!ABF18</f>
        <v>2053.2250000000349</v>
      </c>
      <c r="ABF4" s="20">
        <f>METER!ABG18</f>
        <v>1908.3759999998729</v>
      </c>
      <c r="ABG4" s="20">
        <f>METER!ABH18</f>
        <v>1877.5170000002254</v>
      </c>
      <c r="ABH4" s="20">
        <f>METER!ABI18</f>
        <v>1976.3429999997607</v>
      </c>
      <c r="ABI4" s="20">
        <f>METER!ABJ18</f>
        <v>1191.0789999999106</v>
      </c>
      <c r="ABJ4" s="20">
        <f>METER!ABK18</f>
        <v>2024.9700000001467</v>
      </c>
      <c r="ABK4" s="20">
        <f>METER!ABL18</f>
        <v>1791.4649999999674</v>
      </c>
      <c r="ABL4" s="20">
        <f>METER!ABM18</f>
        <v>1920.7970000001369</v>
      </c>
      <c r="ABM4" s="20">
        <f>METER!ABN18</f>
        <v>1877.0729999998002</v>
      </c>
      <c r="ABN4" s="20">
        <f>METER!ABO18</f>
        <v>1988.4820000001346</v>
      </c>
      <c r="ABO4" s="20">
        <f>METER!ABP18</f>
        <v>2087.2250000000349</v>
      </c>
      <c r="ABP4" s="20">
        <f>METER!ABQ18</f>
        <v>1904.5940000000992</v>
      </c>
      <c r="ABQ4" s="20">
        <f>METER!ABR18</f>
        <v>2019.6569999998319</v>
      </c>
      <c r="ABR4" s="20">
        <f>METER!ABS18</f>
        <v>1896.4790000001667</v>
      </c>
      <c r="ABS4" s="20">
        <f>METER!ABT18</f>
        <v>1849.2929999997723</v>
      </c>
      <c r="ABT4" s="20">
        <f>METER!ABU18</f>
        <v>2032.5780000000959</v>
      </c>
      <c r="ABU4" s="20">
        <f>METER!ABV18</f>
        <v>2025.8030000000726</v>
      </c>
      <c r="ABV4" s="20">
        <f>METER!ABW18</f>
        <v>2399.7039999997987</v>
      </c>
      <c r="ABW4" s="20">
        <f>METER!ABX18</f>
        <v>2166.9360000003362</v>
      </c>
      <c r="ABX4" s="20">
        <f>METER!ABY18</f>
        <v>1904.0869999997667</v>
      </c>
      <c r="ABY4" s="20">
        <f>METER!ABZ18</f>
        <v>1995.1049999999814</v>
      </c>
      <c r="ABZ4" s="20">
        <f>METER!ACA18</f>
        <v>1779.3199999998906</v>
      </c>
      <c r="ACA4" s="20">
        <f>METER!ACB18</f>
        <v>1782.9020000002347</v>
      </c>
      <c r="ACB4" s="20">
        <f>METER!ACC18</f>
        <v>1988.3319999999367</v>
      </c>
      <c r="ACC4" s="127">
        <f>SUM(AAX4:ACB4)</f>
        <v>60550.034999999923</v>
      </c>
      <c r="ACD4" s="20">
        <f>METER!ACE18</f>
        <v>1953.9670000000624</v>
      </c>
      <c r="ACE4" s="20">
        <f>METER!ACF18</f>
        <v>2386.9700000000303</v>
      </c>
      <c r="ACF4" s="20">
        <f>METER!ACG18</f>
        <v>2115.6889999998966</v>
      </c>
      <c r="ACG4" s="20">
        <f>METER!ACH18</f>
        <v>2127.7360000000335</v>
      </c>
      <c r="ACH4" s="20">
        <f>METER!ACI18</f>
        <v>2285.0239999999758</v>
      </c>
      <c r="ACI4" s="20">
        <f>METER!ACJ18</f>
        <v>1635.4900000001071</v>
      </c>
      <c r="ACJ4" s="20">
        <f>METER!ACK18</f>
        <v>1930.3510000000824</v>
      </c>
      <c r="ACK4" s="20">
        <f>METER!ACL18</f>
        <v>2049.7789999997476</v>
      </c>
      <c r="ACL4" s="20">
        <f>METER!ACM18</f>
        <v>1822.767000000109</v>
      </c>
      <c r="ACM4" s="20">
        <f>METER!ACN18</f>
        <v>1662.9329999998445</v>
      </c>
      <c r="ACN4" s="20">
        <f>METER!ACO18</f>
        <v>2228.4670000001788</v>
      </c>
      <c r="ACO4" s="20">
        <f>METER!ACP18</f>
        <v>1546.0629999998491</v>
      </c>
      <c r="ACP4" s="20">
        <f>METER!ACQ18</f>
        <v>1595.7790000000969</v>
      </c>
      <c r="ACQ4" s="20">
        <f>METER!ACR18</f>
        <v>1854.4519999999902</v>
      </c>
      <c r="ACR4" s="20">
        <f>METER!ACS18</f>
        <v>2094.6779999999562</v>
      </c>
      <c r="ACS4" s="20">
        <f>METER!ACT18</f>
        <v>1662.0799999999581</v>
      </c>
      <c r="ACT4" s="20">
        <f>METER!ACU18</f>
        <v>1822.5410000002012</v>
      </c>
      <c r="ACU4" s="20">
        <f>METER!ACV18</f>
        <v>1869.5569999999134</v>
      </c>
      <c r="ACV4" s="20">
        <f>METER!ACW18</f>
        <v>1371.5480000000098</v>
      </c>
      <c r="ACW4" s="20">
        <f>METER!ACX18</f>
        <v>1522.0469999999623</v>
      </c>
      <c r="ACX4" s="20">
        <f>METER!ACY18</f>
        <v>1749.3629999998375</v>
      </c>
      <c r="ACY4" s="20">
        <f>METER!ACZ18</f>
        <v>2015.5920000000624</v>
      </c>
      <c r="ACZ4" s="20">
        <f>METER!ADA18</f>
        <v>1804.4480000000913</v>
      </c>
      <c r="ADA4" s="20">
        <f>METER!ADB18</f>
        <v>1532.3190000000759</v>
      </c>
      <c r="ADB4" s="20">
        <f>METER!ADC18</f>
        <v>1394.3820000000997</v>
      </c>
      <c r="ADC4" s="20">
        <f>METER!ADD18</f>
        <v>1698.6549999998533</v>
      </c>
      <c r="ADD4" s="20">
        <f>METER!ADE18</f>
        <v>1783.6680000000051</v>
      </c>
      <c r="ADE4" s="20">
        <f>METER!ADF18</f>
        <v>1438.0650000001187</v>
      </c>
      <c r="ADF4" s="20">
        <f>METER!ADG18</f>
        <v>1911.0619999998598</v>
      </c>
      <c r="ADG4" s="20">
        <f>METER!ADH18</f>
        <v>1924.0450000000419</v>
      </c>
      <c r="ADH4" s="20">
        <f>METER!ADI18</f>
        <v>1625.4469999999274</v>
      </c>
      <c r="ADI4" s="127">
        <f>SUM(ACD4:ADH4)</f>
        <v>56414.963999999978</v>
      </c>
      <c r="ADJ4" s="20">
        <f>METER!ADK18</f>
        <v>1653.5039999999572</v>
      </c>
      <c r="ADK4" s="20">
        <f>METER!ADL18</f>
        <v>1537.3820000000997</v>
      </c>
      <c r="ADL4" s="20">
        <f>METER!ADM18</f>
        <v>1398.155999999959</v>
      </c>
      <c r="ADM4" s="20">
        <f>METER!ADN18</f>
        <v>1820.4850000000442</v>
      </c>
      <c r="ADN4" s="20">
        <f>METER!ADO18</f>
        <v>1760.3299999998999</v>
      </c>
      <c r="ADO4" s="20">
        <f>METER!ADP18</f>
        <v>1975.5430000001797</v>
      </c>
      <c r="ADP4" s="20">
        <f>METER!ADQ18</f>
        <v>1738.3680000000168</v>
      </c>
      <c r="ADQ4" s="20">
        <f>METER!ADR18</f>
        <v>1713.75499999983</v>
      </c>
      <c r="ADR4" s="20">
        <f>METER!ADS18</f>
        <v>1513.8320000000531</v>
      </c>
      <c r="ADS4" s="20">
        <f>METER!ADT18</f>
        <v>1380.710999999952</v>
      </c>
      <c r="ADT4" s="20">
        <f>METER!ADU18</f>
        <v>1577.3600000000442</v>
      </c>
      <c r="ADU4" s="20">
        <f>METER!ADV18</f>
        <v>1705.4050000002026</v>
      </c>
      <c r="ADV4" s="20">
        <f>METER!ADW18</f>
        <v>1869.6599999996834</v>
      </c>
      <c r="ADW4" s="20">
        <f>METER!ADX18</f>
        <v>1551.8129999999655</v>
      </c>
      <c r="ADX4" s="20">
        <f>METER!ADY18</f>
        <v>1749.2879999999423</v>
      </c>
      <c r="ADY4" s="20">
        <f>METER!ADZ18</f>
        <v>1503.4570000003441</v>
      </c>
      <c r="ADZ4" s="20">
        <f>METER!AEA18</f>
        <v>1265.4729999998817</v>
      </c>
      <c r="AEA4" s="20">
        <f>METER!AEB18</f>
        <v>1627.4379999999073</v>
      </c>
      <c r="AEB4" s="20">
        <f>METER!AEC18</f>
        <v>1441.3650000001653</v>
      </c>
      <c r="AEC4" s="20">
        <f>METER!AED18</f>
        <v>1446.7639999997918</v>
      </c>
      <c r="AED4" s="20">
        <f>METER!AEE18</f>
        <v>1511.9390000001295</v>
      </c>
      <c r="AEE4" s="20">
        <f>METER!AEF18</f>
        <v>1602.5719999999828</v>
      </c>
      <c r="AEF4" s="20">
        <f>METER!AEG18</f>
        <v>1560.4409999999334</v>
      </c>
      <c r="AEG4" s="20">
        <f>METER!AEH18</f>
        <v>1460.1000000000349</v>
      </c>
      <c r="AEH4" s="20">
        <f>METER!AEI18</f>
        <v>1550.4130000001169</v>
      </c>
      <c r="AEI4" s="20">
        <f>METER!AEJ18</f>
        <v>1811.5279999999912</v>
      </c>
      <c r="AEJ4" s="20">
        <f>METER!AEK18</f>
        <v>1657.6899999998859</v>
      </c>
      <c r="AEK4" s="20">
        <f>METER!AEL18</f>
        <v>1584.6990000000806</v>
      </c>
      <c r="AEL4" s="20">
        <f>METER!AEM18</f>
        <v>1863.414000000048</v>
      </c>
      <c r="AEM4" s="20">
        <f>METER!AEN18</f>
        <v>1449.3929999998072</v>
      </c>
      <c r="AEN4" s="127">
        <f>SUM(ADJ4:AEM4)</f>
        <v>48282.277999999933</v>
      </c>
      <c r="AEO4" s="20">
        <f>METER!AEP18</f>
        <v>1414.0800000001327</v>
      </c>
      <c r="AEP4" s="20">
        <f>METER!AEQ18</f>
        <v>1511.4299999998766</v>
      </c>
      <c r="AEQ4" s="20">
        <f>METER!AER18</f>
        <v>1717.2049999999581</v>
      </c>
      <c r="AER4" s="20">
        <f>METER!AES18</f>
        <v>1832.7470000001485</v>
      </c>
      <c r="AES4" s="20">
        <f>METER!AET18</f>
        <v>1543.0910000000149</v>
      </c>
      <c r="AET4" s="20">
        <f>METER!AEU18</f>
        <v>1744.1169999999111</v>
      </c>
      <c r="AEU4" s="20">
        <f>METER!AEV18</f>
        <v>1488.4690000000992</v>
      </c>
      <c r="AEV4" s="20">
        <f>METER!AEW18</f>
        <v>1576.2820000000647</v>
      </c>
      <c r="AEW4" s="20">
        <f>METER!AEX18</f>
        <v>1749.3989999999176</v>
      </c>
      <c r="AEX4" s="20">
        <f>METER!AEY18</f>
        <v>1987.23199999996</v>
      </c>
      <c r="AEY4" s="20">
        <f>METER!AEZ18</f>
        <v>1675.5830000000424</v>
      </c>
      <c r="AEZ4" s="20">
        <f>METER!AFA18</f>
        <v>1564.1289999999572</v>
      </c>
      <c r="AFA4" s="20">
        <f>METER!AFB18</f>
        <v>1564.1990000000224</v>
      </c>
      <c r="AFB4" s="20">
        <f>METER!AFC18</f>
        <v>1607.6819999999716</v>
      </c>
      <c r="AFC4" s="20">
        <f>METER!AFD18</f>
        <v>1672.7430000001332</v>
      </c>
      <c r="AFD4" s="20">
        <f>METER!AFE18</f>
        <v>1666.6790000000037</v>
      </c>
      <c r="AFE4" s="20">
        <f>METER!AFF18</f>
        <v>1486.9159999999683</v>
      </c>
      <c r="AFF4" s="20">
        <f>METER!AFG18</f>
        <v>1662.7000000000116</v>
      </c>
      <c r="AFG4" s="20">
        <f>METER!AFH18</f>
        <v>1575.5620000000927</v>
      </c>
      <c r="AFH4" s="20">
        <f>METER!AFI18</f>
        <v>1515.6799999998184</v>
      </c>
      <c r="AFI4" s="20">
        <f>METER!AFJ18</f>
        <v>1726.6690000001108</v>
      </c>
      <c r="AFJ4" s="20">
        <f>METER!AFK18</f>
        <v>1524.9339999997173</v>
      </c>
      <c r="AFK4" s="20">
        <f>METER!AFL18</f>
        <v>1423.873000000196</v>
      </c>
      <c r="AFL4" s="20">
        <f>METER!AFM18</f>
        <v>1724.3009999999776</v>
      </c>
      <c r="AFM4" s="20">
        <f>METER!AFN18</f>
        <v>2019.545999999973</v>
      </c>
      <c r="AFN4" s="20">
        <f>METER!AFO18</f>
        <v>1699.8269999998738</v>
      </c>
      <c r="AFO4" s="20">
        <f>METER!AFP18</f>
        <v>1594.0169999999925</v>
      </c>
      <c r="AFP4" s="20">
        <f>METER!AFQ18</f>
        <v>1547.0380000002915</v>
      </c>
      <c r="AFQ4" s="20">
        <f>METER!AFR18</f>
        <v>1421.3029999996652</v>
      </c>
      <c r="AFR4" s="20">
        <f>METER!AFS18</f>
        <v>1551.8060000002733</v>
      </c>
      <c r="AFS4" s="20">
        <f>METER!AFT18</f>
        <v>1787.210000000021</v>
      </c>
      <c r="AFT4" s="127">
        <f>SUM(AEO4:AFS4)</f>
        <v>50576.449000000197</v>
      </c>
      <c r="AFU4" s="20">
        <f>METER!AFV18</f>
        <v>1788.0129999998608</v>
      </c>
      <c r="AFV4" s="20">
        <f>METER!AFW18</f>
        <v>1773.5330000001122</v>
      </c>
      <c r="AFW4" s="20">
        <f>METER!AFX18</f>
        <v>1634.6480000000447</v>
      </c>
      <c r="AFX4" s="20">
        <f>METER!AFY18</f>
        <v>1639.534999999858</v>
      </c>
      <c r="AFY4" s="20">
        <f>METER!AFZ18</f>
        <v>1747.0619999998016</v>
      </c>
      <c r="AFZ4" s="20">
        <f>METER!AGA18</f>
        <v>1694.2430000003078</v>
      </c>
      <c r="AGA4" s="20">
        <f>METER!AGB18</f>
        <v>1784.1099999998114</v>
      </c>
      <c r="AGB4" s="20">
        <f>METER!AGC18</f>
        <v>1441.2120000001742</v>
      </c>
      <c r="AGC4" s="20">
        <f>METER!AGD18</f>
        <v>1869.2049999997835</v>
      </c>
      <c r="AGD4" s="20">
        <f>METER!AGE18</f>
        <v>1786.4410000001662</v>
      </c>
      <c r="AGE4" s="20">
        <f>METER!AGF18</f>
        <v>1615.564000000013</v>
      </c>
      <c r="AGF4" s="20">
        <f>METER!AGG18</f>
        <v>1338.1289999999572</v>
      </c>
      <c r="AGG4" s="20">
        <f>METER!AGH18</f>
        <v>1567.2889999998733</v>
      </c>
      <c r="AGH4" s="20">
        <f>METER!AGI18</f>
        <v>1633.9820000002203</v>
      </c>
      <c r="AGI4" s="20">
        <f>METER!AGJ18</f>
        <v>1541.5569999999134</v>
      </c>
      <c r="AGJ4" s="20">
        <f>METER!AGK18</f>
        <v>1540.0489999999991</v>
      </c>
      <c r="AGK4" s="20">
        <f>METER!AGL18</f>
        <v>1888.5770000001066</v>
      </c>
      <c r="AGL4" s="20">
        <f>METER!AGM18</f>
        <v>1723.1840000000084</v>
      </c>
      <c r="AGM4" s="20">
        <f>METER!AGN18</f>
        <v>1644.6139999997686</v>
      </c>
      <c r="AGN4" s="20">
        <f>METER!AGO18</f>
        <v>1827.225999999966</v>
      </c>
      <c r="AGO4" s="20">
        <f>METER!AGP18</f>
        <v>1887.6280000002007</v>
      </c>
      <c r="AGP4" s="20">
        <f>METER!AGQ18</f>
        <v>2036.8499999997439</v>
      </c>
      <c r="AGQ4" s="20">
        <f>METER!AGR18</f>
        <v>1527.0450000001583</v>
      </c>
      <c r="AGR4" s="20">
        <f>METER!AGS18</f>
        <v>1624.9870000001974</v>
      </c>
      <c r="AGS4" s="20">
        <f>METER!AGT18</f>
        <v>1895.0689999997267</v>
      </c>
      <c r="AGT4" s="20">
        <f>METER!AGU18</f>
        <v>1652.7930000001215</v>
      </c>
      <c r="AGU4" s="20">
        <f>METER!AGV18</f>
        <v>1804.0810000000056</v>
      </c>
      <c r="AGV4" s="20">
        <f>METER!AGW18</f>
        <v>2122.478000000061</v>
      </c>
      <c r="AGW4" s="20">
        <f>METER!AGX18</f>
        <v>2078.5289999998058</v>
      </c>
      <c r="AGX4" s="20">
        <f>METER!AGY18</f>
        <v>1693.8270000001066</v>
      </c>
      <c r="AGY4" s="127">
        <f>SUM(AFU4:AGX4)</f>
        <v>51801.459999999875</v>
      </c>
      <c r="AGZ4" s="20">
        <f>METER!AHA18</f>
        <v>1855.7019999998738</v>
      </c>
      <c r="AHA4" s="20">
        <f>METER!AHB18</f>
        <v>1762.6859999999288</v>
      </c>
      <c r="AHB4" s="20">
        <f>METER!AHC18</f>
        <v>1549.7120000002324</v>
      </c>
      <c r="AHC4" s="20">
        <f>METER!AHD18</f>
        <v>1981.433999999892</v>
      </c>
      <c r="AHD4" s="20">
        <f>METER!AHE18</f>
        <v>2122.5430000001797</v>
      </c>
      <c r="AHE4" s="20">
        <f>METER!AHF18</f>
        <v>1936.8949999999022</v>
      </c>
      <c r="AHF4" s="20">
        <f>METER!AHG18</f>
        <v>1738.8640000001178</v>
      </c>
      <c r="AHG4" s="20">
        <f>METER!AHH18</f>
        <v>1874.2889999997569</v>
      </c>
      <c r="AHH4" s="20">
        <f>METER!AHI18</f>
        <v>1543.6370000001043</v>
      </c>
      <c r="AHI4" s="20">
        <f>METER!AHJ18</f>
        <v>1810.0720000000438</v>
      </c>
      <c r="AHJ4" s="20">
        <f>METER!AHK18</f>
        <v>2033.381999999925</v>
      </c>
      <c r="AHK4" s="20">
        <f>METER!AHL18</f>
        <v>2028.8789999999572</v>
      </c>
      <c r="AHL4" s="20">
        <f>METER!AHM18</f>
        <v>2092.3769999999786</v>
      </c>
      <c r="AHM4" s="20">
        <f>METER!AHN18</f>
        <v>1759.7630000002682</v>
      </c>
      <c r="AHN4" s="20">
        <f>METER!AHO18</f>
        <v>1794.4319999999134</v>
      </c>
      <c r="AHO4" s="20">
        <f>METER!AHP18</f>
        <v>1701.1089999998221</v>
      </c>
      <c r="AHP4" s="20">
        <f>METER!AHQ18</f>
        <v>1554.7240000002203</v>
      </c>
      <c r="AHQ4" s="20">
        <f>METER!AHR18</f>
        <v>2043.4239999999991</v>
      </c>
      <c r="AHR4" s="20">
        <f>METER!AHS18</f>
        <v>2113.372999999905</v>
      </c>
      <c r="AHS4" s="20">
        <f>METER!AHT18</f>
        <v>1940.8040000000619</v>
      </c>
      <c r="AHT4" s="20">
        <f>METER!AHU18</f>
        <v>1976.743000000075</v>
      </c>
      <c r="AHU4" s="20">
        <f>METER!AHV18</f>
        <v>2111.677999999898</v>
      </c>
      <c r="AHV4" s="20">
        <f>METER!AHW18</f>
        <v>2360.8650000000489</v>
      </c>
      <c r="AHW4" s="20">
        <f>METER!AHX18</f>
        <v>2378.9220000000205</v>
      </c>
      <c r="AHX4" s="20">
        <f>METER!AHY18</f>
        <v>1711.0600000000559</v>
      </c>
      <c r="AHY4" s="20">
        <f>METER!AHZ18</f>
        <v>1715.2690000000293</v>
      </c>
      <c r="AHZ4" s="20">
        <f>METER!AIA18</f>
        <v>1514.5339999996941</v>
      </c>
      <c r="AIA4" s="20">
        <f>METER!AIB18</f>
        <v>1364.0270000001765</v>
      </c>
      <c r="AIB4" s="20">
        <f>METER!AIC18</f>
        <v>1432.6819999999716</v>
      </c>
      <c r="AIC4" s="20">
        <f>METER!AID18</f>
        <v>1671.9069999998901</v>
      </c>
      <c r="AID4" s="20">
        <f>METER!AIE18</f>
        <v>2022.9660000001313</v>
      </c>
      <c r="AIE4" s="127">
        <f>SUM(AGZ4:AID4)</f>
        <v>57498.754000000074</v>
      </c>
      <c r="AIF4" s="20">
        <f>METER!AIG18</f>
        <v>1477.3299999998999</v>
      </c>
      <c r="AIG4" s="20">
        <f>METER!AIH18</f>
        <v>1634.1359999999404</v>
      </c>
      <c r="AIH4" s="20">
        <f>METER!AII18</f>
        <v>1632.5020000002114</v>
      </c>
      <c r="AII4" s="20">
        <f>METER!AIJ18</f>
        <v>1720.3720000000903</v>
      </c>
      <c r="AIJ4" s="20">
        <f>METER!AIK18</f>
        <v>2000.4259999995702</v>
      </c>
      <c r="AIK4" s="20">
        <f>METER!AIL18</f>
        <v>1963.6010000003153</v>
      </c>
      <c r="AIL4" s="20">
        <f>METER!AIM18</f>
        <v>1952.5789999999688</v>
      </c>
      <c r="AIM4" s="20">
        <f>METER!AIN18</f>
        <v>1884.0770000001066</v>
      </c>
      <c r="AIN4" s="20">
        <f>METER!AIO18</f>
        <v>1672.3379999998142</v>
      </c>
      <c r="AIO4" s="20">
        <f>METER!AIP18</f>
        <v>2307.0019999998622</v>
      </c>
      <c r="AIP4" s="20">
        <f>METER!AIQ18</f>
        <v>1874.3760000002803</v>
      </c>
      <c r="AIQ4" s="20">
        <f>METER!AIR18</f>
        <v>1701.434999999823</v>
      </c>
      <c r="AIR4" s="20">
        <f>METER!AIS18</f>
        <v>1871.5509999999776</v>
      </c>
      <c r="AIS4" s="20">
        <f>METER!AIT18</f>
        <v>1769.2200000000885</v>
      </c>
      <c r="AIT4" s="20">
        <f>METER!AIU18</f>
        <v>1090.2360000000917</v>
      </c>
      <c r="AIU4" s="20">
        <f>METER!AIV18</f>
        <v>1530.3800000000629</v>
      </c>
      <c r="AIV4" s="20">
        <f>METER!AIW18</f>
        <v>858.24799999996321</v>
      </c>
      <c r="AIW4" s="20">
        <f>METER!AIX18</f>
        <v>1029.6279999998515</v>
      </c>
      <c r="AIX4" s="20">
        <f>METER!AIY18</f>
        <v>1638.7080000001006</v>
      </c>
      <c r="AIY4" s="20">
        <f>METER!AIZ18</f>
        <v>1643.4249999999302</v>
      </c>
      <c r="AIZ4" s="20">
        <f>METER!AJA18</f>
        <v>1890.3779999999679</v>
      </c>
      <c r="AJA4" s="20">
        <f>METER!AJB18</f>
        <v>1784.7359999999753</v>
      </c>
      <c r="AJB4" s="20">
        <f>METER!AJC18</f>
        <v>1885.3010000001523</v>
      </c>
      <c r="AJC4" s="20">
        <f>METER!AJD18</f>
        <v>1983.4619999998249</v>
      </c>
      <c r="AJD4" s="20">
        <f>METER!AJE18</f>
        <v>1826.6610000000801</v>
      </c>
      <c r="AJE4" s="20">
        <f>METER!AJF18</f>
        <v>1652.5849999998463</v>
      </c>
      <c r="AJF4" s="20">
        <f>METER!AJG18</f>
        <v>1881.7430000001914</v>
      </c>
      <c r="AJG4" s="20">
        <f>METER!AJH18</f>
        <v>1648.0029999998515</v>
      </c>
      <c r="AJH4" s="20">
        <f>METER!AJI18</f>
        <v>1653.2360000001499</v>
      </c>
      <c r="AJI4" s="20">
        <f>METER!AJJ18</f>
        <v>1637.0659999999916</v>
      </c>
      <c r="AJJ4" s="20">
        <f>METER!AJK18</f>
        <v>1678.034999999858</v>
      </c>
      <c r="AJK4" s="127">
        <f>SUM(AIF4:AJJ4)</f>
        <v>52772.775999999838</v>
      </c>
      <c r="AJL4" s="20">
        <f>METER!AJM18</f>
        <v>1444.4250000001048</v>
      </c>
      <c r="AJM4" s="20">
        <f>METER!AJN18</f>
        <v>1739.6950000001816</v>
      </c>
      <c r="AJN4" s="20">
        <f>METER!AJO18</f>
        <v>1894.7479999997886</v>
      </c>
      <c r="AJO4" s="20">
        <f>METER!AJP18</f>
        <v>1706.9740000002785</v>
      </c>
      <c r="AJP4" s="20">
        <f>METER!AJQ18</f>
        <v>1615.0059999999357</v>
      </c>
      <c r="AJQ4" s="20">
        <f>METER!AJR18</f>
        <v>1517.4709999998449</v>
      </c>
      <c r="AJR4" s="20">
        <f>METER!AJS18</f>
        <v>1967.8330000001006</v>
      </c>
      <c r="AJS4" s="20">
        <f>METER!AJT18</f>
        <v>1714.3969999997644</v>
      </c>
      <c r="AJT4" s="20">
        <f>METER!AJU18</f>
        <v>1873.8700000001118</v>
      </c>
      <c r="AJU4" s="20">
        <f>METER!AJV18</f>
        <v>1748.6100000000442</v>
      </c>
      <c r="AJV4" s="20">
        <f>METER!AJW18</f>
        <v>1636.376999999804</v>
      </c>
      <c r="AJW4" s="20">
        <f>METER!AJX18</f>
        <v>1740.0300000000279</v>
      </c>
      <c r="AJX4" s="20">
        <f>METER!AJY18</f>
        <v>1952.7450000000536</v>
      </c>
      <c r="AJY4" s="20">
        <f>METER!AJZ18</f>
        <v>1695.5880000001052</v>
      </c>
      <c r="AJZ4" s="20">
        <f>METER!AKA18</f>
        <v>1635.438000000082</v>
      </c>
      <c r="AKA4" s="20">
        <f>METER!AKB18</f>
        <v>1551.0099999998929</v>
      </c>
      <c r="AKB4" s="20">
        <f>METER!AKC18</f>
        <v>1773.0269999998854</v>
      </c>
      <c r="AKC4" s="20">
        <f>METER!AKD18</f>
        <v>1621.4940000001807</v>
      </c>
      <c r="AKD4" s="20">
        <f>METER!AKE18</f>
        <v>1441.3450000000303</v>
      </c>
      <c r="AKE4" s="20">
        <f>METER!AKF18</f>
        <v>1404.2680000000983</v>
      </c>
      <c r="AKF4" s="20">
        <f>METER!AKG18</f>
        <v>1736.7919999996479</v>
      </c>
      <c r="AKG4" s="20">
        <f>METER!AKH18</f>
        <v>1304.5140000001993</v>
      </c>
      <c r="AKH4" s="20">
        <f>METER!AKI18</f>
        <v>1579.1910000000498</v>
      </c>
      <c r="AKI4" s="20">
        <f>METER!AKJ18</f>
        <v>1517.4469999998109</v>
      </c>
      <c r="AKJ4" s="20">
        <f>METER!AKK18</f>
        <v>1594.9890000002342</v>
      </c>
      <c r="AKK4" s="20">
        <f>METER!AKL18</f>
        <v>1513.3609999999753</v>
      </c>
      <c r="AKL4" s="20">
        <f>METER!AKM18</f>
        <v>1410.0099999997765</v>
      </c>
      <c r="AKM4" s="20">
        <f>METER!AKN18</f>
        <v>1349.0910000000149</v>
      </c>
      <c r="AKN4" s="127">
        <f t="shared" ref="AKN4:AKN48" si="11">SUM(AJL4:AKM4)</f>
        <v>45679.746000000021</v>
      </c>
      <c r="AKO4" s="20">
        <f>METER!AKP18</f>
        <v>1571.7429999999586</v>
      </c>
      <c r="AKP4" s="20">
        <f>METER!AKQ18</f>
        <v>1515.25</v>
      </c>
      <c r="AKQ4" s="20">
        <f>METER!AKR18</f>
        <v>1583.7430000002496</v>
      </c>
      <c r="AKR4" s="20">
        <f>METER!AKS18</f>
        <v>1513.3400000000256</v>
      </c>
      <c r="AKS4" s="20">
        <f>METER!AKT18</f>
        <v>1497.8629999997793</v>
      </c>
      <c r="AKT4" s="20">
        <f>METER!AKU18</f>
        <v>1497.8320000001695</v>
      </c>
      <c r="AKU4" s="20">
        <f>METER!AKV18</f>
        <v>1519.7199999997392</v>
      </c>
      <c r="AKV4" s="20">
        <f>METER!AKW18</f>
        <v>1637.9640000000945</v>
      </c>
      <c r="AKW4" s="20">
        <f>METER!AKX18</f>
        <v>1712.1500000001881</v>
      </c>
      <c r="AKX4" s="20">
        <f>METER!AKY18</f>
        <v>1481.238999999885</v>
      </c>
      <c r="AKY4" s="20">
        <f>METER!AKZ18</f>
        <v>1422.3460000000196</v>
      </c>
      <c r="AKZ4" s="20">
        <f>METER!ALA18</f>
        <v>1567.7879999999423</v>
      </c>
      <c r="ALA4" s="20">
        <f>METER!ALB18</f>
        <v>1748.0610000002198</v>
      </c>
      <c r="ALB4" s="20">
        <f>METER!ALC18</f>
        <v>1981.4879999999539</v>
      </c>
      <c r="ALC4" s="20">
        <f>METER!ALD18</f>
        <v>1624.7899999998044</v>
      </c>
      <c r="ALD4" s="20">
        <f>METER!ALE18</f>
        <v>2192.6900000001187</v>
      </c>
      <c r="ALE4" s="20">
        <f>METER!ALF18</f>
        <v>1858.0160000000033</v>
      </c>
      <c r="ALF4" s="20">
        <f>METER!ALG18</f>
        <v>1473.5899999997928</v>
      </c>
      <c r="ALG4" s="20">
        <f>METER!ALH18</f>
        <v>1932.5190000000875</v>
      </c>
      <c r="ALH4" s="20">
        <f>METER!ALI18</f>
        <v>1667.4760000000824</v>
      </c>
      <c r="ALI4" s="20">
        <f>METER!ALJ18</f>
        <v>1769.8499999999767</v>
      </c>
      <c r="ALJ4" s="20">
        <f>METER!ALK18</f>
        <v>1359.5580000000191</v>
      </c>
      <c r="ALK4" s="20">
        <f>METER!ALL18</f>
        <v>1826.2329999998328</v>
      </c>
      <c r="ALL4" s="20">
        <f>METER!ALM18</f>
        <v>1827.6130000003031</v>
      </c>
      <c r="ALM4" s="20">
        <f>METER!ALN18</f>
        <v>1875.7869999997783</v>
      </c>
      <c r="ALN4" s="20">
        <f>METER!ALO18</f>
        <v>1866.5989999999874</v>
      </c>
      <c r="ALO4" s="20">
        <f>METER!ALP18</f>
        <v>1902.5370000003022</v>
      </c>
      <c r="ALP4" s="20">
        <f>METER!ALQ18</f>
        <v>2125.0419999998994</v>
      </c>
      <c r="ALQ4" s="20">
        <f>METER!ALR18</f>
        <v>2431.1689999999944</v>
      </c>
      <c r="ALR4" s="20">
        <f>METER!ALS18</f>
        <v>2363.1859999998705</v>
      </c>
      <c r="ALS4" s="20">
        <f>METER!ALT18</f>
        <v>1743.7480000000214</v>
      </c>
      <c r="ALT4" s="127">
        <f t="shared" ref="ALT4:ALT48" si="12">SUM(AKO4:ALS4)</f>
        <v>54090.930000000102</v>
      </c>
      <c r="ALU4" s="20">
        <f>METER!ALV18</f>
        <v>2315.4899999999325</v>
      </c>
      <c r="ALV4" s="20">
        <f>METER!ALW18</f>
        <v>1748.5659999999916</v>
      </c>
      <c r="ALW4" s="20">
        <f>METER!ALX18</f>
        <v>1916.2020000000484</v>
      </c>
      <c r="ALX4" s="20">
        <f>METER!ALY18</f>
        <v>1958.804999999993</v>
      </c>
      <c r="ALY4" s="20">
        <f>METER!ALZ18</f>
        <v>1211.2110000001849</v>
      </c>
      <c r="ALZ4" s="20">
        <f>METER!AMA18</f>
        <v>1268.054999999961</v>
      </c>
      <c r="AMA4" s="20">
        <f>METER!AMB18</f>
        <v>2124.1750000001048</v>
      </c>
      <c r="AMB4" s="20">
        <f>METER!AMC18</f>
        <v>1932.1119999996154</v>
      </c>
      <c r="AMC4" s="20">
        <f>METER!AMD18</f>
        <v>2194.5750000001281</v>
      </c>
      <c r="AMD4" s="20">
        <f>METER!AME18</f>
        <v>2154.9839999998803</v>
      </c>
      <c r="AME4" s="20">
        <f>METER!AMF18</f>
        <v>2138.8660000001546</v>
      </c>
      <c r="AMF4" s="20">
        <f>METER!AMG18</f>
        <v>2238.4890000000596</v>
      </c>
      <c r="AMG4" s="20">
        <f>METER!AMH18</f>
        <v>2315.9659999998403</v>
      </c>
      <c r="AMH4" s="20">
        <f>METER!AMI18</f>
        <v>1532.7530000001425</v>
      </c>
      <c r="AMI4" s="20">
        <f>METER!AMJ18</f>
        <v>1772.7919999999576</v>
      </c>
      <c r="AMJ4" s="20">
        <f>METER!AMK18</f>
        <v>1664.3329999998678</v>
      </c>
      <c r="AMK4" s="20">
        <f>METER!AML18</f>
        <v>1945.6340000002529</v>
      </c>
      <c r="AML4" s="20">
        <f>METER!AMM18</f>
        <v>2276.7419999999693</v>
      </c>
      <c r="AMM4" s="20">
        <f>METER!AMN18</f>
        <v>2169.4229999998352</v>
      </c>
      <c r="AMN4" s="20">
        <f>METER!AMO18</f>
        <v>3910.4140000002226</v>
      </c>
      <c r="AMO4" s="20">
        <f>METER!AMP18</f>
        <v>4834.2999999999884</v>
      </c>
      <c r="AMP4" s="20">
        <f>METER!AMQ18</f>
        <v>3272.4169999999576</v>
      </c>
      <c r="AMQ4" s="20">
        <f>METER!AMR18</f>
        <v>4401.1479999997537</v>
      </c>
      <c r="AMR4" s="20">
        <f>METER!AMS18</f>
        <v>4654.7459999999846</v>
      </c>
      <c r="AMS4" s="20">
        <f>METER!AMT18</f>
        <v>4782.7690000001458</v>
      </c>
      <c r="AMT4" s="20">
        <f>METER!AMU18</f>
        <v>4185.637999999919</v>
      </c>
      <c r="AMU4" s="20">
        <f>METER!AMV18</f>
        <v>1908.8260000001756</v>
      </c>
      <c r="AMV4" s="20">
        <f>METER!AMW18</f>
        <v>1747.0220000000554</v>
      </c>
      <c r="AMW4" s="20">
        <f>METER!AMX18</f>
        <v>3965.683999999892</v>
      </c>
      <c r="AMX4" s="20">
        <f>METER!AMY18</f>
        <v>3168.1719999999623</v>
      </c>
      <c r="AMY4" s="127">
        <f t="shared" ref="AMY4:AMY48" si="13">SUM(ALU4:AMX4)</f>
        <v>77710.308999999979</v>
      </c>
      <c r="AMZ4" s="20">
        <f>METER!ANA18</f>
        <v>1804.1289999999572</v>
      </c>
      <c r="ANA4" s="20">
        <f>METER!ANB18</f>
        <v>2060.4980000000796</v>
      </c>
      <c r="ANB4" s="20">
        <f>METER!ANC18</f>
        <v>1745.4119999998366</v>
      </c>
      <c r="ANC4" s="20">
        <f>METER!AND18</f>
        <v>2176.8710000000428</v>
      </c>
      <c r="AND4" s="20">
        <f>METER!ANE18</f>
        <v>2035.706000000122</v>
      </c>
      <c r="ANE4" s="20">
        <f>METER!ANF18</f>
        <v>2260.0789999999688</v>
      </c>
      <c r="ANF4" s="20">
        <f>METER!ANG18</f>
        <v>2142.6449999999604</v>
      </c>
      <c r="ANG4" s="20">
        <f>METER!ANH18</f>
        <v>1966.3360000001267</v>
      </c>
      <c r="ANH4" s="20">
        <f>METER!ANI18</f>
        <v>2303.6399999998393</v>
      </c>
      <c r="ANI4" s="20">
        <f>METER!ANJ18</f>
        <v>1806.1300000001211</v>
      </c>
      <c r="ANJ4" s="20">
        <f>METER!ANK18</f>
        <v>2027.9880000000121</v>
      </c>
      <c r="ANK4" s="20">
        <f>METER!ANL18</f>
        <v>1894.0440000001108</v>
      </c>
      <c r="ANL4" s="20">
        <f>METER!ANM18</f>
        <v>2040.5849999997881</v>
      </c>
      <c r="ANM4" s="20">
        <f>METER!ANN18</f>
        <v>2248.5450000002747</v>
      </c>
      <c r="ANN4" s="20">
        <f>METER!ANO18</f>
        <v>2271.6529999998165</v>
      </c>
      <c r="ANO4" s="20">
        <f>METER!ANP18</f>
        <v>1701.3330000000424</v>
      </c>
      <c r="ANP4" s="20">
        <f>METER!ANQ18</f>
        <v>1086.4589999999735</v>
      </c>
      <c r="ANQ4" s="20">
        <f>METER!ANR18</f>
        <v>1333.131999999925</v>
      </c>
      <c r="ANR4" s="20">
        <f>METER!ANS18</f>
        <v>1239.1790000000619</v>
      </c>
      <c r="ANS4" s="20">
        <f>METER!ANT18</f>
        <v>1311.6609999999055</v>
      </c>
      <c r="ANT4" s="20">
        <f>METER!ANU18</f>
        <v>1119.285000000149</v>
      </c>
      <c r="ANU4" s="20">
        <f>METER!ANV18</f>
        <v>1718.9539999998524</v>
      </c>
      <c r="ANV4" s="20">
        <f>METER!ANW18</f>
        <v>1406.5129999999772</v>
      </c>
      <c r="ANW4" s="20">
        <f>METER!ANX18</f>
        <v>1385.8450000001467</v>
      </c>
      <c r="ANX4" s="20">
        <f>METER!ANY18</f>
        <v>1542.7170000001788</v>
      </c>
      <c r="ANY4" s="20">
        <f>METER!ANZ18</f>
        <v>1925.4689999996917</v>
      </c>
      <c r="ANZ4" s="20">
        <f>METER!AOA18</f>
        <v>1328.8590000001132</v>
      </c>
      <c r="AOA4" s="20">
        <f>METER!AOB18</f>
        <v>1260.0029999998515</v>
      </c>
      <c r="AOB4" s="20">
        <f>METER!AOC18</f>
        <v>1540.739000000176</v>
      </c>
      <c r="AOC4" s="20">
        <f>METER!AOD18</f>
        <v>1826.1869999999763</v>
      </c>
    </row>
    <row r="5" spans="1:1071" x14ac:dyDescent="0.2">
      <c r="A5" s="160"/>
      <c r="B5" s="5" t="s">
        <v>1505</v>
      </c>
      <c r="C5" s="22">
        <v>4750</v>
      </c>
      <c r="D5" s="22">
        <f>C5</f>
        <v>4750</v>
      </c>
      <c r="E5" s="22">
        <v>4750</v>
      </c>
      <c r="F5" s="22">
        <v>4750</v>
      </c>
      <c r="G5" s="22">
        <f>F5</f>
        <v>4750</v>
      </c>
      <c r="H5" s="22">
        <v>4750</v>
      </c>
      <c r="I5" s="22">
        <f>H5</f>
        <v>4750</v>
      </c>
      <c r="J5" s="22">
        <v>4890</v>
      </c>
      <c r="K5" s="22">
        <v>4890</v>
      </c>
      <c r="L5" s="22">
        <v>4890</v>
      </c>
      <c r="M5" s="22">
        <v>4890</v>
      </c>
      <c r="N5" s="22">
        <v>4890</v>
      </c>
      <c r="O5" s="22">
        <v>4890</v>
      </c>
      <c r="P5" s="22">
        <v>4890</v>
      </c>
      <c r="Q5" s="22">
        <v>4890</v>
      </c>
      <c r="R5" s="22">
        <v>4890</v>
      </c>
      <c r="S5" s="22">
        <v>4890</v>
      </c>
      <c r="T5" s="22">
        <v>4890</v>
      </c>
      <c r="U5" s="22">
        <v>4930</v>
      </c>
      <c r="V5" s="22">
        <v>4930</v>
      </c>
      <c r="W5" s="22">
        <v>4930</v>
      </c>
      <c r="X5" s="22">
        <v>4930</v>
      </c>
      <c r="Y5" s="22">
        <v>4970</v>
      </c>
      <c r="Z5" s="22">
        <v>4970</v>
      </c>
      <c r="AA5" s="22">
        <v>4970</v>
      </c>
      <c r="AB5" s="22">
        <v>4970</v>
      </c>
      <c r="AC5" s="22">
        <v>4970</v>
      </c>
      <c r="AD5" s="22">
        <v>4970</v>
      </c>
      <c r="AE5" s="22">
        <v>4970</v>
      </c>
      <c r="AF5" s="22">
        <v>5100</v>
      </c>
      <c r="AG5" s="22">
        <v>5100</v>
      </c>
      <c r="AH5" s="94"/>
      <c r="AI5" s="22">
        <v>5100</v>
      </c>
      <c r="AJ5" s="22">
        <v>5100</v>
      </c>
      <c r="AK5" s="22">
        <v>5100</v>
      </c>
      <c r="AL5" s="22">
        <v>5100</v>
      </c>
      <c r="AM5" s="22">
        <v>5190</v>
      </c>
      <c r="AN5" s="22">
        <v>5190</v>
      </c>
      <c r="AO5" s="22">
        <v>5190</v>
      </c>
      <c r="AP5" s="22">
        <v>5190</v>
      </c>
      <c r="AQ5" s="22">
        <v>5290</v>
      </c>
      <c r="AR5" s="22">
        <v>5290</v>
      </c>
      <c r="AS5" s="22">
        <v>5290</v>
      </c>
      <c r="AT5" s="22">
        <v>5350</v>
      </c>
      <c r="AU5" s="22">
        <v>5350</v>
      </c>
      <c r="AV5" s="22">
        <v>5350</v>
      </c>
      <c r="AW5" s="22">
        <v>5350</v>
      </c>
      <c r="AX5" s="22">
        <v>5350</v>
      </c>
      <c r="AY5" s="22">
        <v>5350</v>
      </c>
      <c r="AZ5" s="22">
        <v>5350</v>
      </c>
      <c r="BA5" s="22">
        <v>5350</v>
      </c>
      <c r="BB5" s="22">
        <v>5350</v>
      </c>
      <c r="BC5" s="22">
        <v>5350</v>
      </c>
      <c r="BD5" s="22">
        <v>5350</v>
      </c>
      <c r="BE5" s="22">
        <v>5350</v>
      </c>
      <c r="BF5" s="22">
        <v>5350</v>
      </c>
      <c r="BG5" s="22">
        <v>5350</v>
      </c>
      <c r="BH5" s="22">
        <v>5390</v>
      </c>
      <c r="BI5" s="22">
        <v>5390</v>
      </c>
      <c r="BJ5" s="22">
        <v>5390</v>
      </c>
      <c r="BK5" s="22">
        <v>5390</v>
      </c>
      <c r="BL5" s="22">
        <v>5390</v>
      </c>
      <c r="BM5" s="97">
        <f t="shared" si="9"/>
        <v>158880</v>
      </c>
      <c r="BN5" s="22">
        <v>5390</v>
      </c>
      <c r="BO5" s="22">
        <v>5390</v>
      </c>
      <c r="BP5" s="22">
        <v>5390</v>
      </c>
      <c r="BQ5" s="22">
        <v>5390</v>
      </c>
      <c r="BR5" s="22">
        <v>5390</v>
      </c>
      <c r="BS5" s="22">
        <v>5390</v>
      </c>
      <c r="BT5" s="22">
        <v>5390</v>
      </c>
      <c r="BU5" s="22">
        <v>5390</v>
      </c>
      <c r="BV5" s="22">
        <v>5390</v>
      </c>
      <c r="BW5" s="22">
        <v>5390</v>
      </c>
      <c r="BX5" s="22">
        <v>5390</v>
      </c>
      <c r="BY5" s="22">
        <v>5390</v>
      </c>
      <c r="BZ5" s="22">
        <v>5390</v>
      </c>
      <c r="CA5" s="22">
        <v>5390</v>
      </c>
      <c r="CB5" s="22">
        <v>5390</v>
      </c>
      <c r="CC5" s="22">
        <v>5390</v>
      </c>
      <c r="CD5" s="22">
        <v>5390</v>
      </c>
      <c r="CE5" s="22">
        <v>5390</v>
      </c>
      <c r="CF5" s="22">
        <v>5390</v>
      </c>
      <c r="CG5" s="22">
        <v>5390</v>
      </c>
      <c r="CH5" s="22">
        <v>5390</v>
      </c>
      <c r="CI5" s="22">
        <v>5390</v>
      </c>
      <c r="CJ5" s="22">
        <v>5390</v>
      </c>
      <c r="CK5" s="22">
        <v>5390</v>
      </c>
      <c r="CL5" s="22">
        <v>5390</v>
      </c>
      <c r="CM5" s="22">
        <v>5390</v>
      </c>
      <c r="CN5" s="22">
        <v>5390</v>
      </c>
      <c r="CO5" s="22">
        <v>5390</v>
      </c>
      <c r="CP5" s="22">
        <v>5390</v>
      </c>
      <c r="CQ5" s="22">
        <v>5390</v>
      </c>
      <c r="CR5" s="22">
        <v>5439</v>
      </c>
      <c r="CS5" s="111">
        <f t="shared" si="10"/>
        <v>167139</v>
      </c>
      <c r="CT5" s="22">
        <v>5439</v>
      </c>
      <c r="CU5" s="22">
        <v>5439</v>
      </c>
      <c r="CV5" s="22">
        <v>5439</v>
      </c>
      <c r="CW5" s="22">
        <v>5439</v>
      </c>
      <c r="CX5" s="22">
        <v>5439</v>
      </c>
      <c r="CY5" s="22">
        <v>5439</v>
      </c>
      <c r="CZ5" s="22">
        <v>5439</v>
      </c>
      <c r="DA5" s="22">
        <v>5439</v>
      </c>
      <c r="DB5" s="22">
        <v>5439</v>
      </c>
      <c r="DC5" s="22">
        <v>5439</v>
      </c>
      <c r="DD5" s="22">
        <v>5439</v>
      </c>
      <c r="DE5" s="22">
        <v>5439</v>
      </c>
      <c r="DF5" s="22">
        <v>5439</v>
      </c>
      <c r="DG5" s="22">
        <v>5439</v>
      </c>
      <c r="DH5" s="22">
        <v>5550</v>
      </c>
      <c r="DI5" s="22">
        <v>5550</v>
      </c>
      <c r="DJ5" s="22">
        <v>5550</v>
      </c>
      <c r="DK5" s="22">
        <v>5550</v>
      </c>
      <c r="DL5" s="22">
        <v>5550</v>
      </c>
      <c r="DM5" s="22">
        <v>5550</v>
      </c>
      <c r="DN5" s="22">
        <v>5550</v>
      </c>
      <c r="DO5" s="22">
        <v>5550</v>
      </c>
      <c r="DP5" s="22">
        <v>5550</v>
      </c>
      <c r="DQ5" s="22">
        <v>5550</v>
      </c>
      <c r="DR5" s="22">
        <v>5550</v>
      </c>
      <c r="DS5" s="22">
        <v>5550</v>
      </c>
      <c r="DT5" s="22">
        <v>5550</v>
      </c>
      <c r="DU5" s="22">
        <v>5550</v>
      </c>
      <c r="DV5" s="22">
        <v>5550</v>
      </c>
      <c r="DW5" s="22">
        <v>5550</v>
      </c>
      <c r="DX5" s="120"/>
      <c r="DY5" s="22">
        <v>5550</v>
      </c>
      <c r="DZ5" s="22">
        <v>5550</v>
      </c>
      <c r="EA5" s="22">
        <v>5550</v>
      </c>
      <c r="EB5" s="22">
        <v>5550</v>
      </c>
      <c r="EC5" s="22">
        <v>5550</v>
      </c>
      <c r="ED5" s="22">
        <v>5550</v>
      </c>
      <c r="EE5" s="22">
        <v>5550</v>
      </c>
      <c r="EF5" s="22">
        <v>5550</v>
      </c>
      <c r="EG5" s="22">
        <v>5390</v>
      </c>
      <c r="EH5" s="22">
        <v>5390</v>
      </c>
      <c r="EI5" s="22">
        <v>5390</v>
      </c>
      <c r="EJ5" s="22">
        <v>5390</v>
      </c>
      <c r="EK5" s="22">
        <v>5390</v>
      </c>
      <c r="EL5" s="22">
        <v>5390</v>
      </c>
      <c r="EM5" s="22">
        <v>5390</v>
      </c>
      <c r="EN5" s="22">
        <v>5390</v>
      </c>
      <c r="EO5" s="22">
        <v>5390</v>
      </c>
      <c r="EP5" s="22">
        <v>5390</v>
      </c>
      <c r="EQ5" s="22">
        <v>5390</v>
      </c>
      <c r="ER5" s="22">
        <v>5390</v>
      </c>
      <c r="ES5" s="22">
        <v>5390</v>
      </c>
      <c r="ET5" s="22">
        <v>5390</v>
      </c>
      <c r="EU5" s="22">
        <v>5390</v>
      </c>
      <c r="EV5" s="22">
        <v>5390</v>
      </c>
      <c r="EW5" s="22">
        <v>5390</v>
      </c>
      <c r="EX5" s="22">
        <v>5390</v>
      </c>
      <c r="EY5" s="22">
        <v>5390</v>
      </c>
      <c r="EZ5" s="22">
        <v>5390</v>
      </c>
      <c r="FA5" s="22">
        <v>5390</v>
      </c>
      <c r="FB5" s="22">
        <v>5390</v>
      </c>
      <c r="FC5" s="22">
        <v>5390</v>
      </c>
      <c r="FD5" s="128"/>
      <c r="FE5" s="22">
        <v>5390</v>
      </c>
      <c r="FF5" s="22">
        <v>5390</v>
      </c>
      <c r="FG5" s="22">
        <v>5390</v>
      </c>
      <c r="FH5" s="22">
        <v>5390</v>
      </c>
      <c r="FI5" s="22">
        <v>5390</v>
      </c>
      <c r="FJ5" s="22">
        <v>5390</v>
      </c>
      <c r="FK5" s="22">
        <v>5390</v>
      </c>
      <c r="FL5" s="22">
        <v>5390</v>
      </c>
      <c r="FM5" s="22">
        <v>5390</v>
      </c>
      <c r="FN5" s="22">
        <v>5390</v>
      </c>
      <c r="FO5" s="22">
        <v>5390</v>
      </c>
      <c r="FP5" s="22">
        <v>5390</v>
      </c>
      <c r="FQ5" s="22">
        <v>5390</v>
      </c>
      <c r="FR5" s="22">
        <v>5390</v>
      </c>
      <c r="FS5" s="22">
        <v>5390</v>
      </c>
      <c r="FT5" s="22">
        <v>5390</v>
      </c>
      <c r="FU5" s="22">
        <v>5390</v>
      </c>
      <c r="FV5" s="22">
        <v>5390</v>
      </c>
      <c r="FW5" s="22">
        <v>5390</v>
      </c>
      <c r="FX5" s="22">
        <v>5390</v>
      </c>
      <c r="FY5" s="22">
        <v>5390</v>
      </c>
      <c r="FZ5" s="22">
        <v>5390</v>
      </c>
      <c r="GA5" s="22">
        <v>5390</v>
      </c>
      <c r="GB5" s="22">
        <v>5390</v>
      </c>
      <c r="GC5" s="22">
        <v>5390</v>
      </c>
      <c r="GD5" s="22">
        <v>5390</v>
      </c>
      <c r="GE5" s="22">
        <v>5390</v>
      </c>
      <c r="GF5" s="22">
        <v>5390</v>
      </c>
      <c r="GG5" s="22">
        <v>5390</v>
      </c>
      <c r="GH5" s="22">
        <v>5390</v>
      </c>
      <c r="GI5" s="22">
        <v>5290</v>
      </c>
      <c r="GJ5" s="126"/>
      <c r="GK5" s="22">
        <v>5290</v>
      </c>
      <c r="GL5" s="22">
        <v>5290</v>
      </c>
      <c r="GM5" s="22">
        <v>5290</v>
      </c>
      <c r="GN5" s="22">
        <v>5290</v>
      </c>
      <c r="GO5" s="22">
        <v>5290</v>
      </c>
      <c r="GP5" s="22">
        <v>5290</v>
      </c>
      <c r="GQ5" s="22">
        <v>5290</v>
      </c>
      <c r="GR5" s="22">
        <v>5290</v>
      </c>
      <c r="GS5" s="22">
        <v>5290</v>
      </c>
      <c r="GT5" s="22">
        <v>5290</v>
      </c>
      <c r="GU5" s="22">
        <v>5290</v>
      </c>
      <c r="GV5" s="22">
        <v>5290</v>
      </c>
      <c r="GW5" s="22">
        <v>5290</v>
      </c>
      <c r="GX5" s="22">
        <v>5290</v>
      </c>
      <c r="GY5" s="22">
        <v>5290</v>
      </c>
      <c r="GZ5" s="22">
        <v>5290</v>
      </c>
      <c r="HA5" s="22">
        <v>5290</v>
      </c>
      <c r="HB5" s="22">
        <v>5290</v>
      </c>
      <c r="HC5" s="22">
        <v>5290</v>
      </c>
      <c r="HD5" s="22">
        <v>5290</v>
      </c>
      <c r="HE5" s="22">
        <v>5290</v>
      </c>
      <c r="HF5" s="22">
        <v>5290</v>
      </c>
      <c r="HG5" s="22">
        <v>5290</v>
      </c>
      <c r="HH5" s="22">
        <v>5290</v>
      </c>
      <c r="HI5" s="22">
        <v>5290</v>
      </c>
      <c r="HJ5" s="22">
        <v>5290</v>
      </c>
      <c r="HK5" s="22">
        <v>5290</v>
      </c>
      <c r="HL5" s="22">
        <v>5290</v>
      </c>
      <c r="HM5" s="22">
        <v>5290</v>
      </c>
      <c r="HN5" s="126"/>
      <c r="HO5" s="22">
        <v>5290</v>
      </c>
      <c r="HP5" s="22">
        <v>5290</v>
      </c>
      <c r="HQ5" s="22">
        <v>5290</v>
      </c>
      <c r="HR5" s="22">
        <v>5290</v>
      </c>
      <c r="HS5" s="22">
        <v>5290</v>
      </c>
      <c r="HT5" s="22">
        <v>5290</v>
      </c>
      <c r="HU5" s="22">
        <v>5290</v>
      </c>
      <c r="HV5" s="22">
        <v>5290</v>
      </c>
      <c r="HW5" s="22">
        <v>5290</v>
      </c>
      <c r="HX5" s="22">
        <v>5290</v>
      </c>
      <c r="HY5" s="22">
        <v>5290</v>
      </c>
      <c r="HZ5" s="22">
        <v>5350</v>
      </c>
      <c r="IA5" s="22">
        <v>5350</v>
      </c>
      <c r="IB5" s="22">
        <v>5350</v>
      </c>
      <c r="IC5" s="22">
        <v>5350</v>
      </c>
      <c r="ID5" s="22">
        <v>5350</v>
      </c>
      <c r="IE5" s="22">
        <v>5350</v>
      </c>
      <c r="IF5" s="22">
        <v>5350</v>
      </c>
      <c r="IG5" s="22">
        <v>5350</v>
      </c>
      <c r="IH5" s="22">
        <v>5350</v>
      </c>
      <c r="II5" s="22">
        <v>5350</v>
      </c>
      <c r="IJ5" s="22">
        <v>5350</v>
      </c>
      <c r="IK5" s="22">
        <v>5350</v>
      </c>
      <c r="IL5" s="22">
        <v>5350</v>
      </c>
      <c r="IM5" s="22">
        <v>5350</v>
      </c>
      <c r="IN5" s="22">
        <v>5350</v>
      </c>
      <c r="IO5" s="22">
        <v>5350</v>
      </c>
      <c r="IP5" s="22">
        <v>5350</v>
      </c>
      <c r="IQ5" s="22">
        <v>5350</v>
      </c>
      <c r="IR5" s="22">
        <v>5350</v>
      </c>
      <c r="IS5" s="22">
        <v>5350</v>
      </c>
      <c r="IT5" s="126"/>
      <c r="IU5" s="22">
        <v>5350</v>
      </c>
      <c r="IV5" s="22">
        <v>5350</v>
      </c>
      <c r="IW5" s="22">
        <v>5350</v>
      </c>
      <c r="IX5" s="22">
        <v>5350</v>
      </c>
      <c r="IY5" s="22">
        <v>5350</v>
      </c>
      <c r="IZ5" s="22">
        <v>5350</v>
      </c>
      <c r="JA5" s="22">
        <v>5350</v>
      </c>
      <c r="JB5" s="22">
        <v>5350</v>
      </c>
      <c r="JC5" s="22">
        <v>5350</v>
      </c>
      <c r="JD5" s="22">
        <v>5350</v>
      </c>
      <c r="JE5" s="22">
        <v>5350</v>
      </c>
      <c r="JF5" s="22">
        <v>5350</v>
      </c>
      <c r="JG5" s="22">
        <v>5350</v>
      </c>
      <c r="JH5" s="22">
        <v>5350</v>
      </c>
      <c r="JI5" s="22">
        <v>5350</v>
      </c>
      <c r="JJ5" s="22">
        <v>5350</v>
      </c>
      <c r="JK5" s="22">
        <v>5350</v>
      </c>
      <c r="JL5" s="22">
        <v>5350</v>
      </c>
      <c r="JM5" s="22">
        <v>5350</v>
      </c>
      <c r="JN5" s="22">
        <v>5350</v>
      </c>
      <c r="JO5" s="22">
        <v>5350</v>
      </c>
      <c r="JP5" s="22">
        <v>5350</v>
      </c>
      <c r="JQ5" s="22">
        <v>5350</v>
      </c>
      <c r="JR5" s="22">
        <v>5350</v>
      </c>
      <c r="JS5" s="22">
        <v>5350</v>
      </c>
      <c r="JT5" s="22">
        <v>5350</v>
      </c>
      <c r="JU5" s="22">
        <v>5350</v>
      </c>
      <c r="JV5" s="22">
        <v>5350</v>
      </c>
      <c r="JW5" s="22">
        <v>5350</v>
      </c>
      <c r="JX5" s="22">
        <v>5350</v>
      </c>
      <c r="JY5" s="127">
        <v>5350</v>
      </c>
      <c r="JZ5" s="22">
        <v>5350</v>
      </c>
      <c r="KA5" s="22">
        <v>5350</v>
      </c>
      <c r="KB5" s="22">
        <v>5350</v>
      </c>
      <c r="KC5" s="22">
        <v>5350</v>
      </c>
      <c r="KD5" s="22">
        <v>5350</v>
      </c>
      <c r="KE5" s="22">
        <v>5350</v>
      </c>
      <c r="KF5" s="22">
        <v>5350</v>
      </c>
      <c r="KG5" s="22">
        <v>5350</v>
      </c>
      <c r="KH5" s="22">
        <v>5350</v>
      </c>
      <c r="KI5" s="22">
        <v>5350</v>
      </c>
      <c r="KJ5" s="22">
        <v>5350</v>
      </c>
      <c r="KK5" s="22">
        <v>5350</v>
      </c>
      <c r="KL5" s="22">
        <v>5350</v>
      </c>
      <c r="KM5" s="22">
        <v>5350</v>
      </c>
      <c r="KN5" s="22">
        <v>5350</v>
      </c>
      <c r="KO5" s="22">
        <v>5350</v>
      </c>
      <c r="KP5" s="22">
        <v>5350</v>
      </c>
      <c r="KQ5" s="22">
        <v>5350</v>
      </c>
      <c r="KR5" s="22">
        <v>5350</v>
      </c>
      <c r="KS5" s="22">
        <v>5350</v>
      </c>
      <c r="KT5" s="22">
        <v>5350</v>
      </c>
      <c r="KU5" s="22">
        <v>5350</v>
      </c>
      <c r="KV5" s="22">
        <v>5350</v>
      </c>
      <c r="KW5" s="22">
        <v>5350</v>
      </c>
      <c r="KX5" s="22">
        <v>5350</v>
      </c>
      <c r="KY5" s="22">
        <v>5350</v>
      </c>
      <c r="KZ5" s="22">
        <v>5350</v>
      </c>
      <c r="LA5" s="22">
        <v>5350</v>
      </c>
      <c r="LB5" s="22">
        <v>5350</v>
      </c>
      <c r="LC5" s="22">
        <v>5350</v>
      </c>
      <c r="LD5" s="22">
        <v>5290</v>
      </c>
      <c r="LE5" s="127">
        <v>5350</v>
      </c>
      <c r="LF5" s="22">
        <v>5290</v>
      </c>
      <c r="LG5" s="22">
        <v>5290</v>
      </c>
      <c r="LH5" s="22">
        <v>5290</v>
      </c>
      <c r="LI5" s="22">
        <v>5290</v>
      </c>
      <c r="LJ5" s="22">
        <v>5290</v>
      </c>
      <c r="LK5" s="22">
        <v>5290</v>
      </c>
      <c r="LL5" s="22">
        <v>5290</v>
      </c>
      <c r="LM5" s="22">
        <v>5290</v>
      </c>
      <c r="LN5" s="22">
        <v>5290</v>
      </c>
      <c r="LO5" s="22">
        <v>5290</v>
      </c>
      <c r="LP5" s="22">
        <v>5290</v>
      </c>
      <c r="LQ5" s="22">
        <v>5290</v>
      </c>
      <c r="LR5" s="22">
        <v>5290</v>
      </c>
      <c r="LS5" s="22">
        <v>5290</v>
      </c>
      <c r="LT5" s="22">
        <v>5290</v>
      </c>
      <c r="LU5" s="22">
        <v>5290</v>
      </c>
      <c r="LV5" s="22">
        <v>5290</v>
      </c>
      <c r="LW5" s="22">
        <v>5290</v>
      </c>
      <c r="LX5" s="22">
        <v>5290</v>
      </c>
      <c r="LY5" s="22">
        <v>5290</v>
      </c>
      <c r="LZ5" s="22">
        <v>5290</v>
      </c>
      <c r="MA5" s="22">
        <v>5290</v>
      </c>
      <c r="MB5" s="22">
        <v>5290</v>
      </c>
      <c r="MC5" s="22">
        <v>5290</v>
      </c>
      <c r="MD5" s="22">
        <v>5290</v>
      </c>
      <c r="ME5" s="22">
        <v>5290</v>
      </c>
      <c r="MF5" s="22">
        <v>5290</v>
      </c>
      <c r="MG5" s="22">
        <v>5290</v>
      </c>
      <c r="MH5" s="22">
        <v>5290</v>
      </c>
      <c r="MI5" s="22">
        <v>5290</v>
      </c>
      <c r="MJ5" s="127">
        <v>5350</v>
      </c>
      <c r="MK5" s="22">
        <v>5290</v>
      </c>
      <c r="ML5" s="22">
        <v>5290</v>
      </c>
      <c r="MM5" s="22">
        <v>5290</v>
      </c>
      <c r="MN5" s="22">
        <v>5290</v>
      </c>
      <c r="MO5" s="22">
        <v>5290</v>
      </c>
      <c r="MP5" s="22">
        <v>5290</v>
      </c>
      <c r="MQ5" s="22">
        <v>5290</v>
      </c>
      <c r="MR5" s="22">
        <v>5290</v>
      </c>
      <c r="MS5" s="22">
        <v>5290</v>
      </c>
      <c r="MT5" s="22">
        <v>5290</v>
      </c>
      <c r="MU5" s="22">
        <v>5290</v>
      </c>
      <c r="MV5" s="22">
        <v>5290</v>
      </c>
      <c r="MW5" s="22">
        <v>5290</v>
      </c>
      <c r="MX5" s="22">
        <v>5290</v>
      </c>
      <c r="MY5" s="22">
        <v>5290</v>
      </c>
      <c r="MZ5" s="22">
        <v>5290</v>
      </c>
      <c r="NA5" s="22">
        <v>5290</v>
      </c>
      <c r="NB5" s="22">
        <v>5290</v>
      </c>
      <c r="NC5" s="22">
        <v>5290</v>
      </c>
      <c r="ND5" s="22">
        <v>5290</v>
      </c>
      <c r="NE5" s="22">
        <v>5290</v>
      </c>
      <c r="NF5" s="22">
        <v>5290</v>
      </c>
      <c r="NG5" s="22">
        <v>5200</v>
      </c>
      <c r="NH5" s="22">
        <v>5200</v>
      </c>
      <c r="NI5" s="22">
        <v>5200</v>
      </c>
      <c r="NJ5" s="22">
        <v>5200</v>
      </c>
      <c r="NK5" s="22">
        <v>5200</v>
      </c>
      <c r="NL5" s="22">
        <v>5200</v>
      </c>
      <c r="NM5" s="22">
        <v>5200</v>
      </c>
      <c r="NN5" s="22">
        <v>5200</v>
      </c>
      <c r="NO5" s="22">
        <v>5200</v>
      </c>
      <c r="NP5" s="127">
        <v>5350</v>
      </c>
      <c r="NQ5" s="22">
        <v>5200</v>
      </c>
      <c r="NR5" s="22">
        <v>5200</v>
      </c>
      <c r="NS5" s="22">
        <v>5200</v>
      </c>
      <c r="NT5" s="22">
        <v>5150</v>
      </c>
      <c r="NU5" s="22">
        <v>5150</v>
      </c>
      <c r="NV5" s="22">
        <v>5150</v>
      </c>
      <c r="NW5" s="22">
        <v>5150</v>
      </c>
      <c r="NX5" s="22">
        <v>5150</v>
      </c>
      <c r="NY5" s="22">
        <v>5150</v>
      </c>
      <c r="NZ5" s="22">
        <v>5150</v>
      </c>
      <c r="OA5" s="22">
        <v>5150</v>
      </c>
      <c r="OB5" s="22">
        <v>5150</v>
      </c>
      <c r="OC5" s="22">
        <v>5150</v>
      </c>
      <c r="OD5" s="22">
        <v>5150</v>
      </c>
      <c r="OE5" s="22">
        <v>5150</v>
      </c>
      <c r="OF5" s="22">
        <v>5150</v>
      </c>
      <c r="OG5" s="22">
        <v>5150</v>
      </c>
      <c r="OH5" s="22">
        <v>5150</v>
      </c>
      <c r="OI5" s="22">
        <v>5150</v>
      </c>
      <c r="OJ5" s="22">
        <v>5150</v>
      </c>
      <c r="OK5" s="22">
        <v>5190</v>
      </c>
      <c r="OL5" s="22">
        <v>5190</v>
      </c>
      <c r="OM5" s="22">
        <v>5190</v>
      </c>
      <c r="ON5" s="22">
        <v>5190</v>
      </c>
      <c r="OO5" s="22">
        <v>5190</v>
      </c>
      <c r="OP5" s="22">
        <v>5190</v>
      </c>
      <c r="OQ5" s="22">
        <v>5190</v>
      </c>
      <c r="OR5" s="22">
        <v>5190</v>
      </c>
      <c r="OS5" s="22">
        <v>5190</v>
      </c>
      <c r="OT5" s="22">
        <v>5190</v>
      </c>
      <c r="OU5" s="22">
        <v>5190</v>
      </c>
      <c r="OV5" s="127">
        <v>5350</v>
      </c>
      <c r="OW5" s="22">
        <v>5190</v>
      </c>
      <c r="OX5" s="22">
        <v>5190</v>
      </c>
      <c r="OY5" s="22">
        <v>5190</v>
      </c>
      <c r="OZ5" s="22">
        <v>5190</v>
      </c>
      <c r="PA5" s="22">
        <v>5190</v>
      </c>
      <c r="PB5" s="22">
        <v>5190</v>
      </c>
      <c r="PC5" s="22">
        <v>5190</v>
      </c>
      <c r="PD5" s="22">
        <v>5190</v>
      </c>
      <c r="PE5" s="22">
        <v>5190</v>
      </c>
      <c r="PF5" s="22">
        <v>5190</v>
      </c>
      <c r="PG5" s="22">
        <v>5190</v>
      </c>
      <c r="PH5" s="22">
        <v>5190</v>
      </c>
      <c r="PI5" s="22">
        <v>5190</v>
      </c>
      <c r="PJ5" s="22">
        <v>5190</v>
      </c>
      <c r="PK5" s="22">
        <v>5190</v>
      </c>
      <c r="PL5" s="22">
        <v>5190</v>
      </c>
      <c r="PM5" s="22">
        <v>5190</v>
      </c>
      <c r="PN5" s="22">
        <v>5190</v>
      </c>
      <c r="PO5" s="22">
        <v>5190</v>
      </c>
      <c r="PP5" s="22">
        <v>5190</v>
      </c>
      <c r="PQ5" s="22">
        <v>5190</v>
      </c>
      <c r="PR5" s="22">
        <v>5190</v>
      </c>
      <c r="PS5" s="22">
        <v>5190</v>
      </c>
      <c r="PT5" s="22">
        <v>5190</v>
      </c>
      <c r="PU5" s="22">
        <v>5190</v>
      </c>
      <c r="PV5" s="22">
        <v>5190</v>
      </c>
      <c r="PW5" s="22">
        <v>5190</v>
      </c>
      <c r="PX5" s="22">
        <v>5190</v>
      </c>
      <c r="PY5" s="22">
        <v>5190</v>
      </c>
      <c r="PZ5" s="22">
        <v>5190</v>
      </c>
      <c r="QA5" s="127">
        <v>5350</v>
      </c>
      <c r="QB5" s="22">
        <v>5190</v>
      </c>
      <c r="QC5" s="22">
        <v>5190</v>
      </c>
      <c r="QD5" s="22">
        <v>5000</v>
      </c>
      <c r="QE5" s="22">
        <v>5000</v>
      </c>
      <c r="QF5" s="22">
        <v>5000</v>
      </c>
      <c r="QG5" s="22">
        <v>5000</v>
      </c>
      <c r="QH5" s="22">
        <v>5000</v>
      </c>
      <c r="QI5" s="22">
        <v>5000</v>
      </c>
      <c r="QJ5" s="22">
        <v>5000</v>
      </c>
      <c r="QK5" s="22">
        <v>5000</v>
      </c>
      <c r="QL5" s="22">
        <v>5000</v>
      </c>
      <c r="QM5" s="22">
        <v>5000</v>
      </c>
      <c r="QN5" s="22">
        <v>5000</v>
      </c>
      <c r="QO5" s="22">
        <v>5000</v>
      </c>
      <c r="QP5" s="22">
        <v>5000</v>
      </c>
      <c r="QQ5" s="22">
        <v>5000</v>
      </c>
      <c r="QR5" s="22">
        <v>5000</v>
      </c>
      <c r="QS5" s="22">
        <v>5000</v>
      </c>
      <c r="QT5" s="22">
        <v>5000</v>
      </c>
      <c r="QU5" s="22">
        <v>5000</v>
      </c>
      <c r="QV5" s="22">
        <v>5000</v>
      </c>
      <c r="QW5" s="22">
        <v>5000</v>
      </c>
      <c r="QX5" s="22">
        <v>5000</v>
      </c>
      <c r="QY5" s="22">
        <v>5000</v>
      </c>
      <c r="QZ5" s="22">
        <v>5000</v>
      </c>
      <c r="RA5" s="22">
        <v>5000</v>
      </c>
      <c r="RB5" s="22">
        <v>5000</v>
      </c>
      <c r="RC5" s="22">
        <v>5000</v>
      </c>
      <c r="RD5" s="22">
        <v>5000</v>
      </c>
      <c r="RE5" s="22">
        <v>4989</v>
      </c>
      <c r="RF5" s="22">
        <v>4989</v>
      </c>
      <c r="RG5" s="127">
        <v>4989</v>
      </c>
      <c r="RH5" s="22">
        <v>4989</v>
      </c>
      <c r="RI5" s="22">
        <v>4989</v>
      </c>
      <c r="RJ5" s="22">
        <v>4989</v>
      </c>
      <c r="RK5" s="22">
        <v>4989</v>
      </c>
      <c r="RL5" s="22">
        <v>4989</v>
      </c>
      <c r="RM5" s="22">
        <v>4989</v>
      </c>
      <c r="RN5" s="22">
        <v>4989</v>
      </c>
      <c r="RO5" s="22">
        <v>4989</v>
      </c>
      <c r="RP5" s="22">
        <v>4989</v>
      </c>
      <c r="RQ5" s="22">
        <v>4989</v>
      </c>
      <c r="RR5" s="22">
        <v>4989</v>
      </c>
      <c r="RS5" s="22">
        <v>4989</v>
      </c>
      <c r="RT5" s="22">
        <v>4989</v>
      </c>
      <c r="RU5" s="22">
        <v>4989</v>
      </c>
      <c r="RV5" s="22">
        <v>4989</v>
      </c>
      <c r="RW5" s="22">
        <v>4989</v>
      </c>
      <c r="RX5" s="22">
        <v>4989</v>
      </c>
      <c r="RY5" s="22">
        <v>4890</v>
      </c>
      <c r="RZ5" s="22">
        <v>4890</v>
      </c>
      <c r="SA5" s="22">
        <v>4890</v>
      </c>
      <c r="SB5" s="22">
        <v>4890</v>
      </c>
      <c r="SC5" s="22">
        <v>4890</v>
      </c>
      <c r="SD5" s="22">
        <v>4890</v>
      </c>
      <c r="SE5" s="22">
        <v>4890</v>
      </c>
      <c r="SF5" s="22">
        <v>4890</v>
      </c>
      <c r="SG5" s="22">
        <v>4890</v>
      </c>
      <c r="SH5" s="22">
        <v>4890</v>
      </c>
      <c r="SI5" s="22">
        <v>4890</v>
      </c>
      <c r="SJ5" s="22">
        <v>4890</v>
      </c>
      <c r="SK5" s="22">
        <v>4890</v>
      </c>
      <c r="SL5" s="127">
        <v>4890</v>
      </c>
      <c r="SM5" s="22">
        <v>4890</v>
      </c>
      <c r="SN5" s="22">
        <v>4890</v>
      </c>
      <c r="SO5" s="22">
        <v>4890</v>
      </c>
      <c r="SP5" s="22">
        <v>4890</v>
      </c>
      <c r="SQ5" s="22">
        <v>4890</v>
      </c>
      <c r="SR5" s="22">
        <v>4890</v>
      </c>
      <c r="SS5" s="22">
        <v>4890</v>
      </c>
      <c r="ST5" s="22">
        <v>4890</v>
      </c>
      <c r="SU5" s="22">
        <v>4890</v>
      </c>
      <c r="SV5" s="22">
        <v>4890</v>
      </c>
      <c r="SW5" s="22">
        <v>4890</v>
      </c>
      <c r="SX5" s="22">
        <v>4890</v>
      </c>
      <c r="SY5" s="22">
        <v>4890</v>
      </c>
      <c r="SZ5" s="22">
        <v>4890</v>
      </c>
      <c r="TA5" s="22">
        <v>4890</v>
      </c>
      <c r="TB5" s="22">
        <v>4890</v>
      </c>
      <c r="TC5" s="22">
        <v>4890</v>
      </c>
      <c r="TD5" s="22">
        <v>4890</v>
      </c>
      <c r="TE5" s="22">
        <v>4890</v>
      </c>
      <c r="TF5" s="22">
        <v>4890</v>
      </c>
      <c r="TG5" s="22">
        <v>4890</v>
      </c>
      <c r="TH5" s="22">
        <v>4890</v>
      </c>
      <c r="TI5" s="22">
        <v>4890</v>
      </c>
      <c r="TJ5" s="22">
        <v>4890</v>
      </c>
      <c r="TK5" s="22">
        <v>4890</v>
      </c>
      <c r="TL5" s="22">
        <v>4890</v>
      </c>
      <c r="TM5" s="22">
        <v>4890</v>
      </c>
      <c r="TN5" s="22">
        <v>4890</v>
      </c>
      <c r="TO5" s="22">
        <v>4890</v>
      </c>
      <c r="TP5" s="22">
        <v>4890</v>
      </c>
      <c r="TQ5" s="22">
        <v>4890</v>
      </c>
      <c r="TR5" s="127">
        <v>4890</v>
      </c>
      <c r="TS5" s="22">
        <v>4890</v>
      </c>
      <c r="TT5" s="22">
        <v>4890</v>
      </c>
      <c r="TU5" s="22">
        <v>4890</v>
      </c>
      <c r="TV5" s="22">
        <v>4890</v>
      </c>
      <c r="TW5" s="22">
        <v>4890</v>
      </c>
      <c r="TX5" s="22">
        <v>4890</v>
      </c>
      <c r="TY5" s="22">
        <v>4890</v>
      </c>
      <c r="TZ5" s="22">
        <v>4890</v>
      </c>
      <c r="UA5" s="22">
        <v>4890</v>
      </c>
      <c r="UB5" s="22">
        <v>4890</v>
      </c>
      <c r="UC5" s="22">
        <v>4890</v>
      </c>
      <c r="UD5" s="22">
        <v>4890</v>
      </c>
      <c r="UE5" s="22">
        <v>4890</v>
      </c>
      <c r="UF5" s="22">
        <v>4890</v>
      </c>
      <c r="UG5" s="22">
        <v>4890</v>
      </c>
      <c r="UH5" s="22">
        <v>4890</v>
      </c>
      <c r="UI5" s="22">
        <v>4890</v>
      </c>
      <c r="UJ5" s="22">
        <v>4890</v>
      </c>
      <c r="UK5" s="22">
        <v>4890</v>
      </c>
      <c r="UL5" s="22">
        <v>4890</v>
      </c>
      <c r="UM5" s="22">
        <v>4890</v>
      </c>
      <c r="UN5" s="22">
        <v>4890</v>
      </c>
      <c r="UO5" s="22">
        <v>4890</v>
      </c>
      <c r="UP5" s="22">
        <v>4890</v>
      </c>
      <c r="UQ5" s="22">
        <v>4890</v>
      </c>
      <c r="UR5" s="22">
        <v>4890</v>
      </c>
      <c r="US5" s="22">
        <v>4890</v>
      </c>
      <c r="UT5" s="22">
        <v>4890</v>
      </c>
      <c r="UU5" s="22">
        <v>4890</v>
      </c>
      <c r="UV5" s="22">
        <v>4890</v>
      </c>
      <c r="UW5" s="22">
        <v>4890</v>
      </c>
      <c r="UX5" s="127">
        <v>4890</v>
      </c>
      <c r="UY5" s="22">
        <v>4890</v>
      </c>
      <c r="UZ5" s="22">
        <v>4890</v>
      </c>
      <c r="VA5" s="22">
        <v>4890</v>
      </c>
      <c r="VB5" s="22">
        <v>4890</v>
      </c>
      <c r="VC5" s="22">
        <v>4890</v>
      </c>
      <c r="VD5" s="22">
        <v>4890</v>
      </c>
      <c r="VE5" s="22">
        <v>4899</v>
      </c>
      <c r="VF5" s="22">
        <v>4899</v>
      </c>
      <c r="VG5" s="22">
        <v>4899</v>
      </c>
      <c r="VH5" s="22">
        <v>4899</v>
      </c>
      <c r="VI5" s="22">
        <v>4899</v>
      </c>
      <c r="VJ5" s="22">
        <v>4899</v>
      </c>
      <c r="VK5" s="22">
        <v>4899</v>
      </c>
      <c r="VL5" s="22">
        <v>4899</v>
      </c>
      <c r="VM5" s="22">
        <v>4899</v>
      </c>
      <c r="VN5" s="22">
        <v>4899</v>
      </c>
      <c r="VO5" s="22">
        <v>4899</v>
      </c>
      <c r="VP5" s="22">
        <v>4899</v>
      </c>
      <c r="VQ5" s="22">
        <v>4899</v>
      </c>
      <c r="VR5" s="22">
        <v>4899</v>
      </c>
      <c r="VS5" s="22">
        <v>4899</v>
      </c>
      <c r="VT5" s="22">
        <v>4899</v>
      </c>
      <c r="VU5" s="22">
        <v>4899</v>
      </c>
      <c r="VV5" s="22">
        <v>4899</v>
      </c>
      <c r="VW5" s="22">
        <v>4899</v>
      </c>
      <c r="VX5" s="22">
        <v>4899</v>
      </c>
      <c r="VY5" s="22">
        <v>4899</v>
      </c>
      <c r="VZ5" s="22">
        <v>4899</v>
      </c>
      <c r="WA5" s="127">
        <v>4899</v>
      </c>
      <c r="WB5" s="22">
        <v>4899</v>
      </c>
      <c r="WC5" s="22">
        <v>4899</v>
      </c>
      <c r="WD5" s="22">
        <v>4899</v>
      </c>
      <c r="WE5" s="22">
        <v>4899</v>
      </c>
      <c r="WF5" s="22">
        <v>4899</v>
      </c>
      <c r="WG5" s="22">
        <v>4899</v>
      </c>
      <c r="WH5" s="22">
        <v>4899</v>
      </c>
      <c r="WI5" s="22">
        <v>4899</v>
      </c>
      <c r="WJ5" s="22">
        <v>4899</v>
      </c>
      <c r="WK5" s="22">
        <v>4899</v>
      </c>
      <c r="WL5" s="22">
        <v>4899</v>
      </c>
      <c r="WM5" s="22">
        <v>4899</v>
      </c>
      <c r="WN5" s="22">
        <v>4899</v>
      </c>
      <c r="WO5" s="22">
        <v>4899</v>
      </c>
      <c r="WP5" s="22">
        <v>4899</v>
      </c>
      <c r="WQ5" s="22">
        <v>4899</v>
      </c>
      <c r="WR5" s="22">
        <v>4899</v>
      </c>
      <c r="WS5" s="22">
        <v>4899</v>
      </c>
      <c r="WT5" s="22">
        <v>4899</v>
      </c>
      <c r="WU5" s="22">
        <v>4899</v>
      </c>
      <c r="WV5" s="22">
        <v>4899</v>
      </c>
      <c r="WW5" s="22">
        <v>4899</v>
      </c>
      <c r="WX5" s="22">
        <v>4899</v>
      </c>
      <c r="WY5" s="22">
        <v>4899</v>
      </c>
      <c r="WZ5" s="22">
        <v>4899</v>
      </c>
      <c r="XA5" s="22">
        <v>4899</v>
      </c>
      <c r="XB5" s="22">
        <v>4899</v>
      </c>
      <c r="XC5" s="22">
        <v>4899</v>
      </c>
      <c r="XD5" s="22">
        <v>4899</v>
      </c>
      <c r="XE5" s="22">
        <v>4899</v>
      </c>
      <c r="XF5" s="22">
        <v>4899</v>
      </c>
      <c r="XG5" s="127">
        <v>4899</v>
      </c>
      <c r="XH5" s="22">
        <v>4899</v>
      </c>
      <c r="XI5" s="22">
        <v>4899</v>
      </c>
      <c r="XJ5" s="22">
        <v>4885</v>
      </c>
      <c r="XK5" s="22">
        <v>4885</v>
      </c>
      <c r="XL5" s="22">
        <v>4885</v>
      </c>
      <c r="XM5" s="22">
        <v>4885</v>
      </c>
      <c r="XN5" s="22">
        <v>4885</v>
      </c>
      <c r="XO5" s="22">
        <v>4885</v>
      </c>
      <c r="XP5" s="22">
        <v>4885</v>
      </c>
      <c r="XQ5" s="22">
        <v>4885</v>
      </c>
      <c r="XR5" s="22">
        <v>4885</v>
      </c>
      <c r="XS5" s="22">
        <v>4885</v>
      </c>
      <c r="XT5" s="22">
        <v>4885</v>
      </c>
      <c r="XU5" s="22">
        <v>4885</v>
      </c>
      <c r="XV5" s="22">
        <v>4885</v>
      </c>
      <c r="XW5" s="22">
        <v>4885</v>
      </c>
      <c r="XX5" s="22">
        <v>4950</v>
      </c>
      <c r="XY5" s="22">
        <v>4950</v>
      </c>
      <c r="XZ5" s="22">
        <v>4950</v>
      </c>
      <c r="YA5" s="22">
        <v>4950</v>
      </c>
      <c r="YB5" s="22">
        <v>4950</v>
      </c>
      <c r="YC5" s="22">
        <v>4950</v>
      </c>
      <c r="YD5" s="22">
        <v>4950</v>
      </c>
      <c r="YE5" s="22">
        <v>4950</v>
      </c>
      <c r="YF5" s="22">
        <v>4950</v>
      </c>
      <c r="YG5" s="22">
        <v>4950</v>
      </c>
      <c r="YH5" s="22">
        <v>4950</v>
      </c>
      <c r="YI5" s="22">
        <v>4950</v>
      </c>
      <c r="YJ5" s="22">
        <v>4950</v>
      </c>
      <c r="YK5" s="22">
        <v>4950</v>
      </c>
      <c r="YL5" s="127">
        <v>4899</v>
      </c>
      <c r="YM5" s="22">
        <v>4950</v>
      </c>
      <c r="YN5" s="22">
        <v>4950</v>
      </c>
      <c r="YO5" s="22">
        <v>4950</v>
      </c>
      <c r="YP5" s="22">
        <v>4950</v>
      </c>
      <c r="YQ5" s="22">
        <v>4950</v>
      </c>
      <c r="YR5" s="22">
        <v>4950</v>
      </c>
      <c r="YS5" s="22">
        <v>4950</v>
      </c>
      <c r="YT5" s="22">
        <v>4950</v>
      </c>
      <c r="YU5" s="22">
        <v>4950</v>
      </c>
      <c r="YV5" s="22">
        <v>4950</v>
      </c>
      <c r="YW5" s="22">
        <v>4950</v>
      </c>
      <c r="YX5" s="22">
        <v>4950</v>
      </c>
      <c r="YY5" s="22">
        <v>4950</v>
      </c>
      <c r="YZ5" s="22">
        <v>4950</v>
      </c>
      <c r="ZA5" s="22">
        <v>4950</v>
      </c>
      <c r="ZB5" s="22">
        <v>4950</v>
      </c>
      <c r="ZC5" s="22">
        <v>4950</v>
      </c>
      <c r="ZD5" s="22">
        <v>4950</v>
      </c>
      <c r="ZE5" s="22">
        <v>4950</v>
      </c>
      <c r="ZF5" s="22">
        <v>4950</v>
      </c>
      <c r="ZG5" s="22">
        <v>4950</v>
      </c>
      <c r="ZH5" s="22">
        <v>4950</v>
      </c>
      <c r="ZI5" s="22">
        <v>4950</v>
      </c>
      <c r="ZJ5" s="22">
        <v>4950</v>
      </c>
      <c r="ZK5" s="22">
        <v>4950</v>
      </c>
      <c r="ZL5" s="22">
        <v>4950</v>
      </c>
      <c r="ZM5" s="22">
        <v>4990</v>
      </c>
      <c r="ZN5" s="22">
        <v>4990</v>
      </c>
      <c r="ZO5" s="22">
        <v>4990</v>
      </c>
      <c r="ZP5" s="22">
        <v>4990</v>
      </c>
      <c r="ZQ5" s="22">
        <v>4990</v>
      </c>
      <c r="ZR5" s="127">
        <v>4990</v>
      </c>
      <c r="ZS5" s="22">
        <v>4990</v>
      </c>
      <c r="ZT5" s="22">
        <v>4990</v>
      </c>
      <c r="ZU5" s="22">
        <v>4990</v>
      </c>
      <c r="ZV5" s="22">
        <v>4990</v>
      </c>
      <c r="ZW5" s="22">
        <v>4990</v>
      </c>
      <c r="ZX5" s="22">
        <v>4990</v>
      </c>
      <c r="ZY5" s="22">
        <v>4990</v>
      </c>
      <c r="ZZ5" s="22">
        <v>4990</v>
      </c>
      <c r="AAA5" s="22">
        <v>4990</v>
      </c>
      <c r="AAB5" s="22">
        <v>4990</v>
      </c>
      <c r="AAC5" s="22">
        <v>4990</v>
      </c>
      <c r="AAD5" s="22">
        <v>4990</v>
      </c>
      <c r="AAE5" s="22">
        <v>4990</v>
      </c>
      <c r="AAF5" s="22">
        <v>4990</v>
      </c>
      <c r="AAG5" s="22">
        <v>4990</v>
      </c>
      <c r="AAH5" s="22">
        <v>4990</v>
      </c>
      <c r="AAI5" s="22">
        <v>4990</v>
      </c>
      <c r="AAJ5" s="22">
        <v>4990</v>
      </c>
      <c r="AAK5" s="22">
        <v>4990</v>
      </c>
      <c r="AAL5" s="22">
        <v>4990</v>
      </c>
      <c r="AAM5" s="22">
        <v>4990</v>
      </c>
      <c r="AAN5" s="22">
        <v>4990</v>
      </c>
      <c r="AAO5" s="22">
        <v>4990</v>
      </c>
      <c r="AAP5" s="22">
        <v>4990</v>
      </c>
      <c r="AAQ5" s="22">
        <v>4990</v>
      </c>
      <c r="AAR5" s="22">
        <v>4990</v>
      </c>
      <c r="AAS5" s="22">
        <v>4990</v>
      </c>
      <c r="AAT5" s="22">
        <v>4990</v>
      </c>
      <c r="AAU5" s="22">
        <v>4990</v>
      </c>
      <c r="AAV5" s="22">
        <v>4990</v>
      </c>
      <c r="AAW5" s="127">
        <v>4990</v>
      </c>
      <c r="AAX5" s="22">
        <v>4990</v>
      </c>
      <c r="AAY5" s="22">
        <v>4990</v>
      </c>
      <c r="AAZ5" s="22">
        <v>4990</v>
      </c>
      <c r="ABA5" s="22">
        <v>4990</v>
      </c>
      <c r="ABB5" s="22">
        <v>4990</v>
      </c>
      <c r="ABC5" s="22">
        <v>4990</v>
      </c>
      <c r="ABD5" s="22">
        <v>4990</v>
      </c>
      <c r="ABE5" s="22">
        <v>4990</v>
      </c>
      <c r="ABF5" s="22">
        <v>4990</v>
      </c>
      <c r="ABG5" s="22">
        <v>4990</v>
      </c>
      <c r="ABH5" s="22">
        <v>4990</v>
      </c>
      <c r="ABI5" s="22">
        <v>4990</v>
      </c>
      <c r="ABJ5" s="22">
        <v>4990</v>
      </c>
      <c r="ABK5" s="22">
        <v>4990</v>
      </c>
      <c r="ABL5" s="22">
        <v>4990</v>
      </c>
      <c r="ABM5" s="22">
        <v>4990</v>
      </c>
      <c r="ABN5" s="22">
        <v>4990</v>
      </c>
      <c r="ABO5" s="22">
        <v>4990</v>
      </c>
      <c r="ABP5" s="22">
        <v>4990</v>
      </c>
      <c r="ABQ5" s="22">
        <v>4990</v>
      </c>
      <c r="ABR5" s="22">
        <v>4990</v>
      </c>
      <c r="ABS5" s="22">
        <v>4990</v>
      </c>
      <c r="ABT5" s="22">
        <v>4990</v>
      </c>
      <c r="ABU5" s="22">
        <v>4990</v>
      </c>
      <c r="ABV5" s="22">
        <v>4990</v>
      </c>
      <c r="ABW5" s="22">
        <v>4990</v>
      </c>
      <c r="ABX5" s="22">
        <v>4990</v>
      </c>
      <c r="ABY5" s="22">
        <v>4990</v>
      </c>
      <c r="ABZ5" s="22">
        <v>4990</v>
      </c>
      <c r="ACA5" s="22">
        <v>4990</v>
      </c>
      <c r="ACB5" s="22">
        <v>4990</v>
      </c>
      <c r="ACC5" s="127">
        <v>4990</v>
      </c>
      <c r="ACD5" s="22">
        <v>4990</v>
      </c>
      <c r="ACE5" s="22">
        <v>4990</v>
      </c>
      <c r="ACF5" s="22">
        <v>4990</v>
      </c>
      <c r="ACG5" s="22">
        <v>4990</v>
      </c>
      <c r="ACH5" s="22">
        <v>4990</v>
      </c>
      <c r="ACI5" s="22">
        <v>4990</v>
      </c>
      <c r="ACJ5" s="22">
        <v>5019</v>
      </c>
      <c r="ACK5" s="22">
        <v>5019</v>
      </c>
      <c r="ACL5" s="22">
        <v>5019</v>
      </c>
      <c r="ACM5" s="22">
        <v>5019</v>
      </c>
      <c r="ACN5" s="22">
        <v>5019</v>
      </c>
      <c r="ACO5" s="22">
        <v>5019</v>
      </c>
      <c r="ACP5" s="22">
        <v>5019</v>
      </c>
      <c r="ACQ5" s="22">
        <v>5019</v>
      </c>
      <c r="ACR5" s="22">
        <v>5019</v>
      </c>
      <c r="ACS5" s="22">
        <v>5019</v>
      </c>
      <c r="ACT5" s="22">
        <v>5019</v>
      </c>
      <c r="ACU5" s="22">
        <v>5019</v>
      </c>
      <c r="ACV5" s="22">
        <v>5019</v>
      </c>
      <c r="ACW5" s="22">
        <v>5019</v>
      </c>
      <c r="ACX5" s="22">
        <v>5019</v>
      </c>
      <c r="ACY5" s="22">
        <v>5019</v>
      </c>
      <c r="ACZ5" s="22">
        <v>5019</v>
      </c>
      <c r="ADA5" s="22">
        <v>5019</v>
      </c>
      <c r="ADB5" s="22">
        <v>5019</v>
      </c>
      <c r="ADC5" s="22">
        <v>5019</v>
      </c>
      <c r="ADD5" s="22">
        <v>5019</v>
      </c>
      <c r="ADE5" s="22">
        <v>5019</v>
      </c>
      <c r="ADF5" s="22">
        <v>5019</v>
      </c>
      <c r="ADG5" s="22">
        <v>5019</v>
      </c>
      <c r="ADH5" s="22">
        <v>5019</v>
      </c>
      <c r="ADI5" s="127">
        <v>4990</v>
      </c>
      <c r="ADJ5" s="22">
        <v>5019</v>
      </c>
      <c r="ADK5" s="22">
        <v>5019</v>
      </c>
      <c r="ADL5" s="22">
        <v>5019</v>
      </c>
      <c r="ADM5" s="22">
        <v>5019</v>
      </c>
      <c r="ADN5" s="22">
        <v>5019</v>
      </c>
      <c r="ADO5" s="22">
        <v>5019</v>
      </c>
      <c r="ADP5" s="22">
        <v>5019</v>
      </c>
      <c r="ADQ5" s="22">
        <v>5019</v>
      </c>
      <c r="ADR5" s="22">
        <v>5019</v>
      </c>
      <c r="ADS5" s="22">
        <v>5019</v>
      </c>
      <c r="ADT5" s="22">
        <v>5019</v>
      </c>
      <c r="ADU5" s="22">
        <v>5019</v>
      </c>
      <c r="ADV5" s="22">
        <v>5019</v>
      </c>
      <c r="ADW5" s="22">
        <v>5019</v>
      </c>
      <c r="ADX5" s="22">
        <v>5019</v>
      </c>
      <c r="ADY5" s="22">
        <v>5019</v>
      </c>
      <c r="ADZ5" s="22">
        <v>5019</v>
      </c>
      <c r="AEA5" s="22">
        <v>5019</v>
      </c>
      <c r="AEB5" s="22">
        <v>5019</v>
      </c>
      <c r="AEC5" s="22">
        <v>5019</v>
      </c>
      <c r="AED5" s="22">
        <v>5019</v>
      </c>
      <c r="AEE5" s="22">
        <v>4999</v>
      </c>
      <c r="AEF5" s="22">
        <v>4999</v>
      </c>
      <c r="AEG5" s="22">
        <v>4999</v>
      </c>
      <c r="AEH5" s="22">
        <v>4999</v>
      </c>
      <c r="AEI5" s="22">
        <v>4999</v>
      </c>
      <c r="AEJ5" s="22">
        <v>4999</v>
      </c>
      <c r="AEK5" s="22">
        <v>4999</v>
      </c>
      <c r="AEL5" s="22">
        <v>4999</v>
      </c>
      <c r="AEM5" s="22">
        <v>4999</v>
      </c>
      <c r="AEN5" s="127">
        <v>4990</v>
      </c>
      <c r="AEO5" s="22">
        <v>4999</v>
      </c>
      <c r="AEP5" s="22">
        <v>4999</v>
      </c>
      <c r="AEQ5" s="22">
        <v>4999</v>
      </c>
      <c r="AER5" s="22">
        <v>4999</v>
      </c>
      <c r="AES5" s="22">
        <v>4999</v>
      </c>
      <c r="AET5" s="22">
        <v>4999</v>
      </c>
      <c r="AEU5" s="22">
        <v>4999</v>
      </c>
      <c r="AEV5" s="22">
        <v>4999</v>
      </c>
      <c r="AEW5" s="22">
        <v>4999</v>
      </c>
      <c r="AEX5" s="22">
        <v>4999</v>
      </c>
      <c r="AEY5" s="22">
        <v>4999</v>
      </c>
      <c r="AEZ5" s="22">
        <v>4999</v>
      </c>
      <c r="AFA5" s="22">
        <v>4999</v>
      </c>
      <c r="AFB5" s="22">
        <v>4999</v>
      </c>
      <c r="AFC5" s="22">
        <v>4999</v>
      </c>
      <c r="AFD5" s="22">
        <v>4999</v>
      </c>
      <c r="AFE5" s="22">
        <v>4999</v>
      </c>
      <c r="AFF5" s="22">
        <v>4999</v>
      </c>
      <c r="AFG5" s="22">
        <v>4999</v>
      </c>
      <c r="AFH5" s="22">
        <v>4999</v>
      </c>
      <c r="AFI5" s="22">
        <v>4999</v>
      </c>
      <c r="AFJ5" s="22">
        <v>4999</v>
      </c>
      <c r="AFK5" s="22">
        <v>4999</v>
      </c>
      <c r="AFL5" s="22">
        <v>4999</v>
      </c>
      <c r="AFM5" s="22">
        <v>4999</v>
      </c>
      <c r="AFN5" s="22">
        <v>4999</v>
      </c>
      <c r="AFO5" s="22">
        <v>4949</v>
      </c>
      <c r="AFP5" s="22">
        <v>4949</v>
      </c>
      <c r="AFQ5" s="22">
        <v>4949</v>
      </c>
      <c r="AFR5" s="22">
        <v>4949</v>
      </c>
      <c r="AFS5" s="22">
        <v>4949</v>
      </c>
      <c r="AFT5" s="127">
        <v>4990</v>
      </c>
      <c r="AFU5" s="22">
        <v>4949</v>
      </c>
      <c r="AFV5" s="22">
        <v>4949</v>
      </c>
      <c r="AFW5" s="22">
        <v>4949</v>
      </c>
      <c r="AFX5" s="22">
        <v>4949</v>
      </c>
      <c r="AFY5" s="22">
        <v>4949</v>
      </c>
      <c r="AFZ5" s="22">
        <v>4949</v>
      </c>
      <c r="AGA5" s="22">
        <v>4949</v>
      </c>
      <c r="AGB5" s="22">
        <v>4949</v>
      </c>
      <c r="AGC5" s="22">
        <v>4949</v>
      </c>
      <c r="AGD5" s="22">
        <v>4949</v>
      </c>
      <c r="AGE5" s="22">
        <v>4949</v>
      </c>
      <c r="AGF5" s="22">
        <v>4949</v>
      </c>
      <c r="AGG5" s="22">
        <v>4949</v>
      </c>
      <c r="AGH5" s="22">
        <v>4949</v>
      </c>
      <c r="AGI5" s="22">
        <v>4949</v>
      </c>
      <c r="AGJ5" s="22">
        <v>4949</v>
      </c>
      <c r="AGK5" s="22">
        <v>4949</v>
      </c>
      <c r="AGL5" s="22">
        <v>4949</v>
      </c>
      <c r="AGM5" s="22">
        <v>4949</v>
      </c>
      <c r="AGN5" s="22">
        <v>4949</v>
      </c>
      <c r="AGO5" s="22">
        <v>4949</v>
      </c>
      <c r="AGP5" s="22">
        <v>4949</v>
      </c>
      <c r="AGQ5" s="22">
        <v>4949</v>
      </c>
      <c r="AGR5" s="22">
        <v>4949</v>
      </c>
      <c r="AGS5" s="22">
        <v>4949</v>
      </c>
      <c r="AGT5" s="22">
        <v>4949</v>
      </c>
      <c r="AGU5" s="22">
        <v>4949</v>
      </c>
      <c r="AGV5" s="22">
        <v>4949</v>
      </c>
      <c r="AGW5" s="22">
        <v>4949</v>
      </c>
      <c r="AGX5" s="22">
        <v>4949</v>
      </c>
      <c r="AGY5" s="127">
        <v>4949</v>
      </c>
      <c r="AGZ5" s="22">
        <v>4949</v>
      </c>
      <c r="AHA5" s="22">
        <v>4949</v>
      </c>
      <c r="AHB5" s="22">
        <v>4949</v>
      </c>
      <c r="AHC5" s="22">
        <v>4949</v>
      </c>
      <c r="AHD5" s="22">
        <v>4949</v>
      </c>
      <c r="AHE5" s="22">
        <v>4949</v>
      </c>
      <c r="AHF5" s="22">
        <v>4949</v>
      </c>
      <c r="AHG5" s="22">
        <v>4949</v>
      </c>
      <c r="AHH5" s="22">
        <v>4949</v>
      </c>
      <c r="AHI5" s="22">
        <v>4949</v>
      </c>
      <c r="AHJ5" s="22">
        <v>4949</v>
      </c>
      <c r="AHK5" s="22">
        <v>4949</v>
      </c>
      <c r="AHL5" s="22">
        <v>4949</v>
      </c>
      <c r="AHM5" s="22">
        <v>4949</v>
      </c>
      <c r="AHN5" s="22">
        <v>4949</v>
      </c>
      <c r="AHO5" s="22">
        <v>4949</v>
      </c>
      <c r="AHP5" s="22">
        <v>4949</v>
      </c>
      <c r="AHQ5" s="22">
        <v>4949</v>
      </c>
      <c r="AHR5" s="22">
        <v>4949</v>
      </c>
      <c r="AHS5" s="22">
        <v>4949</v>
      </c>
      <c r="AHT5" s="22">
        <v>4949</v>
      </c>
      <c r="AHU5" s="22">
        <v>4949</v>
      </c>
      <c r="AHV5" s="22">
        <v>4949</v>
      </c>
      <c r="AHW5" s="22">
        <v>4949</v>
      </c>
      <c r="AHX5" s="22">
        <v>4949</v>
      </c>
      <c r="AHY5" s="22">
        <v>4949</v>
      </c>
      <c r="AHZ5" s="22">
        <v>4949</v>
      </c>
      <c r="AIA5" s="22">
        <v>4949</v>
      </c>
      <c r="AIB5" s="22">
        <v>4949</v>
      </c>
      <c r="AIC5" s="22">
        <v>4949</v>
      </c>
      <c r="AID5" s="22">
        <v>4949</v>
      </c>
      <c r="AIE5" s="127">
        <v>4949</v>
      </c>
      <c r="AIF5" s="22">
        <v>4949</v>
      </c>
      <c r="AIG5" s="22">
        <v>4949</v>
      </c>
      <c r="AIH5" s="22">
        <v>4949</v>
      </c>
      <c r="AII5" s="22">
        <v>4949</v>
      </c>
      <c r="AIJ5" s="22">
        <v>4949</v>
      </c>
      <c r="AIK5" s="22">
        <v>4949</v>
      </c>
      <c r="AIL5" s="22">
        <v>4949</v>
      </c>
      <c r="AIM5" s="22">
        <v>4949</v>
      </c>
      <c r="AIN5" s="22">
        <v>4949</v>
      </c>
      <c r="AIO5" s="22">
        <v>4949</v>
      </c>
      <c r="AIP5" s="22">
        <v>4949</v>
      </c>
      <c r="AIQ5" s="22">
        <v>4949</v>
      </c>
      <c r="AIR5" s="22">
        <v>4949</v>
      </c>
      <c r="AIS5" s="22">
        <v>4999</v>
      </c>
      <c r="AIT5" s="22">
        <v>4999</v>
      </c>
      <c r="AIU5" s="22">
        <v>4999</v>
      </c>
      <c r="AIV5" s="22">
        <v>4999</v>
      </c>
      <c r="AIW5" s="22">
        <v>4999</v>
      </c>
      <c r="AIX5" s="22">
        <v>4999</v>
      </c>
      <c r="AIY5" s="22">
        <v>4999</v>
      </c>
      <c r="AIZ5" s="22">
        <v>4999</v>
      </c>
      <c r="AJA5" s="22">
        <v>4999</v>
      </c>
      <c r="AJB5" s="22">
        <v>4999</v>
      </c>
      <c r="AJC5" s="22">
        <v>4999</v>
      </c>
      <c r="AJD5" s="22">
        <v>4999</v>
      </c>
      <c r="AJE5" s="22">
        <v>4999</v>
      </c>
      <c r="AJF5" s="22">
        <v>4999</v>
      </c>
      <c r="AJG5" s="22">
        <v>4999</v>
      </c>
      <c r="AJH5" s="22">
        <v>5049</v>
      </c>
      <c r="AJI5" s="22">
        <v>5049</v>
      </c>
      <c r="AJJ5" s="22">
        <v>5049</v>
      </c>
      <c r="AJK5" s="127">
        <v>4999</v>
      </c>
      <c r="AJL5" s="22">
        <v>5049</v>
      </c>
      <c r="AJM5" s="22">
        <v>5049</v>
      </c>
      <c r="AJN5" s="22">
        <v>5049</v>
      </c>
      <c r="AJO5" s="22">
        <v>5049</v>
      </c>
      <c r="AJP5" s="22">
        <v>5049</v>
      </c>
      <c r="AJQ5" s="22">
        <v>5049</v>
      </c>
      <c r="AJR5" s="22">
        <v>5049</v>
      </c>
      <c r="AJS5" s="22">
        <v>5049</v>
      </c>
      <c r="AJT5" s="22">
        <v>5049</v>
      </c>
      <c r="AJU5" s="22">
        <v>5049</v>
      </c>
      <c r="AJV5" s="22">
        <v>5049</v>
      </c>
      <c r="AJW5" s="22">
        <v>5049</v>
      </c>
      <c r="AJX5" s="22">
        <v>5049</v>
      </c>
      <c r="AJY5" s="22">
        <v>5049</v>
      </c>
      <c r="AJZ5" s="22">
        <v>5049</v>
      </c>
      <c r="AKA5" s="22">
        <v>5049</v>
      </c>
      <c r="AKB5" s="22">
        <v>5049</v>
      </c>
      <c r="AKC5" s="22">
        <v>5049</v>
      </c>
      <c r="AKD5" s="22">
        <v>5049</v>
      </c>
      <c r="AKE5" s="22">
        <v>5049</v>
      </c>
      <c r="AKF5" s="22">
        <v>5049</v>
      </c>
      <c r="AKG5" s="22">
        <v>5049</v>
      </c>
      <c r="AKH5" s="22">
        <v>5049</v>
      </c>
      <c r="AKI5" s="22">
        <v>5049</v>
      </c>
      <c r="AKJ5" s="22">
        <v>5049</v>
      </c>
      <c r="AKK5" s="22">
        <v>5049</v>
      </c>
      <c r="AKL5" s="22">
        <v>5049</v>
      </c>
      <c r="AKM5" s="22">
        <v>5049</v>
      </c>
      <c r="AKN5" s="127">
        <f t="shared" si="11"/>
        <v>141372</v>
      </c>
      <c r="AKO5" s="22">
        <v>5049</v>
      </c>
      <c r="AKP5" s="22">
        <v>5049</v>
      </c>
      <c r="AKQ5" s="22">
        <v>5049</v>
      </c>
      <c r="AKR5" s="22">
        <v>5049</v>
      </c>
      <c r="AKS5" s="22">
        <v>5049</v>
      </c>
      <c r="AKT5" s="22">
        <v>5049</v>
      </c>
      <c r="AKU5" s="22">
        <v>5049</v>
      </c>
      <c r="AKV5" s="22">
        <v>5049</v>
      </c>
      <c r="AKW5" s="22">
        <v>5049</v>
      </c>
      <c r="AKX5" s="22">
        <v>5049</v>
      </c>
      <c r="AKY5" s="22">
        <v>5099</v>
      </c>
      <c r="AKZ5" s="22">
        <v>5099</v>
      </c>
      <c r="ALA5" s="22">
        <v>5099</v>
      </c>
      <c r="ALB5" s="22">
        <v>5099</v>
      </c>
      <c r="ALC5" s="22">
        <v>5099</v>
      </c>
      <c r="ALD5" s="22">
        <v>5099</v>
      </c>
      <c r="ALE5" s="22">
        <v>5099</v>
      </c>
      <c r="ALF5" s="22">
        <v>5149</v>
      </c>
      <c r="ALG5" s="22">
        <v>5149</v>
      </c>
      <c r="ALH5" s="22">
        <v>5149</v>
      </c>
      <c r="ALI5" s="22">
        <v>5149</v>
      </c>
      <c r="ALJ5" s="22">
        <v>5149</v>
      </c>
      <c r="ALK5" s="22">
        <v>5149</v>
      </c>
      <c r="ALL5" s="22">
        <v>5199</v>
      </c>
      <c r="ALM5" s="22">
        <v>5199</v>
      </c>
      <c r="ALN5" s="22">
        <v>5199</v>
      </c>
      <c r="ALO5" s="22">
        <v>5199</v>
      </c>
      <c r="ALP5" s="22">
        <v>5199</v>
      </c>
      <c r="ALQ5" s="22">
        <v>5199</v>
      </c>
      <c r="ALR5" s="22">
        <v>5199</v>
      </c>
      <c r="ALS5" s="22">
        <v>5289</v>
      </c>
      <c r="ALT5" s="127">
        <f t="shared" si="12"/>
        <v>158759</v>
      </c>
      <c r="ALU5" s="22">
        <v>5289</v>
      </c>
      <c r="ALV5" s="22">
        <v>5289</v>
      </c>
      <c r="ALW5" s="22">
        <v>5289</v>
      </c>
      <c r="ALX5" s="22">
        <v>5289</v>
      </c>
      <c r="ALY5" s="22">
        <v>5289</v>
      </c>
      <c r="ALZ5" s="22">
        <v>5289</v>
      </c>
      <c r="AMA5" s="22">
        <v>5289</v>
      </c>
      <c r="AMB5" s="22">
        <v>5289</v>
      </c>
      <c r="AMC5" s="22">
        <v>5289</v>
      </c>
      <c r="AMD5" s="22">
        <v>5289</v>
      </c>
      <c r="AME5" s="22">
        <v>5289</v>
      </c>
      <c r="AMF5" s="22">
        <v>5289</v>
      </c>
      <c r="AMG5" s="22">
        <v>5289</v>
      </c>
      <c r="AMH5" s="22">
        <v>5289</v>
      </c>
      <c r="AMI5" s="22">
        <v>5389</v>
      </c>
      <c r="AMJ5" s="22">
        <v>5389</v>
      </c>
      <c r="AMK5" s="22">
        <v>5389</v>
      </c>
      <c r="AML5" s="22">
        <v>5389</v>
      </c>
      <c r="AMM5" s="22">
        <v>5389</v>
      </c>
      <c r="AMN5" s="22">
        <v>5389</v>
      </c>
      <c r="AMO5" s="22">
        <v>5389</v>
      </c>
      <c r="AMP5" s="22">
        <v>5499</v>
      </c>
      <c r="AMQ5" s="22">
        <v>5499</v>
      </c>
      <c r="AMR5" s="22">
        <v>5499</v>
      </c>
      <c r="AMS5" s="22">
        <v>5499</v>
      </c>
      <c r="AMT5" s="22">
        <v>5499</v>
      </c>
      <c r="AMU5" s="22">
        <v>5499</v>
      </c>
      <c r="AMV5" s="22">
        <v>5499</v>
      </c>
      <c r="AMW5" s="22">
        <v>5499</v>
      </c>
      <c r="AMX5" s="22">
        <v>5499</v>
      </c>
      <c r="AMY5" s="127">
        <f t="shared" si="13"/>
        <v>161260</v>
      </c>
      <c r="AMZ5" s="22">
        <v>5699</v>
      </c>
      <c r="ANA5" s="22">
        <v>5699</v>
      </c>
      <c r="ANB5" s="22">
        <v>5699</v>
      </c>
      <c r="ANC5" s="22">
        <v>5699</v>
      </c>
      <c r="AND5" s="22">
        <v>5699</v>
      </c>
      <c r="ANE5" s="22">
        <v>5699</v>
      </c>
      <c r="ANF5" s="22">
        <v>5699</v>
      </c>
      <c r="ANG5" s="22">
        <v>5699</v>
      </c>
      <c r="ANH5" s="22">
        <v>5699</v>
      </c>
      <c r="ANI5" s="22">
        <v>5699</v>
      </c>
      <c r="ANJ5" s="22">
        <v>5699</v>
      </c>
      <c r="ANK5" s="22">
        <v>5699</v>
      </c>
      <c r="ANL5" s="22">
        <v>5699</v>
      </c>
      <c r="ANM5" s="22">
        <v>5699</v>
      </c>
      <c r="ANN5" s="22">
        <v>5699</v>
      </c>
      <c r="ANO5" s="22">
        <v>5699</v>
      </c>
      <c r="ANP5" s="22">
        <v>6250</v>
      </c>
      <c r="ANQ5" s="22">
        <v>6250</v>
      </c>
      <c r="ANR5" s="22">
        <v>6250</v>
      </c>
      <c r="ANS5" s="22">
        <v>6250</v>
      </c>
      <c r="ANT5" s="22">
        <v>6250</v>
      </c>
      <c r="ANU5" s="22">
        <v>6250</v>
      </c>
      <c r="ANV5" s="22">
        <v>6250</v>
      </c>
      <c r="ANW5" s="22">
        <v>6250</v>
      </c>
      <c r="ANX5" s="22">
        <v>6250</v>
      </c>
      <c r="ANY5" s="22">
        <v>6250</v>
      </c>
      <c r="ANZ5" s="22">
        <v>6250</v>
      </c>
      <c r="AOA5" s="22">
        <v>6250</v>
      </c>
      <c r="AOB5" s="22">
        <v>6390</v>
      </c>
      <c r="AOC5" s="22">
        <v>6390</v>
      </c>
    </row>
    <row r="6" spans="1:1071" x14ac:dyDescent="0.2">
      <c r="A6" s="160"/>
      <c r="B6" s="5" t="s">
        <v>1506</v>
      </c>
      <c r="C6" s="22">
        <f t="shared" ref="C6:AG6" si="14">C5*C4</f>
        <v>11950962.000000268</v>
      </c>
      <c r="D6" s="22">
        <f t="shared" si="14"/>
        <v>12362881.999999998</v>
      </c>
      <c r="E6" s="22">
        <f t="shared" si="14"/>
        <v>11703672.249999916</v>
      </c>
      <c r="F6" s="22">
        <f t="shared" si="14"/>
        <v>12569844.250000257</v>
      </c>
      <c r="G6" s="22">
        <f t="shared" si="14"/>
        <v>12862867.000000043</v>
      </c>
      <c r="H6" s="22">
        <f t="shared" si="14"/>
        <v>13892115.999999667</v>
      </c>
      <c r="I6" s="22">
        <f t="shared" si="14"/>
        <v>12023831.750000339</v>
      </c>
      <c r="J6" s="22">
        <f t="shared" si="14"/>
        <v>10142867.340000028</v>
      </c>
      <c r="K6" s="22">
        <f t="shared" si="14"/>
        <v>10362912.449999938</v>
      </c>
      <c r="L6" s="22">
        <f t="shared" si="14"/>
        <v>11577251.039999966</v>
      </c>
      <c r="M6" s="22">
        <f t="shared" si="14"/>
        <v>11742366.779999696</v>
      </c>
      <c r="N6" s="22">
        <f t="shared" si="14"/>
        <v>13514722.830000585</v>
      </c>
      <c r="O6" s="22">
        <f t="shared" si="14"/>
        <v>12147473.94000018</v>
      </c>
      <c r="P6" s="22">
        <f t="shared" si="14"/>
        <v>13042358.609999882</v>
      </c>
      <c r="Q6" s="22">
        <f t="shared" si="14"/>
        <v>11232540.269999741</v>
      </c>
      <c r="R6" s="22">
        <f t="shared" si="14"/>
        <v>11975839.830000101</v>
      </c>
      <c r="S6" s="22">
        <f t="shared" si="14"/>
        <v>11692224.720000047</v>
      </c>
      <c r="T6" s="22">
        <f t="shared" si="14"/>
        <v>13717716.509999387</v>
      </c>
      <c r="U6" s="22">
        <f t="shared" si="14"/>
        <v>11628726.240000054</v>
      </c>
      <c r="V6" s="22">
        <f t="shared" si="14"/>
        <v>10630840.010000233</v>
      </c>
      <c r="W6" s="22">
        <f t="shared" si="14"/>
        <v>9454896.9700004198</v>
      </c>
      <c r="X6" s="22">
        <f t="shared" si="14"/>
        <v>10342878.709999641</v>
      </c>
      <c r="Y6" s="22">
        <f t="shared" si="14"/>
        <v>11204939.550000504</v>
      </c>
      <c r="Z6" s="22">
        <f t="shared" si="14"/>
        <v>11404962.170000138</v>
      </c>
      <c r="AA6" s="22">
        <f t="shared" si="14"/>
        <v>13959417.919999443</v>
      </c>
      <c r="AB6" s="22">
        <f t="shared" si="14"/>
        <v>14048062.840000072</v>
      </c>
      <c r="AC6" s="22">
        <f t="shared" si="14"/>
        <v>12679826.810000077</v>
      </c>
      <c r="AD6" s="22">
        <f t="shared" si="14"/>
        <v>10484721.939999778</v>
      </c>
      <c r="AE6" s="22">
        <f t="shared" si="14"/>
        <v>10741670.93999969</v>
      </c>
      <c r="AF6" s="22">
        <f t="shared" si="14"/>
        <v>10750621.500000725</v>
      </c>
      <c r="AG6" s="22">
        <f t="shared" si="14"/>
        <v>12783445.799999503</v>
      </c>
      <c r="AH6" s="94">
        <f>SUM(C6:AG6)</f>
        <v>368629460.97000027</v>
      </c>
      <c r="AI6" s="22">
        <f t="shared" ref="AI6:BL6" si="15">AI5*AI4</f>
        <v>15142705.800000424</v>
      </c>
      <c r="AJ6" s="22">
        <f t="shared" si="15"/>
        <v>13760539.500000095</v>
      </c>
      <c r="AK6" s="22">
        <f t="shared" si="15"/>
        <v>13170341.999999769</v>
      </c>
      <c r="AL6" s="22">
        <f t="shared" si="15"/>
        <v>12988537.200000282</v>
      </c>
      <c r="AM6" s="22">
        <f t="shared" si="15"/>
        <v>12327194.579999551</v>
      </c>
      <c r="AN6" s="22">
        <f t="shared" si="15"/>
        <v>9557104.7399999797</v>
      </c>
      <c r="AO6" s="22">
        <f t="shared" si="15"/>
        <v>64275715.889999785</v>
      </c>
      <c r="AP6" s="22">
        <f t="shared" si="15"/>
        <v>15385121.819999984</v>
      </c>
      <c r="AQ6" s="22">
        <f t="shared" si="15"/>
        <v>13689313.880000293</v>
      </c>
      <c r="AR6" s="22">
        <f t="shared" si="15"/>
        <v>11689064.370000262</v>
      </c>
      <c r="AS6" s="22">
        <f t="shared" si="15"/>
        <v>10779999.029999541</v>
      </c>
      <c r="AT6" s="22">
        <f t="shared" si="15"/>
        <v>8829495.5500005819</v>
      </c>
      <c r="AU6" s="22">
        <f t="shared" si="15"/>
        <v>63631450.149999492</v>
      </c>
      <c r="AV6" s="22">
        <f t="shared" si="15"/>
        <v>10737064.799999921</v>
      </c>
      <c r="AW6" s="22">
        <f t="shared" si="15"/>
        <v>11518138.050000519</v>
      </c>
      <c r="AX6" s="22">
        <f t="shared" si="15"/>
        <v>11942842.449999848</v>
      </c>
      <c r="AY6" s="22">
        <f t="shared" si="15"/>
        <v>10636094.250000119</v>
      </c>
      <c r="AZ6" s="22">
        <f t="shared" si="15"/>
        <v>11499204.400000036</v>
      </c>
      <c r="BA6" s="22">
        <f t="shared" si="15"/>
        <v>9749872.0999995489</v>
      </c>
      <c r="BB6" s="22">
        <f t="shared" si="15"/>
        <v>10287220.749999851</v>
      </c>
      <c r="BC6" s="22">
        <f t="shared" si="15"/>
        <v>10480938.900000798</v>
      </c>
      <c r="BD6" s="22">
        <f t="shared" si="15"/>
        <v>12250670.749999851</v>
      </c>
      <c r="BE6" s="22">
        <f t="shared" si="15"/>
        <v>12109409.349999487</v>
      </c>
      <c r="BF6" s="22">
        <f t="shared" si="15"/>
        <v>10239231.250000311</v>
      </c>
      <c r="BG6" s="22">
        <f t="shared" si="15"/>
        <v>10891059.19999953</v>
      </c>
      <c r="BH6" s="22">
        <f t="shared" si="15"/>
        <v>10508748.250000095</v>
      </c>
      <c r="BI6" s="22">
        <f t="shared" si="15"/>
        <v>10741094.980000349</v>
      </c>
      <c r="BJ6" s="22">
        <f t="shared" si="15"/>
        <v>9940151.7600000445</v>
      </c>
      <c r="BK6" s="22">
        <f t="shared" si="15"/>
        <v>11092037.880000116</v>
      </c>
      <c r="BL6" s="22">
        <f t="shared" si="15"/>
        <v>11910848.949999806</v>
      </c>
      <c r="BM6" s="97">
        <f t="shared" si="9"/>
        <v>451761212.5800004</v>
      </c>
      <c r="BN6" s="22">
        <f t="shared" ref="BN6:CR6" si="16">BN5*BN4</f>
        <v>10220313.180000218</v>
      </c>
      <c r="BO6" s="22">
        <f t="shared" si="16"/>
        <v>10986070.479999941</v>
      </c>
      <c r="BP6" s="22">
        <f t="shared" si="16"/>
        <v>10696282.519999964</v>
      </c>
      <c r="BQ6" s="22">
        <f t="shared" si="16"/>
        <v>10165189.649999831</v>
      </c>
      <c r="BR6" s="22">
        <f t="shared" si="16"/>
        <v>9661143.7999999113</v>
      </c>
      <c r="BS6" s="22">
        <f t="shared" si="16"/>
        <v>11336231.830000237</v>
      </c>
      <c r="BT6" s="22">
        <f t="shared" si="16"/>
        <v>9854224.3799995203</v>
      </c>
      <c r="BU6" s="22">
        <f t="shared" si="16"/>
        <v>11269379.66000044</v>
      </c>
      <c r="BV6" s="22">
        <f t="shared" si="16"/>
        <v>10459559.110000152</v>
      </c>
      <c r="BW6" s="22">
        <f t="shared" si="16"/>
        <v>9403835.9799996894</v>
      </c>
      <c r="BX6" s="22">
        <f t="shared" si="16"/>
        <v>9293524.2400002368</v>
      </c>
      <c r="BY6" s="22">
        <f t="shared" si="16"/>
        <v>9610418.5099996366</v>
      </c>
      <c r="BZ6" s="22">
        <f t="shared" si="16"/>
        <v>11094280.12000026</v>
      </c>
      <c r="CA6" s="22">
        <f t="shared" si="16"/>
        <v>11115457.42999981</v>
      </c>
      <c r="CB6" s="22">
        <f t="shared" si="16"/>
        <v>10630831.750000063</v>
      </c>
      <c r="CC6" s="22">
        <f t="shared" si="16"/>
        <v>10033080.750000408</v>
      </c>
      <c r="CD6" s="22">
        <f t="shared" si="16"/>
        <v>10669612.79999963</v>
      </c>
      <c r="CE6" s="22">
        <f t="shared" si="16"/>
        <v>9311101.0300005432</v>
      </c>
      <c r="CF6" s="22">
        <f t="shared" si="16"/>
        <v>9494177.7699993681</v>
      </c>
      <c r="CG6" s="22">
        <f t="shared" si="16"/>
        <v>10154318.020000027</v>
      </c>
      <c r="CH6" s="22">
        <f t="shared" si="16"/>
        <v>10602162.339999653</v>
      </c>
      <c r="CI6" s="22">
        <f t="shared" si="16"/>
        <v>11173302.91000022</v>
      </c>
      <c r="CJ6" s="22">
        <f t="shared" si="16"/>
        <v>9432413.7600005604</v>
      </c>
      <c r="CK6" s="22">
        <f t="shared" si="16"/>
        <v>10611072.009999763</v>
      </c>
      <c r="CL6" s="22">
        <f t="shared" si="16"/>
        <v>9877654.7100003529</v>
      </c>
      <c r="CM6" s="22">
        <f t="shared" si="16"/>
        <v>10132192.06999997</v>
      </c>
      <c r="CN6" s="22">
        <f t="shared" si="16"/>
        <v>10567326.769999715</v>
      </c>
      <c r="CO6" s="22">
        <f t="shared" si="16"/>
        <v>11563635.929999463</v>
      </c>
      <c r="CP6" s="22">
        <f t="shared" si="16"/>
        <v>10108066.430000467</v>
      </c>
      <c r="CQ6" s="22">
        <f t="shared" si="16"/>
        <v>10648645.699999869</v>
      </c>
      <c r="CR6" s="22">
        <f t="shared" si="16"/>
        <v>9860042.1989999227</v>
      </c>
      <c r="CS6" s="111">
        <f t="shared" si="10"/>
        <v>320035547.83899987</v>
      </c>
      <c r="CT6" s="22">
        <f t="shared" ref="CT6:DW6" si="17">CT5*CT4</f>
        <v>10794408.009000126</v>
      </c>
      <c r="CU6" s="22">
        <f t="shared" si="17"/>
        <v>9652315.9109998681</v>
      </c>
      <c r="CV6" s="22">
        <f t="shared" si="17"/>
        <v>11078519.613000149</v>
      </c>
      <c r="CW6" s="22">
        <f t="shared" si="17"/>
        <v>14033724.117000047</v>
      </c>
      <c r="CX6" s="22">
        <f t="shared" si="17"/>
        <v>12081509.286000026</v>
      </c>
      <c r="CY6" s="22">
        <f t="shared" si="17"/>
        <v>11049181.647000307</v>
      </c>
      <c r="CZ6" s="22">
        <f t="shared" si="17"/>
        <v>9853047.644999804</v>
      </c>
      <c r="DA6" s="22">
        <f t="shared" si="17"/>
        <v>10321062.716999857</v>
      </c>
      <c r="DB6" s="22">
        <f t="shared" si="17"/>
        <v>11256189.986999661</v>
      </c>
      <c r="DC6" s="22">
        <f t="shared" si="17"/>
        <v>11718961.863000307</v>
      </c>
      <c r="DD6" s="22">
        <f t="shared" si="17"/>
        <v>12087829.403999928</v>
      </c>
      <c r="DE6" s="22">
        <f t="shared" si="17"/>
        <v>10216274.942999681</v>
      </c>
      <c r="DF6" s="22">
        <f t="shared" si="17"/>
        <v>9962420.4960001018</v>
      </c>
      <c r="DG6" s="22">
        <f t="shared" si="17"/>
        <v>11370381.792000268</v>
      </c>
      <c r="DH6" s="22">
        <f t="shared" si="17"/>
        <v>9943285.650000073</v>
      </c>
      <c r="DI6" s="22">
        <f t="shared" si="17"/>
        <v>6661237.6500003124</v>
      </c>
      <c r="DJ6" s="22">
        <f t="shared" si="17"/>
        <v>7101635.6999998009</v>
      </c>
      <c r="DK6" s="22">
        <f t="shared" si="17"/>
        <v>10434854.699999407</v>
      </c>
      <c r="DL6" s="22">
        <f t="shared" si="17"/>
        <v>8864304.599999791</v>
      </c>
      <c r="DM6" s="22">
        <f t="shared" si="17"/>
        <v>9545062.0500000305</v>
      </c>
      <c r="DN6" s="22">
        <f t="shared" si="17"/>
        <v>7842827.1000001784</v>
      </c>
      <c r="DO6" s="22">
        <f t="shared" si="17"/>
        <v>9882901.650000371</v>
      </c>
      <c r="DP6" s="22">
        <f t="shared" si="17"/>
        <v>10275697.35000056</v>
      </c>
      <c r="DQ6" s="22">
        <f t="shared" si="17"/>
        <v>10140754.649999196</v>
      </c>
      <c r="DR6" s="22">
        <f t="shared" si="17"/>
        <v>11916105.300000496</v>
      </c>
      <c r="DS6" s="22">
        <f t="shared" si="17"/>
        <v>9288596.5500000771</v>
      </c>
      <c r="DT6" s="22">
        <f t="shared" si="17"/>
        <v>8719949.0999997389</v>
      </c>
      <c r="DU6" s="22">
        <f t="shared" si="17"/>
        <v>8040817.8000003351</v>
      </c>
      <c r="DV6" s="22">
        <f t="shared" si="17"/>
        <v>7482016.0499998629</v>
      </c>
      <c r="DW6" s="22">
        <f t="shared" si="17"/>
        <v>9819886.949999446</v>
      </c>
      <c r="DX6" s="119">
        <f>SUM(CT6:DW6)</f>
        <v>301435760.27999973</v>
      </c>
      <c r="DY6" s="22">
        <f t="shared" ref="DY6:FC6" si="18">DY5*DY4</f>
        <v>10832551.050000088</v>
      </c>
      <c r="DZ6" s="22">
        <f t="shared" si="18"/>
        <v>9694517.9999997281</v>
      </c>
      <c r="EA6" s="22">
        <f t="shared" si="18"/>
        <v>8077636.5000006072</v>
      </c>
      <c r="EB6" s="22">
        <f t="shared" si="18"/>
        <v>8342887.6499998281</v>
      </c>
      <c r="EC6" s="22">
        <f t="shared" si="18"/>
        <v>8405291.8500000238</v>
      </c>
      <c r="ED6" s="22">
        <f t="shared" si="18"/>
        <v>9324349.6499994863</v>
      </c>
      <c r="EE6" s="22">
        <f t="shared" si="18"/>
        <v>9053975.8500000499</v>
      </c>
      <c r="EF6" s="22">
        <f t="shared" si="18"/>
        <v>10522078.500000458</v>
      </c>
      <c r="EG6" s="22">
        <f t="shared" si="18"/>
        <v>11682771.099999949</v>
      </c>
      <c r="EH6" s="22">
        <f t="shared" si="18"/>
        <v>11015171.089999968</v>
      </c>
      <c r="EI6" s="22">
        <f t="shared" si="18"/>
        <v>9464478.8699997887</v>
      </c>
      <c r="EJ6" s="22">
        <f t="shared" si="18"/>
        <v>10933674.290000934</v>
      </c>
      <c r="EK6" s="22">
        <f t="shared" si="18"/>
        <v>10427574.849999949</v>
      </c>
      <c r="EL6" s="22">
        <f t="shared" si="18"/>
        <v>9823528.3299999535</v>
      </c>
      <c r="EM6" s="22">
        <f t="shared" si="18"/>
        <v>12580109.079999577</v>
      </c>
      <c r="EN6" s="22">
        <f t="shared" si="18"/>
        <v>13369593.159999467</v>
      </c>
      <c r="EO6" s="22">
        <f t="shared" si="18"/>
        <v>10930817.59000094</v>
      </c>
      <c r="EP6" s="22">
        <f t="shared" si="18"/>
        <v>12371462.179999622</v>
      </c>
      <c r="EQ6" s="22">
        <f t="shared" si="18"/>
        <v>9417278.6399998795</v>
      </c>
      <c r="ER6" s="22">
        <f t="shared" si="18"/>
        <v>12165434.819999689</v>
      </c>
      <c r="ES6" s="22">
        <f t="shared" si="18"/>
        <v>12994955.820000129</v>
      </c>
      <c r="ET6" s="22">
        <f t="shared" si="18"/>
        <v>15183236.530000292</v>
      </c>
      <c r="EU6" s="22">
        <f t="shared" si="18"/>
        <v>14993826.540000118</v>
      </c>
      <c r="EV6" s="22">
        <f t="shared" si="18"/>
        <v>13904318.889999596</v>
      </c>
      <c r="EW6" s="22">
        <f t="shared" si="18"/>
        <v>10353349.160000378</v>
      </c>
      <c r="EX6" s="22">
        <f t="shared" si="18"/>
        <v>8188439.4899997981</v>
      </c>
      <c r="EY6" s="22">
        <f t="shared" si="18"/>
        <v>9653064.1900000107</v>
      </c>
      <c r="EZ6" s="22">
        <f t="shared" si="18"/>
        <v>9411425.0999998245</v>
      </c>
      <c r="FA6" s="22">
        <f t="shared" si="18"/>
        <v>10695921.390000068</v>
      </c>
      <c r="FB6" s="22">
        <f t="shared" si="18"/>
        <v>10374790.580000706</v>
      </c>
      <c r="FC6" s="22">
        <f t="shared" si="18"/>
        <v>11561620.069998935</v>
      </c>
      <c r="FD6" s="128">
        <f>SUM(DY6:FC6)</f>
        <v>335750130.80999976</v>
      </c>
      <c r="FE6" s="22">
        <f t="shared" ref="FE6:GI6" si="19">FE4*FE5</f>
        <v>9905418.6000001058</v>
      </c>
      <c r="FF6" s="22">
        <f t="shared" si="19"/>
        <v>10455004.560000302</v>
      </c>
      <c r="FG6" s="22">
        <f t="shared" si="19"/>
        <v>8481553.0800000783</v>
      </c>
      <c r="FH6" s="22">
        <f t="shared" si="19"/>
        <v>10818705.589999434</v>
      </c>
      <c r="FI6" s="22">
        <f t="shared" si="19"/>
        <v>10675514.850000577</v>
      </c>
      <c r="FJ6" s="22">
        <f t="shared" si="19"/>
        <v>10464587.979999628</v>
      </c>
      <c r="FK6" s="22">
        <f t="shared" si="19"/>
        <v>10317122.970000273</v>
      </c>
      <c r="FL6" s="22">
        <f t="shared" si="19"/>
        <v>10596950.210000258</v>
      </c>
      <c r="FM6" s="22">
        <f t="shared" si="19"/>
        <v>10472279.510000076</v>
      </c>
      <c r="FN6" s="22">
        <f t="shared" si="19"/>
        <v>9691333.1900003571</v>
      </c>
      <c r="FO6" s="22">
        <f t="shared" si="19"/>
        <v>9480503.3399997801</v>
      </c>
      <c r="FP6" s="22">
        <f t="shared" si="19"/>
        <v>10162990.529999383</v>
      </c>
      <c r="FQ6" s="22">
        <f t="shared" si="19"/>
        <v>11254880.560000585</v>
      </c>
      <c r="FR6" s="22">
        <f t="shared" si="19"/>
        <v>9407668.2700002156</v>
      </c>
      <c r="FS6" s="22">
        <f t="shared" si="19"/>
        <v>8397000.149999423</v>
      </c>
      <c r="FT6" s="22">
        <f t="shared" si="19"/>
        <v>9977488.2900004946</v>
      </c>
      <c r="FU6" s="22">
        <f t="shared" si="19"/>
        <v>7906644.8999987636</v>
      </c>
      <c r="FV6" s="22">
        <f t="shared" si="19"/>
        <v>9336180.7000011224</v>
      </c>
      <c r="FW6" s="22">
        <f t="shared" si="19"/>
        <v>10878647.780000135</v>
      </c>
      <c r="FX6" s="22">
        <f t="shared" si="19"/>
        <v>12030113.479999376</v>
      </c>
      <c r="FY6" s="22">
        <f t="shared" si="19"/>
        <v>9941170.4699994884</v>
      </c>
      <c r="FZ6" s="22">
        <f t="shared" si="19"/>
        <v>8939460.5300014224</v>
      </c>
      <c r="GA6" s="22">
        <f t="shared" si="19"/>
        <v>10085223.609998677</v>
      </c>
      <c r="GB6" s="22">
        <f t="shared" si="19"/>
        <v>8697643.5700009428</v>
      </c>
      <c r="GC6" s="22">
        <f t="shared" si="19"/>
        <v>12126168.669999514</v>
      </c>
      <c r="GD6" s="22">
        <f t="shared" si="19"/>
        <v>10651841.969999677</v>
      </c>
      <c r="GE6" s="22">
        <f t="shared" si="19"/>
        <v>9157151.8500011414</v>
      </c>
      <c r="GF6" s="22">
        <f t="shared" si="19"/>
        <v>9614644.2699990869</v>
      </c>
      <c r="GG6" s="22">
        <f t="shared" si="19"/>
        <v>10928047.130000807</v>
      </c>
      <c r="GH6" s="22">
        <f t="shared" si="19"/>
        <v>9350491.1500001755</v>
      </c>
      <c r="GI6" s="22">
        <f t="shared" si="19"/>
        <v>8843737.3599997666</v>
      </c>
      <c r="GJ6" s="127">
        <f>SUM(FE6:GI6)</f>
        <v>309046169.12000102</v>
      </c>
      <c r="GK6" s="22">
        <f t="shared" ref="GK6:HM6" si="20">GK4*GK5</f>
        <v>9564240.649999002</v>
      </c>
      <c r="GL6" s="22">
        <f t="shared" si="20"/>
        <v>10184799.970000796</v>
      </c>
      <c r="GM6" s="22">
        <f t="shared" si="20"/>
        <v>14299277.329999972</v>
      </c>
      <c r="GN6" s="22">
        <f t="shared" si="20"/>
        <v>11954543.019999018</v>
      </c>
      <c r="GO6" s="22">
        <f t="shared" si="20"/>
        <v>11209700.440000577</v>
      </c>
      <c r="GP6" s="22">
        <f t="shared" si="20"/>
        <v>11045435.359999521</v>
      </c>
      <c r="GQ6" s="22">
        <f t="shared" si="20"/>
        <v>12445306.900001004</v>
      </c>
      <c r="GR6" s="22">
        <f t="shared" si="20"/>
        <v>10543493.709999472</v>
      </c>
      <c r="GS6" s="22">
        <f t="shared" si="20"/>
        <v>10827323.369999522</v>
      </c>
      <c r="GT6" s="22">
        <f t="shared" si="20"/>
        <v>9915697.6700000521</v>
      </c>
      <c r="GU6" s="22">
        <f t="shared" si="20"/>
        <v>10158291.780000649</v>
      </c>
      <c r="GV6" s="22">
        <f t="shared" si="20"/>
        <v>10306036.189999592</v>
      </c>
      <c r="GW6" s="22">
        <f t="shared" si="20"/>
        <v>11586036.330000594</v>
      </c>
      <c r="GX6" s="22">
        <f t="shared" si="20"/>
        <v>10516837.399998911</v>
      </c>
      <c r="GY6" s="22">
        <f t="shared" si="20"/>
        <v>9411227.4000004493</v>
      </c>
      <c r="GZ6" s="22">
        <f t="shared" si="20"/>
        <v>9509050.0800001323</v>
      </c>
      <c r="HA6" s="22">
        <f t="shared" si="20"/>
        <v>11161572.019999664</v>
      </c>
      <c r="HB6" s="22">
        <f t="shared" si="20"/>
        <v>9436915.6400004476</v>
      </c>
      <c r="HC6" s="22">
        <f t="shared" si="20"/>
        <v>8947648.8299996704</v>
      </c>
      <c r="HD6" s="22">
        <f t="shared" si="20"/>
        <v>11124584.340000289</v>
      </c>
      <c r="HE6" s="22">
        <f t="shared" si="20"/>
        <v>9807564.7799997889</v>
      </c>
      <c r="HF6" s="22">
        <f t="shared" si="20"/>
        <v>9853852.2800007127</v>
      </c>
      <c r="HG6" s="22">
        <f t="shared" si="20"/>
        <v>10107994.459999718</v>
      </c>
      <c r="HH6" s="22">
        <f t="shared" si="20"/>
        <v>10300143.1300002</v>
      </c>
      <c r="HI6" s="22">
        <f t="shared" si="20"/>
        <v>8012228.7099996256</v>
      </c>
      <c r="HJ6" s="22">
        <f t="shared" si="20"/>
        <v>10293387.800000345</v>
      </c>
      <c r="HK6" s="22">
        <f t="shared" si="20"/>
        <v>9459514.5199996643</v>
      </c>
      <c r="HL6" s="22">
        <f t="shared" si="20"/>
        <v>9219814.0400004052</v>
      </c>
      <c r="HM6" s="22">
        <f t="shared" si="20"/>
        <v>10735430.779999295</v>
      </c>
      <c r="HN6" s="127">
        <f>SUM(GK6:HM6)</f>
        <v>301937948.92999911</v>
      </c>
      <c r="HO6" s="22">
        <f t="shared" ref="HO6:IS6" si="21">HO4*HO5</f>
        <v>12055883.550000437</v>
      </c>
      <c r="HP6" s="22">
        <f t="shared" si="21"/>
        <v>12335983.75999994</v>
      </c>
      <c r="HQ6" s="22">
        <f t="shared" si="21"/>
        <v>11629287.369999552</v>
      </c>
      <c r="HR6" s="22">
        <f t="shared" si="21"/>
        <v>11020858.020000556</v>
      </c>
      <c r="HS6" s="22">
        <f t="shared" si="21"/>
        <v>10888116.050000591</v>
      </c>
      <c r="HT6" s="22">
        <f t="shared" si="21"/>
        <v>10896246.77999988</v>
      </c>
      <c r="HU6" s="22">
        <f t="shared" si="21"/>
        <v>12412180.919999681</v>
      </c>
      <c r="HV6" s="22">
        <f t="shared" si="21"/>
        <v>11071377.519999878</v>
      </c>
      <c r="HW6" s="22">
        <f t="shared" si="21"/>
        <v>10486626.210000241</v>
      </c>
      <c r="HX6" s="22">
        <f t="shared" si="21"/>
        <v>10023909.90999962</v>
      </c>
      <c r="HY6" s="22">
        <f t="shared" si="21"/>
        <v>10572334.789999882</v>
      </c>
      <c r="HZ6" s="22">
        <f t="shared" si="21"/>
        <v>9282217.9000004996</v>
      </c>
      <c r="IA6" s="22">
        <f t="shared" si="21"/>
        <v>8769072.6499999892</v>
      </c>
      <c r="IB6" s="22">
        <f t="shared" si="21"/>
        <v>8499598.4999994896</v>
      </c>
      <c r="IC6" s="22">
        <f t="shared" si="21"/>
        <v>11082781.799999896</v>
      </c>
      <c r="ID6" s="22">
        <f t="shared" si="21"/>
        <v>10456553.600000385</v>
      </c>
      <c r="IE6" s="22">
        <f t="shared" si="21"/>
        <v>9687646.2499990351</v>
      </c>
      <c r="IF6" s="22">
        <f t="shared" si="21"/>
        <v>11029062.450000377</v>
      </c>
      <c r="IG6" s="22">
        <f t="shared" si="21"/>
        <v>9582936.0500006694</v>
      </c>
      <c r="IH6" s="22">
        <f t="shared" si="21"/>
        <v>9710383.7499996573</v>
      </c>
      <c r="II6" s="22">
        <f t="shared" si="21"/>
        <v>8885638.4500004575</v>
      </c>
      <c r="IJ6" s="22">
        <f t="shared" si="21"/>
        <v>10715707.599999463</v>
      </c>
      <c r="IK6" s="22">
        <f t="shared" si="21"/>
        <v>10871071.600000752</v>
      </c>
      <c r="IL6" s="22">
        <f t="shared" si="21"/>
        <v>9623719.0999995377</v>
      </c>
      <c r="IM6" s="22">
        <f t="shared" si="21"/>
        <v>10061691.499999234</v>
      </c>
      <c r="IN6" s="22">
        <f t="shared" si="21"/>
        <v>8880192.1499999333</v>
      </c>
      <c r="IO6" s="22">
        <f t="shared" si="21"/>
        <v>10062686.600000877</v>
      </c>
      <c r="IP6" s="22">
        <f t="shared" si="21"/>
        <v>9868133.8499996811</v>
      </c>
      <c r="IQ6" s="22">
        <f t="shared" si="21"/>
        <v>8775706.6500004064</v>
      </c>
      <c r="IR6" s="22">
        <f t="shared" si="21"/>
        <v>10457832.249999614</v>
      </c>
      <c r="IS6" s="22">
        <f t="shared" si="21"/>
        <v>7260816.6999999043</v>
      </c>
      <c r="IT6" s="127">
        <f t="shared" ref="IT6:IT48" si="22">SUM(HO6:IS6)</f>
        <v>316956254.28000015</v>
      </c>
      <c r="IU6" s="22">
        <f t="shared" ref="IU6:JX6" si="23">IU4*IU5</f>
        <v>7859133.950000016</v>
      </c>
      <c r="IV6" s="22">
        <f t="shared" si="23"/>
        <v>9964155.6500000134</v>
      </c>
      <c r="IW6" s="22">
        <f t="shared" si="23"/>
        <v>8824594.9500002842</v>
      </c>
      <c r="IX6" s="22">
        <f t="shared" si="23"/>
        <v>8803275.1999997366</v>
      </c>
      <c r="IY6" s="22">
        <f t="shared" si="23"/>
        <v>9915411.7999996785</v>
      </c>
      <c r="IZ6" s="22">
        <f t="shared" si="23"/>
        <v>11003965.600000111</v>
      </c>
      <c r="JA6" s="22">
        <f t="shared" si="23"/>
        <v>8562664.2999999598</v>
      </c>
      <c r="JB6" s="22">
        <f t="shared" si="23"/>
        <v>9989113.4000000581</v>
      </c>
      <c r="JC6" s="22">
        <f t="shared" si="23"/>
        <v>8757291.9500001967</v>
      </c>
      <c r="JD6" s="22">
        <f t="shared" si="23"/>
        <v>10305817.350000447</v>
      </c>
      <c r="JE6" s="22">
        <f t="shared" si="23"/>
        <v>8446547.8999996595</v>
      </c>
      <c r="JF6" s="22">
        <f t="shared" si="23"/>
        <v>9528606.8000008315</v>
      </c>
      <c r="JG6" s="22">
        <f t="shared" si="23"/>
        <v>9288648.5999988895</v>
      </c>
      <c r="JH6" s="22">
        <f t="shared" si="23"/>
        <v>6821656.6000010949</v>
      </c>
      <c r="JI6" s="22">
        <f t="shared" si="23"/>
        <v>10364110.949998932</v>
      </c>
      <c r="JJ6" s="22">
        <f t="shared" si="23"/>
        <v>8700442.8500004094</v>
      </c>
      <c r="JK6" s="22">
        <f t="shared" si="23"/>
        <v>8360123.9999997634</v>
      </c>
      <c r="JL6" s="22">
        <f t="shared" si="23"/>
        <v>8110407.4000009727</v>
      </c>
      <c r="JM6" s="22">
        <f t="shared" si="23"/>
        <v>10105422.399999073</v>
      </c>
      <c r="JN6" s="22">
        <f t="shared" si="23"/>
        <v>8394412.1500004623</v>
      </c>
      <c r="JO6" s="22">
        <f t="shared" si="23"/>
        <v>7728080.3500000983</v>
      </c>
      <c r="JP6" s="22">
        <f t="shared" si="23"/>
        <v>9372536.5999994762</v>
      </c>
      <c r="JQ6" s="22">
        <f t="shared" si="23"/>
        <v>7859085.8000003761</v>
      </c>
      <c r="JR6" s="22">
        <f t="shared" si="23"/>
        <v>9263321.7000006195</v>
      </c>
      <c r="JS6" s="22">
        <f t="shared" si="23"/>
        <v>9348252.9499992188</v>
      </c>
      <c r="JT6" s="22">
        <f t="shared" si="23"/>
        <v>10513236.849999612</v>
      </c>
      <c r="JU6" s="22">
        <f t="shared" si="23"/>
        <v>13308194.549999567</v>
      </c>
      <c r="JV6" s="22">
        <f t="shared" si="23"/>
        <v>9799643.1500003245</v>
      </c>
      <c r="JW6" s="22">
        <f t="shared" si="23"/>
        <v>8498057.6999997981</v>
      </c>
      <c r="JX6" s="22">
        <f t="shared" si="23"/>
        <v>9247870.900000276</v>
      </c>
      <c r="JY6" s="127">
        <f>SUM(IU6:JX6)</f>
        <v>277044084.34999996</v>
      </c>
      <c r="JZ6" s="22">
        <f t="shared" ref="JZ6:LD6" si="24">JZ4*JZ5</f>
        <v>9435554.2499999944</v>
      </c>
      <c r="KA6" s="22">
        <f t="shared" si="24"/>
        <v>9769303.3000003137</v>
      </c>
      <c r="KB6" s="22">
        <f t="shared" si="24"/>
        <v>9157348.8999992721</v>
      </c>
      <c r="KC6" s="22">
        <f t="shared" si="24"/>
        <v>9605111.7999999896</v>
      </c>
      <c r="KD6" s="22">
        <f t="shared" si="24"/>
        <v>10073771.800000489</v>
      </c>
      <c r="KE6" s="22">
        <f t="shared" si="24"/>
        <v>9601982.0500009675</v>
      </c>
      <c r="KF6" s="22">
        <f t="shared" si="24"/>
        <v>9711881.7499998063</v>
      </c>
      <c r="KG6" s="22">
        <f t="shared" si="24"/>
        <v>8430808.1999991387</v>
      </c>
      <c r="KH6" s="22">
        <f t="shared" si="24"/>
        <v>9604453.7500000317</v>
      </c>
      <c r="KI6" s="22">
        <f t="shared" si="24"/>
        <v>9242296.2000001911</v>
      </c>
      <c r="KJ6" s="22">
        <f t="shared" si="24"/>
        <v>10943788.800000152</v>
      </c>
      <c r="KK6" s="22">
        <f t="shared" si="24"/>
        <v>9276311.499999607</v>
      </c>
      <c r="KL6" s="22">
        <f t="shared" si="24"/>
        <v>10688995.049999373</v>
      </c>
      <c r="KM6" s="22">
        <f t="shared" si="24"/>
        <v>8921761.6500015892</v>
      </c>
      <c r="KN6" s="22">
        <f t="shared" si="24"/>
        <v>8230616.5499999467</v>
      </c>
      <c r="KO6" s="22">
        <f t="shared" si="24"/>
        <v>9320967.9499998111</v>
      </c>
      <c r="KP6" s="22">
        <f t="shared" si="24"/>
        <v>9106331.2999993116</v>
      </c>
      <c r="KQ6" s="22">
        <f t="shared" si="24"/>
        <v>9544068.2999998163</v>
      </c>
      <c r="KR6" s="22">
        <f t="shared" si="24"/>
        <v>8922869.1000001598</v>
      </c>
      <c r="KS6" s="22">
        <f t="shared" si="24"/>
        <v>10243184.900000941</v>
      </c>
      <c r="KT6" s="22">
        <f t="shared" si="24"/>
        <v>7795800.6499994528</v>
      </c>
      <c r="KU6" s="22">
        <f t="shared" si="24"/>
        <v>8560401.2499992829</v>
      </c>
      <c r="KV6" s="22">
        <f t="shared" si="24"/>
        <v>9811712.7500009164</v>
      </c>
      <c r="KW6" s="22">
        <f t="shared" si="24"/>
        <v>10617465.549999554</v>
      </c>
      <c r="KX6" s="22">
        <f t="shared" si="24"/>
        <v>9244125.8999999017</v>
      </c>
      <c r="KY6" s="22">
        <f t="shared" si="24"/>
        <v>10177668.800000245</v>
      </c>
      <c r="KZ6" s="22">
        <f t="shared" si="24"/>
        <v>9999583.3500000294</v>
      </c>
      <c r="LA6" s="22">
        <f t="shared" si="24"/>
        <v>9717740.0000001248</v>
      </c>
      <c r="LB6" s="22">
        <f t="shared" si="24"/>
        <v>9206510.0499998089</v>
      </c>
      <c r="LC6" s="22">
        <f t="shared" si="24"/>
        <v>9725984.3499994874</v>
      </c>
      <c r="LD6" s="22">
        <f t="shared" si="24"/>
        <v>11954775.780000681</v>
      </c>
      <c r="LE6" s="127">
        <f>SUM(KA6:LD6)</f>
        <v>287207621.28000045</v>
      </c>
      <c r="LF6" s="22">
        <f t="shared" ref="LF6:MI6" si="25">LF4*LF5</f>
        <v>12847521.469999749</v>
      </c>
      <c r="LG6" s="22">
        <f t="shared" si="25"/>
        <v>9749438.2599998787</v>
      </c>
      <c r="LH6" s="22">
        <f t="shared" si="25"/>
        <v>11289616.470000673</v>
      </c>
      <c r="LI6" s="22">
        <f t="shared" si="25"/>
        <v>11621347.079999764</v>
      </c>
      <c r="LJ6" s="22">
        <f t="shared" si="25"/>
        <v>9599953.4399989452</v>
      </c>
      <c r="LK6" s="22">
        <f t="shared" si="25"/>
        <v>9421199.0500001907</v>
      </c>
      <c r="LL6" s="22">
        <f t="shared" si="25"/>
        <v>11953426.83000081</v>
      </c>
      <c r="LM6" s="22">
        <f t="shared" si="25"/>
        <v>13415000.929999929</v>
      </c>
      <c r="LN6" s="22">
        <f t="shared" si="25"/>
        <v>10652250.820000594</v>
      </c>
      <c r="LO6" s="22">
        <f t="shared" si="25"/>
        <v>10900082.029999603</v>
      </c>
      <c r="LP6" s="22">
        <f t="shared" si="25"/>
        <v>9952658.8999989405</v>
      </c>
      <c r="LQ6" s="22">
        <f t="shared" si="25"/>
        <v>10025470.460000919</v>
      </c>
      <c r="LR6" s="22">
        <f t="shared" si="25"/>
        <v>9954928.3099991139</v>
      </c>
      <c r="LS6" s="22">
        <f t="shared" si="25"/>
        <v>11057877.440001132</v>
      </c>
      <c r="LT6" s="22">
        <f t="shared" si="25"/>
        <v>13443191.339999611</v>
      </c>
      <c r="LU6" s="22">
        <f t="shared" si="25"/>
        <v>10718386.39999971</v>
      </c>
      <c r="LV6" s="22">
        <f t="shared" si="25"/>
        <v>9573588.0799997319</v>
      </c>
      <c r="LW6" s="22">
        <f t="shared" si="25"/>
        <v>10538124.360000784</v>
      </c>
      <c r="LX6" s="22">
        <f t="shared" si="25"/>
        <v>9799449.9200004824</v>
      </c>
      <c r="LY6" s="22">
        <f t="shared" si="25"/>
        <v>10589067.059998807</v>
      </c>
      <c r="LZ6" s="22">
        <f t="shared" si="25"/>
        <v>10979236.300000623</v>
      </c>
      <c r="MA6" s="22">
        <f t="shared" si="25"/>
        <v>10597663.309999114</v>
      </c>
      <c r="MB6" s="22">
        <f t="shared" si="25"/>
        <v>10863697.410000851</v>
      </c>
      <c r="MC6" s="22">
        <f t="shared" si="25"/>
        <v>11751179.55000056</v>
      </c>
      <c r="MD6" s="22">
        <f t="shared" si="25"/>
        <v>9152784.4499997776</v>
      </c>
      <c r="ME6" s="22">
        <f t="shared" si="25"/>
        <v>10258764.749999354</v>
      </c>
      <c r="MF6" s="22">
        <f t="shared" si="25"/>
        <v>8244184.6299999235</v>
      </c>
      <c r="MG6" s="22">
        <f t="shared" si="25"/>
        <v>10256966.150000449</v>
      </c>
      <c r="MH6" s="22">
        <f t="shared" si="25"/>
        <v>10321223.780000435</v>
      </c>
      <c r="MI6" s="22">
        <f t="shared" si="25"/>
        <v>9527744.9399992842</v>
      </c>
      <c r="MJ6" s="127">
        <f>SUM(LF6:MI6)</f>
        <v>319056023.91999978</v>
      </c>
      <c r="MK6" s="22">
        <f t="shared" ref="MK6:NO6" si="26">MK4*MK5</f>
        <v>11584814.340000289</v>
      </c>
      <c r="ML6" s="22">
        <f t="shared" si="26"/>
        <v>10214926.51999991</v>
      </c>
      <c r="MM6" s="22">
        <f t="shared" si="26"/>
        <v>9296339.1800003294</v>
      </c>
      <c r="MN6" s="22">
        <f t="shared" si="26"/>
        <v>9677298.5299999416</v>
      </c>
      <c r="MO6" s="22">
        <f t="shared" si="26"/>
        <v>10872928.45999944</v>
      </c>
      <c r="MP6" s="22">
        <f t="shared" si="26"/>
        <v>10131979.320000563</v>
      </c>
      <c r="MQ6" s="22">
        <f t="shared" si="26"/>
        <v>10511526.239998983</v>
      </c>
      <c r="MR6" s="22">
        <f t="shared" si="26"/>
        <v>9997676.8000005297</v>
      </c>
      <c r="MS6" s="22">
        <f t="shared" si="26"/>
        <v>9119309.3300001938</v>
      </c>
      <c r="MT6" s="22">
        <f t="shared" si="26"/>
        <v>7982742.2499994952</v>
      </c>
      <c r="MU6" s="22">
        <f t="shared" si="26"/>
        <v>9288176.7100008</v>
      </c>
      <c r="MV6" s="22">
        <f t="shared" si="26"/>
        <v>10211948.249999477</v>
      </c>
      <c r="MW6" s="22">
        <f t="shared" si="26"/>
        <v>12621590.860000044</v>
      </c>
      <c r="MX6" s="22">
        <f t="shared" si="26"/>
        <v>7936872.65999965</v>
      </c>
      <c r="MY6" s="22">
        <f t="shared" si="26"/>
        <v>8615981.7000008244</v>
      </c>
      <c r="MZ6" s="22">
        <f t="shared" si="26"/>
        <v>10644035.449999286</v>
      </c>
      <c r="NA6" s="22">
        <f t="shared" si="26"/>
        <v>8798005.3100005928</v>
      </c>
      <c r="NB6" s="22">
        <f t="shared" si="26"/>
        <v>10458012.599999089</v>
      </c>
      <c r="NC6" s="22">
        <f t="shared" si="26"/>
        <v>9814410.04000099</v>
      </c>
      <c r="ND6" s="22">
        <f t="shared" si="26"/>
        <v>10718439.299999451</v>
      </c>
      <c r="NE6" s="22">
        <f t="shared" si="26"/>
        <v>8146219.1200000765</v>
      </c>
      <c r="NF6" s="22">
        <f t="shared" si="26"/>
        <v>8694453.5599996075</v>
      </c>
      <c r="NG6" s="22">
        <f t="shared" si="26"/>
        <v>7970788.8000012729</v>
      </c>
      <c r="NH6" s="22">
        <f t="shared" si="26"/>
        <v>8062407.5999990338</v>
      </c>
      <c r="NI6" s="22">
        <f t="shared" si="26"/>
        <v>9276222.800000431</v>
      </c>
      <c r="NJ6" s="22">
        <f t="shared" si="26"/>
        <v>10038771.599999221</v>
      </c>
      <c r="NK6" s="22">
        <f t="shared" si="26"/>
        <v>11878942.400000209</v>
      </c>
      <c r="NL6" s="22">
        <f t="shared" si="26"/>
        <v>7412100.800001109</v>
      </c>
      <c r="NM6" s="22">
        <f t="shared" si="26"/>
        <v>10186513.999999128</v>
      </c>
      <c r="NN6" s="22">
        <f t="shared" si="26"/>
        <v>8949792.8000004608</v>
      </c>
      <c r="NO6" s="22">
        <f t="shared" si="26"/>
        <v>7128581.1999996658</v>
      </c>
      <c r="NP6" s="127">
        <f>SUM(ML6:NO6)</f>
        <v>284656994.18999988</v>
      </c>
      <c r="NQ6" s="22">
        <f t="shared" ref="NQ6:OU6" si="27">NQ4*NQ5</f>
        <v>9342611.199999636</v>
      </c>
      <c r="NR6" s="22">
        <f t="shared" si="27"/>
        <v>9226048.0000005569</v>
      </c>
      <c r="NS6" s="22">
        <f t="shared" si="27"/>
        <v>11306656.400000246</v>
      </c>
      <c r="NT6" s="22">
        <f t="shared" si="27"/>
        <v>9039511.7499999758</v>
      </c>
      <c r="NU6" s="22">
        <f t="shared" si="27"/>
        <v>9583634.9999993704</v>
      </c>
      <c r="NV6" s="22">
        <f t="shared" si="27"/>
        <v>11448861.999999784</v>
      </c>
      <c r="NW6" s="22">
        <f t="shared" si="27"/>
        <v>8607679.1000004504</v>
      </c>
      <c r="NX6" s="22">
        <f t="shared" si="27"/>
        <v>9740107.4499998279</v>
      </c>
      <c r="NY6" s="22">
        <f t="shared" si="27"/>
        <v>10634204.100000151</v>
      </c>
      <c r="NZ6" s="22">
        <f t="shared" si="27"/>
        <v>10806682.749999749</v>
      </c>
      <c r="OA6" s="22">
        <f t="shared" si="27"/>
        <v>8948238.3000002857</v>
      </c>
      <c r="OB6" s="22">
        <f t="shared" si="27"/>
        <v>9173839.2000001948</v>
      </c>
      <c r="OC6" s="22">
        <f t="shared" si="27"/>
        <v>9842685.1499997042</v>
      </c>
      <c r="OD6" s="22">
        <f t="shared" si="27"/>
        <v>10077113.150000701</v>
      </c>
      <c r="OE6" s="22">
        <f t="shared" si="27"/>
        <v>9748960.2999988403</v>
      </c>
      <c r="OF6" s="22">
        <f t="shared" si="27"/>
        <v>10591448.800000772</v>
      </c>
      <c r="OG6" s="22">
        <f t="shared" si="27"/>
        <v>11016380.450000165</v>
      </c>
      <c r="OH6" s="22">
        <f t="shared" si="27"/>
        <v>9050815.9999991134</v>
      </c>
      <c r="OI6" s="22">
        <f t="shared" si="27"/>
        <v>10249808.100000978</v>
      </c>
      <c r="OJ6" s="22">
        <f t="shared" si="27"/>
        <v>9344855.2500000186</v>
      </c>
      <c r="OK6" s="22">
        <f t="shared" si="27"/>
        <v>8867722.2299992368</v>
      </c>
      <c r="OL6" s="22">
        <f t="shared" si="27"/>
        <v>10011629.370000534</v>
      </c>
      <c r="OM6" s="22">
        <f t="shared" si="27"/>
        <v>9307621.4400003981</v>
      </c>
      <c r="ON6" s="22">
        <f t="shared" si="27"/>
        <v>10545000.479998874</v>
      </c>
      <c r="OO6" s="22">
        <f t="shared" si="27"/>
        <v>7144273.7400000105</v>
      </c>
      <c r="OP6" s="22">
        <f t="shared" si="27"/>
        <v>9337562.5499993414</v>
      </c>
      <c r="OQ6" s="22">
        <f t="shared" si="27"/>
        <v>9695454.5700013731</v>
      </c>
      <c r="OR6" s="22">
        <f t="shared" si="27"/>
        <v>8332166.1299998285</v>
      </c>
      <c r="OS6" s="22">
        <f t="shared" si="27"/>
        <v>10166633.909999978</v>
      </c>
      <c r="OT6" s="22">
        <f t="shared" si="27"/>
        <v>9503808.6299999803</v>
      </c>
      <c r="OU6" s="22">
        <f t="shared" si="27"/>
        <v>11066849.78999917</v>
      </c>
      <c r="OV6" s="127">
        <f>SUM(NR6:OU6)</f>
        <v>292416254.08999968</v>
      </c>
      <c r="OW6" s="22">
        <f t="shared" ref="OW6:PZ6" si="28">OW4*OW5</f>
        <v>8867659.9500006586</v>
      </c>
      <c r="OX6" s="22">
        <f t="shared" si="28"/>
        <v>9883861.9499999937</v>
      </c>
      <c r="OY6" s="22">
        <f t="shared" si="28"/>
        <v>9554452.6500001382</v>
      </c>
      <c r="OZ6" s="22">
        <f t="shared" si="28"/>
        <v>9125597.7599997167</v>
      </c>
      <c r="PA6" s="22">
        <f t="shared" si="28"/>
        <v>9511323.75</v>
      </c>
      <c r="PB6" s="22">
        <f t="shared" si="28"/>
        <v>10292615.970000757</v>
      </c>
      <c r="PC6" s="22">
        <f t="shared" si="28"/>
        <v>10319858.279999001</v>
      </c>
      <c r="PD6" s="22">
        <f t="shared" si="28"/>
        <v>8982125.4000010751</v>
      </c>
      <c r="PE6" s="22">
        <f t="shared" si="28"/>
        <v>10735660.319999048</v>
      </c>
      <c r="PF6" s="22">
        <f t="shared" si="28"/>
        <v>8982467.9400007296</v>
      </c>
      <c r="PG6" s="22">
        <f t="shared" si="28"/>
        <v>8216896.2299997192</v>
      </c>
      <c r="PH6" s="22">
        <f t="shared" si="28"/>
        <v>8304461.9100000374</v>
      </c>
      <c r="PI6" s="22">
        <f t="shared" si="28"/>
        <v>11071250.909999765</v>
      </c>
      <c r="PJ6" s="22">
        <f t="shared" si="28"/>
        <v>10333009.740000434</v>
      </c>
      <c r="PK6" s="22">
        <f t="shared" si="28"/>
        <v>7992485.8199997125</v>
      </c>
      <c r="PL6" s="22">
        <f t="shared" si="28"/>
        <v>10375562.549999945</v>
      </c>
      <c r="PM6" s="22">
        <f t="shared" si="28"/>
        <v>9653088.5999995582</v>
      </c>
      <c r="PN6" s="22">
        <f t="shared" si="28"/>
        <v>8208317.1600009743</v>
      </c>
      <c r="PO6" s="22">
        <f t="shared" si="28"/>
        <v>7950623.2799996044</v>
      </c>
      <c r="PP6" s="22">
        <f t="shared" si="28"/>
        <v>8476416.9899999499</v>
      </c>
      <c r="PQ6" s="22">
        <f t="shared" si="28"/>
        <v>7413442.7099993182</v>
      </c>
      <c r="PR6" s="22">
        <f t="shared" si="28"/>
        <v>7015151.7300008377</v>
      </c>
      <c r="PS6" s="22">
        <f t="shared" si="28"/>
        <v>8139897.3899993645</v>
      </c>
      <c r="PT6" s="22">
        <f t="shared" si="28"/>
        <v>8787017.730000196</v>
      </c>
      <c r="PU6" s="22">
        <f t="shared" si="28"/>
        <v>7075142.9400004279</v>
      </c>
      <c r="PV6" s="22">
        <f t="shared" si="28"/>
        <v>6880440.0899996003</v>
      </c>
      <c r="PW6" s="22">
        <f t="shared" si="28"/>
        <v>9103379.3699994776</v>
      </c>
      <c r="PX6" s="22">
        <f t="shared" si="28"/>
        <v>7549207.9200006006</v>
      </c>
      <c r="PY6" s="22">
        <f t="shared" si="28"/>
        <v>4555330.4700002261</v>
      </c>
      <c r="PZ6" s="22">
        <f t="shared" si="28"/>
        <v>8736633.2099993788</v>
      </c>
      <c r="QA6" s="127">
        <f>SUM(OW6:PZ6)</f>
        <v>262093380.72000027</v>
      </c>
      <c r="QB6" s="22">
        <f t="shared" ref="QB6:RF6" si="29">QB4*QB5</f>
        <v>7421715.5700004371</v>
      </c>
      <c r="QC6" s="22">
        <f t="shared" si="29"/>
        <v>7036799.2199996402</v>
      </c>
      <c r="QD6" s="22">
        <f t="shared" si="29"/>
        <v>8002445.0000007348</v>
      </c>
      <c r="QE6" s="22">
        <f t="shared" si="29"/>
        <v>10951354.999999603</v>
      </c>
      <c r="QF6" s="22">
        <f t="shared" si="29"/>
        <v>11134315.00000006</v>
      </c>
      <c r="QG6" s="22">
        <f t="shared" si="29"/>
        <v>8283730.0000002142</v>
      </c>
      <c r="QH6" s="22">
        <f t="shared" si="29"/>
        <v>10942270.000000281</v>
      </c>
      <c r="QI6" s="22">
        <f t="shared" si="29"/>
        <v>8714499.9999996796</v>
      </c>
      <c r="QJ6" s="22">
        <f t="shared" si="29"/>
        <v>8849485.0000001322</v>
      </c>
      <c r="QK6" s="22">
        <f t="shared" si="29"/>
        <v>8735719.9999992736</v>
      </c>
      <c r="QL6" s="22">
        <f t="shared" si="29"/>
        <v>10608620.000000227</v>
      </c>
      <c r="QM6" s="22">
        <f t="shared" si="29"/>
        <v>9899700.0000008848</v>
      </c>
      <c r="QN6" s="22">
        <f t="shared" si="29"/>
        <v>9184434.9999995027</v>
      </c>
      <c r="QO6" s="22">
        <f t="shared" si="29"/>
        <v>10412184.999999881</v>
      </c>
      <c r="QP6" s="22">
        <f t="shared" si="29"/>
        <v>9160929.9999996442</v>
      </c>
      <c r="QQ6" s="22">
        <f t="shared" si="29"/>
        <v>7287535.0000004983</v>
      </c>
      <c r="QR6" s="22">
        <f t="shared" si="29"/>
        <v>8207450.000000244</v>
      </c>
      <c r="QS6" s="22">
        <f t="shared" si="29"/>
        <v>10127139.999999199</v>
      </c>
      <c r="QT6" s="22">
        <f t="shared" si="29"/>
        <v>9401970.0000007283</v>
      </c>
      <c r="QU6" s="22">
        <f t="shared" si="29"/>
        <v>8177904.9999997374</v>
      </c>
      <c r="QV6" s="22">
        <f t="shared" si="29"/>
        <v>7922929.9999997597</v>
      </c>
      <c r="QW6" s="22">
        <f t="shared" si="29"/>
        <v>7234159.9999996834</v>
      </c>
      <c r="QX6" s="22">
        <f t="shared" si="29"/>
        <v>8088355.0000010291</v>
      </c>
      <c r="QY6" s="22">
        <f t="shared" si="29"/>
        <v>7745069.9999995418</v>
      </c>
      <c r="QZ6" s="22">
        <f t="shared" si="29"/>
        <v>11301069.999999309</v>
      </c>
      <c r="RA6" s="22">
        <f t="shared" si="29"/>
        <v>8966885.000000475</v>
      </c>
      <c r="RB6" s="22">
        <f t="shared" si="29"/>
        <v>7244720.00000038</v>
      </c>
      <c r="RC6" s="22">
        <f t="shared" si="29"/>
        <v>7813419.9999991693</v>
      </c>
      <c r="RD6" s="22">
        <f t="shared" si="29"/>
        <v>8180219.9999999721</v>
      </c>
      <c r="RE6" s="22">
        <f t="shared" si="29"/>
        <v>6290944.4070002344</v>
      </c>
      <c r="RF6" s="22">
        <f t="shared" si="29"/>
        <v>8733728.4330000449</v>
      </c>
      <c r="RG6" s="127">
        <f>SUM(QC6:RF6)</f>
        <v>264639992.05999976</v>
      </c>
      <c r="RH6" s="22">
        <f t="shared" ref="RH6:SK6" si="30">RH4*RH5</f>
        <v>9502508.3880007751</v>
      </c>
      <c r="RI6" s="22">
        <f t="shared" si="30"/>
        <v>9604323.8999995943</v>
      </c>
      <c r="RJ6" s="22">
        <f t="shared" si="30"/>
        <v>8102989.1190001555</v>
      </c>
      <c r="RK6" s="22">
        <f t="shared" si="30"/>
        <v>9641741.3999993037</v>
      </c>
      <c r="RL6" s="22">
        <f t="shared" si="30"/>
        <v>7742947.9560009483</v>
      </c>
      <c r="RM6" s="22">
        <f t="shared" si="30"/>
        <v>7139189.1539998772</v>
      </c>
      <c r="RN6" s="22">
        <f t="shared" si="30"/>
        <v>6231221.0879989751</v>
      </c>
      <c r="RO6" s="22">
        <f t="shared" si="30"/>
        <v>8599519.344000563</v>
      </c>
      <c r="RP6" s="22">
        <f t="shared" si="30"/>
        <v>8740004.5950001981</v>
      </c>
      <c r="RQ6" s="22">
        <f t="shared" si="30"/>
        <v>7959600.2699996745</v>
      </c>
      <c r="RR6" s="22">
        <f t="shared" si="30"/>
        <v>8192232.3510000417</v>
      </c>
      <c r="RS6" s="22">
        <f t="shared" si="30"/>
        <v>7512865.2540002838</v>
      </c>
      <c r="RT6" s="22">
        <f t="shared" si="30"/>
        <v>8047132.2749995934</v>
      </c>
      <c r="RU6" s="22">
        <f t="shared" si="30"/>
        <v>6649708.3860006342</v>
      </c>
      <c r="RV6" s="22">
        <f t="shared" si="30"/>
        <v>8529738.2009998672</v>
      </c>
      <c r="RW6" s="22">
        <f t="shared" si="30"/>
        <v>8282124.1529996609</v>
      </c>
      <c r="RX6" s="22">
        <f t="shared" si="30"/>
        <v>7517804.363999947</v>
      </c>
      <c r="RY6" s="22">
        <f t="shared" si="30"/>
        <v>7884538.2000005916</v>
      </c>
      <c r="RZ6" s="22">
        <f t="shared" si="30"/>
        <v>9489959.4299990293</v>
      </c>
      <c r="SA6" s="22">
        <f t="shared" si="30"/>
        <v>7659123.8700002637</v>
      </c>
      <c r="SB6" s="22">
        <f t="shared" si="30"/>
        <v>7250657.28000018</v>
      </c>
      <c r="SC6" s="22">
        <f t="shared" si="30"/>
        <v>9536580.6900000963</v>
      </c>
      <c r="SD6" s="22">
        <f t="shared" si="30"/>
        <v>9630048.1500001028</v>
      </c>
      <c r="SE6" s="22">
        <f t="shared" si="30"/>
        <v>7251449.4600002347</v>
      </c>
      <c r="SF6" s="22">
        <f t="shared" si="30"/>
        <v>8241850.5000000568</v>
      </c>
      <c r="SG6" s="22">
        <f t="shared" si="30"/>
        <v>8646972.3299992457</v>
      </c>
      <c r="SH6" s="22">
        <f t="shared" si="30"/>
        <v>7989692.7600003826</v>
      </c>
      <c r="SI6" s="22">
        <f t="shared" si="30"/>
        <v>8601583.3500000685</v>
      </c>
      <c r="SJ6" s="22">
        <f t="shared" si="30"/>
        <v>8855765.5499994084</v>
      </c>
      <c r="SK6" s="22">
        <f t="shared" si="30"/>
        <v>10251948.570000742</v>
      </c>
      <c r="SL6" s="127">
        <f>SL5*SL4</f>
        <v>246547482.12000048</v>
      </c>
      <c r="SM6" s="22">
        <f t="shared" ref="SM6:TQ6" si="31">SM4*SM5</f>
        <v>7729769.700000478</v>
      </c>
      <c r="SN6" s="22">
        <f t="shared" si="31"/>
        <v>8752845.7199990228</v>
      </c>
      <c r="SO6" s="22">
        <f t="shared" si="31"/>
        <v>7643603.010000553</v>
      </c>
      <c r="SP6" s="22">
        <f t="shared" si="31"/>
        <v>8463152.3399991728</v>
      </c>
      <c r="SQ6" s="22">
        <f t="shared" si="31"/>
        <v>7539123.2700006515</v>
      </c>
      <c r="SR6" s="22">
        <f t="shared" si="31"/>
        <v>8882313.3600005656</v>
      </c>
      <c r="SS6" s="22">
        <f t="shared" si="31"/>
        <v>10531211.579999018</v>
      </c>
      <c r="ST6" s="22">
        <f t="shared" si="31"/>
        <v>8237126.7600002689</v>
      </c>
      <c r="SU6" s="22">
        <f t="shared" si="31"/>
        <v>9396022.5299997814</v>
      </c>
      <c r="SV6" s="22">
        <f t="shared" si="31"/>
        <v>8061213.9000003301</v>
      </c>
      <c r="SW6" s="22">
        <f t="shared" si="31"/>
        <v>8468702.4899995029</v>
      </c>
      <c r="SX6" s="22">
        <f t="shared" si="31"/>
        <v>8745530.2800005209</v>
      </c>
      <c r="SY6" s="22">
        <f t="shared" si="31"/>
        <v>9960103.5899994578</v>
      </c>
      <c r="SZ6" s="22">
        <f t="shared" si="31"/>
        <v>9561187.1700015515</v>
      </c>
      <c r="TA6" s="22">
        <f t="shared" si="31"/>
        <v>7710596.0099994717</v>
      </c>
      <c r="TB6" s="22">
        <f t="shared" si="31"/>
        <v>8370545.5199990571</v>
      </c>
      <c r="TC6" s="22">
        <f t="shared" si="31"/>
        <v>9088206.8100007586</v>
      </c>
      <c r="TD6" s="22">
        <f t="shared" si="31"/>
        <v>8686659.5699994322</v>
      </c>
      <c r="TE6" s="22">
        <f t="shared" si="31"/>
        <v>9512785.9499993399</v>
      </c>
      <c r="TF6" s="22">
        <f t="shared" si="31"/>
        <v>9531509.7600008957</v>
      </c>
      <c r="TG6" s="22">
        <f t="shared" si="31"/>
        <v>10267762.830000157</v>
      </c>
      <c r="TH6" s="22">
        <f t="shared" si="31"/>
        <v>10043346.059999676</v>
      </c>
      <c r="TI6" s="22">
        <f t="shared" si="31"/>
        <v>10329210.570000116</v>
      </c>
      <c r="TJ6" s="22">
        <f t="shared" si="31"/>
        <v>9751970.5199990571</v>
      </c>
      <c r="TK6" s="22">
        <f t="shared" si="31"/>
        <v>7822210.2600003826</v>
      </c>
      <c r="TL6" s="22">
        <f t="shared" si="31"/>
        <v>7219131.4500002507</v>
      </c>
      <c r="TM6" s="22">
        <f t="shared" si="31"/>
        <v>7920509.0400004489</v>
      </c>
      <c r="TN6" s="22">
        <f t="shared" si="31"/>
        <v>7955360.070000344</v>
      </c>
      <c r="TO6" s="22">
        <f t="shared" si="31"/>
        <v>6693847.649999476</v>
      </c>
      <c r="TP6" s="22">
        <f t="shared" si="31"/>
        <v>8023115.9100007694</v>
      </c>
      <c r="TQ6" s="22">
        <f t="shared" si="31"/>
        <v>8970088.8599989135</v>
      </c>
      <c r="TR6" s="127">
        <f>TR5*TR4</f>
        <v>269868762.53999943</v>
      </c>
      <c r="TS6" s="22">
        <f t="shared" ref="TS6:UW6" si="32">TS4*TS5</f>
        <v>6361401.0000009676</v>
      </c>
      <c r="TT6" s="22">
        <f t="shared" si="32"/>
        <v>7028690.3999999315</v>
      </c>
      <c r="TU6" s="22">
        <f t="shared" si="32"/>
        <v>7716111.9299998842</v>
      </c>
      <c r="TV6" s="22">
        <f t="shared" si="32"/>
        <v>8254897.0199986584</v>
      </c>
      <c r="TW6" s="22">
        <f t="shared" si="32"/>
        <v>6846933.9900005283</v>
      </c>
      <c r="TX6" s="22">
        <f t="shared" si="32"/>
        <v>8611612.7399999592</v>
      </c>
      <c r="TY6" s="22">
        <f t="shared" si="32"/>
        <v>9128290.1400004029</v>
      </c>
      <c r="TZ6" s="22">
        <f t="shared" si="32"/>
        <v>8108055.2099998929</v>
      </c>
      <c r="UA6" s="22">
        <f t="shared" si="32"/>
        <v>8078304.4500011615</v>
      </c>
      <c r="UB6" s="22">
        <f t="shared" si="32"/>
        <v>8749838.3699996378</v>
      </c>
      <c r="UC6" s="22">
        <f t="shared" si="32"/>
        <v>9638977.2899998222</v>
      </c>
      <c r="UD6" s="22">
        <f t="shared" si="32"/>
        <v>7194877.0499998629</v>
      </c>
      <c r="UE6" s="22">
        <f t="shared" si="32"/>
        <v>8345630.9699997632</v>
      </c>
      <c r="UF6" s="22">
        <f t="shared" si="32"/>
        <v>8914132.5899996292</v>
      </c>
      <c r="UG6" s="22">
        <f t="shared" si="32"/>
        <v>8929252.4700002186</v>
      </c>
      <c r="UH6" s="22">
        <f t="shared" si="32"/>
        <v>8542575.7199998777</v>
      </c>
      <c r="UI6" s="22">
        <f t="shared" si="32"/>
        <v>9324785.0099996421</v>
      </c>
      <c r="UJ6" s="22">
        <f t="shared" si="32"/>
        <v>9341567.4900006428</v>
      </c>
      <c r="UK6" s="22">
        <f t="shared" si="32"/>
        <v>9026348.30999979</v>
      </c>
      <c r="UL6" s="22">
        <f t="shared" si="32"/>
        <v>7599265.3799997931</v>
      </c>
      <c r="UM6" s="22">
        <f t="shared" si="32"/>
        <v>7810376.4600004619</v>
      </c>
      <c r="UN6" s="22">
        <f t="shared" si="32"/>
        <v>8366609.0700002303</v>
      </c>
      <c r="UO6" s="22">
        <f t="shared" si="32"/>
        <v>8464047.209999267</v>
      </c>
      <c r="UP6" s="22">
        <f t="shared" si="32"/>
        <v>9983834.7600011788</v>
      </c>
      <c r="UQ6" s="22">
        <f t="shared" si="32"/>
        <v>8504878.7099985834</v>
      </c>
      <c r="UR6" s="22">
        <f t="shared" si="32"/>
        <v>8046397.2000007629</v>
      </c>
      <c r="US6" s="22">
        <f t="shared" si="32"/>
        <v>9187131.5099998135</v>
      </c>
      <c r="UT6" s="22">
        <f t="shared" si="32"/>
        <v>7996822.3800003054</v>
      </c>
      <c r="UU6" s="22">
        <f t="shared" si="32"/>
        <v>7896905.0099993581</v>
      </c>
      <c r="UV6" s="22">
        <f t="shared" si="32"/>
        <v>8431054.3799999636</v>
      </c>
      <c r="UW6" s="22">
        <f t="shared" si="32"/>
        <v>9241522.9800004866</v>
      </c>
      <c r="UX6" s="127">
        <f>UX5*UX4</f>
        <v>259671127.20000046</v>
      </c>
      <c r="UY6" s="22">
        <f t="shared" ref="UY6:VZ6" si="33">UY4*UY5</f>
        <v>9515979.1200001501</v>
      </c>
      <c r="UZ6" s="22">
        <f t="shared" si="33"/>
        <v>8176265.8199997172</v>
      </c>
      <c r="VA6" s="22">
        <f t="shared" si="33"/>
        <v>9529059.8699998092</v>
      </c>
      <c r="VB6" s="22">
        <f t="shared" si="33"/>
        <v>7772928.8399999132</v>
      </c>
      <c r="VC6" s="22">
        <f t="shared" si="33"/>
        <v>8843046.6600004286</v>
      </c>
      <c r="VD6" s="22">
        <f t="shared" si="33"/>
        <v>8645671.5899997987</v>
      </c>
      <c r="VE6" s="22">
        <f t="shared" si="33"/>
        <v>9013699.4939997997</v>
      </c>
      <c r="VF6" s="22">
        <f t="shared" si="33"/>
        <v>8626840.1610000636</v>
      </c>
      <c r="VG6" s="22">
        <f t="shared" si="33"/>
        <v>8011173.0330002485</v>
      </c>
      <c r="VH6" s="22">
        <f t="shared" si="33"/>
        <v>8507769.9659995269</v>
      </c>
      <c r="VI6" s="22">
        <f t="shared" si="33"/>
        <v>7613246.8589998446</v>
      </c>
      <c r="VJ6" s="22">
        <f t="shared" si="33"/>
        <v>8123286.6480002943</v>
      </c>
      <c r="VK6" s="22">
        <f t="shared" si="33"/>
        <v>8127102.9690007688</v>
      </c>
      <c r="VL6" s="22">
        <f t="shared" si="33"/>
        <v>11456399.681999056</v>
      </c>
      <c r="VM6" s="22">
        <f t="shared" si="33"/>
        <v>6916961.7870008573</v>
      </c>
      <c r="VN6" s="22">
        <f t="shared" si="33"/>
        <v>9537975.7769983374</v>
      </c>
      <c r="VO6" s="22">
        <f t="shared" si="33"/>
        <v>9145227.8460010719</v>
      </c>
      <c r="VP6" s="22">
        <f t="shared" si="33"/>
        <v>8015802.5879997127</v>
      </c>
      <c r="VQ6" s="22">
        <f t="shared" si="33"/>
        <v>8184225.308999788</v>
      </c>
      <c r="VR6" s="22">
        <f t="shared" si="33"/>
        <v>8182358.7900006734</v>
      </c>
      <c r="VS6" s="22">
        <f t="shared" si="33"/>
        <v>8229839.8979997244</v>
      </c>
      <c r="VT6" s="22">
        <f t="shared" si="33"/>
        <v>9847528.8899996467</v>
      </c>
      <c r="VU6" s="22">
        <f t="shared" si="33"/>
        <v>7510049.4239998339</v>
      </c>
      <c r="VV6" s="22">
        <f t="shared" si="33"/>
        <v>8042962.6440008255</v>
      </c>
      <c r="VW6" s="22">
        <f t="shared" si="33"/>
        <v>8209430.6639995938</v>
      </c>
      <c r="VX6" s="22">
        <f t="shared" si="33"/>
        <v>7651297.3919998081</v>
      </c>
      <c r="VY6" s="22">
        <f t="shared" si="33"/>
        <v>9130917.8669999223</v>
      </c>
      <c r="VZ6" s="22">
        <f t="shared" si="33"/>
        <v>8025889.6290006088</v>
      </c>
      <c r="WA6" s="127">
        <f>WA5*WA4</f>
        <v>238689533.60699981</v>
      </c>
      <c r="WB6" s="22">
        <f t="shared" ref="WB6:XF6" si="34">WB4*WB5</f>
        <v>9103963.5690000281</v>
      </c>
      <c r="WC6" s="22">
        <f t="shared" si="34"/>
        <v>7302268.1370001165</v>
      </c>
      <c r="WD6" s="22">
        <f t="shared" si="34"/>
        <v>8317375.2299992358</v>
      </c>
      <c r="WE6" s="22">
        <f t="shared" si="34"/>
        <v>7384223.5080012185</v>
      </c>
      <c r="WF6" s="22">
        <f t="shared" si="34"/>
        <v>6576030.5789994113</v>
      </c>
      <c r="WG6" s="22">
        <f t="shared" si="34"/>
        <v>7955966.2020006757</v>
      </c>
      <c r="WH6" s="22">
        <f t="shared" si="34"/>
        <v>8321563.8749988591</v>
      </c>
      <c r="WI6" s="22">
        <f t="shared" si="34"/>
        <v>7463117.0040003238</v>
      </c>
      <c r="WJ6" s="22">
        <f t="shared" si="34"/>
        <v>7832829.8370003449</v>
      </c>
      <c r="WK6" s="22">
        <f t="shared" si="34"/>
        <v>8825024.3070001956</v>
      </c>
      <c r="WL6" s="22">
        <f t="shared" si="34"/>
        <v>9116730.3630007394</v>
      </c>
      <c r="WM6" s="22">
        <f t="shared" si="34"/>
        <v>7042498.6620000023</v>
      </c>
      <c r="WN6" s="22">
        <f t="shared" si="34"/>
        <v>7135349.4089999022</v>
      </c>
      <c r="WO6" s="22">
        <f t="shared" si="34"/>
        <v>8327790.503998613</v>
      </c>
      <c r="WP6" s="22">
        <f t="shared" si="34"/>
        <v>9339443.801999649</v>
      </c>
      <c r="WQ6" s="22">
        <f t="shared" si="34"/>
        <v>6863964.4050001483</v>
      </c>
      <c r="WR6" s="22">
        <f t="shared" si="34"/>
        <v>6974020.4399999883</v>
      </c>
      <c r="WS6" s="22">
        <f t="shared" si="34"/>
        <v>7299044.5949995667</v>
      </c>
      <c r="WT6" s="22">
        <f t="shared" si="34"/>
        <v>7974758.7660015812</v>
      </c>
      <c r="WU6" s="22">
        <f t="shared" si="34"/>
        <v>7534235.7869994324</v>
      </c>
      <c r="WV6" s="22">
        <f t="shared" si="34"/>
        <v>7573829.5049996916</v>
      </c>
      <c r="WW6" s="22">
        <f t="shared" si="34"/>
        <v>8910178.7250001132</v>
      </c>
      <c r="WX6" s="22">
        <f t="shared" si="34"/>
        <v>8237247.1859996645</v>
      </c>
      <c r="WY6" s="22">
        <f t="shared" si="34"/>
        <v>8368148.4660006687</v>
      </c>
      <c r="WZ6" s="22">
        <f t="shared" si="34"/>
        <v>7579865.073000351</v>
      </c>
      <c r="XA6" s="22">
        <f t="shared" si="34"/>
        <v>7491883.9319999106</v>
      </c>
      <c r="XB6" s="22">
        <f t="shared" si="34"/>
        <v>9169933.5030003861</v>
      </c>
      <c r="XC6" s="22">
        <f t="shared" si="34"/>
        <v>10189449.695999049</v>
      </c>
      <c r="XD6" s="22">
        <f t="shared" si="34"/>
        <v>9905626.1309999153</v>
      </c>
      <c r="XE6" s="22">
        <f t="shared" si="34"/>
        <v>8347200.3420008924</v>
      </c>
      <c r="XF6" s="22">
        <f t="shared" si="34"/>
        <v>6572228.954999635</v>
      </c>
      <c r="XG6" s="127">
        <f>SUM(WB6:XF6)</f>
        <v>249035790.49500033</v>
      </c>
      <c r="XH6" s="22">
        <f t="shared" ref="XH6:YK6" si="35">XH4*XH5</f>
        <v>8290288.6589990463</v>
      </c>
      <c r="XI6" s="22">
        <f t="shared" si="35"/>
        <v>7378888.4970001848</v>
      </c>
      <c r="XJ6" s="22">
        <f t="shared" si="35"/>
        <v>8360721.4650003817</v>
      </c>
      <c r="XK6" s="22">
        <f t="shared" si="35"/>
        <v>8208539.0599998571</v>
      </c>
      <c r="XL6" s="22">
        <f t="shared" si="35"/>
        <v>8891608.6100005042</v>
      </c>
      <c r="XM6" s="22">
        <f t="shared" si="35"/>
        <v>7767936.4850003915</v>
      </c>
      <c r="XN6" s="22">
        <f t="shared" si="35"/>
        <v>9301518.7299988531</v>
      </c>
      <c r="XO6" s="22">
        <f t="shared" si="35"/>
        <v>7757966.1999999769</v>
      </c>
      <c r="XP6" s="22">
        <f t="shared" si="35"/>
        <v>7428546.2250005575</v>
      </c>
      <c r="XQ6" s="22">
        <f t="shared" si="35"/>
        <v>8615664.7299998775</v>
      </c>
      <c r="XR6" s="22">
        <f t="shared" si="35"/>
        <v>9281031.0399999041</v>
      </c>
      <c r="XS6" s="22">
        <f t="shared" si="35"/>
        <v>8921895.6100005619</v>
      </c>
      <c r="XT6" s="22">
        <f t="shared" si="35"/>
        <v>8267378.8849992082</v>
      </c>
      <c r="XU6" s="22">
        <f t="shared" si="35"/>
        <v>7808784.8550002184</v>
      </c>
      <c r="XV6" s="22">
        <f t="shared" si="35"/>
        <v>8273998.0600005388</v>
      </c>
      <c r="XW6" s="22">
        <f t="shared" si="35"/>
        <v>9345615.6249988619</v>
      </c>
      <c r="XX6" s="22">
        <f t="shared" si="35"/>
        <v>8892635.4000007119</v>
      </c>
      <c r="XY6" s="22">
        <f t="shared" si="35"/>
        <v>8150417.5499997074</v>
      </c>
      <c r="XZ6" s="22">
        <f t="shared" si="35"/>
        <v>10381115.249999747</v>
      </c>
      <c r="YA6" s="22">
        <f t="shared" si="35"/>
        <v>6432346.800000756</v>
      </c>
      <c r="YB6" s="22">
        <f t="shared" si="35"/>
        <v>8206614.8999994332</v>
      </c>
      <c r="YC6" s="22">
        <f t="shared" si="35"/>
        <v>8049041.5500003761</v>
      </c>
      <c r="YD6" s="22">
        <f t="shared" si="35"/>
        <v>7227391.0500009982</v>
      </c>
      <c r="YE6" s="22">
        <f t="shared" si="35"/>
        <v>8910519.7499987558</v>
      </c>
      <c r="YF6" s="22">
        <f t="shared" si="35"/>
        <v>9894446.1000001281</v>
      </c>
      <c r="YG6" s="22">
        <f t="shared" si="35"/>
        <v>9085962.5999994725</v>
      </c>
      <c r="YH6" s="22">
        <f t="shared" si="35"/>
        <v>8310520.3500010623</v>
      </c>
      <c r="YI6" s="22">
        <f t="shared" si="35"/>
        <v>7674262.1999987019</v>
      </c>
      <c r="YJ6" s="22">
        <f t="shared" si="35"/>
        <v>8239745.2499998622</v>
      </c>
      <c r="YK6" s="22">
        <f t="shared" si="35"/>
        <v>8163455.8500012467</v>
      </c>
      <c r="YL6" s="127">
        <f>SUM(XH6:YK6)</f>
        <v>251518857.33599991</v>
      </c>
      <c r="YM6" s="22">
        <f t="shared" ref="YM6:ZQ6" si="36">YM4*YM5</f>
        <v>7999996.9499995317</v>
      </c>
      <c r="YN6" s="22">
        <f t="shared" si="36"/>
        <v>10633179.149999848</v>
      </c>
      <c r="YO6" s="22">
        <f t="shared" si="36"/>
        <v>9137101.050000364</v>
      </c>
      <c r="YP6" s="22">
        <f t="shared" si="36"/>
        <v>9998569.3500000015</v>
      </c>
      <c r="YQ6" s="22">
        <f t="shared" si="36"/>
        <v>11275184.249999147</v>
      </c>
      <c r="YR6" s="22">
        <f t="shared" si="36"/>
        <v>10422838.800000342</v>
      </c>
      <c r="YS6" s="22">
        <f t="shared" si="36"/>
        <v>7456749.3000011016</v>
      </c>
      <c r="YT6" s="22">
        <f t="shared" si="36"/>
        <v>0</v>
      </c>
      <c r="YU6" s="22">
        <f t="shared" si="36"/>
        <v>6036138.8999998132</v>
      </c>
      <c r="YV6" s="22">
        <f t="shared" si="36"/>
        <v>9552584.2500000112</v>
      </c>
      <c r="YW6" s="22">
        <f t="shared" si="36"/>
        <v>6587059.0499993386</v>
      </c>
      <c r="YX6" s="22">
        <f t="shared" si="36"/>
        <v>9105826.9500002228</v>
      </c>
      <c r="YY6" s="22">
        <f t="shared" si="36"/>
        <v>7100908.6500002975</v>
      </c>
      <c r="YZ6" s="22">
        <f t="shared" si="36"/>
        <v>8045225.0999997603</v>
      </c>
      <c r="ZA6" s="22">
        <f t="shared" si="36"/>
        <v>8307085.0499995342</v>
      </c>
      <c r="ZB6" s="22">
        <f t="shared" si="36"/>
        <v>8018891.1000003023</v>
      </c>
      <c r="ZC6" s="22">
        <f t="shared" si="36"/>
        <v>9224008.2000002228</v>
      </c>
      <c r="ZD6" s="22">
        <f t="shared" si="36"/>
        <v>8983933.2000002228</v>
      </c>
      <c r="ZE6" s="22">
        <f t="shared" si="36"/>
        <v>9673171.2000001781</v>
      </c>
      <c r="ZF6" s="22">
        <f t="shared" si="36"/>
        <v>8945288.5499994997</v>
      </c>
      <c r="ZG6" s="22">
        <f t="shared" si="36"/>
        <v>8445858.2999994084</v>
      </c>
      <c r="ZH6" s="22">
        <f t="shared" si="36"/>
        <v>8840818.8000001684</v>
      </c>
      <c r="ZI6" s="22">
        <f t="shared" si="36"/>
        <v>10942643.250000333</v>
      </c>
      <c r="ZJ6" s="22">
        <f t="shared" si="36"/>
        <v>12556798.649999779</v>
      </c>
      <c r="ZK6" s="22">
        <f t="shared" si="36"/>
        <v>10663304.849999322</v>
      </c>
      <c r="ZL6" s="22">
        <f t="shared" si="36"/>
        <v>10354429.800000595</v>
      </c>
      <c r="ZM6" s="22">
        <f t="shared" si="36"/>
        <v>8872793.8500005342</v>
      </c>
      <c r="ZN6" s="22">
        <f t="shared" si="36"/>
        <v>10318072.5</v>
      </c>
      <c r="ZO6" s="22">
        <f t="shared" si="36"/>
        <v>9037778.2200000715</v>
      </c>
      <c r="ZP6" s="22">
        <f t="shared" si="36"/>
        <v>9762351.1700004432</v>
      </c>
      <c r="ZQ6" s="22">
        <f t="shared" si="36"/>
        <v>10451854.399999989</v>
      </c>
      <c r="ZR6" s="127">
        <f>SUM(YM6:ZQ6)</f>
        <v>276750442.84000033</v>
      </c>
      <c r="ZS6" s="22">
        <f t="shared" ref="ZS6:AAV6" si="37">ZS4*ZS5</f>
        <v>9306844.0099996477</v>
      </c>
      <c r="ZT6" s="22">
        <f t="shared" si="37"/>
        <v>9162039.1999992095</v>
      </c>
      <c r="ZU6" s="22">
        <f t="shared" si="37"/>
        <v>10006821.250000291</v>
      </c>
      <c r="ZV6" s="22">
        <f t="shared" si="37"/>
        <v>9530939.9200001527</v>
      </c>
      <c r="ZW6" s="22">
        <f t="shared" si="37"/>
        <v>11039282.190000666</v>
      </c>
      <c r="ZX6" s="22">
        <f t="shared" si="37"/>
        <v>9796268.199999094</v>
      </c>
      <c r="ZY6" s="22">
        <f t="shared" si="37"/>
        <v>9873298.8299998473</v>
      </c>
      <c r="ZZ6" s="22">
        <f t="shared" si="37"/>
        <v>9679292.6200015135</v>
      </c>
      <c r="AAA6" s="22">
        <f t="shared" si="37"/>
        <v>8708867.3599986713</v>
      </c>
      <c r="AAB6" s="22">
        <f t="shared" si="37"/>
        <v>9417886.4800003581</v>
      </c>
      <c r="AAC6" s="22">
        <f t="shared" si="37"/>
        <v>8542191.3800001144</v>
      </c>
      <c r="AAD6" s="22">
        <f t="shared" si="37"/>
        <v>8201114.9000003366</v>
      </c>
      <c r="AAE6" s="22">
        <f t="shared" si="37"/>
        <v>11180055.079998685</v>
      </c>
      <c r="AAF6" s="22">
        <f t="shared" si="37"/>
        <v>11265818.21000118</v>
      </c>
      <c r="AAG6" s="22">
        <f t="shared" si="37"/>
        <v>10002734.439999331</v>
      </c>
      <c r="AAH6" s="22">
        <f t="shared" si="37"/>
        <v>9526428.9600008316</v>
      </c>
      <c r="AAI6" s="22">
        <f t="shared" si="37"/>
        <v>9684367.4499988612</v>
      </c>
      <c r="AAJ6" s="22">
        <f t="shared" si="37"/>
        <v>9294987.7700014431</v>
      </c>
      <c r="AAK6" s="22">
        <f t="shared" si="37"/>
        <v>10291835.079998685</v>
      </c>
      <c r="AAL6" s="22">
        <f t="shared" si="37"/>
        <v>9801078.5600010175</v>
      </c>
      <c r="AAM6" s="22">
        <f t="shared" si="37"/>
        <v>10883050.280000044</v>
      </c>
      <c r="AAN6" s="22">
        <f t="shared" si="37"/>
        <v>8192831.499999593</v>
      </c>
      <c r="AAO6" s="22">
        <f t="shared" si="37"/>
        <v>9582062.4699989688</v>
      </c>
      <c r="AAP6" s="22">
        <f t="shared" si="37"/>
        <v>8845932.680000091</v>
      </c>
      <c r="AAQ6" s="22">
        <f t="shared" si="37"/>
        <v>9801797.1199997123</v>
      </c>
      <c r="AAR6" s="22">
        <f t="shared" si="37"/>
        <v>9554298.1100009363</v>
      </c>
      <c r="AAS6" s="22">
        <f t="shared" si="37"/>
        <v>10350243.029999929</v>
      </c>
      <c r="AAT6" s="22">
        <f t="shared" si="37"/>
        <v>11308876.920000095</v>
      </c>
      <c r="AAU6" s="22">
        <f t="shared" si="37"/>
        <v>8982518.9600017034</v>
      </c>
      <c r="AAV6" s="22">
        <f t="shared" si="37"/>
        <v>9340032.4999988377</v>
      </c>
      <c r="AAW6" s="127">
        <f>SUM(ZS6:AAV6)</f>
        <v>291153795.4599998</v>
      </c>
      <c r="AAX6" s="22">
        <f t="shared" ref="AAX6:ACB6" si="38">AAX4*AAX5</f>
        <v>9922734.7600004598</v>
      </c>
      <c r="AAY6" s="22">
        <f t="shared" si="38"/>
        <v>8633613.1699998043</v>
      </c>
      <c r="AAZ6" s="22">
        <f t="shared" si="38"/>
        <v>8950682.7599993572</v>
      </c>
      <c r="ABA6" s="22">
        <f t="shared" si="38"/>
        <v>10073188.249999942</v>
      </c>
      <c r="ABB6" s="22">
        <f t="shared" si="38"/>
        <v>13216124.780000567</v>
      </c>
      <c r="ABC6" s="22">
        <f t="shared" si="38"/>
        <v>10501280.349999547</v>
      </c>
      <c r="ABD6" s="22">
        <f t="shared" si="38"/>
        <v>9104753.9999998845</v>
      </c>
      <c r="ABE6" s="22">
        <f t="shared" si="38"/>
        <v>10245592.750000175</v>
      </c>
      <c r="ABF6" s="22">
        <f t="shared" si="38"/>
        <v>9522796.2399993651</v>
      </c>
      <c r="ABG6" s="22">
        <f t="shared" si="38"/>
        <v>9368809.8300011251</v>
      </c>
      <c r="ABH6" s="22">
        <f t="shared" si="38"/>
        <v>9861951.5699988063</v>
      </c>
      <c r="ABI6" s="22">
        <f t="shared" si="38"/>
        <v>5943484.2099995539</v>
      </c>
      <c r="ABJ6" s="22">
        <f t="shared" si="38"/>
        <v>10104600.300000733</v>
      </c>
      <c r="ABK6" s="22">
        <f t="shared" si="38"/>
        <v>8939410.3499998376</v>
      </c>
      <c r="ABL6" s="22">
        <f t="shared" si="38"/>
        <v>9584777.0300006829</v>
      </c>
      <c r="ABM6" s="22">
        <f t="shared" si="38"/>
        <v>9366594.269999003</v>
      </c>
      <c r="ABN6" s="22">
        <f t="shared" si="38"/>
        <v>9922525.1800006721</v>
      </c>
      <c r="ABO6" s="22">
        <f t="shared" si="38"/>
        <v>10415252.750000175</v>
      </c>
      <c r="ABP6" s="22">
        <f t="shared" si="38"/>
        <v>9503924.0600004941</v>
      </c>
      <c r="ABQ6" s="22">
        <f t="shared" si="38"/>
        <v>10078088.429999162</v>
      </c>
      <c r="ABR6" s="22">
        <f t="shared" si="38"/>
        <v>9463430.2100008316</v>
      </c>
      <c r="ABS6" s="22">
        <f t="shared" si="38"/>
        <v>9227972.0699988641</v>
      </c>
      <c r="ABT6" s="22">
        <f t="shared" si="38"/>
        <v>10142564.220000479</v>
      </c>
      <c r="ABU6" s="22">
        <f t="shared" si="38"/>
        <v>10108756.970000362</v>
      </c>
      <c r="ABV6" s="22">
        <f t="shared" si="38"/>
        <v>11974522.959998995</v>
      </c>
      <c r="ABW6" s="22">
        <f t="shared" si="38"/>
        <v>10813010.640001677</v>
      </c>
      <c r="ABX6" s="22">
        <f t="shared" si="38"/>
        <v>9501394.1299988367</v>
      </c>
      <c r="ABY6" s="22">
        <f t="shared" si="38"/>
        <v>9955573.9499999061</v>
      </c>
      <c r="ABZ6" s="22">
        <f t="shared" si="38"/>
        <v>8878806.7999994531</v>
      </c>
      <c r="ACA6" s="22">
        <f t="shared" si="38"/>
        <v>8896680.9800011702</v>
      </c>
      <c r="ACB6" s="22">
        <f t="shared" si="38"/>
        <v>9921776.6799996831</v>
      </c>
      <c r="ACC6" s="127">
        <f>SUM(AAX6:ACB6)</f>
        <v>302144674.64999968</v>
      </c>
      <c r="ACD6" s="22">
        <f t="shared" ref="ACD6:ADH6" si="39">ACD4*ACD5</f>
        <v>9750295.3300003111</v>
      </c>
      <c r="ACE6" s="22">
        <f t="shared" si="39"/>
        <v>11910980.300000152</v>
      </c>
      <c r="ACF6" s="22">
        <f t="shared" si="39"/>
        <v>10557288.109999483</v>
      </c>
      <c r="ACG6" s="22">
        <f t="shared" si="39"/>
        <v>10617402.640000168</v>
      </c>
      <c r="ACH6" s="22">
        <f t="shared" si="39"/>
        <v>11402269.759999879</v>
      </c>
      <c r="ACI6" s="22">
        <f t="shared" si="39"/>
        <v>8161095.1000005342</v>
      </c>
      <c r="ACJ6" s="22">
        <f t="shared" si="39"/>
        <v>9688431.6690004133</v>
      </c>
      <c r="ACK6" s="22">
        <f t="shared" si="39"/>
        <v>10287840.800998732</v>
      </c>
      <c r="ACL6" s="22">
        <f t="shared" si="39"/>
        <v>9148467.5730005465</v>
      </c>
      <c r="ACM6" s="22">
        <f t="shared" si="39"/>
        <v>8346260.7269992195</v>
      </c>
      <c r="ACN6" s="22">
        <f t="shared" si="39"/>
        <v>11184675.873000897</v>
      </c>
      <c r="ACO6" s="22">
        <f t="shared" si="39"/>
        <v>7759690.1969992425</v>
      </c>
      <c r="ACP6" s="22">
        <f t="shared" si="39"/>
        <v>8009214.8010004861</v>
      </c>
      <c r="ACQ6" s="22">
        <f t="shared" si="39"/>
        <v>9307494.5879999511</v>
      </c>
      <c r="ACR6" s="22">
        <f t="shared" si="39"/>
        <v>10513188.881999779</v>
      </c>
      <c r="ACS6" s="22">
        <f t="shared" si="39"/>
        <v>8341979.51999979</v>
      </c>
      <c r="ACT6" s="22">
        <f t="shared" si="39"/>
        <v>9147333.2790010087</v>
      </c>
      <c r="ACU6" s="22">
        <f t="shared" si="39"/>
        <v>9383306.5829995647</v>
      </c>
      <c r="ACV6" s="22">
        <f t="shared" si="39"/>
        <v>6883799.4120000489</v>
      </c>
      <c r="ACW6" s="22">
        <f t="shared" si="39"/>
        <v>7639153.8929998111</v>
      </c>
      <c r="ACX6" s="22">
        <f t="shared" si="39"/>
        <v>8780052.896999184</v>
      </c>
      <c r="ACY6" s="22">
        <f t="shared" si="39"/>
        <v>10116256.248000313</v>
      </c>
      <c r="ACZ6" s="22">
        <f t="shared" si="39"/>
        <v>9056524.5120004583</v>
      </c>
      <c r="ADA6" s="22">
        <f t="shared" si="39"/>
        <v>7690709.0610003807</v>
      </c>
      <c r="ADB6" s="22">
        <f t="shared" si="39"/>
        <v>6998403.2580005005</v>
      </c>
      <c r="ADC6" s="22">
        <f t="shared" si="39"/>
        <v>8525549.4449992646</v>
      </c>
      <c r="ADD6" s="22">
        <f t="shared" si="39"/>
        <v>8952229.6920000259</v>
      </c>
      <c r="ADE6" s="22">
        <f t="shared" si="39"/>
        <v>7217648.2350005964</v>
      </c>
      <c r="ADF6" s="22">
        <f t="shared" si="39"/>
        <v>9591620.1779992972</v>
      </c>
      <c r="ADG6" s="22">
        <f t="shared" si="39"/>
        <v>9656781.8550002109</v>
      </c>
      <c r="ADH6" s="22">
        <f t="shared" si="39"/>
        <v>8158118.4929996356</v>
      </c>
      <c r="ADI6" s="127">
        <f>SUM(ACD6:ADH6)</f>
        <v>282784062.91199988</v>
      </c>
      <c r="ADJ6" s="22">
        <f t="shared" ref="ADJ6:AEM6" si="40">ADJ4*ADJ5</f>
        <v>8298936.5759997852</v>
      </c>
      <c r="ADK6" s="22">
        <f t="shared" si="40"/>
        <v>7716120.2580005005</v>
      </c>
      <c r="ADL6" s="22">
        <f t="shared" si="40"/>
        <v>7017344.9639997948</v>
      </c>
      <c r="ADM6" s="22">
        <f t="shared" si="40"/>
        <v>9137014.2150002215</v>
      </c>
      <c r="ADN6" s="22">
        <f t="shared" si="40"/>
        <v>8835096.2699994966</v>
      </c>
      <c r="ADO6" s="22">
        <f t="shared" si="40"/>
        <v>9915250.3170009013</v>
      </c>
      <c r="ADP6" s="22">
        <f t="shared" si="40"/>
        <v>8724868.9920000844</v>
      </c>
      <c r="ADQ6" s="22">
        <f t="shared" si="40"/>
        <v>8601336.3449991476</v>
      </c>
      <c r="ADR6" s="22">
        <f t="shared" si="40"/>
        <v>7597922.8080002666</v>
      </c>
      <c r="ADS6" s="22">
        <f t="shared" si="40"/>
        <v>6929788.5089997593</v>
      </c>
      <c r="ADT6" s="22">
        <f t="shared" si="40"/>
        <v>7916769.8400002224</v>
      </c>
      <c r="ADU6" s="22">
        <f t="shared" si="40"/>
        <v>8559427.6950010173</v>
      </c>
      <c r="ADV6" s="22">
        <f t="shared" si="40"/>
        <v>9383823.5399984103</v>
      </c>
      <c r="ADW6" s="22">
        <f t="shared" si="40"/>
        <v>7788549.4469998274</v>
      </c>
      <c r="ADX6" s="22">
        <f t="shared" si="40"/>
        <v>8779676.4719997104</v>
      </c>
      <c r="ADY6" s="22">
        <f t="shared" si="40"/>
        <v>7545850.6830017269</v>
      </c>
      <c r="ADZ6" s="22">
        <f t="shared" si="40"/>
        <v>6351408.9869994065</v>
      </c>
      <c r="AEA6" s="22">
        <f t="shared" si="40"/>
        <v>8168111.321999535</v>
      </c>
      <c r="AEB6" s="22">
        <f t="shared" si="40"/>
        <v>7234210.9350008294</v>
      </c>
      <c r="AEC6" s="22">
        <f t="shared" si="40"/>
        <v>7261308.5159989549</v>
      </c>
      <c r="AED6" s="22">
        <f t="shared" si="40"/>
        <v>7588421.8410006501</v>
      </c>
      <c r="AEE6" s="22">
        <f t="shared" si="40"/>
        <v>8011257.4279999146</v>
      </c>
      <c r="AEF6" s="22">
        <f t="shared" si="40"/>
        <v>7800644.5589996669</v>
      </c>
      <c r="AEG6" s="22">
        <f t="shared" si="40"/>
        <v>7299039.9000001745</v>
      </c>
      <c r="AEH6" s="22">
        <f t="shared" si="40"/>
        <v>7750514.5870005842</v>
      </c>
      <c r="AEI6" s="22">
        <f t="shared" si="40"/>
        <v>9055828.4719999563</v>
      </c>
      <c r="AEJ6" s="22">
        <f t="shared" si="40"/>
        <v>8286792.3099994296</v>
      </c>
      <c r="AEK6" s="22">
        <f t="shared" si="40"/>
        <v>7921910.3010004023</v>
      </c>
      <c r="AEL6" s="22">
        <f t="shared" si="40"/>
        <v>9315206.5860002395</v>
      </c>
      <c r="AEM6" s="22">
        <f t="shared" si="40"/>
        <v>7245515.6069990359</v>
      </c>
      <c r="AEN6" s="127">
        <f>SUM(ADJ6:AEM6)</f>
        <v>242037948.28199968</v>
      </c>
      <c r="AEO6" s="22">
        <f t="shared" ref="AEO6:AFS6" si="41">AEO4*AEO5</f>
        <v>7068985.920000663</v>
      </c>
      <c r="AEP6" s="22">
        <f t="shared" si="41"/>
        <v>7555638.5699993828</v>
      </c>
      <c r="AEQ6" s="22">
        <f t="shared" si="41"/>
        <v>8584307.7949997913</v>
      </c>
      <c r="AER6" s="22">
        <f t="shared" si="41"/>
        <v>9161902.2530007418</v>
      </c>
      <c r="AES6" s="22">
        <f t="shared" si="41"/>
        <v>7713911.9090000745</v>
      </c>
      <c r="AET6" s="22">
        <f t="shared" si="41"/>
        <v>8718840.8829995561</v>
      </c>
      <c r="AEU6" s="22">
        <f t="shared" si="41"/>
        <v>7440856.5310004959</v>
      </c>
      <c r="AEV6" s="22">
        <f t="shared" si="41"/>
        <v>7879833.7180003235</v>
      </c>
      <c r="AEW6" s="22">
        <f t="shared" si="41"/>
        <v>8745245.6009995881</v>
      </c>
      <c r="AEX6" s="22">
        <f t="shared" si="41"/>
        <v>9934172.7679997999</v>
      </c>
      <c r="AEY6" s="22">
        <f t="shared" si="41"/>
        <v>8376239.4170002118</v>
      </c>
      <c r="AEZ6" s="22">
        <f t="shared" si="41"/>
        <v>7819080.8709997861</v>
      </c>
      <c r="AFA6" s="22">
        <f t="shared" si="41"/>
        <v>7819430.8010001117</v>
      </c>
      <c r="AFB6" s="22">
        <f t="shared" si="41"/>
        <v>8036802.3179998584</v>
      </c>
      <c r="AFC6" s="22">
        <f t="shared" si="41"/>
        <v>8362042.2570006661</v>
      </c>
      <c r="AFD6" s="22">
        <f t="shared" si="41"/>
        <v>8331728.3210000191</v>
      </c>
      <c r="AFE6" s="22">
        <f t="shared" si="41"/>
        <v>7433093.0839998415</v>
      </c>
      <c r="AFF6" s="22">
        <f t="shared" si="41"/>
        <v>8311837.3000000585</v>
      </c>
      <c r="AFG6" s="22">
        <f t="shared" si="41"/>
        <v>7876234.4380004629</v>
      </c>
      <c r="AFH6" s="22">
        <f t="shared" si="41"/>
        <v>7576884.3199990923</v>
      </c>
      <c r="AFI6" s="22">
        <f t="shared" si="41"/>
        <v>8631618.3310005534</v>
      </c>
      <c r="AFJ6" s="22">
        <f t="shared" si="41"/>
        <v>7623145.0659985868</v>
      </c>
      <c r="AFK6" s="22">
        <f t="shared" si="41"/>
        <v>7117941.1270009801</v>
      </c>
      <c r="AFL6" s="22">
        <f t="shared" si="41"/>
        <v>8619780.6989998892</v>
      </c>
      <c r="AFM6" s="22">
        <f t="shared" si="41"/>
        <v>10095710.453999866</v>
      </c>
      <c r="AFN6" s="22">
        <f t="shared" si="41"/>
        <v>8497435.172999369</v>
      </c>
      <c r="AFO6" s="22">
        <f t="shared" si="41"/>
        <v>7888790.1329999631</v>
      </c>
      <c r="AFP6" s="22">
        <f t="shared" si="41"/>
        <v>7656291.0620014425</v>
      </c>
      <c r="AFQ6" s="22">
        <f t="shared" si="41"/>
        <v>7034028.5469983434</v>
      </c>
      <c r="AFR6" s="22">
        <f t="shared" si="41"/>
        <v>7679887.8940013526</v>
      </c>
      <c r="AFS6" s="22">
        <f t="shared" si="41"/>
        <v>8844902.2900001034</v>
      </c>
      <c r="AFT6" s="127">
        <f>SUM(AEO6:AFS6)</f>
        <v>252436599.85100105</v>
      </c>
      <c r="AFU6" s="22">
        <f t="shared" ref="AFU6:AGX6" si="42">AFU4*AFU5</f>
        <v>8848876.3369993102</v>
      </c>
      <c r="AFV6" s="22">
        <f t="shared" si="42"/>
        <v>8777214.8170005549</v>
      </c>
      <c r="AFW6" s="22">
        <f t="shared" si="42"/>
        <v>8089872.9520002212</v>
      </c>
      <c r="AFX6" s="22">
        <f t="shared" si="42"/>
        <v>8114058.7149992967</v>
      </c>
      <c r="AFY6" s="22">
        <f t="shared" si="42"/>
        <v>8646209.8379990179</v>
      </c>
      <c r="AFZ6" s="22">
        <f t="shared" si="42"/>
        <v>8384808.6070015235</v>
      </c>
      <c r="AGA6" s="22">
        <f t="shared" si="42"/>
        <v>8829560.3899990674</v>
      </c>
      <c r="AGB6" s="22">
        <f t="shared" si="42"/>
        <v>7132558.1880008616</v>
      </c>
      <c r="AGC6" s="22">
        <f t="shared" si="42"/>
        <v>9250695.5449989289</v>
      </c>
      <c r="AGD6" s="22">
        <f t="shared" si="42"/>
        <v>8841096.5090008229</v>
      </c>
      <c r="AGE6" s="22">
        <f t="shared" si="42"/>
        <v>7995426.2360000648</v>
      </c>
      <c r="AGF6" s="22">
        <f t="shared" si="42"/>
        <v>6622400.4209997877</v>
      </c>
      <c r="AGG6" s="22">
        <f t="shared" si="42"/>
        <v>7756513.2609993732</v>
      </c>
      <c r="AGH6" s="22">
        <f t="shared" si="42"/>
        <v>8086576.9180010902</v>
      </c>
      <c r="AGI6" s="22">
        <f t="shared" si="42"/>
        <v>7629165.592999571</v>
      </c>
      <c r="AGJ6" s="22">
        <f t="shared" si="42"/>
        <v>7621702.5009999955</v>
      </c>
      <c r="AGK6" s="22">
        <f t="shared" si="42"/>
        <v>9346567.5730005279</v>
      </c>
      <c r="AGL6" s="22">
        <f t="shared" si="42"/>
        <v>8528037.6160000414</v>
      </c>
      <c r="AGM6" s="22">
        <f t="shared" si="42"/>
        <v>8139194.6859988542</v>
      </c>
      <c r="AGN6" s="22">
        <f t="shared" si="42"/>
        <v>9042941.4739998318</v>
      </c>
      <c r="AGO6" s="22">
        <f t="shared" si="42"/>
        <v>9341870.9720009938</v>
      </c>
      <c r="AGP6" s="22">
        <f t="shared" si="42"/>
        <v>10080370.649998732</v>
      </c>
      <c r="AGQ6" s="22">
        <f t="shared" si="42"/>
        <v>7557345.7050007833</v>
      </c>
      <c r="AGR6" s="22">
        <f t="shared" si="42"/>
        <v>8042060.6630009767</v>
      </c>
      <c r="AGS6" s="22">
        <f t="shared" si="42"/>
        <v>9378696.4809986465</v>
      </c>
      <c r="AGT6" s="22">
        <f t="shared" si="42"/>
        <v>8179672.5570006017</v>
      </c>
      <c r="AGU6" s="22">
        <f t="shared" si="42"/>
        <v>8928396.869000027</v>
      </c>
      <c r="AGV6" s="22">
        <f t="shared" si="42"/>
        <v>10504143.622000301</v>
      </c>
      <c r="AGW6" s="22">
        <f t="shared" si="42"/>
        <v>10286640.020999039</v>
      </c>
      <c r="AGX6" s="22">
        <f t="shared" si="42"/>
        <v>8382749.8230005279</v>
      </c>
      <c r="AGY6" s="127">
        <f>SUM(AFU6:AGX6)</f>
        <v>256365425.53999931</v>
      </c>
      <c r="AGZ6" s="22">
        <f t="shared" ref="AGZ6:AID6" si="43">AGZ4*AGZ5</f>
        <v>9183869.1979993749</v>
      </c>
      <c r="AHA6" s="22">
        <f t="shared" si="43"/>
        <v>8723533.0139996465</v>
      </c>
      <c r="AHB6" s="22">
        <f t="shared" si="43"/>
        <v>7669524.6880011503</v>
      </c>
      <c r="AHC6" s="22">
        <f t="shared" si="43"/>
        <v>9806116.8659994658</v>
      </c>
      <c r="AHD6" s="22">
        <f t="shared" si="43"/>
        <v>10504465.30700089</v>
      </c>
      <c r="AHE6" s="22">
        <f t="shared" si="43"/>
        <v>9585693.3549995162</v>
      </c>
      <c r="AHF6" s="22">
        <f t="shared" si="43"/>
        <v>8605637.9360005837</v>
      </c>
      <c r="AHG6" s="22">
        <f t="shared" si="43"/>
        <v>9275856.2609987967</v>
      </c>
      <c r="AHH6" s="22">
        <f t="shared" si="43"/>
        <v>7639459.5130005162</v>
      </c>
      <c r="AHI6" s="22">
        <f t="shared" si="43"/>
        <v>8958046.3280002158</v>
      </c>
      <c r="AHJ6" s="22">
        <f t="shared" si="43"/>
        <v>10063207.517999629</v>
      </c>
      <c r="AHK6" s="22">
        <f t="shared" si="43"/>
        <v>10040922.170999788</v>
      </c>
      <c r="AHL6" s="22">
        <f t="shared" si="43"/>
        <v>10355173.772999894</v>
      </c>
      <c r="AHM6" s="22">
        <f t="shared" si="43"/>
        <v>8709067.0870013274</v>
      </c>
      <c r="AHN6" s="22">
        <f t="shared" si="43"/>
        <v>8880643.9679995719</v>
      </c>
      <c r="AHO6" s="22">
        <f t="shared" si="43"/>
        <v>8418788.4409991205</v>
      </c>
      <c r="AHP6" s="22">
        <f t="shared" si="43"/>
        <v>7694329.07600109</v>
      </c>
      <c r="AHQ6" s="22">
        <f t="shared" si="43"/>
        <v>10112905.375999995</v>
      </c>
      <c r="AHR6" s="22">
        <f t="shared" si="43"/>
        <v>10459082.976999531</v>
      </c>
      <c r="AHS6" s="22">
        <f t="shared" si="43"/>
        <v>9605038.9960003067</v>
      </c>
      <c r="AHT6" s="22">
        <f t="shared" si="43"/>
        <v>9782901.1070003714</v>
      </c>
      <c r="AHU6" s="22">
        <f t="shared" si="43"/>
        <v>10450694.421999495</v>
      </c>
      <c r="AHV6" s="22">
        <f t="shared" si="43"/>
        <v>11683920.885000242</v>
      </c>
      <c r="AHW6" s="22">
        <f t="shared" si="43"/>
        <v>11773284.978000101</v>
      </c>
      <c r="AHX6" s="22">
        <f t="shared" si="43"/>
        <v>8468035.940000277</v>
      </c>
      <c r="AHY6" s="22">
        <f t="shared" si="43"/>
        <v>8488866.2810001448</v>
      </c>
      <c r="AHZ6" s="22">
        <f t="shared" si="43"/>
        <v>7495428.7659984855</v>
      </c>
      <c r="AIA6" s="22">
        <f t="shared" si="43"/>
        <v>6750569.6230008733</v>
      </c>
      <c r="AIB6" s="22">
        <f t="shared" si="43"/>
        <v>7090343.2179998597</v>
      </c>
      <c r="AIC6" s="22">
        <f t="shared" si="43"/>
        <v>8274267.7429994559</v>
      </c>
      <c r="AID6" s="22">
        <f t="shared" si="43"/>
        <v>10011658.734000649</v>
      </c>
      <c r="AIE6" s="127">
        <f>SUM(AGZ6:AID6)</f>
        <v>284561333.54600024</v>
      </c>
      <c r="AIF6" s="22">
        <f t="shared" ref="AIF6:AJJ6" si="44">AIF4*AIF5</f>
        <v>7311306.1699995045</v>
      </c>
      <c r="AIG6" s="22">
        <f t="shared" si="44"/>
        <v>8087339.063999705</v>
      </c>
      <c r="AIH6" s="22">
        <f t="shared" si="44"/>
        <v>8079252.3980010459</v>
      </c>
      <c r="AII6" s="22">
        <f t="shared" si="44"/>
        <v>8514121.0280004479</v>
      </c>
      <c r="AIJ6" s="22">
        <f t="shared" si="44"/>
        <v>9900108.2739978731</v>
      </c>
      <c r="AIK6" s="22">
        <f t="shared" si="44"/>
        <v>9717861.3490015604</v>
      </c>
      <c r="AIL6" s="22">
        <f t="shared" si="44"/>
        <v>9663313.4709998462</v>
      </c>
      <c r="AIM6" s="22">
        <f t="shared" si="44"/>
        <v>9324297.0730005279</v>
      </c>
      <c r="AIN6" s="22">
        <f t="shared" si="44"/>
        <v>8276400.7619990809</v>
      </c>
      <c r="AIO6" s="22">
        <f t="shared" si="44"/>
        <v>11417352.897999318</v>
      </c>
      <c r="AIP6" s="22">
        <f t="shared" si="44"/>
        <v>9276286.8240013868</v>
      </c>
      <c r="AIQ6" s="22">
        <f t="shared" si="44"/>
        <v>8420401.814999124</v>
      </c>
      <c r="AIR6" s="22">
        <f t="shared" si="44"/>
        <v>9262305.8989998884</v>
      </c>
      <c r="AIS6" s="22">
        <f t="shared" si="44"/>
        <v>8844330.7800004426</v>
      </c>
      <c r="AIT6" s="22">
        <f t="shared" si="44"/>
        <v>5450089.7640004586</v>
      </c>
      <c r="AIU6" s="22">
        <f t="shared" si="44"/>
        <v>7650369.620000314</v>
      </c>
      <c r="AIV6" s="22">
        <f t="shared" si="44"/>
        <v>4290381.7519998159</v>
      </c>
      <c r="AIW6" s="22">
        <f t="shared" si="44"/>
        <v>5147110.3719992572</v>
      </c>
      <c r="AIX6" s="22">
        <f t="shared" si="44"/>
        <v>8191901.2920005023</v>
      </c>
      <c r="AIY6" s="22">
        <f t="shared" si="44"/>
        <v>8215481.5749996509</v>
      </c>
      <c r="AIZ6" s="22">
        <f t="shared" si="44"/>
        <v>9449999.6219998393</v>
      </c>
      <c r="AJA6" s="22">
        <f t="shared" si="44"/>
        <v>8921895.2639998775</v>
      </c>
      <c r="AJB6" s="22">
        <f t="shared" si="44"/>
        <v>9424619.6990007609</v>
      </c>
      <c r="AJC6" s="22">
        <f t="shared" si="44"/>
        <v>9915326.5379991252</v>
      </c>
      <c r="AJD6" s="22">
        <f t="shared" si="44"/>
        <v>9131478.3390004002</v>
      </c>
      <c r="AJE6" s="22">
        <f t="shared" si="44"/>
        <v>8261272.4149992317</v>
      </c>
      <c r="AJF6" s="22">
        <f t="shared" si="44"/>
        <v>9406833.2570009567</v>
      </c>
      <c r="AJG6" s="22">
        <f t="shared" si="44"/>
        <v>8238366.9969992572</v>
      </c>
      <c r="AJH6" s="22">
        <f t="shared" si="44"/>
        <v>8347188.5640007574</v>
      </c>
      <c r="AJI6" s="22">
        <f t="shared" si="44"/>
        <v>8265546.2339999573</v>
      </c>
      <c r="AJJ6" s="22">
        <f t="shared" si="44"/>
        <v>8472398.7149992827</v>
      </c>
      <c r="AJK6" s="127">
        <f>SUM(AIF6:AJJ6)</f>
        <v>262874937.8239992</v>
      </c>
      <c r="AJL6" s="22">
        <f t="shared" ref="AJL6:AKM6" si="45">AJL4*AJL5</f>
        <v>7292901.8250005292</v>
      </c>
      <c r="AJM6" s="22">
        <f t="shared" si="45"/>
        <v>8783720.0550009161</v>
      </c>
      <c r="AJN6" s="22">
        <f t="shared" si="45"/>
        <v>9566582.6519989334</v>
      </c>
      <c r="AJO6" s="22">
        <f t="shared" si="45"/>
        <v>8618511.7260014061</v>
      </c>
      <c r="AJP6" s="22">
        <f t="shared" si="45"/>
        <v>8154165.2939996757</v>
      </c>
      <c r="AJQ6" s="22">
        <f t="shared" si="45"/>
        <v>7661711.0789992167</v>
      </c>
      <c r="AJR6" s="22">
        <f t="shared" si="45"/>
        <v>9935588.8170005083</v>
      </c>
      <c r="AJS6" s="22">
        <f t="shared" si="45"/>
        <v>8655990.4529988095</v>
      </c>
      <c r="AJT6" s="22">
        <f t="shared" si="45"/>
        <v>9461169.6300005652</v>
      </c>
      <c r="AJU6" s="22">
        <f t="shared" si="45"/>
        <v>8828731.8900002241</v>
      </c>
      <c r="AJV6" s="22">
        <f t="shared" si="45"/>
        <v>8262067.4729990102</v>
      </c>
      <c r="AJW6" s="22">
        <f t="shared" si="45"/>
        <v>8785411.4700001404</v>
      </c>
      <c r="AJX6" s="22">
        <f t="shared" si="45"/>
        <v>9859409.5050002709</v>
      </c>
      <c r="AJY6" s="22">
        <f t="shared" si="45"/>
        <v>8561023.8120005317</v>
      </c>
      <c r="AJZ6" s="22">
        <f t="shared" si="45"/>
        <v>8257326.4620004138</v>
      </c>
      <c r="AKA6" s="22">
        <f t="shared" si="45"/>
        <v>7831049.4899994591</v>
      </c>
      <c r="AKB6" s="22">
        <f t="shared" si="45"/>
        <v>8952013.3229994215</v>
      </c>
      <c r="AKC6" s="22">
        <f t="shared" si="45"/>
        <v>8186923.206000912</v>
      </c>
      <c r="AKD6" s="22">
        <f t="shared" si="45"/>
        <v>7277350.905000153</v>
      </c>
      <c r="AKE6" s="22">
        <f t="shared" si="45"/>
        <v>7090149.1320004957</v>
      </c>
      <c r="AKF6" s="22">
        <f t="shared" si="45"/>
        <v>8769062.8079982232</v>
      </c>
      <c r="AKG6" s="22">
        <f t="shared" si="45"/>
        <v>6586491.1860010065</v>
      </c>
      <c r="AKH6" s="22">
        <f t="shared" si="45"/>
        <v>7973335.3590002516</v>
      </c>
      <c r="AKI6" s="22">
        <f t="shared" si="45"/>
        <v>7661589.9029990453</v>
      </c>
      <c r="AKJ6" s="22">
        <f t="shared" si="45"/>
        <v>8053099.4610011829</v>
      </c>
      <c r="AKK6" s="22">
        <f t="shared" si="45"/>
        <v>7640959.6889998754</v>
      </c>
      <c r="AKL6" s="22">
        <f t="shared" si="45"/>
        <v>7119140.4899988715</v>
      </c>
      <c r="AKM6" s="22">
        <f t="shared" si="45"/>
        <v>6811560.4590000752</v>
      </c>
      <c r="AKN6" s="127">
        <f t="shared" si="11"/>
        <v>230637037.55400014</v>
      </c>
      <c r="AKO6" s="22">
        <f t="shared" ref="AKO6:ALS6" si="46">AKO4*AKO5</f>
        <v>7935730.406999791</v>
      </c>
      <c r="AKP6" s="22">
        <f t="shared" si="46"/>
        <v>7650497.25</v>
      </c>
      <c r="AKQ6" s="22">
        <f t="shared" si="46"/>
        <v>7996318.4070012607</v>
      </c>
      <c r="AKR6" s="22">
        <f t="shared" si="46"/>
        <v>7640853.6600001296</v>
      </c>
      <c r="AKS6" s="22">
        <f t="shared" si="46"/>
        <v>7562710.2869988857</v>
      </c>
      <c r="AKT6" s="22">
        <f t="shared" si="46"/>
        <v>7562553.768000856</v>
      </c>
      <c r="AKU6" s="22">
        <f t="shared" si="46"/>
        <v>7673066.2799986834</v>
      </c>
      <c r="AKV6" s="22">
        <f t="shared" si="46"/>
        <v>8270080.2360004773</v>
      </c>
      <c r="AKW6" s="22">
        <f t="shared" si="46"/>
        <v>8644645.3500009496</v>
      </c>
      <c r="AKX6" s="22">
        <f t="shared" si="46"/>
        <v>7478775.710999419</v>
      </c>
      <c r="AKY6" s="22">
        <f t="shared" si="46"/>
        <v>7252542.2540000994</v>
      </c>
      <c r="AKZ6" s="22">
        <f t="shared" si="46"/>
        <v>7994151.0119997058</v>
      </c>
      <c r="ALA6" s="22">
        <f t="shared" si="46"/>
        <v>8913363.0390011203</v>
      </c>
      <c r="ALB6" s="22">
        <f t="shared" si="46"/>
        <v>10103607.311999764</v>
      </c>
      <c r="ALC6" s="22">
        <f t="shared" si="46"/>
        <v>8284804.2099990025</v>
      </c>
      <c r="ALD6" s="22">
        <f t="shared" si="46"/>
        <v>11180526.310000606</v>
      </c>
      <c r="ALE6" s="22">
        <f t="shared" si="46"/>
        <v>9474023.5840000175</v>
      </c>
      <c r="ALF6" s="22">
        <f t="shared" si="46"/>
        <v>7587514.9099989329</v>
      </c>
      <c r="ALG6" s="22">
        <f t="shared" si="46"/>
        <v>9950540.331000451</v>
      </c>
      <c r="ALH6" s="22">
        <f t="shared" si="46"/>
        <v>8585833.9240004253</v>
      </c>
      <c r="ALI6" s="22">
        <f t="shared" si="46"/>
        <v>9112957.6499998793</v>
      </c>
      <c r="ALJ6" s="22">
        <f t="shared" si="46"/>
        <v>7000364.1420000987</v>
      </c>
      <c r="ALK6" s="22">
        <f t="shared" si="46"/>
        <v>9403273.7169991396</v>
      </c>
      <c r="ALL6" s="22">
        <f t="shared" si="46"/>
        <v>9501759.9870015755</v>
      </c>
      <c r="ALM6" s="22">
        <f t="shared" si="46"/>
        <v>9752216.6129988469</v>
      </c>
      <c r="ALN6" s="22">
        <f t="shared" si="46"/>
        <v>9704448.2009999342</v>
      </c>
      <c r="ALO6" s="22">
        <f t="shared" si="46"/>
        <v>9891289.863001572</v>
      </c>
      <c r="ALP6" s="22">
        <f t="shared" si="46"/>
        <v>11048093.357999478</v>
      </c>
      <c r="ALQ6" s="22">
        <f t="shared" si="46"/>
        <v>12639647.630999971</v>
      </c>
      <c r="ALR6" s="22">
        <f t="shared" si="46"/>
        <v>12286204.013999326</v>
      </c>
      <c r="ALS6" s="22">
        <f t="shared" si="46"/>
        <v>9222683.1720001139</v>
      </c>
      <c r="ALT6" s="127">
        <f t="shared" si="12"/>
        <v>277305076.59000051</v>
      </c>
      <c r="ALU6" s="22">
        <f t="shared" ref="ALU6:AMX6" si="47">ALU4*ALU5</f>
        <v>12246626.609999644</v>
      </c>
      <c r="ALV6" s="22">
        <f t="shared" si="47"/>
        <v>9248165.5739999563</v>
      </c>
      <c r="ALW6" s="22">
        <f t="shared" si="47"/>
        <v>10134792.378000256</v>
      </c>
      <c r="ALX6" s="22">
        <f t="shared" si="47"/>
        <v>10360119.644999962</v>
      </c>
      <c r="ALY6" s="22">
        <f t="shared" si="47"/>
        <v>6406094.9790009782</v>
      </c>
      <c r="ALZ6" s="22">
        <f t="shared" si="47"/>
        <v>6706742.8949997937</v>
      </c>
      <c r="AMA6" s="22">
        <f t="shared" si="47"/>
        <v>11234761.575000554</v>
      </c>
      <c r="AMB6" s="22">
        <f t="shared" si="47"/>
        <v>10218940.367997965</v>
      </c>
      <c r="AMC6" s="22">
        <f t="shared" si="47"/>
        <v>11607107.175000677</v>
      </c>
      <c r="AMD6" s="22">
        <f t="shared" si="47"/>
        <v>11397710.375999367</v>
      </c>
      <c r="AME6" s="22">
        <f t="shared" si="47"/>
        <v>11312462.274000818</v>
      </c>
      <c r="AMF6" s="22">
        <f t="shared" si="47"/>
        <v>11839368.321000315</v>
      </c>
      <c r="AMG6" s="22">
        <f t="shared" si="47"/>
        <v>12249144.173999155</v>
      </c>
      <c r="AMH6" s="22">
        <f t="shared" si="47"/>
        <v>8106730.617000754</v>
      </c>
      <c r="AMI6" s="22">
        <f t="shared" si="47"/>
        <v>9553576.0879997723</v>
      </c>
      <c r="AMJ6" s="22">
        <f t="shared" si="47"/>
        <v>8969090.5369992871</v>
      </c>
      <c r="AMK6" s="22">
        <f t="shared" si="47"/>
        <v>10485021.626001362</v>
      </c>
      <c r="AML6" s="22">
        <f t="shared" si="47"/>
        <v>12269362.637999834</v>
      </c>
      <c r="AMM6" s="22">
        <f t="shared" si="47"/>
        <v>11691020.546999112</v>
      </c>
      <c r="AMN6" s="22">
        <f t="shared" si="47"/>
        <v>21073221.0460012</v>
      </c>
      <c r="AMO6" s="22">
        <f t="shared" si="47"/>
        <v>26052042.699999936</v>
      </c>
      <c r="AMP6" s="22">
        <f t="shared" si="47"/>
        <v>17995021.082999766</v>
      </c>
      <c r="AMQ6" s="22">
        <f t="shared" si="47"/>
        <v>24201912.851998646</v>
      </c>
      <c r="AMR6" s="22">
        <f t="shared" si="47"/>
        <v>25596448.253999915</v>
      </c>
      <c r="AMS6" s="22">
        <f t="shared" si="47"/>
        <v>26300446.7310008</v>
      </c>
      <c r="AMT6" s="22">
        <f t="shared" si="47"/>
        <v>23016823.361999553</v>
      </c>
      <c r="AMU6" s="22">
        <f t="shared" si="47"/>
        <v>10496634.174000965</v>
      </c>
      <c r="AMV6" s="22">
        <f t="shared" si="47"/>
        <v>9606873.9780003056</v>
      </c>
      <c r="AMW6" s="22">
        <f t="shared" si="47"/>
        <v>21807296.315999407</v>
      </c>
      <c r="AMX6" s="22">
        <f t="shared" si="47"/>
        <v>17421777.827999793</v>
      </c>
      <c r="AMY6" s="127">
        <f t="shared" si="13"/>
        <v>419605336.72099972</v>
      </c>
      <c r="AMZ6" s="22">
        <f t="shared" ref="AMZ6:AOC6" si="48">AMZ4*AMZ5</f>
        <v>10281731.170999756</v>
      </c>
      <c r="ANA6" s="22">
        <f t="shared" si="48"/>
        <v>11742778.102000454</v>
      </c>
      <c r="ANB6" s="22">
        <f t="shared" si="48"/>
        <v>9947102.9879990686</v>
      </c>
      <c r="ANC6" s="22">
        <f t="shared" si="48"/>
        <v>12405987.829000244</v>
      </c>
      <c r="AND6" s="22">
        <f t="shared" si="48"/>
        <v>11601488.494000696</v>
      </c>
      <c r="ANE6" s="22">
        <f t="shared" si="48"/>
        <v>12880190.220999822</v>
      </c>
      <c r="ANF6" s="22">
        <f t="shared" si="48"/>
        <v>12210933.854999775</v>
      </c>
      <c r="ANG6" s="22">
        <f t="shared" si="48"/>
        <v>11206148.864000723</v>
      </c>
      <c r="ANH6" s="22">
        <f t="shared" si="48"/>
        <v>13128444.359999085</v>
      </c>
      <c r="ANI6" s="22">
        <f t="shared" si="48"/>
        <v>10293134.87000069</v>
      </c>
      <c r="ANJ6" s="22">
        <f t="shared" si="48"/>
        <v>11557503.612000069</v>
      </c>
      <c r="ANK6" s="22">
        <f t="shared" si="48"/>
        <v>10794156.756000632</v>
      </c>
      <c r="ANL6" s="22">
        <f t="shared" si="48"/>
        <v>11629293.914998792</v>
      </c>
      <c r="ANM6" s="22">
        <f t="shared" si="48"/>
        <v>12814457.955001567</v>
      </c>
      <c r="ANN6" s="22">
        <f t="shared" si="48"/>
        <v>12946150.446998954</v>
      </c>
      <c r="ANO6" s="22">
        <f t="shared" si="48"/>
        <v>9695896.7670002412</v>
      </c>
      <c r="ANP6" s="22">
        <f t="shared" si="48"/>
        <v>6790368.7499998342</v>
      </c>
      <c r="ANQ6" s="22">
        <f t="shared" si="48"/>
        <v>8332074.9999995315</v>
      </c>
      <c r="ANR6" s="22">
        <f t="shared" si="48"/>
        <v>7744868.7500003874</v>
      </c>
      <c r="ANS6" s="22">
        <f t="shared" si="48"/>
        <v>8197881.2499994095</v>
      </c>
      <c r="ANT6" s="22">
        <f t="shared" si="48"/>
        <v>6995531.2500009313</v>
      </c>
      <c r="ANU6" s="22">
        <f t="shared" si="48"/>
        <v>10743462.499999078</v>
      </c>
      <c r="ANV6" s="22">
        <f t="shared" si="48"/>
        <v>8790706.2499998566</v>
      </c>
      <c r="ANW6" s="22">
        <f t="shared" si="48"/>
        <v>8661531.2500009164</v>
      </c>
      <c r="ANX6" s="22">
        <f t="shared" si="48"/>
        <v>9641981.2500011176</v>
      </c>
      <c r="ANY6" s="22">
        <f t="shared" si="48"/>
        <v>12034181.249998074</v>
      </c>
      <c r="ANZ6" s="22">
        <f t="shared" si="48"/>
        <v>8305368.7500007069</v>
      </c>
      <c r="AOA6" s="22">
        <f t="shared" si="48"/>
        <v>7875018.7499990715</v>
      </c>
      <c r="AOB6" s="22">
        <f t="shared" si="48"/>
        <v>9845322.2100011241</v>
      </c>
      <c r="AOC6" s="22">
        <f t="shared" si="48"/>
        <v>11669334.929999849</v>
      </c>
    </row>
    <row r="7" spans="1:1071" x14ac:dyDescent="0.2">
      <c r="A7" s="160"/>
      <c r="B7" s="5" t="s">
        <v>1507</v>
      </c>
      <c r="C7" s="20">
        <f>METER!D34</f>
        <v>1224.2479999999632</v>
      </c>
      <c r="D7" s="20">
        <f>METER!E34</f>
        <v>1003.600000000064</v>
      </c>
      <c r="E7" s="20">
        <f>METER!F34</f>
        <v>696.24499999996624</v>
      </c>
      <c r="F7" s="20">
        <f>METER!G34</f>
        <v>1041.6270000000077</v>
      </c>
      <c r="G7" s="20">
        <f>METER!H34</f>
        <v>1370.5029999999679</v>
      </c>
      <c r="H7" s="20">
        <f>METER!I34</f>
        <v>822.19800000003306</v>
      </c>
      <c r="I7" s="20">
        <f>METER!J34</f>
        <v>1071.6059999999998</v>
      </c>
      <c r="J7" s="20">
        <f>METER!K34</f>
        <v>961.01699999999255</v>
      </c>
      <c r="K7" s="20">
        <f>METER!L34</f>
        <v>864.07300000003306</v>
      </c>
      <c r="L7" s="20">
        <f>METER!M34</f>
        <v>914.77199999999721</v>
      </c>
      <c r="M7" s="20">
        <f>METER!N34</f>
        <v>991.04899999996996</v>
      </c>
      <c r="N7" s="20">
        <f>METER!O34</f>
        <v>686.87400000003981</v>
      </c>
      <c r="O7" s="20">
        <f>METER!P34</f>
        <v>723.42199999996228</v>
      </c>
      <c r="P7" s="20">
        <f>METER!Q34</f>
        <v>846.46099999998114</v>
      </c>
      <c r="Q7" s="20">
        <f>METER!R34</f>
        <v>841.29200000001583</v>
      </c>
      <c r="R7" s="20">
        <f>METER!S34</f>
        <v>694.90700000006473</v>
      </c>
      <c r="S7" s="20">
        <f>METER!T34</f>
        <v>1289.2559999999357</v>
      </c>
      <c r="T7" s="20">
        <f>METER!U34</f>
        <v>748.6359999999986</v>
      </c>
      <c r="U7" s="20">
        <f>METER!V34</f>
        <v>676.33300000004238</v>
      </c>
      <c r="V7" s="20">
        <f>METER!W34</f>
        <v>854.58099999991828</v>
      </c>
      <c r="W7" s="20">
        <f>METER!X34</f>
        <v>943.2050000000454</v>
      </c>
      <c r="X7" s="20">
        <f>METER!Y34</f>
        <v>909.18100000001141</v>
      </c>
      <c r="Y7" s="20">
        <f>METER!Z34</f>
        <v>935.38300000003073</v>
      </c>
      <c r="Z7" s="20">
        <f>METER!AA34</f>
        <v>840.83099999991828</v>
      </c>
      <c r="AA7" s="20">
        <f>METER!AB34</f>
        <v>1143.600000000064</v>
      </c>
      <c r="AB7" s="20">
        <f>METER!AC34</f>
        <v>1035.0349999999744</v>
      </c>
      <c r="AC7" s="20">
        <f>METER!AD34</f>
        <v>885.75500000003376</v>
      </c>
      <c r="AD7" s="20">
        <f>METER!AE34</f>
        <v>844.88099999996484</v>
      </c>
      <c r="AE7" s="20">
        <f>METER!AF34</f>
        <v>1339.6359999999695</v>
      </c>
      <c r="AF7" s="20">
        <f>METER!AG34</f>
        <v>1280.685000000085</v>
      </c>
      <c r="AG7" s="20">
        <f>METER!AH34</f>
        <v>1182.3499999999767</v>
      </c>
      <c r="AH7" s="94">
        <f>SUM(C7:AG7)</f>
        <v>29663.242000000027</v>
      </c>
      <c r="AI7" s="20">
        <f>METER!AJ34</f>
        <v>1085.783999999956</v>
      </c>
      <c r="AJ7" s="20">
        <f>METER!AK34</f>
        <v>1392.4130000000005</v>
      </c>
      <c r="AK7" s="20">
        <f>METER!AL34</f>
        <v>1251.4040000000386</v>
      </c>
      <c r="AL7" s="20">
        <f>METER!AM34</f>
        <v>1491.2099999999919</v>
      </c>
      <c r="AM7" s="20">
        <f>METER!AN34</f>
        <v>1556.0809999999765</v>
      </c>
      <c r="AN7" s="20">
        <f>METER!AO34</f>
        <v>1866.7150000000256</v>
      </c>
      <c r="AO7" s="20">
        <f>METER!AP34</f>
        <v>1645.2830000000249</v>
      </c>
      <c r="AP7" s="20">
        <f>METER!AQ34</f>
        <v>1970.292999999976</v>
      </c>
      <c r="AQ7" s="20">
        <f>METER!AR34</f>
        <v>1077.8560000000289</v>
      </c>
      <c r="AR7" s="20">
        <f>METER!AS34</f>
        <v>1243.1789999999455</v>
      </c>
      <c r="AS7" s="20">
        <f>METER!AT34</f>
        <v>1295.7840000000142</v>
      </c>
      <c r="AT7" s="20">
        <f>METER!AU34</f>
        <v>1152.8680000000168</v>
      </c>
      <c r="AU7" s="20">
        <f>METER!AV34</f>
        <v>934.59200000000419</v>
      </c>
      <c r="AV7" s="20">
        <f>METER!AW34</f>
        <v>919.04299999997602</v>
      </c>
      <c r="AW7" s="20">
        <f>METER!AX34</f>
        <v>1061.2110000000102</v>
      </c>
      <c r="AX7" s="20">
        <f>METER!AY34</f>
        <v>986.25600000002305</v>
      </c>
      <c r="AY7" s="20">
        <f>METER!AZ34</f>
        <v>946.89399999994203</v>
      </c>
      <c r="AZ7" s="20">
        <f>METER!BA34</f>
        <v>1125.1759999999831</v>
      </c>
      <c r="BA7" s="20">
        <f>METER!BB34</f>
        <v>1038.9230000000089</v>
      </c>
      <c r="BB7" s="20">
        <f>METER!BC34</f>
        <v>796.60800000003655</v>
      </c>
      <c r="BC7" s="20">
        <f>METER!BD34</f>
        <v>993.09000000002561</v>
      </c>
      <c r="BD7" s="20">
        <f>METER!BE34</f>
        <v>1195.7960000000021</v>
      </c>
      <c r="BE7" s="20">
        <f>METER!BF34</f>
        <v>1305.3679999999877</v>
      </c>
      <c r="BF7" s="20">
        <f>METER!BG34</f>
        <v>970.27099999997881</v>
      </c>
      <c r="BG7" s="20">
        <f>METER!BH34</f>
        <v>989.74300000001676</v>
      </c>
      <c r="BH7" s="20">
        <f>METER!BI34</f>
        <v>1081.3849999999802</v>
      </c>
      <c r="BI7" s="20">
        <f>METER!BJ34</f>
        <v>1102.4220000000205</v>
      </c>
      <c r="BJ7" s="20">
        <f>METER!BK34</f>
        <v>1145.6890000000421</v>
      </c>
      <c r="BK7" s="20">
        <f>METER!BL34</f>
        <v>1191.3889999999374</v>
      </c>
      <c r="BL7" s="20">
        <f>METER!BM34</f>
        <v>875.79400000002352</v>
      </c>
      <c r="BM7" s="97">
        <f t="shared" si="9"/>
        <v>35688.519999999997</v>
      </c>
      <c r="BN7" s="20">
        <f>METER!BO34</f>
        <v>808.80199999999604</v>
      </c>
      <c r="BO7" s="20">
        <f>METER!BP34</f>
        <v>902.28199999997742</v>
      </c>
      <c r="BP7" s="20">
        <f>METER!BQ34</f>
        <v>1172.8300000000454</v>
      </c>
      <c r="BQ7" s="20">
        <f>METER!BR34</f>
        <v>983.32500000001164</v>
      </c>
      <c r="BR7" s="20">
        <f>METER!BS34</f>
        <v>1563.6069999999308</v>
      </c>
      <c r="BS7" s="20">
        <f>METER!BT34</f>
        <v>1263.3350000000501</v>
      </c>
      <c r="BT7" s="20">
        <f>METER!BU34</f>
        <v>1054.9459999999381</v>
      </c>
      <c r="BU7" s="20">
        <f>METER!BV34</f>
        <v>777.865000000078</v>
      </c>
      <c r="BV7" s="20">
        <f>METER!BW34</f>
        <v>1320.2319999999017</v>
      </c>
      <c r="BW7" s="20">
        <f>METER!BX34</f>
        <v>1031.2770000000892</v>
      </c>
      <c r="BX7" s="20">
        <f>METER!BY34</f>
        <v>1000.6270000000077</v>
      </c>
      <c r="BY7" s="20">
        <f>METER!BZ34</f>
        <v>874.07699999999022</v>
      </c>
      <c r="BZ7" s="20">
        <f>METER!CA34</f>
        <v>1138.9039999999804</v>
      </c>
      <c r="CA7" s="20">
        <f>METER!CB34</f>
        <v>1027.5580000000191</v>
      </c>
      <c r="CB7" s="20">
        <f>METER!CC34</f>
        <v>770.49499999999534</v>
      </c>
      <c r="CC7" s="20">
        <f>METER!CD34</f>
        <v>991.76699999999255</v>
      </c>
      <c r="CD7" s="20">
        <f>METER!CE34</f>
        <v>1100.073000000004</v>
      </c>
      <c r="CE7" s="20">
        <f>METER!CF34</f>
        <v>963.396999999939</v>
      </c>
      <c r="CF7" s="20">
        <f>METER!CG34</f>
        <v>716.38400000002002</v>
      </c>
      <c r="CG7" s="20">
        <f>METER!CH34</f>
        <v>994.80700000005891</v>
      </c>
      <c r="CH7" s="20">
        <f>METER!CI34</f>
        <v>830.86100000000442</v>
      </c>
      <c r="CI7" s="20">
        <f>METER!CJ34</f>
        <v>761.98299999997835</v>
      </c>
      <c r="CJ7" s="20">
        <f>METER!CK34</f>
        <v>866.88499999995111</v>
      </c>
      <c r="CK7" s="20">
        <f>METER!CL34</f>
        <v>1076.6860000000452</v>
      </c>
      <c r="CL7" s="20">
        <f>METER!CM34</f>
        <v>720.49699999994482</v>
      </c>
      <c r="CM7" s="20">
        <f>METER!CN34</f>
        <v>853.53900000004796</v>
      </c>
      <c r="CN7" s="20">
        <f>METER!CO34</f>
        <v>825.658999999956</v>
      </c>
      <c r="CO7" s="20">
        <f>METER!CP34</f>
        <v>1143.3059999999823</v>
      </c>
      <c r="CP7" s="20">
        <f>METER!CQ34</f>
        <v>781.57300000006217</v>
      </c>
      <c r="CQ7" s="20">
        <f>METER!CR34</f>
        <v>980.81499999997322</v>
      </c>
      <c r="CR7" s="20">
        <f>METER!CS34</f>
        <v>919.21300000004703</v>
      </c>
      <c r="CS7" s="111">
        <f t="shared" si="10"/>
        <v>30217.607000000018</v>
      </c>
      <c r="CT7" s="20">
        <f>METER!CU34</f>
        <v>961.03499999991618</v>
      </c>
      <c r="CU7" s="20">
        <f>METER!CV34</f>
        <v>947.08400000006077</v>
      </c>
      <c r="CV7" s="20">
        <f>METER!CW34</f>
        <v>927.03099999998813</v>
      </c>
      <c r="CW7" s="20">
        <f>METER!CX34</f>
        <v>1170.7069999999949</v>
      </c>
      <c r="CX7" s="20">
        <f>METER!CY34</f>
        <v>952.17300000000978</v>
      </c>
      <c r="CY7" s="20">
        <f>METER!CZ34</f>
        <v>1010.7329999999783</v>
      </c>
      <c r="CZ7" s="20">
        <f>METER!DA34</f>
        <v>1119.1440000000584</v>
      </c>
      <c r="DA7" s="20">
        <f>METER!DB34</f>
        <v>1018.20100000003</v>
      </c>
      <c r="DB7" s="20">
        <f>METER!DC34</f>
        <v>1119.1849999999395</v>
      </c>
      <c r="DC7" s="20">
        <f>METER!DD34</f>
        <v>947.99799999999232</v>
      </c>
      <c r="DD7" s="20">
        <f>METER!DE34</f>
        <v>1197.5220000000263</v>
      </c>
      <c r="DE7" s="20">
        <f>METER!DF34</f>
        <v>551.4309999999241</v>
      </c>
      <c r="DF7" s="20">
        <f>METER!DG34</f>
        <v>502.41200000004028</v>
      </c>
      <c r="DG7" s="20">
        <f>METER!DH34</f>
        <v>976.34899999999323</v>
      </c>
      <c r="DH7" s="20">
        <f>METER!DI34</f>
        <v>635.42599999997765</v>
      </c>
      <c r="DI7" s="20">
        <f>METER!DJ34</f>
        <v>777.42600000006496</v>
      </c>
      <c r="DJ7" s="20">
        <f>METER!DK34</f>
        <v>1784.3549999999814</v>
      </c>
      <c r="DK7" s="20">
        <f>METER!DL34</f>
        <v>945.60500000001048</v>
      </c>
      <c r="DL7" s="20">
        <f>METER!DM34</f>
        <v>637.06200000000536</v>
      </c>
      <c r="DM7" s="20">
        <f>METER!DN34</f>
        <v>1377.9899999999616</v>
      </c>
      <c r="DN7" s="20">
        <f>METER!DO34</f>
        <v>863.57099999999627</v>
      </c>
      <c r="DO7" s="20">
        <f>METER!DP34</f>
        <v>1203.7849999999744</v>
      </c>
      <c r="DP7" s="20">
        <f>METER!DQ34</f>
        <v>905.2500000000291</v>
      </c>
      <c r="DQ7" s="20">
        <f>METER!DR34</f>
        <v>985.12200000000303</v>
      </c>
      <c r="DR7" s="20">
        <f>METER!DS34</f>
        <v>819.0350000000617</v>
      </c>
      <c r="DS7" s="20">
        <f>METER!DT34</f>
        <v>903.03299999996671</v>
      </c>
      <c r="DT7" s="20">
        <f>METER!DU34</f>
        <v>1196.2679999999527</v>
      </c>
      <c r="DU7" s="20">
        <f>METER!DV34</f>
        <v>1295.0469999999914</v>
      </c>
      <c r="DV7" s="20">
        <f>METER!DW34</f>
        <v>1084.390000000014</v>
      </c>
      <c r="DW7" s="20">
        <f>METER!DX34</f>
        <v>981.57600000000093</v>
      </c>
      <c r="DX7" s="119">
        <f>SUM(CT7:DW7)</f>
        <v>29795.945999999945</v>
      </c>
      <c r="DY7" s="20">
        <f>METER!DZ34</f>
        <v>938.14300000001094</v>
      </c>
      <c r="DZ7" s="20">
        <f>METER!EA34</f>
        <v>1206.2889999999607</v>
      </c>
      <c r="EA7" s="20">
        <f>METER!EB34</f>
        <v>782.59700000003795</v>
      </c>
      <c r="EB7" s="20">
        <f>METER!EC34</f>
        <v>960.07399999999325</v>
      </c>
      <c r="EC7" s="20">
        <f>METER!ED34</f>
        <v>1080.9539999999688</v>
      </c>
      <c r="ED7" s="20">
        <f>METER!EE34</f>
        <v>956.06400000004214</v>
      </c>
      <c r="EE7" s="20">
        <f>METER!EF34</f>
        <v>1100.1209999999551</v>
      </c>
      <c r="EF7" s="20">
        <f>METER!EG34</f>
        <v>1054.5640000000712</v>
      </c>
      <c r="EG7" s="20">
        <f>METER!EH34</f>
        <v>1389.0569999999716</v>
      </c>
      <c r="EH7" s="20">
        <f>METER!EI34</f>
        <v>1092.9660000000149</v>
      </c>
      <c r="EI7" s="20">
        <f>METER!EJ34</f>
        <v>1238.6600000000035</v>
      </c>
      <c r="EJ7" s="20">
        <f>METER!EK34</f>
        <v>1506.8009999999776</v>
      </c>
      <c r="EK7" s="20">
        <f>METER!EL34</f>
        <v>1096.2230000000482</v>
      </c>
      <c r="EL7" s="20">
        <f>METER!EM34</f>
        <v>1468.323999999935</v>
      </c>
      <c r="EM7" s="20">
        <f>METER!EN34</f>
        <v>1404.6070000000473</v>
      </c>
      <c r="EN7" s="20">
        <f>METER!EO34</f>
        <v>1070.4979999999632</v>
      </c>
      <c r="EO7" s="20">
        <f>METER!EP34</f>
        <v>1067.170999999973</v>
      </c>
      <c r="EP7" s="20">
        <f>METER!EQ34</f>
        <v>1296.6440000000293</v>
      </c>
      <c r="EQ7" s="20">
        <f>METER!ER34</f>
        <v>1015.9070000000065</v>
      </c>
      <c r="ER7" s="20">
        <f>METER!ES34</f>
        <v>1256.2420000000275</v>
      </c>
      <c r="ES7" s="20">
        <f>METER!ET34</f>
        <v>1787.7699999999895</v>
      </c>
      <c r="ET7" s="20">
        <f>METER!EU34</f>
        <v>1514.0010000000184</v>
      </c>
      <c r="EU7" s="20">
        <f>METER!EV34</f>
        <v>1917.5899999999674</v>
      </c>
      <c r="EV7" s="20">
        <f>METER!EW34</f>
        <v>1121.9149999999499</v>
      </c>
      <c r="EW7" s="20">
        <f>METER!EX34</f>
        <v>564.46000000005006</v>
      </c>
      <c r="EX7" s="20">
        <f>METER!EY34</f>
        <v>887.98200000004726</v>
      </c>
      <c r="EY7" s="20">
        <f>METER!EZ34</f>
        <v>839.50999999995111</v>
      </c>
      <c r="EZ7" s="20">
        <f>METER!FA34</f>
        <v>973.32700000001932</v>
      </c>
      <c r="FA7" s="20">
        <f>METER!FB34</f>
        <v>950.84799999999814</v>
      </c>
      <c r="FB7" s="20">
        <f>METER!FC34</f>
        <v>1198.4760000000533</v>
      </c>
      <c r="FC7" s="20">
        <f>METER!FD34</f>
        <v>937.53499999991618</v>
      </c>
      <c r="FD7" s="128">
        <f>SUM(DY7:FC7)</f>
        <v>35675.32</v>
      </c>
      <c r="FE7" s="20">
        <f>METER!FF34</f>
        <v>885.49400000006426</v>
      </c>
      <c r="FF7" s="20">
        <f>METER!FG34</f>
        <v>843.62400000001071</v>
      </c>
      <c r="FG7" s="20">
        <f>METER!FH34</f>
        <v>1256.5809999999474</v>
      </c>
      <c r="FH7" s="20">
        <f>METER!FI34</f>
        <v>1064.9849999999569</v>
      </c>
      <c r="FI7" s="20">
        <f>METER!FJ34</f>
        <v>1034.3750000000582</v>
      </c>
      <c r="FJ7" s="20">
        <f>METER!FK34</f>
        <v>1142.5749999999825</v>
      </c>
      <c r="FK7" s="20">
        <f>METER!FL34</f>
        <v>977.15900000004331</v>
      </c>
      <c r="FL7" s="20">
        <f>METER!FM34</f>
        <v>845.03499999991618</v>
      </c>
      <c r="FM7" s="20">
        <f>METER!FN34</f>
        <v>1240.0990000000456</v>
      </c>
      <c r="FN7" s="20">
        <f>METER!FO34</f>
        <v>780.33299999998417</v>
      </c>
      <c r="FO7" s="20">
        <f>METER!FP34</f>
        <v>1012.7090000000608</v>
      </c>
      <c r="FP7" s="20">
        <f>METER!FQ34</f>
        <v>1605.7029999999213</v>
      </c>
      <c r="FQ7" s="20">
        <f>METER!FR34</f>
        <v>826.72100000007777</v>
      </c>
      <c r="FR7" s="20">
        <f>METER!FS34</f>
        <v>1207.9439999999595</v>
      </c>
      <c r="FS7" s="20">
        <f>METER!FT34</f>
        <v>1372.3330000000424</v>
      </c>
      <c r="FT7" s="20">
        <f>METER!FU34</f>
        <v>897.53599999990547</v>
      </c>
      <c r="FU7" s="20">
        <f>METER!FV34</f>
        <v>1288.7620000001043</v>
      </c>
      <c r="FV7" s="20">
        <f>METER!FW34</f>
        <v>1026.7469999999157</v>
      </c>
      <c r="FW7" s="20">
        <f>METER!FX34</f>
        <v>1084.713000000047</v>
      </c>
      <c r="FX7" s="20">
        <f>METER!FY34</f>
        <v>1200.768999999942</v>
      </c>
      <c r="FY7" s="20">
        <f>METER!FZ34</f>
        <v>989.47900000005029</v>
      </c>
      <c r="FZ7" s="20">
        <f>METER!GA34</f>
        <v>1243.5819999999658</v>
      </c>
      <c r="GA7" s="20">
        <f>METER!GB34</f>
        <v>1498.50900000002</v>
      </c>
      <c r="GB7" s="20">
        <f>METER!GC34</f>
        <v>899.66599999996834</v>
      </c>
      <c r="GC7" s="20">
        <f>METER!GD34</f>
        <v>885.84500000008848</v>
      </c>
      <c r="GD7" s="20">
        <f>METER!GE34</f>
        <v>1262.5509999999776</v>
      </c>
      <c r="GE7" s="20">
        <f>METER!GF34</f>
        <v>1164.0869999999995</v>
      </c>
      <c r="GF7" s="20">
        <f>METER!GG34</f>
        <v>1161.5699999999779</v>
      </c>
      <c r="GG7" s="20">
        <f>METER!GH34</f>
        <v>1459.6760000000068</v>
      </c>
      <c r="GH7" s="20">
        <f>METER!GI34</f>
        <v>1336.5809999999765</v>
      </c>
      <c r="GI7" s="20">
        <f>METER!GJ34</f>
        <v>1171.6520000000019</v>
      </c>
      <c r="GJ7" s="127">
        <f>SUM(FE7:GI7)</f>
        <v>34667.395000000019</v>
      </c>
      <c r="GK7" s="20">
        <f>METER!GL34</f>
        <v>1092.7020000000193</v>
      </c>
      <c r="GL7" s="20">
        <f>METER!GM34</f>
        <v>1347.7940000000235</v>
      </c>
      <c r="GM7" s="20">
        <f>METER!GN34</f>
        <v>1028.6359999999695</v>
      </c>
      <c r="GN7" s="20">
        <f>METER!GO34</f>
        <v>787.85399999999208</v>
      </c>
      <c r="GO7" s="20">
        <f>METER!GP34</f>
        <v>1083.0900000000547</v>
      </c>
      <c r="GP7" s="20">
        <f>METER!GQ34</f>
        <v>888.08499999996275</v>
      </c>
      <c r="GQ7" s="20">
        <f>METER!GR34</f>
        <v>1204.792999999976</v>
      </c>
      <c r="GR7" s="20">
        <f>METER!GS34</f>
        <v>1227.5360000000219</v>
      </c>
      <c r="GS7" s="20">
        <f>METER!GT34</f>
        <v>847.72399999998743</v>
      </c>
      <c r="GT7" s="20">
        <f>METER!GU34</f>
        <v>1344.6760000000068</v>
      </c>
      <c r="GU7" s="20">
        <f>METER!GV34</f>
        <v>940.70199999999022</v>
      </c>
      <c r="GV7" s="20">
        <f>METER!GW34</f>
        <v>986.908999999956</v>
      </c>
      <c r="GW7" s="20">
        <f>METER!GX34</f>
        <v>825.37300000002142</v>
      </c>
      <c r="GX7" s="20">
        <f>METER!GY34</f>
        <v>1003.2949999999837</v>
      </c>
      <c r="GY7" s="20">
        <f>METER!GZ34</f>
        <v>875.82100000005448</v>
      </c>
      <c r="GZ7" s="20">
        <f>METER!HA34</f>
        <v>1016.2759999999544</v>
      </c>
      <c r="HA7" s="20">
        <f>METER!HB34</f>
        <v>806.7390000000596</v>
      </c>
      <c r="HB7" s="20">
        <f>METER!HC34</f>
        <v>768.53800000000047</v>
      </c>
      <c r="HC7" s="20">
        <f>METER!HD34</f>
        <v>1378.1520000000019</v>
      </c>
      <c r="HD7" s="20">
        <f>METER!HE34</f>
        <v>2908.2949999999837</v>
      </c>
      <c r="HE7" s="20">
        <f>METER!HF34</f>
        <v>904.79900000002817</v>
      </c>
      <c r="HF7" s="20">
        <f>METER!HG34</f>
        <v>938.0329999999376</v>
      </c>
      <c r="HG7" s="20">
        <f>METER!HH34</f>
        <v>1050.4890000000305</v>
      </c>
      <c r="HH7" s="20">
        <f>METER!HI34</f>
        <v>1548.2049999999872</v>
      </c>
      <c r="HI7" s="20">
        <f>METER!HJ34</f>
        <v>782.18700000003446</v>
      </c>
      <c r="HJ7" s="20">
        <f>METER!HK34</f>
        <v>1013.7089999999735</v>
      </c>
      <c r="HK7" s="20">
        <f>METER!HL34</f>
        <v>915.42999999996391</v>
      </c>
      <c r="HL7" s="20">
        <f>METER!HM34</f>
        <v>823.42900000003283</v>
      </c>
      <c r="HM7" s="20">
        <f>METER!HN34</f>
        <v>973.55499999993481</v>
      </c>
      <c r="HN7" s="127">
        <f>SUM(GK7:HM7)</f>
        <v>31312.825999999943</v>
      </c>
      <c r="HO7" s="20">
        <f>METER!HP34</f>
        <v>1028.2040000000852</v>
      </c>
      <c r="HP7" s="20">
        <f>METER!HQ34</f>
        <v>1365.225999999966</v>
      </c>
      <c r="HQ7" s="20">
        <f>METER!HR34</f>
        <v>887.93599999998696</v>
      </c>
      <c r="HR7" s="20">
        <f>METER!HS34</f>
        <v>1618.5870000000577</v>
      </c>
      <c r="HS7" s="20">
        <f>METER!HT34</f>
        <v>1095.4979999999341</v>
      </c>
      <c r="HT7" s="20">
        <f>METER!HU34</f>
        <v>1319.3390000000654</v>
      </c>
      <c r="HU7" s="20">
        <f>METER!HV34</f>
        <v>1429.5169999999634</v>
      </c>
      <c r="HV7" s="20">
        <f>METER!HW34</f>
        <v>1006.804999999993</v>
      </c>
      <c r="HW7" s="20">
        <f>METER!HX34</f>
        <v>1401.4369999999471</v>
      </c>
      <c r="HX7" s="20">
        <f>METER!HY34</f>
        <v>1072.063000000082</v>
      </c>
      <c r="HY7" s="20">
        <f>METER!HZ34</f>
        <v>1164.23199999996</v>
      </c>
      <c r="HZ7" s="20">
        <f>METER!IA34</f>
        <v>1008.6279999999679</v>
      </c>
      <c r="IA7" s="20">
        <f>METER!IB34</f>
        <v>887.65300000004936</v>
      </c>
      <c r="IB7" s="20">
        <f>METER!IC34</f>
        <v>1146.8030000000144</v>
      </c>
      <c r="IC7" s="20">
        <f>METER!ID34</f>
        <v>997.46399999994901</v>
      </c>
      <c r="ID7" s="20">
        <f>METER!IE34</f>
        <v>808.59900000004563</v>
      </c>
      <c r="IE7" s="20">
        <f>METER!IF34</f>
        <v>911.02500000005239</v>
      </c>
      <c r="IF7" s="20">
        <f>METER!IG34</f>
        <v>1131.216999999946</v>
      </c>
      <c r="IG7" s="20">
        <f>METER!IH34</f>
        <v>1148.8800000000047</v>
      </c>
      <c r="IH7" s="20">
        <f>METER!II34</f>
        <v>861.50199999997858</v>
      </c>
      <c r="II7" s="20">
        <f>METER!IJ34</f>
        <v>1018.5340000000724</v>
      </c>
      <c r="IJ7" s="20">
        <f>METER!IK34</f>
        <v>1192.3550000000105</v>
      </c>
      <c r="IK7" s="20">
        <f>METER!IL34</f>
        <v>1210.1329999999434</v>
      </c>
      <c r="IL7" s="20">
        <f>METER!IM34</f>
        <v>715.37299999996321</v>
      </c>
      <c r="IM7" s="20">
        <f>METER!IN34</f>
        <v>1336.5290000000095</v>
      </c>
      <c r="IN7" s="20">
        <f>METER!IO34</f>
        <v>1046.0219999999972</v>
      </c>
      <c r="IO7" s="20">
        <f>METER!IP34</f>
        <v>1046.5960000000487</v>
      </c>
      <c r="IP7" s="20">
        <f>METER!IQ34</f>
        <v>1235.4239999999056</v>
      </c>
      <c r="IQ7" s="20">
        <f>METER!IR34</f>
        <v>1558.8830000000598</v>
      </c>
      <c r="IR7" s="20">
        <f>METER!IS34</f>
        <v>782.60099999999511</v>
      </c>
      <c r="IS7" s="20">
        <f>METER!IT34</f>
        <v>731.11000000004424</v>
      </c>
      <c r="IT7" s="127">
        <f t="shared" si="22"/>
        <v>34164.175000000097</v>
      </c>
      <c r="IU7" s="20">
        <f>METER!IV34</f>
        <v>859.76599999991595</v>
      </c>
      <c r="IV7" s="20">
        <f>METER!IW34</f>
        <v>1270.3960000000661</v>
      </c>
      <c r="IW7" s="20">
        <f>METER!IX34</f>
        <v>844.86499999999069</v>
      </c>
      <c r="IX7" s="20">
        <f>METER!IY34</f>
        <v>1062.5299999999697</v>
      </c>
      <c r="IY7" s="20">
        <f>METER!IZ34</f>
        <v>1207.06700000001</v>
      </c>
      <c r="IZ7" s="20">
        <f>METER!JA34</f>
        <v>805.69200000001001</v>
      </c>
      <c r="JA7" s="20">
        <f>METER!JB34</f>
        <v>759.83400000003166</v>
      </c>
      <c r="JB7" s="20">
        <f>METER!JC34</f>
        <v>1364.274000000001</v>
      </c>
      <c r="JC7" s="20">
        <f>METER!JD34</f>
        <v>941.44499999991967</v>
      </c>
      <c r="JD7" s="20">
        <f>METER!JE34</f>
        <v>886.35900000002584</v>
      </c>
      <c r="JE7" s="20">
        <f>METER!JF34</f>
        <v>1082.2830000000249</v>
      </c>
      <c r="JF7" s="20">
        <f>METER!JG34</f>
        <v>1094.3580000000366</v>
      </c>
      <c r="JG7" s="20">
        <f>METER!JH34</f>
        <v>1325.4219999999914</v>
      </c>
      <c r="JH7" s="20">
        <f>METER!JI34</f>
        <v>826.43700000003446</v>
      </c>
      <c r="JI7" s="20">
        <f>METER!JJ34</f>
        <v>1010.6979999999749</v>
      </c>
      <c r="JJ7" s="20">
        <f>METER!JK34</f>
        <v>976.51999999987311</v>
      </c>
      <c r="JK7" s="20">
        <f>METER!JL34</f>
        <v>1148.7240000001621</v>
      </c>
      <c r="JL7" s="20">
        <f>METER!JM34</f>
        <v>994.38999999992666</v>
      </c>
      <c r="JM7" s="20">
        <f>METER!JN34</f>
        <v>1058.3849999999802</v>
      </c>
      <c r="JN7" s="20">
        <f>METER!JO34</f>
        <v>1003.8940000000584</v>
      </c>
      <c r="JO7" s="20">
        <f>METER!JP34</f>
        <v>614.82199999995646</v>
      </c>
      <c r="JP7" s="20">
        <f>METER!JQ34</f>
        <v>1466.0410000000556</v>
      </c>
      <c r="JQ7" s="20">
        <f>METER!JR34</f>
        <v>905.34199999997509</v>
      </c>
      <c r="JR7" s="20">
        <f>METER!JS34</f>
        <v>873.58699999999953</v>
      </c>
      <c r="JS7" s="20">
        <f>METER!JT34</f>
        <v>879.61999999987893</v>
      </c>
      <c r="JT7" s="20">
        <f>METER!JU34</f>
        <v>1003.9400000000314</v>
      </c>
      <c r="JU7" s="20">
        <f>METER!JV34</f>
        <v>779.8200000000943</v>
      </c>
      <c r="JV7" s="20">
        <f>METER!JW34</f>
        <v>946.97999999989406</v>
      </c>
      <c r="JW7" s="20">
        <f>METER!JX34</f>
        <v>1117.0920000000042</v>
      </c>
      <c r="JX7" s="20">
        <f>METER!JY34</f>
        <v>915.0010000000766</v>
      </c>
      <c r="JY7" s="127">
        <f>SUM(IU7:JX7)</f>
        <v>30025.58399999997</v>
      </c>
      <c r="JZ7" s="20">
        <f>METER!KA34</f>
        <v>683.36899999994785</v>
      </c>
      <c r="KA7" s="20">
        <f>METER!KB34</f>
        <v>971.30300000001444</v>
      </c>
      <c r="KB7" s="20">
        <f>METER!KC34</f>
        <v>1255.9130000000005</v>
      </c>
      <c r="KC7" s="20">
        <f>METER!KD34</f>
        <v>891.88600000002771</v>
      </c>
      <c r="KD7" s="20">
        <f>METER!KE34</f>
        <v>999.60500000001048</v>
      </c>
      <c r="KE7" s="20">
        <f>METER!KF34</f>
        <v>1006.685999999987</v>
      </c>
      <c r="KF7" s="20">
        <f>METER!KG34</f>
        <v>1306.6030000000028</v>
      </c>
      <c r="KG7" s="20">
        <f>METER!KH34</f>
        <v>1108.3359999999811</v>
      </c>
      <c r="KH7" s="20">
        <f>METER!KI34</f>
        <v>1390.4360000000161</v>
      </c>
      <c r="KI7" s="20">
        <f>METER!KJ34</f>
        <v>1343.0929999999935</v>
      </c>
      <c r="KJ7" s="20">
        <f>METER!KK34</f>
        <v>1241.4890000000014</v>
      </c>
      <c r="KK7" s="20">
        <f>METER!KL34</f>
        <v>845.96300000007614</v>
      </c>
      <c r="KL7" s="20">
        <f>METER!KM34</f>
        <v>2124.5379999998841</v>
      </c>
      <c r="KM7" s="20">
        <f>METER!KN34</f>
        <v>1459.0440000000526</v>
      </c>
      <c r="KN7" s="20">
        <f>METER!KO34</f>
        <v>912.24200000005658</v>
      </c>
      <c r="KO7" s="20">
        <f>METER!KP34</f>
        <v>2109.6699999999255</v>
      </c>
      <c r="KP7" s="20">
        <f>METER!KQ34</f>
        <v>1387.6750000000466</v>
      </c>
      <c r="KQ7" s="20">
        <f>METER!KR34</f>
        <v>1536.2269999999553</v>
      </c>
      <c r="KR7" s="20">
        <f>METER!KS34</f>
        <v>992.26300000006449</v>
      </c>
      <c r="KS7" s="20">
        <f>METER!KT34</f>
        <v>1375.1179999999586</v>
      </c>
      <c r="KT7" s="20">
        <f>METER!KU34</f>
        <v>1880.4180000000051</v>
      </c>
      <c r="KU7" s="20">
        <f>METER!KV34</f>
        <v>1687.9409999999043</v>
      </c>
      <c r="KV7" s="20">
        <f>METER!KW34</f>
        <v>2552.3240000000224</v>
      </c>
      <c r="KW7" s="20">
        <f>METER!KX34</f>
        <v>1444.3200000000943</v>
      </c>
      <c r="KX7" s="20">
        <f>METER!KY34</f>
        <v>1278.0299999999988</v>
      </c>
      <c r="KY7" s="20">
        <f>METER!KZ34</f>
        <v>957.25599999999395</v>
      </c>
      <c r="KZ7" s="20">
        <f>METER!LA34</f>
        <v>1259.2129999999306</v>
      </c>
      <c r="LA7" s="20">
        <f>METER!LB34</f>
        <v>1519.5649999999732</v>
      </c>
      <c r="LB7" s="20">
        <f>METER!LC34</f>
        <v>1568.9230000000971</v>
      </c>
      <c r="LC7" s="20">
        <f>METER!LD34</f>
        <v>1086.7509999999893</v>
      </c>
      <c r="LD7" s="20">
        <f>METER!LE34</f>
        <v>1526.1280000000261</v>
      </c>
      <c r="LE7" s="127">
        <f>SUM(KA7:LD7)</f>
        <v>41018.95900000009</v>
      </c>
      <c r="LF7" s="20">
        <f>METER!LG34</f>
        <v>1310.0579999999609</v>
      </c>
      <c r="LG7" s="20">
        <f>METER!LH34</f>
        <v>1188.4859999999462</v>
      </c>
      <c r="LH7" s="20">
        <f>METER!LI34</f>
        <v>1717.9929999999586</v>
      </c>
      <c r="LI7" s="20">
        <f>METER!LJ34</f>
        <v>1710.926000000065</v>
      </c>
      <c r="LJ7" s="20">
        <f>METER!LK34</f>
        <v>1263.1319999999832</v>
      </c>
      <c r="LK7" s="20">
        <f>METER!LL34</f>
        <v>1294.5170000000217</v>
      </c>
      <c r="LL7" s="20">
        <f>METER!LM34</f>
        <v>1714.6380000000354</v>
      </c>
      <c r="LM7" s="20">
        <f>METER!LN34</f>
        <v>1575.570000000007</v>
      </c>
      <c r="LN7" s="20">
        <f>METER!LO34</f>
        <v>954.61600000000908</v>
      </c>
      <c r="LO7" s="20">
        <f>METER!LP34</f>
        <v>1387.8349999999627</v>
      </c>
      <c r="LP7" s="20">
        <f>METER!LQ34</f>
        <v>1682.1520000000892</v>
      </c>
      <c r="LQ7" s="20">
        <f>METER!LR34</f>
        <v>1300.4439999998722</v>
      </c>
      <c r="LR7" s="20">
        <f>METER!LS34</f>
        <v>1462.4039999999804</v>
      </c>
      <c r="LS7" s="20">
        <f>METER!LT34</f>
        <v>1579.7440000000934</v>
      </c>
      <c r="LT7" s="20">
        <f>METER!LU34</f>
        <v>1268.0739999999641</v>
      </c>
      <c r="LU7" s="20">
        <f>METER!LV34</f>
        <v>1068.3339999999444</v>
      </c>
      <c r="LV7" s="20">
        <f>METER!LW34</f>
        <v>1064.2800000000279</v>
      </c>
      <c r="LW7" s="20">
        <f>METER!LX34</f>
        <v>1320.5550000000512</v>
      </c>
      <c r="LX7" s="20">
        <f>METER!LY34</f>
        <v>1439.289999999979</v>
      </c>
      <c r="LY7" s="20">
        <f>METER!LZ34</f>
        <v>1410.7790000000386</v>
      </c>
      <c r="LZ7" s="20">
        <f>METER!MA34</f>
        <v>1388.8699999999662</v>
      </c>
      <c r="MA7" s="20">
        <f>METER!MB34</f>
        <v>1208.8499999999767</v>
      </c>
      <c r="MB7" s="20">
        <f>METER!MC34</f>
        <v>823.31600000004983</v>
      </c>
      <c r="MC7" s="20">
        <f>METER!MD34</f>
        <v>1107.4199999999546</v>
      </c>
      <c r="MD7" s="20">
        <f>METER!ME34</f>
        <v>1178.6390000000829</v>
      </c>
      <c r="ME7" s="20">
        <f>METER!MF34</f>
        <v>1285.4629999999597</v>
      </c>
      <c r="MF7" s="20">
        <f>METER!MG34</f>
        <v>1136.7160000000149</v>
      </c>
      <c r="MG7" s="20">
        <f>METER!MH34</f>
        <v>1156.6680000000051</v>
      </c>
      <c r="MH7" s="20">
        <f>METER!MI34</f>
        <v>1064.1069999999891</v>
      </c>
      <c r="MI7" s="20">
        <f>METER!MJ34</f>
        <v>1302.082999999926</v>
      </c>
      <c r="MJ7" s="127">
        <f>SUM(LF7:MI7)</f>
        <v>39365.958999999915</v>
      </c>
      <c r="MK7" s="20">
        <f>METER!ML34</f>
        <v>1288.2180000000226</v>
      </c>
      <c r="ML7" s="20">
        <f>METER!MM34</f>
        <v>1363.4630000000084</v>
      </c>
      <c r="MM7" s="20">
        <f>METER!MN34</f>
        <v>856.35599999997066</v>
      </c>
      <c r="MN7" s="20">
        <f>METER!MO34</f>
        <v>1081.5530000000899</v>
      </c>
      <c r="MO7" s="20">
        <f>METER!MP34</f>
        <v>1411.5819999999658</v>
      </c>
      <c r="MP7" s="20">
        <f>METER!MQ34</f>
        <v>942.03699999998514</v>
      </c>
      <c r="MQ7" s="20">
        <f>METER!MR34</f>
        <v>1266.0890000000363</v>
      </c>
      <c r="MR7" s="20">
        <f>METER!MS34</f>
        <v>1143.576999999932</v>
      </c>
      <c r="MS7" s="20">
        <f>METER!MT34</f>
        <v>981.68800000006866</v>
      </c>
      <c r="MT7" s="20">
        <f>METER!MU34</f>
        <v>671.25499999999465</v>
      </c>
      <c r="MU7" s="20">
        <f>METER!MV34</f>
        <v>1344.596999999897</v>
      </c>
      <c r="MV7" s="20">
        <f>METER!MW34</f>
        <v>1126.1840000001248</v>
      </c>
      <c r="MW7" s="20">
        <f>METER!MX34</f>
        <v>1260.2509999999602</v>
      </c>
      <c r="MX7" s="20">
        <f>METER!MY34</f>
        <v>959.6699999999837</v>
      </c>
      <c r="MY7" s="20">
        <f>METER!MZ34</f>
        <v>1229.7440000000352</v>
      </c>
      <c r="MZ7" s="20">
        <f>METER!NA34</f>
        <v>1341.0609999999288</v>
      </c>
      <c r="NA7" s="20">
        <f>METER!NB34</f>
        <v>1189.1220000000321</v>
      </c>
      <c r="NB7" s="20">
        <f>METER!NC34</f>
        <v>1120.1540000000095</v>
      </c>
      <c r="NC7" s="20">
        <f>METER!ND34</f>
        <v>1295.7530000000261</v>
      </c>
      <c r="ND7" s="20">
        <f>METER!NE34</f>
        <v>1018.0079999999725</v>
      </c>
      <c r="NE7" s="20">
        <f>METER!NF34</f>
        <v>735.06899999993038</v>
      </c>
      <c r="NF7" s="20">
        <f>METER!NG34</f>
        <v>1167.9100000001199</v>
      </c>
      <c r="NG7" s="20">
        <f>METER!NH34</f>
        <v>997.61799999998766</v>
      </c>
      <c r="NH7" s="20">
        <f>METER!NI34</f>
        <v>949.65599999998813</v>
      </c>
      <c r="NI7" s="20">
        <f>METER!NJ34</f>
        <v>1243.0909999999567</v>
      </c>
      <c r="NJ7" s="20">
        <f>METER!NK34</f>
        <v>1498.2139999999781</v>
      </c>
      <c r="NK7" s="20">
        <f>METER!NL34</f>
        <v>827.4890000000305</v>
      </c>
      <c r="NL7" s="20">
        <f>METER!NM34</f>
        <v>1073.6120000000228</v>
      </c>
      <c r="NM7" s="20">
        <f>METER!NN34</f>
        <v>1077.7120000000577</v>
      </c>
      <c r="NN7" s="20">
        <f>METER!NO34</f>
        <v>1165.094999999943</v>
      </c>
      <c r="NO7" s="20">
        <f>METER!NP34</f>
        <v>1053.1230000000505</v>
      </c>
      <c r="NP7" s="127">
        <f>SUM(ML7:NO7)</f>
        <v>33390.73300000008</v>
      </c>
      <c r="NQ7" s="20">
        <f>METER!NR34</f>
        <v>1002.9369999998889</v>
      </c>
      <c r="NR7" s="20">
        <f>METER!NS34</f>
        <v>1330.743000000075</v>
      </c>
      <c r="NS7" s="20">
        <f>METER!NT34</f>
        <v>1191.4909999999509</v>
      </c>
      <c r="NT7" s="20">
        <f>METER!NU34</f>
        <v>915.12999999997555</v>
      </c>
      <c r="NU7" s="20">
        <f>METER!NV34</f>
        <v>1061.3869999999879</v>
      </c>
      <c r="NV7" s="20">
        <f>METER!NW34</f>
        <v>1439.8720000000903</v>
      </c>
      <c r="NW7" s="20">
        <f>METER!NX34</f>
        <v>1345.7660000000033</v>
      </c>
      <c r="NX7" s="20">
        <f>METER!NY34</f>
        <v>1230.835000000021</v>
      </c>
      <c r="NY7" s="20">
        <f>METER!NZ34</f>
        <v>1182.9059999999881</v>
      </c>
      <c r="NZ7" s="20">
        <f>METER!OA34</f>
        <v>909.08199999996577</v>
      </c>
      <c r="OA7" s="20">
        <f>METER!OB34</f>
        <v>1028.9439999999013</v>
      </c>
      <c r="OB7" s="20">
        <f>METER!OC34</f>
        <v>876.31300000011106</v>
      </c>
      <c r="OC7" s="20">
        <f>METER!OD34</f>
        <v>1041.7789999999513</v>
      </c>
      <c r="OD7" s="20">
        <f>METER!OE34</f>
        <v>1216.4490000000515</v>
      </c>
      <c r="OE7" s="20">
        <f>METER!OF34</f>
        <v>1115.9930000000168</v>
      </c>
      <c r="OF7" s="20">
        <f>METER!OG34</f>
        <v>1114.6169999999984</v>
      </c>
      <c r="OG7" s="20">
        <f>METER!OH34</f>
        <v>1005.4579999999551</v>
      </c>
      <c r="OH7" s="20">
        <f>METER!OI34</f>
        <v>995.70000000004075</v>
      </c>
      <c r="OI7" s="20">
        <f>METER!OJ34</f>
        <v>1142.2559999999357</v>
      </c>
      <c r="OJ7" s="20">
        <f>METER!OK34</f>
        <v>999.14500000004773</v>
      </c>
      <c r="OK7" s="20">
        <f>METER!OL34</f>
        <v>1019.8449999999721</v>
      </c>
      <c r="OL7" s="20">
        <f>METER!OM34</f>
        <v>1418.2409999999218</v>
      </c>
      <c r="OM7" s="20">
        <f>METER!ON34</f>
        <v>1260.396000000037</v>
      </c>
      <c r="ON7" s="20">
        <f>METER!OO34</f>
        <v>1178.4630000001052</v>
      </c>
      <c r="OO7" s="20">
        <f>METER!OP34</f>
        <v>675.11699999999837</v>
      </c>
      <c r="OP7" s="20">
        <f>METER!OQ34</f>
        <v>1205.1639999999898</v>
      </c>
      <c r="OQ7" s="20">
        <f>METER!OR34</f>
        <v>1104.4529999999213</v>
      </c>
      <c r="OR7" s="20">
        <f>METER!OS34</f>
        <v>1194.7610000000859</v>
      </c>
      <c r="OS7" s="20">
        <f>METER!OT34</f>
        <v>1039.0599999999686</v>
      </c>
      <c r="OT7" s="20">
        <f>METER!OU34</f>
        <v>1207.3699999999662</v>
      </c>
      <c r="OU7" s="20">
        <f>METER!OV34</f>
        <v>1619.243000000075</v>
      </c>
      <c r="OV7" s="127">
        <f>SUM(NR7:OU7)</f>
        <v>34065.979000000108</v>
      </c>
      <c r="OW7" s="20">
        <f>METER!OX34</f>
        <v>855.48399999996764</v>
      </c>
      <c r="OX7" s="20">
        <f>METER!OY34</f>
        <v>1707.6779999999562</v>
      </c>
      <c r="OY7" s="20">
        <f>METER!OZ34</f>
        <v>1157.4229999999516</v>
      </c>
      <c r="OZ7" s="20">
        <f>METER!PA34</f>
        <v>949.25500000015018</v>
      </c>
      <c r="PA7" s="20">
        <f>METER!PB34</f>
        <v>1321.8489999999292</v>
      </c>
      <c r="PB7" s="20">
        <f>METER!PC34</f>
        <v>1336.4780000000319</v>
      </c>
      <c r="PC7" s="20">
        <f>METER!PD34</f>
        <v>1329.8409999999276</v>
      </c>
      <c r="PD7" s="20">
        <f>METER!PE34</f>
        <v>1168.091000000044</v>
      </c>
      <c r="PE7" s="20">
        <f>METER!PF34</f>
        <v>949.89499999989016</v>
      </c>
      <c r="PF7" s="20">
        <f>METER!PG34</f>
        <v>1136.6770000001416</v>
      </c>
      <c r="PG7" s="20">
        <f>METER!PH34</f>
        <v>1295.0169999999634</v>
      </c>
      <c r="PH7" s="20">
        <f>METER!PI34</f>
        <v>1098.1269999999786</v>
      </c>
      <c r="PI7" s="20">
        <f>METER!PJ34</f>
        <v>1515.8250000000116</v>
      </c>
      <c r="PJ7" s="20">
        <f>METER!PK34</f>
        <v>1072.2379999999539</v>
      </c>
      <c r="PK7" s="20">
        <f>METER!PL34</f>
        <v>976.99400000003516</v>
      </c>
      <c r="PL7" s="20">
        <f>METER!PM34</f>
        <v>1010.9290000000328</v>
      </c>
      <c r="PM7" s="20">
        <f>METER!PN34</f>
        <v>993.2609999999695</v>
      </c>
      <c r="PN7" s="20">
        <f>METER!PO34</f>
        <v>860.2039999999979</v>
      </c>
      <c r="PO7" s="20">
        <f>METER!PP34</f>
        <v>1269.8060000000987</v>
      </c>
      <c r="PP7" s="20">
        <f>METER!PQ34</f>
        <v>1115.2829999999667</v>
      </c>
      <c r="PQ7" s="20">
        <f>METER!PR34</f>
        <v>1029.033999999956</v>
      </c>
      <c r="PR7" s="20">
        <f>METER!PS34</f>
        <v>875.95199999999022</v>
      </c>
      <c r="PS7" s="20">
        <f>METER!PT34</f>
        <v>887.33200000004024</v>
      </c>
      <c r="PT7" s="20">
        <f>METER!PU34</f>
        <v>999.97899999989772</v>
      </c>
      <c r="PU7" s="20">
        <f>METER!PV34</f>
        <v>903.51200000010431</v>
      </c>
      <c r="PV7" s="20">
        <f>METER!PW34</f>
        <v>1118.311999999918</v>
      </c>
      <c r="PW7" s="20">
        <f>METER!PX34</f>
        <v>1012.4170000000158</v>
      </c>
      <c r="PX7" s="20">
        <f>METER!PY34</f>
        <v>1440.3970000000554</v>
      </c>
      <c r="PY7" s="20">
        <f>METER!PZ34</f>
        <v>678.66799999994691</v>
      </c>
      <c r="PZ7" s="20">
        <f>METER!QA34</f>
        <v>1300.1480000000738</v>
      </c>
      <c r="QA7" s="127">
        <f>SUM(OW7:PZ7)</f>
        <v>33366.105999999992</v>
      </c>
      <c r="QB7" s="20">
        <f>METER!QC34</f>
        <v>0</v>
      </c>
      <c r="QC7" s="20">
        <f>METER!QD34</f>
        <v>874.20600000000559</v>
      </c>
      <c r="QD7" s="20">
        <f>METER!QE34</f>
        <v>1026.9060000000172</v>
      </c>
      <c r="QE7" s="20">
        <f>METER!QF34</f>
        <v>1226.2919999999285</v>
      </c>
      <c r="QF7" s="20">
        <f>METER!QG34</f>
        <v>1131.408000000054</v>
      </c>
      <c r="QG7" s="20">
        <f>METER!QH34</f>
        <v>678.08399999994435</v>
      </c>
      <c r="QH7" s="20">
        <f>METER!QI34</f>
        <v>1070.1059999999998</v>
      </c>
      <c r="QI7" s="20">
        <f>METER!QJ34</f>
        <v>1023.8150000000314</v>
      </c>
      <c r="QJ7" s="20">
        <f>METER!QK34</f>
        <v>1078.5780000000377</v>
      </c>
      <c r="QK7" s="20">
        <f>METER!QL34</f>
        <v>974.50299999993877</v>
      </c>
      <c r="QL7" s="20">
        <f>METER!QM34</f>
        <v>1139.1810000000114</v>
      </c>
      <c r="QM7" s="20">
        <f>METER!QN34</f>
        <v>1253.4389999999839</v>
      </c>
      <c r="QN7" s="20">
        <f>METER!QO34</f>
        <v>1157.0660000000498</v>
      </c>
      <c r="QO7" s="20">
        <f>METER!QP34</f>
        <v>1384.7340000000549</v>
      </c>
      <c r="QP7" s="20">
        <f>METER!QQ34</f>
        <v>933.87799999990966</v>
      </c>
      <c r="QQ7" s="20">
        <f>METER!QR34</f>
        <v>991.62700000003679</v>
      </c>
      <c r="QR7" s="20">
        <f>METER!QS34</f>
        <v>1012.4000000000233</v>
      </c>
      <c r="QS7" s="20">
        <f>METER!QT34</f>
        <v>1532.8379999999888</v>
      </c>
      <c r="QT7" s="20">
        <f>METER!QU34</f>
        <v>1105.3699999999953</v>
      </c>
      <c r="QU7" s="20">
        <f>METER!QV34</f>
        <v>718.42999999999302</v>
      </c>
      <c r="QV7" s="20">
        <f>METER!QW34</f>
        <v>1030.3749999999709</v>
      </c>
      <c r="QW7" s="20">
        <f>METER!QX34</f>
        <v>958.07700000004843</v>
      </c>
      <c r="QX7" s="20">
        <f>METER!QY34</f>
        <v>896.69999999998254</v>
      </c>
      <c r="QY7" s="20">
        <f>METER!QZ34</f>
        <v>1857.719999999943</v>
      </c>
      <c r="QZ7" s="20">
        <f>METER!RA34</f>
        <v>1397.3730000000214</v>
      </c>
      <c r="RA7" s="20">
        <f>METER!RB34</f>
        <v>872.95000000009895</v>
      </c>
      <c r="RB7" s="20">
        <f>METER!RC34</f>
        <v>820.16299999994226</v>
      </c>
      <c r="RC7" s="20">
        <f>METER!RD34</f>
        <v>922.2949999999837</v>
      </c>
      <c r="RD7" s="20">
        <f>METER!RE34</f>
        <v>1038.7309999999998</v>
      </c>
      <c r="RE7" s="20">
        <f>METER!RF34</f>
        <v>974.20599999994738</v>
      </c>
      <c r="RF7" s="20">
        <f>METER!RG34</f>
        <v>1285.3400000000547</v>
      </c>
      <c r="RG7" s="127">
        <f>SUM(QB7:RF7)</f>
        <v>32366.790999999997</v>
      </c>
      <c r="RH7" s="20">
        <f>METER!RI34</f>
        <v>994.73700000002282</v>
      </c>
      <c r="RI7" s="20">
        <f>METER!RJ34</f>
        <v>949.43000000002212</v>
      </c>
      <c r="RJ7" s="20">
        <f>METER!RK34</f>
        <v>1046.6109999999171</v>
      </c>
      <c r="RK7" s="20">
        <f>METER!RL34</f>
        <v>1660.1650000000664</v>
      </c>
      <c r="RL7" s="20">
        <f>METER!RM34</f>
        <v>1123.2929999998887</v>
      </c>
      <c r="RM7" s="20">
        <f>METER!RN34</f>
        <v>743.3310000000638</v>
      </c>
      <c r="RN7" s="20">
        <f>METER!RO34</f>
        <v>979.09000000005472</v>
      </c>
      <c r="RO7" s="20">
        <f>METER!RP34</f>
        <v>1015.2159999999858</v>
      </c>
      <c r="RP7" s="20">
        <f>METER!RQ34</f>
        <v>985.21199999991222</v>
      </c>
      <c r="RQ7" s="20">
        <f>METER!RR34</f>
        <v>852.81500000008964</v>
      </c>
      <c r="RR7" s="20">
        <f>METER!RS34</f>
        <v>1308.3709999999846</v>
      </c>
      <c r="RS7" s="20">
        <f>METER!RT34</f>
        <v>906.18000000002212</v>
      </c>
      <c r="RT7" s="20">
        <f>METER!RU34</f>
        <v>1265.3089999998629</v>
      </c>
      <c r="RU7" s="20">
        <f>METER!RV34</f>
        <v>1163.1280000000843</v>
      </c>
      <c r="RV7" s="20">
        <f>METER!RW34</f>
        <v>1162.2109999999229</v>
      </c>
      <c r="RW7" s="20">
        <f>METER!RX34</f>
        <v>1193.9860000001499</v>
      </c>
      <c r="RX7" s="20">
        <f>METER!RY34</f>
        <v>1011.954999999929</v>
      </c>
      <c r="RY7" s="20">
        <f>METER!RZ34</f>
        <v>878.01899999997113</v>
      </c>
      <c r="RZ7" s="20">
        <f>METER!SA34</f>
        <v>918.39600000006612</v>
      </c>
      <c r="SA7" s="20">
        <f>METER!SB34</f>
        <v>960.75400000004447</v>
      </c>
      <c r="SB7" s="20">
        <f>METER!SC34</f>
        <v>1078.1609999999346</v>
      </c>
      <c r="SC7" s="20">
        <f>METER!SD34</f>
        <v>958.13900000002468</v>
      </c>
      <c r="SD7" s="20">
        <f>METER!SE34</f>
        <v>956.32499999989523</v>
      </c>
      <c r="SE7" s="20">
        <f>METER!SF34</f>
        <v>758.13100000008126</v>
      </c>
      <c r="SF7" s="20">
        <f>METER!SG34</f>
        <v>1225.7549999999756</v>
      </c>
      <c r="SG7" s="20">
        <f>METER!SH34</f>
        <v>1201.5200000000768</v>
      </c>
      <c r="SH7" s="20">
        <f>METER!SI34</f>
        <v>894.26899999994203</v>
      </c>
      <c r="SI7" s="20">
        <f>METER!SJ34</f>
        <v>1512.7880000000296</v>
      </c>
      <c r="SJ7" s="20">
        <f>METER!SK34</f>
        <v>1061.595999999874</v>
      </c>
      <c r="SK7" s="20">
        <f>METER!SL34</f>
        <v>976.33100000003469</v>
      </c>
      <c r="SL7" s="127">
        <f>SUM(RH7:SK7)</f>
        <v>31741.223999999929</v>
      </c>
      <c r="SM7" s="20">
        <f>METER!SN34</f>
        <v>661.5920000000624</v>
      </c>
      <c r="SN7" s="20">
        <f>METER!SO34</f>
        <v>1806.5689999999886</v>
      </c>
      <c r="SO7" s="20">
        <f>METER!SP34</f>
        <v>3154.1299999999756</v>
      </c>
      <c r="SP7" s="20">
        <f>METER!SQ34</f>
        <v>1361.3110000000161</v>
      </c>
      <c r="SQ7" s="20">
        <f>METER!SR34</f>
        <v>1260.8150000000896</v>
      </c>
      <c r="SR7" s="20">
        <f>METER!SS34</f>
        <v>1168.4159999999101</v>
      </c>
      <c r="SS7" s="20">
        <f>METER!ST34</f>
        <v>1006.3359999999853</v>
      </c>
      <c r="ST7" s="20">
        <f>METER!SU34</f>
        <v>1029.6480000000447</v>
      </c>
      <c r="SU7" s="20">
        <f>METER!SV34</f>
        <v>1697.1119999999064</v>
      </c>
      <c r="SV7" s="20">
        <f>METER!SW34</f>
        <v>1123.5400000000664</v>
      </c>
      <c r="SW7" s="20">
        <f>METER!SX34</f>
        <v>1108.0830000001006</v>
      </c>
      <c r="SX7" s="20">
        <f>METER!SY34</f>
        <v>980.06899999993038</v>
      </c>
      <c r="SY7" s="20">
        <f>METER!SZ34</f>
        <v>1677.5200000000186</v>
      </c>
      <c r="SZ7" s="20">
        <f>METER!TA34</f>
        <v>1160.0269999999146</v>
      </c>
      <c r="TA7" s="20">
        <f>METER!TB34</f>
        <v>1220.5360000000219</v>
      </c>
      <c r="TB7" s="20">
        <f>METER!TC34</f>
        <v>1593.7960000000312</v>
      </c>
      <c r="TC7" s="20">
        <f>METER!TD34</f>
        <v>1091.1799999999639</v>
      </c>
      <c r="TD7" s="20">
        <f>METER!TE34</f>
        <v>1226.7660000000324</v>
      </c>
      <c r="TE7" s="20">
        <f>METER!TF34</f>
        <v>1365.8039999999455</v>
      </c>
      <c r="TF7" s="20">
        <f>METER!TG34</f>
        <v>1205.2490000000107</v>
      </c>
      <c r="TG7" s="20">
        <f>METER!TH34</f>
        <v>1194.6259999999893</v>
      </c>
      <c r="TH7" s="20">
        <f>METER!TI34</f>
        <v>1301.0370000001276</v>
      </c>
      <c r="TI7" s="20">
        <f>METER!TJ34</f>
        <v>1067.0689999999304</v>
      </c>
      <c r="TJ7" s="20">
        <f>METER!TK34</f>
        <v>1221.7459999999846</v>
      </c>
      <c r="TK7" s="20">
        <f>METER!TL34</f>
        <v>476.95899999997346</v>
      </c>
      <c r="TL7" s="20">
        <f>METER!TM34</f>
        <v>723.93600000001607</v>
      </c>
      <c r="TM7" s="20">
        <f>METER!TN34</f>
        <v>974.74400000003516</v>
      </c>
      <c r="TN7" s="20">
        <f>METER!TO34</f>
        <v>940.07999999992899</v>
      </c>
      <c r="TO7" s="20">
        <f>METER!TP34</f>
        <v>846.08900000012363</v>
      </c>
      <c r="TP7" s="20">
        <f>METER!TQ34</f>
        <v>1000.0109999999986</v>
      </c>
      <c r="TQ7" s="20">
        <f>METER!TR34</f>
        <v>1151.9749999998894</v>
      </c>
      <c r="TR7" s="127">
        <f>SUM(SM7:TQ7)</f>
        <v>37796.771000000008</v>
      </c>
      <c r="TS7" s="20">
        <f>METER!TT34</f>
        <v>656.32400000002235</v>
      </c>
      <c r="TT7" s="20">
        <f>METER!TU34</f>
        <v>968.78900000001886</v>
      </c>
      <c r="TU7" s="20">
        <f>METER!TV34</f>
        <v>890.65999999997439</v>
      </c>
      <c r="TV7" s="20">
        <f>METER!TW34</f>
        <v>959.25299999999697</v>
      </c>
      <c r="TW7" s="20">
        <f>METER!TX34</f>
        <v>754.65600000004633</v>
      </c>
      <c r="TX7" s="20">
        <f>METER!TY34</f>
        <v>1086.6059999999998</v>
      </c>
      <c r="TY7" s="20">
        <f>METER!TZ34</f>
        <v>1029.8299999999872</v>
      </c>
      <c r="TZ7" s="20">
        <f>METER!UA34</f>
        <v>1503.2690000000002</v>
      </c>
      <c r="UA7" s="20">
        <f>METER!UB34</f>
        <v>1104.2209999999614</v>
      </c>
      <c r="UB7" s="20">
        <f>METER!UC34</f>
        <v>1195.3489999999583</v>
      </c>
      <c r="UC7" s="20">
        <f>METER!UD34</f>
        <v>1026.4230000000971</v>
      </c>
      <c r="UD7" s="20">
        <f>METER!UE34</f>
        <v>985.7729999999865</v>
      </c>
      <c r="UE7" s="20">
        <f>METER!UF34</f>
        <v>1671.4520000000193</v>
      </c>
      <c r="UF7" s="20">
        <f>METER!UG34</f>
        <v>982.77700000003097</v>
      </c>
      <c r="UG7" s="20">
        <f>METER!UH34</f>
        <v>1016.0029999999388</v>
      </c>
      <c r="UH7" s="20">
        <f>METER!UI34</f>
        <v>1047.6570000000065</v>
      </c>
      <c r="UI7" s="20">
        <f>METER!UJ34</f>
        <v>1181.4110000000219</v>
      </c>
      <c r="UJ7" s="20">
        <f>METER!UK34</f>
        <v>1200.5679999999993</v>
      </c>
      <c r="UK7" s="20">
        <f>METER!UL34</f>
        <v>1021.097000000038</v>
      </c>
      <c r="UL7" s="20">
        <f>METER!UM34</f>
        <v>1205.8309999999183</v>
      </c>
      <c r="UM7" s="20">
        <f>METER!UN34</f>
        <v>1126.2379999999539</v>
      </c>
      <c r="UN7" s="20">
        <f>METER!UO34</f>
        <v>1446.1460000000952</v>
      </c>
      <c r="UO7" s="20">
        <f>METER!UP34</f>
        <v>1046.1219999999157</v>
      </c>
      <c r="UP7" s="20">
        <f>METER!UQ34</f>
        <v>1398.6490000000049</v>
      </c>
      <c r="UQ7" s="20">
        <f>METER!UR34</f>
        <v>1425.6710000000312</v>
      </c>
      <c r="UR7" s="20">
        <f>METER!US34</f>
        <v>1461.8280000000086</v>
      </c>
      <c r="US7" s="20">
        <f>METER!UT34</f>
        <v>1128.6410000000324</v>
      </c>
      <c r="UT7" s="20">
        <f>METER!UU34</f>
        <v>1014.218000000059</v>
      </c>
      <c r="UU7" s="20">
        <f>METER!UV34</f>
        <v>0</v>
      </c>
      <c r="UV7" s="20">
        <f>METER!UW34</f>
        <v>811.25399999991225</v>
      </c>
      <c r="UW7" s="20">
        <f>METER!UX34</f>
        <v>1136.560000000045</v>
      </c>
      <c r="UX7" s="127">
        <f>SUM(TS7:UW7)</f>
        <v>33483.276000000085</v>
      </c>
      <c r="UY7" s="20">
        <f>METER!UZ34</f>
        <v>1225.0359999999346</v>
      </c>
      <c r="UZ7" s="20">
        <f>METER!VA34</f>
        <v>947.90200000000186</v>
      </c>
      <c r="VA7" s="20">
        <f>METER!VB34</f>
        <v>1894.9910000000382</v>
      </c>
      <c r="VB7" s="20">
        <f>METER!VC34</f>
        <v>1130.1320000000414</v>
      </c>
      <c r="VC7" s="20">
        <f>METER!VD34</f>
        <v>1183.2829999998503</v>
      </c>
      <c r="VD7" s="20">
        <f>METER!VE34</f>
        <v>873.01600000014878</v>
      </c>
      <c r="VE7" s="20">
        <f>METER!VF34</f>
        <v>1325.1709999999148</v>
      </c>
      <c r="VF7" s="20">
        <f>METER!VG34</f>
        <v>1601.9960000000428</v>
      </c>
      <c r="VG7" s="20">
        <f>METER!VH34</f>
        <v>779.4429999999993</v>
      </c>
      <c r="VH7" s="20">
        <f>METER!VI34</f>
        <v>1134.8929999999236</v>
      </c>
      <c r="VI7" s="20">
        <f>METER!VJ34</f>
        <v>1588.3400000000838</v>
      </c>
      <c r="VJ7" s="20">
        <f>METER!VK34</f>
        <v>924.17400000002817</v>
      </c>
      <c r="VK7" s="20">
        <f>METER!VL34</f>
        <v>1202.6219999999157</v>
      </c>
      <c r="VL7" s="20">
        <f>METER!VM34</f>
        <v>1168.9729999999981</v>
      </c>
      <c r="VM7" s="20">
        <f>METER!VN34</f>
        <v>1033.7220000000671</v>
      </c>
      <c r="VN7" s="20">
        <f>METER!VO34</f>
        <v>808.7499999999709</v>
      </c>
      <c r="VO7" s="20">
        <f>METER!VP34</f>
        <v>1046.7449999999953</v>
      </c>
      <c r="VP7" s="20">
        <f>METER!VQ34</f>
        <v>1094.0039999999863</v>
      </c>
      <c r="VQ7" s="20">
        <f>METER!VR34</f>
        <v>1502.3090000000084</v>
      </c>
      <c r="VR7" s="20">
        <f>METER!VS34</f>
        <v>1228.7909999999683</v>
      </c>
      <c r="VS7" s="20">
        <f>METER!VT34</f>
        <v>1160.1339999999909</v>
      </c>
      <c r="VT7" s="20">
        <f>METER!VU34</f>
        <v>1148.1010000000533</v>
      </c>
      <c r="VU7" s="20">
        <f>METER!VV34</f>
        <v>1042.0280000000494</v>
      </c>
      <c r="VV7" s="20">
        <f>METER!VW34</f>
        <v>1187.4139999999024</v>
      </c>
      <c r="VW7" s="20">
        <f>METER!VX34</f>
        <v>1306.4940000000934</v>
      </c>
      <c r="VX7" s="20">
        <f>METER!VY34</f>
        <v>1210.9579999999842</v>
      </c>
      <c r="VY7" s="20">
        <f>METER!VZ34</f>
        <v>1144.4739999999001</v>
      </c>
      <c r="VZ7" s="20">
        <f>METER!WA34</f>
        <v>1087.8559999999998</v>
      </c>
      <c r="WA7" s="127">
        <f>SUM(UY7:VZ7)</f>
        <v>32981.751999999891</v>
      </c>
      <c r="WB7" s="20">
        <f>METER!WC34</f>
        <v>1285.7530000000843</v>
      </c>
      <c r="WC7" s="20">
        <f>METER!WD34</f>
        <v>829.091000000044</v>
      </c>
      <c r="WD7" s="20">
        <f>METER!WE34</f>
        <v>1417.0149999999558</v>
      </c>
      <c r="WE7" s="20">
        <f>METER!WF34</f>
        <v>1148.1020000000135</v>
      </c>
      <c r="WF7" s="20">
        <f>METER!WG34</f>
        <v>1008.95100000003</v>
      </c>
      <c r="WG7" s="20">
        <f>METER!WH34</f>
        <v>-0.60000000009313226</v>
      </c>
      <c r="WH7" s="20">
        <f>METER!WI34</f>
        <v>978.08199999999488</v>
      </c>
      <c r="WI7" s="20">
        <f>METER!WJ34</f>
        <v>1560.5450000000128</v>
      </c>
      <c r="WJ7" s="20">
        <f>METER!WK34</f>
        <v>1094.3079999999609</v>
      </c>
      <c r="WK7" s="20">
        <f>METER!WL34</f>
        <v>1205.0470000000205</v>
      </c>
      <c r="WL7" s="20">
        <f>METER!WM34</f>
        <v>1309.2800000000861</v>
      </c>
      <c r="WM7" s="20">
        <f>METER!WN34</f>
        <v>944.033999999956</v>
      </c>
      <c r="WN7" s="20">
        <f>METER!WO34</f>
        <v>963.70799999998417</v>
      </c>
      <c r="WO7" s="20">
        <f>METER!WP34</f>
        <v>1027.2209999999905</v>
      </c>
      <c r="WP7" s="20">
        <f>METER!WQ34</f>
        <v>1381.0380000000587</v>
      </c>
      <c r="WQ7" s="20">
        <f>METER!WR34</f>
        <v>749.66299999991315</v>
      </c>
      <c r="WR7" s="20">
        <f>METER!WS34</f>
        <v>1234.9360000000743</v>
      </c>
      <c r="WS7" s="20">
        <f>METER!WT34</f>
        <v>795.97400000001653</v>
      </c>
      <c r="WT7" s="20">
        <f>METER!WU34</f>
        <v>1177.3539999999048</v>
      </c>
      <c r="WU7" s="20">
        <f>METER!WV34</f>
        <v>919.79200000007404</v>
      </c>
      <c r="WV7" s="20">
        <f>METER!WW34</f>
        <v>1494.4569999999949</v>
      </c>
      <c r="WW7" s="20">
        <f>METER!WX34</f>
        <v>1050.7550000000047</v>
      </c>
      <c r="WX7" s="20">
        <f>METER!WY34</f>
        <v>979.728000000061</v>
      </c>
      <c r="WY7" s="20">
        <f>METER!WZ34</f>
        <v>1372.2149999999383</v>
      </c>
      <c r="WZ7" s="20">
        <f>METER!XA34</f>
        <v>1121.3099999999686</v>
      </c>
      <c r="XA7" s="20">
        <f>METER!XB34</f>
        <v>765.25600000005215</v>
      </c>
      <c r="XB7" s="20">
        <f>METER!XC34</f>
        <v>1116.8169999999518</v>
      </c>
      <c r="XC7" s="20">
        <f>METER!XD34</f>
        <v>939.54599999997299</v>
      </c>
      <c r="XD7" s="20">
        <f>METER!XE34</f>
        <v>1395.5370000000694</v>
      </c>
      <c r="XE7" s="20">
        <f>METER!XF34</f>
        <v>866.23300000003655</v>
      </c>
      <c r="XF7" s="20">
        <f>METER!XG34</f>
        <v>1427.0869999999704</v>
      </c>
      <c r="XG7" s="127">
        <f>SUM(WB7:XF7)</f>
        <v>33558.235000000102</v>
      </c>
      <c r="XH7" s="20">
        <f>METER!XI34</f>
        <v>786.8300000000163</v>
      </c>
      <c r="XI7" s="20">
        <f>METER!XJ34</f>
        <v>989.70999999993364</v>
      </c>
      <c r="XJ7" s="20">
        <f>METER!XK34</f>
        <v>903.98999999996158</v>
      </c>
      <c r="XK7" s="20">
        <f>METER!XL34</f>
        <v>1026.9680000000808</v>
      </c>
      <c r="XL7" s="20">
        <f>METER!XM34</f>
        <v>1137.097000000038</v>
      </c>
      <c r="XM7" s="20">
        <f>METER!XN34</f>
        <v>1032.506999999925</v>
      </c>
      <c r="XN7" s="20">
        <f>METER!XO34</f>
        <v>1122.6609999999637</v>
      </c>
      <c r="XO7" s="20">
        <f>METER!XP34</f>
        <v>1126.4479999999749</v>
      </c>
      <c r="XP7" s="20">
        <f>METER!XQ34</f>
        <v>866.23900000008871</v>
      </c>
      <c r="XQ7" s="20">
        <f>METER!XR34</f>
        <v>985.31500000000233</v>
      </c>
      <c r="XR7" s="20">
        <f>METER!XS34</f>
        <v>882.77099999997881</v>
      </c>
      <c r="XS7" s="20">
        <f>METER!XT34</f>
        <v>1092.801000000065</v>
      </c>
      <c r="XT7" s="20">
        <f>METER!XU34</f>
        <v>724.68999999994412</v>
      </c>
      <c r="XU7" s="20">
        <f>METER!XV34</f>
        <v>897.75900000002002</v>
      </c>
      <c r="XV7" s="20">
        <f>METER!XW34</f>
        <v>1069.4350000000268</v>
      </c>
      <c r="XW7" s="20">
        <f>METER!XX34</f>
        <v>1055.6519999998563</v>
      </c>
      <c r="XX7" s="20">
        <f>METER!XY34</f>
        <v>1004.6840000000957</v>
      </c>
      <c r="XY7" s="20">
        <f>METER!XZ34</f>
        <v>863.66599999999744</v>
      </c>
      <c r="XZ7" s="20">
        <f>METER!YA34</f>
        <v>756.13299999997253</v>
      </c>
      <c r="YA7" s="20">
        <f>METER!YB34</f>
        <v>773.73099999994156</v>
      </c>
      <c r="YB7" s="20">
        <f>METER!YC34</f>
        <v>770.42700000008335</v>
      </c>
      <c r="YC7" s="20">
        <f>METER!YD34</f>
        <v>1000.9880000000121</v>
      </c>
      <c r="YD7" s="20">
        <f>METER!YE34</f>
        <v>1181.1949999999779</v>
      </c>
      <c r="YE7" s="20">
        <f>METER!YF34</f>
        <v>926.86900000006426</v>
      </c>
      <c r="YF7" s="20">
        <f>METER!YG34</f>
        <v>843.37199999994482</v>
      </c>
      <c r="YG7" s="20">
        <f>METER!YH34</f>
        <v>946.19200000003912</v>
      </c>
      <c r="YH7" s="20">
        <f>METER!YI34</f>
        <v>889.15099999998347</v>
      </c>
      <c r="YI7" s="20">
        <f>METER!YJ34</f>
        <v>891.14299999998184</v>
      </c>
      <c r="YJ7" s="20">
        <f>METER!YK34</f>
        <v>695.0570000000298</v>
      </c>
      <c r="YK7" s="20">
        <f>METER!YL34</f>
        <v>722.73399999996764</v>
      </c>
      <c r="YL7" s="127">
        <f>SUM(XH7:YK7)</f>
        <v>27966.214999999967</v>
      </c>
      <c r="YM7" s="20">
        <f>METER!YN34</f>
        <v>1246.7599999999511</v>
      </c>
      <c r="YN7" s="20">
        <f>METER!YO34</f>
        <v>1308.9260000000068</v>
      </c>
      <c r="YO7" s="20">
        <f>METER!YP34</f>
        <v>981.87299999999232</v>
      </c>
      <c r="YP7" s="20">
        <f>METER!YQ34</f>
        <v>820.32800000006682</v>
      </c>
      <c r="YQ7" s="20">
        <f>METER!YR34</f>
        <v>948.84299999996438</v>
      </c>
      <c r="YR7" s="20">
        <f>METER!YS34</f>
        <v>775.83799999998882</v>
      </c>
      <c r="YS7" s="20">
        <f>METER!YT34</f>
        <v>901.42300000006799</v>
      </c>
      <c r="YT7" s="20">
        <f>METER!YU34</f>
        <v>457.51900000000023</v>
      </c>
      <c r="YU7" s="20">
        <f>METER!YV34</f>
        <v>1096.6179999998712</v>
      </c>
      <c r="YV7" s="20">
        <f>METER!YW34</f>
        <v>894.86600000009639</v>
      </c>
      <c r="YW7" s="20">
        <f>METER!YX34</f>
        <v>917.34100000007311</v>
      </c>
      <c r="YX7" s="20">
        <f>METER!YY34</f>
        <v>649.82399999996414</v>
      </c>
      <c r="YY7" s="20">
        <f>METER!YZ34</f>
        <v>1036.5009999999602</v>
      </c>
      <c r="YZ7" s="20">
        <f>METER!ZA34</f>
        <v>988.40000000008149</v>
      </c>
      <c r="ZA7" s="20">
        <f>METER!ZB34</f>
        <v>813.3849999998929</v>
      </c>
      <c r="ZB7" s="20">
        <f>METER!ZC34</f>
        <v>894.26700000005076</v>
      </c>
      <c r="ZC7" s="20">
        <f>METER!ZD34</f>
        <v>1218.7900000000081</v>
      </c>
      <c r="ZD7" s="20">
        <f>METER!ZE34</f>
        <v>716.39799999992829</v>
      </c>
      <c r="ZE7" s="20">
        <f>METER!ZF34</f>
        <v>1064.338000000047</v>
      </c>
      <c r="ZF7" s="20">
        <f>METER!ZG34</f>
        <v>758.17300000000978</v>
      </c>
      <c r="ZG7" s="20">
        <f>METER!ZH34</f>
        <v>1307.2939999999653</v>
      </c>
      <c r="ZH7" s="20">
        <f>METER!ZI34</f>
        <v>1165.3090000000084</v>
      </c>
      <c r="ZI7" s="20">
        <f>METER!ZJ34</f>
        <v>935.70300000006682</v>
      </c>
      <c r="ZJ7" s="20">
        <f>METER!ZK34</f>
        <v>1266.9649999999383</v>
      </c>
      <c r="ZK7" s="20">
        <f>METER!ZL34</f>
        <v>764.10400000002119</v>
      </c>
      <c r="ZL7" s="20">
        <f>METER!ZM34</f>
        <v>1189.1290000000154</v>
      </c>
      <c r="ZM7" s="20">
        <f>METER!ZN34</f>
        <v>1063.6309999999648</v>
      </c>
      <c r="ZN7" s="20">
        <f>METER!ZO34</f>
        <v>990.46899999995367</v>
      </c>
      <c r="ZO7" s="20">
        <f>METER!ZP34</f>
        <v>978.4220000000787</v>
      </c>
      <c r="ZP7" s="20">
        <f>METER!ZQ34</f>
        <v>1192.0269999999437</v>
      </c>
      <c r="ZQ7" s="20">
        <f>METER!ZR34</f>
        <v>932.71500000002561</v>
      </c>
      <c r="ZR7" s="127">
        <f>SUM(YM7:ZQ7)</f>
        <v>30276.179000000004</v>
      </c>
      <c r="ZS7" s="20">
        <f>METER!ZT34</f>
        <v>1266.3290000000561</v>
      </c>
      <c r="ZT7" s="20">
        <f>METER!ZU34</f>
        <v>1027.3869999999297</v>
      </c>
      <c r="ZU7" s="20">
        <f>METER!ZV34</f>
        <v>900.92400000002817</v>
      </c>
      <c r="ZV7" s="20">
        <f>METER!ZW34</f>
        <v>844.25199999994948</v>
      </c>
      <c r="ZW7" s="20">
        <f>METER!ZX34</f>
        <v>1038.9729999999981</v>
      </c>
      <c r="ZX7" s="20">
        <f>METER!ZY34</f>
        <v>984.03099999998813</v>
      </c>
      <c r="ZY7" s="20">
        <f>METER!ZZ34</f>
        <v>1150.463000000047</v>
      </c>
      <c r="ZZ7" s="20">
        <f>METER!AAA34</f>
        <v>981.42600000003586</v>
      </c>
      <c r="AAA7" s="20">
        <f>METER!AAB34</f>
        <v>794.66499999994994</v>
      </c>
      <c r="AAB7" s="20">
        <f>METER!AAC34</f>
        <v>1942.5020000000368</v>
      </c>
      <c r="AAC7" s="20">
        <f>METER!AAD34</f>
        <v>1357.4879999999248</v>
      </c>
      <c r="AAD7" s="20">
        <f>METER!AAE34</f>
        <v>1035.3670000000857</v>
      </c>
      <c r="AAE7" s="20">
        <f>METER!AAF34</f>
        <v>1096.0299999999697</v>
      </c>
      <c r="AAF7" s="20">
        <f>METER!AAG34</f>
        <v>1129.5630000000529</v>
      </c>
      <c r="AAG7" s="20">
        <f>METER!AAH34</f>
        <v>1018.9549999999872</v>
      </c>
      <c r="AAH7" s="20">
        <f>METER!AAI34</f>
        <v>1006.1319999999832</v>
      </c>
      <c r="AAI7" s="20">
        <f>METER!AAJ34</f>
        <v>812.50299999996787</v>
      </c>
      <c r="AAJ7" s="20">
        <f>METER!AAK34</f>
        <v>1507.6119999999646</v>
      </c>
      <c r="AAK7" s="20">
        <f>METER!AAL34</f>
        <v>965.80499999996391</v>
      </c>
      <c r="AAL7" s="20">
        <f>METER!AAM34</f>
        <v>1025.2210000000487</v>
      </c>
      <c r="AAM7" s="20">
        <f>METER!AAN34</f>
        <v>1259.1200000000244</v>
      </c>
      <c r="AAN7" s="20">
        <f>METER!AAO34</f>
        <v>756.14300000001094</v>
      </c>
      <c r="AAO7" s="20">
        <f>METER!AAP34</f>
        <v>1213.3449999999139</v>
      </c>
      <c r="AAP7" s="20">
        <f>METER!AAQ34</f>
        <v>848.37100000010105</v>
      </c>
      <c r="AAQ7" s="20">
        <f>METER!AAR34</f>
        <v>832.08599999992293</v>
      </c>
      <c r="AAR7" s="20">
        <f>METER!AAS34</f>
        <v>905.46900000007008</v>
      </c>
      <c r="AAS7" s="20">
        <f>METER!AAT34</f>
        <v>951.08999999999651</v>
      </c>
      <c r="AAT7" s="20">
        <f>METER!AAU34</f>
        <v>1041.155000000057</v>
      </c>
      <c r="AAU7" s="20">
        <f>METER!AAV34</f>
        <v>780.11399999991409</v>
      </c>
      <c r="AAV7" s="20">
        <f>METER!AAW34</f>
        <v>779.34700000000885</v>
      </c>
      <c r="AAW7" s="127">
        <f>SUM(ZS7:AAV7)</f>
        <v>31251.867999999988</v>
      </c>
      <c r="AAX7" s="20">
        <f>METER!AAY34</f>
        <v>1106.9239999999991</v>
      </c>
      <c r="AAY7" s="20">
        <f>METER!AAZ34</f>
        <v>856.05799999998999</v>
      </c>
      <c r="AAZ7" s="20">
        <f>METER!ABA34</f>
        <v>1062.9210000000312</v>
      </c>
      <c r="ABA7" s="20">
        <f>METER!ABB34</f>
        <v>957.34499999997206</v>
      </c>
      <c r="ABB7" s="20">
        <f>METER!ABC34</f>
        <v>980.44899999999325</v>
      </c>
      <c r="ABC7" s="20">
        <f>METER!ABD34</f>
        <v>885.41700000007404</v>
      </c>
      <c r="ABD7" s="20">
        <f>METER!ABE34</f>
        <v>1042.0809999999765</v>
      </c>
      <c r="ABE7" s="20">
        <f>METER!ABF34</f>
        <v>1080.31700000001</v>
      </c>
      <c r="ABF7" s="20">
        <f>METER!ABG34</f>
        <v>759.20299999995041</v>
      </c>
      <c r="ABG7" s="20">
        <f>METER!ABH34</f>
        <v>1195.8430000000808</v>
      </c>
      <c r="ABH7" s="20">
        <f>METER!ABI34</f>
        <v>1126.5879999999015</v>
      </c>
      <c r="ABI7" s="20">
        <f>METER!ABJ34</f>
        <v>890.21099999998114</v>
      </c>
      <c r="ABJ7" s="20">
        <f>METER!ABK34</f>
        <v>960.65700000006473</v>
      </c>
      <c r="ABK7" s="20">
        <f>METER!ABL34</f>
        <v>1166.1729999999807</v>
      </c>
      <c r="ABL7" s="20">
        <f>METER!ABM34</f>
        <v>949.28900000001886</v>
      </c>
      <c r="ABM7" s="20">
        <f>METER!ABN34</f>
        <v>940.7719999999681</v>
      </c>
      <c r="ABN7" s="20">
        <f>METER!ABO34</f>
        <v>928.00700000004031</v>
      </c>
      <c r="ABO7" s="20">
        <f>METER!ABP34</f>
        <v>1330.7919999999867</v>
      </c>
      <c r="ABP7" s="20">
        <f>METER!ABQ34</f>
        <v>1211.6959999999381</v>
      </c>
      <c r="ABQ7" s="20">
        <f>METER!ABR34</f>
        <v>834.82600000005914</v>
      </c>
      <c r="ABR7" s="20">
        <f>METER!ABS34</f>
        <v>644.88300000000163</v>
      </c>
      <c r="ABS7" s="20">
        <f>METER!ABT34</f>
        <v>724.85499999995227</v>
      </c>
      <c r="ABT7" s="20">
        <f>METER!ABU34</f>
        <v>978.08500000002095</v>
      </c>
      <c r="ABU7" s="20">
        <f>METER!ABV34</f>
        <v>849.37800000005518</v>
      </c>
      <c r="ABV7" s="20">
        <f>METER!ABW34</f>
        <v>1041.752999999997</v>
      </c>
      <c r="ABW7" s="20">
        <f>METER!ABX34</f>
        <v>919.74399999988964</v>
      </c>
      <c r="ABX7" s="20">
        <f>METER!ABY34</f>
        <v>790.04900000005728</v>
      </c>
      <c r="ABY7" s="20">
        <f>METER!ABZ34</f>
        <v>1391.1459999999497</v>
      </c>
      <c r="ABZ7" s="20">
        <f>METER!ACA34</f>
        <v>1039.800000000163</v>
      </c>
      <c r="ACA7" s="20">
        <f>METER!ACB34</f>
        <v>807.05399999988731</v>
      </c>
      <c r="ACB7" s="20">
        <f>METER!ACC34</f>
        <v>835.48300000006566</v>
      </c>
      <c r="ACC7" s="127">
        <f>SUM(AAX7:ACB7)</f>
        <v>30287.799000000057</v>
      </c>
      <c r="ACD7" s="20">
        <f>METER!ACE34</f>
        <v>1156.0569999998843</v>
      </c>
      <c r="ACE7" s="20">
        <f>METER!ACF34</f>
        <v>1278.1460000000661</v>
      </c>
      <c r="ACF7" s="20">
        <f>METER!ACG34</f>
        <v>1014.7619999999879</v>
      </c>
      <c r="ACG7" s="20">
        <f>METER!ACH34</f>
        <v>998.14000000001397</v>
      </c>
      <c r="ACH7" s="20">
        <f>METER!ACI34</f>
        <v>937.12900000001537</v>
      </c>
      <c r="ACI7" s="20">
        <f>METER!ACJ34</f>
        <v>1021.0800000000163</v>
      </c>
      <c r="ACJ7" s="20">
        <f>METER!ACK34</f>
        <v>955.46699999994598</v>
      </c>
      <c r="ACK7" s="20">
        <f>METER!ACL34</f>
        <v>1127.6749999999884</v>
      </c>
      <c r="ACL7" s="20">
        <f>METER!ACM34</f>
        <v>1030.2999999999884</v>
      </c>
      <c r="ACM7" s="20">
        <f>METER!ACN34</f>
        <v>774.55900000000838</v>
      </c>
      <c r="ACN7" s="20">
        <f>METER!ACO34</f>
        <v>1081.1520000000601</v>
      </c>
      <c r="ACO7" s="20">
        <f>METER!ACP34</f>
        <v>1004.4439999999595</v>
      </c>
      <c r="ACP7" s="20">
        <f>METER!ACQ34</f>
        <v>855.44300000008661</v>
      </c>
      <c r="ACQ7" s="20">
        <f>METER!ACR34</f>
        <v>1243.7919999998994</v>
      </c>
      <c r="ACR7" s="20">
        <f>METER!ACS34</f>
        <v>962.36699999996927</v>
      </c>
      <c r="ACS7" s="20">
        <f>METER!ACT34</f>
        <v>1118.5250000000233</v>
      </c>
      <c r="ACT7" s="20">
        <f>METER!ACU34</f>
        <v>902.98000000009779</v>
      </c>
      <c r="ACU7" s="20">
        <f>METER!ACV34</f>
        <v>1185.3479999999399</v>
      </c>
      <c r="ACV7" s="20">
        <f>METER!ACW34</f>
        <v>1032.6719999999623</v>
      </c>
      <c r="ACW7" s="20">
        <f>METER!ACX34</f>
        <v>900.35200000007171</v>
      </c>
      <c r="ACX7" s="20">
        <f>METER!ACY34</f>
        <v>855.83399999997346</v>
      </c>
      <c r="ACY7" s="20">
        <f>METER!ACZ34</f>
        <v>943.38900000002468</v>
      </c>
      <c r="ACZ7" s="20">
        <f>METER!ADA34</f>
        <v>1011.4699999999139</v>
      </c>
      <c r="ADA7" s="20">
        <f>METER!ADB34</f>
        <v>1031.6380000000936</v>
      </c>
      <c r="ADB7" s="20">
        <f>METER!ADC34</f>
        <v>1028.9779999999446</v>
      </c>
      <c r="ADC7" s="20">
        <f>METER!ADD34</f>
        <v>811.27700000000186</v>
      </c>
      <c r="ADD7" s="20">
        <f>METER!ADE34</f>
        <v>922.35299999994459</v>
      </c>
      <c r="ADE7" s="20">
        <f>METER!ADF34</f>
        <v>929.40700000006473</v>
      </c>
      <c r="ADF7" s="20">
        <f>METER!ADG34</f>
        <v>953.45200000004843</v>
      </c>
      <c r="ADG7" s="20">
        <f>METER!ADH34</f>
        <v>935.15700000000652</v>
      </c>
      <c r="ADH7" s="20">
        <f>METER!ADI34</f>
        <v>870.54300000000512</v>
      </c>
      <c r="ADI7" s="127">
        <f>SUM(ACD7:ADH7)</f>
        <v>30873.888000000006</v>
      </c>
      <c r="ADJ7" s="20">
        <f>METER!ADK34</f>
        <v>881.49900000001071</v>
      </c>
      <c r="ADK7" s="20">
        <f>METER!ADL34</f>
        <v>968.6459999998915</v>
      </c>
      <c r="ADL7" s="20">
        <f>METER!ADM34</f>
        <v>1153.9450000001234</v>
      </c>
      <c r="ADM7" s="20">
        <f>METER!ADN34</f>
        <v>1012.7579999999143</v>
      </c>
      <c r="ADN7" s="20">
        <f>METER!ADO34</f>
        <v>1094.0920000000042</v>
      </c>
      <c r="ADO7" s="20">
        <f>METER!ADP34</f>
        <v>1094.5490000000573</v>
      </c>
      <c r="ADP7" s="20">
        <f>METER!ADQ34</f>
        <v>853.69099999993341</v>
      </c>
      <c r="ADQ7" s="20">
        <f>METER!ADR34</f>
        <v>729.05100000003586</v>
      </c>
      <c r="ADR7" s="20">
        <f>METER!ADS34</f>
        <v>1089.2539999999572</v>
      </c>
      <c r="ADS7" s="20">
        <f>METER!ADT34</f>
        <v>915.7170000000624</v>
      </c>
      <c r="ADT7" s="20">
        <f>METER!ADU34</f>
        <v>1054.3559999999707</v>
      </c>
      <c r="ADU7" s="20">
        <f>METER!ADV34</f>
        <v>1035.8429999999935</v>
      </c>
      <c r="ADV7" s="20">
        <f>METER!ADW34</f>
        <v>1198.4330000000773</v>
      </c>
      <c r="ADW7" s="20">
        <f>METER!ADX34</f>
        <v>706.33600000001024</v>
      </c>
      <c r="ADX7" s="20">
        <f>METER!ADY34</f>
        <v>1200.4289999999455</v>
      </c>
      <c r="ADY7" s="20">
        <f>METER!ADZ34</f>
        <v>995.06999999989057</v>
      </c>
      <c r="ADZ7" s="20">
        <f>METER!AEA34</f>
        <v>898.84500000008848</v>
      </c>
      <c r="AEA7" s="20">
        <f>METER!AEB34</f>
        <v>945.08599999989383</v>
      </c>
      <c r="AEB7" s="20">
        <f>METER!AEC34</f>
        <v>838.63400000007823</v>
      </c>
      <c r="AEC7" s="20">
        <f>METER!AED34</f>
        <v>1125.310999999987</v>
      </c>
      <c r="AED7" s="20">
        <f>METER!AEE34</f>
        <v>887.08000000007451</v>
      </c>
      <c r="AEE7" s="20">
        <f>METER!AEF34</f>
        <v>1058.9859999999753</v>
      </c>
      <c r="AEF7" s="20">
        <f>METER!AEG34</f>
        <v>929.60699999995995</v>
      </c>
      <c r="AEG7" s="20">
        <f>METER!AEH34</f>
        <v>720.41200000001118</v>
      </c>
      <c r="AEH7" s="20">
        <f>METER!AEI34</f>
        <v>704.53200000000652</v>
      </c>
      <c r="AEI7" s="20">
        <f>METER!AEJ34</f>
        <v>1024.6019999999553</v>
      </c>
      <c r="AEJ7" s="20">
        <f>METER!AEK34</f>
        <v>1044.0000000000582</v>
      </c>
      <c r="AEK7" s="20">
        <f>METER!AEL34</f>
        <v>621.80099999997765</v>
      </c>
      <c r="AEL7" s="20">
        <f>METER!AEM34</f>
        <v>726.85699999995995</v>
      </c>
      <c r="AEM7" s="20">
        <f>METER!AEN34</f>
        <v>1133.2900000000373</v>
      </c>
      <c r="AEN7" s="127">
        <f>SUM(ADJ7:AEM7)</f>
        <v>28642.711999999941</v>
      </c>
      <c r="AEO7" s="20">
        <f>METER!AEP34</f>
        <v>786.64000000001397</v>
      </c>
      <c r="AEP7" s="20">
        <f>METER!AEQ34</f>
        <v>843.50999999995111</v>
      </c>
      <c r="AEQ7" s="20">
        <f>METER!AER34</f>
        <v>736.2620000000461</v>
      </c>
      <c r="AER7" s="20">
        <f>METER!AES34</f>
        <v>826.22299999993993</v>
      </c>
      <c r="AES7" s="20">
        <f>METER!AET34</f>
        <v>851.86599999997998</v>
      </c>
      <c r="AET7" s="20">
        <f>METER!AEU34</f>
        <v>952.83200000011129</v>
      </c>
      <c r="AEU7" s="20">
        <f>METER!AEV34</f>
        <v>794.62800000002608</v>
      </c>
      <c r="AEV7" s="20">
        <f>METER!AEW34</f>
        <v>964.70699999993667</v>
      </c>
      <c r="AEW7" s="20">
        <f>METER!AEX34</f>
        <v>956.34999999997672</v>
      </c>
      <c r="AEX7" s="20">
        <f>METER!AEY34</f>
        <v>905.94000000006054</v>
      </c>
      <c r="AEY7" s="20">
        <f>METER!AEZ34</f>
        <v>850.18699999991804</v>
      </c>
      <c r="AEZ7" s="20">
        <f>METER!AFA34</f>
        <v>573.41300000005867</v>
      </c>
      <c r="AFA7" s="20">
        <f>METER!AFB34</f>
        <v>890.85899999999674</v>
      </c>
      <c r="AFB7" s="20">
        <f>METER!AFC34</f>
        <v>683.20599999994738</v>
      </c>
      <c r="AFC7" s="20">
        <f>METER!AFD34</f>
        <v>916.48300000000745</v>
      </c>
      <c r="AFD7" s="20">
        <f>METER!AFE34</f>
        <v>871.59200000000419</v>
      </c>
      <c r="AFE7" s="20">
        <f>METER!AFF34</f>
        <v>989.76699999999255</v>
      </c>
      <c r="AFF7" s="20">
        <f>METER!AFG34</f>
        <v>1063.0949999999721</v>
      </c>
      <c r="AFG7" s="20">
        <f>METER!AFH34</f>
        <v>965.31600000004983</v>
      </c>
      <c r="AFH7" s="20">
        <f>METER!AFI34</f>
        <v>1000.6960000000545</v>
      </c>
      <c r="AFI7" s="20">
        <f>METER!AFJ34</f>
        <v>765.95199999993201</v>
      </c>
      <c r="AFJ7" s="20">
        <f>METER!AFK34</f>
        <v>648.32900000002701</v>
      </c>
      <c r="AFK7" s="20">
        <f>METER!AFL34</f>
        <v>840.30200000002515</v>
      </c>
      <c r="AFL7" s="20">
        <f>METER!AFM34</f>
        <v>707.88199999998324</v>
      </c>
      <c r="AFM7" s="20">
        <f>METER!AFN34</f>
        <v>1037.8040000000037</v>
      </c>
      <c r="AFN7" s="20">
        <f>METER!AFO34</f>
        <v>748.07600000000093</v>
      </c>
      <c r="AFO7" s="20">
        <f>METER!AFP34</f>
        <v>832.41199999995297</v>
      </c>
      <c r="AFP7" s="20">
        <f>METER!AFQ34</f>
        <v>851.45199999999022</v>
      </c>
      <c r="AFQ7" s="20">
        <f>METER!AFR34</f>
        <v>592.16800000006333</v>
      </c>
      <c r="AFR7" s="20">
        <f>METER!AFS34</f>
        <v>980.77399999991758</v>
      </c>
      <c r="AFS7" s="20">
        <f>METER!AFT34</f>
        <v>720.36600000003818</v>
      </c>
      <c r="AFT7" s="127">
        <f>SUM(AEO7:AFS7)</f>
        <v>26149.088999999978</v>
      </c>
      <c r="AFU7" s="20">
        <f>METER!AFV34</f>
        <v>836.66599999996834</v>
      </c>
      <c r="AFV7" s="20">
        <f>METER!AFW34</f>
        <v>752.18400000006659</v>
      </c>
      <c r="AFW7" s="20">
        <f>METER!AFX34</f>
        <v>850.18599999998696</v>
      </c>
      <c r="AFX7" s="20">
        <f>METER!AFY34</f>
        <v>707.6239999999525</v>
      </c>
      <c r="AFY7" s="20">
        <f>METER!AFZ34</f>
        <v>874.33000000007451</v>
      </c>
      <c r="AFZ7" s="20">
        <f>METER!AGA34</f>
        <v>673.04700000002049</v>
      </c>
      <c r="AGA7" s="20">
        <f>METER!AGB34</f>
        <v>868.3520000000135</v>
      </c>
      <c r="AGB7" s="20">
        <f>METER!AGC34</f>
        <v>712.84299999993527</v>
      </c>
      <c r="AGC7" s="20">
        <f>METER!AGD34</f>
        <v>739.97500000003492</v>
      </c>
      <c r="AGD7" s="20">
        <f>METER!AGE34</f>
        <v>784.4890000000014</v>
      </c>
      <c r="AGE7" s="20">
        <f>METER!AGF34</f>
        <v>857.478000000061</v>
      </c>
      <c r="AGF7" s="20">
        <f>METER!AGG34</f>
        <v>827.25899999990361</v>
      </c>
      <c r="AGG7" s="20">
        <f>METER!AGH34</f>
        <v>738.49199999996927</v>
      </c>
      <c r="AGH7" s="20">
        <f>METER!AGI34</f>
        <v>785.95800000004238</v>
      </c>
      <c r="AGI7" s="20">
        <f>METER!AGJ34</f>
        <v>707.8859999999404</v>
      </c>
      <c r="AGJ7" s="20">
        <f>METER!AGK34</f>
        <v>849.18100000004051</v>
      </c>
      <c r="AGK7" s="20">
        <f>METER!AGL34</f>
        <v>610.32700000010664</v>
      </c>
      <c r="AGL7" s="20">
        <f>METER!AGM34</f>
        <v>783.43899999983842</v>
      </c>
      <c r="AGM7" s="20">
        <f>METER!AGN34</f>
        <v>715.25500000012107</v>
      </c>
      <c r="AGN7" s="20">
        <f>METER!AGO34</f>
        <v>884.9189999999362</v>
      </c>
      <c r="AGO7" s="20">
        <f>METER!AGP34</f>
        <v>933.02899999998044</v>
      </c>
      <c r="AGP7" s="20">
        <f>METER!AGQ34</f>
        <v>1176.2470000000321</v>
      </c>
      <c r="AGQ7" s="20">
        <f>METER!AGR34</f>
        <v>1014.6000000000931</v>
      </c>
      <c r="AGR7" s="20">
        <f>METER!AGS34</f>
        <v>741.90199999988545</v>
      </c>
      <c r="AGS7" s="20">
        <f>METER!AGT34</f>
        <v>718.58199999999488</v>
      </c>
      <c r="AGT7" s="20">
        <f>METER!AGU34</f>
        <v>914.19799999997485</v>
      </c>
      <c r="AGU7" s="20">
        <f>METER!AGV34</f>
        <v>813.30400000012014</v>
      </c>
      <c r="AGV7" s="20">
        <f>METER!AGW34</f>
        <v>1102.4629999999888</v>
      </c>
      <c r="AGW7" s="20">
        <f>METER!AGX34</f>
        <v>1079.707999999926</v>
      </c>
      <c r="AGX7" s="20">
        <f>METER!AGY34</f>
        <v>838.25700000004144</v>
      </c>
      <c r="AGY7" s="127">
        <f>SUM(AFU7:AGX7)</f>
        <v>24892.180000000051</v>
      </c>
      <c r="AGZ7" s="20">
        <f>METER!AHA34</f>
        <v>883.01899999997113</v>
      </c>
      <c r="AHA7" s="20">
        <f>METER!AHB34</f>
        <v>905.17300000000978</v>
      </c>
      <c r="AHB7" s="20">
        <f>METER!AHC34</f>
        <v>1090.8220000000438</v>
      </c>
      <c r="AHC7" s="20">
        <f>METER!AHD34</f>
        <v>852.69899999996414</v>
      </c>
      <c r="AHD7" s="20">
        <f>METER!AHE34</f>
        <v>1446.9400000000023</v>
      </c>
      <c r="AHE7" s="20">
        <f>METER!AHF34</f>
        <v>756.43800000002375</v>
      </c>
      <c r="AHF7" s="20">
        <f>METER!AHG34</f>
        <v>866.68599999992875</v>
      </c>
      <c r="AHG7" s="20">
        <f>METER!AHH34</f>
        <v>818.64299999998184</v>
      </c>
      <c r="AHH7" s="20">
        <f>METER!AHI34</f>
        <v>1098.4720000000088</v>
      </c>
      <c r="AHI7" s="20">
        <f>METER!AHJ34</f>
        <v>828.08300000004238</v>
      </c>
      <c r="AHJ7" s="20">
        <f>METER!AHK34</f>
        <v>521.46599999995669</v>
      </c>
      <c r="AHK7" s="20">
        <f>METER!AHL34</f>
        <v>1065.9040000000386</v>
      </c>
      <c r="AHL7" s="20">
        <f>METER!AHM34</f>
        <v>874.81400000001304</v>
      </c>
      <c r="AHM7" s="20">
        <f>METER!AHN34</f>
        <v>612.55400000000373</v>
      </c>
      <c r="AHN7" s="20">
        <f>METER!AHO34</f>
        <v>1001.0109999999404</v>
      </c>
      <c r="AHO7" s="20">
        <f>METER!AHP34</f>
        <v>880.14400000014575</v>
      </c>
      <c r="AHP7" s="20">
        <f>METER!AHQ34</f>
        <v>853.10699999990175</v>
      </c>
      <c r="AHQ7" s="20">
        <f>METER!AHR34</f>
        <v>971.29800000000978</v>
      </c>
      <c r="AHR7" s="20">
        <f>METER!AHS34</f>
        <v>882.69099999999162</v>
      </c>
      <c r="AHS7" s="20">
        <f>METER!AHT34</f>
        <v>763.18199999991339</v>
      </c>
      <c r="AHT7" s="20">
        <f>METER!AHU34</f>
        <v>937.89300000015646</v>
      </c>
      <c r="AHU7" s="20">
        <f>METER!AHV34</f>
        <v>985.66699999984121</v>
      </c>
      <c r="AHV7" s="20">
        <f>METER!AHW34</f>
        <v>1065.2700000000186</v>
      </c>
      <c r="AHW7" s="20">
        <f>METER!AHX34</f>
        <v>815.38200000009965</v>
      </c>
      <c r="AHX7" s="20">
        <f>METER!AHY34</f>
        <v>600.60799999994924</v>
      </c>
      <c r="AHY7" s="20">
        <f>METER!AHZ34</f>
        <v>560.87000000005355</v>
      </c>
      <c r="AHZ7" s="20">
        <f>METER!AIA34</f>
        <v>659.44699999998556</v>
      </c>
      <c r="AIA7" s="20">
        <f>METER!AIB34</f>
        <v>514.03000000002794</v>
      </c>
      <c r="AIB7" s="20">
        <f>METER!AIC34</f>
        <v>721.43099999986589</v>
      </c>
      <c r="AIC7" s="20">
        <f>METER!AID34</f>
        <v>757.94500000006519</v>
      </c>
      <c r="AID7" s="20">
        <f>METER!AIE34</f>
        <v>926.10499999998137</v>
      </c>
      <c r="AIE7" s="127">
        <f>SUM(AGZ7:AID7)</f>
        <v>26517.793999999936</v>
      </c>
      <c r="AIF7" s="20">
        <f>METER!AIG34</f>
        <v>728.31300000002375</v>
      </c>
      <c r="AIG7" s="20">
        <f>METER!AIH34</f>
        <v>772.38500000000931</v>
      </c>
      <c r="AIH7" s="20">
        <f>METER!AII34</f>
        <v>822.99499999999534</v>
      </c>
      <c r="AII7" s="20">
        <f>METER!AIJ34</f>
        <v>582.65600000007544</v>
      </c>
      <c r="AIJ7" s="20">
        <f>METER!AIK34</f>
        <v>760.96099999995204</v>
      </c>
      <c r="AIK7" s="20">
        <f>METER!AIL34</f>
        <v>921.43400000006659</v>
      </c>
      <c r="AIL7" s="20">
        <f>METER!AIM34</f>
        <v>862.73199999995995</v>
      </c>
      <c r="AIM7" s="20">
        <f>METER!AIN34</f>
        <v>916.17799999995623</v>
      </c>
      <c r="AIN7" s="20">
        <f>METER!AIO34</f>
        <v>920.64600000000792</v>
      </c>
      <c r="AIO7" s="20">
        <f>METER!AIP34</f>
        <v>1144.1980000000331</v>
      </c>
      <c r="AIP7" s="20">
        <f>METER!AIQ34</f>
        <v>603.65399999998044</v>
      </c>
      <c r="AIQ7" s="20">
        <f>METER!AIR34</f>
        <v>697.22999999998137</v>
      </c>
      <c r="AIR7" s="20">
        <f>METER!AIS34</f>
        <v>634.02299999992829</v>
      </c>
      <c r="AIS7" s="20">
        <f>METER!AIT34</f>
        <v>698.56000000011409</v>
      </c>
      <c r="AIT7" s="20">
        <f>METER!AIU34</f>
        <v>282.21399999997811</v>
      </c>
      <c r="AIU7" s="20">
        <f>METER!AIV34</f>
        <v>320.6940000000177</v>
      </c>
      <c r="AIV7" s="20">
        <f>METER!AIW34</f>
        <v>326.36399999994319</v>
      </c>
      <c r="AIW7" s="20">
        <f>METER!AIX34</f>
        <v>499.32500000001164</v>
      </c>
      <c r="AIX7" s="20">
        <f>METER!AIY34</f>
        <v>757.2489999999525</v>
      </c>
      <c r="AIY7" s="20">
        <f>METER!AIZ34</f>
        <v>702.27900000003865</v>
      </c>
      <c r="AIZ7" s="20">
        <f>METER!AJA34</f>
        <v>847.18600000004517</v>
      </c>
      <c r="AJA7" s="20">
        <f>METER!AJB34</f>
        <v>651.90299999987474</v>
      </c>
      <c r="AJB7" s="20">
        <f>METER!AJC34</f>
        <v>710.97500000003492</v>
      </c>
      <c r="AJC7" s="20">
        <f>METER!AJD34</f>
        <v>842.51500000007218</v>
      </c>
      <c r="AJD7" s="20">
        <f>METER!AJE34</f>
        <v>502.46199999988312</v>
      </c>
      <c r="AJE7" s="20">
        <f>METER!AJF34</f>
        <v>675.4100000000908</v>
      </c>
      <c r="AJF7" s="20">
        <f>METER!AJG34</f>
        <v>793.8179999999702</v>
      </c>
      <c r="AJG7" s="20">
        <f>METER!AJH34</f>
        <v>931.67500000004657</v>
      </c>
      <c r="AJH7" s="20">
        <f>METER!AJI34</f>
        <v>755.52800000004936</v>
      </c>
      <c r="AJI7" s="20">
        <f>METER!AJJ34</f>
        <v>927.5209999998915</v>
      </c>
      <c r="AJJ7" s="20">
        <f>METER!AJK34</f>
        <v>827.27800000004936</v>
      </c>
      <c r="AJK7" s="127">
        <f>SUM(AIF7:AJJ7)</f>
        <v>22420.361000000034</v>
      </c>
      <c r="AJL7" s="20">
        <f>METER!AJM34</f>
        <v>697.27899999998044</v>
      </c>
      <c r="AJM7" s="20">
        <f>METER!AJN34</f>
        <v>812.05800000001909</v>
      </c>
      <c r="AJN7" s="20">
        <f>METER!AJO34</f>
        <v>760.31700000003912</v>
      </c>
      <c r="AJO7" s="20">
        <f>METER!AJP34</f>
        <v>764.27500000002328</v>
      </c>
      <c r="AJP7" s="20">
        <f>METER!AJQ34</f>
        <v>1008.4789999999339</v>
      </c>
      <c r="AJQ7" s="20">
        <f>METER!AJR34</f>
        <v>705.75399999995716</v>
      </c>
      <c r="AJR7" s="20">
        <f>METER!AJS34</f>
        <v>690.44800000009127</v>
      </c>
      <c r="AJS7" s="20">
        <f>METER!AJT34</f>
        <v>1010.2399999999907</v>
      </c>
      <c r="AJT7" s="20">
        <f>METER!AJU34</f>
        <v>909.59400000004098</v>
      </c>
      <c r="AJU7" s="20">
        <f>METER!AJV34</f>
        <v>819.23299999994924</v>
      </c>
      <c r="AJV7" s="20">
        <f>METER!AJW34</f>
        <v>834.04299999988871</v>
      </c>
      <c r="AJW7" s="20">
        <f>METER!AJX34</f>
        <v>1048.0770000001066</v>
      </c>
      <c r="AJX7" s="20">
        <f>METER!AJY34</f>
        <v>935.15000000002328</v>
      </c>
      <c r="AJY7" s="20">
        <f>METER!AJZ34</f>
        <v>765.97099999990314</v>
      </c>
      <c r="AJZ7" s="20">
        <f>METER!AKA34</f>
        <v>762.92799999995623</v>
      </c>
      <c r="AKA7" s="20">
        <f>METER!AKB34</f>
        <v>785.90200000011828</v>
      </c>
      <c r="AKB7" s="20">
        <f>METER!AKC34</f>
        <v>679.55200000002515</v>
      </c>
      <c r="AKC7" s="20">
        <f>METER!AKD34</f>
        <v>701.63899999990826</v>
      </c>
      <c r="AKD7" s="20">
        <f>METER!AKE34</f>
        <v>714.63400000002002</v>
      </c>
      <c r="AKE7" s="20">
        <f>METER!AKF34</f>
        <v>984.84799999999814</v>
      </c>
      <c r="AKF7" s="20">
        <f>METER!AKG34</f>
        <v>651.4320000000065</v>
      </c>
      <c r="AKG7" s="20">
        <f>METER!AKH34</f>
        <v>621.62100000010105</v>
      </c>
      <c r="AKH7" s="20">
        <f>METER!AKI34</f>
        <v>881.54899999994086</v>
      </c>
      <c r="AKI7" s="20">
        <f>METER!AKJ34</f>
        <v>948.36599999997998</v>
      </c>
      <c r="AKJ7" s="20">
        <f>METER!AKK34</f>
        <v>841.37899999995716</v>
      </c>
      <c r="AKK7" s="20">
        <f>METER!AKL34</f>
        <v>664.00200000009499</v>
      </c>
      <c r="AKL7" s="20">
        <f>METER!AKM34</f>
        <v>811.85800000006566</v>
      </c>
      <c r="AKM7" s="20">
        <f>METER!AKN34</f>
        <v>948.2029999998631</v>
      </c>
      <c r="AKN7" s="127">
        <f t="shared" si="11"/>
        <v>22758.830999999984</v>
      </c>
      <c r="AKO7" s="20">
        <f>METER!AKP34</f>
        <v>800.99500000005355</v>
      </c>
      <c r="AKP7" s="20">
        <f>METER!AKQ34</f>
        <v>851.20199999999022</v>
      </c>
      <c r="AKQ7" s="20">
        <f>METER!AKR34</f>
        <v>826.86600000003818</v>
      </c>
      <c r="AKR7" s="20">
        <f>METER!AKS34</f>
        <v>604.01899999985471</v>
      </c>
      <c r="AKS7" s="20">
        <f>METER!AKT34</f>
        <v>765.35300000000279</v>
      </c>
      <c r="AKT7" s="20">
        <f>METER!AKU34</f>
        <v>687.48100000014529</v>
      </c>
      <c r="AKU7" s="20">
        <f>METER!AKV34</f>
        <v>1491.4949999999953</v>
      </c>
      <c r="AKV7" s="20">
        <f>METER!AKW34</f>
        <v>819.86699999991106</v>
      </c>
      <c r="AKW7" s="20">
        <f>METER!AKX34</f>
        <v>786.46300000001258</v>
      </c>
      <c r="AKX7" s="20">
        <f>METER!AKY34</f>
        <v>581.05099999997765</v>
      </c>
      <c r="AKY7" s="20">
        <f>METER!AKZ34</f>
        <v>728.21500000008382</v>
      </c>
      <c r="AKZ7" s="20">
        <f>METER!ALA34</f>
        <v>729.78399999992689</v>
      </c>
      <c r="ALA7" s="20">
        <f>METER!ALB34</f>
        <v>817.44200000009732</v>
      </c>
      <c r="ALB7" s="20">
        <f>METER!ALC34</f>
        <v>1017.5439999999362</v>
      </c>
      <c r="ALC7" s="20">
        <f>METER!ALD34</f>
        <v>1085.2970000000205</v>
      </c>
      <c r="ALD7" s="20">
        <f>METER!ALE34</f>
        <v>1014.942999999912</v>
      </c>
      <c r="ALE7" s="20">
        <f>METER!ALF34</f>
        <v>811.62000000011176</v>
      </c>
      <c r="ALF7" s="20">
        <f>METER!ALG34</f>
        <v>867.54300000000512</v>
      </c>
      <c r="ALG7" s="20">
        <f>METER!ALH34</f>
        <v>884.08699999999953</v>
      </c>
      <c r="ALH7" s="20">
        <f>METER!ALI34</f>
        <v>788.68399999995017</v>
      </c>
      <c r="ALI7" s="20">
        <f>METER!ALJ34</f>
        <v>1015.0559999999823</v>
      </c>
      <c r="ALJ7" s="20">
        <f>METER!ALK34</f>
        <v>1127.9960000000428</v>
      </c>
      <c r="ALK7" s="20">
        <f>METER!ALL34</f>
        <v>5162.3579999999492</v>
      </c>
      <c r="ALL7" s="20">
        <f>METER!ALM34</f>
        <v>817.00200000003679</v>
      </c>
      <c r="ALM7" s="20">
        <f>METER!ALN34</f>
        <v>885.20000000001164</v>
      </c>
      <c r="ALN7" s="20">
        <f>METER!ALO34</f>
        <v>708.42599999997765</v>
      </c>
      <c r="ALO7" s="20">
        <f>METER!ALP34</f>
        <v>931.39999999996508</v>
      </c>
      <c r="ALP7" s="20">
        <f>METER!ALQ34</f>
        <v>846.40400000003865</v>
      </c>
      <c r="ALQ7" s="20">
        <f>METER!ALR34</f>
        <v>859.62499999994179</v>
      </c>
      <c r="ALR7" s="20">
        <f>METER!ALS34</f>
        <v>888.00000000011642</v>
      </c>
      <c r="ALS7" s="20">
        <f>METER!ALT34</f>
        <v>731.77599999989616</v>
      </c>
      <c r="ALT7" s="127">
        <f t="shared" si="12"/>
        <v>30933.193999999981</v>
      </c>
      <c r="ALU7" s="20">
        <f>METER!ALV34</f>
        <v>1001.4370000000345</v>
      </c>
      <c r="ALV7" s="20">
        <f>METER!ALW34</f>
        <v>802.94399999995949</v>
      </c>
      <c r="ALW7" s="20">
        <f>METER!ALX34</f>
        <v>876.89000000007218</v>
      </c>
      <c r="ALX7" s="20">
        <f>METER!ALY34</f>
        <v>976.41800000000512</v>
      </c>
      <c r="ALY7" s="20">
        <f>METER!ALZ34</f>
        <v>406.01999999996042</v>
      </c>
      <c r="ALZ7" s="20">
        <f>METER!AMA34</f>
        <v>686.65299999999115</v>
      </c>
      <c r="AMA7" s="20">
        <f>METER!AMB34</f>
        <v>846.60799999989104</v>
      </c>
      <c r="AMB7" s="20">
        <f>METER!AMC34</f>
        <v>849.11100000020815</v>
      </c>
      <c r="AMC7" s="20">
        <f>METER!AMD34</f>
        <v>877.65200000000186</v>
      </c>
      <c r="AMD7" s="20">
        <f>METER!AME34</f>
        <v>898.32600000000093</v>
      </c>
      <c r="AME7" s="20">
        <f>METER!AMF34</f>
        <v>1195.9879999998957</v>
      </c>
      <c r="AMF7" s="20">
        <f>METER!AMG34</f>
        <v>834.98199999995995</v>
      </c>
      <c r="AMG7" s="20">
        <f>METER!AMH34</f>
        <v>864.72300000005635</v>
      </c>
      <c r="AMH7" s="20">
        <f>METER!AMI34</f>
        <v>869.46899999998277</v>
      </c>
      <c r="AMI7" s="20">
        <f>METER!AMJ34</f>
        <v>1066.1760000000359</v>
      </c>
      <c r="AMJ7" s="20">
        <f>METER!AMK34</f>
        <v>1166.4409999999916</v>
      </c>
      <c r="AMK7" s="20">
        <f>METER!AML34</f>
        <v>831.13100000005215</v>
      </c>
      <c r="AML7" s="20">
        <f>METER!AMM34</f>
        <v>901.78899999993155</v>
      </c>
      <c r="AMM7" s="20">
        <f>METER!AMN34</f>
        <v>906.55600000004051</v>
      </c>
      <c r="AMN7" s="20">
        <f>METER!AMO34</f>
        <v>768.17299999989336</v>
      </c>
      <c r="AMO7" s="20">
        <f>METER!AMP34</f>
        <v>691.01700000005076</v>
      </c>
      <c r="AMP7" s="20">
        <f>METER!AMQ34</f>
        <v>938.04200000001583</v>
      </c>
      <c r="AMQ7" s="20">
        <f>METER!AMR34</f>
        <v>1028.2919999998994</v>
      </c>
      <c r="AMR7" s="20">
        <f>METER!AMS34</f>
        <v>1005.1510000002454</v>
      </c>
      <c r="AMS7" s="20">
        <f>METER!AMT34</f>
        <v>1045.2869999998366</v>
      </c>
      <c r="AMT7" s="20">
        <f>METER!AMU34</f>
        <v>919.37100000010105</v>
      </c>
      <c r="AMU7" s="20">
        <f>METER!AMV34</f>
        <v>1076.2379999999539</v>
      </c>
      <c r="AMV7" s="20">
        <f>METER!AMW34</f>
        <v>1084.8800000000047</v>
      </c>
      <c r="AMW7" s="20">
        <f>METER!AMX34</f>
        <v>941.60500000009779</v>
      </c>
      <c r="AMX7" s="20">
        <f>METER!AMY34</f>
        <v>798.64999999990687</v>
      </c>
      <c r="AMY7" s="127">
        <f t="shared" si="13"/>
        <v>27156.020000000077</v>
      </c>
      <c r="AMZ7" s="20">
        <f>METER!ANA34</f>
        <v>729.91200000006938</v>
      </c>
      <c r="ANA7" s="20">
        <f>METER!ANB34</f>
        <v>708.31199999991804</v>
      </c>
      <c r="ANB7" s="20">
        <f>METER!ANC34</f>
        <v>398.75200000003679</v>
      </c>
      <c r="ANC7" s="20">
        <f>METER!AND34</f>
        <v>623.59999999990407</v>
      </c>
      <c r="AND7" s="20">
        <f>METER!ANE34</f>
        <v>427.31300000002375</v>
      </c>
      <c r="ANE7" s="20">
        <f>METER!ANF34</f>
        <v>609.82000000000698</v>
      </c>
      <c r="ANF7" s="20">
        <f>METER!ANG34</f>
        <v>475.71800000005169</v>
      </c>
      <c r="ANG7" s="20">
        <f>METER!ANH34</f>
        <v>554.54299999988871</v>
      </c>
      <c r="ANH7" s="20">
        <f>METER!ANI34</f>
        <v>613.97000000008848</v>
      </c>
      <c r="ANI7" s="20">
        <f>METER!ANJ34</f>
        <v>724.70900000003166</v>
      </c>
      <c r="ANJ7" s="20">
        <f>METER!ANK34</f>
        <v>679.0789999999688</v>
      </c>
      <c r="ANK7" s="20">
        <f>METER!ANL34</f>
        <v>370.93000000005122</v>
      </c>
      <c r="ANL7" s="20">
        <f>METER!ANM34</f>
        <v>652.17599999986123</v>
      </c>
      <c r="ANM7" s="20">
        <f>METER!ANN34</f>
        <v>607.71200000011595</v>
      </c>
      <c r="ANN7" s="20">
        <f>METER!ANO34</f>
        <v>778.65100000001257</v>
      </c>
      <c r="ANO7" s="20">
        <f>METER!ANP34</f>
        <v>717.18400000000838</v>
      </c>
      <c r="ANP7" s="20">
        <f>METER!ANQ34</f>
        <v>537.418999999878</v>
      </c>
      <c r="ANQ7" s="20">
        <f>METER!ANR34</f>
        <v>667.64900000003399</v>
      </c>
      <c r="ANR7" s="20">
        <f>METER!ANS34</f>
        <v>666.3070000000298</v>
      </c>
      <c r="ANS7" s="20">
        <f>METER!ANT34</f>
        <v>793.68999999988591</v>
      </c>
      <c r="ANT7" s="20">
        <f>METER!ANU34</f>
        <v>603.58300000015879</v>
      </c>
      <c r="ANU7" s="20">
        <f>METER!ANV34</f>
        <v>1104.5489999999409</v>
      </c>
      <c r="ANV7" s="20">
        <f>METER!ANW34</f>
        <v>872.37599999998929</v>
      </c>
      <c r="ANW7" s="20">
        <f>METER!ANX34</f>
        <v>654.46799999993527</v>
      </c>
      <c r="ANX7" s="20">
        <f>METER!ANY34</f>
        <v>894.59500000008848</v>
      </c>
      <c r="ANY7" s="20">
        <f>METER!ANZ34</f>
        <v>1194.0719999999856</v>
      </c>
      <c r="ANZ7" s="20">
        <f>METER!AOA34</f>
        <v>756.01800000004005</v>
      </c>
      <c r="AOA7" s="20">
        <f>METER!AOB34</f>
        <v>794.99099999997998</v>
      </c>
      <c r="AOB7" s="20">
        <f>METER!AOC34</f>
        <v>1184.1470000000554</v>
      </c>
      <c r="AOC7" s="20">
        <f>METER!AOD34</f>
        <v>640.47199999995064</v>
      </c>
    </row>
    <row r="8" spans="1:1071" x14ac:dyDescent="0.2">
      <c r="A8" s="160"/>
      <c r="B8" s="5" t="s">
        <v>1508</v>
      </c>
      <c r="C8" s="22">
        <v>4590</v>
      </c>
      <c r="D8" s="22">
        <f>C8</f>
        <v>4590</v>
      </c>
      <c r="E8" s="22">
        <v>4590</v>
      </c>
      <c r="F8" s="22">
        <v>4590</v>
      </c>
      <c r="G8" s="22">
        <f>F8</f>
        <v>4590</v>
      </c>
      <c r="H8" s="22">
        <v>4590</v>
      </c>
      <c r="I8" s="22">
        <f>H8</f>
        <v>4590</v>
      </c>
      <c r="J8" s="22">
        <v>4650</v>
      </c>
      <c r="K8" s="22">
        <v>4650</v>
      </c>
      <c r="L8" s="22">
        <v>4650</v>
      </c>
      <c r="M8" s="22">
        <v>4650</v>
      </c>
      <c r="N8" s="22">
        <v>4650</v>
      </c>
      <c r="O8" s="22">
        <v>4650</v>
      </c>
      <c r="P8" s="22">
        <v>4650</v>
      </c>
      <c r="Q8" s="22">
        <v>4650</v>
      </c>
      <c r="R8" s="22">
        <v>4650</v>
      </c>
      <c r="S8" s="22">
        <v>4650</v>
      </c>
      <c r="T8" s="22">
        <v>4650</v>
      </c>
      <c r="U8" s="22">
        <v>4650</v>
      </c>
      <c r="V8" s="22">
        <v>4650</v>
      </c>
      <c r="W8" s="22">
        <v>4650</v>
      </c>
      <c r="X8" s="22">
        <v>4650</v>
      </c>
      <c r="Y8" s="22">
        <v>4650</v>
      </c>
      <c r="Z8" s="22">
        <v>4650</v>
      </c>
      <c r="AA8" s="22">
        <v>4650</v>
      </c>
      <c r="AB8" s="22">
        <v>4650</v>
      </c>
      <c r="AC8" s="22">
        <v>4650</v>
      </c>
      <c r="AD8" s="22">
        <v>4650</v>
      </c>
      <c r="AE8" s="22">
        <v>4690</v>
      </c>
      <c r="AF8" s="22">
        <v>4690</v>
      </c>
      <c r="AG8" s="22">
        <v>4690</v>
      </c>
      <c r="AH8" s="94"/>
      <c r="AI8" s="22">
        <v>4690</v>
      </c>
      <c r="AJ8" s="22">
        <v>4690</v>
      </c>
      <c r="AK8" s="22">
        <v>4690</v>
      </c>
      <c r="AL8" s="22">
        <v>4690</v>
      </c>
      <c r="AM8" s="22">
        <v>4690</v>
      </c>
      <c r="AN8" s="22">
        <v>4690</v>
      </c>
      <c r="AO8" s="22">
        <v>4690</v>
      </c>
      <c r="AP8" s="22">
        <v>4690</v>
      </c>
      <c r="AQ8" s="22">
        <v>4850</v>
      </c>
      <c r="AR8" s="22">
        <v>4850</v>
      </c>
      <c r="AS8" s="22">
        <v>4850</v>
      </c>
      <c r="AT8" s="22">
        <v>4850</v>
      </c>
      <c r="AU8" s="22">
        <v>4850</v>
      </c>
      <c r="AV8" s="22">
        <v>4900</v>
      </c>
      <c r="AW8" s="22">
        <v>4900</v>
      </c>
      <c r="AX8" s="22">
        <v>4900</v>
      </c>
      <c r="AY8" s="22">
        <v>4900</v>
      </c>
      <c r="AZ8" s="22">
        <v>4900</v>
      </c>
      <c r="BA8" s="22">
        <v>4900</v>
      </c>
      <c r="BB8" s="22">
        <v>4900</v>
      </c>
      <c r="BC8" s="22">
        <v>4900</v>
      </c>
      <c r="BD8" s="22">
        <v>4900</v>
      </c>
      <c r="BE8" s="22">
        <v>4900</v>
      </c>
      <c r="BF8" s="22">
        <v>4900</v>
      </c>
      <c r="BG8" s="22">
        <v>4900</v>
      </c>
      <c r="BH8" s="22">
        <v>4900</v>
      </c>
      <c r="BI8" s="22">
        <v>4900</v>
      </c>
      <c r="BJ8" s="22">
        <v>4950</v>
      </c>
      <c r="BK8" s="22">
        <v>4950</v>
      </c>
      <c r="BL8" s="22">
        <v>4950</v>
      </c>
      <c r="BM8" s="97">
        <f t="shared" si="9"/>
        <v>145220</v>
      </c>
      <c r="BN8" s="22">
        <v>4950</v>
      </c>
      <c r="BO8" s="22">
        <v>4950</v>
      </c>
      <c r="BP8" s="22">
        <v>4950</v>
      </c>
      <c r="BQ8" s="22">
        <v>4950</v>
      </c>
      <c r="BR8" s="22">
        <v>4950</v>
      </c>
      <c r="BS8" s="22">
        <v>4950</v>
      </c>
      <c r="BT8" s="22">
        <v>4950</v>
      </c>
      <c r="BU8" s="22">
        <v>4950</v>
      </c>
      <c r="BV8" s="22">
        <v>4950</v>
      </c>
      <c r="BW8" s="22">
        <v>4950</v>
      </c>
      <c r="BX8" s="22">
        <v>4950</v>
      </c>
      <c r="BY8" s="22">
        <v>4950</v>
      </c>
      <c r="BZ8" s="22">
        <v>4950</v>
      </c>
      <c r="CA8" s="22">
        <v>4950</v>
      </c>
      <c r="CB8" s="22">
        <v>4950</v>
      </c>
      <c r="CC8" s="22">
        <v>4950</v>
      </c>
      <c r="CD8" s="22">
        <v>4950</v>
      </c>
      <c r="CE8" s="22">
        <v>4950</v>
      </c>
      <c r="CF8" s="22">
        <v>4950</v>
      </c>
      <c r="CG8" s="22">
        <v>4950</v>
      </c>
      <c r="CH8" s="22">
        <v>4950</v>
      </c>
      <c r="CI8" s="22">
        <v>4950</v>
      </c>
      <c r="CJ8" s="22">
        <v>4950</v>
      </c>
      <c r="CK8" s="22">
        <v>4950</v>
      </c>
      <c r="CL8" s="22">
        <v>4950</v>
      </c>
      <c r="CM8" s="22">
        <v>4950</v>
      </c>
      <c r="CN8" s="22">
        <v>4950</v>
      </c>
      <c r="CO8" s="22">
        <v>4950</v>
      </c>
      <c r="CP8" s="22">
        <v>4950</v>
      </c>
      <c r="CQ8" s="22">
        <v>4950</v>
      </c>
      <c r="CR8" s="22">
        <v>4950</v>
      </c>
      <c r="CS8" s="111">
        <f t="shared" si="10"/>
        <v>153450</v>
      </c>
      <c r="CT8" s="22">
        <v>4950</v>
      </c>
      <c r="CU8" s="22">
        <v>4950</v>
      </c>
      <c r="CV8" s="22">
        <v>4950</v>
      </c>
      <c r="CW8" s="22">
        <v>4950</v>
      </c>
      <c r="CX8" s="22">
        <v>4950</v>
      </c>
      <c r="CY8" s="22">
        <v>4950</v>
      </c>
      <c r="CZ8" s="22">
        <v>4950</v>
      </c>
      <c r="DA8" s="22">
        <v>4950</v>
      </c>
      <c r="DB8" s="22">
        <v>4950</v>
      </c>
      <c r="DC8" s="22">
        <v>4950</v>
      </c>
      <c r="DD8" s="22">
        <v>4950</v>
      </c>
      <c r="DE8" s="22">
        <v>4950</v>
      </c>
      <c r="DF8" s="22">
        <v>4950</v>
      </c>
      <c r="DG8" s="22">
        <v>4950</v>
      </c>
      <c r="DH8" s="22">
        <v>4990</v>
      </c>
      <c r="DI8" s="22">
        <v>4990</v>
      </c>
      <c r="DJ8" s="22">
        <v>4990</v>
      </c>
      <c r="DK8" s="22">
        <v>4990</v>
      </c>
      <c r="DL8" s="22">
        <v>4990</v>
      </c>
      <c r="DM8" s="22">
        <v>4990</v>
      </c>
      <c r="DN8" s="22">
        <v>4990</v>
      </c>
      <c r="DO8" s="22">
        <v>4990</v>
      </c>
      <c r="DP8" s="22">
        <v>4990</v>
      </c>
      <c r="DQ8" s="22">
        <v>4990</v>
      </c>
      <c r="DR8" s="22">
        <v>4990</v>
      </c>
      <c r="DS8" s="22">
        <v>4990</v>
      </c>
      <c r="DT8" s="22">
        <v>4990</v>
      </c>
      <c r="DU8" s="22">
        <v>4990</v>
      </c>
      <c r="DV8" s="22">
        <v>4990</v>
      </c>
      <c r="DW8" s="22">
        <v>4990</v>
      </c>
      <c r="DX8" s="120"/>
      <c r="DY8" s="22">
        <v>4990</v>
      </c>
      <c r="DZ8" s="22">
        <v>4990</v>
      </c>
      <c r="EA8" s="22">
        <v>4990</v>
      </c>
      <c r="EB8" s="22">
        <v>4990</v>
      </c>
      <c r="EC8" s="22">
        <v>4990</v>
      </c>
      <c r="ED8" s="22">
        <v>4990</v>
      </c>
      <c r="EE8" s="22">
        <v>4990</v>
      </c>
      <c r="EF8" s="22">
        <v>4990</v>
      </c>
      <c r="EG8" s="22">
        <v>4850</v>
      </c>
      <c r="EH8" s="22">
        <v>4850</v>
      </c>
      <c r="EI8" s="22">
        <v>4850</v>
      </c>
      <c r="EJ8" s="22">
        <v>4850</v>
      </c>
      <c r="EK8" s="22">
        <v>4850</v>
      </c>
      <c r="EL8" s="22">
        <v>4850</v>
      </c>
      <c r="EM8" s="22">
        <v>4850</v>
      </c>
      <c r="EN8" s="22">
        <v>4850</v>
      </c>
      <c r="EO8" s="22">
        <v>4850</v>
      </c>
      <c r="EP8" s="22">
        <v>4850</v>
      </c>
      <c r="EQ8" s="22">
        <v>4850</v>
      </c>
      <c r="ER8" s="22">
        <v>4850</v>
      </c>
      <c r="ES8" s="22">
        <v>4850</v>
      </c>
      <c r="ET8" s="22">
        <v>4850</v>
      </c>
      <c r="EU8" s="22">
        <v>4850</v>
      </c>
      <c r="EV8" s="22">
        <v>4850</v>
      </c>
      <c r="EW8" s="22">
        <v>4850</v>
      </c>
      <c r="EX8" s="22">
        <v>4850</v>
      </c>
      <c r="EY8" s="22">
        <v>4850</v>
      </c>
      <c r="EZ8" s="22">
        <v>4850</v>
      </c>
      <c r="FA8" s="22">
        <v>4850</v>
      </c>
      <c r="FB8" s="22">
        <v>4850</v>
      </c>
      <c r="FC8" s="22">
        <v>4850</v>
      </c>
      <c r="FD8" s="128"/>
      <c r="FE8" s="22">
        <v>4850</v>
      </c>
      <c r="FF8" s="22">
        <v>4850</v>
      </c>
      <c r="FG8" s="22">
        <v>4850</v>
      </c>
      <c r="FH8" s="22">
        <v>4850</v>
      </c>
      <c r="FI8" s="22">
        <v>4850</v>
      </c>
      <c r="FJ8" s="22">
        <v>4850</v>
      </c>
      <c r="FK8" s="22">
        <v>4850</v>
      </c>
      <c r="FL8" s="22">
        <v>4850</v>
      </c>
      <c r="FM8" s="22">
        <v>4850</v>
      </c>
      <c r="FN8" s="22">
        <v>4850</v>
      </c>
      <c r="FO8" s="22">
        <v>4850</v>
      </c>
      <c r="FP8" s="22">
        <v>4850</v>
      </c>
      <c r="FQ8" s="22">
        <v>4850</v>
      </c>
      <c r="FR8" s="22">
        <v>4850</v>
      </c>
      <c r="FS8" s="22">
        <v>4850</v>
      </c>
      <c r="FT8" s="22">
        <v>4850</v>
      </c>
      <c r="FU8" s="22">
        <v>4850</v>
      </c>
      <c r="FV8" s="22">
        <v>4850</v>
      </c>
      <c r="FW8" s="22">
        <v>4850</v>
      </c>
      <c r="FX8" s="22">
        <v>4850</v>
      </c>
      <c r="FY8" s="22">
        <v>4850</v>
      </c>
      <c r="FZ8" s="22">
        <v>4850</v>
      </c>
      <c r="GA8" s="22">
        <v>4850</v>
      </c>
      <c r="GB8" s="22">
        <v>4850</v>
      </c>
      <c r="GC8" s="22">
        <v>4850</v>
      </c>
      <c r="GD8" s="22">
        <v>4850</v>
      </c>
      <c r="GE8" s="22">
        <v>4850</v>
      </c>
      <c r="GF8" s="22">
        <v>4850</v>
      </c>
      <c r="GG8" s="22">
        <v>4850</v>
      </c>
      <c r="GH8" s="22">
        <v>4850</v>
      </c>
      <c r="GI8" s="22">
        <v>4850</v>
      </c>
      <c r="GJ8" s="126"/>
      <c r="GK8" s="22">
        <v>4850</v>
      </c>
      <c r="GL8" s="22">
        <v>4850</v>
      </c>
      <c r="GM8" s="22">
        <v>4850</v>
      </c>
      <c r="GN8" s="22">
        <v>4850</v>
      </c>
      <c r="GO8" s="22">
        <v>4850</v>
      </c>
      <c r="GP8" s="22">
        <v>4850</v>
      </c>
      <c r="GQ8" s="22">
        <v>4850</v>
      </c>
      <c r="GR8" s="22">
        <v>4850</v>
      </c>
      <c r="GS8" s="22">
        <v>4850</v>
      </c>
      <c r="GT8" s="22">
        <v>4850</v>
      </c>
      <c r="GU8" s="22">
        <v>4850</v>
      </c>
      <c r="GV8" s="22">
        <v>4850</v>
      </c>
      <c r="GW8" s="22">
        <v>4850</v>
      </c>
      <c r="GX8" s="22">
        <v>4850</v>
      </c>
      <c r="GY8" s="22">
        <v>4850</v>
      </c>
      <c r="GZ8" s="22">
        <v>4850</v>
      </c>
      <c r="HA8" s="22">
        <v>4850</v>
      </c>
      <c r="HB8" s="22">
        <v>4850</v>
      </c>
      <c r="HC8" s="22">
        <v>4850</v>
      </c>
      <c r="HD8" s="22">
        <v>4850</v>
      </c>
      <c r="HE8" s="22">
        <v>4850</v>
      </c>
      <c r="HF8" s="22">
        <v>4850</v>
      </c>
      <c r="HG8" s="22">
        <v>4850</v>
      </c>
      <c r="HH8" s="22">
        <v>4850</v>
      </c>
      <c r="HI8" s="22">
        <v>4850</v>
      </c>
      <c r="HJ8" s="22">
        <v>4850</v>
      </c>
      <c r="HK8" s="22">
        <v>4850</v>
      </c>
      <c r="HL8" s="22">
        <v>4850</v>
      </c>
      <c r="HM8" s="22">
        <v>4850</v>
      </c>
      <c r="HN8" s="126"/>
      <c r="HO8" s="22">
        <v>4850</v>
      </c>
      <c r="HP8" s="22">
        <v>4850</v>
      </c>
      <c r="HQ8" s="22">
        <v>4850</v>
      </c>
      <c r="HR8" s="22">
        <v>4850</v>
      </c>
      <c r="HS8" s="22">
        <v>4850</v>
      </c>
      <c r="HT8" s="22">
        <v>4850</v>
      </c>
      <c r="HU8" s="22">
        <v>4850</v>
      </c>
      <c r="HV8" s="22">
        <v>4850</v>
      </c>
      <c r="HW8" s="22">
        <v>4850</v>
      </c>
      <c r="HX8" s="22">
        <v>4850</v>
      </c>
      <c r="HY8" s="22">
        <v>4850</v>
      </c>
      <c r="HZ8" s="22">
        <v>4950</v>
      </c>
      <c r="IA8" s="22">
        <v>4950</v>
      </c>
      <c r="IB8" s="22">
        <v>4950</v>
      </c>
      <c r="IC8" s="22">
        <v>4950</v>
      </c>
      <c r="ID8" s="22">
        <v>4950</v>
      </c>
      <c r="IE8" s="22">
        <v>4950</v>
      </c>
      <c r="IF8" s="22">
        <v>4950</v>
      </c>
      <c r="IG8" s="22">
        <v>4950</v>
      </c>
      <c r="IH8" s="22">
        <v>4950</v>
      </c>
      <c r="II8" s="22">
        <v>4950</v>
      </c>
      <c r="IJ8" s="22">
        <v>4950</v>
      </c>
      <c r="IK8" s="22">
        <v>4950</v>
      </c>
      <c r="IL8" s="22">
        <v>4950</v>
      </c>
      <c r="IM8" s="22">
        <v>4950</v>
      </c>
      <c r="IN8" s="22">
        <v>4950</v>
      </c>
      <c r="IO8" s="22">
        <v>4990</v>
      </c>
      <c r="IP8" s="22">
        <v>4990</v>
      </c>
      <c r="IQ8" s="22">
        <v>4990</v>
      </c>
      <c r="IR8" s="22">
        <v>4990</v>
      </c>
      <c r="IS8" s="22">
        <v>4990</v>
      </c>
      <c r="IT8" s="127">
        <f t="shared" si="22"/>
        <v>152550</v>
      </c>
      <c r="IU8" s="22">
        <v>4990</v>
      </c>
      <c r="IV8" s="22">
        <v>4990</v>
      </c>
      <c r="IW8" s="22">
        <v>4990</v>
      </c>
      <c r="IX8" s="22">
        <v>4990</v>
      </c>
      <c r="IY8" s="22">
        <v>4990</v>
      </c>
      <c r="IZ8" s="22">
        <v>4990</v>
      </c>
      <c r="JA8" s="22">
        <v>4990</v>
      </c>
      <c r="JB8" s="22">
        <v>4990</v>
      </c>
      <c r="JC8" s="22">
        <v>4990</v>
      </c>
      <c r="JD8" s="22">
        <v>4990</v>
      </c>
      <c r="JE8" s="22">
        <v>4990</v>
      </c>
      <c r="JF8" s="22">
        <v>4990</v>
      </c>
      <c r="JG8" s="22">
        <v>4990</v>
      </c>
      <c r="JH8" s="22">
        <v>4990</v>
      </c>
      <c r="JI8" s="22">
        <v>4990</v>
      </c>
      <c r="JJ8" s="22">
        <v>4990</v>
      </c>
      <c r="JK8" s="22">
        <v>4990</v>
      </c>
      <c r="JL8" s="22">
        <v>4990</v>
      </c>
      <c r="JM8" s="22">
        <v>4990</v>
      </c>
      <c r="JN8" s="22">
        <v>4990</v>
      </c>
      <c r="JO8" s="22">
        <v>4990</v>
      </c>
      <c r="JP8" s="22">
        <v>4990</v>
      </c>
      <c r="JQ8" s="22">
        <v>4990</v>
      </c>
      <c r="JR8" s="22">
        <v>4990</v>
      </c>
      <c r="JS8" s="22">
        <v>4990</v>
      </c>
      <c r="JT8" s="22">
        <v>4990</v>
      </c>
      <c r="JU8" s="22">
        <v>4890</v>
      </c>
      <c r="JV8" s="22">
        <v>4890</v>
      </c>
      <c r="JW8" s="22">
        <v>4890</v>
      </c>
      <c r="JX8" s="22">
        <v>4890</v>
      </c>
      <c r="JY8" s="127">
        <v>4890</v>
      </c>
      <c r="JZ8" s="22">
        <v>4890</v>
      </c>
      <c r="KA8" s="22">
        <v>4890</v>
      </c>
      <c r="KB8" s="22">
        <v>4890</v>
      </c>
      <c r="KC8" s="22">
        <v>4890</v>
      </c>
      <c r="KD8" s="22">
        <v>4890</v>
      </c>
      <c r="KE8" s="22">
        <v>4890</v>
      </c>
      <c r="KF8" s="22">
        <v>4890</v>
      </c>
      <c r="KG8" s="22">
        <v>4890</v>
      </c>
      <c r="KH8" s="22">
        <v>4890</v>
      </c>
      <c r="KI8" s="22">
        <v>4890</v>
      </c>
      <c r="KJ8" s="22">
        <v>4890</v>
      </c>
      <c r="KK8" s="22">
        <v>4890</v>
      </c>
      <c r="KL8" s="22">
        <v>4890</v>
      </c>
      <c r="KM8" s="22">
        <v>4890</v>
      </c>
      <c r="KN8" s="22">
        <v>4890</v>
      </c>
      <c r="KO8" s="22">
        <v>4890</v>
      </c>
      <c r="KP8" s="22">
        <v>4890</v>
      </c>
      <c r="KQ8" s="22">
        <v>4890</v>
      </c>
      <c r="KR8" s="22">
        <v>4890</v>
      </c>
      <c r="KS8" s="22">
        <v>4890</v>
      </c>
      <c r="KT8" s="22">
        <v>4890</v>
      </c>
      <c r="KU8" s="22">
        <v>4890</v>
      </c>
      <c r="KV8" s="22">
        <v>4890</v>
      </c>
      <c r="KW8" s="22">
        <v>4890</v>
      </c>
      <c r="KX8" s="22">
        <v>4890</v>
      </c>
      <c r="KY8" s="22">
        <v>4890</v>
      </c>
      <c r="KZ8" s="22">
        <v>4890</v>
      </c>
      <c r="LA8" s="22">
        <v>4890</v>
      </c>
      <c r="LB8" s="22">
        <v>4850</v>
      </c>
      <c r="LC8" s="22">
        <v>4850</v>
      </c>
      <c r="LD8" s="22">
        <v>4850</v>
      </c>
      <c r="LE8" s="127">
        <v>4890</v>
      </c>
      <c r="LF8" s="22">
        <v>4850</v>
      </c>
      <c r="LG8" s="22">
        <v>4850</v>
      </c>
      <c r="LH8" s="22">
        <v>4850</v>
      </c>
      <c r="LI8" s="22">
        <v>4850</v>
      </c>
      <c r="LJ8" s="22">
        <v>4850</v>
      </c>
      <c r="LK8" s="22">
        <v>4850</v>
      </c>
      <c r="LL8" s="22">
        <v>4850</v>
      </c>
      <c r="LM8" s="22">
        <v>4850</v>
      </c>
      <c r="LN8" s="22">
        <v>4850</v>
      </c>
      <c r="LO8" s="22">
        <v>4850</v>
      </c>
      <c r="LP8" s="22">
        <v>4850</v>
      </c>
      <c r="LQ8" s="22">
        <v>4850</v>
      </c>
      <c r="LR8" s="22">
        <v>4850</v>
      </c>
      <c r="LS8" s="22">
        <v>4850</v>
      </c>
      <c r="LT8" s="22">
        <v>4850</v>
      </c>
      <c r="LU8" s="22">
        <v>4850</v>
      </c>
      <c r="LV8" s="22">
        <v>4850</v>
      </c>
      <c r="LW8" s="22">
        <v>4850</v>
      </c>
      <c r="LX8" s="22">
        <v>4850</v>
      </c>
      <c r="LY8" s="22">
        <v>4850</v>
      </c>
      <c r="LZ8" s="22">
        <v>4850</v>
      </c>
      <c r="MA8" s="22">
        <v>4850</v>
      </c>
      <c r="MB8" s="22">
        <v>4850</v>
      </c>
      <c r="MC8" s="22">
        <v>4850</v>
      </c>
      <c r="MD8" s="22">
        <v>4850</v>
      </c>
      <c r="ME8" s="22">
        <v>4850</v>
      </c>
      <c r="MF8" s="22">
        <v>4850</v>
      </c>
      <c r="MG8" s="22">
        <v>4850</v>
      </c>
      <c r="MH8" s="22">
        <v>4850</v>
      </c>
      <c r="MI8" s="22">
        <v>4850</v>
      </c>
      <c r="MJ8" s="127">
        <v>4890</v>
      </c>
      <c r="MK8" s="22">
        <v>4850</v>
      </c>
      <c r="ML8" s="22">
        <v>4850</v>
      </c>
      <c r="MM8" s="22">
        <v>4850</v>
      </c>
      <c r="MN8" s="22">
        <v>4850</v>
      </c>
      <c r="MO8" s="22">
        <v>4850</v>
      </c>
      <c r="MP8" s="22">
        <v>4850</v>
      </c>
      <c r="MQ8" s="22">
        <v>4850</v>
      </c>
      <c r="MR8" s="22">
        <v>4850</v>
      </c>
      <c r="MS8" s="22">
        <v>4850</v>
      </c>
      <c r="MT8" s="22">
        <v>4850</v>
      </c>
      <c r="MU8" s="22">
        <v>4850</v>
      </c>
      <c r="MV8" s="22">
        <v>4799</v>
      </c>
      <c r="MW8" s="22">
        <v>4799</v>
      </c>
      <c r="MX8" s="22">
        <v>4799</v>
      </c>
      <c r="MY8" s="22">
        <v>4799</v>
      </c>
      <c r="MZ8" s="22">
        <v>4799</v>
      </c>
      <c r="NA8" s="22">
        <v>4799</v>
      </c>
      <c r="NB8" s="22">
        <v>4799</v>
      </c>
      <c r="NC8" s="22">
        <v>4799</v>
      </c>
      <c r="ND8" s="22">
        <v>4799</v>
      </c>
      <c r="NE8" s="22">
        <v>4799</v>
      </c>
      <c r="NF8" s="22">
        <v>4799</v>
      </c>
      <c r="NG8" s="22">
        <v>4799</v>
      </c>
      <c r="NH8" s="22">
        <v>4799</v>
      </c>
      <c r="NI8" s="22">
        <v>4799</v>
      </c>
      <c r="NJ8" s="22">
        <v>4799</v>
      </c>
      <c r="NK8" s="22">
        <v>4799</v>
      </c>
      <c r="NL8" s="22">
        <v>4799</v>
      </c>
      <c r="NM8" s="22">
        <v>4799</v>
      </c>
      <c r="NN8" s="22">
        <v>4799</v>
      </c>
      <c r="NO8" s="22">
        <v>4799</v>
      </c>
      <c r="NP8" s="127">
        <v>4890</v>
      </c>
      <c r="NQ8" s="22">
        <v>4799</v>
      </c>
      <c r="NR8" s="22">
        <v>4799</v>
      </c>
      <c r="NS8" s="22">
        <v>4749</v>
      </c>
      <c r="NT8" s="22">
        <v>4749</v>
      </c>
      <c r="NU8" s="22">
        <v>4749</v>
      </c>
      <c r="NV8" s="22">
        <v>4749</v>
      </c>
      <c r="NW8" s="22">
        <v>4749</v>
      </c>
      <c r="NX8" s="22">
        <v>4749</v>
      </c>
      <c r="NY8" s="22">
        <v>4749</v>
      </c>
      <c r="NZ8" s="22">
        <v>4749</v>
      </c>
      <c r="OA8" s="22">
        <v>4749</v>
      </c>
      <c r="OB8" s="22">
        <v>4749</v>
      </c>
      <c r="OC8" s="22">
        <v>4749</v>
      </c>
      <c r="OD8" s="22">
        <v>4749</v>
      </c>
      <c r="OE8" s="22">
        <v>4749</v>
      </c>
      <c r="OF8" s="22">
        <v>4749</v>
      </c>
      <c r="OG8" s="22">
        <v>4749</v>
      </c>
      <c r="OH8" s="22">
        <v>4749</v>
      </c>
      <c r="OI8" s="22">
        <v>4749</v>
      </c>
      <c r="OJ8" s="22">
        <v>4749</v>
      </c>
      <c r="OK8" s="22">
        <v>4749</v>
      </c>
      <c r="OL8" s="22">
        <v>4749</v>
      </c>
      <c r="OM8" s="22">
        <v>4749</v>
      </c>
      <c r="ON8" s="22">
        <v>4749</v>
      </c>
      <c r="OO8" s="22">
        <v>4749</v>
      </c>
      <c r="OP8" s="22">
        <v>4749</v>
      </c>
      <c r="OQ8" s="22">
        <v>4749</v>
      </c>
      <c r="OR8" s="22">
        <v>4749</v>
      </c>
      <c r="OS8" s="22">
        <v>4749</v>
      </c>
      <c r="OT8" s="22">
        <v>4749</v>
      </c>
      <c r="OU8" s="22">
        <v>4749</v>
      </c>
      <c r="OV8" s="127">
        <v>4890</v>
      </c>
      <c r="OW8" s="22">
        <v>4749</v>
      </c>
      <c r="OX8" s="22">
        <v>4749</v>
      </c>
      <c r="OY8" s="22">
        <v>4749</v>
      </c>
      <c r="OZ8" s="22">
        <v>4749</v>
      </c>
      <c r="PA8" s="22">
        <v>4749</v>
      </c>
      <c r="PB8" s="22">
        <v>4749</v>
      </c>
      <c r="PC8" s="22">
        <v>4749</v>
      </c>
      <c r="PD8" s="22">
        <v>4749</v>
      </c>
      <c r="PE8" s="22">
        <v>4749</v>
      </c>
      <c r="PF8" s="22">
        <v>4749</v>
      </c>
      <c r="PG8" s="22">
        <v>4749</v>
      </c>
      <c r="PH8" s="22">
        <v>4749</v>
      </c>
      <c r="PI8" s="22">
        <v>4749</v>
      </c>
      <c r="PJ8" s="22">
        <v>4749</v>
      </c>
      <c r="PK8" s="22">
        <v>4749</v>
      </c>
      <c r="PL8" s="22">
        <v>4749</v>
      </c>
      <c r="PM8" s="22">
        <v>4749</v>
      </c>
      <c r="PN8" s="22">
        <v>4749</v>
      </c>
      <c r="PO8" s="22">
        <v>4749</v>
      </c>
      <c r="PP8" s="22">
        <v>4749</v>
      </c>
      <c r="PQ8" s="22">
        <v>4749</v>
      </c>
      <c r="PR8" s="22">
        <v>4749</v>
      </c>
      <c r="PS8" s="22">
        <v>4749</v>
      </c>
      <c r="PT8" s="22">
        <v>4749</v>
      </c>
      <c r="PU8" s="22">
        <v>4749</v>
      </c>
      <c r="PV8" s="22">
        <v>4749</v>
      </c>
      <c r="PW8" s="22">
        <v>4749</v>
      </c>
      <c r="PX8" s="22">
        <v>4749</v>
      </c>
      <c r="PY8" s="22">
        <v>4749</v>
      </c>
      <c r="PZ8" s="22">
        <v>4749</v>
      </c>
      <c r="QA8" s="127">
        <v>4890</v>
      </c>
      <c r="QB8" s="22">
        <v>4749</v>
      </c>
      <c r="QC8" s="22">
        <v>4749</v>
      </c>
      <c r="QD8" s="22">
        <v>4749</v>
      </c>
      <c r="QE8" s="22">
        <v>4749</v>
      </c>
      <c r="QF8" s="22">
        <v>4749</v>
      </c>
      <c r="QG8" s="22">
        <v>4749</v>
      </c>
      <c r="QH8" s="22">
        <v>4749</v>
      </c>
      <c r="QI8" s="22">
        <v>4749</v>
      </c>
      <c r="QJ8" s="22">
        <v>4599</v>
      </c>
      <c r="QK8" s="22">
        <v>4599</v>
      </c>
      <c r="QL8" s="22">
        <v>4599</v>
      </c>
      <c r="QM8" s="22">
        <v>4599</v>
      </c>
      <c r="QN8" s="22">
        <v>4599</v>
      </c>
      <c r="QO8" s="22">
        <v>4599</v>
      </c>
      <c r="QP8" s="22">
        <v>4599</v>
      </c>
      <c r="QQ8" s="22">
        <v>4599</v>
      </c>
      <c r="QR8" s="22">
        <v>4599</v>
      </c>
      <c r="QS8" s="22">
        <v>4599</v>
      </c>
      <c r="QT8" s="22">
        <v>4599</v>
      </c>
      <c r="QU8" s="22">
        <v>4599</v>
      </c>
      <c r="QV8" s="22">
        <v>4599</v>
      </c>
      <c r="QW8" s="22">
        <v>4599</v>
      </c>
      <c r="QX8" s="22">
        <v>4599</v>
      </c>
      <c r="QY8" s="22">
        <v>4599</v>
      </c>
      <c r="QZ8" s="22">
        <v>4599</v>
      </c>
      <c r="RA8" s="22">
        <v>4599</v>
      </c>
      <c r="RB8" s="22">
        <v>4599</v>
      </c>
      <c r="RC8" s="22">
        <v>4599</v>
      </c>
      <c r="RD8" s="22">
        <v>4599</v>
      </c>
      <c r="RE8" s="22">
        <v>4599</v>
      </c>
      <c r="RF8" s="22">
        <v>4599</v>
      </c>
      <c r="RG8" s="127">
        <v>4599</v>
      </c>
      <c r="RH8" s="22">
        <v>4599</v>
      </c>
      <c r="RI8" s="22">
        <v>4599</v>
      </c>
      <c r="RJ8" s="22">
        <v>4599</v>
      </c>
      <c r="RK8" s="22">
        <v>4599</v>
      </c>
      <c r="RL8" s="22">
        <v>4599</v>
      </c>
      <c r="RM8" s="22">
        <v>4599</v>
      </c>
      <c r="RN8" s="22">
        <v>4599</v>
      </c>
      <c r="RO8" s="22">
        <v>4599</v>
      </c>
      <c r="RP8" s="22">
        <v>4470</v>
      </c>
      <c r="RQ8" s="22">
        <v>4470</v>
      </c>
      <c r="RR8" s="22">
        <v>4470</v>
      </c>
      <c r="RS8" s="22">
        <v>4470</v>
      </c>
      <c r="RT8" s="22">
        <v>4470</v>
      </c>
      <c r="RU8" s="22">
        <v>4470</v>
      </c>
      <c r="RV8" s="22">
        <v>4470</v>
      </c>
      <c r="RW8" s="22">
        <v>4470</v>
      </c>
      <c r="RX8" s="22">
        <v>4470</v>
      </c>
      <c r="RY8" s="22">
        <v>4470</v>
      </c>
      <c r="RZ8" s="22">
        <v>4470</v>
      </c>
      <c r="SA8" s="22">
        <v>4470</v>
      </c>
      <c r="SB8" s="22">
        <v>4470</v>
      </c>
      <c r="SC8" s="22">
        <v>4470</v>
      </c>
      <c r="SD8" s="22">
        <v>4470</v>
      </c>
      <c r="SE8" s="22">
        <v>4470</v>
      </c>
      <c r="SF8" s="22">
        <v>4470</v>
      </c>
      <c r="SG8" s="22">
        <v>4470</v>
      </c>
      <c r="SH8" s="22">
        <v>4470</v>
      </c>
      <c r="SI8" s="22">
        <v>4470</v>
      </c>
      <c r="SJ8" s="22">
        <v>4470</v>
      </c>
      <c r="SK8" s="22">
        <v>4470</v>
      </c>
      <c r="SL8" s="127">
        <v>4470</v>
      </c>
      <c r="SM8" s="22">
        <v>4470</v>
      </c>
      <c r="SN8" s="22">
        <v>4470</v>
      </c>
      <c r="SO8" s="22">
        <v>4470</v>
      </c>
      <c r="SP8" s="22">
        <v>4470</v>
      </c>
      <c r="SQ8" s="22">
        <v>4470</v>
      </c>
      <c r="SR8" s="22">
        <v>4470</v>
      </c>
      <c r="SS8" s="22">
        <v>4470</v>
      </c>
      <c r="ST8" s="22">
        <v>4470</v>
      </c>
      <c r="SU8" s="22">
        <v>4470</v>
      </c>
      <c r="SV8" s="22">
        <v>4470</v>
      </c>
      <c r="SW8" s="22">
        <v>4470</v>
      </c>
      <c r="SX8" s="22">
        <v>4470</v>
      </c>
      <c r="SY8" s="22">
        <v>4470</v>
      </c>
      <c r="SZ8" s="22">
        <v>4470</v>
      </c>
      <c r="TA8" s="22">
        <v>4470</v>
      </c>
      <c r="TB8" s="22">
        <v>4470</v>
      </c>
      <c r="TC8" s="22">
        <v>4470</v>
      </c>
      <c r="TD8" s="22">
        <v>4470</v>
      </c>
      <c r="TE8" s="22">
        <v>4470</v>
      </c>
      <c r="TF8" s="22">
        <v>4470</v>
      </c>
      <c r="TG8" s="22">
        <v>4470</v>
      </c>
      <c r="TH8" s="22">
        <v>4470</v>
      </c>
      <c r="TI8" s="22">
        <v>4470</v>
      </c>
      <c r="TJ8" s="22">
        <v>4470</v>
      </c>
      <c r="TK8" s="22">
        <v>4470</v>
      </c>
      <c r="TL8" s="22">
        <v>4470</v>
      </c>
      <c r="TM8" s="22">
        <v>4470</v>
      </c>
      <c r="TN8" s="22">
        <v>4470</v>
      </c>
      <c r="TO8" s="22">
        <v>4470</v>
      </c>
      <c r="TP8" s="22">
        <v>4470</v>
      </c>
      <c r="TQ8" s="22">
        <v>4470</v>
      </c>
      <c r="TR8" s="127">
        <v>4470</v>
      </c>
      <c r="TS8" s="22">
        <v>4470</v>
      </c>
      <c r="TT8" s="22">
        <v>4470</v>
      </c>
      <c r="TU8" s="22">
        <v>4470</v>
      </c>
      <c r="TV8" s="22">
        <v>4470</v>
      </c>
      <c r="TW8" s="22">
        <v>4470</v>
      </c>
      <c r="TX8" s="22">
        <v>4470</v>
      </c>
      <c r="TY8" s="22">
        <v>4470</v>
      </c>
      <c r="TZ8" s="22">
        <v>4470</v>
      </c>
      <c r="UA8" s="22">
        <v>4470</v>
      </c>
      <c r="UB8" s="22">
        <v>4470</v>
      </c>
      <c r="UC8" s="22">
        <v>4470</v>
      </c>
      <c r="UD8" s="22">
        <v>4470</v>
      </c>
      <c r="UE8" s="22">
        <v>4470</v>
      </c>
      <c r="UF8" s="22">
        <v>4470</v>
      </c>
      <c r="UG8" s="22">
        <v>4490</v>
      </c>
      <c r="UH8" s="22">
        <v>4490</v>
      </c>
      <c r="UI8" s="22">
        <v>4490</v>
      </c>
      <c r="UJ8" s="22">
        <v>4490</v>
      </c>
      <c r="UK8" s="22">
        <v>4490</v>
      </c>
      <c r="UL8" s="22">
        <v>4490</v>
      </c>
      <c r="UM8" s="22">
        <v>4490</v>
      </c>
      <c r="UN8" s="22">
        <v>4490</v>
      </c>
      <c r="UO8" s="22">
        <v>4490</v>
      </c>
      <c r="UP8" s="22">
        <v>4490</v>
      </c>
      <c r="UQ8" s="22">
        <v>4490</v>
      </c>
      <c r="UR8" s="22">
        <v>4490</v>
      </c>
      <c r="US8" s="22">
        <v>4490</v>
      </c>
      <c r="UT8" s="22">
        <v>4490</v>
      </c>
      <c r="UU8" s="22">
        <v>4490</v>
      </c>
      <c r="UV8" s="22">
        <v>4490</v>
      </c>
      <c r="UW8" s="22">
        <v>4490</v>
      </c>
      <c r="UX8" s="127">
        <v>4470</v>
      </c>
      <c r="UY8" s="22">
        <v>4490</v>
      </c>
      <c r="UZ8" s="22">
        <v>4490</v>
      </c>
      <c r="VA8" s="22">
        <v>4490</v>
      </c>
      <c r="VB8" s="22">
        <v>4490</v>
      </c>
      <c r="VC8" s="22">
        <v>4490</v>
      </c>
      <c r="VD8" s="22">
        <v>4490</v>
      </c>
      <c r="VE8" s="22">
        <v>4510</v>
      </c>
      <c r="VF8" s="22">
        <v>4510</v>
      </c>
      <c r="VG8" s="22">
        <v>4510</v>
      </c>
      <c r="VH8" s="22">
        <v>4510</v>
      </c>
      <c r="VI8" s="22">
        <v>4550</v>
      </c>
      <c r="VJ8" s="22">
        <v>4550</v>
      </c>
      <c r="VK8" s="22">
        <v>4550</v>
      </c>
      <c r="VL8" s="22">
        <v>4550</v>
      </c>
      <c r="VM8" s="22">
        <v>4550</v>
      </c>
      <c r="VN8" s="22">
        <v>4550</v>
      </c>
      <c r="VO8" s="22">
        <v>4550</v>
      </c>
      <c r="VP8" s="22">
        <v>4550</v>
      </c>
      <c r="VQ8" s="22">
        <v>4550</v>
      </c>
      <c r="VR8" s="22">
        <v>4550</v>
      </c>
      <c r="VS8" s="22">
        <v>4550</v>
      </c>
      <c r="VT8" s="22">
        <v>4550</v>
      </c>
      <c r="VU8" s="22">
        <v>4550</v>
      </c>
      <c r="VV8" s="22">
        <v>4550</v>
      </c>
      <c r="VW8" s="22">
        <v>4550</v>
      </c>
      <c r="VX8" s="22">
        <v>4550</v>
      </c>
      <c r="VY8" s="22">
        <v>4550</v>
      </c>
      <c r="VZ8" s="22">
        <v>4550</v>
      </c>
      <c r="WA8" s="127">
        <v>4550</v>
      </c>
      <c r="WB8" s="22">
        <v>4550</v>
      </c>
      <c r="WC8" s="22">
        <v>4550</v>
      </c>
      <c r="WD8" s="22">
        <v>4550</v>
      </c>
      <c r="WE8" s="22">
        <v>4550</v>
      </c>
      <c r="WF8" s="22">
        <v>4550</v>
      </c>
      <c r="WG8" s="22">
        <v>4550</v>
      </c>
      <c r="WH8" s="22">
        <v>4550</v>
      </c>
      <c r="WI8" s="22">
        <v>4550</v>
      </c>
      <c r="WJ8" s="22">
        <v>4550</v>
      </c>
      <c r="WK8" s="22">
        <v>4550</v>
      </c>
      <c r="WL8" s="22">
        <v>4550</v>
      </c>
      <c r="WM8" s="22">
        <v>4550</v>
      </c>
      <c r="WN8" s="22">
        <v>4550</v>
      </c>
      <c r="WO8" s="22">
        <v>4550</v>
      </c>
      <c r="WP8" s="22">
        <v>4550</v>
      </c>
      <c r="WQ8" s="22">
        <v>4550</v>
      </c>
      <c r="WR8" s="22">
        <v>4550</v>
      </c>
      <c r="WS8" s="22">
        <v>4550</v>
      </c>
      <c r="WT8" s="22">
        <v>4550</v>
      </c>
      <c r="WU8" s="22">
        <v>4550</v>
      </c>
      <c r="WV8" s="22">
        <v>4550</v>
      </c>
      <c r="WW8" s="22">
        <v>4550</v>
      </c>
      <c r="WX8" s="22">
        <v>4550</v>
      </c>
      <c r="WY8" s="22">
        <v>4550</v>
      </c>
      <c r="WZ8" s="22">
        <v>4550</v>
      </c>
      <c r="XA8" s="22">
        <v>4550</v>
      </c>
      <c r="XB8" s="22">
        <v>4590</v>
      </c>
      <c r="XC8" s="22">
        <v>4590</v>
      </c>
      <c r="XD8" s="22">
        <v>4590</v>
      </c>
      <c r="XE8" s="22">
        <v>4590</v>
      </c>
      <c r="XF8" s="22">
        <v>4590</v>
      </c>
      <c r="XG8" s="127">
        <v>4550</v>
      </c>
      <c r="XH8" s="22">
        <v>4590</v>
      </c>
      <c r="XI8" s="22">
        <v>4590</v>
      </c>
      <c r="XJ8" s="22">
        <v>4590</v>
      </c>
      <c r="XK8" s="22">
        <v>4590</v>
      </c>
      <c r="XL8" s="22">
        <v>4590</v>
      </c>
      <c r="XM8" s="22">
        <v>4590</v>
      </c>
      <c r="XN8" s="22">
        <v>4590</v>
      </c>
      <c r="XO8" s="22">
        <v>4590</v>
      </c>
      <c r="XP8" s="22">
        <v>4590</v>
      </c>
      <c r="XQ8" s="22">
        <v>4590</v>
      </c>
      <c r="XR8" s="22">
        <v>4590</v>
      </c>
      <c r="XS8" s="22">
        <v>4590</v>
      </c>
      <c r="XT8" s="22">
        <v>4590</v>
      </c>
      <c r="XU8" s="22">
        <v>4590</v>
      </c>
      <c r="XV8" s="22">
        <v>4590</v>
      </c>
      <c r="XW8" s="22">
        <v>4590</v>
      </c>
      <c r="XX8" s="22">
        <v>4650</v>
      </c>
      <c r="XY8" s="22">
        <v>4650</v>
      </c>
      <c r="XZ8" s="22">
        <v>4650</v>
      </c>
      <c r="YA8" s="22">
        <v>4650</v>
      </c>
      <c r="YB8" s="22">
        <v>4650</v>
      </c>
      <c r="YC8" s="22">
        <v>4650</v>
      </c>
      <c r="YD8" s="22">
        <v>4650</v>
      </c>
      <c r="YE8" s="22">
        <v>4650</v>
      </c>
      <c r="YF8" s="22">
        <v>4650</v>
      </c>
      <c r="YG8" s="22">
        <v>4650</v>
      </c>
      <c r="YH8" s="22">
        <v>4650</v>
      </c>
      <c r="YI8" s="22">
        <v>4650</v>
      </c>
      <c r="YJ8" s="22">
        <v>4650</v>
      </c>
      <c r="YK8" s="22">
        <v>4650</v>
      </c>
      <c r="YL8" s="127">
        <v>4550</v>
      </c>
      <c r="YM8" s="22">
        <v>4650</v>
      </c>
      <c r="YN8" s="22">
        <v>4650</v>
      </c>
      <c r="YO8" s="22">
        <v>4650</v>
      </c>
      <c r="YP8" s="22">
        <v>4650</v>
      </c>
      <c r="YQ8" s="22">
        <v>4650</v>
      </c>
      <c r="YR8" s="22">
        <v>4650</v>
      </c>
      <c r="YS8" s="22">
        <v>4650</v>
      </c>
      <c r="YT8" s="22">
        <v>4650</v>
      </c>
      <c r="YU8" s="22">
        <v>4650</v>
      </c>
      <c r="YV8" s="22">
        <v>4650</v>
      </c>
      <c r="YW8" s="22">
        <v>4650</v>
      </c>
      <c r="YX8" s="22">
        <v>4650</v>
      </c>
      <c r="YY8" s="22">
        <v>4650</v>
      </c>
      <c r="YZ8" s="22">
        <v>4650</v>
      </c>
      <c r="ZA8" s="22">
        <v>4650</v>
      </c>
      <c r="ZB8" s="22">
        <v>4650</v>
      </c>
      <c r="ZC8" s="22">
        <v>4650</v>
      </c>
      <c r="ZD8" s="22">
        <v>4650</v>
      </c>
      <c r="ZE8" s="22">
        <v>4650</v>
      </c>
      <c r="ZF8" s="22">
        <v>4650</v>
      </c>
      <c r="ZG8" s="22">
        <v>4650</v>
      </c>
      <c r="ZH8" s="22">
        <v>4650</v>
      </c>
      <c r="ZI8" s="22">
        <v>4650</v>
      </c>
      <c r="ZJ8" s="22">
        <v>4650</v>
      </c>
      <c r="ZK8" s="22">
        <v>4650</v>
      </c>
      <c r="ZL8" s="22">
        <v>4650</v>
      </c>
      <c r="ZM8" s="22">
        <v>4650</v>
      </c>
      <c r="ZN8" s="22">
        <v>4650</v>
      </c>
      <c r="ZO8" s="22">
        <v>4650</v>
      </c>
      <c r="ZP8" s="22">
        <v>4650</v>
      </c>
      <c r="ZQ8" s="22">
        <v>4650</v>
      </c>
      <c r="ZR8" s="127">
        <v>4550</v>
      </c>
      <c r="ZS8" s="22">
        <v>4650</v>
      </c>
      <c r="ZT8" s="22">
        <v>4650</v>
      </c>
      <c r="ZU8" s="22">
        <v>4650</v>
      </c>
      <c r="ZV8" s="22">
        <v>4650</v>
      </c>
      <c r="ZW8" s="22">
        <v>4650</v>
      </c>
      <c r="ZX8" s="22">
        <v>4650</v>
      </c>
      <c r="ZY8" s="22">
        <v>4650</v>
      </c>
      <c r="ZZ8" s="22">
        <v>4650</v>
      </c>
      <c r="AAA8" s="22">
        <v>4650</v>
      </c>
      <c r="AAB8" s="22">
        <v>4650</v>
      </c>
      <c r="AAC8" s="22">
        <v>4650</v>
      </c>
      <c r="AAD8" s="22">
        <v>4650</v>
      </c>
      <c r="AAE8" s="22">
        <v>4650</v>
      </c>
      <c r="AAF8" s="22">
        <v>4650</v>
      </c>
      <c r="AAG8" s="22">
        <v>4650</v>
      </c>
      <c r="AAH8" s="22">
        <v>4650</v>
      </c>
      <c r="AAI8" s="22">
        <v>4650</v>
      </c>
      <c r="AAJ8" s="22">
        <v>4650</v>
      </c>
      <c r="AAK8" s="22">
        <v>4650</v>
      </c>
      <c r="AAL8" s="22">
        <v>4650</v>
      </c>
      <c r="AAM8" s="22">
        <v>4650</v>
      </c>
      <c r="AAN8" s="22">
        <v>4650</v>
      </c>
      <c r="AAO8" s="22">
        <v>4650</v>
      </c>
      <c r="AAP8" s="22">
        <v>4650</v>
      </c>
      <c r="AAQ8" s="22">
        <v>4650</v>
      </c>
      <c r="AAR8" s="22">
        <v>4650</v>
      </c>
      <c r="AAS8" s="22">
        <v>4650</v>
      </c>
      <c r="AAT8" s="22">
        <v>4650</v>
      </c>
      <c r="AAU8" s="22">
        <v>4650</v>
      </c>
      <c r="AAV8" s="22">
        <v>4650</v>
      </c>
      <c r="AAW8" s="127">
        <v>4550</v>
      </c>
      <c r="AAX8" s="22">
        <v>4650</v>
      </c>
      <c r="AAY8" s="22">
        <v>4650</v>
      </c>
      <c r="AAZ8" s="22">
        <v>4650</v>
      </c>
      <c r="ABA8" s="22">
        <v>4650</v>
      </c>
      <c r="ABB8" s="22">
        <v>4650</v>
      </c>
      <c r="ABC8" s="22">
        <v>4650</v>
      </c>
      <c r="ABD8" s="22">
        <v>4650</v>
      </c>
      <c r="ABE8" s="22">
        <v>4650</v>
      </c>
      <c r="ABF8" s="22">
        <v>4650</v>
      </c>
      <c r="ABG8" s="22">
        <v>4650</v>
      </c>
      <c r="ABH8" s="22">
        <v>4650</v>
      </c>
      <c r="ABI8" s="22">
        <v>4650</v>
      </c>
      <c r="ABJ8" s="22">
        <v>4650</v>
      </c>
      <c r="ABK8" s="22">
        <v>4650</v>
      </c>
      <c r="ABL8" s="22">
        <v>4650</v>
      </c>
      <c r="ABM8" s="22">
        <v>4650</v>
      </c>
      <c r="ABN8" s="22">
        <v>4650</v>
      </c>
      <c r="ABO8" s="22">
        <v>4650</v>
      </c>
      <c r="ABP8" s="22">
        <v>4650</v>
      </c>
      <c r="ABQ8" s="22">
        <v>4650</v>
      </c>
      <c r="ABR8" s="22">
        <v>4650</v>
      </c>
      <c r="ABS8" s="22">
        <v>4650</v>
      </c>
      <c r="ABT8" s="22">
        <v>4650</v>
      </c>
      <c r="ABU8" s="22">
        <v>4650</v>
      </c>
      <c r="ABV8" s="22">
        <v>4650</v>
      </c>
      <c r="ABW8" s="22">
        <v>4650</v>
      </c>
      <c r="ABX8" s="22">
        <v>4650</v>
      </c>
      <c r="ABY8" s="22">
        <v>4650</v>
      </c>
      <c r="ABZ8" s="22">
        <v>4650</v>
      </c>
      <c r="ACA8" s="22">
        <v>4650</v>
      </c>
      <c r="ACB8" s="22">
        <v>4650</v>
      </c>
      <c r="ACC8" s="127">
        <v>4550</v>
      </c>
      <c r="ACD8" s="22">
        <v>4650</v>
      </c>
      <c r="ACE8" s="22">
        <v>4650</v>
      </c>
      <c r="ACF8" s="22">
        <v>4650</v>
      </c>
      <c r="ACG8" s="22">
        <v>4650</v>
      </c>
      <c r="ACH8" s="22">
        <v>4650</v>
      </c>
      <c r="ACI8" s="22">
        <v>4650</v>
      </c>
      <c r="ACJ8" s="22">
        <v>4650</v>
      </c>
      <c r="ACK8" s="22">
        <v>4650</v>
      </c>
      <c r="ACL8" s="22">
        <v>4650</v>
      </c>
      <c r="ACM8" s="22">
        <v>4650</v>
      </c>
      <c r="ACN8" s="22">
        <v>4650</v>
      </c>
      <c r="ACO8" s="22">
        <v>4650</v>
      </c>
      <c r="ACP8" s="22">
        <v>4650</v>
      </c>
      <c r="ACQ8" s="22">
        <v>4650</v>
      </c>
      <c r="ACR8" s="22">
        <v>4650</v>
      </c>
      <c r="ACS8" s="22">
        <v>4650</v>
      </c>
      <c r="ACT8" s="22">
        <v>4650</v>
      </c>
      <c r="ACU8" s="22">
        <v>4650</v>
      </c>
      <c r="ACV8" s="22">
        <v>4650</v>
      </c>
      <c r="ACW8" s="22">
        <v>4650</v>
      </c>
      <c r="ACX8" s="22">
        <v>4650</v>
      </c>
      <c r="ACY8" s="22">
        <v>4650</v>
      </c>
      <c r="ACZ8" s="22">
        <v>4650</v>
      </c>
      <c r="ADA8" s="22">
        <v>4650</v>
      </c>
      <c r="ADB8" s="22">
        <v>4650</v>
      </c>
      <c r="ADC8" s="22">
        <v>4650</v>
      </c>
      <c r="ADD8" s="22">
        <v>4650</v>
      </c>
      <c r="ADE8" s="22">
        <v>4650</v>
      </c>
      <c r="ADF8" s="22">
        <v>4650</v>
      </c>
      <c r="ADG8" s="22">
        <v>4650</v>
      </c>
      <c r="ADH8" s="22">
        <v>4650</v>
      </c>
      <c r="ADI8" s="127">
        <v>4550</v>
      </c>
      <c r="ADJ8" s="22">
        <v>4650</v>
      </c>
      <c r="ADK8" s="22">
        <v>4650</v>
      </c>
      <c r="ADL8" s="22">
        <v>4650</v>
      </c>
      <c r="ADM8" s="22">
        <v>4650</v>
      </c>
      <c r="ADN8" s="22">
        <v>4650</v>
      </c>
      <c r="ADO8" s="22">
        <v>4650</v>
      </c>
      <c r="ADP8" s="22">
        <v>4650</v>
      </c>
      <c r="ADQ8" s="22">
        <v>4650</v>
      </c>
      <c r="ADR8" s="22">
        <v>4650</v>
      </c>
      <c r="ADS8" s="22">
        <v>4650</v>
      </c>
      <c r="ADT8" s="22">
        <v>4650</v>
      </c>
      <c r="ADU8" s="22">
        <v>4650</v>
      </c>
      <c r="ADV8" s="22">
        <v>4650</v>
      </c>
      <c r="ADW8" s="22">
        <v>4650</v>
      </c>
      <c r="ADX8" s="22">
        <v>4650</v>
      </c>
      <c r="ADY8" s="22">
        <v>4650</v>
      </c>
      <c r="ADZ8" s="22">
        <v>4650</v>
      </c>
      <c r="AEA8" s="22">
        <v>4650</v>
      </c>
      <c r="AEB8" s="22">
        <v>4650</v>
      </c>
      <c r="AEC8" s="22">
        <v>4650</v>
      </c>
      <c r="AED8" s="22">
        <v>4650</v>
      </c>
      <c r="AEE8" s="22">
        <v>4650</v>
      </c>
      <c r="AEF8" s="22">
        <v>4650</v>
      </c>
      <c r="AEG8" s="22">
        <v>4650</v>
      </c>
      <c r="AEH8" s="22">
        <v>4650</v>
      </c>
      <c r="AEI8" s="22">
        <v>4650</v>
      </c>
      <c r="AEJ8" s="22">
        <v>4650</v>
      </c>
      <c r="AEK8" s="22">
        <v>4650</v>
      </c>
      <c r="AEL8" s="22">
        <v>4650</v>
      </c>
      <c r="AEM8" s="22">
        <v>4650</v>
      </c>
      <c r="AEN8" s="127">
        <v>4550</v>
      </c>
      <c r="AEO8" s="22">
        <v>4650</v>
      </c>
      <c r="AEP8" s="22">
        <v>4650</v>
      </c>
      <c r="AEQ8" s="22">
        <v>4650</v>
      </c>
      <c r="AER8" s="22">
        <v>4650</v>
      </c>
      <c r="AES8" s="22">
        <v>4650</v>
      </c>
      <c r="AET8" s="22">
        <v>4650</v>
      </c>
      <c r="AEU8" s="22">
        <v>4650</v>
      </c>
      <c r="AEV8" s="22">
        <v>4650</v>
      </c>
      <c r="AEW8" s="22">
        <v>4650</v>
      </c>
      <c r="AEX8" s="22">
        <v>4650</v>
      </c>
      <c r="AEY8" s="22">
        <v>4650</v>
      </c>
      <c r="AEZ8" s="22">
        <v>4650</v>
      </c>
      <c r="AFA8" s="22">
        <v>4650</v>
      </c>
      <c r="AFB8" s="22">
        <v>4650</v>
      </c>
      <c r="AFC8" s="22">
        <v>4650</v>
      </c>
      <c r="AFD8" s="22">
        <v>4650</v>
      </c>
      <c r="AFE8" s="22">
        <v>4650</v>
      </c>
      <c r="AFF8" s="22">
        <v>4650</v>
      </c>
      <c r="AFG8" s="22">
        <v>4650</v>
      </c>
      <c r="AFH8" s="22">
        <v>4650</v>
      </c>
      <c r="AFI8" s="22">
        <v>4650</v>
      </c>
      <c r="AFJ8" s="22">
        <v>4650</v>
      </c>
      <c r="AFK8" s="22">
        <v>4650</v>
      </c>
      <c r="AFL8" s="22">
        <v>4650</v>
      </c>
      <c r="AFM8" s="22">
        <v>4650</v>
      </c>
      <c r="AFN8" s="22">
        <v>4650</v>
      </c>
      <c r="AFO8" s="22">
        <v>4650</v>
      </c>
      <c r="AFP8" s="22">
        <v>4650</v>
      </c>
      <c r="AFQ8" s="22">
        <v>4650</v>
      </c>
      <c r="AFR8" s="22">
        <v>4650</v>
      </c>
      <c r="AFS8" s="22">
        <v>4650</v>
      </c>
      <c r="AFT8" s="127">
        <v>4550</v>
      </c>
      <c r="AFU8" s="22">
        <v>4650</v>
      </c>
      <c r="AFV8" s="22">
        <v>4650</v>
      </c>
      <c r="AFW8" s="22">
        <v>4650</v>
      </c>
      <c r="AFX8" s="22">
        <v>4650</v>
      </c>
      <c r="AFY8" s="22">
        <v>4650</v>
      </c>
      <c r="AFZ8" s="22">
        <v>4650</v>
      </c>
      <c r="AGA8" s="22">
        <v>4650</v>
      </c>
      <c r="AGB8" s="22">
        <v>4650</v>
      </c>
      <c r="AGC8" s="22">
        <v>4650</v>
      </c>
      <c r="AGD8" s="22">
        <v>4650</v>
      </c>
      <c r="AGE8" s="22">
        <v>4650</v>
      </c>
      <c r="AGF8" s="22">
        <v>4650</v>
      </c>
      <c r="AGG8" s="22">
        <v>4650</v>
      </c>
      <c r="AGH8" s="22">
        <v>4650</v>
      </c>
      <c r="AGI8" s="22">
        <v>4650</v>
      </c>
      <c r="AGJ8" s="22">
        <v>4650</v>
      </c>
      <c r="AGK8" s="22">
        <v>4650</v>
      </c>
      <c r="AGL8" s="22">
        <v>4650</v>
      </c>
      <c r="AGM8" s="22">
        <v>4650</v>
      </c>
      <c r="AGN8" s="22">
        <v>4650</v>
      </c>
      <c r="AGO8" s="22">
        <v>4650</v>
      </c>
      <c r="AGP8" s="22">
        <v>4549</v>
      </c>
      <c r="AGQ8" s="22">
        <v>4549</v>
      </c>
      <c r="AGR8" s="22">
        <v>4549</v>
      </c>
      <c r="AGS8" s="22">
        <v>4549</v>
      </c>
      <c r="AGT8" s="22">
        <v>4549</v>
      </c>
      <c r="AGU8" s="22">
        <v>4549</v>
      </c>
      <c r="AGV8" s="22">
        <v>4549</v>
      </c>
      <c r="AGW8" s="22">
        <v>4549</v>
      </c>
      <c r="AGX8" s="22">
        <v>4549</v>
      </c>
      <c r="AGY8" s="127">
        <v>4549</v>
      </c>
      <c r="AGZ8" s="22">
        <v>4549</v>
      </c>
      <c r="AHA8" s="22">
        <v>4549</v>
      </c>
      <c r="AHB8" s="22">
        <v>4549</v>
      </c>
      <c r="AHC8" s="22">
        <v>4589</v>
      </c>
      <c r="AHD8" s="22">
        <v>4589</v>
      </c>
      <c r="AHE8" s="22">
        <v>4589</v>
      </c>
      <c r="AHF8" s="22">
        <v>4589</v>
      </c>
      <c r="AHG8" s="22">
        <v>4589</v>
      </c>
      <c r="AHH8" s="22">
        <v>4589</v>
      </c>
      <c r="AHI8" s="22">
        <v>4589</v>
      </c>
      <c r="AHJ8" s="22">
        <v>4589</v>
      </c>
      <c r="AHK8" s="22">
        <v>4589</v>
      </c>
      <c r="AHL8" s="22">
        <v>4589</v>
      </c>
      <c r="AHM8" s="22">
        <v>4589</v>
      </c>
      <c r="AHN8" s="22">
        <v>4589</v>
      </c>
      <c r="AHO8" s="22">
        <v>4589</v>
      </c>
      <c r="AHP8" s="22">
        <v>4589</v>
      </c>
      <c r="AHQ8" s="22">
        <v>4589</v>
      </c>
      <c r="AHR8" s="22">
        <v>4589</v>
      </c>
      <c r="AHS8" s="22">
        <v>4589</v>
      </c>
      <c r="AHT8" s="22">
        <v>4589</v>
      </c>
      <c r="AHU8" s="22">
        <v>4589</v>
      </c>
      <c r="AHV8" s="22">
        <v>4589</v>
      </c>
      <c r="AHW8" s="22">
        <v>4589</v>
      </c>
      <c r="AHX8" s="22">
        <v>4589</v>
      </c>
      <c r="AHY8" s="22">
        <v>4589</v>
      </c>
      <c r="AHZ8" s="22">
        <v>4589</v>
      </c>
      <c r="AIA8" s="22">
        <v>4589</v>
      </c>
      <c r="AIB8" s="22">
        <v>4589</v>
      </c>
      <c r="AIC8" s="22">
        <v>4589</v>
      </c>
      <c r="AID8" s="22">
        <v>4589</v>
      </c>
      <c r="AIE8" s="127">
        <v>4549</v>
      </c>
      <c r="AIF8" s="22">
        <v>4589</v>
      </c>
      <c r="AIG8" s="22">
        <v>4589</v>
      </c>
      <c r="AIH8" s="22">
        <v>4589</v>
      </c>
      <c r="AII8" s="22">
        <v>4589</v>
      </c>
      <c r="AIJ8" s="22">
        <v>4589</v>
      </c>
      <c r="AIK8" s="22">
        <v>4589</v>
      </c>
      <c r="AIL8" s="22">
        <v>4589</v>
      </c>
      <c r="AIM8" s="22">
        <v>4589</v>
      </c>
      <c r="AIN8" s="22">
        <v>4589</v>
      </c>
      <c r="AIO8" s="22">
        <v>4589</v>
      </c>
      <c r="AIP8" s="22">
        <v>4589</v>
      </c>
      <c r="AIQ8" s="22">
        <v>4589</v>
      </c>
      <c r="AIR8" s="22">
        <v>4589</v>
      </c>
      <c r="AIS8" s="22">
        <v>4599</v>
      </c>
      <c r="AIT8" s="22">
        <v>4599</v>
      </c>
      <c r="AIU8" s="22">
        <v>4599</v>
      </c>
      <c r="AIV8" s="22">
        <v>4599</v>
      </c>
      <c r="AIW8" s="22">
        <v>4599</v>
      </c>
      <c r="AIX8" s="22">
        <v>4599</v>
      </c>
      <c r="AIY8" s="22">
        <v>4599</v>
      </c>
      <c r="AIZ8" s="22">
        <v>4599</v>
      </c>
      <c r="AJA8" s="22">
        <v>4599</v>
      </c>
      <c r="AJB8" s="22">
        <v>4599</v>
      </c>
      <c r="AJC8" s="22">
        <v>4599</v>
      </c>
      <c r="AJD8" s="22">
        <v>4599</v>
      </c>
      <c r="AJE8" s="22">
        <v>4599</v>
      </c>
      <c r="AJF8" s="22">
        <v>4599</v>
      </c>
      <c r="AJG8" s="22">
        <v>4599</v>
      </c>
      <c r="AJH8" s="22">
        <v>4599</v>
      </c>
      <c r="AJI8" s="22">
        <v>4599</v>
      </c>
      <c r="AJJ8" s="22">
        <v>4599</v>
      </c>
      <c r="AJK8" s="127">
        <v>4599</v>
      </c>
      <c r="AJL8" s="22">
        <v>4599</v>
      </c>
      <c r="AJM8" s="22">
        <v>4599</v>
      </c>
      <c r="AJN8" s="22">
        <v>4599</v>
      </c>
      <c r="AJO8" s="22">
        <v>4599</v>
      </c>
      <c r="AJP8" s="22">
        <v>4599</v>
      </c>
      <c r="AJQ8" s="22">
        <v>4599</v>
      </c>
      <c r="AJR8" s="22">
        <v>4599</v>
      </c>
      <c r="AJS8" s="22">
        <v>4599</v>
      </c>
      <c r="AJT8" s="22">
        <v>4599</v>
      </c>
      <c r="AJU8" s="22">
        <v>4599</v>
      </c>
      <c r="AJV8" s="22">
        <v>4599</v>
      </c>
      <c r="AJW8" s="22">
        <v>4599</v>
      </c>
      <c r="AJX8" s="22">
        <v>4599</v>
      </c>
      <c r="AJY8" s="22">
        <v>4599</v>
      </c>
      <c r="AJZ8" s="22">
        <v>4599</v>
      </c>
      <c r="AKA8" s="22">
        <v>4599</v>
      </c>
      <c r="AKB8" s="22">
        <v>4599</v>
      </c>
      <c r="AKC8" s="22">
        <v>4599</v>
      </c>
      <c r="AKD8" s="22">
        <v>4599</v>
      </c>
      <c r="AKE8" s="22">
        <v>4599</v>
      </c>
      <c r="AKF8" s="22">
        <v>4599</v>
      </c>
      <c r="AKG8" s="22">
        <v>4599</v>
      </c>
      <c r="AKH8" s="22">
        <v>4599</v>
      </c>
      <c r="AKI8" s="22">
        <v>4599</v>
      </c>
      <c r="AKJ8" s="22">
        <v>4599</v>
      </c>
      <c r="AKK8" s="22">
        <v>4599</v>
      </c>
      <c r="AKL8" s="22">
        <v>4599</v>
      </c>
      <c r="AKM8" s="22">
        <v>4599</v>
      </c>
      <c r="AKN8" s="127">
        <f t="shared" si="11"/>
        <v>128772</v>
      </c>
      <c r="AKO8" s="22">
        <v>4599</v>
      </c>
      <c r="AKP8" s="22">
        <v>4599</v>
      </c>
      <c r="AKQ8" s="22">
        <v>4599</v>
      </c>
      <c r="AKR8" s="22">
        <v>4599</v>
      </c>
      <c r="AKS8" s="22">
        <v>4599</v>
      </c>
      <c r="AKT8" s="22">
        <v>4599</v>
      </c>
      <c r="AKU8" s="22">
        <v>4599</v>
      </c>
      <c r="AKV8" s="22">
        <v>4599</v>
      </c>
      <c r="AKW8" s="22">
        <v>4599</v>
      </c>
      <c r="AKX8" s="22">
        <v>4599</v>
      </c>
      <c r="AKY8" s="22">
        <v>4649</v>
      </c>
      <c r="AKZ8" s="22">
        <v>4649</v>
      </c>
      <c r="ALA8" s="22">
        <v>4649</v>
      </c>
      <c r="ALB8" s="22">
        <v>4649</v>
      </c>
      <c r="ALC8" s="22">
        <v>4649</v>
      </c>
      <c r="ALD8" s="22">
        <v>4649</v>
      </c>
      <c r="ALE8" s="22">
        <v>4649</v>
      </c>
      <c r="ALF8" s="22">
        <v>4699</v>
      </c>
      <c r="ALG8" s="22">
        <v>4699</v>
      </c>
      <c r="ALH8" s="22">
        <v>4699</v>
      </c>
      <c r="ALI8" s="22">
        <v>4699</v>
      </c>
      <c r="ALJ8" s="22">
        <v>4699</v>
      </c>
      <c r="ALK8" s="22">
        <v>4699</v>
      </c>
      <c r="ALL8" s="22">
        <v>5000</v>
      </c>
      <c r="ALM8" s="22">
        <v>5000</v>
      </c>
      <c r="ALN8" s="22">
        <v>5000</v>
      </c>
      <c r="ALO8" s="22">
        <v>5000</v>
      </c>
      <c r="ALP8" s="22">
        <v>5000</v>
      </c>
      <c r="ALQ8" s="22">
        <v>5000</v>
      </c>
      <c r="ALR8" s="22">
        <v>5000</v>
      </c>
      <c r="ALS8" s="22">
        <v>5049</v>
      </c>
      <c r="ALT8" s="127">
        <f t="shared" si="12"/>
        <v>146776</v>
      </c>
      <c r="ALU8" s="22">
        <v>5049</v>
      </c>
      <c r="ALV8" s="22">
        <v>5049</v>
      </c>
      <c r="ALW8" s="22">
        <v>5149</v>
      </c>
      <c r="ALX8" s="22">
        <v>5149</v>
      </c>
      <c r="ALY8" s="22">
        <v>5149</v>
      </c>
      <c r="ALZ8" s="22">
        <v>5149</v>
      </c>
      <c r="AMA8" s="22">
        <v>5149</v>
      </c>
      <c r="AMB8" s="22">
        <v>5149</v>
      </c>
      <c r="AMC8" s="22">
        <v>5149</v>
      </c>
      <c r="AMD8" s="22">
        <v>5149</v>
      </c>
      <c r="AME8" s="22">
        <v>5149</v>
      </c>
      <c r="AMF8" s="22">
        <v>5149</v>
      </c>
      <c r="AMG8" s="22">
        <v>5149</v>
      </c>
      <c r="AMH8" s="22">
        <v>5149</v>
      </c>
      <c r="AMI8" s="22">
        <v>5199</v>
      </c>
      <c r="AMJ8" s="22">
        <v>5199</v>
      </c>
      <c r="AMK8" s="22">
        <v>5249</v>
      </c>
      <c r="AML8" s="22">
        <v>5249</v>
      </c>
      <c r="AMM8" s="22">
        <v>5249</v>
      </c>
      <c r="AMN8" s="22">
        <v>5249</v>
      </c>
      <c r="AMO8" s="22">
        <v>5249</v>
      </c>
      <c r="AMP8" s="22">
        <v>5249</v>
      </c>
      <c r="AMQ8" s="22">
        <v>5249</v>
      </c>
      <c r="AMR8" s="22">
        <v>5249</v>
      </c>
      <c r="AMS8" s="22">
        <v>5249</v>
      </c>
      <c r="AMT8" s="22">
        <v>5249</v>
      </c>
      <c r="AMU8" s="22">
        <v>5249</v>
      </c>
      <c r="AMV8" s="22">
        <v>5249</v>
      </c>
      <c r="AMW8" s="22">
        <v>5329</v>
      </c>
      <c r="AMX8" s="22">
        <v>5329</v>
      </c>
      <c r="AMY8" s="127">
        <f t="shared" si="13"/>
        <v>155930</v>
      </c>
      <c r="AMZ8" s="22">
        <v>5629</v>
      </c>
      <c r="ANA8" s="22">
        <v>5629</v>
      </c>
      <c r="ANB8" s="22">
        <v>5629</v>
      </c>
      <c r="ANC8" s="22">
        <v>5629</v>
      </c>
      <c r="AND8" s="22">
        <v>5629</v>
      </c>
      <c r="ANE8" s="22">
        <v>5629</v>
      </c>
      <c r="ANF8" s="22">
        <v>5629</v>
      </c>
      <c r="ANG8" s="22">
        <v>5629</v>
      </c>
      <c r="ANH8" s="22">
        <v>5629</v>
      </c>
      <c r="ANI8" s="22">
        <v>5629</v>
      </c>
      <c r="ANJ8" s="22">
        <v>5629</v>
      </c>
      <c r="ANK8" s="22">
        <v>5629</v>
      </c>
      <c r="ANL8" s="22">
        <v>5629</v>
      </c>
      <c r="ANM8" s="22">
        <v>5629</v>
      </c>
      <c r="ANN8" s="22">
        <v>5629</v>
      </c>
      <c r="ANO8" s="22">
        <v>5629</v>
      </c>
      <c r="ANP8" s="22">
        <v>5900</v>
      </c>
      <c r="ANQ8" s="22">
        <v>5900</v>
      </c>
      <c r="ANR8" s="22">
        <v>5900</v>
      </c>
      <c r="ANS8" s="22">
        <v>5900</v>
      </c>
      <c r="ANT8" s="22">
        <v>5900</v>
      </c>
      <c r="ANU8" s="22">
        <v>5900</v>
      </c>
      <c r="ANV8" s="22">
        <v>6449</v>
      </c>
      <c r="ANW8" s="22">
        <v>6449</v>
      </c>
      <c r="ANX8" s="22">
        <v>6449</v>
      </c>
      <c r="ANY8" s="22">
        <v>6449</v>
      </c>
      <c r="ANZ8" s="22">
        <v>6449</v>
      </c>
      <c r="AOA8" s="22">
        <v>6449</v>
      </c>
      <c r="AOB8" s="22">
        <v>6490</v>
      </c>
      <c r="AOC8" s="22">
        <v>6490</v>
      </c>
    </row>
    <row r="9" spans="1:1071" x14ac:dyDescent="0.2">
      <c r="A9" s="160"/>
      <c r="B9" s="5" t="s">
        <v>1509</v>
      </c>
      <c r="C9" s="33">
        <f t="shared" ref="C9:AG9" si="49">C8*C7</f>
        <v>5619298.3199998308</v>
      </c>
      <c r="D9" s="33">
        <f t="shared" si="49"/>
        <v>4606524.0000002943</v>
      </c>
      <c r="E9" s="33">
        <f t="shared" si="49"/>
        <v>3195764.5499998452</v>
      </c>
      <c r="F9" s="33">
        <f t="shared" si="49"/>
        <v>4781067.9300000351</v>
      </c>
      <c r="G9" s="33">
        <f t="shared" si="49"/>
        <v>6290608.7699998524</v>
      </c>
      <c r="H9" s="33">
        <f t="shared" si="49"/>
        <v>3773888.8200001516</v>
      </c>
      <c r="I9" s="33">
        <f t="shared" si="49"/>
        <v>4918671.5399999991</v>
      </c>
      <c r="J9" s="33">
        <f t="shared" si="49"/>
        <v>4468729.0499999654</v>
      </c>
      <c r="K9" s="33">
        <f t="shared" si="49"/>
        <v>4017939.4500001539</v>
      </c>
      <c r="L9" s="33">
        <f t="shared" si="49"/>
        <v>4253689.7999999868</v>
      </c>
      <c r="M9" s="33">
        <f t="shared" si="49"/>
        <v>4608377.8499998599</v>
      </c>
      <c r="N9" s="33">
        <f t="shared" si="49"/>
        <v>3193964.100000185</v>
      </c>
      <c r="O9" s="33">
        <f t="shared" si="49"/>
        <v>3363912.2999998247</v>
      </c>
      <c r="P9" s="33">
        <f t="shared" si="49"/>
        <v>3936043.6499999124</v>
      </c>
      <c r="Q9" s="33">
        <f t="shared" si="49"/>
        <v>3912007.8000000734</v>
      </c>
      <c r="R9" s="33">
        <f t="shared" si="49"/>
        <v>3231317.5500003011</v>
      </c>
      <c r="S9" s="33">
        <f t="shared" si="49"/>
        <v>5995040.3999997014</v>
      </c>
      <c r="T9" s="33">
        <f t="shared" si="49"/>
        <v>3481157.3999999934</v>
      </c>
      <c r="U9" s="33">
        <f t="shared" si="49"/>
        <v>3144948.4500001972</v>
      </c>
      <c r="V9" s="33">
        <f t="shared" si="49"/>
        <v>3973801.6499996199</v>
      </c>
      <c r="W9" s="33">
        <f t="shared" si="49"/>
        <v>4385903.2500002114</v>
      </c>
      <c r="X9" s="33">
        <f t="shared" si="49"/>
        <v>4227691.6500000535</v>
      </c>
      <c r="Y9" s="33">
        <f t="shared" si="49"/>
        <v>4349530.9500001427</v>
      </c>
      <c r="Z9" s="33">
        <f t="shared" si="49"/>
        <v>3909864.1499996199</v>
      </c>
      <c r="AA9" s="33">
        <f t="shared" si="49"/>
        <v>5317740.000000298</v>
      </c>
      <c r="AB9" s="33">
        <f t="shared" si="49"/>
        <v>4812912.7499998808</v>
      </c>
      <c r="AC9" s="33">
        <f t="shared" si="49"/>
        <v>4118760.7500001569</v>
      </c>
      <c r="AD9" s="33">
        <f t="shared" si="49"/>
        <v>3928696.6499998365</v>
      </c>
      <c r="AE9" s="33">
        <f t="shared" si="49"/>
        <v>6282892.8399998574</v>
      </c>
      <c r="AF9" s="33">
        <f t="shared" si="49"/>
        <v>6006412.650000399</v>
      </c>
      <c r="AG9" s="33">
        <f t="shared" si="49"/>
        <v>5545221.499999891</v>
      </c>
      <c r="AH9" s="94">
        <f>SUM(C9:AG9)</f>
        <v>137652380.52000013</v>
      </c>
      <c r="AI9" s="33">
        <f t="shared" ref="AI9:BL9" si="50">AI8*AI7</f>
        <v>5092326.9599997932</v>
      </c>
      <c r="AJ9" s="33">
        <f t="shared" si="50"/>
        <v>6530416.9700000025</v>
      </c>
      <c r="AK9" s="33">
        <f t="shared" si="50"/>
        <v>5869084.7600001814</v>
      </c>
      <c r="AL9" s="33">
        <f t="shared" si="50"/>
        <v>6993774.8999999622</v>
      </c>
      <c r="AM9" s="33">
        <f t="shared" si="50"/>
        <v>7298019.8899998898</v>
      </c>
      <c r="AN9" s="33">
        <f t="shared" si="50"/>
        <v>8754893.3500001207</v>
      </c>
      <c r="AO9" s="33">
        <f t="shared" si="50"/>
        <v>7716377.2700001169</v>
      </c>
      <c r="AP9" s="33">
        <f t="shared" si="50"/>
        <v>9240674.1699998882</v>
      </c>
      <c r="AQ9" s="33">
        <f t="shared" si="50"/>
        <v>5227601.6000001403</v>
      </c>
      <c r="AR9" s="33">
        <f t="shared" si="50"/>
        <v>6029418.1499997359</v>
      </c>
      <c r="AS9" s="33">
        <f t="shared" si="50"/>
        <v>6284552.4000000693</v>
      </c>
      <c r="AT9" s="33">
        <f t="shared" si="50"/>
        <v>5591409.8000000808</v>
      </c>
      <c r="AU9" s="33">
        <f t="shared" si="50"/>
        <v>4532771.2000000207</v>
      </c>
      <c r="AV9" s="33">
        <f t="shared" si="50"/>
        <v>4503310.6999998828</v>
      </c>
      <c r="AW9" s="33">
        <f t="shared" si="50"/>
        <v>5199933.9000000507</v>
      </c>
      <c r="AX9" s="33">
        <f t="shared" si="50"/>
        <v>4832654.4000001131</v>
      </c>
      <c r="AY9" s="33">
        <f t="shared" si="50"/>
        <v>4639780.5999997156</v>
      </c>
      <c r="AZ9" s="33">
        <f t="shared" si="50"/>
        <v>5513362.3999999175</v>
      </c>
      <c r="BA9" s="33">
        <f t="shared" si="50"/>
        <v>5090722.700000043</v>
      </c>
      <c r="BB9" s="33">
        <f t="shared" si="50"/>
        <v>3903379.200000179</v>
      </c>
      <c r="BC9" s="33">
        <f t="shared" si="50"/>
        <v>4866141.0000001257</v>
      </c>
      <c r="BD9" s="33">
        <f t="shared" si="50"/>
        <v>5859400.4000000106</v>
      </c>
      <c r="BE9" s="33">
        <f t="shared" si="50"/>
        <v>6396303.1999999397</v>
      </c>
      <c r="BF9" s="33">
        <f t="shared" si="50"/>
        <v>4754327.8999998961</v>
      </c>
      <c r="BG9" s="33">
        <f t="shared" si="50"/>
        <v>4849740.7000000821</v>
      </c>
      <c r="BH9" s="33">
        <f t="shared" si="50"/>
        <v>5298786.4999999031</v>
      </c>
      <c r="BI9" s="33">
        <f t="shared" si="50"/>
        <v>5401867.8000001004</v>
      </c>
      <c r="BJ9" s="33">
        <f t="shared" si="50"/>
        <v>5671160.5500002084</v>
      </c>
      <c r="BK9" s="33">
        <f t="shared" si="50"/>
        <v>5897375.5499996897</v>
      </c>
      <c r="BL9" s="33">
        <f t="shared" si="50"/>
        <v>4335180.3000001162</v>
      </c>
      <c r="BM9" s="97">
        <f t="shared" si="9"/>
        <v>172174749.21999997</v>
      </c>
      <c r="BN9" s="33">
        <f t="shared" ref="BN9:CR9" si="51">BN8*BN7</f>
        <v>4003569.8999999803</v>
      </c>
      <c r="BO9" s="33">
        <f t="shared" si="51"/>
        <v>4466295.8999998886</v>
      </c>
      <c r="BP9" s="33">
        <f t="shared" si="51"/>
        <v>5805508.5000002244</v>
      </c>
      <c r="BQ9" s="33">
        <f t="shared" si="51"/>
        <v>4867458.7500000577</v>
      </c>
      <c r="BR9" s="33">
        <f t="shared" si="51"/>
        <v>7739854.6499996576</v>
      </c>
      <c r="BS9" s="33">
        <f t="shared" si="51"/>
        <v>6253508.2500002477</v>
      </c>
      <c r="BT9" s="33">
        <f t="shared" si="51"/>
        <v>5221982.6999996938</v>
      </c>
      <c r="BU9" s="33">
        <f t="shared" si="51"/>
        <v>3850431.750000386</v>
      </c>
      <c r="BV9" s="33">
        <f t="shared" si="51"/>
        <v>6535148.3999995133</v>
      </c>
      <c r="BW9" s="33">
        <f t="shared" si="51"/>
        <v>5104821.1500004418</v>
      </c>
      <c r="BX9" s="33">
        <f t="shared" si="51"/>
        <v>4953103.6500000376</v>
      </c>
      <c r="BY9" s="33">
        <f t="shared" si="51"/>
        <v>4326681.1499999519</v>
      </c>
      <c r="BZ9" s="33">
        <f t="shared" si="51"/>
        <v>5637574.799999903</v>
      </c>
      <c r="CA9" s="33">
        <f t="shared" si="51"/>
        <v>5086412.1000000946</v>
      </c>
      <c r="CB9" s="33">
        <f t="shared" si="51"/>
        <v>3813950.2499999767</v>
      </c>
      <c r="CC9" s="33">
        <f t="shared" si="51"/>
        <v>4909246.6499999631</v>
      </c>
      <c r="CD9" s="33">
        <f t="shared" si="51"/>
        <v>5445361.3500000192</v>
      </c>
      <c r="CE9" s="33">
        <f t="shared" si="51"/>
        <v>4768815.1499996977</v>
      </c>
      <c r="CF9" s="33">
        <f t="shared" si="51"/>
        <v>3546100.800000099</v>
      </c>
      <c r="CG9" s="33">
        <f t="shared" si="51"/>
        <v>4924294.6500002919</v>
      </c>
      <c r="CH9" s="33">
        <f t="shared" si="51"/>
        <v>4112761.9500000221</v>
      </c>
      <c r="CI9" s="33">
        <f t="shared" si="51"/>
        <v>3771815.849999893</v>
      </c>
      <c r="CJ9" s="33">
        <f t="shared" si="51"/>
        <v>4291080.7499997579</v>
      </c>
      <c r="CK9" s="33">
        <f t="shared" si="51"/>
        <v>5329595.7000002237</v>
      </c>
      <c r="CL9" s="33">
        <f t="shared" si="51"/>
        <v>3566460.149999727</v>
      </c>
      <c r="CM9" s="33">
        <f t="shared" si="51"/>
        <v>4225018.0500002373</v>
      </c>
      <c r="CN9" s="33">
        <f t="shared" si="51"/>
        <v>4087012.0499997823</v>
      </c>
      <c r="CO9" s="33">
        <f t="shared" si="51"/>
        <v>5659364.6999999126</v>
      </c>
      <c r="CP9" s="33">
        <f t="shared" si="51"/>
        <v>3868786.3500003079</v>
      </c>
      <c r="CQ9" s="33">
        <f t="shared" si="51"/>
        <v>4855034.2499998678</v>
      </c>
      <c r="CR9" s="33">
        <f t="shared" si="51"/>
        <v>4550104.3500002325</v>
      </c>
      <c r="CS9" s="111">
        <f t="shared" si="10"/>
        <v>149577154.6500001</v>
      </c>
      <c r="CT9" s="33">
        <f t="shared" ref="CT9:DW9" si="52">CT8*CT7</f>
        <v>4757123.2499995846</v>
      </c>
      <c r="CU9" s="33">
        <f t="shared" si="52"/>
        <v>4688065.8000003006</v>
      </c>
      <c r="CV9" s="33">
        <f t="shared" si="52"/>
        <v>4588803.4499999415</v>
      </c>
      <c r="CW9" s="33">
        <f t="shared" si="52"/>
        <v>5794999.6499999743</v>
      </c>
      <c r="CX9" s="33">
        <f t="shared" si="52"/>
        <v>4713256.3500000481</v>
      </c>
      <c r="CY9" s="33">
        <f t="shared" si="52"/>
        <v>5003128.3499998925</v>
      </c>
      <c r="CZ9" s="33">
        <f t="shared" si="52"/>
        <v>5539762.8000002895</v>
      </c>
      <c r="DA9" s="33">
        <f t="shared" si="52"/>
        <v>5040094.9500001483</v>
      </c>
      <c r="DB9" s="33">
        <f t="shared" si="52"/>
        <v>5539965.7499997001</v>
      </c>
      <c r="DC9" s="33">
        <f t="shared" si="52"/>
        <v>4692590.0999999624</v>
      </c>
      <c r="DD9" s="33">
        <f t="shared" si="52"/>
        <v>5927733.9000001298</v>
      </c>
      <c r="DE9" s="33">
        <f t="shared" si="52"/>
        <v>2729583.4499996244</v>
      </c>
      <c r="DF9" s="33">
        <f t="shared" si="52"/>
        <v>2486939.4000001992</v>
      </c>
      <c r="DG9" s="33">
        <f t="shared" si="52"/>
        <v>4832927.5499999663</v>
      </c>
      <c r="DH9" s="33">
        <f t="shared" si="52"/>
        <v>3170775.7399998885</v>
      </c>
      <c r="DI9" s="33">
        <f t="shared" si="52"/>
        <v>3879355.7400003243</v>
      </c>
      <c r="DJ9" s="33">
        <f t="shared" si="52"/>
        <v>8903931.4499999061</v>
      </c>
      <c r="DK9" s="33">
        <f t="shared" si="52"/>
        <v>4718568.9500000523</v>
      </c>
      <c r="DL9" s="33">
        <f t="shared" si="52"/>
        <v>3178939.3800000269</v>
      </c>
      <c r="DM9" s="33">
        <f t="shared" si="52"/>
        <v>6876170.0999998087</v>
      </c>
      <c r="DN9" s="33">
        <f t="shared" si="52"/>
        <v>4309219.2899999814</v>
      </c>
      <c r="DO9" s="33">
        <f t="shared" si="52"/>
        <v>6006887.1499998719</v>
      </c>
      <c r="DP9" s="33">
        <f t="shared" si="52"/>
        <v>4517197.5000001453</v>
      </c>
      <c r="DQ9" s="33">
        <f t="shared" si="52"/>
        <v>4915758.7800000152</v>
      </c>
      <c r="DR9" s="33">
        <f t="shared" si="52"/>
        <v>4086984.6500003077</v>
      </c>
      <c r="DS9" s="33">
        <f t="shared" si="52"/>
        <v>4506134.6699998342</v>
      </c>
      <c r="DT9" s="33">
        <f t="shared" si="52"/>
        <v>5969377.3199997637</v>
      </c>
      <c r="DU9" s="33">
        <f t="shared" si="52"/>
        <v>6462284.5299999574</v>
      </c>
      <c r="DV9" s="33">
        <f t="shared" si="52"/>
        <v>5411106.1000000695</v>
      </c>
      <c r="DW9" s="33">
        <f t="shared" si="52"/>
        <v>4898064.2400000049</v>
      </c>
      <c r="DX9" s="119">
        <f>SUM(CT9:DW9)</f>
        <v>148145730.33999977</v>
      </c>
      <c r="DY9" s="33">
        <f t="shared" ref="DY9:FC9" si="53">DY8*DY7</f>
        <v>4681333.5700000543</v>
      </c>
      <c r="DZ9" s="33">
        <f t="shared" si="53"/>
        <v>6019382.1099998038</v>
      </c>
      <c r="EA9" s="33">
        <f t="shared" si="53"/>
        <v>3905159.0300001893</v>
      </c>
      <c r="EB9" s="33">
        <f t="shared" si="53"/>
        <v>4790769.2599999662</v>
      </c>
      <c r="EC9" s="33">
        <f t="shared" si="53"/>
        <v>5393960.4599998444</v>
      </c>
      <c r="ED9" s="33">
        <f t="shared" si="53"/>
        <v>4770759.3600002099</v>
      </c>
      <c r="EE9" s="33">
        <f t="shared" si="53"/>
        <v>5489603.7899997756</v>
      </c>
      <c r="EF9" s="33">
        <f t="shared" si="53"/>
        <v>5262274.3600003552</v>
      </c>
      <c r="EG9" s="33">
        <f t="shared" si="53"/>
        <v>6736926.4499998624</v>
      </c>
      <c r="EH9" s="33">
        <f t="shared" si="53"/>
        <v>5300885.1000000723</v>
      </c>
      <c r="EI9" s="33">
        <f t="shared" si="53"/>
        <v>6007501.0000000168</v>
      </c>
      <c r="EJ9" s="33">
        <f t="shared" si="53"/>
        <v>7307984.8499998916</v>
      </c>
      <c r="EK9" s="33">
        <f t="shared" si="53"/>
        <v>5316681.5500002336</v>
      </c>
      <c r="EL9" s="33">
        <f t="shared" si="53"/>
        <v>7121371.3999996847</v>
      </c>
      <c r="EM9" s="33">
        <f t="shared" si="53"/>
        <v>6812343.9500002293</v>
      </c>
      <c r="EN9" s="33">
        <f t="shared" si="53"/>
        <v>5191915.2999998219</v>
      </c>
      <c r="EO9" s="33">
        <f t="shared" si="53"/>
        <v>5175779.3499998692</v>
      </c>
      <c r="EP9" s="33">
        <f t="shared" si="53"/>
        <v>6288723.4000001419</v>
      </c>
      <c r="EQ9" s="33">
        <f t="shared" si="53"/>
        <v>4927148.9500000319</v>
      </c>
      <c r="ER9" s="33">
        <f t="shared" si="53"/>
        <v>6092773.7000001334</v>
      </c>
      <c r="ES9" s="33">
        <f t="shared" si="53"/>
        <v>8670684.4999999497</v>
      </c>
      <c r="ET9" s="33">
        <f t="shared" si="53"/>
        <v>7342904.850000089</v>
      </c>
      <c r="EU9" s="33">
        <f t="shared" si="53"/>
        <v>9300311.4999998417</v>
      </c>
      <c r="EV9" s="33">
        <f t="shared" si="53"/>
        <v>5441287.7499997569</v>
      </c>
      <c r="EW9" s="33">
        <f t="shared" si="53"/>
        <v>2737631.0000002426</v>
      </c>
      <c r="EX9" s="33">
        <f t="shared" si="53"/>
        <v>4306712.7000002293</v>
      </c>
      <c r="EY9" s="33">
        <f t="shared" si="53"/>
        <v>4071623.499999763</v>
      </c>
      <c r="EZ9" s="33">
        <f t="shared" si="53"/>
        <v>4720635.9500000933</v>
      </c>
      <c r="FA9" s="33">
        <f t="shared" si="53"/>
        <v>4611612.7999999914</v>
      </c>
      <c r="FB9" s="33">
        <f t="shared" si="53"/>
        <v>5812608.6000002585</v>
      </c>
      <c r="FC9" s="33">
        <f t="shared" si="53"/>
        <v>4547044.7499995939</v>
      </c>
      <c r="FD9" s="128">
        <f>SUM(DY9:FC9)</f>
        <v>174156334.83999997</v>
      </c>
      <c r="FE9" s="33">
        <f t="shared" ref="FE9:GI9" si="54">FE8*FE7</f>
        <v>4294645.9000003114</v>
      </c>
      <c r="FF9" s="33">
        <f t="shared" si="54"/>
        <v>4091576.4000000521</v>
      </c>
      <c r="FG9" s="33">
        <f t="shared" si="54"/>
        <v>6094417.8499997444</v>
      </c>
      <c r="FH9" s="33">
        <f t="shared" si="54"/>
        <v>5165177.2499997914</v>
      </c>
      <c r="FI9" s="33">
        <f t="shared" si="54"/>
        <v>5016718.7500002822</v>
      </c>
      <c r="FJ9" s="33">
        <f t="shared" si="54"/>
        <v>5541488.7499999152</v>
      </c>
      <c r="FK9" s="33">
        <f t="shared" si="54"/>
        <v>4739221.1500002099</v>
      </c>
      <c r="FL9" s="33">
        <f t="shared" si="54"/>
        <v>4098419.7499995935</v>
      </c>
      <c r="FM9" s="33">
        <f t="shared" si="54"/>
        <v>6014480.1500002211</v>
      </c>
      <c r="FN9" s="33">
        <f t="shared" si="54"/>
        <v>3784615.0499999234</v>
      </c>
      <c r="FO9" s="33">
        <f t="shared" si="54"/>
        <v>4911638.6500002947</v>
      </c>
      <c r="FP9" s="33">
        <f t="shared" si="54"/>
        <v>7787659.549999618</v>
      </c>
      <c r="FQ9" s="33">
        <f t="shared" si="54"/>
        <v>4009596.8500003773</v>
      </c>
      <c r="FR9" s="33">
        <f t="shared" si="54"/>
        <v>5858528.3999998039</v>
      </c>
      <c r="FS9" s="33">
        <f t="shared" si="54"/>
        <v>6655815.0500002056</v>
      </c>
      <c r="FT9" s="33">
        <f t="shared" si="54"/>
        <v>4353049.5999995414</v>
      </c>
      <c r="FU9" s="33">
        <f t="shared" si="54"/>
        <v>6250495.7000005059</v>
      </c>
      <c r="FV9" s="33">
        <f t="shared" si="54"/>
        <v>4979722.9499995913</v>
      </c>
      <c r="FW9" s="33">
        <f t="shared" si="54"/>
        <v>5260858.050000228</v>
      </c>
      <c r="FX9" s="33">
        <f t="shared" si="54"/>
        <v>5823729.6499997191</v>
      </c>
      <c r="FY9" s="33">
        <f t="shared" si="54"/>
        <v>4798973.1500002444</v>
      </c>
      <c r="FZ9" s="33">
        <f t="shared" si="54"/>
        <v>6031372.6999998344</v>
      </c>
      <c r="GA9" s="33">
        <f t="shared" si="54"/>
        <v>7267768.6500000972</v>
      </c>
      <c r="GB9" s="33">
        <f t="shared" si="54"/>
        <v>4363380.0999998469</v>
      </c>
      <c r="GC9" s="33">
        <f t="shared" si="54"/>
        <v>4296348.2500004293</v>
      </c>
      <c r="GD9" s="33">
        <f t="shared" si="54"/>
        <v>6123372.3499998916</v>
      </c>
      <c r="GE9" s="33">
        <f t="shared" si="54"/>
        <v>5645821.9499999974</v>
      </c>
      <c r="GF9" s="33">
        <f t="shared" si="54"/>
        <v>5633614.4999998929</v>
      </c>
      <c r="GG9" s="33">
        <f t="shared" si="54"/>
        <v>7079428.6000000332</v>
      </c>
      <c r="GH9" s="33">
        <f t="shared" si="54"/>
        <v>6482417.849999886</v>
      </c>
      <c r="GI9" s="33">
        <f t="shared" si="54"/>
        <v>5682512.2000000086</v>
      </c>
      <c r="GJ9" s="127">
        <f>SUM(FE9:GI9)</f>
        <v>168136865.75000009</v>
      </c>
      <c r="GK9" s="33">
        <f t="shared" ref="GK9:HM9" si="55">GK8*GK7</f>
        <v>5299604.7000000933</v>
      </c>
      <c r="GL9" s="33">
        <f t="shared" si="55"/>
        <v>6536800.900000114</v>
      </c>
      <c r="GM9" s="33">
        <f t="shared" si="55"/>
        <v>4988884.5999998525</v>
      </c>
      <c r="GN9" s="33">
        <f t="shared" si="55"/>
        <v>3821091.8999999617</v>
      </c>
      <c r="GO9" s="33">
        <f t="shared" si="55"/>
        <v>5252986.5000002654</v>
      </c>
      <c r="GP9" s="33">
        <f t="shared" si="55"/>
        <v>4307212.2499998193</v>
      </c>
      <c r="GQ9" s="33">
        <f t="shared" si="55"/>
        <v>5843246.0499998834</v>
      </c>
      <c r="GR9" s="33">
        <f t="shared" si="55"/>
        <v>5953549.6000001058</v>
      </c>
      <c r="GS9" s="33">
        <f t="shared" si="55"/>
        <v>4111461.3999999389</v>
      </c>
      <c r="GT9" s="33">
        <f t="shared" si="55"/>
        <v>6521678.6000000332</v>
      </c>
      <c r="GU9" s="33">
        <f t="shared" si="55"/>
        <v>4562404.6999999527</v>
      </c>
      <c r="GV9" s="33">
        <f t="shared" si="55"/>
        <v>4786508.6499997862</v>
      </c>
      <c r="GW9" s="33">
        <f t="shared" si="55"/>
        <v>4003059.0500001041</v>
      </c>
      <c r="GX9" s="33">
        <f t="shared" si="55"/>
        <v>4865980.7499999208</v>
      </c>
      <c r="GY9" s="33">
        <f t="shared" si="55"/>
        <v>4247731.8500002641</v>
      </c>
      <c r="GZ9" s="33">
        <f t="shared" si="55"/>
        <v>4928938.5999997789</v>
      </c>
      <c r="HA9" s="33">
        <f t="shared" si="55"/>
        <v>3912684.1500002891</v>
      </c>
      <c r="HB9" s="33">
        <f t="shared" si="55"/>
        <v>3727409.3000000021</v>
      </c>
      <c r="HC9" s="33">
        <f t="shared" si="55"/>
        <v>6684037.2000000086</v>
      </c>
      <c r="HD9" s="33">
        <f t="shared" si="55"/>
        <v>14105230.749999922</v>
      </c>
      <c r="HE9" s="33">
        <f t="shared" si="55"/>
        <v>4388275.1500001363</v>
      </c>
      <c r="HF9" s="33">
        <f t="shared" si="55"/>
        <v>4549460.0499996971</v>
      </c>
      <c r="HG9" s="33">
        <f t="shared" si="55"/>
        <v>5094871.6500001475</v>
      </c>
      <c r="HH9" s="33">
        <f t="shared" si="55"/>
        <v>7508794.2499999376</v>
      </c>
      <c r="HI9" s="33">
        <f t="shared" si="55"/>
        <v>3793606.9500001669</v>
      </c>
      <c r="HJ9" s="33">
        <f t="shared" si="55"/>
        <v>4916488.6499998709</v>
      </c>
      <c r="HK9" s="33">
        <f t="shared" si="55"/>
        <v>4439835.4999998249</v>
      </c>
      <c r="HL9" s="33">
        <f t="shared" si="55"/>
        <v>3993630.6500001592</v>
      </c>
      <c r="HM9" s="33">
        <f t="shared" si="55"/>
        <v>4721741.7499996834</v>
      </c>
      <c r="HN9" s="127">
        <f>SUM(GK9:HM9)</f>
        <v>151867206.0999997</v>
      </c>
      <c r="HO9" s="33">
        <f t="shared" ref="HO9:IS9" si="56">HO8*HO7</f>
        <v>4986789.4000004129</v>
      </c>
      <c r="HP9" s="33">
        <f t="shared" si="56"/>
        <v>6621346.0999998348</v>
      </c>
      <c r="HQ9" s="33">
        <f t="shared" si="56"/>
        <v>4306489.5999999363</v>
      </c>
      <c r="HR9" s="33">
        <f t="shared" si="56"/>
        <v>7850146.9500002805</v>
      </c>
      <c r="HS9" s="33">
        <f t="shared" si="56"/>
        <v>5313165.2999996804</v>
      </c>
      <c r="HT9" s="33">
        <f t="shared" si="56"/>
        <v>6398794.150000317</v>
      </c>
      <c r="HU9" s="33">
        <f t="shared" si="56"/>
        <v>6933157.4499998223</v>
      </c>
      <c r="HV9" s="33">
        <f t="shared" si="56"/>
        <v>4883004.2499999665</v>
      </c>
      <c r="HW9" s="33">
        <f t="shared" si="56"/>
        <v>6796969.4499997441</v>
      </c>
      <c r="HX9" s="33">
        <f t="shared" si="56"/>
        <v>5199505.5500003975</v>
      </c>
      <c r="HY9" s="33">
        <f t="shared" si="56"/>
        <v>5646525.1999998055</v>
      </c>
      <c r="HZ9" s="33">
        <f t="shared" si="56"/>
        <v>4992708.5999998413</v>
      </c>
      <c r="IA9" s="33">
        <f t="shared" si="56"/>
        <v>4393882.3500002446</v>
      </c>
      <c r="IB9" s="33">
        <f t="shared" si="56"/>
        <v>5676674.8500000713</v>
      </c>
      <c r="IC9" s="33">
        <f t="shared" si="56"/>
        <v>4937446.7999997474</v>
      </c>
      <c r="ID9" s="33">
        <f t="shared" si="56"/>
        <v>4002565.0500002261</v>
      </c>
      <c r="IE9" s="33">
        <f t="shared" si="56"/>
        <v>4509573.7500002589</v>
      </c>
      <c r="IF9" s="33">
        <f t="shared" si="56"/>
        <v>5599524.1499997322</v>
      </c>
      <c r="IG9" s="33">
        <f t="shared" si="56"/>
        <v>5686956.0000000233</v>
      </c>
      <c r="IH9" s="33">
        <f t="shared" si="56"/>
        <v>4264434.8999998942</v>
      </c>
      <c r="II9" s="33">
        <f t="shared" si="56"/>
        <v>5041743.3000003584</v>
      </c>
      <c r="IJ9" s="33">
        <f t="shared" si="56"/>
        <v>5902157.2500000522</v>
      </c>
      <c r="IK9" s="33">
        <f t="shared" si="56"/>
        <v>5990158.3499997202</v>
      </c>
      <c r="IL9" s="33">
        <f t="shared" si="56"/>
        <v>3541096.349999818</v>
      </c>
      <c r="IM9" s="33">
        <f t="shared" si="56"/>
        <v>6615818.5500000473</v>
      </c>
      <c r="IN9" s="33">
        <f t="shared" si="56"/>
        <v>5177808.8999999864</v>
      </c>
      <c r="IO9" s="33">
        <f t="shared" si="56"/>
        <v>5222514.0400002431</v>
      </c>
      <c r="IP9" s="33">
        <f t="shared" si="56"/>
        <v>6164765.7599995295</v>
      </c>
      <c r="IQ9" s="33">
        <f t="shared" si="56"/>
        <v>7778826.1700002989</v>
      </c>
      <c r="IR9" s="33">
        <f t="shared" si="56"/>
        <v>3905178.9899999755</v>
      </c>
      <c r="IS9" s="33">
        <f t="shared" si="56"/>
        <v>3648238.9000002206</v>
      </c>
      <c r="IT9" s="127">
        <f t="shared" si="22"/>
        <v>167987966.41000044</v>
      </c>
      <c r="IU9" s="33">
        <f t="shared" ref="IU9:JX9" si="57">IU8*IU7</f>
        <v>4290232.3399995808</v>
      </c>
      <c r="IV9" s="33">
        <f t="shared" si="57"/>
        <v>6339276.0400003297</v>
      </c>
      <c r="IW9" s="33">
        <f t="shared" si="57"/>
        <v>4215876.3499999531</v>
      </c>
      <c r="IX9" s="33">
        <f t="shared" si="57"/>
        <v>5302024.6999998493</v>
      </c>
      <c r="IY9" s="33">
        <f t="shared" si="57"/>
        <v>6023264.3300000504</v>
      </c>
      <c r="IZ9" s="33">
        <f t="shared" si="57"/>
        <v>4020403.0800000499</v>
      </c>
      <c r="JA9" s="33">
        <f t="shared" si="57"/>
        <v>3791571.660000158</v>
      </c>
      <c r="JB9" s="33">
        <f t="shared" si="57"/>
        <v>6807727.2600000054</v>
      </c>
      <c r="JC9" s="33">
        <f t="shared" si="57"/>
        <v>4697810.5499995993</v>
      </c>
      <c r="JD9" s="33">
        <f t="shared" si="57"/>
        <v>4422931.4100001287</v>
      </c>
      <c r="JE9" s="33">
        <f t="shared" si="57"/>
        <v>5400592.1700001247</v>
      </c>
      <c r="JF9" s="33">
        <f t="shared" si="57"/>
        <v>5460846.4200001825</v>
      </c>
      <c r="JG9" s="33">
        <f t="shared" si="57"/>
        <v>6613855.7799999574</v>
      </c>
      <c r="JH9" s="33">
        <f t="shared" si="57"/>
        <v>4123920.6300001722</v>
      </c>
      <c r="JI9" s="33">
        <f t="shared" si="57"/>
        <v>5043383.0199998748</v>
      </c>
      <c r="JJ9" s="33">
        <f t="shared" si="57"/>
        <v>4872834.7999993665</v>
      </c>
      <c r="JK9" s="33">
        <f t="shared" si="57"/>
        <v>5732132.7600008082</v>
      </c>
      <c r="JL9" s="33">
        <f t="shared" si="57"/>
        <v>4962006.0999996336</v>
      </c>
      <c r="JM9" s="33">
        <f t="shared" si="57"/>
        <v>5281341.1499999017</v>
      </c>
      <c r="JN9" s="33">
        <f t="shared" si="57"/>
        <v>5009431.060000292</v>
      </c>
      <c r="JO9" s="33">
        <f t="shared" si="57"/>
        <v>3067961.7799997828</v>
      </c>
      <c r="JP9" s="33">
        <f t="shared" si="57"/>
        <v>7315544.5900002774</v>
      </c>
      <c r="JQ9" s="33">
        <f t="shared" si="57"/>
        <v>4517656.5799998753</v>
      </c>
      <c r="JR9" s="33">
        <f t="shared" si="57"/>
        <v>4359199.129999998</v>
      </c>
      <c r="JS9" s="33">
        <f t="shared" si="57"/>
        <v>4389303.7999993954</v>
      </c>
      <c r="JT9" s="33">
        <f t="shared" si="57"/>
        <v>5009660.600000157</v>
      </c>
      <c r="JU9" s="33">
        <f t="shared" si="57"/>
        <v>3813319.8000004613</v>
      </c>
      <c r="JV9" s="33">
        <f t="shared" si="57"/>
        <v>4630732.1999994824</v>
      </c>
      <c r="JW9" s="33">
        <f t="shared" si="57"/>
        <v>5462579.8800000204</v>
      </c>
      <c r="JX9" s="33">
        <f t="shared" si="57"/>
        <v>4474354.890000375</v>
      </c>
      <c r="JY9" s="127">
        <f t="shared" ref="JY9:JY48" si="58">SUM(IU9:JX9)</f>
        <v>149451774.85999987</v>
      </c>
      <c r="JZ9" s="33">
        <f t="shared" ref="JZ9:LD9" si="59">JZ8*JZ7</f>
        <v>3341674.409999745</v>
      </c>
      <c r="KA9" s="33">
        <f t="shared" si="59"/>
        <v>4749671.6700000707</v>
      </c>
      <c r="KB9" s="33">
        <f t="shared" si="59"/>
        <v>6141414.5700000022</v>
      </c>
      <c r="KC9" s="33">
        <f t="shared" si="59"/>
        <v>4361322.5400001351</v>
      </c>
      <c r="KD9" s="33">
        <f t="shared" si="59"/>
        <v>4888068.4500000514</v>
      </c>
      <c r="KE9" s="33">
        <f t="shared" si="59"/>
        <v>4922694.5399999358</v>
      </c>
      <c r="KF9" s="33">
        <f t="shared" si="59"/>
        <v>6389288.6700000139</v>
      </c>
      <c r="KG9" s="33">
        <f t="shared" si="59"/>
        <v>5419763.0399999078</v>
      </c>
      <c r="KH9" s="33">
        <f t="shared" si="59"/>
        <v>6799232.0400000783</v>
      </c>
      <c r="KI9" s="33">
        <f t="shared" si="59"/>
        <v>6567724.7699999679</v>
      </c>
      <c r="KJ9" s="33">
        <f t="shared" si="59"/>
        <v>6070881.2100000065</v>
      </c>
      <c r="KK9" s="33">
        <f t="shared" si="59"/>
        <v>4136759.0700003724</v>
      </c>
      <c r="KL9" s="33">
        <f t="shared" si="59"/>
        <v>10388990.819999432</v>
      </c>
      <c r="KM9" s="33">
        <f t="shared" si="59"/>
        <v>7134725.1600002572</v>
      </c>
      <c r="KN9" s="33">
        <f t="shared" si="59"/>
        <v>4460863.3800002765</v>
      </c>
      <c r="KO9" s="33">
        <f t="shared" si="59"/>
        <v>10316286.299999636</v>
      </c>
      <c r="KP9" s="33">
        <f t="shared" si="59"/>
        <v>6785730.7500002272</v>
      </c>
      <c r="KQ9" s="33">
        <f t="shared" si="59"/>
        <v>7512150.0299997814</v>
      </c>
      <c r="KR9" s="33">
        <f t="shared" si="59"/>
        <v>4852166.0700003151</v>
      </c>
      <c r="KS9" s="33">
        <f t="shared" si="59"/>
        <v>6724327.0199997975</v>
      </c>
      <c r="KT9" s="33">
        <f t="shared" si="59"/>
        <v>9195244.0200000256</v>
      </c>
      <c r="KU9" s="33">
        <f t="shared" si="59"/>
        <v>8254031.4899995318</v>
      </c>
      <c r="KV9" s="33">
        <f t="shared" si="59"/>
        <v>12480864.360000109</v>
      </c>
      <c r="KW9" s="33">
        <f t="shared" si="59"/>
        <v>7062724.8000004608</v>
      </c>
      <c r="KX9" s="33">
        <f t="shared" si="59"/>
        <v>6249566.6999999946</v>
      </c>
      <c r="KY9" s="33">
        <f t="shared" si="59"/>
        <v>4680981.83999997</v>
      </c>
      <c r="KZ9" s="33">
        <f t="shared" si="59"/>
        <v>6157551.5699996604</v>
      </c>
      <c r="LA9" s="33">
        <f t="shared" si="59"/>
        <v>7430672.8499998692</v>
      </c>
      <c r="LB9" s="33">
        <f t="shared" si="59"/>
        <v>7609276.5500004711</v>
      </c>
      <c r="LC9" s="33">
        <f t="shared" si="59"/>
        <v>5270742.3499999484</v>
      </c>
      <c r="LD9" s="33">
        <f t="shared" si="59"/>
        <v>7401720.8000001265</v>
      </c>
      <c r="LE9" s="127">
        <f t="shared" ref="LE9:LE48" si="60">SUM(KA9:LD9)</f>
        <v>200415437.43000039</v>
      </c>
      <c r="LF9" s="33">
        <f t="shared" ref="LF9:MI9" si="61">LF8*LF7</f>
        <v>6353781.2999998108</v>
      </c>
      <c r="LG9" s="33">
        <f t="shared" si="61"/>
        <v>5764157.0999997389</v>
      </c>
      <c r="LH9" s="33">
        <f t="shared" si="61"/>
        <v>8332266.0499997986</v>
      </c>
      <c r="LI9" s="33">
        <f t="shared" si="61"/>
        <v>8297991.1000003153</v>
      </c>
      <c r="LJ9" s="33">
        <f t="shared" si="61"/>
        <v>6126190.1999999192</v>
      </c>
      <c r="LK9" s="33">
        <f t="shared" si="61"/>
        <v>6278407.4500001054</v>
      </c>
      <c r="LL9" s="33">
        <f t="shared" si="61"/>
        <v>8315994.3000001721</v>
      </c>
      <c r="LM9" s="33">
        <f t="shared" si="61"/>
        <v>7641514.5000000335</v>
      </c>
      <c r="LN9" s="33">
        <f t="shared" si="61"/>
        <v>4629887.6000000443</v>
      </c>
      <c r="LO9" s="33">
        <f t="shared" si="61"/>
        <v>6730999.7499998193</v>
      </c>
      <c r="LP9" s="33">
        <f t="shared" si="61"/>
        <v>8158437.2000004323</v>
      </c>
      <c r="LQ9" s="33">
        <f t="shared" si="61"/>
        <v>6307153.3999993801</v>
      </c>
      <c r="LR9" s="33">
        <f t="shared" si="61"/>
        <v>7092659.3999999054</v>
      </c>
      <c r="LS9" s="33">
        <f t="shared" si="61"/>
        <v>7661758.400000453</v>
      </c>
      <c r="LT9" s="33">
        <f t="shared" si="61"/>
        <v>6150158.8999998262</v>
      </c>
      <c r="LU9" s="33">
        <f t="shared" si="61"/>
        <v>5181419.8999997303</v>
      </c>
      <c r="LV9" s="33">
        <f t="shared" si="61"/>
        <v>5161758.000000136</v>
      </c>
      <c r="LW9" s="33">
        <f t="shared" si="61"/>
        <v>6404691.7500002487</v>
      </c>
      <c r="LX9" s="33">
        <f t="shared" si="61"/>
        <v>6980556.4999998985</v>
      </c>
      <c r="LY9" s="33">
        <f t="shared" si="61"/>
        <v>6842278.1500001876</v>
      </c>
      <c r="LZ9" s="33">
        <f t="shared" si="61"/>
        <v>6736019.4999998361</v>
      </c>
      <c r="MA9" s="33">
        <f t="shared" si="61"/>
        <v>5862922.4999998873</v>
      </c>
      <c r="MB9" s="33">
        <f t="shared" si="61"/>
        <v>3993082.6000002418</v>
      </c>
      <c r="MC9" s="33">
        <f t="shared" si="61"/>
        <v>5370986.9999997802</v>
      </c>
      <c r="MD9" s="33">
        <f t="shared" si="61"/>
        <v>5716399.1500004018</v>
      </c>
      <c r="ME9" s="33">
        <f t="shared" si="61"/>
        <v>6234495.5499998042</v>
      </c>
      <c r="MF9" s="33">
        <f t="shared" si="61"/>
        <v>5513072.6000000723</v>
      </c>
      <c r="MG9" s="33">
        <f t="shared" si="61"/>
        <v>5609839.800000025</v>
      </c>
      <c r="MH9" s="33">
        <f t="shared" si="61"/>
        <v>5160918.9499999471</v>
      </c>
      <c r="MI9" s="33">
        <f t="shared" si="61"/>
        <v>6315102.5499996413</v>
      </c>
      <c r="MJ9" s="127">
        <f t="shared" ref="MJ9:MJ48" si="62">SUM(LF9:MI9)</f>
        <v>190924901.14999962</v>
      </c>
      <c r="MK9" s="33">
        <f t="shared" ref="MK9:NO9" si="63">MK8*MK7</f>
        <v>6247857.3000001097</v>
      </c>
      <c r="ML9" s="33">
        <f t="shared" si="63"/>
        <v>6612795.5500000408</v>
      </c>
      <c r="MM9" s="33">
        <f t="shared" si="63"/>
        <v>4153326.5999998576</v>
      </c>
      <c r="MN9" s="33">
        <f t="shared" si="63"/>
        <v>5245532.0500004357</v>
      </c>
      <c r="MO9" s="33">
        <f t="shared" si="63"/>
        <v>6846172.6999998344</v>
      </c>
      <c r="MP9" s="33">
        <f t="shared" si="63"/>
        <v>4568879.4499999275</v>
      </c>
      <c r="MQ9" s="33">
        <f t="shared" si="63"/>
        <v>6140531.6500001764</v>
      </c>
      <c r="MR9" s="33">
        <f t="shared" si="63"/>
        <v>5546348.4499996705</v>
      </c>
      <c r="MS9" s="33">
        <f t="shared" si="63"/>
        <v>4761186.8000003332</v>
      </c>
      <c r="MT9" s="33">
        <f t="shared" si="63"/>
        <v>3255586.7499999739</v>
      </c>
      <c r="MU9" s="33">
        <f t="shared" si="63"/>
        <v>6521295.4499995001</v>
      </c>
      <c r="MV9" s="33">
        <f t="shared" si="63"/>
        <v>5404557.0160005987</v>
      </c>
      <c r="MW9" s="33">
        <f t="shared" si="63"/>
        <v>6047944.5489998087</v>
      </c>
      <c r="MX9" s="33">
        <f t="shared" si="63"/>
        <v>4605456.3299999218</v>
      </c>
      <c r="MY9" s="33">
        <f t="shared" si="63"/>
        <v>5901541.4560001688</v>
      </c>
      <c r="MZ9" s="33">
        <f t="shared" si="63"/>
        <v>6435751.7389996583</v>
      </c>
      <c r="NA9" s="33">
        <f t="shared" si="63"/>
        <v>5706596.4780001538</v>
      </c>
      <c r="NB9" s="33">
        <f t="shared" si="63"/>
        <v>5375619.0460000457</v>
      </c>
      <c r="NC9" s="33">
        <f t="shared" si="63"/>
        <v>6218318.6470001247</v>
      </c>
      <c r="ND9" s="33">
        <f t="shared" si="63"/>
        <v>4885420.3919998677</v>
      </c>
      <c r="NE9" s="33">
        <f t="shared" si="63"/>
        <v>3527596.1309996657</v>
      </c>
      <c r="NF9" s="33">
        <f t="shared" si="63"/>
        <v>5604800.0900005754</v>
      </c>
      <c r="NG9" s="33">
        <f t="shared" si="63"/>
        <v>4787568.781999941</v>
      </c>
      <c r="NH9" s="33">
        <f t="shared" si="63"/>
        <v>4557399.1439999426</v>
      </c>
      <c r="NI9" s="33">
        <f t="shared" si="63"/>
        <v>5965593.7089997921</v>
      </c>
      <c r="NJ9" s="33">
        <f t="shared" si="63"/>
        <v>7189928.9859998953</v>
      </c>
      <c r="NK9" s="33">
        <f t="shared" si="63"/>
        <v>3971119.7110001463</v>
      </c>
      <c r="NL9" s="33">
        <f t="shared" si="63"/>
        <v>5152263.9880001098</v>
      </c>
      <c r="NM9" s="33">
        <f t="shared" si="63"/>
        <v>5171939.8880002769</v>
      </c>
      <c r="NN9" s="33">
        <f t="shared" si="63"/>
        <v>5591290.9049997265</v>
      </c>
      <c r="NO9" s="33">
        <f t="shared" si="63"/>
        <v>5053937.2770002428</v>
      </c>
      <c r="NP9" s="127">
        <f t="shared" ref="NP9:NP48" si="64">SUM(ML9:NO9)</f>
        <v>160806299.71400043</v>
      </c>
      <c r="NQ9" s="33">
        <f t="shared" ref="NQ9:OU9" si="65">NQ8*NQ7</f>
        <v>4813094.662999467</v>
      </c>
      <c r="NR9" s="33">
        <f t="shared" si="65"/>
        <v>6386235.6570003601</v>
      </c>
      <c r="NS9" s="33">
        <f t="shared" si="65"/>
        <v>5658390.7589997668</v>
      </c>
      <c r="NT9" s="33">
        <f t="shared" si="65"/>
        <v>4345952.3699998837</v>
      </c>
      <c r="NU9" s="33">
        <f t="shared" si="65"/>
        <v>5040526.8629999422</v>
      </c>
      <c r="NV9" s="33">
        <f t="shared" si="65"/>
        <v>6837952.1280004289</v>
      </c>
      <c r="NW9" s="33">
        <f t="shared" si="65"/>
        <v>6391042.7340000151</v>
      </c>
      <c r="NX9" s="33">
        <f t="shared" si="65"/>
        <v>5845235.4150000997</v>
      </c>
      <c r="NY9" s="33">
        <f t="shared" si="65"/>
        <v>5617620.5939999437</v>
      </c>
      <c r="NZ9" s="33">
        <f t="shared" si="65"/>
        <v>4317230.4179998375</v>
      </c>
      <c r="OA9" s="33">
        <f t="shared" si="65"/>
        <v>4886455.0559995314</v>
      </c>
      <c r="OB9" s="33">
        <f t="shared" si="65"/>
        <v>4161610.4370005275</v>
      </c>
      <c r="OC9" s="33">
        <f t="shared" si="65"/>
        <v>4947408.4709997689</v>
      </c>
      <c r="OD9" s="33">
        <f t="shared" si="65"/>
        <v>5776916.301000244</v>
      </c>
      <c r="OE9" s="33">
        <f t="shared" si="65"/>
        <v>5299850.7570000794</v>
      </c>
      <c r="OF9" s="33">
        <f t="shared" si="65"/>
        <v>5293316.132999992</v>
      </c>
      <c r="OG9" s="33">
        <f t="shared" si="65"/>
        <v>4774920.0419997862</v>
      </c>
      <c r="OH9" s="33">
        <f t="shared" si="65"/>
        <v>4728579.3000001935</v>
      </c>
      <c r="OI9" s="33">
        <f t="shared" si="65"/>
        <v>5424573.7439996945</v>
      </c>
      <c r="OJ9" s="33">
        <f t="shared" si="65"/>
        <v>4744939.6050002268</v>
      </c>
      <c r="OK9" s="33">
        <f t="shared" si="65"/>
        <v>4843243.9049998671</v>
      </c>
      <c r="OL9" s="33">
        <f t="shared" si="65"/>
        <v>6735226.5089996289</v>
      </c>
      <c r="OM9" s="33">
        <f t="shared" si="65"/>
        <v>5985620.6040001754</v>
      </c>
      <c r="ON9" s="33">
        <f t="shared" si="65"/>
        <v>5596520.7870004997</v>
      </c>
      <c r="OO9" s="33">
        <f t="shared" si="65"/>
        <v>3206130.6329999925</v>
      </c>
      <c r="OP9" s="33">
        <f t="shared" si="65"/>
        <v>5723323.8359999517</v>
      </c>
      <c r="OQ9" s="33">
        <f t="shared" si="65"/>
        <v>5245047.2969996259</v>
      </c>
      <c r="OR9" s="33">
        <f t="shared" si="65"/>
        <v>5673919.989000408</v>
      </c>
      <c r="OS9" s="33">
        <f t="shared" si="65"/>
        <v>4934495.9399998505</v>
      </c>
      <c r="OT9" s="33">
        <f t="shared" si="65"/>
        <v>5733800.1299998397</v>
      </c>
      <c r="OU9" s="33">
        <f t="shared" si="65"/>
        <v>7689785.007000356</v>
      </c>
      <c r="OV9" s="127">
        <f t="shared" ref="OV9:OV48" si="66">SUM(NR9:OU9)</f>
        <v>161845871.42100051</v>
      </c>
      <c r="OW9" s="33">
        <f t="shared" ref="OW9:PZ9" si="67">OW8*OW7</f>
        <v>4062693.5159998462</v>
      </c>
      <c r="OX9" s="33">
        <f t="shared" si="67"/>
        <v>8109762.821999792</v>
      </c>
      <c r="OY9" s="33">
        <f t="shared" si="67"/>
        <v>5496601.8269997705</v>
      </c>
      <c r="OZ9" s="33">
        <f t="shared" si="67"/>
        <v>4508011.9950007135</v>
      </c>
      <c r="PA9" s="33">
        <f t="shared" si="67"/>
        <v>6277460.9009996634</v>
      </c>
      <c r="PB9" s="33">
        <f t="shared" si="67"/>
        <v>6346934.0220001517</v>
      </c>
      <c r="PC9" s="33">
        <f t="shared" si="67"/>
        <v>6315414.9089996563</v>
      </c>
      <c r="PD9" s="33">
        <f t="shared" si="67"/>
        <v>5547264.1590002086</v>
      </c>
      <c r="PE9" s="33">
        <f t="shared" si="67"/>
        <v>4511051.354999478</v>
      </c>
      <c r="PF9" s="33">
        <f t="shared" si="67"/>
        <v>5398079.0730006723</v>
      </c>
      <c r="PG9" s="33">
        <f t="shared" si="67"/>
        <v>6150035.7329998268</v>
      </c>
      <c r="PH9" s="33">
        <f t="shared" si="67"/>
        <v>5215005.1229998982</v>
      </c>
      <c r="PI9" s="33">
        <f t="shared" si="67"/>
        <v>7198652.9250000557</v>
      </c>
      <c r="PJ9" s="33">
        <f t="shared" si="67"/>
        <v>5092058.2619997812</v>
      </c>
      <c r="PK9" s="33">
        <f t="shared" si="67"/>
        <v>4639744.5060001668</v>
      </c>
      <c r="PL9" s="33">
        <f t="shared" si="67"/>
        <v>4800901.821000156</v>
      </c>
      <c r="PM9" s="33">
        <f t="shared" si="67"/>
        <v>4716996.4889998548</v>
      </c>
      <c r="PN9" s="33">
        <f t="shared" si="67"/>
        <v>4085108.7959999898</v>
      </c>
      <c r="PO9" s="33">
        <f t="shared" si="67"/>
        <v>6030308.6940004686</v>
      </c>
      <c r="PP9" s="33">
        <f t="shared" si="67"/>
        <v>5296478.9669998419</v>
      </c>
      <c r="PQ9" s="33">
        <f t="shared" si="67"/>
        <v>4886882.4659997914</v>
      </c>
      <c r="PR9" s="33">
        <f t="shared" si="67"/>
        <v>4159896.0479999534</v>
      </c>
      <c r="PS9" s="33">
        <f t="shared" si="67"/>
        <v>4213939.6680001915</v>
      </c>
      <c r="PT9" s="33">
        <f t="shared" si="67"/>
        <v>4748900.2709995145</v>
      </c>
      <c r="PU9" s="33">
        <f t="shared" si="67"/>
        <v>4290778.4880004954</v>
      </c>
      <c r="PV9" s="33">
        <f t="shared" si="67"/>
        <v>5310863.6879996108</v>
      </c>
      <c r="PW9" s="33">
        <f t="shared" si="67"/>
        <v>4807968.3330000751</v>
      </c>
      <c r="PX9" s="33">
        <f t="shared" si="67"/>
        <v>6840445.3530002628</v>
      </c>
      <c r="PY9" s="33">
        <f t="shared" si="67"/>
        <v>3222994.331999748</v>
      </c>
      <c r="PZ9" s="33">
        <f t="shared" si="67"/>
        <v>6174402.8520003501</v>
      </c>
      <c r="QA9" s="127">
        <f t="shared" ref="QA9:QA48" si="68">SUM(OW9:PZ9)</f>
        <v>158455637.39399999</v>
      </c>
      <c r="QB9" s="33">
        <f t="shared" ref="QB9:RF9" si="69">QB8*QB7</f>
        <v>0</v>
      </c>
      <c r="QC9" s="33">
        <f t="shared" si="69"/>
        <v>4151604.2940000268</v>
      </c>
      <c r="QD9" s="33">
        <f t="shared" si="69"/>
        <v>4876776.5940000815</v>
      </c>
      <c r="QE9" s="33">
        <f t="shared" si="69"/>
        <v>5823660.7079996606</v>
      </c>
      <c r="QF9" s="33">
        <f t="shared" si="69"/>
        <v>5373056.5920002563</v>
      </c>
      <c r="QG9" s="33">
        <f t="shared" si="69"/>
        <v>3220220.9159997357</v>
      </c>
      <c r="QH9" s="33">
        <f t="shared" si="69"/>
        <v>5081933.3939999985</v>
      </c>
      <c r="QI9" s="33">
        <f t="shared" si="69"/>
        <v>4862097.4350001495</v>
      </c>
      <c r="QJ9" s="33">
        <f t="shared" si="69"/>
        <v>4960380.2220001733</v>
      </c>
      <c r="QK9" s="33">
        <f t="shared" si="69"/>
        <v>4481739.2969997181</v>
      </c>
      <c r="QL9" s="33">
        <f t="shared" si="69"/>
        <v>5239093.4190000528</v>
      </c>
      <c r="QM9" s="33">
        <f t="shared" si="69"/>
        <v>5764565.9609999266</v>
      </c>
      <c r="QN9" s="33">
        <f t="shared" si="69"/>
        <v>5321346.5340002291</v>
      </c>
      <c r="QO9" s="33">
        <f t="shared" si="69"/>
        <v>6368391.6660002526</v>
      </c>
      <c r="QP9" s="33">
        <f t="shared" si="69"/>
        <v>4294904.9219995849</v>
      </c>
      <c r="QQ9" s="33">
        <f t="shared" si="69"/>
        <v>4560492.5730001694</v>
      </c>
      <c r="QR9" s="33">
        <f t="shared" si="69"/>
        <v>4656027.6000001067</v>
      </c>
      <c r="QS9" s="33">
        <f t="shared" si="69"/>
        <v>7049521.9619999491</v>
      </c>
      <c r="QT9" s="33">
        <f t="shared" si="69"/>
        <v>5083596.6299999785</v>
      </c>
      <c r="QU9" s="33">
        <f t="shared" si="69"/>
        <v>3304059.5699999677</v>
      </c>
      <c r="QV9" s="33">
        <f t="shared" si="69"/>
        <v>4738694.6249998659</v>
      </c>
      <c r="QW9" s="33">
        <f t="shared" si="69"/>
        <v>4406196.1230002232</v>
      </c>
      <c r="QX9" s="33">
        <f t="shared" si="69"/>
        <v>4123923.2999999197</v>
      </c>
      <c r="QY9" s="33">
        <f t="shared" si="69"/>
        <v>8543654.2799997386</v>
      </c>
      <c r="QZ9" s="33">
        <f t="shared" si="69"/>
        <v>6426518.4270000989</v>
      </c>
      <c r="RA9" s="33">
        <f t="shared" si="69"/>
        <v>4014697.0500004552</v>
      </c>
      <c r="RB9" s="33">
        <f t="shared" si="69"/>
        <v>3771929.6369997347</v>
      </c>
      <c r="RC9" s="33">
        <f t="shared" si="69"/>
        <v>4241634.7049999246</v>
      </c>
      <c r="RD9" s="33">
        <f t="shared" si="69"/>
        <v>4777123.868999999</v>
      </c>
      <c r="RE9" s="33">
        <f t="shared" si="69"/>
        <v>4480373.3939997582</v>
      </c>
      <c r="RF9" s="33">
        <f t="shared" si="69"/>
        <v>5911278.6600002516</v>
      </c>
      <c r="RG9" s="127">
        <f>SUM(QC9:RF9)</f>
        <v>149909494.359</v>
      </c>
      <c r="RH9" s="33">
        <f t="shared" ref="RH9:SM9" si="70">RH8*RH7</f>
        <v>4574795.4630001048</v>
      </c>
      <c r="RI9" s="33">
        <f t="shared" si="70"/>
        <v>4366428.5700001018</v>
      </c>
      <c r="RJ9" s="33">
        <f t="shared" si="70"/>
        <v>4813363.9889996191</v>
      </c>
      <c r="RK9" s="33">
        <f t="shared" si="70"/>
        <v>7635098.8350003054</v>
      </c>
      <c r="RL9" s="33">
        <f t="shared" si="70"/>
        <v>5166024.506999488</v>
      </c>
      <c r="RM9" s="33">
        <f t="shared" si="70"/>
        <v>3418579.2690002932</v>
      </c>
      <c r="RN9" s="33">
        <f t="shared" si="70"/>
        <v>4502834.9100002516</v>
      </c>
      <c r="RO9" s="33">
        <f t="shared" si="70"/>
        <v>4668978.3839999344</v>
      </c>
      <c r="RP9" s="33">
        <f t="shared" si="70"/>
        <v>4403897.6399996076</v>
      </c>
      <c r="RQ9" s="33">
        <f t="shared" si="70"/>
        <v>3812083.0500004007</v>
      </c>
      <c r="RR9" s="33">
        <f t="shared" si="70"/>
        <v>5848418.3699999312</v>
      </c>
      <c r="RS9" s="33">
        <f t="shared" si="70"/>
        <v>4050624.6000000988</v>
      </c>
      <c r="RT9" s="33">
        <f t="shared" si="70"/>
        <v>5655931.2299993867</v>
      </c>
      <c r="RU9" s="33">
        <f t="shared" si="70"/>
        <v>5199182.1600003764</v>
      </c>
      <c r="RV9" s="33">
        <f t="shared" si="70"/>
        <v>5195083.1699996553</v>
      </c>
      <c r="RW9" s="33">
        <f t="shared" si="70"/>
        <v>5337117.4200006705</v>
      </c>
      <c r="RX9" s="33">
        <f t="shared" si="70"/>
        <v>4523438.849999683</v>
      </c>
      <c r="RY9" s="33">
        <f t="shared" si="70"/>
        <v>3924744.9299998712</v>
      </c>
      <c r="RZ9" s="33">
        <f t="shared" si="70"/>
        <v>4105230.1200002953</v>
      </c>
      <c r="SA9" s="33">
        <f t="shared" si="70"/>
        <v>4294570.3800001992</v>
      </c>
      <c r="SB9" s="33">
        <f t="shared" si="70"/>
        <v>4819379.6699997075</v>
      </c>
      <c r="SC9" s="33">
        <f t="shared" si="70"/>
        <v>4282881.33000011</v>
      </c>
      <c r="SD9" s="33">
        <f t="shared" si="70"/>
        <v>4274772.7499995315</v>
      </c>
      <c r="SE9" s="33">
        <f t="shared" si="70"/>
        <v>3388845.570000363</v>
      </c>
      <c r="SF9" s="33">
        <f t="shared" si="70"/>
        <v>5479124.8499998907</v>
      </c>
      <c r="SG9" s="33">
        <f t="shared" si="70"/>
        <v>5370794.4000003431</v>
      </c>
      <c r="SH9" s="33">
        <f t="shared" si="70"/>
        <v>3997382.4299997408</v>
      </c>
      <c r="SI9" s="33">
        <f t="shared" si="70"/>
        <v>6762162.3600001326</v>
      </c>
      <c r="SJ9" s="33">
        <f t="shared" si="70"/>
        <v>4745334.1199994367</v>
      </c>
      <c r="SK9" s="33">
        <f t="shared" si="70"/>
        <v>4364199.5700001549</v>
      </c>
      <c r="SL9" s="127">
        <f t="shared" si="70"/>
        <v>141883271.27999967</v>
      </c>
      <c r="SM9" s="33">
        <f t="shared" si="70"/>
        <v>2957316.2400002787</v>
      </c>
      <c r="SN9" s="33">
        <f t="shared" ref="SN9:TS9" si="71">SN8*SN7</f>
        <v>8075363.4299999494</v>
      </c>
      <c r="SO9" s="33">
        <f t="shared" si="71"/>
        <v>14098961.099999892</v>
      </c>
      <c r="SP9" s="33">
        <f t="shared" si="71"/>
        <v>6085060.1700000716</v>
      </c>
      <c r="SQ9" s="33">
        <f t="shared" si="71"/>
        <v>5635843.0500004003</v>
      </c>
      <c r="SR9" s="33">
        <f t="shared" si="71"/>
        <v>5222819.5199995982</v>
      </c>
      <c r="SS9" s="33">
        <f t="shared" si="71"/>
        <v>4498321.9199999347</v>
      </c>
      <c r="ST9" s="33">
        <f t="shared" si="71"/>
        <v>4602526.5600001998</v>
      </c>
      <c r="SU9" s="33">
        <f t="shared" si="71"/>
        <v>7586090.6399995815</v>
      </c>
      <c r="SV9" s="33">
        <f t="shared" si="71"/>
        <v>5022223.8000002969</v>
      </c>
      <c r="SW9" s="33">
        <f t="shared" si="71"/>
        <v>4953131.0100004496</v>
      </c>
      <c r="SX9" s="33">
        <f t="shared" si="71"/>
        <v>4380908.4299996886</v>
      </c>
      <c r="SY9" s="33">
        <f t="shared" si="71"/>
        <v>7498514.4000000833</v>
      </c>
      <c r="SZ9" s="33">
        <f t="shared" si="71"/>
        <v>5185320.6899996176</v>
      </c>
      <c r="TA9" s="33">
        <f t="shared" si="71"/>
        <v>5455795.9200000977</v>
      </c>
      <c r="TB9" s="33">
        <f t="shared" si="71"/>
        <v>7124268.1200001398</v>
      </c>
      <c r="TC9" s="33">
        <f t="shared" si="71"/>
        <v>4877574.5999998385</v>
      </c>
      <c r="TD9" s="33">
        <f t="shared" si="71"/>
        <v>5483644.0200001448</v>
      </c>
      <c r="TE9" s="33">
        <f t="shared" si="71"/>
        <v>6105143.8799997568</v>
      </c>
      <c r="TF9" s="33">
        <f t="shared" si="71"/>
        <v>5387463.0300000478</v>
      </c>
      <c r="TG9" s="33">
        <f t="shared" si="71"/>
        <v>5339978.2199999522</v>
      </c>
      <c r="TH9" s="33">
        <f t="shared" si="71"/>
        <v>5815635.3900005706</v>
      </c>
      <c r="TI9" s="33">
        <f t="shared" si="71"/>
        <v>4769798.4299996886</v>
      </c>
      <c r="TJ9" s="33">
        <f t="shared" si="71"/>
        <v>5461204.6199999312</v>
      </c>
      <c r="TK9" s="33">
        <f t="shared" si="71"/>
        <v>2132006.7299998812</v>
      </c>
      <c r="TL9" s="33">
        <f t="shared" si="71"/>
        <v>3235993.9200000716</v>
      </c>
      <c r="TM9" s="33">
        <f t="shared" si="71"/>
        <v>4357105.6800001571</v>
      </c>
      <c r="TN9" s="33">
        <f t="shared" si="71"/>
        <v>4202157.599999683</v>
      </c>
      <c r="TO9" s="33">
        <f t="shared" si="71"/>
        <v>3782017.8300005528</v>
      </c>
      <c r="TP9" s="33">
        <f t="shared" si="71"/>
        <v>4470049.1699999934</v>
      </c>
      <c r="TQ9" s="33">
        <f t="shared" si="71"/>
        <v>5149328.2499995055</v>
      </c>
      <c r="TR9" s="127">
        <f t="shared" si="71"/>
        <v>168951566.37000003</v>
      </c>
      <c r="TS9" s="33">
        <f t="shared" si="71"/>
        <v>2933768.2800000999</v>
      </c>
      <c r="TT9" s="33">
        <f t="shared" ref="TT9:UY9" si="72">TT8*TT7</f>
        <v>4330486.8300000839</v>
      </c>
      <c r="TU9" s="33">
        <f t="shared" si="72"/>
        <v>3981250.1999998856</v>
      </c>
      <c r="TV9" s="33">
        <f t="shared" si="72"/>
        <v>4287860.9099999862</v>
      </c>
      <c r="TW9" s="33">
        <f t="shared" si="72"/>
        <v>3373312.3200002071</v>
      </c>
      <c r="TX9" s="33">
        <f t="shared" si="72"/>
        <v>4857128.8199999994</v>
      </c>
      <c r="TY9" s="33">
        <f t="shared" si="72"/>
        <v>4603340.0999999428</v>
      </c>
      <c r="TZ9" s="33">
        <f t="shared" si="72"/>
        <v>6719612.4300000006</v>
      </c>
      <c r="UA9" s="33">
        <f t="shared" si="72"/>
        <v>4935867.8699998269</v>
      </c>
      <c r="UB9" s="33">
        <f t="shared" si="72"/>
        <v>5343210.029999814</v>
      </c>
      <c r="UC9" s="33">
        <f t="shared" si="72"/>
        <v>4588110.8100004336</v>
      </c>
      <c r="UD9" s="33">
        <f t="shared" si="72"/>
        <v>4406405.30999994</v>
      </c>
      <c r="UE9" s="33">
        <f t="shared" si="72"/>
        <v>7471390.4400000861</v>
      </c>
      <c r="UF9" s="33">
        <f t="shared" si="72"/>
        <v>4393013.1900001382</v>
      </c>
      <c r="UG9" s="33">
        <f t="shared" si="72"/>
        <v>4561853.469999725</v>
      </c>
      <c r="UH9" s="33">
        <f t="shared" si="72"/>
        <v>4703979.9300000295</v>
      </c>
      <c r="UI9" s="33">
        <f t="shared" si="72"/>
        <v>5304535.3900000984</v>
      </c>
      <c r="UJ9" s="33">
        <f t="shared" si="72"/>
        <v>5390550.3199999966</v>
      </c>
      <c r="UK9" s="33">
        <f t="shared" si="72"/>
        <v>4584725.5300001707</v>
      </c>
      <c r="UL9" s="33">
        <f t="shared" si="72"/>
        <v>5414181.1899996335</v>
      </c>
      <c r="UM9" s="33">
        <f t="shared" si="72"/>
        <v>5056808.6199997934</v>
      </c>
      <c r="UN9" s="33">
        <f t="shared" si="72"/>
        <v>6493195.5400004275</v>
      </c>
      <c r="UO9" s="33">
        <f t="shared" si="72"/>
        <v>4697087.7799996212</v>
      </c>
      <c r="UP9" s="33">
        <f t="shared" si="72"/>
        <v>6279934.0100000221</v>
      </c>
      <c r="UQ9" s="33">
        <f t="shared" si="72"/>
        <v>6401262.7900001397</v>
      </c>
      <c r="UR9" s="33">
        <f t="shared" si="72"/>
        <v>6563607.7200000389</v>
      </c>
      <c r="US9" s="33">
        <f t="shared" si="72"/>
        <v>5067598.0900001451</v>
      </c>
      <c r="UT9" s="33">
        <f t="shared" si="72"/>
        <v>4553838.8200002648</v>
      </c>
      <c r="UU9" s="33">
        <f t="shared" si="72"/>
        <v>0</v>
      </c>
      <c r="UV9" s="33">
        <f t="shared" si="72"/>
        <v>3642530.459999606</v>
      </c>
      <c r="UW9" s="33">
        <f t="shared" si="72"/>
        <v>5103154.4000002015</v>
      </c>
      <c r="UX9" s="127">
        <f t="shared" si="72"/>
        <v>149670243.72000039</v>
      </c>
      <c r="UY9" s="33">
        <f t="shared" si="72"/>
        <v>5500411.6399997063</v>
      </c>
      <c r="UZ9" s="33">
        <f t="shared" ref="UZ9:WE9" si="73">UZ8*UZ7</f>
        <v>4256079.9800000079</v>
      </c>
      <c r="VA9" s="33">
        <f t="shared" si="73"/>
        <v>8508509.5900001712</v>
      </c>
      <c r="VB9" s="33">
        <f t="shared" si="73"/>
        <v>5074292.680000186</v>
      </c>
      <c r="VC9" s="33">
        <f t="shared" si="73"/>
        <v>5312940.6699993275</v>
      </c>
      <c r="VD9" s="33">
        <f t="shared" si="73"/>
        <v>3919841.8400006681</v>
      </c>
      <c r="VE9" s="33">
        <f t="shared" si="73"/>
        <v>5976521.2099996153</v>
      </c>
      <c r="VF9" s="33">
        <f t="shared" si="73"/>
        <v>7225001.9600001927</v>
      </c>
      <c r="VG9" s="33">
        <f t="shared" si="73"/>
        <v>3515287.9299999969</v>
      </c>
      <c r="VH9" s="33">
        <f t="shared" si="73"/>
        <v>5118367.4299996551</v>
      </c>
      <c r="VI9" s="33">
        <f t="shared" si="73"/>
        <v>7226947.0000003818</v>
      </c>
      <c r="VJ9" s="33">
        <f t="shared" si="73"/>
        <v>4204991.7000001278</v>
      </c>
      <c r="VK9" s="33">
        <f t="shared" si="73"/>
        <v>5471930.0999996169</v>
      </c>
      <c r="VL9" s="33">
        <f t="shared" si="73"/>
        <v>5318827.1499999911</v>
      </c>
      <c r="VM9" s="33">
        <f t="shared" si="73"/>
        <v>4703435.1000003051</v>
      </c>
      <c r="VN9" s="33">
        <f t="shared" si="73"/>
        <v>3679812.4999998678</v>
      </c>
      <c r="VO9" s="33">
        <f t="shared" si="73"/>
        <v>4762689.7499999786</v>
      </c>
      <c r="VP9" s="33">
        <f t="shared" si="73"/>
        <v>4977718.1999999378</v>
      </c>
      <c r="VQ9" s="33">
        <f t="shared" si="73"/>
        <v>6835505.9500000384</v>
      </c>
      <c r="VR9" s="33">
        <f t="shared" si="73"/>
        <v>5590999.0499998555</v>
      </c>
      <c r="VS9" s="33">
        <f t="shared" si="73"/>
        <v>5278609.6999999583</v>
      </c>
      <c r="VT9" s="33">
        <f t="shared" si="73"/>
        <v>5223859.5500002429</v>
      </c>
      <c r="VU9" s="33">
        <f t="shared" si="73"/>
        <v>4741227.4000002248</v>
      </c>
      <c r="VV9" s="33">
        <f t="shared" si="73"/>
        <v>5402733.6999995559</v>
      </c>
      <c r="VW9" s="33">
        <f t="shared" si="73"/>
        <v>5944547.7000004249</v>
      </c>
      <c r="VX9" s="33">
        <f t="shared" si="73"/>
        <v>5509858.8999999277</v>
      </c>
      <c r="VY9" s="33">
        <f t="shared" si="73"/>
        <v>5207356.6999995457</v>
      </c>
      <c r="VZ9" s="33">
        <f t="shared" si="73"/>
        <v>4949744.7999999989</v>
      </c>
      <c r="WA9" s="127">
        <f t="shared" si="73"/>
        <v>150066971.59999952</v>
      </c>
      <c r="WB9" s="33">
        <f t="shared" si="73"/>
        <v>5850176.1500003831</v>
      </c>
      <c r="WC9" s="33">
        <f t="shared" si="73"/>
        <v>3772364.0500002</v>
      </c>
      <c r="WD9" s="33">
        <f t="shared" si="73"/>
        <v>6447418.2499997988</v>
      </c>
      <c r="WE9" s="33">
        <f t="shared" si="73"/>
        <v>5223864.1000000611</v>
      </c>
      <c r="WF9" s="33">
        <f t="shared" ref="WF9:XK9" si="74">WF8*WF7</f>
        <v>4590727.0500001367</v>
      </c>
      <c r="WG9" s="33">
        <f t="shared" si="74"/>
        <v>-2730.0000004237518</v>
      </c>
      <c r="WH9" s="33">
        <f t="shared" si="74"/>
        <v>4450273.0999999763</v>
      </c>
      <c r="WI9" s="33">
        <f t="shared" si="74"/>
        <v>7100479.7500000587</v>
      </c>
      <c r="WJ9" s="33">
        <f t="shared" si="74"/>
        <v>4979101.3999998216</v>
      </c>
      <c r="WK9" s="33">
        <f t="shared" si="74"/>
        <v>5482963.8500000928</v>
      </c>
      <c r="WL9" s="33">
        <f t="shared" si="74"/>
        <v>5957224.0000003921</v>
      </c>
      <c r="WM9" s="33">
        <f t="shared" si="74"/>
        <v>4295354.6999998</v>
      </c>
      <c r="WN9" s="33">
        <f t="shared" si="74"/>
        <v>4384871.3999999277</v>
      </c>
      <c r="WO9" s="33">
        <f t="shared" si="74"/>
        <v>4673855.549999957</v>
      </c>
      <c r="WP9" s="33">
        <f t="shared" si="74"/>
        <v>6283722.9000002667</v>
      </c>
      <c r="WQ9" s="33">
        <f t="shared" si="74"/>
        <v>3410966.649999605</v>
      </c>
      <c r="WR9" s="33">
        <f t="shared" si="74"/>
        <v>5618958.8000003379</v>
      </c>
      <c r="WS9" s="33">
        <f t="shared" si="74"/>
        <v>3621681.7000000752</v>
      </c>
      <c r="WT9" s="33">
        <f t="shared" si="74"/>
        <v>5356960.6999995671</v>
      </c>
      <c r="WU9" s="33">
        <f t="shared" si="74"/>
        <v>4185053.6000003368</v>
      </c>
      <c r="WV9" s="33">
        <f t="shared" si="74"/>
        <v>6799779.3499999763</v>
      </c>
      <c r="WW9" s="33">
        <f t="shared" si="74"/>
        <v>4780935.2500000214</v>
      </c>
      <c r="WX9" s="33">
        <f t="shared" si="74"/>
        <v>4457762.4000002779</v>
      </c>
      <c r="WY9" s="33">
        <f t="shared" si="74"/>
        <v>6243578.2499997197</v>
      </c>
      <c r="WZ9" s="33">
        <f t="shared" si="74"/>
        <v>5101960.4999998566</v>
      </c>
      <c r="XA9" s="33">
        <f t="shared" si="74"/>
        <v>3481914.8000002373</v>
      </c>
      <c r="XB9" s="33">
        <f t="shared" si="74"/>
        <v>5126190.0299997786</v>
      </c>
      <c r="XC9" s="33">
        <f t="shared" si="74"/>
        <v>4312516.1399998758</v>
      </c>
      <c r="XD9" s="33">
        <f t="shared" si="74"/>
        <v>6405514.8300003186</v>
      </c>
      <c r="XE9" s="33">
        <f t="shared" si="74"/>
        <v>3976009.4700001678</v>
      </c>
      <c r="XF9" s="33">
        <f t="shared" si="74"/>
        <v>6550329.3299998641</v>
      </c>
      <c r="XG9" s="127">
        <f>SUM(WB9:XF9)</f>
        <v>152919778.05000046</v>
      </c>
      <c r="XH9" s="33">
        <f t="shared" ref="XH9:YK9" si="75">XH8*XH7</f>
        <v>3611549.7000000747</v>
      </c>
      <c r="XI9" s="33">
        <f t="shared" si="75"/>
        <v>4542768.8999996958</v>
      </c>
      <c r="XJ9" s="33">
        <f t="shared" si="75"/>
        <v>4149314.0999998236</v>
      </c>
      <c r="XK9" s="33">
        <f t="shared" si="75"/>
        <v>4713783.1200003708</v>
      </c>
      <c r="XL9" s="33">
        <f t="shared" si="75"/>
        <v>5219275.2300001746</v>
      </c>
      <c r="XM9" s="33">
        <f t="shared" si="75"/>
        <v>4739207.1299996562</v>
      </c>
      <c r="XN9" s="33">
        <f t="shared" si="75"/>
        <v>5153013.9899998335</v>
      </c>
      <c r="XO9" s="33">
        <f t="shared" si="75"/>
        <v>5170396.3199998848</v>
      </c>
      <c r="XP9" s="33">
        <f t="shared" si="75"/>
        <v>3976037.0100004072</v>
      </c>
      <c r="XQ9" s="33">
        <f t="shared" si="75"/>
        <v>4522595.8500000108</v>
      </c>
      <c r="XR9" s="33">
        <f t="shared" si="75"/>
        <v>4051918.8899999028</v>
      </c>
      <c r="XS9" s="33">
        <f t="shared" si="75"/>
        <v>5015956.5900002979</v>
      </c>
      <c r="XT9" s="33">
        <f t="shared" si="75"/>
        <v>3326327.0999997435</v>
      </c>
      <c r="XU9" s="33">
        <f t="shared" si="75"/>
        <v>4120713.8100000918</v>
      </c>
      <c r="XV9" s="33">
        <f t="shared" si="75"/>
        <v>4908706.6500001233</v>
      </c>
      <c r="XW9" s="33">
        <f t="shared" si="75"/>
        <v>4845442.6799993403</v>
      </c>
      <c r="XX9" s="33">
        <f t="shared" si="75"/>
        <v>4671780.6000004448</v>
      </c>
      <c r="XY9" s="33">
        <f t="shared" si="75"/>
        <v>4016046.8999999883</v>
      </c>
      <c r="XZ9" s="33">
        <f t="shared" si="75"/>
        <v>3516018.4499998721</v>
      </c>
      <c r="YA9" s="33">
        <f t="shared" si="75"/>
        <v>3597849.1499997284</v>
      </c>
      <c r="YB9" s="33">
        <f t="shared" si="75"/>
        <v>3582485.5500003877</v>
      </c>
      <c r="YC9" s="33">
        <f t="shared" si="75"/>
        <v>4654594.2000000561</v>
      </c>
      <c r="YD9" s="33">
        <f t="shared" si="75"/>
        <v>5492556.7499998976</v>
      </c>
      <c r="YE9" s="33">
        <f t="shared" si="75"/>
        <v>4309940.8500002986</v>
      </c>
      <c r="YF9" s="33">
        <f t="shared" si="75"/>
        <v>3921679.7999997432</v>
      </c>
      <c r="YG9" s="33">
        <f t="shared" si="75"/>
        <v>4399792.8000001814</v>
      </c>
      <c r="YH9" s="33">
        <f t="shared" si="75"/>
        <v>4134552.1499999231</v>
      </c>
      <c r="YI9" s="33">
        <f t="shared" si="75"/>
        <v>4143814.9499999154</v>
      </c>
      <c r="YJ9" s="33">
        <f t="shared" si="75"/>
        <v>3232015.0500001386</v>
      </c>
      <c r="YK9" s="33">
        <f t="shared" si="75"/>
        <v>3360713.0999998497</v>
      </c>
      <c r="YL9" s="127">
        <f>SUM(XH9:YK9)</f>
        <v>129100847.36999983</v>
      </c>
      <c r="YM9" s="33">
        <f t="shared" ref="YM9:ZQ9" si="76">YM8*YM7</f>
        <v>5797433.9999997728</v>
      </c>
      <c r="YN9" s="33">
        <f t="shared" si="76"/>
        <v>6086505.9000000311</v>
      </c>
      <c r="YO9" s="33">
        <f t="shared" si="76"/>
        <v>4565709.4499999639</v>
      </c>
      <c r="YP9" s="33">
        <f t="shared" si="76"/>
        <v>3814525.2000003108</v>
      </c>
      <c r="YQ9" s="33">
        <f t="shared" si="76"/>
        <v>4412119.9499998344</v>
      </c>
      <c r="YR9" s="33">
        <f t="shared" si="76"/>
        <v>3607646.699999948</v>
      </c>
      <c r="YS9" s="33">
        <f t="shared" si="76"/>
        <v>4191616.9500003159</v>
      </c>
      <c r="YT9" s="33">
        <f t="shared" si="76"/>
        <v>2127463.350000001</v>
      </c>
      <c r="YU9" s="33">
        <f t="shared" si="76"/>
        <v>5099273.6999994013</v>
      </c>
      <c r="YV9" s="33">
        <f t="shared" si="76"/>
        <v>4161126.9000004483</v>
      </c>
      <c r="YW9" s="33">
        <f t="shared" si="76"/>
        <v>4265635.6500003403</v>
      </c>
      <c r="YX9" s="33">
        <f t="shared" si="76"/>
        <v>3021681.5999998334</v>
      </c>
      <c r="YY9" s="33">
        <f t="shared" si="76"/>
        <v>4819729.649999815</v>
      </c>
      <c r="YZ9" s="33">
        <f t="shared" si="76"/>
        <v>4596060.000000379</v>
      </c>
      <c r="ZA9" s="33">
        <f t="shared" si="76"/>
        <v>3782240.2499995017</v>
      </c>
      <c r="ZB9" s="33">
        <f t="shared" si="76"/>
        <v>4158341.5500002359</v>
      </c>
      <c r="ZC9" s="33">
        <f t="shared" si="76"/>
        <v>5667373.5000000382</v>
      </c>
      <c r="ZD9" s="33">
        <f t="shared" si="76"/>
        <v>3331250.6999996668</v>
      </c>
      <c r="ZE9" s="33">
        <f t="shared" si="76"/>
        <v>4949171.700000219</v>
      </c>
      <c r="ZF9" s="33">
        <f t="shared" si="76"/>
        <v>3525504.4500000454</v>
      </c>
      <c r="ZG9" s="33">
        <f t="shared" si="76"/>
        <v>6078917.0999998385</v>
      </c>
      <c r="ZH9" s="33">
        <f t="shared" si="76"/>
        <v>5418686.8500000387</v>
      </c>
      <c r="ZI9" s="33">
        <f t="shared" si="76"/>
        <v>4351018.9500003103</v>
      </c>
      <c r="ZJ9" s="33">
        <f t="shared" si="76"/>
        <v>5891387.2499997132</v>
      </c>
      <c r="ZK9" s="33">
        <f t="shared" si="76"/>
        <v>3553083.6000000983</v>
      </c>
      <c r="ZL9" s="33">
        <f t="shared" si="76"/>
        <v>5529449.8500000713</v>
      </c>
      <c r="ZM9" s="33">
        <f t="shared" si="76"/>
        <v>4945884.1499998365</v>
      </c>
      <c r="ZN9" s="33">
        <f t="shared" si="76"/>
        <v>4605680.8499997845</v>
      </c>
      <c r="ZO9" s="33">
        <f t="shared" si="76"/>
        <v>4549662.3000003658</v>
      </c>
      <c r="ZP9" s="33">
        <f t="shared" si="76"/>
        <v>5542925.5499997381</v>
      </c>
      <c r="ZQ9" s="33">
        <f t="shared" si="76"/>
        <v>4337124.7500001192</v>
      </c>
      <c r="ZR9" s="127">
        <f>SUM(YN9:ZQ9)</f>
        <v>134986798.35000026</v>
      </c>
      <c r="ZS9" s="33">
        <f t="shared" ref="ZS9:AAV9" si="77">ZS8*ZS7</f>
        <v>5888429.8500002613</v>
      </c>
      <c r="ZT9" s="33">
        <f t="shared" si="77"/>
        <v>4777349.5499996729</v>
      </c>
      <c r="ZU9" s="33">
        <f t="shared" si="77"/>
        <v>4189296.6000001309</v>
      </c>
      <c r="ZV9" s="33">
        <f t="shared" si="77"/>
        <v>3925771.7999997651</v>
      </c>
      <c r="ZW9" s="33">
        <f t="shared" si="77"/>
        <v>4831224.4499999918</v>
      </c>
      <c r="ZX9" s="33">
        <f t="shared" si="77"/>
        <v>4575744.1499999445</v>
      </c>
      <c r="ZY9" s="33">
        <f t="shared" si="77"/>
        <v>5349652.950000219</v>
      </c>
      <c r="ZZ9" s="33">
        <f t="shared" si="77"/>
        <v>4563630.9000001671</v>
      </c>
      <c r="AAA9" s="33">
        <f t="shared" si="77"/>
        <v>3695192.2499997672</v>
      </c>
      <c r="AAB9" s="33">
        <f t="shared" si="77"/>
        <v>9032634.3000001702</v>
      </c>
      <c r="AAC9" s="33">
        <f t="shared" si="77"/>
        <v>6312319.19999965</v>
      </c>
      <c r="AAD9" s="33">
        <f t="shared" si="77"/>
        <v>4814456.5500003984</v>
      </c>
      <c r="AAE9" s="33">
        <f t="shared" si="77"/>
        <v>5096539.4999998594</v>
      </c>
      <c r="AAF9" s="33">
        <f t="shared" si="77"/>
        <v>5252467.9500002461</v>
      </c>
      <c r="AAG9" s="33">
        <f t="shared" si="77"/>
        <v>4738140.7499999404</v>
      </c>
      <c r="AAH9" s="33">
        <f t="shared" si="77"/>
        <v>4678513.7999999225</v>
      </c>
      <c r="AAI9" s="33">
        <f t="shared" si="77"/>
        <v>3778138.9499998507</v>
      </c>
      <c r="AAJ9" s="33">
        <f t="shared" si="77"/>
        <v>7010395.799999835</v>
      </c>
      <c r="AAK9" s="33">
        <f t="shared" si="77"/>
        <v>4490993.2499998324</v>
      </c>
      <c r="AAL9" s="33">
        <f t="shared" si="77"/>
        <v>4767277.6500002267</v>
      </c>
      <c r="AAM9" s="33">
        <f t="shared" si="77"/>
        <v>5854908.0000001136</v>
      </c>
      <c r="AAN9" s="33">
        <f t="shared" si="77"/>
        <v>3516064.9500000509</v>
      </c>
      <c r="AAO9" s="33">
        <f t="shared" si="77"/>
        <v>5642054.2499995995</v>
      </c>
      <c r="AAP9" s="33">
        <f t="shared" si="77"/>
        <v>3944925.1500004698</v>
      </c>
      <c r="AAQ9" s="33">
        <f t="shared" si="77"/>
        <v>3869199.8999996418</v>
      </c>
      <c r="AAR9" s="33">
        <f t="shared" si="77"/>
        <v>4210430.8500003256</v>
      </c>
      <c r="AAS9" s="33">
        <f t="shared" si="77"/>
        <v>4422568.4999999842</v>
      </c>
      <c r="AAT9" s="33">
        <f t="shared" si="77"/>
        <v>4841370.7500002654</v>
      </c>
      <c r="AAU9" s="33">
        <f t="shared" si="77"/>
        <v>3627530.0999996006</v>
      </c>
      <c r="AAV9" s="33">
        <f t="shared" si="77"/>
        <v>3623963.5500000413</v>
      </c>
      <c r="AAW9" s="127">
        <f>SUM(ZS9:AAV9)</f>
        <v>145321186.19999996</v>
      </c>
      <c r="AAX9" s="33">
        <f t="shared" ref="AAX9:ACB9" si="78">AAX8*AAX7</f>
        <v>5147196.5999999959</v>
      </c>
      <c r="AAY9" s="33">
        <f t="shared" si="78"/>
        <v>3980669.6999999536</v>
      </c>
      <c r="AAZ9" s="33">
        <f t="shared" si="78"/>
        <v>4942582.6500001447</v>
      </c>
      <c r="ABA9" s="33">
        <f t="shared" si="78"/>
        <v>4451654.2499998696</v>
      </c>
      <c r="ABB9" s="33">
        <f t="shared" si="78"/>
        <v>4559087.8499999689</v>
      </c>
      <c r="ABC9" s="33">
        <f t="shared" si="78"/>
        <v>4117189.0500003444</v>
      </c>
      <c r="ABD9" s="33">
        <f t="shared" si="78"/>
        <v>4845676.6499998905</v>
      </c>
      <c r="ABE9" s="33">
        <f t="shared" si="78"/>
        <v>5023474.0500000464</v>
      </c>
      <c r="ABF9" s="33">
        <f t="shared" si="78"/>
        <v>3530293.9499997692</v>
      </c>
      <c r="ABG9" s="33">
        <f t="shared" si="78"/>
        <v>5560669.9500003755</v>
      </c>
      <c r="ABH9" s="33">
        <f t="shared" si="78"/>
        <v>5238634.199999542</v>
      </c>
      <c r="ABI9" s="33">
        <f t="shared" si="78"/>
        <v>4139481.1499999124</v>
      </c>
      <c r="ABJ9" s="33">
        <f t="shared" si="78"/>
        <v>4467055.0500003006</v>
      </c>
      <c r="ABK9" s="33">
        <f t="shared" si="78"/>
        <v>5422704.4499999098</v>
      </c>
      <c r="ABL9" s="33">
        <f t="shared" si="78"/>
        <v>4414193.8500000881</v>
      </c>
      <c r="ABM9" s="33">
        <f t="shared" si="78"/>
        <v>4374589.7999998517</v>
      </c>
      <c r="ABN9" s="33">
        <f t="shared" si="78"/>
        <v>4315232.550000187</v>
      </c>
      <c r="ABO9" s="33">
        <f t="shared" si="78"/>
        <v>6188182.7999999383</v>
      </c>
      <c r="ABP9" s="33">
        <f t="shared" si="78"/>
        <v>5634386.3999997117</v>
      </c>
      <c r="ABQ9" s="33">
        <f t="shared" si="78"/>
        <v>3881940.9000002751</v>
      </c>
      <c r="ABR9" s="33">
        <f t="shared" si="78"/>
        <v>2998705.9500000076</v>
      </c>
      <c r="ABS9" s="33">
        <f t="shared" si="78"/>
        <v>3370575.7499997779</v>
      </c>
      <c r="ABT9" s="33">
        <f t="shared" si="78"/>
        <v>4548095.2500000978</v>
      </c>
      <c r="ABU9" s="33">
        <f t="shared" si="78"/>
        <v>3949607.7000002568</v>
      </c>
      <c r="ABV9" s="33">
        <f t="shared" si="78"/>
        <v>4844151.4499999862</v>
      </c>
      <c r="ABW9" s="33">
        <f t="shared" si="78"/>
        <v>4276809.5999994865</v>
      </c>
      <c r="ABX9" s="33">
        <f t="shared" si="78"/>
        <v>3673727.8500002665</v>
      </c>
      <c r="ABY9" s="33">
        <f t="shared" si="78"/>
        <v>6468828.8999997657</v>
      </c>
      <c r="ABZ9" s="33">
        <f t="shared" si="78"/>
        <v>4835070.0000007581</v>
      </c>
      <c r="ACA9" s="33">
        <f t="shared" si="78"/>
        <v>3752801.0999994762</v>
      </c>
      <c r="ACB9" s="33">
        <f t="shared" si="78"/>
        <v>3884995.9500003052</v>
      </c>
      <c r="ACC9" s="127">
        <f>SUM(AAX9:ACB9)</f>
        <v>140838265.35000026</v>
      </c>
      <c r="ACD9" s="33">
        <f t="shared" ref="ACD9:ADH9" si="79">ACD8*ACD7</f>
        <v>5375665.0499994615</v>
      </c>
      <c r="ACE9" s="33">
        <f t="shared" si="79"/>
        <v>5943378.9000003077</v>
      </c>
      <c r="ACF9" s="33">
        <f t="shared" si="79"/>
        <v>4718643.2999999439</v>
      </c>
      <c r="ACG9" s="33">
        <f t="shared" si="79"/>
        <v>4641351.0000000652</v>
      </c>
      <c r="ACH9" s="33">
        <f t="shared" si="79"/>
        <v>4357649.8500000713</v>
      </c>
      <c r="ACI9" s="33">
        <f t="shared" si="79"/>
        <v>4748022.0000000754</v>
      </c>
      <c r="ACJ9" s="33">
        <f t="shared" si="79"/>
        <v>4442921.5499997493</v>
      </c>
      <c r="ACK9" s="33">
        <f t="shared" si="79"/>
        <v>5243688.749999946</v>
      </c>
      <c r="ACL9" s="33">
        <f t="shared" si="79"/>
        <v>4790894.999999946</v>
      </c>
      <c r="ACM9" s="33">
        <f t="shared" si="79"/>
        <v>3601699.3500000387</v>
      </c>
      <c r="ACN9" s="33">
        <f t="shared" si="79"/>
        <v>5027356.8000002792</v>
      </c>
      <c r="ACO9" s="33">
        <f t="shared" si="79"/>
        <v>4670664.5999998115</v>
      </c>
      <c r="ACP9" s="33">
        <f t="shared" si="79"/>
        <v>3977809.9500004025</v>
      </c>
      <c r="ACQ9" s="33">
        <f t="shared" si="79"/>
        <v>5783632.7999995323</v>
      </c>
      <c r="ACR9" s="33">
        <f t="shared" si="79"/>
        <v>4475006.5499998573</v>
      </c>
      <c r="ACS9" s="33">
        <f t="shared" si="79"/>
        <v>5201141.250000108</v>
      </c>
      <c r="ACT9" s="33">
        <f t="shared" si="79"/>
        <v>4198857.0000004545</v>
      </c>
      <c r="ACU9" s="33">
        <f t="shared" si="79"/>
        <v>5511868.1999997208</v>
      </c>
      <c r="ACV9" s="33">
        <f t="shared" si="79"/>
        <v>4801924.7999998247</v>
      </c>
      <c r="ACW9" s="33">
        <f t="shared" si="79"/>
        <v>4186636.8000003332</v>
      </c>
      <c r="ACX9" s="33">
        <f t="shared" si="79"/>
        <v>3979628.0999998767</v>
      </c>
      <c r="ACY9" s="33">
        <f t="shared" si="79"/>
        <v>4386758.8500001151</v>
      </c>
      <c r="ACZ9" s="33">
        <f t="shared" si="79"/>
        <v>4703335.4999995995</v>
      </c>
      <c r="ADA9" s="33">
        <f t="shared" si="79"/>
        <v>4797116.7000004351</v>
      </c>
      <c r="ADB9" s="33">
        <f t="shared" si="79"/>
        <v>4784747.6999997422</v>
      </c>
      <c r="ADC9" s="33">
        <f t="shared" si="79"/>
        <v>3772438.0500000087</v>
      </c>
      <c r="ADD9" s="33">
        <f t="shared" si="79"/>
        <v>4288941.4499997422</v>
      </c>
      <c r="ADE9" s="33">
        <f t="shared" si="79"/>
        <v>4321742.5500003006</v>
      </c>
      <c r="ADF9" s="33">
        <f t="shared" si="79"/>
        <v>4433551.8000002252</v>
      </c>
      <c r="ADG9" s="33">
        <f t="shared" si="79"/>
        <v>4348480.0500000305</v>
      </c>
      <c r="ADH9" s="33">
        <f t="shared" si="79"/>
        <v>4048024.9500000239</v>
      </c>
      <c r="ADI9" s="127">
        <f>SUM(ACD9:ADH9)</f>
        <v>143563579.20000005</v>
      </c>
      <c r="ADJ9" s="33">
        <f t="shared" ref="ADJ9:AEM9" si="80">ADJ8*ADJ7</f>
        <v>4098970.3500000499</v>
      </c>
      <c r="ADK9" s="33">
        <f t="shared" si="80"/>
        <v>4504203.8999994956</v>
      </c>
      <c r="ADL9" s="33">
        <f t="shared" si="80"/>
        <v>5365844.2500005737</v>
      </c>
      <c r="ADM9" s="33">
        <f t="shared" si="80"/>
        <v>4709324.6999996016</v>
      </c>
      <c r="ADN9" s="33">
        <f t="shared" si="80"/>
        <v>5087527.8000000194</v>
      </c>
      <c r="ADO9" s="33">
        <f t="shared" si="80"/>
        <v>5089652.850000266</v>
      </c>
      <c r="ADP9" s="33">
        <f t="shared" si="80"/>
        <v>3969663.1499996902</v>
      </c>
      <c r="ADQ9" s="33">
        <f t="shared" si="80"/>
        <v>3390087.1500001666</v>
      </c>
      <c r="ADR9" s="33">
        <f t="shared" si="80"/>
        <v>5065031.0999998003</v>
      </c>
      <c r="ADS9" s="33">
        <f t="shared" si="80"/>
        <v>4258084.0500002904</v>
      </c>
      <c r="ADT9" s="33">
        <f t="shared" si="80"/>
        <v>4902755.3999998635</v>
      </c>
      <c r="ADU9" s="33">
        <f t="shared" si="80"/>
        <v>4816669.9499999695</v>
      </c>
      <c r="ADV9" s="33">
        <f t="shared" si="80"/>
        <v>5572713.4500003597</v>
      </c>
      <c r="ADW9" s="33">
        <f t="shared" si="80"/>
        <v>3284462.4000000479</v>
      </c>
      <c r="ADX9" s="33">
        <f t="shared" si="80"/>
        <v>5581994.8499997463</v>
      </c>
      <c r="ADY9" s="33">
        <f t="shared" si="80"/>
        <v>4627075.4999994915</v>
      </c>
      <c r="ADZ9" s="33">
        <f t="shared" si="80"/>
        <v>4179629.2500004116</v>
      </c>
      <c r="AEA9" s="33">
        <f t="shared" si="80"/>
        <v>4394649.8999995068</v>
      </c>
      <c r="AEB9" s="33">
        <f t="shared" si="80"/>
        <v>3899648.1000003638</v>
      </c>
      <c r="AEC9" s="33">
        <f t="shared" si="80"/>
        <v>5232696.1499999389</v>
      </c>
      <c r="AED9" s="33">
        <f t="shared" si="80"/>
        <v>4124922.0000003465</v>
      </c>
      <c r="AEE9" s="33">
        <f t="shared" si="80"/>
        <v>4924284.8999998849</v>
      </c>
      <c r="AEF9" s="33">
        <f t="shared" si="80"/>
        <v>4322672.5499998135</v>
      </c>
      <c r="AEG9" s="33">
        <f t="shared" si="80"/>
        <v>3349915.800000052</v>
      </c>
      <c r="AEH9" s="33">
        <f t="shared" si="80"/>
        <v>3276073.8000000305</v>
      </c>
      <c r="AEI9" s="33">
        <f t="shared" si="80"/>
        <v>4764399.2999997921</v>
      </c>
      <c r="AEJ9" s="33">
        <f t="shared" si="80"/>
        <v>4854600.000000271</v>
      </c>
      <c r="AEK9" s="33">
        <f t="shared" si="80"/>
        <v>2891374.6499998961</v>
      </c>
      <c r="AEL9" s="33">
        <f t="shared" si="80"/>
        <v>3379885.0499998135</v>
      </c>
      <c r="AEM9" s="33">
        <f t="shared" si="80"/>
        <v>5269798.5000001732</v>
      </c>
      <c r="AEN9" s="127">
        <f>SUM(ADJ9:AEM9)</f>
        <v>133188610.79999973</v>
      </c>
      <c r="AEO9" s="33">
        <f t="shared" ref="AEO9:AFS9" si="81">AEO8*AEO7</f>
        <v>3657876.0000000652</v>
      </c>
      <c r="AEP9" s="33">
        <f t="shared" si="81"/>
        <v>3922321.4999997728</v>
      </c>
      <c r="AEQ9" s="33">
        <f t="shared" si="81"/>
        <v>3423618.3000002145</v>
      </c>
      <c r="AER9" s="33">
        <f t="shared" si="81"/>
        <v>3841936.9499997208</v>
      </c>
      <c r="AES9" s="33">
        <f t="shared" si="81"/>
        <v>3961176.8999999068</v>
      </c>
      <c r="AET9" s="33">
        <f t="shared" si="81"/>
        <v>4430668.8000005176</v>
      </c>
      <c r="AEU9" s="33">
        <f t="shared" si="81"/>
        <v>3695020.2000001213</v>
      </c>
      <c r="AEV9" s="33">
        <f t="shared" si="81"/>
        <v>4485887.5499997055</v>
      </c>
      <c r="AEW9" s="33">
        <f t="shared" si="81"/>
        <v>4447027.499999892</v>
      </c>
      <c r="AEX9" s="33">
        <f t="shared" si="81"/>
        <v>4212621.0000002813</v>
      </c>
      <c r="AEY9" s="33">
        <f t="shared" si="81"/>
        <v>3953369.5499996189</v>
      </c>
      <c r="AEZ9" s="33">
        <f t="shared" si="81"/>
        <v>2666370.4500002731</v>
      </c>
      <c r="AFA9" s="33">
        <f t="shared" si="81"/>
        <v>4142494.3499999847</v>
      </c>
      <c r="AFB9" s="33">
        <f t="shared" si="81"/>
        <v>3176907.8999997554</v>
      </c>
      <c r="AFC9" s="33">
        <f t="shared" si="81"/>
        <v>4261645.9500000346</v>
      </c>
      <c r="AFD9" s="33">
        <f t="shared" si="81"/>
        <v>4052902.8000000194</v>
      </c>
      <c r="AFE9" s="33">
        <f t="shared" si="81"/>
        <v>4602416.5499999654</v>
      </c>
      <c r="AFF9" s="33">
        <f t="shared" si="81"/>
        <v>4943391.7499998696</v>
      </c>
      <c r="AFG9" s="33">
        <f t="shared" si="81"/>
        <v>4488719.4000002313</v>
      </c>
      <c r="AFH9" s="33">
        <f t="shared" si="81"/>
        <v>4653236.4000002537</v>
      </c>
      <c r="AFI9" s="33">
        <f t="shared" si="81"/>
        <v>3561676.7999996841</v>
      </c>
      <c r="AFJ9" s="33">
        <f t="shared" si="81"/>
        <v>3014729.8500001254</v>
      </c>
      <c r="AFK9" s="33">
        <f t="shared" si="81"/>
        <v>3907404.3000001172</v>
      </c>
      <c r="AFL9" s="33">
        <f t="shared" si="81"/>
        <v>3291651.299999922</v>
      </c>
      <c r="AFM9" s="33">
        <f t="shared" si="81"/>
        <v>4825788.6000000173</v>
      </c>
      <c r="AFN9" s="33">
        <f t="shared" si="81"/>
        <v>3478553.4000000041</v>
      </c>
      <c r="AFO9" s="33">
        <f t="shared" si="81"/>
        <v>3870715.7999997814</v>
      </c>
      <c r="AFP9" s="33">
        <f t="shared" si="81"/>
        <v>3959251.7999999546</v>
      </c>
      <c r="AFQ9" s="33">
        <f t="shared" si="81"/>
        <v>2753581.2000002945</v>
      </c>
      <c r="AFR9" s="33">
        <f t="shared" si="81"/>
        <v>4560599.0999996169</v>
      </c>
      <c r="AFS9" s="33">
        <f t="shared" si="81"/>
        <v>3349701.9000001773</v>
      </c>
      <c r="AFT9" s="127">
        <f>SUM(AEO9:AFS9)</f>
        <v>121593263.84999993</v>
      </c>
      <c r="AFU9" s="33">
        <f t="shared" ref="AFU9:AGX9" si="82">AFU8*AFU7</f>
        <v>3890496.8999998528</v>
      </c>
      <c r="AFV9" s="33">
        <f t="shared" si="82"/>
        <v>3497655.6000003098</v>
      </c>
      <c r="AFW9" s="33">
        <f t="shared" si="82"/>
        <v>3953364.8999999394</v>
      </c>
      <c r="AFX9" s="33">
        <f t="shared" si="82"/>
        <v>3290451.5999997789</v>
      </c>
      <c r="AFY9" s="33">
        <f t="shared" si="82"/>
        <v>4065634.5000003465</v>
      </c>
      <c r="AFZ9" s="33">
        <f t="shared" si="82"/>
        <v>3129668.5500000953</v>
      </c>
      <c r="AGA9" s="33">
        <f t="shared" si="82"/>
        <v>4037836.8000000627</v>
      </c>
      <c r="AGB9" s="33">
        <f t="shared" si="82"/>
        <v>3314719.9499996989</v>
      </c>
      <c r="AGC9" s="33">
        <f t="shared" si="82"/>
        <v>3440883.7500001625</v>
      </c>
      <c r="AGD9" s="33">
        <f t="shared" si="82"/>
        <v>3647873.8500000066</v>
      </c>
      <c r="AGE9" s="33">
        <f t="shared" si="82"/>
        <v>3987272.7000002838</v>
      </c>
      <c r="AGF9" s="33">
        <f t="shared" si="82"/>
        <v>3846754.3499995517</v>
      </c>
      <c r="AGG9" s="33">
        <f t="shared" si="82"/>
        <v>3433987.7999998573</v>
      </c>
      <c r="AGH9" s="33">
        <f t="shared" si="82"/>
        <v>3654704.7000001972</v>
      </c>
      <c r="AGI9" s="33">
        <f t="shared" si="82"/>
        <v>3291669.8999997228</v>
      </c>
      <c r="AGJ9" s="33">
        <f t="shared" si="82"/>
        <v>3948691.6500001885</v>
      </c>
      <c r="AGK9" s="33">
        <f t="shared" si="82"/>
        <v>2838020.5500004957</v>
      </c>
      <c r="AGL9" s="33">
        <f t="shared" si="82"/>
        <v>3642991.3499992485</v>
      </c>
      <c r="AGM9" s="33">
        <f t="shared" si="82"/>
        <v>3325935.750000563</v>
      </c>
      <c r="AGN9" s="33">
        <f t="shared" si="82"/>
        <v>4114873.3499997035</v>
      </c>
      <c r="AGO9" s="33">
        <f t="shared" si="82"/>
        <v>4338584.8499999093</v>
      </c>
      <c r="AGP9" s="33">
        <f t="shared" si="82"/>
        <v>5350747.6030001463</v>
      </c>
      <c r="AGQ9" s="33">
        <f t="shared" si="82"/>
        <v>4615415.4000004232</v>
      </c>
      <c r="AGR9" s="33">
        <f t="shared" si="82"/>
        <v>3374912.1979994788</v>
      </c>
      <c r="AGS9" s="33">
        <f t="shared" si="82"/>
        <v>3268829.5179999769</v>
      </c>
      <c r="AGT9" s="33">
        <f t="shared" si="82"/>
        <v>4158686.7019998855</v>
      </c>
      <c r="AGU9" s="33">
        <f t="shared" si="82"/>
        <v>3699719.8960005464</v>
      </c>
      <c r="AGV9" s="33">
        <f t="shared" si="82"/>
        <v>5015104.1869999487</v>
      </c>
      <c r="AGW9" s="33">
        <f t="shared" si="82"/>
        <v>4911591.6919996636</v>
      </c>
      <c r="AGX9" s="33">
        <f t="shared" si="82"/>
        <v>3813231.0930001885</v>
      </c>
      <c r="AGY9" s="127">
        <f>SUM(AFU9:AGX9)</f>
        <v>114900311.63900022</v>
      </c>
      <c r="AGZ9" s="33">
        <f t="shared" ref="AGZ9:AID9" si="83">AGZ8*AGZ7</f>
        <v>4016853.4309998685</v>
      </c>
      <c r="AHA9" s="33">
        <f t="shared" si="83"/>
        <v>4117631.9770000447</v>
      </c>
      <c r="AHB9" s="33">
        <f t="shared" si="83"/>
        <v>4962149.2780001992</v>
      </c>
      <c r="AHC9" s="33">
        <f t="shared" si="83"/>
        <v>3913035.7109998353</v>
      </c>
      <c r="AHD9" s="33">
        <f t="shared" si="83"/>
        <v>6640007.6600000104</v>
      </c>
      <c r="AHE9" s="33">
        <f t="shared" si="83"/>
        <v>3471293.9820001088</v>
      </c>
      <c r="AHF9" s="33">
        <f t="shared" si="83"/>
        <v>3977222.0539996731</v>
      </c>
      <c r="AHG9" s="33">
        <f t="shared" si="83"/>
        <v>3756752.7269999166</v>
      </c>
      <c r="AHH9" s="33">
        <f t="shared" si="83"/>
        <v>5040888.0080000404</v>
      </c>
      <c r="AHI9" s="33">
        <f t="shared" si="83"/>
        <v>3800072.8870001943</v>
      </c>
      <c r="AHJ9" s="33">
        <f t="shared" si="83"/>
        <v>2393007.4739998011</v>
      </c>
      <c r="AHK9" s="33">
        <f t="shared" si="83"/>
        <v>4891433.4560001772</v>
      </c>
      <c r="AHL9" s="33">
        <f t="shared" si="83"/>
        <v>4014521.4460000601</v>
      </c>
      <c r="AHM9" s="33">
        <f t="shared" si="83"/>
        <v>2811010.3060000171</v>
      </c>
      <c r="AHN9" s="33">
        <f t="shared" si="83"/>
        <v>4593639.4789997265</v>
      </c>
      <c r="AHO9" s="33">
        <f t="shared" si="83"/>
        <v>4038980.8160006688</v>
      </c>
      <c r="AHP9" s="33">
        <f t="shared" si="83"/>
        <v>3914908.0229995493</v>
      </c>
      <c r="AHQ9" s="33">
        <f t="shared" si="83"/>
        <v>4457286.5220000446</v>
      </c>
      <c r="AHR9" s="33">
        <f t="shared" si="83"/>
        <v>4050668.9989999617</v>
      </c>
      <c r="AHS9" s="33">
        <f t="shared" si="83"/>
        <v>3502242.1979996026</v>
      </c>
      <c r="AHT9" s="33">
        <f t="shared" si="83"/>
        <v>4303990.977000718</v>
      </c>
      <c r="AHU9" s="33">
        <f t="shared" si="83"/>
        <v>4523225.8629992716</v>
      </c>
      <c r="AHV9" s="33">
        <f t="shared" si="83"/>
        <v>4888524.030000085</v>
      </c>
      <c r="AHW9" s="33">
        <f t="shared" si="83"/>
        <v>3741787.9980004574</v>
      </c>
      <c r="AHX9" s="33">
        <f t="shared" si="83"/>
        <v>2756190.1119997669</v>
      </c>
      <c r="AHY9" s="33">
        <f t="shared" si="83"/>
        <v>2573832.4300002456</v>
      </c>
      <c r="AHZ9" s="33">
        <f t="shared" si="83"/>
        <v>3026202.2829999337</v>
      </c>
      <c r="AIA9" s="33">
        <f t="shared" si="83"/>
        <v>2358883.6700001284</v>
      </c>
      <c r="AIB9" s="33">
        <f t="shared" si="83"/>
        <v>3310646.8589993846</v>
      </c>
      <c r="AIC9" s="33">
        <f t="shared" si="83"/>
        <v>3478209.6050002994</v>
      </c>
      <c r="AID9" s="33">
        <f t="shared" si="83"/>
        <v>4249895.844999915</v>
      </c>
      <c r="AIE9" s="127">
        <f>SUM(AGZ9:AID9)</f>
        <v>121574996.10599971</v>
      </c>
      <c r="AIF9" s="33">
        <f t="shared" ref="AIF9:AJJ9" si="84">AIF8*AIF7</f>
        <v>3342228.3570001088</v>
      </c>
      <c r="AIG9" s="33">
        <f t="shared" si="84"/>
        <v>3544474.7650000425</v>
      </c>
      <c r="AIH9" s="33">
        <f t="shared" si="84"/>
        <v>3776724.0549999787</v>
      </c>
      <c r="AII9" s="33">
        <f t="shared" si="84"/>
        <v>2673808.3840003461</v>
      </c>
      <c r="AIJ9" s="33">
        <f t="shared" si="84"/>
        <v>3492050.0289997798</v>
      </c>
      <c r="AIK9" s="33">
        <f t="shared" si="84"/>
        <v>4228460.6260003056</v>
      </c>
      <c r="AIL9" s="33">
        <f t="shared" si="84"/>
        <v>3959077.1479998161</v>
      </c>
      <c r="AIM9" s="33">
        <f t="shared" si="84"/>
        <v>4204340.841999799</v>
      </c>
      <c r="AIN9" s="33">
        <f t="shared" si="84"/>
        <v>4224844.4940000363</v>
      </c>
      <c r="AIO9" s="33">
        <f t="shared" si="84"/>
        <v>5250724.6220001513</v>
      </c>
      <c r="AIP9" s="33">
        <f t="shared" si="84"/>
        <v>2770168.2059999104</v>
      </c>
      <c r="AIQ9" s="33">
        <f t="shared" si="84"/>
        <v>3199588.4699999145</v>
      </c>
      <c r="AIR9" s="33">
        <f t="shared" si="84"/>
        <v>2909531.546999671</v>
      </c>
      <c r="AIS9" s="33">
        <f t="shared" si="84"/>
        <v>3212677.4400005247</v>
      </c>
      <c r="AIT9" s="33">
        <f t="shared" si="84"/>
        <v>1297902.1859998994</v>
      </c>
      <c r="AIU9" s="33">
        <f t="shared" si="84"/>
        <v>1474871.7060000813</v>
      </c>
      <c r="AIV9" s="33">
        <f t="shared" si="84"/>
        <v>1500948.0359997386</v>
      </c>
      <c r="AIW9" s="33">
        <f t="shared" si="84"/>
        <v>2296395.6750000534</v>
      </c>
      <c r="AIX9" s="33">
        <f t="shared" si="84"/>
        <v>3482588.1509997817</v>
      </c>
      <c r="AIY9" s="33">
        <f t="shared" si="84"/>
        <v>3229781.1210001777</v>
      </c>
      <c r="AIZ9" s="33">
        <f t="shared" si="84"/>
        <v>3896208.4140002076</v>
      </c>
      <c r="AJA9" s="33">
        <f t="shared" si="84"/>
        <v>2998101.8969994239</v>
      </c>
      <c r="AJB9" s="33">
        <f t="shared" si="84"/>
        <v>3269774.0250001606</v>
      </c>
      <c r="AJC9" s="33">
        <f t="shared" si="84"/>
        <v>3874726.4850003319</v>
      </c>
      <c r="AJD9" s="33">
        <f t="shared" si="84"/>
        <v>2310822.7379994625</v>
      </c>
      <c r="AJE9" s="33">
        <f t="shared" si="84"/>
        <v>3106210.5900004175</v>
      </c>
      <c r="AJF9" s="33">
        <f t="shared" si="84"/>
        <v>3650768.9819998629</v>
      </c>
      <c r="AJG9" s="33">
        <f t="shared" si="84"/>
        <v>4284773.3250002144</v>
      </c>
      <c r="AJH9" s="33">
        <f t="shared" si="84"/>
        <v>3474673.2720002271</v>
      </c>
      <c r="AJI9" s="33">
        <f t="shared" si="84"/>
        <v>4265669.0789995007</v>
      </c>
      <c r="AJJ9" s="33">
        <f t="shared" si="84"/>
        <v>3804651.5220002271</v>
      </c>
      <c r="AJK9" s="127">
        <f>SUM(AIF9:AJJ9)</f>
        <v>103007566.18900016</v>
      </c>
      <c r="AJL9" s="33">
        <f t="shared" ref="AJL9:AKM9" si="85">AJL8*AJL7</f>
        <v>3206786.1209999099</v>
      </c>
      <c r="AJM9" s="33">
        <f t="shared" si="85"/>
        <v>3734654.7420000876</v>
      </c>
      <c r="AJN9" s="33">
        <f t="shared" si="85"/>
        <v>3496697.8830001801</v>
      </c>
      <c r="AJO9" s="33">
        <f t="shared" si="85"/>
        <v>3514900.7250001072</v>
      </c>
      <c r="AJP9" s="33">
        <f t="shared" si="85"/>
        <v>4637994.9209996955</v>
      </c>
      <c r="AJQ9" s="33">
        <f t="shared" si="85"/>
        <v>3245762.6459998032</v>
      </c>
      <c r="AJR9" s="33">
        <f t="shared" si="85"/>
        <v>3175370.35200042</v>
      </c>
      <c r="AJS9" s="33">
        <f t="shared" si="85"/>
        <v>4646093.7599999569</v>
      </c>
      <c r="AJT9" s="33">
        <f t="shared" si="85"/>
        <v>4183222.8060001885</v>
      </c>
      <c r="AJU9" s="33">
        <f t="shared" si="85"/>
        <v>3767652.5669997665</v>
      </c>
      <c r="AJV9" s="33">
        <f t="shared" si="85"/>
        <v>3835763.756999488</v>
      </c>
      <c r="AJW9" s="33">
        <f t="shared" si="85"/>
        <v>4820106.1230004905</v>
      </c>
      <c r="AJX9" s="33">
        <f t="shared" si="85"/>
        <v>4300754.8500001067</v>
      </c>
      <c r="AJY9" s="33">
        <f t="shared" si="85"/>
        <v>3522700.6289995546</v>
      </c>
      <c r="AJZ9" s="33">
        <f t="shared" si="85"/>
        <v>3508705.8719997988</v>
      </c>
      <c r="AKA9" s="33">
        <f t="shared" si="85"/>
        <v>3614363.2980005438</v>
      </c>
      <c r="AKB9" s="33">
        <f t="shared" si="85"/>
        <v>3125259.6480001155</v>
      </c>
      <c r="AKC9" s="33">
        <f t="shared" si="85"/>
        <v>3226837.7609995781</v>
      </c>
      <c r="AKD9" s="33">
        <f t="shared" si="85"/>
        <v>3286601.766000092</v>
      </c>
      <c r="AKE9" s="33">
        <f t="shared" si="85"/>
        <v>4529315.9519999912</v>
      </c>
      <c r="AKF9" s="33">
        <f t="shared" si="85"/>
        <v>2995935.76800003</v>
      </c>
      <c r="AKG9" s="33">
        <f t="shared" si="85"/>
        <v>2858834.9790004645</v>
      </c>
      <c r="AKH9" s="33">
        <f t="shared" si="85"/>
        <v>4054243.8509997278</v>
      </c>
      <c r="AKI9" s="33">
        <f t="shared" si="85"/>
        <v>4361535.233999908</v>
      </c>
      <c r="AKJ9" s="33">
        <f t="shared" si="85"/>
        <v>3869502.0209998032</v>
      </c>
      <c r="AKK9" s="33">
        <f t="shared" si="85"/>
        <v>3053745.1980004366</v>
      </c>
      <c r="AKL9" s="33">
        <f t="shared" si="85"/>
        <v>3733734.942000302</v>
      </c>
      <c r="AKM9" s="33">
        <f t="shared" si="85"/>
        <v>4360785.5969993705</v>
      </c>
      <c r="AKN9" s="127">
        <f t="shared" si="11"/>
        <v>104667863.76899992</v>
      </c>
      <c r="AKO9" s="33">
        <f t="shared" ref="AKO9:ALS9" si="86">AKO8*AKO7</f>
        <v>3683776.0050002462</v>
      </c>
      <c r="AKP9" s="33">
        <f t="shared" si="86"/>
        <v>3914677.997999955</v>
      </c>
      <c r="AKQ9" s="33">
        <f t="shared" si="86"/>
        <v>3802756.7340001757</v>
      </c>
      <c r="AKR9" s="33">
        <f t="shared" si="86"/>
        <v>2777883.3809993318</v>
      </c>
      <c r="AKS9" s="33">
        <f t="shared" si="86"/>
        <v>3519858.4470000127</v>
      </c>
      <c r="AKT9" s="33">
        <f t="shared" si="86"/>
        <v>3161725.1190006682</v>
      </c>
      <c r="AKU9" s="33">
        <f t="shared" si="86"/>
        <v>6859385.5049999785</v>
      </c>
      <c r="AKV9" s="33">
        <f t="shared" si="86"/>
        <v>3770568.3329995908</v>
      </c>
      <c r="AKW9" s="33">
        <f t="shared" si="86"/>
        <v>3616943.337000058</v>
      </c>
      <c r="AKX9" s="33">
        <f t="shared" si="86"/>
        <v>2672253.5489998972</v>
      </c>
      <c r="AKY9" s="33">
        <f t="shared" si="86"/>
        <v>3385471.5350003894</v>
      </c>
      <c r="AKZ9" s="33">
        <f t="shared" si="86"/>
        <v>3392765.8159996602</v>
      </c>
      <c r="ALA9" s="33">
        <f t="shared" si="86"/>
        <v>3800287.8580004526</v>
      </c>
      <c r="ALB9" s="33">
        <f t="shared" si="86"/>
        <v>4730562.0559997037</v>
      </c>
      <c r="ALC9" s="33">
        <f t="shared" si="86"/>
        <v>5045545.7530000955</v>
      </c>
      <c r="ALD9" s="33">
        <f t="shared" si="86"/>
        <v>4718470.0069995904</v>
      </c>
      <c r="ALE9" s="33">
        <f t="shared" si="86"/>
        <v>3773221.3800005196</v>
      </c>
      <c r="ALF9" s="33">
        <f t="shared" si="86"/>
        <v>4076584.5570000242</v>
      </c>
      <c r="ALG9" s="33">
        <f t="shared" si="86"/>
        <v>4154324.8129999978</v>
      </c>
      <c r="ALH9" s="33">
        <f t="shared" si="86"/>
        <v>3706026.1159997657</v>
      </c>
      <c r="ALI9" s="33">
        <f t="shared" si="86"/>
        <v>4769748.1439999165</v>
      </c>
      <c r="ALJ9" s="33">
        <f t="shared" si="86"/>
        <v>5300453.2040002011</v>
      </c>
      <c r="ALK9" s="33">
        <f t="shared" si="86"/>
        <v>24257920.24199976</v>
      </c>
      <c r="ALL9" s="33">
        <f t="shared" si="86"/>
        <v>4085010.0000001839</v>
      </c>
      <c r="ALM9" s="33">
        <f t="shared" si="86"/>
        <v>4426000.0000000577</v>
      </c>
      <c r="ALN9" s="33">
        <f t="shared" si="86"/>
        <v>3542129.9999998882</v>
      </c>
      <c r="ALO9" s="33">
        <f t="shared" si="86"/>
        <v>4656999.9999998249</v>
      </c>
      <c r="ALP9" s="33">
        <f t="shared" si="86"/>
        <v>4232020.0000001937</v>
      </c>
      <c r="ALQ9" s="33">
        <f t="shared" si="86"/>
        <v>4298124.9999997094</v>
      </c>
      <c r="ALR9" s="33">
        <f t="shared" si="86"/>
        <v>4440000.0000005821</v>
      </c>
      <c r="ALS9" s="33">
        <f t="shared" si="86"/>
        <v>3694737.0239994759</v>
      </c>
      <c r="ALT9" s="127">
        <f t="shared" si="12"/>
        <v>146266231.91299993</v>
      </c>
      <c r="ALU9" s="33">
        <f t="shared" ref="ALU9:AMX9" si="87">ALU8*ALU7</f>
        <v>5056255.4130001739</v>
      </c>
      <c r="ALV9" s="33">
        <f t="shared" si="87"/>
        <v>4054064.2559997956</v>
      </c>
      <c r="ALW9" s="33">
        <f t="shared" si="87"/>
        <v>4515106.6100003719</v>
      </c>
      <c r="ALX9" s="33">
        <f t="shared" si="87"/>
        <v>5027576.2820000267</v>
      </c>
      <c r="ALY9" s="33">
        <f t="shared" si="87"/>
        <v>2090596.9799997963</v>
      </c>
      <c r="ALZ9" s="33">
        <f t="shared" si="87"/>
        <v>3535576.2969999546</v>
      </c>
      <c r="AMA9" s="33">
        <f t="shared" si="87"/>
        <v>4359184.5919994386</v>
      </c>
      <c r="AMB9" s="33">
        <f t="shared" si="87"/>
        <v>4372072.5390010718</v>
      </c>
      <c r="AMC9" s="33">
        <f t="shared" si="87"/>
        <v>4519030.1480000094</v>
      </c>
      <c r="AMD9" s="33">
        <f t="shared" si="87"/>
        <v>4625480.5740000047</v>
      </c>
      <c r="AME9" s="33">
        <f t="shared" si="87"/>
        <v>6158142.2119994629</v>
      </c>
      <c r="AMF9" s="33">
        <f t="shared" si="87"/>
        <v>4299322.3179997941</v>
      </c>
      <c r="AMG9" s="33">
        <f t="shared" si="87"/>
        <v>4452458.7270002905</v>
      </c>
      <c r="AMH9" s="33">
        <f t="shared" si="87"/>
        <v>4476895.8809999116</v>
      </c>
      <c r="AMI9" s="33">
        <f t="shared" si="87"/>
        <v>5543049.0240001865</v>
      </c>
      <c r="AMJ9" s="33">
        <f t="shared" si="87"/>
        <v>6064326.7589999568</v>
      </c>
      <c r="AMK9" s="33">
        <f t="shared" si="87"/>
        <v>4362606.6190002738</v>
      </c>
      <c r="AML9" s="33">
        <f t="shared" si="87"/>
        <v>4733490.4609996406</v>
      </c>
      <c r="AMM9" s="33">
        <f t="shared" si="87"/>
        <v>4758512.4440002125</v>
      </c>
      <c r="AMN9" s="33">
        <f t="shared" si="87"/>
        <v>4032140.0769994403</v>
      </c>
      <c r="AMO9" s="33">
        <f t="shared" si="87"/>
        <v>3627148.2330002664</v>
      </c>
      <c r="AMP9" s="33">
        <f t="shared" si="87"/>
        <v>4923782.4580000835</v>
      </c>
      <c r="AMQ9" s="33">
        <f t="shared" si="87"/>
        <v>5397504.7079994716</v>
      </c>
      <c r="AMR9" s="33">
        <f t="shared" si="87"/>
        <v>5276037.5990012884</v>
      </c>
      <c r="AMS9" s="33">
        <f t="shared" si="87"/>
        <v>5486711.4629991418</v>
      </c>
      <c r="AMT9" s="33">
        <f t="shared" si="87"/>
        <v>4825778.3790005306</v>
      </c>
      <c r="AMU9" s="33">
        <f t="shared" si="87"/>
        <v>5649173.261999758</v>
      </c>
      <c r="AMV9" s="33">
        <f t="shared" si="87"/>
        <v>5694535.1200000243</v>
      </c>
      <c r="AMW9" s="33">
        <f t="shared" si="87"/>
        <v>5017813.0450005215</v>
      </c>
      <c r="AMX9" s="33">
        <f t="shared" si="87"/>
        <v>4256005.8499995042</v>
      </c>
      <c r="AMY9" s="127">
        <f t="shared" si="13"/>
        <v>141190378.33000037</v>
      </c>
      <c r="AMZ9" s="33">
        <f t="shared" ref="AMZ9:AOC9" si="88">AMZ8*AMZ7</f>
        <v>4108674.6480003907</v>
      </c>
      <c r="ANA9" s="33">
        <f t="shared" si="88"/>
        <v>3987088.2479995387</v>
      </c>
      <c r="ANB9" s="33">
        <f t="shared" si="88"/>
        <v>2244575.0080002071</v>
      </c>
      <c r="ANC9" s="33">
        <f t="shared" si="88"/>
        <v>3510244.3999994602</v>
      </c>
      <c r="AND9" s="33">
        <f t="shared" si="88"/>
        <v>2405344.8770001335</v>
      </c>
      <c r="ANE9" s="33">
        <f t="shared" si="88"/>
        <v>3432676.7800000394</v>
      </c>
      <c r="ANF9" s="33">
        <f t="shared" si="88"/>
        <v>2677816.622000291</v>
      </c>
      <c r="ANG9" s="33">
        <f t="shared" si="88"/>
        <v>3121522.5469993735</v>
      </c>
      <c r="ANH9" s="33">
        <f t="shared" si="88"/>
        <v>3456037.1300004981</v>
      </c>
      <c r="ANI9" s="33">
        <f t="shared" si="88"/>
        <v>4079386.961000178</v>
      </c>
      <c r="ANJ9" s="33">
        <f t="shared" si="88"/>
        <v>3822535.6909998246</v>
      </c>
      <c r="ANK9" s="33">
        <f t="shared" si="88"/>
        <v>2087964.9700002884</v>
      </c>
      <c r="ANL9" s="33">
        <f t="shared" si="88"/>
        <v>3671098.703999219</v>
      </c>
      <c r="ANM9" s="33">
        <f t="shared" si="88"/>
        <v>3420810.8480006526</v>
      </c>
      <c r="ANN9" s="33">
        <f t="shared" si="88"/>
        <v>4383026.4790000711</v>
      </c>
      <c r="ANO9" s="33">
        <f t="shared" si="88"/>
        <v>4037028.7360000471</v>
      </c>
      <c r="ANP9" s="33">
        <f t="shared" si="88"/>
        <v>3170772.0999992802</v>
      </c>
      <c r="ANQ9" s="33">
        <f t="shared" si="88"/>
        <v>3939129.1000002008</v>
      </c>
      <c r="ANR9" s="33">
        <f t="shared" si="88"/>
        <v>3931211.3000001758</v>
      </c>
      <c r="ANS9" s="33">
        <f t="shared" si="88"/>
        <v>4682770.9999993267</v>
      </c>
      <c r="ANT9" s="33">
        <f t="shared" si="88"/>
        <v>3561139.7000009371</v>
      </c>
      <c r="ANU9" s="33">
        <f t="shared" si="88"/>
        <v>6516839.0999996513</v>
      </c>
      <c r="ANV9" s="33">
        <f t="shared" si="88"/>
        <v>5625952.8239999311</v>
      </c>
      <c r="ANW9" s="33">
        <f t="shared" si="88"/>
        <v>4220664.131999583</v>
      </c>
      <c r="ANX9" s="33">
        <f t="shared" si="88"/>
        <v>5769243.1550005702</v>
      </c>
      <c r="ANY9" s="33">
        <f t="shared" si="88"/>
        <v>7700570.3279999066</v>
      </c>
      <c r="ANZ9" s="33">
        <f t="shared" si="88"/>
        <v>4875560.0820002584</v>
      </c>
      <c r="AOA9" s="33">
        <f t="shared" si="88"/>
        <v>5126896.9589998713</v>
      </c>
      <c r="AOB9" s="33">
        <f t="shared" si="88"/>
        <v>7685114.0300003598</v>
      </c>
      <c r="AOC9" s="33">
        <f t="shared" si="88"/>
        <v>4156663.2799996799</v>
      </c>
    </row>
    <row r="10" spans="1:1071" x14ac:dyDescent="0.2">
      <c r="A10" s="160"/>
      <c r="B10" s="5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94"/>
      <c r="BM10" s="97"/>
      <c r="CS10" s="111">
        <f t="shared" si="10"/>
        <v>0</v>
      </c>
      <c r="DX10" s="117"/>
      <c r="FD10" s="128"/>
      <c r="GJ10" s="126"/>
      <c r="HN10" s="126"/>
      <c r="IT10" s="127">
        <f t="shared" si="22"/>
        <v>0</v>
      </c>
      <c r="JY10" s="127">
        <f t="shared" si="58"/>
        <v>0</v>
      </c>
      <c r="LE10" s="127">
        <f t="shared" si="60"/>
        <v>0</v>
      </c>
      <c r="MJ10" s="127">
        <f t="shared" si="62"/>
        <v>0</v>
      </c>
      <c r="NP10" s="127">
        <f t="shared" si="64"/>
        <v>0</v>
      </c>
      <c r="OV10" s="127">
        <f t="shared" si="66"/>
        <v>0</v>
      </c>
      <c r="QA10" s="127">
        <f t="shared" si="68"/>
        <v>0</v>
      </c>
      <c r="RG10" s="127">
        <f>SUM(QC10:RF10)</f>
        <v>0</v>
      </c>
      <c r="SL10" s="127">
        <f>SUM(RH10:SK10)</f>
        <v>0</v>
      </c>
      <c r="TR10" s="127">
        <f>SUM(SN10:TQ10)</f>
        <v>0</v>
      </c>
      <c r="UX10" s="127">
        <f>SUM(TT10:UW10)</f>
        <v>0</v>
      </c>
      <c r="WA10" s="127">
        <f>SUM(UW10:VZ10)</f>
        <v>0</v>
      </c>
      <c r="XG10" s="127">
        <f>SUM(WC10:XF10)</f>
        <v>0</v>
      </c>
      <c r="YL10" s="127">
        <f>SUM(XI10:YK10)</f>
        <v>0</v>
      </c>
      <c r="ZR10" s="127">
        <f>SUM(YO10:ZQ10)</f>
        <v>0</v>
      </c>
      <c r="AAW10" s="127">
        <f>SUM(ZT10:AAV10)</f>
        <v>0</v>
      </c>
      <c r="ACC10" s="127">
        <f>SUM(AAZ10:ACB10)</f>
        <v>0</v>
      </c>
      <c r="ADI10" s="127">
        <f>SUM(ACF10:ADH10)</f>
        <v>0</v>
      </c>
      <c r="AEN10" s="127">
        <f>SUM(ADK10:AEM10)</f>
        <v>0</v>
      </c>
      <c r="AFT10" s="127">
        <f>SUM(AEQ10:AFS10)</f>
        <v>0</v>
      </c>
      <c r="AGY10" s="127">
        <f>SUM(AFV10:AGX10)</f>
        <v>0</v>
      </c>
      <c r="AIE10" s="127">
        <f>SUM(AHB10:AID10)</f>
        <v>0</v>
      </c>
      <c r="AJK10" s="127">
        <f>SUM(AIH10:AJJ10)</f>
        <v>0</v>
      </c>
      <c r="AKN10" s="127">
        <f t="shared" si="11"/>
        <v>0</v>
      </c>
      <c r="ALT10" s="127">
        <f t="shared" si="12"/>
        <v>0</v>
      </c>
      <c r="AMY10" s="127">
        <f t="shared" si="13"/>
        <v>0</v>
      </c>
    </row>
    <row r="11" spans="1:1071" x14ac:dyDescent="0.2">
      <c r="A11" s="160"/>
      <c r="B11" s="6" t="s">
        <v>1510</v>
      </c>
      <c r="C11" s="16">
        <f t="shared" ref="C11:AG11" si="89">C7+C4</f>
        <v>3740.2400000000198</v>
      </c>
      <c r="D11" s="16">
        <f t="shared" si="89"/>
        <v>3606.3120000000636</v>
      </c>
      <c r="E11" s="16">
        <f t="shared" si="89"/>
        <v>3160.1759999999485</v>
      </c>
      <c r="F11" s="16">
        <f t="shared" si="89"/>
        <v>3687.9100000000617</v>
      </c>
      <c r="G11" s="16">
        <f t="shared" si="89"/>
        <v>4078.4749999999767</v>
      </c>
      <c r="H11" s="16">
        <f t="shared" si="89"/>
        <v>3746.853999999963</v>
      </c>
      <c r="I11" s="16">
        <f t="shared" si="89"/>
        <v>3602.9390000000712</v>
      </c>
      <c r="J11" s="16">
        <f t="shared" si="89"/>
        <v>3035.2229999999981</v>
      </c>
      <c r="K11" s="16">
        <f t="shared" si="89"/>
        <v>2983.2780000000203</v>
      </c>
      <c r="L11" s="16">
        <f t="shared" si="89"/>
        <v>3282.30799999999</v>
      </c>
      <c r="M11" s="16">
        <f t="shared" si="89"/>
        <v>3392.3509999999078</v>
      </c>
      <c r="N11" s="16">
        <f t="shared" si="89"/>
        <v>3450.6210000001593</v>
      </c>
      <c r="O11" s="16">
        <f t="shared" si="89"/>
        <v>3207.5679999999993</v>
      </c>
      <c r="P11" s="16">
        <f t="shared" si="89"/>
        <v>3513.6099999999569</v>
      </c>
      <c r="Q11" s="16">
        <f t="shared" si="89"/>
        <v>3138.3349999999627</v>
      </c>
      <c r="R11" s="16">
        <f t="shared" si="89"/>
        <v>3143.9540000000852</v>
      </c>
      <c r="S11" s="16">
        <f t="shared" si="89"/>
        <v>3680.3039999999455</v>
      </c>
      <c r="T11" s="16">
        <f t="shared" si="89"/>
        <v>3553.8949999998731</v>
      </c>
      <c r="U11" s="16">
        <f t="shared" si="89"/>
        <v>3035.1010000000533</v>
      </c>
      <c r="V11" s="16">
        <f t="shared" si="89"/>
        <v>3010.9379999999655</v>
      </c>
      <c r="W11" s="16">
        <f t="shared" si="89"/>
        <v>2861.0340000001306</v>
      </c>
      <c r="X11" s="16">
        <f t="shared" si="89"/>
        <v>3007.1279999999388</v>
      </c>
      <c r="Y11" s="16">
        <f t="shared" si="89"/>
        <v>3189.898000000132</v>
      </c>
      <c r="Z11" s="16">
        <f t="shared" si="89"/>
        <v>3135.591999999946</v>
      </c>
      <c r="AA11" s="16">
        <f t="shared" si="89"/>
        <v>3952.335999999952</v>
      </c>
      <c r="AB11" s="16">
        <f t="shared" si="89"/>
        <v>3861.6069999999891</v>
      </c>
      <c r="AC11" s="16">
        <f t="shared" si="89"/>
        <v>3437.0280000000494</v>
      </c>
      <c r="AD11" s="16">
        <f t="shared" si="89"/>
        <v>2954.4829999999201</v>
      </c>
      <c r="AE11" s="16">
        <f t="shared" si="89"/>
        <v>3500.9379999999073</v>
      </c>
      <c r="AF11" s="16">
        <f t="shared" si="89"/>
        <v>3388.650000000227</v>
      </c>
      <c r="AG11" s="16">
        <f t="shared" si="89"/>
        <v>3688.9079999998794</v>
      </c>
      <c r="AH11" s="94">
        <f t="shared" ref="AH11:AH19" si="90">SUM(C11:AG11)</f>
        <v>105027.99400000009</v>
      </c>
      <c r="AI11" s="16">
        <f t="shared" ref="AI11:BL11" si="91">AI7+AI4</f>
        <v>4054.9420000000391</v>
      </c>
      <c r="AJ11" s="16">
        <f t="shared" si="91"/>
        <v>4090.5580000000191</v>
      </c>
      <c r="AK11" s="16">
        <f t="shared" si="91"/>
        <v>3833.8239999999932</v>
      </c>
      <c r="AL11" s="16">
        <f t="shared" si="91"/>
        <v>4037.9820000000473</v>
      </c>
      <c r="AM11" s="16">
        <f t="shared" si="91"/>
        <v>3931.2629999998899</v>
      </c>
      <c r="AN11" s="16">
        <f t="shared" si="91"/>
        <v>3708.1610000000219</v>
      </c>
      <c r="AO11" s="16">
        <f t="shared" si="91"/>
        <v>14029.813999999984</v>
      </c>
      <c r="AP11" s="16">
        <f t="shared" si="91"/>
        <v>4934.670999999973</v>
      </c>
      <c r="AQ11" s="16">
        <f t="shared" si="91"/>
        <v>3665.6280000000843</v>
      </c>
      <c r="AR11" s="16">
        <f t="shared" si="91"/>
        <v>3452.8319999999949</v>
      </c>
      <c r="AS11" s="16">
        <f t="shared" si="91"/>
        <v>3333.5909999999276</v>
      </c>
      <c r="AT11" s="16">
        <f t="shared" si="91"/>
        <v>2803.2410000001255</v>
      </c>
      <c r="AU11" s="16">
        <f t="shared" si="91"/>
        <v>12828.320999999909</v>
      </c>
      <c r="AV11" s="16">
        <f t="shared" si="91"/>
        <v>2925.9709999999614</v>
      </c>
      <c r="AW11" s="16">
        <f t="shared" si="91"/>
        <v>3214.1340000001073</v>
      </c>
      <c r="AX11" s="16">
        <f t="shared" si="91"/>
        <v>3218.5629999999946</v>
      </c>
      <c r="AY11" s="16">
        <f t="shared" si="91"/>
        <v>2934.9489999999641</v>
      </c>
      <c r="AZ11" s="16">
        <f t="shared" si="91"/>
        <v>3274.5599999999899</v>
      </c>
      <c r="BA11" s="16">
        <f t="shared" si="91"/>
        <v>2861.3289999999242</v>
      </c>
      <c r="BB11" s="16">
        <f t="shared" si="91"/>
        <v>2719.4530000000086</v>
      </c>
      <c r="BC11" s="16">
        <f t="shared" si="91"/>
        <v>2952.1440000001749</v>
      </c>
      <c r="BD11" s="16">
        <f t="shared" si="91"/>
        <v>3485.6409999999742</v>
      </c>
      <c r="BE11" s="16">
        <f t="shared" si="91"/>
        <v>3568.808999999892</v>
      </c>
      <c r="BF11" s="16">
        <f t="shared" si="91"/>
        <v>2884.146000000037</v>
      </c>
      <c r="BG11" s="16">
        <f t="shared" si="91"/>
        <v>3025.454999999929</v>
      </c>
      <c r="BH11" s="16">
        <f t="shared" si="91"/>
        <v>3031.0599999999977</v>
      </c>
      <c r="BI11" s="16">
        <f t="shared" si="91"/>
        <v>3095.2040000000852</v>
      </c>
      <c r="BJ11" s="16">
        <f t="shared" si="91"/>
        <v>2989.8730000000505</v>
      </c>
      <c r="BK11" s="16">
        <f t="shared" si="91"/>
        <v>3249.280999999959</v>
      </c>
      <c r="BL11" s="16">
        <f t="shared" si="91"/>
        <v>3085.5989999999874</v>
      </c>
      <c r="BM11" s="97">
        <f t="shared" ref="BM11:BM19" si="92">SUM(AI11:BL11)</f>
        <v>121220.99900000004</v>
      </c>
      <c r="BN11" s="16">
        <f t="shared" ref="BN11:CR11" si="93">BN7+BN4</f>
        <v>2704.9640000000363</v>
      </c>
      <c r="BO11" s="16">
        <f t="shared" si="93"/>
        <v>2940.5139999999665</v>
      </c>
      <c r="BP11" s="16">
        <f t="shared" si="93"/>
        <v>3157.2980000000389</v>
      </c>
      <c r="BQ11" s="16">
        <f t="shared" si="93"/>
        <v>2869.2599999999802</v>
      </c>
      <c r="BR11" s="16">
        <f t="shared" si="93"/>
        <v>3356.0269999999146</v>
      </c>
      <c r="BS11" s="16">
        <f t="shared" si="93"/>
        <v>3366.5320000000938</v>
      </c>
      <c r="BT11" s="16">
        <f t="shared" si="93"/>
        <v>2883.1879999998491</v>
      </c>
      <c r="BU11" s="16">
        <f t="shared" si="93"/>
        <v>2868.6590000001597</v>
      </c>
      <c r="BV11" s="16">
        <f t="shared" si="93"/>
        <v>3260.7809999999299</v>
      </c>
      <c r="BW11" s="16">
        <f t="shared" si="93"/>
        <v>2775.9590000000317</v>
      </c>
      <c r="BX11" s="16">
        <f t="shared" si="93"/>
        <v>2724.8430000000517</v>
      </c>
      <c r="BY11" s="16">
        <f t="shared" si="93"/>
        <v>2657.0859999999229</v>
      </c>
      <c r="BZ11" s="16">
        <f t="shared" si="93"/>
        <v>3197.2120000000286</v>
      </c>
      <c r="CA11" s="16">
        <f t="shared" si="93"/>
        <v>3089.7949999999837</v>
      </c>
      <c r="CB11" s="16">
        <f t="shared" si="93"/>
        <v>2742.820000000007</v>
      </c>
      <c r="CC11" s="16">
        <f t="shared" si="93"/>
        <v>2853.1920000000682</v>
      </c>
      <c r="CD11" s="16">
        <f t="shared" si="93"/>
        <v>3079.5929999999353</v>
      </c>
      <c r="CE11" s="16">
        <f t="shared" si="93"/>
        <v>2690.8740000000398</v>
      </c>
      <c r="CF11" s="16">
        <f t="shared" si="93"/>
        <v>2477.8269999999029</v>
      </c>
      <c r="CG11" s="16">
        <f t="shared" si="93"/>
        <v>2878.725000000064</v>
      </c>
      <c r="CH11" s="16">
        <f t="shared" si="93"/>
        <v>2797.8669999999402</v>
      </c>
      <c r="CI11" s="16">
        <f t="shared" si="93"/>
        <v>2834.9520000000193</v>
      </c>
      <c r="CJ11" s="16">
        <f t="shared" si="93"/>
        <v>2616.8690000000552</v>
      </c>
      <c r="CK11" s="16">
        <f t="shared" si="93"/>
        <v>3045.3450000000012</v>
      </c>
      <c r="CL11" s="16">
        <f t="shared" si="93"/>
        <v>2553.0860000000102</v>
      </c>
      <c r="CM11" s="16">
        <f t="shared" si="93"/>
        <v>2733.3520000000426</v>
      </c>
      <c r="CN11" s="16">
        <f t="shared" si="93"/>
        <v>2786.2019999999029</v>
      </c>
      <c r="CO11" s="16">
        <f t="shared" si="93"/>
        <v>3288.6929999998829</v>
      </c>
      <c r="CP11" s="16">
        <f t="shared" si="93"/>
        <v>2656.910000000149</v>
      </c>
      <c r="CQ11" s="16">
        <f t="shared" si="93"/>
        <v>2956.4449999999488</v>
      </c>
      <c r="CR11" s="16">
        <f t="shared" si="93"/>
        <v>2732.0540000000328</v>
      </c>
      <c r="CS11" s="111">
        <f t="shared" si="10"/>
        <v>89576.923999999985</v>
      </c>
      <c r="CT11" s="16">
        <f t="shared" ref="CT11:DW11" si="94">CT7+CT4</f>
        <v>2945.6659999999392</v>
      </c>
      <c r="CU11" s="16">
        <f t="shared" si="94"/>
        <v>2721.7330000000366</v>
      </c>
      <c r="CV11" s="16">
        <f t="shared" si="94"/>
        <v>2963.8980000000156</v>
      </c>
      <c r="CW11" s="16">
        <f t="shared" si="94"/>
        <v>3750.9100000000035</v>
      </c>
      <c r="CX11" s="16">
        <f t="shared" si="94"/>
        <v>3173.4470000000147</v>
      </c>
      <c r="CY11" s="16">
        <f t="shared" si="94"/>
        <v>3042.2060000000347</v>
      </c>
      <c r="CZ11" s="16">
        <f t="shared" si="94"/>
        <v>2930.6990000000224</v>
      </c>
      <c r="DA11" s="16">
        <f t="shared" si="94"/>
        <v>2915.8040000000037</v>
      </c>
      <c r="DB11" s="16">
        <f t="shared" si="94"/>
        <v>3188.7179999998771</v>
      </c>
      <c r="DC11" s="16">
        <f t="shared" si="94"/>
        <v>3102.6150000000489</v>
      </c>
      <c r="DD11" s="16">
        <f t="shared" si="94"/>
        <v>3419.9580000000133</v>
      </c>
      <c r="DE11" s="16">
        <f t="shared" si="94"/>
        <v>2429.7679999998654</v>
      </c>
      <c r="DF11" s="16">
        <f t="shared" si="94"/>
        <v>2334.0760000000591</v>
      </c>
      <c r="DG11" s="16">
        <f t="shared" si="94"/>
        <v>3066.8770000000427</v>
      </c>
      <c r="DH11" s="16">
        <f t="shared" si="94"/>
        <v>2427.0089999999909</v>
      </c>
      <c r="DI11" s="16">
        <f t="shared" si="94"/>
        <v>1977.6490000001213</v>
      </c>
      <c r="DJ11" s="16">
        <f t="shared" si="94"/>
        <v>3063.9289999999455</v>
      </c>
      <c r="DK11" s="16">
        <f t="shared" si="94"/>
        <v>2825.7589999999036</v>
      </c>
      <c r="DL11" s="16">
        <f t="shared" si="94"/>
        <v>2234.2339999999676</v>
      </c>
      <c r="DM11" s="16">
        <f t="shared" si="94"/>
        <v>3097.8209999999672</v>
      </c>
      <c r="DN11" s="16">
        <f t="shared" si="94"/>
        <v>2276.6930000000284</v>
      </c>
      <c r="DO11" s="16">
        <f t="shared" si="94"/>
        <v>2984.4880000000412</v>
      </c>
      <c r="DP11" s="16">
        <f t="shared" si="94"/>
        <v>2756.7270000001299</v>
      </c>
      <c r="DQ11" s="16">
        <f t="shared" si="94"/>
        <v>2812.284999999858</v>
      </c>
      <c r="DR11" s="16">
        <f t="shared" si="94"/>
        <v>2966.0810000001511</v>
      </c>
      <c r="DS11" s="16">
        <f t="shared" si="94"/>
        <v>2576.6539999999804</v>
      </c>
      <c r="DT11" s="16">
        <f t="shared" si="94"/>
        <v>2767.4299999999057</v>
      </c>
      <c r="DU11" s="16">
        <f t="shared" si="94"/>
        <v>2743.8430000000517</v>
      </c>
      <c r="DV11" s="16">
        <f t="shared" si="94"/>
        <v>2432.5009999999893</v>
      </c>
      <c r="DW11" s="16">
        <f t="shared" si="94"/>
        <v>2750.924999999901</v>
      </c>
      <c r="DX11" s="119">
        <f t="shared" ref="DX11:DX24" si="95">SUM(CT11:DW11)</f>
        <v>84680.402999999904</v>
      </c>
      <c r="DY11" s="16">
        <f t="shared" ref="DY11:FC11" si="96">DY7+DY4</f>
        <v>2889.954000000027</v>
      </c>
      <c r="DZ11" s="16">
        <f t="shared" si="96"/>
        <v>2953.0489999999118</v>
      </c>
      <c r="EA11" s="16">
        <f t="shared" si="96"/>
        <v>2238.0270000001474</v>
      </c>
      <c r="EB11" s="16">
        <f t="shared" si="96"/>
        <v>2463.2969999999623</v>
      </c>
      <c r="EC11" s="16">
        <f t="shared" si="96"/>
        <v>2595.420999999973</v>
      </c>
      <c r="ED11" s="16">
        <f t="shared" si="96"/>
        <v>2636.1269999999495</v>
      </c>
      <c r="EE11" s="16">
        <f t="shared" si="96"/>
        <v>2731.4679999999639</v>
      </c>
      <c r="EF11" s="16">
        <f t="shared" si="96"/>
        <v>2950.4340000001539</v>
      </c>
      <c r="EG11" s="16">
        <f t="shared" si="96"/>
        <v>3556.5469999999623</v>
      </c>
      <c r="EH11" s="16">
        <f t="shared" si="96"/>
        <v>3136.5970000000088</v>
      </c>
      <c r="EI11" s="16">
        <f t="shared" si="96"/>
        <v>2994.5929999999644</v>
      </c>
      <c r="EJ11" s="16">
        <f t="shared" si="96"/>
        <v>3535.3120000001509</v>
      </c>
      <c r="EK11" s="16">
        <f t="shared" si="96"/>
        <v>3030.8380000000388</v>
      </c>
      <c r="EL11" s="16">
        <f t="shared" si="96"/>
        <v>3290.8709999999264</v>
      </c>
      <c r="EM11" s="16">
        <f t="shared" si="96"/>
        <v>3738.5789999999688</v>
      </c>
      <c r="EN11" s="16">
        <f t="shared" si="96"/>
        <v>3550.9419999998645</v>
      </c>
      <c r="EO11" s="16">
        <f t="shared" si="96"/>
        <v>3095.1520000001474</v>
      </c>
      <c r="EP11" s="16">
        <f t="shared" si="96"/>
        <v>3591.905999999959</v>
      </c>
      <c r="EQ11" s="16">
        <f t="shared" si="96"/>
        <v>2763.0829999999842</v>
      </c>
      <c r="ER11" s="16">
        <f t="shared" si="96"/>
        <v>3513.2799999999697</v>
      </c>
      <c r="ES11" s="16">
        <f t="shared" si="96"/>
        <v>4198.7080000000133</v>
      </c>
      <c r="ET11" s="16">
        <f t="shared" si="96"/>
        <v>4330.9280000000726</v>
      </c>
      <c r="EU11" s="16">
        <f t="shared" si="96"/>
        <v>4699.3759999999893</v>
      </c>
      <c r="EV11" s="16">
        <f t="shared" si="96"/>
        <v>3701.5659999998752</v>
      </c>
      <c r="EW11" s="16">
        <f t="shared" si="96"/>
        <v>2485.3040000001201</v>
      </c>
      <c r="EX11" s="16">
        <f t="shared" si="96"/>
        <v>2407.1730000000098</v>
      </c>
      <c r="EY11" s="16">
        <f t="shared" si="96"/>
        <v>2630.4309999999532</v>
      </c>
      <c r="EZ11" s="16">
        <f t="shared" si="96"/>
        <v>2719.4169999999867</v>
      </c>
      <c r="FA11" s="16">
        <f t="shared" si="96"/>
        <v>2935.2490000000107</v>
      </c>
      <c r="FB11" s="16">
        <f t="shared" si="96"/>
        <v>3123.2980000001844</v>
      </c>
      <c r="FC11" s="16">
        <f t="shared" si="96"/>
        <v>3082.5479999997187</v>
      </c>
      <c r="FD11" s="128">
        <f t="shared" ref="FD11:FD16" si="97">SUM(DY11:FC11)</f>
        <v>97569.474999999977</v>
      </c>
      <c r="FE11" s="16">
        <f t="shared" ref="FE11:GI11" si="98">FE7+FE4</f>
        <v>2723.2340000000841</v>
      </c>
      <c r="FF11" s="16">
        <f t="shared" si="98"/>
        <v>2783.3280000000668</v>
      </c>
      <c r="FG11" s="16">
        <f t="shared" si="98"/>
        <v>2830.152999999962</v>
      </c>
      <c r="FH11" s="16">
        <f t="shared" si="98"/>
        <v>3072.1659999998519</v>
      </c>
      <c r="FI11" s="16">
        <f t="shared" si="98"/>
        <v>3014.9900000001653</v>
      </c>
      <c r="FJ11" s="16">
        <f t="shared" si="98"/>
        <v>3084.0569999999134</v>
      </c>
      <c r="FK11" s="16">
        <f t="shared" si="98"/>
        <v>2891.2820000000938</v>
      </c>
      <c r="FL11" s="16">
        <f t="shared" si="98"/>
        <v>2811.0739999999641</v>
      </c>
      <c r="FM11" s="16">
        <f t="shared" si="98"/>
        <v>3183.0080000000598</v>
      </c>
      <c r="FN11" s="16">
        <f t="shared" si="98"/>
        <v>2578.3540000000503</v>
      </c>
      <c r="FO11" s="16">
        <f t="shared" si="98"/>
        <v>2771.6150000000198</v>
      </c>
      <c r="FP11" s="16">
        <f t="shared" si="98"/>
        <v>3491.2299999998068</v>
      </c>
      <c r="FQ11" s="16">
        <f t="shared" si="98"/>
        <v>2914.8250000001863</v>
      </c>
      <c r="FR11" s="16">
        <f t="shared" si="98"/>
        <v>2953.3369999999995</v>
      </c>
      <c r="FS11" s="16">
        <f t="shared" si="98"/>
        <v>2930.2179999999353</v>
      </c>
      <c r="FT11" s="16">
        <f t="shared" si="98"/>
        <v>2748.6469999999972</v>
      </c>
      <c r="FU11" s="16">
        <f t="shared" si="98"/>
        <v>2755.671999999875</v>
      </c>
      <c r="FV11" s="16">
        <f t="shared" si="98"/>
        <v>2758.8770000001241</v>
      </c>
      <c r="FW11" s="16">
        <f t="shared" si="98"/>
        <v>3103.0150000000722</v>
      </c>
      <c r="FX11" s="16">
        <f t="shared" si="98"/>
        <v>3432.7009999998263</v>
      </c>
      <c r="FY11" s="16">
        <f t="shared" si="98"/>
        <v>2833.8519999999553</v>
      </c>
      <c r="FZ11" s="16">
        <f t="shared" si="98"/>
        <v>2902.1090000002296</v>
      </c>
      <c r="GA11" s="16">
        <f t="shared" si="98"/>
        <v>3369.6079999997746</v>
      </c>
      <c r="GB11" s="16">
        <f t="shared" si="98"/>
        <v>2513.3290000001434</v>
      </c>
      <c r="GC11" s="16">
        <f t="shared" si="98"/>
        <v>3135.5979999999981</v>
      </c>
      <c r="GD11" s="16">
        <f t="shared" si="98"/>
        <v>3238.7739999999176</v>
      </c>
      <c r="GE11" s="16">
        <f t="shared" si="98"/>
        <v>2863.0020000002114</v>
      </c>
      <c r="GF11" s="16">
        <f t="shared" si="98"/>
        <v>2945.3629999998084</v>
      </c>
      <c r="GG11" s="16">
        <f t="shared" si="98"/>
        <v>3487.1430000001565</v>
      </c>
      <c r="GH11" s="16">
        <f t="shared" si="98"/>
        <v>3071.3660000000091</v>
      </c>
      <c r="GI11" s="16">
        <f t="shared" si="98"/>
        <v>2843.4359999999579</v>
      </c>
      <c r="GJ11" s="127">
        <f t="shared" ref="GJ11:GJ42" si="99">SUM(FE11:GI11)</f>
        <v>92035.363000000216</v>
      </c>
      <c r="GK11" s="16">
        <f t="shared" ref="GK11:HM11" si="100">GK7+GK4</f>
        <v>2900.6869999998307</v>
      </c>
      <c r="GL11" s="16">
        <f t="shared" si="100"/>
        <v>3273.0870000001742</v>
      </c>
      <c r="GM11" s="16">
        <f t="shared" si="100"/>
        <v>3731.7129999999643</v>
      </c>
      <c r="GN11" s="16">
        <f t="shared" si="100"/>
        <v>3047.6919999998063</v>
      </c>
      <c r="GO11" s="16">
        <f t="shared" si="100"/>
        <v>3202.1260000001639</v>
      </c>
      <c r="GP11" s="16">
        <f t="shared" si="100"/>
        <v>2976.0689999998722</v>
      </c>
      <c r="GQ11" s="16">
        <f t="shared" si="100"/>
        <v>3557.4030000001658</v>
      </c>
      <c r="GR11" s="16">
        <f t="shared" si="100"/>
        <v>3220.634999999922</v>
      </c>
      <c r="GS11" s="16">
        <f t="shared" si="100"/>
        <v>2894.4769999998971</v>
      </c>
      <c r="GT11" s="16">
        <f t="shared" si="100"/>
        <v>3219.0990000000165</v>
      </c>
      <c r="GU11" s="16">
        <f t="shared" si="100"/>
        <v>2860.9840000001132</v>
      </c>
      <c r="GV11" s="16">
        <f t="shared" si="100"/>
        <v>2935.1199999998789</v>
      </c>
      <c r="GW11" s="16">
        <f t="shared" si="100"/>
        <v>3015.5500000001339</v>
      </c>
      <c r="GX11" s="16">
        <f t="shared" si="100"/>
        <v>2991.3549999997776</v>
      </c>
      <c r="GY11" s="16">
        <f t="shared" si="100"/>
        <v>2654.8810000001395</v>
      </c>
      <c r="GZ11" s="16">
        <f t="shared" si="100"/>
        <v>2813.8279999999795</v>
      </c>
      <c r="HA11" s="16">
        <f t="shared" si="100"/>
        <v>2916.676999999996</v>
      </c>
      <c r="HB11" s="16">
        <f t="shared" si="100"/>
        <v>2552.4540000000852</v>
      </c>
      <c r="HC11" s="16">
        <f t="shared" si="100"/>
        <v>3069.5789999999397</v>
      </c>
      <c r="HD11" s="16">
        <f t="shared" si="100"/>
        <v>5011.2410000000382</v>
      </c>
      <c r="HE11" s="16">
        <f t="shared" si="100"/>
        <v>2758.7809999999881</v>
      </c>
      <c r="HF11" s="16">
        <f t="shared" si="100"/>
        <v>2800.7650000000722</v>
      </c>
      <c r="HG11" s="16">
        <f t="shared" si="100"/>
        <v>2961.2629999999772</v>
      </c>
      <c r="HH11" s="16">
        <f t="shared" si="100"/>
        <v>3495.3020000000251</v>
      </c>
      <c r="HI11" s="16">
        <f t="shared" si="100"/>
        <v>2296.7859999999637</v>
      </c>
      <c r="HJ11" s="16">
        <f t="shared" si="100"/>
        <v>2959.5290000000386</v>
      </c>
      <c r="HK11" s="16">
        <f t="shared" si="100"/>
        <v>2703.6179999999003</v>
      </c>
      <c r="HL11" s="16">
        <f t="shared" si="100"/>
        <v>2566.3050000001094</v>
      </c>
      <c r="HM11" s="16">
        <f t="shared" si="100"/>
        <v>3002.9369999998016</v>
      </c>
      <c r="HN11" s="127">
        <f t="shared" ref="HN11:HN26" si="101">SUM(GK11:HM11)</f>
        <v>88389.942999999766</v>
      </c>
      <c r="HO11" s="16">
        <f t="shared" ref="HO11:IS11" si="102">HO7+HO4</f>
        <v>3307.1990000001679</v>
      </c>
      <c r="HP11" s="16">
        <f t="shared" si="102"/>
        <v>3697.1699999999546</v>
      </c>
      <c r="HQ11" s="16">
        <f t="shared" si="102"/>
        <v>3086.2889999999024</v>
      </c>
      <c r="HR11" s="16">
        <f t="shared" si="102"/>
        <v>3701.925000000163</v>
      </c>
      <c r="HS11" s="16">
        <f t="shared" si="102"/>
        <v>3153.7430000000459</v>
      </c>
      <c r="HT11" s="16">
        <f t="shared" si="102"/>
        <v>3379.1210000000428</v>
      </c>
      <c r="HU11" s="16">
        <f t="shared" si="102"/>
        <v>3775.8649999999034</v>
      </c>
      <c r="HV11" s="16">
        <f t="shared" si="102"/>
        <v>3099.6929999999702</v>
      </c>
      <c r="HW11" s="16">
        <f t="shared" si="102"/>
        <v>3383.7859999999928</v>
      </c>
      <c r="HX11" s="16">
        <f t="shared" si="102"/>
        <v>2966.94200000001</v>
      </c>
      <c r="HY11" s="16">
        <f t="shared" si="102"/>
        <v>3162.7829999999376</v>
      </c>
      <c r="HZ11" s="16">
        <f t="shared" si="102"/>
        <v>2743.6220000000612</v>
      </c>
      <c r="IA11" s="16">
        <f t="shared" si="102"/>
        <v>2526.7320000000473</v>
      </c>
      <c r="IB11" s="16">
        <f t="shared" si="102"/>
        <v>2735.512999999919</v>
      </c>
      <c r="IC11" s="16">
        <f t="shared" si="102"/>
        <v>3069.0119999999297</v>
      </c>
      <c r="ID11" s="16">
        <f t="shared" si="102"/>
        <v>2763.0950000001176</v>
      </c>
      <c r="IE11" s="16">
        <f t="shared" si="102"/>
        <v>2721.7999999998719</v>
      </c>
      <c r="IF11" s="16">
        <f t="shared" si="102"/>
        <v>3192.7240000000165</v>
      </c>
      <c r="IG11" s="16">
        <f t="shared" si="102"/>
        <v>2940.0830000001297</v>
      </c>
      <c r="IH11" s="16">
        <f t="shared" si="102"/>
        <v>2676.5269999999146</v>
      </c>
      <c r="II11" s="16">
        <f t="shared" si="102"/>
        <v>2679.4010000001581</v>
      </c>
      <c r="IJ11" s="16">
        <f t="shared" si="102"/>
        <v>3195.2909999999101</v>
      </c>
      <c r="IK11" s="16">
        <f t="shared" si="102"/>
        <v>3242.1090000000841</v>
      </c>
      <c r="IL11" s="16">
        <f t="shared" si="102"/>
        <v>2514.1989999998768</v>
      </c>
      <c r="IM11" s="16">
        <f t="shared" si="102"/>
        <v>3217.2189999998664</v>
      </c>
      <c r="IN11" s="16">
        <f t="shared" si="102"/>
        <v>2705.8709999999846</v>
      </c>
      <c r="IO11" s="16">
        <f t="shared" si="102"/>
        <v>2927.4720000002126</v>
      </c>
      <c r="IP11" s="16">
        <f t="shared" si="102"/>
        <v>3079.9349999998458</v>
      </c>
      <c r="IQ11" s="16">
        <f t="shared" si="102"/>
        <v>3199.2020000001357</v>
      </c>
      <c r="IR11" s="16">
        <f t="shared" si="102"/>
        <v>2737.3359999999229</v>
      </c>
      <c r="IS11" s="16">
        <f t="shared" si="102"/>
        <v>2088.2720000000263</v>
      </c>
      <c r="IT11" s="127">
        <f t="shared" si="22"/>
        <v>93669.931000000128</v>
      </c>
      <c r="IU11" s="16">
        <f t="shared" ref="IU11:JX11" si="103">IU7+IU4</f>
        <v>2328.762999999919</v>
      </c>
      <c r="IV11" s="16">
        <f t="shared" si="103"/>
        <v>3132.8550000000687</v>
      </c>
      <c r="IW11" s="16">
        <f t="shared" si="103"/>
        <v>2494.3220000000438</v>
      </c>
      <c r="IX11" s="16">
        <f t="shared" si="103"/>
        <v>2708.0019999999204</v>
      </c>
      <c r="IY11" s="16">
        <f t="shared" si="103"/>
        <v>3060.4149999999499</v>
      </c>
      <c r="IZ11" s="16">
        <f t="shared" si="103"/>
        <v>2862.5080000000307</v>
      </c>
      <c r="JA11" s="16">
        <f t="shared" si="103"/>
        <v>2360.332000000024</v>
      </c>
      <c r="JB11" s="16">
        <f t="shared" si="103"/>
        <v>3231.398000000012</v>
      </c>
      <c r="JC11" s="16">
        <f t="shared" si="103"/>
        <v>2578.3219999999565</v>
      </c>
      <c r="JD11" s="16">
        <f t="shared" si="103"/>
        <v>2812.6800000001094</v>
      </c>
      <c r="JE11" s="16">
        <f t="shared" si="103"/>
        <v>2661.0769999999611</v>
      </c>
      <c r="JF11" s="16">
        <f t="shared" si="103"/>
        <v>2875.4060000001919</v>
      </c>
      <c r="JG11" s="16">
        <f t="shared" si="103"/>
        <v>3061.6179999997839</v>
      </c>
      <c r="JH11" s="16">
        <f t="shared" si="103"/>
        <v>2101.5130000002391</v>
      </c>
      <c r="JI11" s="16">
        <f t="shared" si="103"/>
        <v>2947.9149999997753</v>
      </c>
      <c r="JJ11" s="16">
        <f t="shared" si="103"/>
        <v>2602.7709999999497</v>
      </c>
      <c r="JK11" s="16">
        <f t="shared" si="103"/>
        <v>2711.3640000001178</v>
      </c>
      <c r="JL11" s="16">
        <f t="shared" si="103"/>
        <v>2510.3540000001085</v>
      </c>
      <c r="JM11" s="16">
        <f t="shared" si="103"/>
        <v>2947.248999999807</v>
      </c>
      <c r="JN11" s="16">
        <f t="shared" si="103"/>
        <v>2572.9430000001448</v>
      </c>
      <c r="JO11" s="16">
        <f t="shared" si="103"/>
        <v>2059.3229999999749</v>
      </c>
      <c r="JP11" s="16">
        <f t="shared" si="103"/>
        <v>3217.9169999999576</v>
      </c>
      <c r="JQ11" s="16">
        <f t="shared" si="103"/>
        <v>2374.3300000000454</v>
      </c>
      <c r="JR11" s="16">
        <f t="shared" si="103"/>
        <v>2605.0490000001155</v>
      </c>
      <c r="JS11" s="16">
        <f t="shared" si="103"/>
        <v>2626.9569999997329</v>
      </c>
      <c r="JT11" s="16">
        <f t="shared" si="103"/>
        <v>2969.030999999959</v>
      </c>
      <c r="JU11" s="16">
        <f t="shared" si="103"/>
        <v>3267.3330000000133</v>
      </c>
      <c r="JV11" s="16">
        <f t="shared" si="103"/>
        <v>2778.6889999999548</v>
      </c>
      <c r="JW11" s="16">
        <f t="shared" si="103"/>
        <v>2705.5139999999665</v>
      </c>
      <c r="JX11" s="16">
        <f t="shared" si="103"/>
        <v>2643.5750000001281</v>
      </c>
      <c r="JY11" s="127">
        <f t="shared" si="58"/>
        <v>81809.524999999965</v>
      </c>
      <c r="JZ11" s="16">
        <f t="shared" ref="JZ11:LD11" si="104">JZ7+JZ4</f>
        <v>2447.0239999999467</v>
      </c>
      <c r="KA11" s="16">
        <f t="shared" si="104"/>
        <v>2797.3410000000731</v>
      </c>
      <c r="KB11" s="16">
        <f t="shared" si="104"/>
        <v>2967.5669999998645</v>
      </c>
      <c r="KC11" s="16">
        <f t="shared" si="104"/>
        <v>2687.2340000000258</v>
      </c>
      <c r="KD11" s="16">
        <f t="shared" si="104"/>
        <v>2882.5530000001017</v>
      </c>
      <c r="KE11" s="16">
        <f t="shared" si="104"/>
        <v>2801.4490000001679</v>
      </c>
      <c r="KF11" s="16">
        <f t="shared" si="104"/>
        <v>3121.9079999999667</v>
      </c>
      <c r="KG11" s="16">
        <f t="shared" si="104"/>
        <v>2684.18799999982</v>
      </c>
      <c r="KH11" s="16">
        <f t="shared" si="104"/>
        <v>3185.6610000000219</v>
      </c>
      <c r="KI11" s="16">
        <f t="shared" si="104"/>
        <v>3070.6250000000291</v>
      </c>
      <c r="KJ11" s="16">
        <f t="shared" si="104"/>
        <v>3287.0570000000298</v>
      </c>
      <c r="KK11" s="16">
        <f t="shared" si="104"/>
        <v>2579.8530000000028</v>
      </c>
      <c r="KL11" s="16">
        <f t="shared" si="104"/>
        <v>4122.4809999997669</v>
      </c>
      <c r="KM11" s="16">
        <f t="shared" si="104"/>
        <v>3126.6630000003497</v>
      </c>
      <c r="KN11" s="16">
        <f t="shared" si="104"/>
        <v>2450.6750000000466</v>
      </c>
      <c r="KO11" s="16">
        <f t="shared" si="104"/>
        <v>3851.9069999998901</v>
      </c>
      <c r="KP11" s="16">
        <f t="shared" si="104"/>
        <v>3089.7929999999178</v>
      </c>
      <c r="KQ11" s="16">
        <f t="shared" si="104"/>
        <v>3320.1649999999208</v>
      </c>
      <c r="KR11" s="16">
        <f t="shared" si="104"/>
        <v>2660.0890000000945</v>
      </c>
      <c r="KS11" s="16">
        <f t="shared" si="104"/>
        <v>3289.7320000001346</v>
      </c>
      <c r="KT11" s="16">
        <f t="shared" si="104"/>
        <v>3337.5769999999029</v>
      </c>
      <c r="KU11" s="16">
        <f t="shared" si="104"/>
        <v>3288.0159999997704</v>
      </c>
      <c r="KV11" s="16">
        <f t="shared" si="104"/>
        <v>4386.2890000001935</v>
      </c>
      <c r="KW11" s="16">
        <f t="shared" si="104"/>
        <v>3428.8930000000109</v>
      </c>
      <c r="KX11" s="16">
        <f t="shared" si="104"/>
        <v>3005.9039999999804</v>
      </c>
      <c r="KY11" s="16">
        <f t="shared" si="104"/>
        <v>2859.6240000000398</v>
      </c>
      <c r="KZ11" s="16">
        <f t="shared" si="104"/>
        <v>3128.2939999999362</v>
      </c>
      <c r="LA11" s="16">
        <f t="shared" si="104"/>
        <v>3335.9649999999965</v>
      </c>
      <c r="LB11" s="16">
        <f t="shared" si="104"/>
        <v>3289.7660000000615</v>
      </c>
      <c r="LC11" s="16">
        <f t="shared" si="104"/>
        <v>2904.6919999998936</v>
      </c>
      <c r="LD11" s="16">
        <f t="shared" si="104"/>
        <v>3786.0100000001548</v>
      </c>
      <c r="LE11" s="127">
        <f t="shared" si="60"/>
        <v>94727.971000000165</v>
      </c>
      <c r="LF11" s="16">
        <f t="shared" ref="LF11:MI11" si="105">LF7+LF4</f>
        <v>3738.7009999999136</v>
      </c>
      <c r="LG11" s="16">
        <f t="shared" si="105"/>
        <v>3031.4799999999232</v>
      </c>
      <c r="LH11" s="16">
        <f t="shared" si="105"/>
        <v>3852.1360000000859</v>
      </c>
      <c r="LI11" s="16">
        <f t="shared" si="105"/>
        <v>3907.7780000000203</v>
      </c>
      <c r="LJ11" s="16">
        <f t="shared" si="105"/>
        <v>3077.8679999997839</v>
      </c>
      <c r="LK11" s="16">
        <f t="shared" si="105"/>
        <v>3075.4620000000577</v>
      </c>
      <c r="LL11" s="16">
        <f t="shared" si="105"/>
        <v>3974.2650000001886</v>
      </c>
      <c r="LM11" s="16">
        <f t="shared" si="105"/>
        <v>4111.4869999999937</v>
      </c>
      <c r="LN11" s="16">
        <f t="shared" si="105"/>
        <v>2968.2740000001213</v>
      </c>
      <c r="LO11" s="16">
        <f t="shared" si="105"/>
        <v>3448.3419999998878</v>
      </c>
      <c r="LP11" s="16">
        <f t="shared" si="105"/>
        <v>3563.5619999998889</v>
      </c>
      <c r="LQ11" s="16">
        <f t="shared" si="105"/>
        <v>3195.6180000000459</v>
      </c>
      <c r="LR11" s="16">
        <f t="shared" si="105"/>
        <v>3344.242999999813</v>
      </c>
      <c r="LS11" s="16">
        <f t="shared" si="105"/>
        <v>3670.0800000003073</v>
      </c>
      <c r="LT11" s="16">
        <f t="shared" si="105"/>
        <v>3809.3199999998906</v>
      </c>
      <c r="LU11" s="16">
        <f t="shared" si="105"/>
        <v>3094.4939999998896</v>
      </c>
      <c r="LV11" s="16">
        <f t="shared" si="105"/>
        <v>2874.0319999999774</v>
      </c>
      <c r="LW11" s="16">
        <f t="shared" si="105"/>
        <v>3312.6390000001993</v>
      </c>
      <c r="LX11" s="16">
        <f t="shared" si="105"/>
        <v>3291.7380000000703</v>
      </c>
      <c r="LY11" s="16">
        <f t="shared" si="105"/>
        <v>3412.492999999813</v>
      </c>
      <c r="LZ11" s="16">
        <f t="shared" si="105"/>
        <v>3464.3400000000838</v>
      </c>
      <c r="MA11" s="16">
        <f t="shared" si="105"/>
        <v>3212.1889999998093</v>
      </c>
      <c r="MB11" s="16">
        <f t="shared" si="105"/>
        <v>2876.9450000002107</v>
      </c>
      <c r="MC11" s="16">
        <f t="shared" si="105"/>
        <v>3328.8150000000605</v>
      </c>
      <c r="MD11" s="16">
        <f t="shared" si="105"/>
        <v>2908.844000000041</v>
      </c>
      <c r="ME11" s="16">
        <f t="shared" si="105"/>
        <v>3224.7379999998375</v>
      </c>
      <c r="MF11" s="16">
        <f t="shared" si="105"/>
        <v>2695.1630000000005</v>
      </c>
      <c r="MG11" s="16">
        <f t="shared" si="105"/>
        <v>3095.6030000000901</v>
      </c>
      <c r="MH11" s="16">
        <f t="shared" si="105"/>
        <v>3015.1890000000712</v>
      </c>
      <c r="MI11" s="16">
        <f t="shared" si="105"/>
        <v>3103.1689999997907</v>
      </c>
      <c r="MJ11" s="127">
        <f t="shared" si="62"/>
        <v>99679.006999999867</v>
      </c>
      <c r="MK11" s="16">
        <f t="shared" ref="MK11:NO11" si="106">MK7+MK4</f>
        <v>3478.1640000000771</v>
      </c>
      <c r="ML11" s="16">
        <f t="shared" si="106"/>
        <v>3294.4509999999914</v>
      </c>
      <c r="MM11" s="16">
        <f t="shared" si="106"/>
        <v>2613.6980000000331</v>
      </c>
      <c r="MN11" s="16">
        <f t="shared" si="106"/>
        <v>2910.910000000079</v>
      </c>
      <c r="MO11" s="16">
        <f t="shared" si="106"/>
        <v>3466.9559999998601</v>
      </c>
      <c r="MP11" s="16">
        <f t="shared" si="106"/>
        <v>2857.3450000000917</v>
      </c>
      <c r="MQ11" s="16">
        <f t="shared" si="106"/>
        <v>3253.144999999844</v>
      </c>
      <c r="MR11" s="16">
        <f t="shared" si="106"/>
        <v>3033.4970000000321</v>
      </c>
      <c r="MS11" s="16">
        <f t="shared" si="106"/>
        <v>2705.5650000001056</v>
      </c>
      <c r="MT11" s="16">
        <f t="shared" si="106"/>
        <v>2180.2799999998992</v>
      </c>
      <c r="MU11" s="16">
        <f t="shared" si="106"/>
        <v>3100.3960000000479</v>
      </c>
      <c r="MV11" s="16">
        <f t="shared" si="106"/>
        <v>3056.6090000000258</v>
      </c>
      <c r="MW11" s="16">
        <f t="shared" si="106"/>
        <v>3646.1849999999686</v>
      </c>
      <c r="MX11" s="16">
        <f t="shared" si="106"/>
        <v>2460.0239999999176</v>
      </c>
      <c r="MY11" s="16">
        <f t="shared" si="106"/>
        <v>2858.4740000001912</v>
      </c>
      <c r="MZ11" s="16">
        <f t="shared" si="106"/>
        <v>3353.1659999997937</v>
      </c>
      <c r="NA11" s="16">
        <f t="shared" si="106"/>
        <v>2852.2610000001441</v>
      </c>
      <c r="NB11" s="16">
        <f t="shared" si="106"/>
        <v>3097.0939999998373</v>
      </c>
      <c r="NC11" s="16">
        <f t="shared" si="106"/>
        <v>3151.0290000002133</v>
      </c>
      <c r="ND11" s="16">
        <f t="shared" si="106"/>
        <v>3044.1779999998689</v>
      </c>
      <c r="NE11" s="16">
        <f t="shared" si="106"/>
        <v>2274.9969999999448</v>
      </c>
      <c r="NF11" s="16">
        <f t="shared" si="106"/>
        <v>2811.4740000000456</v>
      </c>
      <c r="NG11" s="16">
        <f t="shared" si="106"/>
        <v>2530.4620000002324</v>
      </c>
      <c r="NH11" s="16">
        <f t="shared" si="106"/>
        <v>2500.1189999998023</v>
      </c>
      <c r="NI11" s="16">
        <f t="shared" si="106"/>
        <v>3026.9800000000396</v>
      </c>
      <c r="NJ11" s="16">
        <f t="shared" si="106"/>
        <v>3428.7469999998284</v>
      </c>
      <c r="NK11" s="16">
        <f t="shared" si="106"/>
        <v>3111.9010000000708</v>
      </c>
      <c r="NL11" s="16">
        <f t="shared" si="106"/>
        <v>2499.0160000002361</v>
      </c>
      <c r="NM11" s="16">
        <f t="shared" si="106"/>
        <v>3036.6569999998901</v>
      </c>
      <c r="NN11" s="16">
        <f t="shared" si="106"/>
        <v>2886.2090000000317</v>
      </c>
      <c r="NO11" s="16">
        <f t="shared" si="106"/>
        <v>2424.0039999999863</v>
      </c>
      <c r="NP11" s="127">
        <f t="shared" si="64"/>
        <v>87465.829000000056</v>
      </c>
      <c r="NQ11" s="16">
        <f t="shared" ref="NQ11:OU11" si="107">NQ7+NQ4</f>
        <v>2799.5929999998189</v>
      </c>
      <c r="NR11" s="16">
        <f t="shared" si="107"/>
        <v>3104.9830000001821</v>
      </c>
      <c r="NS11" s="16">
        <f t="shared" si="107"/>
        <v>3365.8479999999981</v>
      </c>
      <c r="NT11" s="16">
        <f t="shared" si="107"/>
        <v>2670.3749999999709</v>
      </c>
      <c r="NU11" s="16">
        <f t="shared" si="107"/>
        <v>2922.2869999998657</v>
      </c>
      <c r="NV11" s="16">
        <f t="shared" si="107"/>
        <v>3662.9520000000484</v>
      </c>
      <c r="NW11" s="16">
        <f t="shared" si="107"/>
        <v>3017.1600000000908</v>
      </c>
      <c r="NX11" s="16">
        <f t="shared" si="107"/>
        <v>3122.1179999999877</v>
      </c>
      <c r="NY11" s="16">
        <f t="shared" si="107"/>
        <v>3247.8000000000175</v>
      </c>
      <c r="NZ11" s="16">
        <f t="shared" si="107"/>
        <v>3007.4669999999169</v>
      </c>
      <c r="OA11" s="16">
        <f t="shared" si="107"/>
        <v>2766.4659999999567</v>
      </c>
      <c r="OB11" s="16">
        <f t="shared" si="107"/>
        <v>2657.6410000001488</v>
      </c>
      <c r="OC11" s="16">
        <f t="shared" si="107"/>
        <v>2952.9799999998941</v>
      </c>
      <c r="OD11" s="16">
        <f t="shared" si="107"/>
        <v>3173.1700000001874</v>
      </c>
      <c r="OE11" s="16">
        <f t="shared" si="107"/>
        <v>3008.9949999997916</v>
      </c>
      <c r="OF11" s="16">
        <f t="shared" si="107"/>
        <v>3171.2090000001481</v>
      </c>
      <c r="OG11" s="16">
        <f t="shared" si="107"/>
        <v>3144.560999999987</v>
      </c>
      <c r="OH11" s="16">
        <f t="shared" si="107"/>
        <v>2753.1399999998685</v>
      </c>
      <c r="OI11" s="16">
        <f t="shared" si="107"/>
        <v>3132.5100000001257</v>
      </c>
      <c r="OJ11" s="16">
        <f t="shared" si="107"/>
        <v>2813.6800000000512</v>
      </c>
      <c r="OK11" s="16">
        <f t="shared" si="107"/>
        <v>2728.4619999998249</v>
      </c>
      <c r="OL11" s="16">
        <f t="shared" si="107"/>
        <v>3347.2640000000247</v>
      </c>
      <c r="OM11" s="16">
        <f t="shared" si="107"/>
        <v>3053.7720000001136</v>
      </c>
      <c r="ON11" s="16">
        <f t="shared" si="107"/>
        <v>3210.2549999998882</v>
      </c>
      <c r="OO11" s="16">
        <f t="shared" si="107"/>
        <v>2051.6630000000005</v>
      </c>
      <c r="OP11" s="16">
        <f t="shared" si="107"/>
        <v>3004.3089999998629</v>
      </c>
      <c r="OQ11" s="16">
        <f t="shared" si="107"/>
        <v>2972.556000000186</v>
      </c>
      <c r="OR11" s="16">
        <f t="shared" si="107"/>
        <v>2800.1880000000529</v>
      </c>
      <c r="OS11" s="16">
        <f t="shared" si="107"/>
        <v>2997.9489999999641</v>
      </c>
      <c r="OT11" s="16">
        <f t="shared" si="107"/>
        <v>3038.5469999999623</v>
      </c>
      <c r="OU11" s="16">
        <f t="shared" si="107"/>
        <v>3751.5839999999152</v>
      </c>
      <c r="OV11" s="127">
        <f t="shared" si="66"/>
        <v>90651.891000000032</v>
      </c>
      <c r="OW11" s="16">
        <f t="shared" ref="OW11:PZ11" si="108">OW7+OW4</f>
        <v>2564.0890000000945</v>
      </c>
      <c r="OX11" s="16">
        <f t="shared" si="108"/>
        <v>3612.0829999999551</v>
      </c>
      <c r="OY11" s="16">
        <f t="shared" si="108"/>
        <v>2998.3579999999783</v>
      </c>
      <c r="OZ11" s="16">
        <f t="shared" si="108"/>
        <v>2707.5590000000957</v>
      </c>
      <c r="PA11" s="16">
        <f t="shared" si="108"/>
        <v>3154.4739999999292</v>
      </c>
      <c r="PB11" s="16">
        <f t="shared" si="108"/>
        <v>3319.6410000001779</v>
      </c>
      <c r="PC11" s="16">
        <f t="shared" si="108"/>
        <v>3318.252999999735</v>
      </c>
      <c r="PD11" s="16">
        <f t="shared" si="108"/>
        <v>2898.7510000002512</v>
      </c>
      <c r="PE11" s="16">
        <f t="shared" si="108"/>
        <v>3018.4229999997069</v>
      </c>
      <c r="PF11" s="16">
        <f t="shared" si="108"/>
        <v>2867.4030000002822</v>
      </c>
      <c r="PG11" s="16">
        <f t="shared" si="108"/>
        <v>2878.2339999999094</v>
      </c>
      <c r="PH11" s="16">
        <f t="shared" si="108"/>
        <v>2698.2159999999858</v>
      </c>
      <c r="PI11" s="16">
        <f t="shared" si="108"/>
        <v>3649.0139999999665</v>
      </c>
      <c r="PJ11" s="16">
        <f t="shared" si="108"/>
        <v>3063.1840000000375</v>
      </c>
      <c r="PK11" s="16">
        <f t="shared" si="108"/>
        <v>2516.9719999999797</v>
      </c>
      <c r="PL11" s="16">
        <f t="shared" si="108"/>
        <v>3010.0740000000224</v>
      </c>
      <c r="PM11" s="16">
        <f t="shared" si="108"/>
        <v>2853.2009999998845</v>
      </c>
      <c r="PN11" s="16">
        <f t="shared" si="108"/>
        <v>2441.7680000001856</v>
      </c>
      <c r="PO11" s="16">
        <f t="shared" si="108"/>
        <v>2801.7180000000226</v>
      </c>
      <c r="PP11" s="16">
        <f t="shared" si="108"/>
        <v>2748.5039999999572</v>
      </c>
      <c r="PQ11" s="16">
        <f t="shared" si="108"/>
        <v>2457.4429999998247</v>
      </c>
      <c r="PR11" s="16">
        <f t="shared" si="108"/>
        <v>2227.6190000001516</v>
      </c>
      <c r="PS11" s="16">
        <f t="shared" si="108"/>
        <v>2455.7129999999179</v>
      </c>
      <c r="PT11" s="16">
        <f t="shared" si="108"/>
        <v>2693.0459999999357</v>
      </c>
      <c r="PU11" s="16">
        <f t="shared" si="108"/>
        <v>2266.7380000001867</v>
      </c>
      <c r="PV11" s="16">
        <f t="shared" si="108"/>
        <v>2444.022999999841</v>
      </c>
      <c r="PW11" s="16">
        <f t="shared" si="108"/>
        <v>2766.439999999915</v>
      </c>
      <c r="PX11" s="16">
        <f t="shared" si="108"/>
        <v>2894.9650000001711</v>
      </c>
      <c r="PY11" s="16">
        <f t="shared" si="108"/>
        <v>1556.3809999999903</v>
      </c>
      <c r="PZ11" s="16">
        <f t="shared" si="108"/>
        <v>2983.5069999999541</v>
      </c>
      <c r="QA11" s="127">
        <f t="shared" si="68"/>
        <v>83865.794000000038</v>
      </c>
      <c r="QB11" s="16">
        <f t="shared" ref="QB11:SM11" si="109">QB7+QB4</f>
        <v>1430.0030000000843</v>
      </c>
      <c r="QC11" s="16">
        <f t="shared" si="109"/>
        <v>2230.0439999999362</v>
      </c>
      <c r="QD11" s="16">
        <f t="shared" si="109"/>
        <v>2627.3950000001641</v>
      </c>
      <c r="QE11" s="16">
        <f t="shared" si="109"/>
        <v>3416.5629999998491</v>
      </c>
      <c r="QF11" s="16">
        <f t="shared" si="109"/>
        <v>3358.2710000000661</v>
      </c>
      <c r="QG11" s="16">
        <f t="shared" si="109"/>
        <v>2334.8299999999872</v>
      </c>
      <c r="QH11" s="16">
        <f t="shared" si="109"/>
        <v>3258.5600000000559</v>
      </c>
      <c r="QI11" s="16">
        <f t="shared" si="109"/>
        <v>2766.7149999999674</v>
      </c>
      <c r="QJ11" s="16">
        <f t="shared" si="109"/>
        <v>2848.475000000064</v>
      </c>
      <c r="QK11" s="16">
        <f t="shared" si="109"/>
        <v>2721.6469999997935</v>
      </c>
      <c r="QL11" s="16">
        <f t="shared" si="109"/>
        <v>3260.905000000057</v>
      </c>
      <c r="QM11" s="16">
        <f t="shared" si="109"/>
        <v>3233.3790000001609</v>
      </c>
      <c r="QN11" s="16">
        <f t="shared" si="109"/>
        <v>2993.9529999999504</v>
      </c>
      <c r="QO11" s="16">
        <f t="shared" si="109"/>
        <v>3467.1710000000312</v>
      </c>
      <c r="QP11" s="16">
        <f t="shared" si="109"/>
        <v>2766.0639999998384</v>
      </c>
      <c r="QQ11" s="16">
        <f t="shared" si="109"/>
        <v>2449.1340000001364</v>
      </c>
      <c r="QR11" s="16">
        <f t="shared" si="109"/>
        <v>2653.8900000000722</v>
      </c>
      <c r="QS11" s="16">
        <f t="shared" si="109"/>
        <v>3558.2659999998286</v>
      </c>
      <c r="QT11" s="16">
        <f t="shared" si="109"/>
        <v>2985.7640000001411</v>
      </c>
      <c r="QU11" s="16">
        <f t="shared" si="109"/>
        <v>2354.0109999999404</v>
      </c>
      <c r="QV11" s="16">
        <f t="shared" si="109"/>
        <v>2614.9609999999229</v>
      </c>
      <c r="QW11" s="16">
        <f t="shared" si="109"/>
        <v>2404.9089999999851</v>
      </c>
      <c r="QX11" s="16">
        <f t="shared" si="109"/>
        <v>2514.3710000001884</v>
      </c>
      <c r="QY11" s="16">
        <f t="shared" si="109"/>
        <v>3406.7339999998512</v>
      </c>
      <c r="QZ11" s="16">
        <f t="shared" si="109"/>
        <v>3657.5869999998831</v>
      </c>
      <c r="RA11" s="16">
        <f t="shared" si="109"/>
        <v>2666.3270000001939</v>
      </c>
      <c r="RB11" s="16">
        <f t="shared" si="109"/>
        <v>2269.1070000000182</v>
      </c>
      <c r="RC11" s="16">
        <f t="shared" si="109"/>
        <v>2484.9789999998175</v>
      </c>
      <c r="RD11" s="16">
        <f t="shared" si="109"/>
        <v>2674.7749999999942</v>
      </c>
      <c r="RE11" s="16">
        <f t="shared" si="109"/>
        <v>2235.1689999999944</v>
      </c>
      <c r="RF11" s="16">
        <f t="shared" si="109"/>
        <v>3035.9370000000636</v>
      </c>
      <c r="RG11" s="127">
        <f t="shared" si="109"/>
        <v>86679.896000000037</v>
      </c>
      <c r="RH11" s="16">
        <f t="shared" si="109"/>
        <v>2899.4290000001783</v>
      </c>
      <c r="RI11" s="16">
        <f t="shared" si="109"/>
        <v>2874.5299999999406</v>
      </c>
      <c r="RJ11" s="16">
        <f t="shared" si="109"/>
        <v>2670.7819999999483</v>
      </c>
      <c r="RK11" s="16">
        <f t="shared" si="109"/>
        <v>3592.7649999999267</v>
      </c>
      <c r="RL11" s="16">
        <f t="shared" si="109"/>
        <v>2675.2970000000787</v>
      </c>
      <c r="RM11" s="16">
        <f t="shared" si="109"/>
        <v>2174.3170000000391</v>
      </c>
      <c r="RN11" s="16">
        <f t="shared" si="109"/>
        <v>2228.0819999998494</v>
      </c>
      <c r="RO11" s="16">
        <f t="shared" si="109"/>
        <v>2738.9120000000985</v>
      </c>
      <c r="RP11" s="16">
        <f t="shared" si="109"/>
        <v>2737.0669999999518</v>
      </c>
      <c r="RQ11" s="16">
        <f t="shared" si="109"/>
        <v>2448.2450000000244</v>
      </c>
      <c r="RR11" s="16">
        <f t="shared" si="109"/>
        <v>2950.429999999993</v>
      </c>
      <c r="RS11" s="16">
        <f t="shared" si="109"/>
        <v>2412.0660000000789</v>
      </c>
      <c r="RT11" s="16">
        <f t="shared" si="109"/>
        <v>2878.2839999997814</v>
      </c>
      <c r="RU11" s="16">
        <f t="shared" si="109"/>
        <v>2496.0020000002114</v>
      </c>
      <c r="RV11" s="16">
        <f t="shared" si="109"/>
        <v>2871.9199999998964</v>
      </c>
      <c r="RW11" s="16">
        <f t="shared" si="109"/>
        <v>2854.063000000082</v>
      </c>
      <c r="RX11" s="16">
        <f t="shared" si="109"/>
        <v>2518.8309999999183</v>
      </c>
      <c r="RY11" s="16">
        <f t="shared" si="109"/>
        <v>2490.3990000000922</v>
      </c>
      <c r="RZ11" s="16">
        <f t="shared" si="109"/>
        <v>2859.0829999998678</v>
      </c>
      <c r="SA11" s="16">
        <f t="shared" si="109"/>
        <v>2527.0370000000985</v>
      </c>
      <c r="SB11" s="16">
        <f t="shared" si="109"/>
        <v>2560.9129999999714</v>
      </c>
      <c r="SC11" s="16">
        <f t="shared" si="109"/>
        <v>2908.3600000000442</v>
      </c>
      <c r="SD11" s="16">
        <f t="shared" si="109"/>
        <v>2925.6599999999162</v>
      </c>
      <c r="SE11" s="16">
        <f t="shared" si="109"/>
        <v>2241.0450000001292</v>
      </c>
      <c r="SF11" s="16">
        <f t="shared" si="109"/>
        <v>2911.2049999999872</v>
      </c>
      <c r="SG11" s="16">
        <f t="shared" si="109"/>
        <v>2969.8169999999227</v>
      </c>
      <c r="SH11" s="16">
        <f t="shared" si="109"/>
        <v>2528.1530000000203</v>
      </c>
      <c r="SI11" s="16">
        <f t="shared" si="109"/>
        <v>3271.8030000000435</v>
      </c>
      <c r="SJ11" s="16">
        <f t="shared" si="109"/>
        <v>2872.590999999753</v>
      </c>
      <c r="SK11" s="16">
        <f t="shared" si="109"/>
        <v>3072.8440000001865</v>
      </c>
      <c r="SL11" s="127">
        <f t="shared" si="109"/>
        <v>82159.93200000003</v>
      </c>
      <c r="SM11" s="16">
        <f t="shared" si="109"/>
        <v>2242.3220000001602</v>
      </c>
      <c r="SN11" s="16">
        <f t="shared" ref="SN11:UY11" si="110">SN7+SN4</f>
        <v>3596.5169999997888</v>
      </c>
      <c r="SO11" s="16">
        <f t="shared" si="110"/>
        <v>4717.2390000000887</v>
      </c>
      <c r="SP11" s="16">
        <f t="shared" si="110"/>
        <v>3092.016999999847</v>
      </c>
      <c r="SQ11" s="16">
        <f t="shared" si="110"/>
        <v>2802.5580000002228</v>
      </c>
      <c r="SR11" s="16">
        <f t="shared" si="110"/>
        <v>2984.8400000000256</v>
      </c>
      <c r="SS11" s="16">
        <f t="shared" si="110"/>
        <v>3159.9579999997845</v>
      </c>
      <c r="ST11" s="16">
        <f t="shared" si="110"/>
        <v>2714.1320000000997</v>
      </c>
      <c r="SU11" s="16">
        <f t="shared" si="110"/>
        <v>3618.5889999998617</v>
      </c>
      <c r="SV11" s="16">
        <f t="shared" si="110"/>
        <v>2772.0500000001339</v>
      </c>
      <c r="SW11" s="16">
        <f t="shared" si="110"/>
        <v>2839.9239999999991</v>
      </c>
      <c r="SX11" s="16">
        <f t="shared" si="110"/>
        <v>2768.521000000037</v>
      </c>
      <c r="SY11" s="16">
        <f t="shared" si="110"/>
        <v>3714.3509999999078</v>
      </c>
      <c r="SZ11" s="16">
        <f t="shared" si="110"/>
        <v>3115.2800000002317</v>
      </c>
      <c r="TA11" s="16">
        <f t="shared" si="110"/>
        <v>2797.3449999999139</v>
      </c>
      <c r="TB11" s="16">
        <f t="shared" si="110"/>
        <v>3305.5639999998384</v>
      </c>
      <c r="TC11" s="16">
        <f t="shared" si="110"/>
        <v>2949.709000000119</v>
      </c>
      <c r="TD11" s="16">
        <f t="shared" si="110"/>
        <v>3003.1789999999164</v>
      </c>
      <c r="TE11" s="16">
        <f t="shared" si="110"/>
        <v>3311.1589999998105</v>
      </c>
      <c r="TF11" s="16">
        <f t="shared" si="110"/>
        <v>3154.4330000001937</v>
      </c>
      <c r="TG11" s="16">
        <f t="shared" si="110"/>
        <v>3294.3730000000214</v>
      </c>
      <c r="TH11" s="16">
        <f t="shared" si="110"/>
        <v>3354.8910000000615</v>
      </c>
      <c r="TI11" s="16">
        <f t="shared" si="110"/>
        <v>3179.3819999999541</v>
      </c>
      <c r="TJ11" s="16">
        <f t="shared" si="110"/>
        <v>3216.0139999997918</v>
      </c>
      <c r="TK11" s="16">
        <f t="shared" si="110"/>
        <v>2076.5930000000517</v>
      </c>
      <c r="TL11" s="16">
        <f t="shared" si="110"/>
        <v>2200.2410000000673</v>
      </c>
      <c r="TM11" s="16">
        <f t="shared" si="110"/>
        <v>2594.4800000001269</v>
      </c>
      <c r="TN11" s="16">
        <f t="shared" si="110"/>
        <v>2566.9429999999993</v>
      </c>
      <c r="TO11" s="16">
        <f t="shared" si="110"/>
        <v>2214.9740000000165</v>
      </c>
      <c r="TP11" s="16">
        <f t="shared" si="110"/>
        <v>2640.730000000156</v>
      </c>
      <c r="TQ11" s="16">
        <f t="shared" si="110"/>
        <v>2986.3489999996673</v>
      </c>
      <c r="TR11" s="127">
        <f t="shared" si="110"/>
        <v>92984.65699999989</v>
      </c>
      <c r="TS11" s="16">
        <f t="shared" si="110"/>
        <v>1957.2240000002203</v>
      </c>
      <c r="TT11" s="16">
        <f t="shared" si="110"/>
        <v>2406.1490000000049</v>
      </c>
      <c r="TU11" s="16">
        <f t="shared" si="110"/>
        <v>2468.5969999999506</v>
      </c>
      <c r="TV11" s="16">
        <f t="shared" si="110"/>
        <v>2647.3709999997227</v>
      </c>
      <c r="TW11" s="16">
        <f t="shared" si="110"/>
        <v>2154.8470000001544</v>
      </c>
      <c r="TX11" s="16">
        <f t="shared" si="110"/>
        <v>2847.6719999999914</v>
      </c>
      <c r="TY11" s="16">
        <f t="shared" si="110"/>
        <v>2896.5560000000696</v>
      </c>
      <c r="TZ11" s="16">
        <f t="shared" si="110"/>
        <v>3161.3579999999783</v>
      </c>
      <c r="UA11" s="16">
        <f t="shared" si="110"/>
        <v>2756.2260000001988</v>
      </c>
      <c r="UB11" s="16">
        <f t="shared" si="110"/>
        <v>2984.6819999998843</v>
      </c>
      <c r="UC11" s="16">
        <f t="shared" si="110"/>
        <v>2997.5840000000608</v>
      </c>
      <c r="UD11" s="16">
        <f t="shared" si="110"/>
        <v>2457.1179999999586</v>
      </c>
      <c r="UE11" s="16">
        <f t="shared" si="110"/>
        <v>3378.1249999999709</v>
      </c>
      <c r="UF11" s="16">
        <f t="shared" si="110"/>
        <v>2805.7079999999551</v>
      </c>
      <c r="UG11" s="16">
        <f t="shared" si="110"/>
        <v>2842.0259999999835</v>
      </c>
      <c r="UH11" s="16">
        <f t="shared" si="110"/>
        <v>2794.6049999999814</v>
      </c>
      <c r="UI11" s="16">
        <f t="shared" si="110"/>
        <v>3088.3199999999488</v>
      </c>
      <c r="UJ11" s="16">
        <f t="shared" si="110"/>
        <v>3110.9090000001306</v>
      </c>
      <c r="UK11" s="16">
        <f t="shared" si="110"/>
        <v>2866.9759999999951</v>
      </c>
      <c r="UL11" s="16">
        <f t="shared" si="110"/>
        <v>2759.8729999998759</v>
      </c>
      <c r="UM11" s="16">
        <f t="shared" si="110"/>
        <v>2723.4520000000484</v>
      </c>
      <c r="UN11" s="16">
        <f t="shared" si="110"/>
        <v>3157.1090000001423</v>
      </c>
      <c r="UO11" s="16">
        <f t="shared" si="110"/>
        <v>2777.0109999997658</v>
      </c>
      <c r="UP11" s="16">
        <f t="shared" si="110"/>
        <v>3440.3330000002461</v>
      </c>
      <c r="UQ11" s="16">
        <f t="shared" si="110"/>
        <v>3164.9099999997416</v>
      </c>
      <c r="UR11" s="16">
        <f t="shared" si="110"/>
        <v>3107.3080000001646</v>
      </c>
      <c r="US11" s="16">
        <f t="shared" si="110"/>
        <v>3007.3999999999942</v>
      </c>
      <c r="UT11" s="16">
        <f t="shared" si="110"/>
        <v>2649.5600000001214</v>
      </c>
      <c r="UU11" s="16">
        <f t="shared" si="110"/>
        <v>1614.9089999998687</v>
      </c>
      <c r="UV11" s="16">
        <f t="shared" si="110"/>
        <v>2535.3959999999047</v>
      </c>
      <c r="UW11" s="16">
        <f t="shared" si="110"/>
        <v>3026.4420000001446</v>
      </c>
      <c r="UX11" s="127">
        <f t="shared" si="110"/>
        <v>86585.756000000183</v>
      </c>
      <c r="UY11" s="16">
        <f t="shared" si="110"/>
        <v>3171.0439999999653</v>
      </c>
      <c r="UZ11" s="16">
        <f t="shared" ref="UZ11:XK11" si="111">UZ7+UZ4</f>
        <v>2619.9399999999441</v>
      </c>
      <c r="VA11" s="16">
        <f t="shared" si="111"/>
        <v>3843.6739999999991</v>
      </c>
      <c r="VB11" s="16">
        <f t="shared" si="111"/>
        <v>2719.6880000000237</v>
      </c>
      <c r="VC11" s="16">
        <f t="shared" si="111"/>
        <v>2991.6769999999378</v>
      </c>
      <c r="VD11" s="16">
        <f t="shared" si="111"/>
        <v>2641.0470000001078</v>
      </c>
      <c r="VE11" s="16">
        <f t="shared" si="111"/>
        <v>3165.0769999998738</v>
      </c>
      <c r="VF11" s="16">
        <f t="shared" si="111"/>
        <v>3362.9350000000559</v>
      </c>
      <c r="VG11" s="16">
        <f t="shared" si="111"/>
        <v>2414.7100000000501</v>
      </c>
      <c r="VH11" s="16">
        <f t="shared" si="111"/>
        <v>2871.5269999998272</v>
      </c>
      <c r="VI11" s="16">
        <f t="shared" si="111"/>
        <v>3142.3810000000522</v>
      </c>
      <c r="VJ11" s="16">
        <f t="shared" si="111"/>
        <v>2582.3260000000882</v>
      </c>
      <c r="VK11" s="16">
        <f t="shared" si="111"/>
        <v>2861.5530000000726</v>
      </c>
      <c r="VL11" s="16">
        <f t="shared" si="111"/>
        <v>3507.4909999998054</v>
      </c>
      <c r="VM11" s="16">
        <f t="shared" si="111"/>
        <v>2445.6350000002421</v>
      </c>
      <c r="VN11" s="16">
        <f t="shared" si="111"/>
        <v>2755.6729999996314</v>
      </c>
      <c r="VO11" s="16">
        <f t="shared" si="111"/>
        <v>2913.4990000002144</v>
      </c>
      <c r="VP11" s="16">
        <f t="shared" si="111"/>
        <v>2730.2159999999276</v>
      </c>
      <c r="VQ11" s="16">
        <f t="shared" si="111"/>
        <v>3172.8999999999651</v>
      </c>
      <c r="VR11" s="16">
        <f t="shared" si="111"/>
        <v>2899.0010000001057</v>
      </c>
      <c r="VS11" s="16">
        <f t="shared" si="111"/>
        <v>2840.0359999999346</v>
      </c>
      <c r="VT11" s="16">
        <f t="shared" si="111"/>
        <v>3158.2109999999811</v>
      </c>
      <c r="VU11" s="16">
        <f t="shared" si="111"/>
        <v>2575.0040000000154</v>
      </c>
      <c r="VV11" s="16">
        <f t="shared" si="111"/>
        <v>2829.170000000071</v>
      </c>
      <c r="VW11" s="16">
        <f t="shared" si="111"/>
        <v>2982.2300000000105</v>
      </c>
      <c r="VX11" s="16">
        <f t="shared" si="111"/>
        <v>2772.7659999999451</v>
      </c>
      <c r="VY11" s="16">
        <f t="shared" si="111"/>
        <v>3008.3069999998843</v>
      </c>
      <c r="VZ11" s="16">
        <f t="shared" si="111"/>
        <v>2726.1270000001241</v>
      </c>
      <c r="WA11" s="127">
        <f t="shared" si="111"/>
        <v>81703.844999999856</v>
      </c>
      <c r="WB11" s="16">
        <f t="shared" si="111"/>
        <v>3144.0840000000899</v>
      </c>
      <c r="WC11" s="16">
        <f t="shared" si="111"/>
        <v>2319.6540000000678</v>
      </c>
      <c r="WD11" s="16">
        <f t="shared" si="111"/>
        <v>3114.7849999997998</v>
      </c>
      <c r="WE11" s="16">
        <f t="shared" si="111"/>
        <v>2655.3940000002622</v>
      </c>
      <c r="WF11" s="16">
        <f t="shared" si="111"/>
        <v>2351.2719999999099</v>
      </c>
      <c r="WG11" s="16">
        <f t="shared" si="111"/>
        <v>1623.3980000000447</v>
      </c>
      <c r="WH11" s="16">
        <f t="shared" si="111"/>
        <v>2676.706999999762</v>
      </c>
      <c r="WI11" s="16">
        <f t="shared" si="111"/>
        <v>3083.9410000000789</v>
      </c>
      <c r="WJ11" s="16">
        <f t="shared" si="111"/>
        <v>2693.1710000000312</v>
      </c>
      <c r="WK11" s="16">
        <f t="shared" si="111"/>
        <v>3006.4400000000605</v>
      </c>
      <c r="WL11" s="16">
        <f t="shared" si="111"/>
        <v>3170.217000000237</v>
      </c>
      <c r="WM11" s="16">
        <f t="shared" si="111"/>
        <v>2381.5719999999565</v>
      </c>
      <c r="WN11" s="16">
        <f t="shared" si="111"/>
        <v>2420.1989999999641</v>
      </c>
      <c r="WO11" s="16">
        <f t="shared" si="111"/>
        <v>2727.1169999997073</v>
      </c>
      <c r="WP11" s="16">
        <f t="shared" si="111"/>
        <v>3287.435999999987</v>
      </c>
      <c r="WQ11" s="16">
        <f t="shared" si="111"/>
        <v>2150.7579999999434</v>
      </c>
      <c r="WR11" s="16">
        <f t="shared" si="111"/>
        <v>2658.4960000000719</v>
      </c>
      <c r="WS11" s="16">
        <f t="shared" si="111"/>
        <v>2285.8789999999281</v>
      </c>
      <c r="WT11" s="16">
        <f t="shared" si="111"/>
        <v>2805.1880000002275</v>
      </c>
      <c r="WU11" s="16">
        <f t="shared" si="111"/>
        <v>2457.7049999999581</v>
      </c>
      <c r="WV11" s="16">
        <f t="shared" si="111"/>
        <v>3040.451999999932</v>
      </c>
      <c r="WW11" s="16">
        <f t="shared" si="111"/>
        <v>2869.5300000000279</v>
      </c>
      <c r="WX11" s="16">
        <f t="shared" si="111"/>
        <v>2661.1419999999925</v>
      </c>
      <c r="WY11" s="16">
        <f t="shared" si="111"/>
        <v>3080.3490000000747</v>
      </c>
      <c r="WZ11" s="16">
        <f t="shared" si="111"/>
        <v>2668.5370000000403</v>
      </c>
      <c r="XA11" s="16">
        <f t="shared" si="111"/>
        <v>2294.524000000034</v>
      </c>
      <c r="XB11" s="16">
        <f t="shared" si="111"/>
        <v>2988.6140000000305</v>
      </c>
      <c r="XC11" s="16">
        <f t="shared" si="111"/>
        <v>3019.4499999997788</v>
      </c>
      <c r="XD11" s="16">
        <f t="shared" si="111"/>
        <v>3417.5060000000522</v>
      </c>
      <c r="XE11" s="16">
        <f t="shared" si="111"/>
        <v>2570.0910000002186</v>
      </c>
      <c r="XF11" s="16">
        <f t="shared" si="111"/>
        <v>2768.6319999998959</v>
      </c>
      <c r="XG11" s="127">
        <f t="shared" si="111"/>
        <v>84392.240000000165</v>
      </c>
      <c r="XH11" s="16">
        <f t="shared" si="111"/>
        <v>2479.0709999998217</v>
      </c>
      <c r="XI11" s="16">
        <f t="shared" si="111"/>
        <v>2495.9129999999714</v>
      </c>
      <c r="XJ11" s="16">
        <f t="shared" si="111"/>
        <v>2615.4990000000398</v>
      </c>
      <c r="XK11" s="16">
        <f t="shared" si="111"/>
        <v>2707.3240000000515</v>
      </c>
      <c r="XL11" s="16">
        <f t="shared" ref="XL11:ZQ11" si="112">XL7+XL4</f>
        <v>2957.2830000001413</v>
      </c>
      <c r="XM11" s="16">
        <f t="shared" si="112"/>
        <v>2622.6680000000051</v>
      </c>
      <c r="XN11" s="16">
        <f t="shared" si="112"/>
        <v>3026.758999999729</v>
      </c>
      <c r="XO11" s="16">
        <f t="shared" si="112"/>
        <v>2714.5679999999702</v>
      </c>
      <c r="XP11" s="16">
        <f t="shared" si="112"/>
        <v>2386.9240000002028</v>
      </c>
      <c r="XQ11" s="16">
        <f t="shared" si="112"/>
        <v>2749.0129999999772</v>
      </c>
      <c r="XR11" s="16">
        <f t="shared" si="112"/>
        <v>2782.6749999999593</v>
      </c>
      <c r="XS11" s="16">
        <f t="shared" si="112"/>
        <v>2919.18700000018</v>
      </c>
      <c r="XT11" s="16">
        <f t="shared" si="112"/>
        <v>2417.0909999997821</v>
      </c>
      <c r="XU11" s="16">
        <f t="shared" si="112"/>
        <v>2496.2820000000647</v>
      </c>
      <c r="XV11" s="16">
        <f t="shared" si="112"/>
        <v>2763.1910000001371</v>
      </c>
      <c r="XW11" s="16">
        <f t="shared" si="112"/>
        <v>2968.7769999996235</v>
      </c>
      <c r="XX11" s="16">
        <f t="shared" si="112"/>
        <v>2801.1760000002396</v>
      </c>
      <c r="XY11" s="16">
        <f t="shared" si="112"/>
        <v>2510.2149999999383</v>
      </c>
      <c r="XZ11" s="16">
        <f t="shared" si="112"/>
        <v>2853.3279999999213</v>
      </c>
      <c r="YA11" s="16">
        <f t="shared" si="112"/>
        <v>2073.1950000000943</v>
      </c>
      <c r="YB11" s="16">
        <f t="shared" si="112"/>
        <v>2428.3289999999688</v>
      </c>
      <c r="YC11" s="16">
        <f t="shared" si="112"/>
        <v>2627.057000000088</v>
      </c>
      <c r="YD11" s="16">
        <f t="shared" si="112"/>
        <v>2641.2740000001795</v>
      </c>
      <c r="YE11" s="16">
        <f t="shared" si="112"/>
        <v>2726.9739999998128</v>
      </c>
      <c r="YF11" s="16">
        <f t="shared" si="112"/>
        <v>2842.2499999999709</v>
      </c>
      <c r="YG11" s="16">
        <f t="shared" si="112"/>
        <v>2781.7399999999325</v>
      </c>
      <c r="YH11" s="16">
        <f t="shared" si="112"/>
        <v>2568.0440000001981</v>
      </c>
      <c r="YI11" s="16">
        <f t="shared" si="112"/>
        <v>2441.4989999997197</v>
      </c>
      <c r="YJ11" s="16">
        <f t="shared" si="112"/>
        <v>2359.6520000000019</v>
      </c>
      <c r="YK11" s="16">
        <f t="shared" si="112"/>
        <v>2371.9170000002196</v>
      </c>
      <c r="YL11" s="127">
        <f t="shared" si="112"/>
        <v>79128.874999999942</v>
      </c>
      <c r="YM11" s="16">
        <f t="shared" si="112"/>
        <v>2862.9209999998566</v>
      </c>
      <c r="YN11" s="16">
        <f t="shared" si="112"/>
        <v>3457.042999999976</v>
      </c>
      <c r="YO11" s="16">
        <f t="shared" si="112"/>
        <v>2827.7520000000659</v>
      </c>
      <c r="YP11" s="16">
        <f t="shared" si="112"/>
        <v>2840.2410000000673</v>
      </c>
      <c r="YQ11" s="16">
        <f t="shared" si="112"/>
        <v>3226.6579999997921</v>
      </c>
      <c r="YR11" s="16">
        <f t="shared" si="112"/>
        <v>2881.4620000000577</v>
      </c>
      <c r="YS11" s="16">
        <f t="shared" si="112"/>
        <v>2407.8370000002906</v>
      </c>
      <c r="YT11" s="16">
        <f t="shared" si="112"/>
        <v>457.51900000000023</v>
      </c>
      <c r="YU11" s="16">
        <f t="shared" si="112"/>
        <v>2316.0399999998335</v>
      </c>
      <c r="YV11" s="16">
        <f t="shared" si="112"/>
        <v>2824.6810000000987</v>
      </c>
      <c r="YW11" s="16">
        <f t="shared" si="112"/>
        <v>2248.0599999999395</v>
      </c>
      <c r="YX11" s="16">
        <f t="shared" si="112"/>
        <v>2489.3850000000093</v>
      </c>
      <c r="YY11" s="16">
        <f t="shared" si="112"/>
        <v>2471.0280000000203</v>
      </c>
      <c r="YZ11" s="16">
        <f t="shared" si="112"/>
        <v>2613.6980000000331</v>
      </c>
      <c r="ZA11" s="16">
        <f t="shared" si="112"/>
        <v>2491.5839999997988</v>
      </c>
      <c r="ZB11" s="16">
        <f t="shared" si="112"/>
        <v>2514.2450000001118</v>
      </c>
      <c r="ZC11" s="16">
        <f t="shared" si="112"/>
        <v>3082.2260000000533</v>
      </c>
      <c r="ZD11" s="16">
        <f t="shared" si="112"/>
        <v>2531.3339999999735</v>
      </c>
      <c r="ZE11" s="16">
        <f t="shared" si="112"/>
        <v>3018.5140000000829</v>
      </c>
      <c r="ZF11" s="16">
        <f t="shared" si="112"/>
        <v>2565.3019999999087</v>
      </c>
      <c r="ZG11" s="16">
        <f t="shared" si="112"/>
        <v>3013.5279999998456</v>
      </c>
      <c r="ZH11" s="16">
        <f t="shared" si="112"/>
        <v>2951.3330000000424</v>
      </c>
      <c r="ZI11" s="16">
        <f t="shared" si="112"/>
        <v>3146.3380000001343</v>
      </c>
      <c r="ZJ11" s="16">
        <f t="shared" si="112"/>
        <v>3803.6919999998936</v>
      </c>
      <c r="ZK11" s="16">
        <f t="shared" si="112"/>
        <v>2918.3069999998843</v>
      </c>
      <c r="ZL11" s="16">
        <f t="shared" si="112"/>
        <v>3280.9330000001355</v>
      </c>
      <c r="ZM11" s="16">
        <f t="shared" si="112"/>
        <v>2841.7460000000719</v>
      </c>
      <c r="ZN11" s="16">
        <f t="shared" si="112"/>
        <v>3058.2189999999537</v>
      </c>
      <c r="ZO11" s="16">
        <f t="shared" si="112"/>
        <v>2789.6000000000931</v>
      </c>
      <c r="ZP11" s="16">
        <f t="shared" si="112"/>
        <v>3148.4100000000326</v>
      </c>
      <c r="ZQ11" s="16">
        <f t="shared" si="112"/>
        <v>3027.2750000000233</v>
      </c>
      <c r="ZR11" s="127">
        <f t="shared" ref="ZR11:ZR24" si="113">SUM(YM11:ZQ11)</f>
        <v>86106.91100000008</v>
      </c>
      <c r="ZS11" s="16">
        <f t="shared" ref="ZS11:AAV11" si="114">ZS7+ZS4</f>
        <v>3131.4279999999853</v>
      </c>
      <c r="ZT11" s="16">
        <f t="shared" si="114"/>
        <v>2863.4669999997714</v>
      </c>
      <c r="ZU11" s="16">
        <f t="shared" si="114"/>
        <v>2906.2990000000864</v>
      </c>
      <c r="ZV11" s="16">
        <f t="shared" si="114"/>
        <v>2754.2599999999802</v>
      </c>
      <c r="ZW11" s="16">
        <f t="shared" si="114"/>
        <v>3251.2540000001318</v>
      </c>
      <c r="ZX11" s="16">
        <f t="shared" si="114"/>
        <v>2947.2109999998065</v>
      </c>
      <c r="ZY11" s="16">
        <f t="shared" si="114"/>
        <v>3129.0800000000163</v>
      </c>
      <c r="ZZ11" s="16">
        <f t="shared" si="114"/>
        <v>2921.164000000339</v>
      </c>
      <c r="AAA11" s="16">
        <f t="shared" si="114"/>
        <v>2539.9289999996836</v>
      </c>
      <c r="AAB11" s="16">
        <f t="shared" si="114"/>
        <v>3829.8540000001085</v>
      </c>
      <c r="AAC11" s="16">
        <f t="shared" si="114"/>
        <v>3069.3499999999476</v>
      </c>
      <c r="AAD11" s="16">
        <f t="shared" si="114"/>
        <v>2678.8770000001532</v>
      </c>
      <c r="AAE11" s="16">
        <f t="shared" si="114"/>
        <v>3336.5219999997062</v>
      </c>
      <c r="AAF11" s="16">
        <f t="shared" si="114"/>
        <v>3387.2420000002894</v>
      </c>
      <c r="AAG11" s="16">
        <f t="shared" si="114"/>
        <v>3023.5109999998531</v>
      </c>
      <c r="AAH11" s="16">
        <f t="shared" si="114"/>
        <v>2915.2360000001499</v>
      </c>
      <c r="AAI11" s="16">
        <f t="shared" si="114"/>
        <v>2753.2579999997397</v>
      </c>
      <c r="AAJ11" s="16">
        <f t="shared" si="114"/>
        <v>3370.3350000002538</v>
      </c>
      <c r="AAK11" s="16">
        <f t="shared" si="114"/>
        <v>3028.2969999997003</v>
      </c>
      <c r="AAL11" s="16">
        <f t="shared" si="114"/>
        <v>2989.3650000002526</v>
      </c>
      <c r="AAM11" s="16">
        <f t="shared" si="114"/>
        <v>3440.0920000000333</v>
      </c>
      <c r="AAN11" s="16">
        <f t="shared" si="114"/>
        <v>2397.9929999999295</v>
      </c>
      <c r="AAO11" s="16">
        <f t="shared" si="114"/>
        <v>3133.5979999997071</v>
      </c>
      <c r="AAP11" s="16">
        <f t="shared" si="114"/>
        <v>2621.1030000001192</v>
      </c>
      <c r="AAQ11" s="16">
        <f t="shared" si="114"/>
        <v>2796.3739999998652</v>
      </c>
      <c r="AAR11" s="16">
        <f t="shared" si="114"/>
        <v>2820.1580000002577</v>
      </c>
      <c r="AAS11" s="16">
        <f t="shared" si="114"/>
        <v>3025.2869999999821</v>
      </c>
      <c r="AAT11" s="16">
        <f t="shared" si="114"/>
        <v>3307.4630000000761</v>
      </c>
      <c r="AAU11" s="16">
        <f t="shared" si="114"/>
        <v>2580.2180000002554</v>
      </c>
      <c r="AAV11" s="16">
        <f t="shared" si="114"/>
        <v>2651.096999999776</v>
      </c>
      <c r="AAW11" s="127">
        <f t="shared" ref="AAW11:AAW24" si="115">SUM(ZS11:AAV11)</f>
        <v>89599.321999999956</v>
      </c>
      <c r="AAX11" s="16">
        <f t="shared" ref="AAX11:ACB11" si="116">AAX7+AAX4</f>
        <v>3095.4480000000913</v>
      </c>
      <c r="AAY11" s="16">
        <f t="shared" si="116"/>
        <v>2586.2409999999509</v>
      </c>
      <c r="AAZ11" s="16">
        <f t="shared" si="116"/>
        <v>2856.6449999999022</v>
      </c>
      <c r="ABA11" s="16">
        <f t="shared" si="116"/>
        <v>2976.0199999999604</v>
      </c>
      <c r="ABB11" s="16">
        <f t="shared" si="116"/>
        <v>3628.9710000001069</v>
      </c>
      <c r="ABC11" s="16">
        <f t="shared" si="116"/>
        <v>2989.8819999999832</v>
      </c>
      <c r="ABD11" s="16">
        <f t="shared" si="116"/>
        <v>2866.6809999999532</v>
      </c>
      <c r="ABE11" s="16">
        <f t="shared" si="116"/>
        <v>3133.5420000000449</v>
      </c>
      <c r="ABF11" s="16">
        <f t="shared" si="116"/>
        <v>2667.5789999998233</v>
      </c>
      <c r="ABG11" s="16">
        <f t="shared" si="116"/>
        <v>3073.3600000003062</v>
      </c>
      <c r="ABH11" s="16">
        <f t="shared" si="116"/>
        <v>3102.9309999996622</v>
      </c>
      <c r="ABI11" s="16">
        <f t="shared" si="116"/>
        <v>2081.2899999998917</v>
      </c>
      <c r="ABJ11" s="16">
        <f t="shared" si="116"/>
        <v>2985.6270000002114</v>
      </c>
      <c r="ABK11" s="16">
        <f t="shared" si="116"/>
        <v>2957.6379999999481</v>
      </c>
      <c r="ABL11" s="16">
        <f t="shared" si="116"/>
        <v>2870.0860000001558</v>
      </c>
      <c r="ABM11" s="16">
        <f t="shared" si="116"/>
        <v>2817.8449999997683</v>
      </c>
      <c r="ABN11" s="16">
        <f t="shared" si="116"/>
        <v>2916.4890000001751</v>
      </c>
      <c r="ABO11" s="16">
        <f t="shared" si="116"/>
        <v>3418.0170000000217</v>
      </c>
      <c r="ABP11" s="16">
        <f t="shared" si="116"/>
        <v>3116.2900000000373</v>
      </c>
      <c r="ABQ11" s="16">
        <f t="shared" si="116"/>
        <v>2854.482999999891</v>
      </c>
      <c r="ABR11" s="16">
        <f t="shared" si="116"/>
        <v>2541.3620000001683</v>
      </c>
      <c r="ABS11" s="16">
        <f t="shared" si="116"/>
        <v>2574.1479999997246</v>
      </c>
      <c r="ABT11" s="16">
        <f t="shared" si="116"/>
        <v>3010.6630000001169</v>
      </c>
      <c r="ABU11" s="16">
        <f t="shared" si="116"/>
        <v>2875.1810000001278</v>
      </c>
      <c r="ABV11" s="16">
        <f t="shared" si="116"/>
        <v>3441.4569999997957</v>
      </c>
      <c r="ABW11" s="16">
        <f t="shared" si="116"/>
        <v>3086.6800000002258</v>
      </c>
      <c r="ABX11" s="16">
        <f t="shared" si="116"/>
        <v>2694.135999999824</v>
      </c>
      <c r="ABY11" s="16">
        <f t="shared" si="116"/>
        <v>3386.2509999999311</v>
      </c>
      <c r="ABZ11" s="16">
        <f t="shared" si="116"/>
        <v>2819.1200000000536</v>
      </c>
      <c r="ACA11" s="16">
        <f t="shared" si="116"/>
        <v>2589.956000000122</v>
      </c>
      <c r="ACB11" s="16">
        <f t="shared" si="116"/>
        <v>2823.8150000000023</v>
      </c>
      <c r="ACC11" s="127">
        <f t="shared" ref="ACC11:ACC16" si="117">SUM(AAX11:ACB11)</f>
        <v>90837.833999999973</v>
      </c>
      <c r="ACD11" s="16">
        <f t="shared" ref="ACD11:ADH11" si="118">ACD7+ACD4</f>
        <v>3110.0239999999467</v>
      </c>
      <c r="ACE11" s="16">
        <f t="shared" si="118"/>
        <v>3665.1160000000964</v>
      </c>
      <c r="ACF11" s="16">
        <f t="shared" si="118"/>
        <v>3130.4509999998845</v>
      </c>
      <c r="ACG11" s="16">
        <f t="shared" si="118"/>
        <v>3125.8760000000475</v>
      </c>
      <c r="ACH11" s="16">
        <f t="shared" si="118"/>
        <v>3222.1529999999912</v>
      </c>
      <c r="ACI11" s="16">
        <f t="shared" si="118"/>
        <v>2656.5700000001234</v>
      </c>
      <c r="ACJ11" s="16">
        <f t="shared" si="118"/>
        <v>2885.8180000000284</v>
      </c>
      <c r="ACK11" s="16">
        <f t="shared" si="118"/>
        <v>3177.453999999736</v>
      </c>
      <c r="ACL11" s="16">
        <f t="shared" si="118"/>
        <v>2853.0670000000973</v>
      </c>
      <c r="ACM11" s="16">
        <f t="shared" si="118"/>
        <v>2437.4919999998529</v>
      </c>
      <c r="ACN11" s="16">
        <f t="shared" si="118"/>
        <v>3309.6190000002389</v>
      </c>
      <c r="ACO11" s="16">
        <f t="shared" si="118"/>
        <v>2550.5069999998086</v>
      </c>
      <c r="ACP11" s="16">
        <f t="shared" si="118"/>
        <v>2451.2220000001835</v>
      </c>
      <c r="ACQ11" s="16">
        <f t="shared" si="118"/>
        <v>3098.2439999998896</v>
      </c>
      <c r="ACR11" s="16">
        <f t="shared" si="118"/>
        <v>3057.0449999999255</v>
      </c>
      <c r="ACS11" s="16">
        <f t="shared" si="118"/>
        <v>2780.6049999999814</v>
      </c>
      <c r="ACT11" s="16">
        <f t="shared" si="118"/>
        <v>2725.521000000299</v>
      </c>
      <c r="ACU11" s="16">
        <f t="shared" si="118"/>
        <v>3054.9049999998533</v>
      </c>
      <c r="ACV11" s="16">
        <f t="shared" si="118"/>
        <v>2404.2199999999721</v>
      </c>
      <c r="ACW11" s="16">
        <f t="shared" si="118"/>
        <v>2422.399000000034</v>
      </c>
      <c r="ACX11" s="16">
        <f t="shared" si="118"/>
        <v>2605.1969999998109</v>
      </c>
      <c r="ACY11" s="16">
        <f t="shared" si="118"/>
        <v>2958.9810000000871</v>
      </c>
      <c r="ACZ11" s="16">
        <f t="shared" si="118"/>
        <v>2815.9180000000051</v>
      </c>
      <c r="ADA11" s="16">
        <f t="shared" si="118"/>
        <v>2563.9570000001695</v>
      </c>
      <c r="ADB11" s="16">
        <f t="shared" si="118"/>
        <v>2423.3600000000442</v>
      </c>
      <c r="ADC11" s="16">
        <f t="shared" si="118"/>
        <v>2509.9319999998552</v>
      </c>
      <c r="ADD11" s="16">
        <f t="shared" si="118"/>
        <v>2706.0209999999497</v>
      </c>
      <c r="ADE11" s="16">
        <f t="shared" si="118"/>
        <v>2367.4720000001835</v>
      </c>
      <c r="ADF11" s="16">
        <f t="shared" si="118"/>
        <v>2864.5139999999083</v>
      </c>
      <c r="ADG11" s="16">
        <f t="shared" si="118"/>
        <v>2859.2020000000484</v>
      </c>
      <c r="ADH11" s="16">
        <f t="shared" si="118"/>
        <v>2495.9899999999325</v>
      </c>
      <c r="ADI11" s="127">
        <f t="shared" ref="ADI11:ADI16" si="119">SUM(ACD11:ADH11)</f>
        <v>87288.851999999984</v>
      </c>
      <c r="ADJ11" s="16">
        <f t="shared" ref="ADJ11:AEM11" si="120">ADJ7+ADJ4</f>
        <v>2535.0029999999679</v>
      </c>
      <c r="ADK11" s="16">
        <f t="shared" si="120"/>
        <v>2506.0279999999912</v>
      </c>
      <c r="ADL11" s="16">
        <f t="shared" si="120"/>
        <v>2552.1010000000824</v>
      </c>
      <c r="ADM11" s="16">
        <f t="shared" si="120"/>
        <v>2833.2429999999586</v>
      </c>
      <c r="ADN11" s="16">
        <f t="shared" si="120"/>
        <v>2854.4219999999041</v>
      </c>
      <c r="ADO11" s="16">
        <f t="shared" si="120"/>
        <v>3070.092000000237</v>
      </c>
      <c r="ADP11" s="16">
        <f t="shared" si="120"/>
        <v>2592.0589999999502</v>
      </c>
      <c r="ADQ11" s="16">
        <f t="shared" si="120"/>
        <v>2442.8059999998659</v>
      </c>
      <c r="ADR11" s="16">
        <f t="shared" si="120"/>
        <v>2603.0860000000102</v>
      </c>
      <c r="ADS11" s="16">
        <f t="shared" si="120"/>
        <v>2296.4280000000144</v>
      </c>
      <c r="ADT11" s="16">
        <f t="shared" si="120"/>
        <v>2631.7160000000149</v>
      </c>
      <c r="ADU11" s="16">
        <f t="shared" si="120"/>
        <v>2741.248000000196</v>
      </c>
      <c r="ADV11" s="16">
        <f t="shared" si="120"/>
        <v>3068.0929999997607</v>
      </c>
      <c r="ADW11" s="16">
        <f t="shared" si="120"/>
        <v>2258.1489999999758</v>
      </c>
      <c r="ADX11" s="16">
        <f t="shared" si="120"/>
        <v>2949.7169999998878</v>
      </c>
      <c r="ADY11" s="16">
        <f t="shared" si="120"/>
        <v>2498.5270000002347</v>
      </c>
      <c r="ADZ11" s="16">
        <f t="shared" si="120"/>
        <v>2164.3179999999702</v>
      </c>
      <c r="AEA11" s="16">
        <f t="shared" si="120"/>
        <v>2572.5239999998012</v>
      </c>
      <c r="AEB11" s="16">
        <f t="shared" si="120"/>
        <v>2279.9990000002435</v>
      </c>
      <c r="AEC11" s="16">
        <f t="shared" si="120"/>
        <v>2572.0749999997788</v>
      </c>
      <c r="AED11" s="16">
        <f t="shared" si="120"/>
        <v>2399.019000000204</v>
      </c>
      <c r="AEE11" s="16">
        <f t="shared" si="120"/>
        <v>2661.5579999999582</v>
      </c>
      <c r="AEF11" s="16">
        <f t="shared" si="120"/>
        <v>2490.0479999998934</v>
      </c>
      <c r="AEG11" s="16">
        <f t="shared" si="120"/>
        <v>2180.5120000000461</v>
      </c>
      <c r="AEH11" s="16">
        <f t="shared" si="120"/>
        <v>2254.9450000001234</v>
      </c>
      <c r="AEI11" s="16">
        <f t="shared" si="120"/>
        <v>2836.1299999999464</v>
      </c>
      <c r="AEJ11" s="16">
        <f t="shared" si="120"/>
        <v>2701.6899999999441</v>
      </c>
      <c r="AEK11" s="16">
        <f t="shared" si="120"/>
        <v>2206.5000000000582</v>
      </c>
      <c r="AEL11" s="16">
        <f t="shared" si="120"/>
        <v>2590.2710000000079</v>
      </c>
      <c r="AEM11" s="16">
        <f t="shared" si="120"/>
        <v>2582.6829999998445</v>
      </c>
      <c r="AEN11" s="127">
        <f t="shared" ref="AEN11:AEN24" si="121">SUM(ADJ11:AEM11)</f>
        <v>76924.989999999874</v>
      </c>
      <c r="AEO11" s="16">
        <f t="shared" ref="AEO11:AFS11" si="122">AEO7+AEO4</f>
        <v>2200.7200000001467</v>
      </c>
      <c r="AEP11" s="16">
        <f t="shared" si="122"/>
        <v>2354.9399999998277</v>
      </c>
      <c r="AEQ11" s="16">
        <f t="shared" si="122"/>
        <v>2453.4670000000042</v>
      </c>
      <c r="AER11" s="16">
        <f t="shared" si="122"/>
        <v>2658.9700000000885</v>
      </c>
      <c r="AES11" s="16">
        <f t="shared" si="122"/>
        <v>2394.9569999999949</v>
      </c>
      <c r="AET11" s="16">
        <f t="shared" si="122"/>
        <v>2696.9490000000224</v>
      </c>
      <c r="AEU11" s="16">
        <f t="shared" si="122"/>
        <v>2283.0970000001253</v>
      </c>
      <c r="AEV11" s="16">
        <f t="shared" si="122"/>
        <v>2540.9890000000014</v>
      </c>
      <c r="AEW11" s="16">
        <f t="shared" si="122"/>
        <v>2705.7489999998943</v>
      </c>
      <c r="AEX11" s="16">
        <f t="shared" si="122"/>
        <v>2893.1720000000205</v>
      </c>
      <c r="AEY11" s="16">
        <f t="shared" si="122"/>
        <v>2525.7699999999604</v>
      </c>
      <c r="AEZ11" s="16">
        <f t="shared" si="122"/>
        <v>2137.5420000000158</v>
      </c>
      <c r="AFA11" s="16">
        <f t="shared" si="122"/>
        <v>2455.0580000000191</v>
      </c>
      <c r="AFB11" s="16">
        <f t="shared" si="122"/>
        <v>2290.887999999919</v>
      </c>
      <c r="AFC11" s="16">
        <f t="shared" si="122"/>
        <v>2589.2260000001406</v>
      </c>
      <c r="AFD11" s="16">
        <f t="shared" si="122"/>
        <v>2538.2710000000079</v>
      </c>
      <c r="AFE11" s="16">
        <f t="shared" si="122"/>
        <v>2476.6829999999609</v>
      </c>
      <c r="AFF11" s="16">
        <f t="shared" si="122"/>
        <v>2725.7949999999837</v>
      </c>
      <c r="AFG11" s="16">
        <f t="shared" si="122"/>
        <v>2540.8780000001425</v>
      </c>
      <c r="AFH11" s="16">
        <f t="shared" si="122"/>
        <v>2516.3759999998729</v>
      </c>
      <c r="AFI11" s="16">
        <f t="shared" si="122"/>
        <v>2492.6210000000428</v>
      </c>
      <c r="AFJ11" s="16">
        <f t="shared" si="122"/>
        <v>2173.2629999997444</v>
      </c>
      <c r="AFK11" s="16">
        <f t="shared" si="122"/>
        <v>2264.1750000002212</v>
      </c>
      <c r="AFL11" s="16">
        <f t="shared" si="122"/>
        <v>2432.1829999999609</v>
      </c>
      <c r="AFM11" s="16">
        <f t="shared" si="122"/>
        <v>3057.3499999999767</v>
      </c>
      <c r="AFN11" s="16">
        <f t="shared" si="122"/>
        <v>2447.9029999998747</v>
      </c>
      <c r="AFO11" s="16">
        <f t="shared" si="122"/>
        <v>2426.4289999999455</v>
      </c>
      <c r="AFP11" s="16">
        <f t="shared" si="122"/>
        <v>2398.4900000002817</v>
      </c>
      <c r="AFQ11" s="16">
        <f t="shared" si="122"/>
        <v>2013.4709999997285</v>
      </c>
      <c r="AFR11" s="16">
        <f t="shared" si="122"/>
        <v>2532.5800000001909</v>
      </c>
      <c r="AFS11" s="16">
        <f t="shared" si="122"/>
        <v>2507.5760000000591</v>
      </c>
      <c r="AFT11" s="127">
        <f t="shared" ref="AFT11:AFT16" si="123">SUM(AEO11:AFS11)</f>
        <v>76725.538000000175</v>
      </c>
      <c r="AFU11" s="16">
        <f t="shared" ref="AFU11:AGX11" si="124">AFU7+AFU4</f>
        <v>2624.6789999998291</v>
      </c>
      <c r="AFV11" s="16">
        <f t="shared" si="124"/>
        <v>2525.7170000001788</v>
      </c>
      <c r="AFW11" s="16">
        <f t="shared" si="124"/>
        <v>2484.8340000000317</v>
      </c>
      <c r="AFX11" s="16">
        <f t="shared" si="124"/>
        <v>2347.1589999998105</v>
      </c>
      <c r="AFY11" s="16">
        <f t="shared" si="124"/>
        <v>2621.3919999998761</v>
      </c>
      <c r="AFZ11" s="16">
        <f t="shared" si="124"/>
        <v>2367.2900000003283</v>
      </c>
      <c r="AGA11" s="16">
        <f t="shared" si="124"/>
        <v>2652.4619999998249</v>
      </c>
      <c r="AGB11" s="16">
        <f t="shared" si="124"/>
        <v>2154.0550000001094</v>
      </c>
      <c r="AGC11" s="16">
        <f t="shared" si="124"/>
        <v>2609.1799999998184</v>
      </c>
      <c r="AGD11" s="16">
        <f t="shared" si="124"/>
        <v>2570.9300000001676</v>
      </c>
      <c r="AGE11" s="16">
        <f t="shared" si="124"/>
        <v>2473.042000000074</v>
      </c>
      <c r="AGF11" s="16">
        <f t="shared" si="124"/>
        <v>2165.3879999998608</v>
      </c>
      <c r="AGG11" s="16">
        <f t="shared" si="124"/>
        <v>2305.7809999998426</v>
      </c>
      <c r="AGH11" s="16">
        <f t="shared" si="124"/>
        <v>2419.9400000002624</v>
      </c>
      <c r="AGI11" s="16">
        <f t="shared" si="124"/>
        <v>2249.4429999998538</v>
      </c>
      <c r="AGJ11" s="16">
        <f t="shared" si="124"/>
        <v>2389.2300000000396</v>
      </c>
      <c r="AGK11" s="16">
        <f t="shared" si="124"/>
        <v>2498.9040000002133</v>
      </c>
      <c r="AGL11" s="16">
        <f t="shared" si="124"/>
        <v>2506.6229999998468</v>
      </c>
      <c r="AGM11" s="16">
        <f t="shared" si="124"/>
        <v>2359.8689999998896</v>
      </c>
      <c r="AGN11" s="16">
        <f t="shared" si="124"/>
        <v>2712.1449999999022</v>
      </c>
      <c r="AGO11" s="16">
        <f t="shared" si="124"/>
        <v>2820.6570000001811</v>
      </c>
      <c r="AGP11" s="16">
        <f t="shared" si="124"/>
        <v>3213.096999999776</v>
      </c>
      <c r="AGQ11" s="16">
        <f t="shared" si="124"/>
        <v>2541.6450000002515</v>
      </c>
      <c r="AGR11" s="16">
        <f t="shared" si="124"/>
        <v>2366.8890000000829</v>
      </c>
      <c r="AGS11" s="16">
        <f t="shared" si="124"/>
        <v>2613.6509999997215</v>
      </c>
      <c r="AGT11" s="16">
        <f t="shared" si="124"/>
        <v>2566.9910000000964</v>
      </c>
      <c r="AGU11" s="16">
        <f t="shared" si="124"/>
        <v>2617.3850000001257</v>
      </c>
      <c r="AGV11" s="16">
        <f t="shared" si="124"/>
        <v>3224.9410000000498</v>
      </c>
      <c r="AGW11" s="16">
        <f t="shared" si="124"/>
        <v>3158.2369999997318</v>
      </c>
      <c r="AGX11" s="16">
        <f t="shared" si="124"/>
        <v>2532.0840000001481</v>
      </c>
      <c r="AGY11" s="127">
        <f t="shared" ref="AGY11:AGY24" si="125">SUM(AFU11:AGX11)</f>
        <v>76693.639999999927</v>
      </c>
      <c r="AGZ11" s="16">
        <f t="shared" ref="AGZ11:AID11" si="126">AGZ7+AGZ4</f>
        <v>2738.7209999998449</v>
      </c>
      <c r="AHA11" s="16">
        <f t="shared" si="126"/>
        <v>2667.8589999999385</v>
      </c>
      <c r="AHB11" s="16">
        <f t="shared" si="126"/>
        <v>2640.5340000002761</v>
      </c>
      <c r="AHC11" s="16">
        <f t="shared" si="126"/>
        <v>2834.1329999998561</v>
      </c>
      <c r="AHD11" s="16">
        <f t="shared" si="126"/>
        <v>3569.4830000001821</v>
      </c>
      <c r="AHE11" s="16">
        <f t="shared" si="126"/>
        <v>2693.332999999926</v>
      </c>
      <c r="AHF11" s="16">
        <f t="shared" si="126"/>
        <v>2605.5500000000466</v>
      </c>
      <c r="AHG11" s="16">
        <f t="shared" si="126"/>
        <v>2692.9319999997388</v>
      </c>
      <c r="AHH11" s="16">
        <f t="shared" si="126"/>
        <v>2642.1090000001132</v>
      </c>
      <c r="AHI11" s="16">
        <f t="shared" si="126"/>
        <v>2638.1550000000861</v>
      </c>
      <c r="AHJ11" s="16">
        <f t="shared" si="126"/>
        <v>2554.8479999998817</v>
      </c>
      <c r="AHK11" s="16">
        <f t="shared" si="126"/>
        <v>3094.7829999999958</v>
      </c>
      <c r="AHL11" s="16">
        <f t="shared" si="126"/>
        <v>2967.1909999999916</v>
      </c>
      <c r="AHM11" s="16">
        <f t="shared" si="126"/>
        <v>2372.3170000002719</v>
      </c>
      <c r="AHN11" s="16">
        <f t="shared" si="126"/>
        <v>2795.4429999998538</v>
      </c>
      <c r="AHO11" s="16">
        <f t="shared" si="126"/>
        <v>2581.2529999999679</v>
      </c>
      <c r="AHP11" s="16">
        <f t="shared" si="126"/>
        <v>2407.831000000122</v>
      </c>
      <c r="AHQ11" s="16">
        <f t="shared" si="126"/>
        <v>3014.7220000000088</v>
      </c>
      <c r="AHR11" s="16">
        <f t="shared" si="126"/>
        <v>2996.0639999998966</v>
      </c>
      <c r="AHS11" s="16">
        <f t="shared" si="126"/>
        <v>2703.9859999999753</v>
      </c>
      <c r="AHT11" s="16">
        <f t="shared" si="126"/>
        <v>2914.6360000002314</v>
      </c>
      <c r="AHU11" s="16">
        <f t="shared" si="126"/>
        <v>3097.3449999997392</v>
      </c>
      <c r="AHV11" s="16">
        <f t="shared" si="126"/>
        <v>3426.1350000000675</v>
      </c>
      <c r="AHW11" s="16">
        <f t="shared" si="126"/>
        <v>3194.3040000001201</v>
      </c>
      <c r="AHX11" s="16">
        <f t="shared" si="126"/>
        <v>2311.6680000000051</v>
      </c>
      <c r="AHY11" s="16">
        <f t="shared" si="126"/>
        <v>2276.1390000000829</v>
      </c>
      <c r="AHZ11" s="16">
        <f t="shared" si="126"/>
        <v>2173.9809999996796</v>
      </c>
      <c r="AIA11" s="16">
        <f t="shared" si="126"/>
        <v>1878.0570000002044</v>
      </c>
      <c r="AIB11" s="16">
        <f t="shared" si="126"/>
        <v>2154.1129999998375</v>
      </c>
      <c r="AIC11" s="16">
        <f t="shared" si="126"/>
        <v>2429.8519999999553</v>
      </c>
      <c r="AID11" s="16">
        <f t="shared" si="126"/>
        <v>2949.0710000001127</v>
      </c>
      <c r="AIE11" s="127">
        <f>SUM(AGZ11:AID11)</f>
        <v>84016.54800000001</v>
      </c>
      <c r="AIF11" s="16">
        <f t="shared" ref="AIF11:AJJ11" si="127">AIF7+AIF4</f>
        <v>2205.6429999999236</v>
      </c>
      <c r="AIG11" s="16">
        <f t="shared" si="127"/>
        <v>2406.5209999999497</v>
      </c>
      <c r="AIH11" s="16">
        <f t="shared" si="127"/>
        <v>2455.4970000002068</v>
      </c>
      <c r="AII11" s="16">
        <f t="shared" si="127"/>
        <v>2303.0280000001658</v>
      </c>
      <c r="AIJ11" s="16">
        <f t="shared" si="127"/>
        <v>2761.3869999995222</v>
      </c>
      <c r="AIK11" s="16">
        <f t="shared" si="127"/>
        <v>2885.0350000003818</v>
      </c>
      <c r="AIL11" s="16">
        <f t="shared" si="127"/>
        <v>2815.3109999999288</v>
      </c>
      <c r="AIM11" s="16">
        <f t="shared" si="127"/>
        <v>2800.2550000000629</v>
      </c>
      <c r="AIN11" s="16">
        <f t="shared" si="127"/>
        <v>2592.9839999998221</v>
      </c>
      <c r="AIO11" s="16">
        <f t="shared" si="127"/>
        <v>3451.1999999998952</v>
      </c>
      <c r="AIP11" s="16">
        <f t="shared" si="127"/>
        <v>2478.0300000002608</v>
      </c>
      <c r="AIQ11" s="16">
        <f t="shared" si="127"/>
        <v>2398.6649999998044</v>
      </c>
      <c r="AIR11" s="16">
        <f t="shared" si="127"/>
        <v>2505.5739999999059</v>
      </c>
      <c r="AIS11" s="16">
        <f t="shared" si="127"/>
        <v>2467.7800000002026</v>
      </c>
      <c r="AIT11" s="16">
        <f t="shared" si="127"/>
        <v>1372.4500000000698</v>
      </c>
      <c r="AIU11" s="16">
        <f t="shared" si="127"/>
        <v>1851.0740000000806</v>
      </c>
      <c r="AIV11" s="16">
        <f t="shared" si="127"/>
        <v>1184.6119999999064</v>
      </c>
      <c r="AIW11" s="16">
        <f t="shared" si="127"/>
        <v>1528.9529999998631</v>
      </c>
      <c r="AIX11" s="16">
        <f t="shared" si="127"/>
        <v>2395.9570000000531</v>
      </c>
      <c r="AIY11" s="16">
        <f t="shared" si="127"/>
        <v>2345.7039999999688</v>
      </c>
      <c r="AIZ11" s="16">
        <f t="shared" si="127"/>
        <v>2737.564000000013</v>
      </c>
      <c r="AJA11" s="16">
        <f t="shared" si="127"/>
        <v>2436.6389999998501</v>
      </c>
      <c r="AJB11" s="16">
        <f t="shared" si="127"/>
        <v>2596.2760000001872</v>
      </c>
      <c r="AJC11" s="16">
        <f t="shared" si="127"/>
        <v>2825.9769999998971</v>
      </c>
      <c r="AJD11" s="16">
        <f t="shared" si="127"/>
        <v>2329.1229999999632</v>
      </c>
      <c r="AJE11" s="16">
        <f t="shared" si="127"/>
        <v>2327.9949999999371</v>
      </c>
      <c r="AJF11" s="16">
        <f t="shared" si="127"/>
        <v>2675.5610000001616</v>
      </c>
      <c r="AJG11" s="16">
        <f t="shared" si="127"/>
        <v>2579.677999999898</v>
      </c>
      <c r="AJH11" s="16">
        <f t="shared" si="127"/>
        <v>2408.7640000001993</v>
      </c>
      <c r="AJI11" s="16">
        <f t="shared" si="127"/>
        <v>2564.5869999998831</v>
      </c>
      <c r="AJJ11" s="16">
        <f t="shared" si="127"/>
        <v>2505.3129999999073</v>
      </c>
      <c r="AJK11" s="127">
        <f>SUM(AIF11:AJJ11)</f>
        <v>75193.136999999871</v>
      </c>
      <c r="AJL11" s="16">
        <f t="shared" ref="AJL11:AKM11" si="128">AJL7+AJL4</f>
        <v>2141.7040000000852</v>
      </c>
      <c r="AJM11" s="16">
        <f t="shared" si="128"/>
        <v>2551.7530000002007</v>
      </c>
      <c r="AJN11" s="16">
        <f t="shared" si="128"/>
        <v>2655.0649999998277</v>
      </c>
      <c r="AJO11" s="16">
        <f t="shared" si="128"/>
        <v>2471.2490000003017</v>
      </c>
      <c r="AJP11" s="16">
        <f t="shared" si="128"/>
        <v>2623.4849999998696</v>
      </c>
      <c r="AJQ11" s="16">
        <f t="shared" si="128"/>
        <v>2223.2249999998021</v>
      </c>
      <c r="AJR11" s="16">
        <f t="shared" si="128"/>
        <v>2658.2810000001919</v>
      </c>
      <c r="AJS11" s="16">
        <f t="shared" si="128"/>
        <v>2724.6369999997551</v>
      </c>
      <c r="AJT11" s="16">
        <f t="shared" si="128"/>
        <v>2783.4640000001527</v>
      </c>
      <c r="AJU11" s="16">
        <f t="shared" si="128"/>
        <v>2567.8429999999935</v>
      </c>
      <c r="AJV11" s="16">
        <f t="shared" si="128"/>
        <v>2470.4199999996927</v>
      </c>
      <c r="AJW11" s="16">
        <f t="shared" si="128"/>
        <v>2788.1070000001346</v>
      </c>
      <c r="AJX11" s="16">
        <f t="shared" si="128"/>
        <v>2887.8950000000768</v>
      </c>
      <c r="AJY11" s="16">
        <f t="shared" si="128"/>
        <v>2461.5590000000084</v>
      </c>
      <c r="AJZ11" s="16">
        <f t="shared" si="128"/>
        <v>2398.3660000000382</v>
      </c>
      <c r="AKA11" s="16">
        <f t="shared" si="128"/>
        <v>2336.9120000000112</v>
      </c>
      <c r="AKB11" s="16">
        <f t="shared" si="128"/>
        <v>2452.5789999999106</v>
      </c>
      <c r="AKC11" s="16">
        <f t="shared" si="128"/>
        <v>2323.1330000000889</v>
      </c>
      <c r="AKD11" s="16">
        <f t="shared" si="128"/>
        <v>2155.9790000000503</v>
      </c>
      <c r="AKE11" s="16">
        <f t="shared" si="128"/>
        <v>2389.1160000000964</v>
      </c>
      <c r="AKF11" s="16">
        <f t="shared" si="128"/>
        <v>2388.2239999996546</v>
      </c>
      <c r="AKG11" s="16">
        <f t="shared" si="128"/>
        <v>1926.1350000003004</v>
      </c>
      <c r="AKH11" s="16">
        <f t="shared" si="128"/>
        <v>2460.7399999999907</v>
      </c>
      <c r="AKI11" s="16">
        <f t="shared" si="128"/>
        <v>2465.8129999997909</v>
      </c>
      <c r="AKJ11" s="16">
        <f t="shared" si="128"/>
        <v>2436.3680000001914</v>
      </c>
      <c r="AKK11" s="16">
        <f t="shared" si="128"/>
        <v>2177.3630000000703</v>
      </c>
      <c r="AKL11" s="16">
        <f t="shared" si="128"/>
        <v>2221.8679999998421</v>
      </c>
      <c r="AKM11" s="16">
        <f t="shared" si="128"/>
        <v>2297.293999999878</v>
      </c>
      <c r="AKN11" s="127">
        <f t="shared" si="11"/>
        <v>68438.577000000005</v>
      </c>
      <c r="AKO11" s="16">
        <f t="shared" ref="AKO11:ALS11" si="129">AKO7+AKO4</f>
        <v>2372.7380000000121</v>
      </c>
      <c r="AKP11" s="16">
        <f t="shared" si="129"/>
        <v>2366.4519999999902</v>
      </c>
      <c r="AKQ11" s="16">
        <f t="shared" si="129"/>
        <v>2410.6090000002878</v>
      </c>
      <c r="AKR11" s="16">
        <f t="shared" si="129"/>
        <v>2117.3589999998803</v>
      </c>
      <c r="AKS11" s="16">
        <f t="shared" si="129"/>
        <v>2263.2159999997821</v>
      </c>
      <c r="AKT11" s="16">
        <f t="shared" si="129"/>
        <v>2185.3130000003148</v>
      </c>
      <c r="AKU11" s="16">
        <f t="shared" si="129"/>
        <v>3011.2149999997346</v>
      </c>
      <c r="AKV11" s="16">
        <f t="shared" si="129"/>
        <v>2457.8310000000056</v>
      </c>
      <c r="AKW11" s="16">
        <f t="shared" si="129"/>
        <v>2498.6130000002008</v>
      </c>
      <c r="AKX11" s="16">
        <f t="shared" si="129"/>
        <v>2062.2899999998626</v>
      </c>
      <c r="AKY11" s="16">
        <f t="shared" si="129"/>
        <v>2150.5610000001034</v>
      </c>
      <c r="AKZ11" s="16">
        <f t="shared" si="129"/>
        <v>2297.5719999998691</v>
      </c>
      <c r="ALA11" s="16">
        <f t="shared" si="129"/>
        <v>2565.5030000003171</v>
      </c>
      <c r="ALB11" s="16">
        <f t="shared" si="129"/>
        <v>2999.0319999998901</v>
      </c>
      <c r="ALC11" s="16">
        <f t="shared" si="129"/>
        <v>2710.0869999998249</v>
      </c>
      <c r="ALD11" s="16">
        <f t="shared" si="129"/>
        <v>3207.6330000000307</v>
      </c>
      <c r="ALE11" s="16">
        <f t="shared" si="129"/>
        <v>2669.636000000115</v>
      </c>
      <c r="ALF11" s="16">
        <f t="shared" si="129"/>
        <v>2341.1329999997979</v>
      </c>
      <c r="ALG11" s="16">
        <f t="shared" si="129"/>
        <v>2816.6060000000871</v>
      </c>
      <c r="ALH11" s="16">
        <f t="shared" si="129"/>
        <v>2456.1600000000326</v>
      </c>
      <c r="ALI11" s="16">
        <f t="shared" si="129"/>
        <v>2784.905999999959</v>
      </c>
      <c r="ALJ11" s="16">
        <f t="shared" si="129"/>
        <v>2487.5540000000619</v>
      </c>
      <c r="ALK11" s="16">
        <f t="shared" si="129"/>
        <v>6988.5909999997821</v>
      </c>
      <c r="ALL11" s="16">
        <f t="shared" si="129"/>
        <v>2644.6150000003399</v>
      </c>
      <c r="ALM11" s="16">
        <f t="shared" si="129"/>
        <v>2760.98699999979</v>
      </c>
      <c r="ALN11" s="16">
        <f t="shared" si="129"/>
        <v>2575.0249999999651</v>
      </c>
      <c r="ALO11" s="16">
        <f t="shared" si="129"/>
        <v>2833.9370000002673</v>
      </c>
      <c r="ALP11" s="16">
        <f t="shared" si="129"/>
        <v>2971.4459999999381</v>
      </c>
      <c r="ALQ11" s="16">
        <f t="shared" si="129"/>
        <v>3290.7939999999362</v>
      </c>
      <c r="ALR11" s="16">
        <f t="shared" si="129"/>
        <v>3251.185999999987</v>
      </c>
      <c r="ALS11" s="16">
        <f t="shared" si="129"/>
        <v>2475.5239999999176</v>
      </c>
      <c r="ALT11" s="127">
        <f t="shared" si="12"/>
        <v>85024.124000000083</v>
      </c>
      <c r="ALU11" s="16">
        <f t="shared" ref="ALU11:AMX11" si="130">ALU7+ALU4</f>
        <v>3316.9269999999669</v>
      </c>
      <c r="ALV11" s="16">
        <f t="shared" si="130"/>
        <v>2551.5099999999511</v>
      </c>
      <c r="ALW11" s="16">
        <f t="shared" si="130"/>
        <v>2793.0920000001206</v>
      </c>
      <c r="ALX11" s="16">
        <f t="shared" si="130"/>
        <v>2935.2229999999981</v>
      </c>
      <c r="ALY11" s="16">
        <f t="shared" si="130"/>
        <v>1617.2310000001453</v>
      </c>
      <c r="ALZ11" s="16">
        <f t="shared" si="130"/>
        <v>1954.7079999999521</v>
      </c>
      <c r="AMA11" s="16">
        <f t="shared" si="130"/>
        <v>2970.7829999999958</v>
      </c>
      <c r="AMB11" s="16">
        <f t="shared" si="130"/>
        <v>2781.2229999998235</v>
      </c>
      <c r="AMC11" s="16">
        <f t="shared" si="130"/>
        <v>3072.2270000001299</v>
      </c>
      <c r="AMD11" s="16">
        <f t="shared" si="130"/>
        <v>3053.3099999998813</v>
      </c>
      <c r="AME11" s="16">
        <f t="shared" si="130"/>
        <v>3334.8540000000503</v>
      </c>
      <c r="AMF11" s="16">
        <f t="shared" si="130"/>
        <v>3073.4710000000196</v>
      </c>
      <c r="AMG11" s="16">
        <f t="shared" si="130"/>
        <v>3180.6889999998966</v>
      </c>
      <c r="AMH11" s="16">
        <f t="shared" si="130"/>
        <v>2402.2220000001253</v>
      </c>
      <c r="AMI11" s="16">
        <f t="shared" si="130"/>
        <v>2838.9679999999935</v>
      </c>
      <c r="AMJ11" s="16">
        <f t="shared" si="130"/>
        <v>2830.7739999998594</v>
      </c>
      <c r="AMK11" s="16">
        <f t="shared" si="130"/>
        <v>2776.765000000305</v>
      </c>
      <c r="AML11" s="16">
        <f t="shared" si="130"/>
        <v>3178.5309999999008</v>
      </c>
      <c r="AMM11" s="16">
        <f t="shared" si="130"/>
        <v>3075.9789999998757</v>
      </c>
      <c r="AMN11" s="16">
        <f t="shared" si="130"/>
        <v>4678.5870000001159</v>
      </c>
      <c r="AMO11" s="16">
        <f t="shared" si="130"/>
        <v>5525.3170000000391</v>
      </c>
      <c r="AMP11" s="16">
        <f t="shared" si="130"/>
        <v>4210.4589999999735</v>
      </c>
      <c r="AMQ11" s="16">
        <f t="shared" si="130"/>
        <v>5429.4399999996531</v>
      </c>
      <c r="AMR11" s="16">
        <f t="shared" si="130"/>
        <v>5659.89700000023</v>
      </c>
      <c r="AMS11" s="16">
        <f t="shared" si="130"/>
        <v>5828.0559999999823</v>
      </c>
      <c r="AMT11" s="16">
        <f t="shared" si="130"/>
        <v>5105.00900000002</v>
      </c>
      <c r="AMU11" s="16">
        <f t="shared" si="130"/>
        <v>2985.0640000001295</v>
      </c>
      <c r="AMV11" s="16">
        <f t="shared" si="130"/>
        <v>2831.9020000000601</v>
      </c>
      <c r="AMW11" s="16">
        <f t="shared" si="130"/>
        <v>4907.2889999999898</v>
      </c>
      <c r="AMX11" s="16">
        <f t="shared" si="130"/>
        <v>3966.8219999998691</v>
      </c>
      <c r="AMY11" s="127">
        <f t="shared" si="13"/>
        <v>104866.32900000006</v>
      </c>
      <c r="AMZ11" s="16">
        <f t="shared" ref="AMZ11:AOC11" si="131">AMZ7+AMZ4</f>
        <v>2534.0410000000265</v>
      </c>
      <c r="ANA11" s="16">
        <f t="shared" si="131"/>
        <v>2768.8099999999977</v>
      </c>
      <c r="ANB11" s="16">
        <f t="shared" si="131"/>
        <v>2144.1639999998733</v>
      </c>
      <c r="ANC11" s="16">
        <f t="shared" si="131"/>
        <v>2800.4709999999468</v>
      </c>
      <c r="AND11" s="16">
        <f t="shared" si="131"/>
        <v>2463.0190000001458</v>
      </c>
      <c r="ANE11" s="16">
        <f t="shared" si="131"/>
        <v>2869.8989999999758</v>
      </c>
      <c r="ANF11" s="16">
        <f t="shared" si="131"/>
        <v>2618.3630000000121</v>
      </c>
      <c r="ANG11" s="16">
        <f t="shared" si="131"/>
        <v>2520.8790000000154</v>
      </c>
      <c r="ANH11" s="16">
        <f t="shared" si="131"/>
        <v>2917.6099999999278</v>
      </c>
      <c r="ANI11" s="16">
        <f t="shared" si="131"/>
        <v>2530.8390000001527</v>
      </c>
      <c r="ANJ11" s="16">
        <f t="shared" si="131"/>
        <v>2707.0669999999809</v>
      </c>
      <c r="ANK11" s="16">
        <f t="shared" si="131"/>
        <v>2264.9740000001621</v>
      </c>
      <c r="ANL11" s="16">
        <f t="shared" si="131"/>
        <v>2692.7609999996494</v>
      </c>
      <c r="ANM11" s="16">
        <f t="shared" si="131"/>
        <v>2856.2570000003907</v>
      </c>
      <c r="ANN11" s="16">
        <f t="shared" si="131"/>
        <v>3050.3039999998291</v>
      </c>
      <c r="ANO11" s="16">
        <f t="shared" si="131"/>
        <v>2418.5170000000508</v>
      </c>
      <c r="ANP11" s="16">
        <f t="shared" si="131"/>
        <v>1623.8779999998515</v>
      </c>
      <c r="ANQ11" s="16">
        <f t="shared" si="131"/>
        <v>2000.780999999959</v>
      </c>
      <c r="ANR11" s="16">
        <f t="shared" si="131"/>
        <v>1905.4860000000917</v>
      </c>
      <c r="ANS11" s="16">
        <f t="shared" si="131"/>
        <v>2105.3509999997914</v>
      </c>
      <c r="ANT11" s="16">
        <f t="shared" si="131"/>
        <v>1722.8680000003078</v>
      </c>
      <c r="ANU11" s="16">
        <f t="shared" si="131"/>
        <v>2823.5029999997932</v>
      </c>
      <c r="ANV11" s="16">
        <f t="shared" si="131"/>
        <v>2278.8889999999665</v>
      </c>
      <c r="ANW11" s="16">
        <f t="shared" si="131"/>
        <v>2040.313000000082</v>
      </c>
      <c r="ANX11" s="16">
        <f t="shared" si="131"/>
        <v>2437.3120000002673</v>
      </c>
      <c r="ANY11" s="16">
        <f t="shared" si="131"/>
        <v>3119.5409999996773</v>
      </c>
      <c r="ANZ11" s="16">
        <f t="shared" si="131"/>
        <v>2084.8770000001532</v>
      </c>
      <c r="AOA11" s="16">
        <f t="shared" si="131"/>
        <v>2054.9939999998314</v>
      </c>
      <c r="AOB11" s="16">
        <f t="shared" si="131"/>
        <v>2724.8860000002314</v>
      </c>
      <c r="AOC11" s="16">
        <f t="shared" si="131"/>
        <v>2466.6589999999269</v>
      </c>
    </row>
    <row r="12" spans="1:1071" x14ac:dyDescent="0.2">
      <c r="A12" s="160"/>
      <c r="B12" s="6" t="s">
        <v>1511</v>
      </c>
      <c r="C12" s="21">
        <f t="shared" ref="C12:AG12" si="132">C9+C6</f>
        <v>17570260.320000097</v>
      </c>
      <c r="D12" s="21">
        <f t="shared" si="132"/>
        <v>16969406.000000291</v>
      </c>
      <c r="E12" s="21">
        <f t="shared" si="132"/>
        <v>14899436.799999762</v>
      </c>
      <c r="F12" s="21">
        <f t="shared" si="132"/>
        <v>17350912.18000029</v>
      </c>
      <c r="G12" s="21">
        <f t="shared" si="132"/>
        <v>19153475.769999895</v>
      </c>
      <c r="H12" s="21">
        <f t="shared" si="132"/>
        <v>17666004.819999818</v>
      </c>
      <c r="I12" s="21">
        <f t="shared" si="132"/>
        <v>16942503.290000338</v>
      </c>
      <c r="J12" s="21">
        <f t="shared" si="132"/>
        <v>14611596.389999993</v>
      </c>
      <c r="K12" s="21">
        <f t="shared" si="132"/>
        <v>14380851.900000092</v>
      </c>
      <c r="L12" s="21">
        <f t="shared" si="132"/>
        <v>15830940.839999951</v>
      </c>
      <c r="M12" s="21">
        <f t="shared" si="132"/>
        <v>16350744.629999556</v>
      </c>
      <c r="N12" s="21">
        <f t="shared" si="132"/>
        <v>16708686.930000771</v>
      </c>
      <c r="O12" s="21">
        <f t="shared" si="132"/>
        <v>15511386.240000006</v>
      </c>
      <c r="P12" s="21">
        <f t="shared" si="132"/>
        <v>16978402.259999793</v>
      </c>
      <c r="Q12" s="21">
        <f t="shared" si="132"/>
        <v>15144548.069999814</v>
      </c>
      <c r="R12" s="21">
        <f t="shared" si="132"/>
        <v>15207157.380000401</v>
      </c>
      <c r="S12" s="21">
        <f t="shared" si="132"/>
        <v>17687265.119999748</v>
      </c>
      <c r="T12" s="21">
        <f t="shared" si="132"/>
        <v>17198873.909999382</v>
      </c>
      <c r="U12" s="21">
        <f t="shared" si="132"/>
        <v>14773674.690000251</v>
      </c>
      <c r="V12" s="21">
        <f t="shared" si="132"/>
        <v>14604641.659999853</v>
      </c>
      <c r="W12" s="21">
        <f t="shared" si="132"/>
        <v>13840800.220000632</v>
      </c>
      <c r="X12" s="21">
        <f t="shared" si="132"/>
        <v>14570570.359999694</v>
      </c>
      <c r="Y12" s="21">
        <f t="shared" si="132"/>
        <v>15554470.500000646</v>
      </c>
      <c r="Z12" s="21">
        <f t="shared" si="132"/>
        <v>15314826.319999758</v>
      </c>
      <c r="AA12" s="21">
        <f t="shared" si="132"/>
        <v>19277157.919999741</v>
      </c>
      <c r="AB12" s="21">
        <f t="shared" si="132"/>
        <v>18860975.589999951</v>
      </c>
      <c r="AC12" s="21">
        <f t="shared" si="132"/>
        <v>16798587.560000233</v>
      </c>
      <c r="AD12" s="21">
        <f t="shared" si="132"/>
        <v>14413418.589999614</v>
      </c>
      <c r="AE12" s="21">
        <f t="shared" si="132"/>
        <v>17024563.779999547</v>
      </c>
      <c r="AF12" s="21">
        <f t="shared" si="132"/>
        <v>16757034.150001124</v>
      </c>
      <c r="AG12" s="21">
        <f t="shared" si="132"/>
        <v>18328667.299999394</v>
      </c>
      <c r="AH12" s="94">
        <f t="shared" si="90"/>
        <v>506281841.49000043</v>
      </c>
      <c r="AI12" s="21">
        <f t="shared" ref="AI12:BL12" si="133">AI9+AI6</f>
        <v>20235032.760000218</v>
      </c>
      <c r="AJ12" s="21">
        <f t="shared" si="133"/>
        <v>20290956.470000096</v>
      </c>
      <c r="AK12" s="21">
        <f t="shared" si="133"/>
        <v>19039426.759999949</v>
      </c>
      <c r="AL12" s="21">
        <f t="shared" si="133"/>
        <v>19982312.100000244</v>
      </c>
      <c r="AM12" s="21">
        <f t="shared" si="133"/>
        <v>19625214.46999944</v>
      </c>
      <c r="AN12" s="21">
        <f t="shared" si="133"/>
        <v>18311998.0900001</v>
      </c>
      <c r="AO12" s="21">
        <f t="shared" si="133"/>
        <v>71992093.159999907</v>
      </c>
      <c r="AP12" s="21">
        <f t="shared" si="133"/>
        <v>24625795.989999872</v>
      </c>
      <c r="AQ12" s="21">
        <f t="shared" si="133"/>
        <v>18916915.480000433</v>
      </c>
      <c r="AR12" s="21">
        <f t="shared" si="133"/>
        <v>17718482.519999996</v>
      </c>
      <c r="AS12" s="21">
        <f t="shared" si="133"/>
        <v>17064551.429999612</v>
      </c>
      <c r="AT12" s="21">
        <f t="shared" si="133"/>
        <v>14420905.350000663</v>
      </c>
      <c r="AU12" s="21">
        <f t="shared" si="133"/>
        <v>68164221.349999517</v>
      </c>
      <c r="AV12" s="21">
        <f t="shared" si="133"/>
        <v>15240375.499999803</v>
      </c>
      <c r="AW12" s="21">
        <f t="shared" si="133"/>
        <v>16718071.950000569</v>
      </c>
      <c r="AX12" s="21">
        <f t="shared" si="133"/>
        <v>16775496.849999961</v>
      </c>
      <c r="AY12" s="21">
        <f t="shared" si="133"/>
        <v>15275874.849999834</v>
      </c>
      <c r="AZ12" s="21">
        <f t="shared" si="133"/>
        <v>17012566.799999952</v>
      </c>
      <c r="BA12" s="21">
        <f t="shared" si="133"/>
        <v>14840594.799999591</v>
      </c>
      <c r="BB12" s="21">
        <f t="shared" si="133"/>
        <v>14190599.950000029</v>
      </c>
      <c r="BC12" s="21">
        <f t="shared" si="133"/>
        <v>15347079.900000922</v>
      </c>
      <c r="BD12" s="21">
        <f t="shared" si="133"/>
        <v>18110071.149999861</v>
      </c>
      <c r="BE12" s="21">
        <f t="shared" si="133"/>
        <v>18505712.549999427</v>
      </c>
      <c r="BF12" s="21">
        <f t="shared" si="133"/>
        <v>14993559.150000207</v>
      </c>
      <c r="BG12" s="21">
        <f t="shared" si="133"/>
        <v>15740799.899999611</v>
      </c>
      <c r="BH12" s="21">
        <f t="shared" si="133"/>
        <v>15807534.749999998</v>
      </c>
      <c r="BI12" s="21">
        <f t="shared" si="133"/>
        <v>16142962.780000448</v>
      </c>
      <c r="BJ12" s="21">
        <f t="shared" si="133"/>
        <v>15611312.310000252</v>
      </c>
      <c r="BK12" s="21">
        <f t="shared" si="133"/>
        <v>16989413.429999806</v>
      </c>
      <c r="BL12" s="21">
        <f t="shared" si="133"/>
        <v>16246029.249999922</v>
      </c>
      <c r="BM12" s="97">
        <f t="shared" si="92"/>
        <v>623935961.80000031</v>
      </c>
      <c r="BN12" s="21">
        <f t="shared" ref="BN12:CR12" si="134">BN9+BN6</f>
        <v>14223883.080000198</v>
      </c>
      <c r="BO12" s="21">
        <f t="shared" si="134"/>
        <v>15452366.379999829</v>
      </c>
      <c r="BP12" s="21">
        <f t="shared" si="134"/>
        <v>16501791.02000019</v>
      </c>
      <c r="BQ12" s="21">
        <f t="shared" si="134"/>
        <v>15032648.399999889</v>
      </c>
      <c r="BR12" s="21">
        <f t="shared" si="134"/>
        <v>17400998.449999571</v>
      </c>
      <c r="BS12" s="21">
        <f t="shared" si="134"/>
        <v>17589740.080000482</v>
      </c>
      <c r="BT12" s="21">
        <f t="shared" si="134"/>
        <v>15076207.079999214</v>
      </c>
      <c r="BU12" s="21">
        <f t="shared" si="134"/>
        <v>15119811.410000825</v>
      </c>
      <c r="BV12" s="21">
        <f t="shared" si="134"/>
        <v>16994707.509999666</v>
      </c>
      <c r="BW12" s="21">
        <f t="shared" si="134"/>
        <v>14508657.130000131</v>
      </c>
      <c r="BX12" s="21">
        <f t="shared" si="134"/>
        <v>14246627.890000274</v>
      </c>
      <c r="BY12" s="21">
        <f t="shared" si="134"/>
        <v>13937099.659999589</v>
      </c>
      <c r="BZ12" s="21">
        <f t="shared" si="134"/>
        <v>16731854.920000162</v>
      </c>
      <c r="CA12" s="21">
        <f t="shared" si="134"/>
        <v>16201869.529999904</v>
      </c>
      <c r="CB12" s="21">
        <f t="shared" si="134"/>
        <v>14444782.000000041</v>
      </c>
      <c r="CC12" s="21">
        <f t="shared" si="134"/>
        <v>14942327.400000371</v>
      </c>
      <c r="CD12" s="21">
        <f t="shared" si="134"/>
        <v>16114974.149999648</v>
      </c>
      <c r="CE12" s="21">
        <f t="shared" si="134"/>
        <v>14079916.180000242</v>
      </c>
      <c r="CF12" s="21">
        <f t="shared" si="134"/>
        <v>13040278.569999468</v>
      </c>
      <c r="CG12" s="21">
        <f t="shared" si="134"/>
        <v>15078612.670000318</v>
      </c>
      <c r="CH12" s="21">
        <f t="shared" si="134"/>
        <v>14714924.289999675</v>
      </c>
      <c r="CI12" s="21">
        <f t="shared" si="134"/>
        <v>14945118.760000113</v>
      </c>
      <c r="CJ12" s="21">
        <f t="shared" si="134"/>
        <v>13723494.510000318</v>
      </c>
      <c r="CK12" s="21">
        <f t="shared" si="134"/>
        <v>15940667.709999986</v>
      </c>
      <c r="CL12" s="21">
        <f t="shared" si="134"/>
        <v>13444114.860000079</v>
      </c>
      <c r="CM12" s="21">
        <f t="shared" si="134"/>
        <v>14357210.120000208</v>
      </c>
      <c r="CN12" s="21">
        <f t="shared" si="134"/>
        <v>14654338.819999497</v>
      </c>
      <c r="CO12" s="21">
        <f t="shared" si="134"/>
        <v>17223000.629999377</v>
      </c>
      <c r="CP12" s="21">
        <f t="shared" si="134"/>
        <v>13976852.780000776</v>
      </c>
      <c r="CQ12" s="21">
        <f t="shared" si="134"/>
        <v>15503679.949999737</v>
      </c>
      <c r="CR12" s="21">
        <f t="shared" si="134"/>
        <v>14410146.549000155</v>
      </c>
      <c r="CS12" s="111">
        <f t="shared" si="10"/>
        <v>469612702.4889999</v>
      </c>
      <c r="CT12" s="21">
        <f t="shared" ref="CT12:DW12" si="135">CT9+CT6</f>
        <v>15551531.258999711</v>
      </c>
      <c r="CU12" s="21">
        <f t="shared" si="135"/>
        <v>14340381.711000169</v>
      </c>
      <c r="CV12" s="21">
        <f t="shared" si="135"/>
        <v>15667323.06300009</v>
      </c>
      <c r="CW12" s="21">
        <f t="shared" si="135"/>
        <v>19828723.76700002</v>
      </c>
      <c r="CX12" s="21">
        <f t="shared" si="135"/>
        <v>16794765.636000074</v>
      </c>
      <c r="CY12" s="21">
        <f t="shared" si="135"/>
        <v>16052309.997000199</v>
      </c>
      <c r="CZ12" s="21">
        <f t="shared" si="135"/>
        <v>15392810.445000093</v>
      </c>
      <c r="DA12" s="21">
        <f t="shared" si="135"/>
        <v>15361157.667000005</v>
      </c>
      <c r="DB12" s="21">
        <f t="shared" si="135"/>
        <v>16796155.736999363</v>
      </c>
      <c r="DC12" s="21">
        <f t="shared" si="135"/>
        <v>16411551.96300027</v>
      </c>
      <c r="DD12" s="21">
        <f t="shared" si="135"/>
        <v>18015563.304000057</v>
      </c>
      <c r="DE12" s="21">
        <f t="shared" si="135"/>
        <v>12945858.392999306</v>
      </c>
      <c r="DF12" s="21">
        <f t="shared" si="135"/>
        <v>12449359.896000301</v>
      </c>
      <c r="DG12" s="21">
        <f t="shared" si="135"/>
        <v>16203309.342000235</v>
      </c>
      <c r="DH12" s="21">
        <f t="shared" si="135"/>
        <v>13114061.389999961</v>
      </c>
      <c r="DI12" s="21">
        <f t="shared" si="135"/>
        <v>10540593.390000638</v>
      </c>
      <c r="DJ12" s="21">
        <f t="shared" si="135"/>
        <v>16005567.149999708</v>
      </c>
      <c r="DK12" s="21">
        <f t="shared" si="135"/>
        <v>15153423.649999458</v>
      </c>
      <c r="DL12" s="21">
        <f t="shared" si="135"/>
        <v>12043243.979999818</v>
      </c>
      <c r="DM12" s="21">
        <f t="shared" si="135"/>
        <v>16421232.149999838</v>
      </c>
      <c r="DN12" s="21">
        <f t="shared" si="135"/>
        <v>12152046.390000161</v>
      </c>
      <c r="DO12" s="21">
        <f t="shared" si="135"/>
        <v>15889788.800000243</v>
      </c>
      <c r="DP12" s="21">
        <f t="shared" si="135"/>
        <v>14792894.850000706</v>
      </c>
      <c r="DQ12" s="21">
        <f t="shared" si="135"/>
        <v>15056513.42999921</v>
      </c>
      <c r="DR12" s="21">
        <f t="shared" si="135"/>
        <v>16003089.950000804</v>
      </c>
      <c r="DS12" s="21">
        <f t="shared" si="135"/>
        <v>13794731.219999911</v>
      </c>
      <c r="DT12" s="21">
        <f t="shared" si="135"/>
        <v>14689326.419999503</v>
      </c>
      <c r="DU12" s="21">
        <f t="shared" si="135"/>
        <v>14503102.330000293</v>
      </c>
      <c r="DV12" s="21">
        <f t="shared" si="135"/>
        <v>12893122.149999931</v>
      </c>
      <c r="DW12" s="21">
        <f t="shared" si="135"/>
        <v>14717951.18999945</v>
      </c>
      <c r="DX12" s="119">
        <f t="shared" si="95"/>
        <v>449581490.61999959</v>
      </c>
      <c r="DY12" s="21">
        <f t="shared" ref="DY12:FC12" si="136">DY9+DY6</f>
        <v>15513884.620000143</v>
      </c>
      <c r="DZ12" s="21">
        <f t="shared" si="136"/>
        <v>15713900.109999532</v>
      </c>
      <c r="EA12" s="21">
        <f t="shared" si="136"/>
        <v>11982795.530000797</v>
      </c>
      <c r="EB12" s="21">
        <f t="shared" si="136"/>
        <v>13133656.909999795</v>
      </c>
      <c r="EC12" s="21">
        <f t="shared" si="136"/>
        <v>13799252.309999868</v>
      </c>
      <c r="ED12" s="21">
        <f t="shared" si="136"/>
        <v>14095109.009999696</v>
      </c>
      <c r="EE12" s="21">
        <f t="shared" si="136"/>
        <v>14543579.639999826</v>
      </c>
      <c r="EF12" s="21">
        <f t="shared" si="136"/>
        <v>15784352.860000813</v>
      </c>
      <c r="EG12" s="21">
        <f t="shared" si="136"/>
        <v>18419697.549999811</v>
      </c>
      <c r="EH12" s="21">
        <f t="shared" si="136"/>
        <v>16316056.19000004</v>
      </c>
      <c r="EI12" s="21">
        <f t="shared" si="136"/>
        <v>15471979.869999805</v>
      </c>
      <c r="EJ12" s="21">
        <f t="shared" si="136"/>
        <v>18241659.140000828</v>
      </c>
      <c r="EK12" s="21">
        <f t="shared" si="136"/>
        <v>15744256.400000183</v>
      </c>
      <c r="EL12" s="21">
        <f t="shared" si="136"/>
        <v>16944899.729999639</v>
      </c>
      <c r="EM12" s="21">
        <f t="shared" si="136"/>
        <v>19392453.029999807</v>
      </c>
      <c r="EN12" s="21">
        <f t="shared" si="136"/>
        <v>18561508.459999289</v>
      </c>
      <c r="EO12" s="21">
        <f t="shared" si="136"/>
        <v>16106596.94000081</v>
      </c>
      <c r="EP12" s="21">
        <f t="shared" si="136"/>
        <v>18660185.579999764</v>
      </c>
      <c r="EQ12" s="21">
        <f t="shared" si="136"/>
        <v>14344427.58999991</v>
      </c>
      <c r="ER12" s="21">
        <f t="shared" si="136"/>
        <v>18258208.519999824</v>
      </c>
      <c r="ES12" s="21">
        <f t="shared" si="136"/>
        <v>21665640.320000079</v>
      </c>
      <c r="ET12" s="21">
        <f t="shared" si="136"/>
        <v>22526141.380000383</v>
      </c>
      <c r="EU12" s="21">
        <f t="shared" si="136"/>
        <v>24294138.039999962</v>
      </c>
      <c r="EV12" s="21">
        <f t="shared" si="136"/>
        <v>19345606.639999352</v>
      </c>
      <c r="EW12" s="21">
        <f t="shared" si="136"/>
        <v>13090980.16000062</v>
      </c>
      <c r="EX12" s="21">
        <f t="shared" si="136"/>
        <v>12495152.190000027</v>
      </c>
      <c r="EY12" s="21">
        <f t="shared" si="136"/>
        <v>13724687.689999774</v>
      </c>
      <c r="EZ12" s="21">
        <f t="shared" si="136"/>
        <v>14132061.049999919</v>
      </c>
      <c r="FA12" s="21">
        <f t="shared" si="136"/>
        <v>15307534.190000059</v>
      </c>
      <c r="FB12" s="21">
        <f t="shared" si="136"/>
        <v>16187399.180000965</v>
      </c>
      <c r="FC12" s="21">
        <f t="shared" si="136"/>
        <v>16108664.819998529</v>
      </c>
      <c r="FD12" s="128">
        <f t="shared" si="97"/>
        <v>509906465.64999968</v>
      </c>
      <c r="FE12" s="21">
        <f t="shared" ref="FE12:GI12" si="137">FE9+FE6</f>
        <v>14200064.500000417</v>
      </c>
      <c r="FF12" s="21">
        <f t="shared" si="137"/>
        <v>14546580.960000355</v>
      </c>
      <c r="FG12" s="21">
        <f t="shared" si="137"/>
        <v>14575970.929999823</v>
      </c>
      <c r="FH12" s="21">
        <f t="shared" si="137"/>
        <v>15983882.839999225</v>
      </c>
      <c r="FI12" s="21">
        <f t="shared" si="137"/>
        <v>15692233.600000858</v>
      </c>
      <c r="FJ12" s="21">
        <f t="shared" si="137"/>
        <v>16006076.729999542</v>
      </c>
      <c r="FK12" s="21">
        <f t="shared" si="137"/>
        <v>15056344.120000482</v>
      </c>
      <c r="FL12" s="21">
        <f t="shared" si="137"/>
        <v>14695369.959999852</v>
      </c>
      <c r="FM12" s="21">
        <f t="shared" si="137"/>
        <v>16486759.660000298</v>
      </c>
      <c r="FN12" s="21">
        <f t="shared" si="137"/>
        <v>13475948.240000281</v>
      </c>
      <c r="FO12" s="21">
        <f t="shared" si="137"/>
        <v>14392141.990000075</v>
      </c>
      <c r="FP12" s="21">
        <f t="shared" si="137"/>
        <v>17950650.079999</v>
      </c>
      <c r="FQ12" s="21">
        <f t="shared" si="137"/>
        <v>15264477.410000963</v>
      </c>
      <c r="FR12" s="21">
        <f t="shared" si="137"/>
        <v>15266196.67000002</v>
      </c>
      <c r="FS12" s="21">
        <f t="shared" si="137"/>
        <v>15052815.199999629</v>
      </c>
      <c r="FT12" s="21">
        <f t="shared" si="137"/>
        <v>14330537.890000036</v>
      </c>
      <c r="FU12" s="21">
        <f t="shared" si="137"/>
        <v>14157140.599999269</v>
      </c>
      <c r="FV12" s="21">
        <f t="shared" si="137"/>
        <v>14315903.650000714</v>
      </c>
      <c r="FW12" s="21">
        <f t="shared" si="137"/>
        <v>16139505.830000363</v>
      </c>
      <c r="FX12" s="21">
        <f t="shared" si="137"/>
        <v>17853843.129999094</v>
      </c>
      <c r="FY12" s="21">
        <f t="shared" si="137"/>
        <v>14740143.619999733</v>
      </c>
      <c r="FZ12" s="21">
        <f t="shared" si="137"/>
        <v>14970833.230001256</v>
      </c>
      <c r="GA12" s="21">
        <f t="shared" si="137"/>
        <v>17352992.259998776</v>
      </c>
      <c r="GB12" s="21">
        <f t="shared" si="137"/>
        <v>13061023.67000079</v>
      </c>
      <c r="GC12" s="21">
        <f t="shared" si="137"/>
        <v>16422516.919999942</v>
      </c>
      <c r="GD12" s="21">
        <f t="shared" si="137"/>
        <v>16775214.319999568</v>
      </c>
      <c r="GE12" s="21">
        <f t="shared" si="137"/>
        <v>14802973.800001139</v>
      </c>
      <c r="GF12" s="21">
        <f t="shared" si="137"/>
        <v>15248258.769998979</v>
      </c>
      <c r="GG12" s="21">
        <f t="shared" si="137"/>
        <v>18007475.730000839</v>
      </c>
      <c r="GH12" s="21">
        <f t="shared" si="137"/>
        <v>15832909.000000061</v>
      </c>
      <c r="GI12" s="21">
        <f t="shared" si="137"/>
        <v>14526249.559999775</v>
      </c>
      <c r="GJ12" s="127">
        <f t="shared" si="99"/>
        <v>477183034.87000114</v>
      </c>
      <c r="GK12" s="21">
        <f t="shared" ref="GK12:HM12" si="138">GK9+GK6</f>
        <v>14863845.349999096</v>
      </c>
      <c r="GL12" s="21">
        <f t="shared" si="138"/>
        <v>16721600.87000091</v>
      </c>
      <c r="GM12" s="21">
        <f t="shared" si="138"/>
        <v>19288161.929999825</v>
      </c>
      <c r="GN12" s="21">
        <f t="shared" si="138"/>
        <v>15775634.919998979</v>
      </c>
      <c r="GO12" s="21">
        <f t="shared" si="138"/>
        <v>16462686.940000843</v>
      </c>
      <c r="GP12" s="21">
        <f t="shared" si="138"/>
        <v>15352647.60999934</v>
      </c>
      <c r="GQ12" s="21">
        <f t="shared" si="138"/>
        <v>18288552.95000089</v>
      </c>
      <c r="GR12" s="21">
        <f t="shared" si="138"/>
        <v>16497043.309999578</v>
      </c>
      <c r="GS12" s="21">
        <f t="shared" si="138"/>
        <v>14938784.769999461</v>
      </c>
      <c r="GT12" s="21">
        <f t="shared" si="138"/>
        <v>16437376.270000085</v>
      </c>
      <c r="GU12" s="21">
        <f t="shared" si="138"/>
        <v>14720696.480000602</v>
      </c>
      <c r="GV12" s="21">
        <f t="shared" si="138"/>
        <v>15092544.839999378</v>
      </c>
      <c r="GW12" s="21">
        <f t="shared" si="138"/>
        <v>15589095.380000699</v>
      </c>
      <c r="GX12" s="21">
        <f t="shared" si="138"/>
        <v>15382818.149998832</v>
      </c>
      <c r="GY12" s="21">
        <f t="shared" si="138"/>
        <v>13658959.250000713</v>
      </c>
      <c r="GZ12" s="21">
        <f t="shared" si="138"/>
        <v>14437988.67999991</v>
      </c>
      <c r="HA12" s="21">
        <f t="shared" si="138"/>
        <v>15074256.169999953</v>
      </c>
      <c r="HB12" s="21">
        <f t="shared" si="138"/>
        <v>13164324.94000045</v>
      </c>
      <c r="HC12" s="21">
        <f t="shared" si="138"/>
        <v>15631686.029999679</v>
      </c>
      <c r="HD12" s="21">
        <f t="shared" si="138"/>
        <v>25229815.090000212</v>
      </c>
      <c r="HE12" s="21">
        <f t="shared" si="138"/>
        <v>14195839.929999925</v>
      </c>
      <c r="HF12" s="21">
        <f t="shared" si="138"/>
        <v>14403312.33000041</v>
      </c>
      <c r="HG12" s="21">
        <f t="shared" si="138"/>
        <v>15202866.109999865</v>
      </c>
      <c r="HH12" s="21">
        <f t="shared" si="138"/>
        <v>17808937.380000137</v>
      </c>
      <c r="HI12" s="21">
        <f t="shared" si="138"/>
        <v>11805835.659999792</v>
      </c>
      <c r="HJ12" s="21">
        <f t="shared" si="138"/>
        <v>15209876.450000215</v>
      </c>
      <c r="HK12" s="21">
        <f t="shared" si="138"/>
        <v>13899350.019999489</v>
      </c>
      <c r="HL12" s="21">
        <f t="shared" si="138"/>
        <v>13213444.690000564</v>
      </c>
      <c r="HM12" s="21">
        <f t="shared" si="138"/>
        <v>15457172.529998979</v>
      </c>
      <c r="HN12" s="127">
        <f t="shared" si="101"/>
        <v>453805155.02999884</v>
      </c>
      <c r="HO12" s="21">
        <f t="shared" ref="HO12:IS12" si="139">HO9+HO6</f>
        <v>17042672.950000849</v>
      </c>
      <c r="HP12" s="21">
        <f t="shared" si="139"/>
        <v>18957329.859999776</v>
      </c>
      <c r="HQ12" s="21">
        <f t="shared" si="139"/>
        <v>15935776.969999488</v>
      </c>
      <c r="HR12" s="21">
        <f t="shared" si="139"/>
        <v>18871004.970000837</v>
      </c>
      <c r="HS12" s="21">
        <f t="shared" si="139"/>
        <v>16201281.350000272</v>
      </c>
      <c r="HT12" s="21">
        <f t="shared" si="139"/>
        <v>17295040.930000197</v>
      </c>
      <c r="HU12" s="21">
        <f t="shared" si="139"/>
        <v>19345338.369999506</v>
      </c>
      <c r="HV12" s="21">
        <f t="shared" si="139"/>
        <v>15954381.769999845</v>
      </c>
      <c r="HW12" s="21">
        <f t="shared" si="139"/>
        <v>17283595.659999985</v>
      </c>
      <c r="HX12" s="21">
        <f t="shared" si="139"/>
        <v>15223415.460000018</v>
      </c>
      <c r="HY12" s="21">
        <f t="shared" si="139"/>
        <v>16218859.989999687</v>
      </c>
      <c r="HZ12" s="21">
        <f t="shared" si="139"/>
        <v>14274926.500000341</v>
      </c>
      <c r="IA12" s="21">
        <f t="shared" si="139"/>
        <v>13162955.000000235</v>
      </c>
      <c r="IB12" s="21">
        <f t="shared" si="139"/>
        <v>14176273.349999562</v>
      </c>
      <c r="IC12" s="21">
        <f t="shared" si="139"/>
        <v>16020228.599999644</v>
      </c>
      <c r="ID12" s="21">
        <f t="shared" si="139"/>
        <v>14459118.650000611</v>
      </c>
      <c r="IE12" s="21">
        <f t="shared" si="139"/>
        <v>14197219.999999294</v>
      </c>
      <c r="IF12" s="21">
        <f t="shared" si="139"/>
        <v>16628586.60000011</v>
      </c>
      <c r="IG12" s="21">
        <f t="shared" si="139"/>
        <v>15269892.050000694</v>
      </c>
      <c r="IH12" s="21">
        <f t="shared" si="139"/>
        <v>13974818.649999551</v>
      </c>
      <c r="II12" s="21">
        <f t="shared" si="139"/>
        <v>13927381.750000816</v>
      </c>
      <c r="IJ12" s="21">
        <f t="shared" si="139"/>
        <v>16617864.849999515</v>
      </c>
      <c r="IK12" s="21">
        <f t="shared" si="139"/>
        <v>16861229.950000472</v>
      </c>
      <c r="IL12" s="21">
        <f t="shared" si="139"/>
        <v>13164815.449999355</v>
      </c>
      <c r="IM12" s="21">
        <f t="shared" si="139"/>
        <v>16677510.049999282</v>
      </c>
      <c r="IN12" s="21">
        <f t="shared" si="139"/>
        <v>14058001.049999919</v>
      </c>
      <c r="IO12" s="21">
        <f t="shared" si="139"/>
        <v>15285200.64000112</v>
      </c>
      <c r="IP12" s="21">
        <f t="shared" si="139"/>
        <v>16032899.60999921</v>
      </c>
      <c r="IQ12" s="21">
        <f t="shared" si="139"/>
        <v>16554532.820000704</v>
      </c>
      <c r="IR12" s="21">
        <f t="shared" si="139"/>
        <v>14363011.23999959</v>
      </c>
      <c r="IS12" s="21">
        <f t="shared" si="139"/>
        <v>10909055.600000124</v>
      </c>
      <c r="IT12" s="127">
        <f t="shared" si="22"/>
        <v>484944220.69000053</v>
      </c>
      <c r="IU12" s="21">
        <f t="shared" ref="IU12:JX12" si="140">IU9+IU6</f>
        <v>12149366.289999597</v>
      </c>
      <c r="IV12" s="21">
        <f t="shared" si="140"/>
        <v>16303431.690000344</v>
      </c>
      <c r="IW12" s="21">
        <f t="shared" si="140"/>
        <v>13040471.300000237</v>
      </c>
      <c r="IX12" s="21">
        <f t="shared" si="140"/>
        <v>14105299.899999585</v>
      </c>
      <c r="IY12" s="21">
        <f t="shared" si="140"/>
        <v>15938676.129999729</v>
      </c>
      <c r="IZ12" s="21">
        <f t="shared" si="140"/>
        <v>15024368.680000162</v>
      </c>
      <c r="JA12" s="21">
        <f t="shared" si="140"/>
        <v>12354235.960000118</v>
      </c>
      <c r="JB12" s="21">
        <f t="shared" si="140"/>
        <v>16796840.660000063</v>
      </c>
      <c r="JC12" s="21">
        <f t="shared" si="140"/>
        <v>13455102.499999795</v>
      </c>
      <c r="JD12" s="21">
        <f t="shared" si="140"/>
        <v>14728748.760000575</v>
      </c>
      <c r="JE12" s="21">
        <f t="shared" si="140"/>
        <v>13847140.069999784</v>
      </c>
      <c r="JF12" s="21">
        <f t="shared" si="140"/>
        <v>14989453.220001014</v>
      </c>
      <c r="JG12" s="21">
        <f t="shared" si="140"/>
        <v>15902504.379998848</v>
      </c>
      <c r="JH12" s="21">
        <f t="shared" si="140"/>
        <v>10945577.230001267</v>
      </c>
      <c r="JI12" s="21">
        <f t="shared" si="140"/>
        <v>15407493.969998807</v>
      </c>
      <c r="JJ12" s="21">
        <f t="shared" si="140"/>
        <v>13573277.649999775</v>
      </c>
      <c r="JK12" s="21">
        <f t="shared" si="140"/>
        <v>14092256.760000572</v>
      </c>
      <c r="JL12" s="21">
        <f t="shared" si="140"/>
        <v>13072413.500000607</v>
      </c>
      <c r="JM12" s="21">
        <f t="shared" si="140"/>
        <v>15386763.549998974</v>
      </c>
      <c r="JN12" s="21">
        <f t="shared" si="140"/>
        <v>13403843.210000753</v>
      </c>
      <c r="JO12" s="21">
        <f t="shared" si="140"/>
        <v>10796042.129999882</v>
      </c>
      <c r="JP12" s="21">
        <f t="shared" si="140"/>
        <v>16688081.189999754</v>
      </c>
      <c r="JQ12" s="21">
        <f t="shared" si="140"/>
        <v>12376742.380000252</v>
      </c>
      <c r="JR12" s="21">
        <f t="shared" si="140"/>
        <v>13622520.830000617</v>
      </c>
      <c r="JS12" s="21">
        <f t="shared" si="140"/>
        <v>13737556.749998614</v>
      </c>
      <c r="JT12" s="21">
        <f t="shared" si="140"/>
        <v>15522897.449999768</v>
      </c>
      <c r="JU12" s="21">
        <f t="shared" si="140"/>
        <v>17121514.350000028</v>
      </c>
      <c r="JV12" s="21">
        <f t="shared" si="140"/>
        <v>14430375.349999808</v>
      </c>
      <c r="JW12" s="21">
        <f t="shared" si="140"/>
        <v>13960637.579999819</v>
      </c>
      <c r="JX12" s="21">
        <f t="shared" si="140"/>
        <v>13722225.790000651</v>
      </c>
      <c r="JY12" s="127">
        <f t="shared" si="58"/>
        <v>426495859.2099998</v>
      </c>
      <c r="JZ12" s="21">
        <f t="shared" ref="JZ12:LD12" si="141">JZ9+JZ6</f>
        <v>12777228.659999739</v>
      </c>
      <c r="KA12" s="21">
        <f t="shared" si="141"/>
        <v>14518974.970000384</v>
      </c>
      <c r="KB12" s="21">
        <f t="shared" si="141"/>
        <v>15298763.469999274</v>
      </c>
      <c r="KC12" s="21">
        <f t="shared" si="141"/>
        <v>13966434.340000125</v>
      </c>
      <c r="KD12" s="21">
        <f t="shared" si="141"/>
        <v>14961840.25000054</v>
      </c>
      <c r="KE12" s="21">
        <f t="shared" si="141"/>
        <v>14524676.590000903</v>
      </c>
      <c r="KF12" s="21">
        <f t="shared" si="141"/>
        <v>16101170.419999819</v>
      </c>
      <c r="KG12" s="21">
        <f t="shared" si="141"/>
        <v>13850571.239999047</v>
      </c>
      <c r="KH12" s="21">
        <f t="shared" si="141"/>
        <v>16403685.790000111</v>
      </c>
      <c r="KI12" s="21">
        <f t="shared" si="141"/>
        <v>15810020.970000159</v>
      </c>
      <c r="KJ12" s="21">
        <f t="shared" si="141"/>
        <v>17014670.010000158</v>
      </c>
      <c r="KK12" s="21">
        <f t="shared" si="141"/>
        <v>13413070.56999998</v>
      </c>
      <c r="KL12" s="21">
        <f t="shared" si="141"/>
        <v>21077985.869998805</v>
      </c>
      <c r="KM12" s="21">
        <f t="shared" si="141"/>
        <v>16056486.810001846</v>
      </c>
      <c r="KN12" s="21">
        <f t="shared" si="141"/>
        <v>12691479.930000223</v>
      </c>
      <c r="KO12" s="21">
        <f t="shared" si="141"/>
        <v>19637254.249999449</v>
      </c>
      <c r="KP12" s="21">
        <f t="shared" si="141"/>
        <v>15892062.049999539</v>
      </c>
      <c r="KQ12" s="21">
        <f t="shared" si="141"/>
        <v>17056218.329999596</v>
      </c>
      <c r="KR12" s="21">
        <f t="shared" si="141"/>
        <v>13775035.170000475</v>
      </c>
      <c r="KS12" s="21">
        <f t="shared" si="141"/>
        <v>16967511.920000739</v>
      </c>
      <c r="KT12" s="21">
        <f t="shared" si="141"/>
        <v>16991044.66999948</v>
      </c>
      <c r="KU12" s="21">
        <f t="shared" si="141"/>
        <v>16814432.739998814</v>
      </c>
      <c r="KV12" s="21">
        <f t="shared" si="141"/>
        <v>22292577.110001028</v>
      </c>
      <c r="KW12" s="21">
        <f t="shared" si="141"/>
        <v>17680190.350000016</v>
      </c>
      <c r="KX12" s="21">
        <f t="shared" si="141"/>
        <v>15493692.599999897</v>
      </c>
      <c r="KY12" s="21">
        <f t="shared" si="141"/>
        <v>14858650.640000215</v>
      </c>
      <c r="KZ12" s="21">
        <f t="shared" si="141"/>
        <v>16157134.919999689</v>
      </c>
      <c r="LA12" s="21">
        <f t="shared" si="141"/>
        <v>17148412.849999994</v>
      </c>
      <c r="LB12" s="21">
        <f t="shared" si="141"/>
        <v>16815786.600000281</v>
      </c>
      <c r="LC12" s="21">
        <f t="shared" si="141"/>
        <v>14996726.699999437</v>
      </c>
      <c r="LD12" s="21">
        <f t="shared" si="141"/>
        <v>19356496.580000807</v>
      </c>
      <c r="LE12" s="127">
        <f t="shared" si="60"/>
        <v>487623058.71000093</v>
      </c>
      <c r="LF12" s="21">
        <f t="shared" ref="LF12:MI12" si="142">LF9+LF6</f>
        <v>19201302.76999956</v>
      </c>
      <c r="LG12" s="21">
        <f t="shared" si="142"/>
        <v>15513595.359999618</v>
      </c>
      <c r="LH12" s="21">
        <f t="shared" si="142"/>
        <v>19621882.520000473</v>
      </c>
      <c r="LI12" s="21">
        <f t="shared" si="142"/>
        <v>19919338.180000078</v>
      </c>
      <c r="LJ12" s="21">
        <f t="shared" si="142"/>
        <v>15726143.639998864</v>
      </c>
      <c r="LK12" s="21">
        <f t="shared" si="142"/>
        <v>15699606.500000296</v>
      </c>
      <c r="LL12" s="21">
        <f t="shared" si="142"/>
        <v>20269421.130000982</v>
      </c>
      <c r="LM12" s="21">
        <f t="shared" si="142"/>
        <v>21056515.429999962</v>
      </c>
      <c r="LN12" s="21">
        <f t="shared" si="142"/>
        <v>15282138.420000639</v>
      </c>
      <c r="LO12" s="21">
        <f t="shared" si="142"/>
        <v>17631081.77999942</v>
      </c>
      <c r="LP12" s="21">
        <f t="shared" si="142"/>
        <v>18111096.099999372</v>
      </c>
      <c r="LQ12" s="21">
        <f t="shared" si="142"/>
        <v>16332623.860000299</v>
      </c>
      <c r="LR12" s="21">
        <f t="shared" si="142"/>
        <v>17047587.709999017</v>
      </c>
      <c r="LS12" s="21">
        <f t="shared" si="142"/>
        <v>18719635.840001583</v>
      </c>
      <c r="LT12" s="21">
        <f t="shared" si="142"/>
        <v>19593350.239999436</v>
      </c>
      <c r="LU12" s="21">
        <f t="shared" si="142"/>
        <v>15899806.29999944</v>
      </c>
      <c r="LV12" s="21">
        <f t="shared" si="142"/>
        <v>14735346.079999868</v>
      </c>
      <c r="LW12" s="21">
        <f t="shared" si="142"/>
        <v>16942816.110001031</v>
      </c>
      <c r="LX12" s="21">
        <f t="shared" si="142"/>
        <v>16780006.420000382</v>
      </c>
      <c r="LY12" s="21">
        <f t="shared" si="142"/>
        <v>17431345.209998995</v>
      </c>
      <c r="LZ12" s="21">
        <f t="shared" si="142"/>
        <v>17715255.800000459</v>
      </c>
      <c r="MA12" s="21">
        <f t="shared" si="142"/>
        <v>16460585.809999</v>
      </c>
      <c r="MB12" s="21">
        <f t="shared" si="142"/>
        <v>14856780.010001093</v>
      </c>
      <c r="MC12" s="21">
        <f t="shared" si="142"/>
        <v>17122166.55000034</v>
      </c>
      <c r="MD12" s="21">
        <f t="shared" si="142"/>
        <v>14869183.60000018</v>
      </c>
      <c r="ME12" s="21">
        <f t="shared" si="142"/>
        <v>16493260.299999159</v>
      </c>
      <c r="MF12" s="21">
        <f t="shared" si="142"/>
        <v>13757257.229999997</v>
      </c>
      <c r="MG12" s="21">
        <f t="shared" si="142"/>
        <v>15866805.950000474</v>
      </c>
      <c r="MH12" s="21">
        <f t="shared" si="142"/>
        <v>15482142.730000382</v>
      </c>
      <c r="MI12" s="21">
        <f t="shared" si="142"/>
        <v>15842847.489998925</v>
      </c>
      <c r="MJ12" s="127">
        <f t="shared" si="62"/>
        <v>509980925.06999928</v>
      </c>
      <c r="MK12" s="21">
        <f t="shared" ref="MK12:NO12" si="143">MK9+MK6</f>
        <v>17832671.640000399</v>
      </c>
      <c r="ML12" s="21">
        <f t="shared" si="143"/>
        <v>16827722.069999952</v>
      </c>
      <c r="MM12" s="21">
        <f t="shared" si="143"/>
        <v>13449665.780000187</v>
      </c>
      <c r="MN12" s="21">
        <f t="shared" si="143"/>
        <v>14922830.580000378</v>
      </c>
      <c r="MO12" s="21">
        <f t="shared" si="143"/>
        <v>17719101.159999274</v>
      </c>
      <c r="MP12" s="21">
        <f t="shared" si="143"/>
        <v>14700858.770000491</v>
      </c>
      <c r="MQ12" s="21">
        <f t="shared" si="143"/>
        <v>16652057.889999159</v>
      </c>
      <c r="MR12" s="21">
        <f t="shared" si="143"/>
        <v>15544025.250000201</v>
      </c>
      <c r="MS12" s="21">
        <f t="shared" si="143"/>
        <v>13880496.130000528</v>
      </c>
      <c r="MT12" s="21">
        <f t="shared" si="143"/>
        <v>11238328.999999469</v>
      </c>
      <c r="MU12" s="21">
        <f t="shared" si="143"/>
        <v>15809472.1600003</v>
      </c>
      <c r="MV12" s="21">
        <f t="shared" si="143"/>
        <v>15616505.266000075</v>
      </c>
      <c r="MW12" s="21">
        <f t="shared" si="143"/>
        <v>18669535.408999853</v>
      </c>
      <c r="MX12" s="21">
        <f t="shared" si="143"/>
        <v>12542328.989999572</v>
      </c>
      <c r="MY12" s="21">
        <f t="shared" si="143"/>
        <v>14517523.156000994</v>
      </c>
      <c r="MZ12" s="21">
        <f t="shared" si="143"/>
        <v>17079787.188998945</v>
      </c>
      <c r="NA12" s="21">
        <f t="shared" si="143"/>
        <v>14504601.788000748</v>
      </c>
      <c r="NB12" s="21">
        <f t="shared" si="143"/>
        <v>15833631.645999134</v>
      </c>
      <c r="NC12" s="21">
        <f t="shared" si="143"/>
        <v>16032728.687001115</v>
      </c>
      <c r="ND12" s="21">
        <f t="shared" si="143"/>
        <v>15603859.69199932</v>
      </c>
      <c r="NE12" s="21">
        <f t="shared" si="143"/>
        <v>11673815.250999741</v>
      </c>
      <c r="NF12" s="21">
        <f t="shared" si="143"/>
        <v>14299253.650000183</v>
      </c>
      <c r="NG12" s="21">
        <f t="shared" si="143"/>
        <v>12758357.582001213</v>
      </c>
      <c r="NH12" s="21">
        <f t="shared" si="143"/>
        <v>12619806.743998976</v>
      </c>
      <c r="NI12" s="21">
        <f t="shared" si="143"/>
        <v>15241816.509000223</v>
      </c>
      <c r="NJ12" s="21">
        <f t="shared" si="143"/>
        <v>17228700.585999116</v>
      </c>
      <c r="NK12" s="21">
        <f t="shared" si="143"/>
        <v>15850062.111000355</v>
      </c>
      <c r="NL12" s="21">
        <f t="shared" si="143"/>
        <v>12564364.788001219</v>
      </c>
      <c r="NM12" s="21">
        <f t="shared" si="143"/>
        <v>15358453.887999404</v>
      </c>
      <c r="NN12" s="21">
        <f t="shared" si="143"/>
        <v>14541083.705000188</v>
      </c>
      <c r="NO12" s="21">
        <f t="shared" si="143"/>
        <v>12182518.476999909</v>
      </c>
      <c r="NP12" s="127">
        <f t="shared" si="64"/>
        <v>445463293.90400028</v>
      </c>
      <c r="NQ12" s="21">
        <f t="shared" ref="NQ12:OU12" si="144">NQ9+NQ6</f>
        <v>14155705.862999104</v>
      </c>
      <c r="NR12" s="21">
        <f t="shared" si="144"/>
        <v>15612283.657000918</v>
      </c>
      <c r="NS12" s="21">
        <f t="shared" si="144"/>
        <v>16965047.159000013</v>
      </c>
      <c r="NT12" s="21">
        <f t="shared" si="144"/>
        <v>13385464.119999859</v>
      </c>
      <c r="NU12" s="21">
        <f t="shared" si="144"/>
        <v>14624161.862999313</v>
      </c>
      <c r="NV12" s="21">
        <f t="shared" si="144"/>
        <v>18286814.128000215</v>
      </c>
      <c r="NW12" s="21">
        <f t="shared" si="144"/>
        <v>14998721.834000465</v>
      </c>
      <c r="NX12" s="21">
        <f t="shared" si="144"/>
        <v>15585342.864999928</v>
      </c>
      <c r="NY12" s="21">
        <f t="shared" si="144"/>
        <v>16251824.694000095</v>
      </c>
      <c r="NZ12" s="21">
        <f t="shared" si="144"/>
        <v>15123913.167999586</v>
      </c>
      <c r="OA12" s="21">
        <f t="shared" si="144"/>
        <v>13834693.355999816</v>
      </c>
      <c r="OB12" s="21">
        <f t="shared" si="144"/>
        <v>13335449.637000723</v>
      </c>
      <c r="OC12" s="21">
        <f t="shared" si="144"/>
        <v>14790093.620999474</v>
      </c>
      <c r="OD12" s="21">
        <f t="shared" si="144"/>
        <v>15854029.451000944</v>
      </c>
      <c r="OE12" s="21">
        <f t="shared" si="144"/>
        <v>15048811.05699892</v>
      </c>
      <c r="OF12" s="21">
        <f t="shared" si="144"/>
        <v>15884764.933000764</v>
      </c>
      <c r="OG12" s="21">
        <f t="shared" si="144"/>
        <v>15791300.49199995</v>
      </c>
      <c r="OH12" s="21">
        <f t="shared" si="144"/>
        <v>13779395.299999308</v>
      </c>
      <c r="OI12" s="21">
        <f t="shared" si="144"/>
        <v>15674381.844000671</v>
      </c>
      <c r="OJ12" s="21">
        <f t="shared" si="144"/>
        <v>14089794.855000246</v>
      </c>
      <c r="OK12" s="21">
        <f t="shared" si="144"/>
        <v>13710966.134999104</v>
      </c>
      <c r="OL12" s="21">
        <f t="shared" si="144"/>
        <v>16746855.879000163</v>
      </c>
      <c r="OM12" s="21">
        <f t="shared" si="144"/>
        <v>15293242.044000573</v>
      </c>
      <c r="ON12" s="21">
        <f t="shared" si="144"/>
        <v>16141521.266999373</v>
      </c>
      <c r="OO12" s="21">
        <f t="shared" si="144"/>
        <v>10350404.373000003</v>
      </c>
      <c r="OP12" s="21">
        <f t="shared" si="144"/>
        <v>15060886.385999292</v>
      </c>
      <c r="OQ12" s="21">
        <f t="shared" si="144"/>
        <v>14940501.867000999</v>
      </c>
      <c r="OR12" s="21">
        <f t="shared" si="144"/>
        <v>14006086.119000237</v>
      </c>
      <c r="OS12" s="21">
        <f t="shared" si="144"/>
        <v>15101129.849999828</v>
      </c>
      <c r="OT12" s="21">
        <f t="shared" si="144"/>
        <v>15237608.759999819</v>
      </c>
      <c r="OU12" s="21">
        <f t="shared" si="144"/>
        <v>18756634.796999525</v>
      </c>
      <c r="OV12" s="127">
        <f t="shared" si="66"/>
        <v>454262125.51100022</v>
      </c>
      <c r="OW12" s="21">
        <f t="shared" ref="OW12:PZ12" si="145">OW9+OW6</f>
        <v>12930353.466000505</v>
      </c>
      <c r="OX12" s="21">
        <f t="shared" si="145"/>
        <v>17993624.771999784</v>
      </c>
      <c r="OY12" s="21">
        <f t="shared" si="145"/>
        <v>15051054.476999909</v>
      </c>
      <c r="OZ12" s="21">
        <f t="shared" si="145"/>
        <v>13633609.755000431</v>
      </c>
      <c r="PA12" s="21">
        <f t="shared" si="145"/>
        <v>15788784.650999663</v>
      </c>
      <c r="PB12" s="21">
        <f t="shared" si="145"/>
        <v>16639549.992000908</v>
      </c>
      <c r="PC12" s="21">
        <f t="shared" si="145"/>
        <v>16635273.188998658</v>
      </c>
      <c r="PD12" s="21">
        <f t="shared" si="145"/>
        <v>14529389.559001284</v>
      </c>
      <c r="PE12" s="21">
        <f t="shared" si="145"/>
        <v>15246711.674998526</v>
      </c>
      <c r="PF12" s="21">
        <f t="shared" si="145"/>
        <v>14380547.013001401</v>
      </c>
      <c r="PG12" s="21">
        <f t="shared" si="145"/>
        <v>14366931.962999545</v>
      </c>
      <c r="PH12" s="21">
        <f t="shared" si="145"/>
        <v>13519467.032999936</v>
      </c>
      <c r="PI12" s="21">
        <f t="shared" si="145"/>
        <v>18269903.834999822</v>
      </c>
      <c r="PJ12" s="21">
        <f t="shared" si="145"/>
        <v>15425068.002000216</v>
      </c>
      <c r="PK12" s="21">
        <f t="shared" si="145"/>
        <v>12632230.325999878</v>
      </c>
      <c r="PL12" s="21">
        <f t="shared" si="145"/>
        <v>15176464.3710001</v>
      </c>
      <c r="PM12" s="21">
        <f t="shared" si="145"/>
        <v>14370085.088999413</v>
      </c>
      <c r="PN12" s="21">
        <f t="shared" si="145"/>
        <v>12293425.956000965</v>
      </c>
      <c r="PO12" s="21">
        <f t="shared" si="145"/>
        <v>13980931.974000074</v>
      </c>
      <c r="PP12" s="21">
        <f t="shared" si="145"/>
        <v>13772895.956999792</v>
      </c>
      <c r="PQ12" s="21">
        <f t="shared" si="145"/>
        <v>12300325.175999109</v>
      </c>
      <c r="PR12" s="21">
        <f t="shared" si="145"/>
        <v>11175047.778000791</v>
      </c>
      <c r="PS12" s="21">
        <f t="shared" si="145"/>
        <v>12353837.057999555</v>
      </c>
      <c r="PT12" s="21">
        <f t="shared" si="145"/>
        <v>13535918.000999711</v>
      </c>
      <c r="PU12" s="21">
        <f t="shared" si="145"/>
        <v>11365921.428000923</v>
      </c>
      <c r="PV12" s="21">
        <f t="shared" si="145"/>
        <v>12191303.777999211</v>
      </c>
      <c r="PW12" s="21">
        <f t="shared" si="145"/>
        <v>13911347.702999553</v>
      </c>
      <c r="PX12" s="21">
        <f t="shared" si="145"/>
        <v>14389653.273000862</v>
      </c>
      <c r="PY12" s="21">
        <f t="shared" si="145"/>
        <v>7778324.8019999741</v>
      </c>
      <c r="PZ12" s="21">
        <f t="shared" si="145"/>
        <v>14911036.061999729</v>
      </c>
      <c r="QA12" s="127">
        <f t="shared" si="68"/>
        <v>420549018.1140002</v>
      </c>
      <c r="QB12" s="21">
        <f t="shared" ref="QB12:RF12" si="146">QB9+QB6</f>
        <v>7421715.5700004371</v>
      </c>
      <c r="QC12" s="21">
        <f t="shared" si="146"/>
        <v>11188403.513999667</v>
      </c>
      <c r="QD12" s="21">
        <f t="shared" si="146"/>
        <v>12879221.594000816</v>
      </c>
      <c r="QE12" s="21">
        <f t="shared" si="146"/>
        <v>16775015.707999263</v>
      </c>
      <c r="QF12" s="21">
        <f t="shared" si="146"/>
        <v>16507371.592000317</v>
      </c>
      <c r="QG12" s="21">
        <f t="shared" si="146"/>
        <v>11503950.915999949</v>
      </c>
      <c r="QH12" s="21">
        <f t="shared" si="146"/>
        <v>16024203.394000281</v>
      </c>
      <c r="QI12" s="21">
        <f t="shared" si="146"/>
        <v>13576597.434999829</v>
      </c>
      <c r="QJ12" s="21">
        <f t="shared" si="146"/>
        <v>13809865.222000305</v>
      </c>
      <c r="QK12" s="21">
        <f t="shared" si="146"/>
        <v>13217459.296998993</v>
      </c>
      <c r="QL12" s="21">
        <f t="shared" si="146"/>
        <v>15847713.419000279</v>
      </c>
      <c r="QM12" s="21">
        <f t="shared" si="146"/>
        <v>15664265.961000811</v>
      </c>
      <c r="QN12" s="21">
        <f t="shared" si="146"/>
        <v>14505781.533999732</v>
      </c>
      <c r="QO12" s="21">
        <f t="shared" si="146"/>
        <v>16780576.666000135</v>
      </c>
      <c r="QP12" s="21">
        <f t="shared" si="146"/>
        <v>13455834.921999229</v>
      </c>
      <c r="QQ12" s="21">
        <f t="shared" si="146"/>
        <v>11848027.573000668</v>
      </c>
      <c r="QR12" s="21">
        <f t="shared" si="146"/>
        <v>12863477.600000352</v>
      </c>
      <c r="QS12" s="21">
        <f t="shared" si="146"/>
        <v>17176661.961999148</v>
      </c>
      <c r="QT12" s="21">
        <f t="shared" si="146"/>
        <v>14485566.630000707</v>
      </c>
      <c r="QU12" s="21">
        <f t="shared" si="146"/>
        <v>11481964.569999706</v>
      </c>
      <c r="QV12" s="21">
        <f t="shared" si="146"/>
        <v>12661624.624999626</v>
      </c>
      <c r="QW12" s="21">
        <f t="shared" si="146"/>
        <v>11640356.122999907</v>
      </c>
      <c r="QX12" s="21">
        <f t="shared" si="146"/>
        <v>12212278.300000949</v>
      </c>
      <c r="QY12" s="21">
        <f t="shared" si="146"/>
        <v>16288724.27999928</v>
      </c>
      <c r="QZ12" s="21">
        <f t="shared" si="146"/>
        <v>17727588.426999409</v>
      </c>
      <c r="RA12" s="21">
        <f t="shared" si="146"/>
        <v>12981582.05000093</v>
      </c>
      <c r="RB12" s="21">
        <f t="shared" si="146"/>
        <v>11016649.637000114</v>
      </c>
      <c r="RC12" s="21">
        <f t="shared" si="146"/>
        <v>12055054.704999093</v>
      </c>
      <c r="RD12" s="21">
        <f t="shared" si="146"/>
        <v>12957343.868999971</v>
      </c>
      <c r="RE12" s="21">
        <f t="shared" si="146"/>
        <v>10771317.800999992</v>
      </c>
      <c r="RF12" s="21">
        <f t="shared" si="146"/>
        <v>14645007.093000297</v>
      </c>
      <c r="RG12" s="127">
        <f t="shared" ref="RG12:RG34" si="147">SUM(QC12:RF12)</f>
        <v>414549486.41899967</v>
      </c>
      <c r="RH12" s="21">
        <f t="shared" ref="RH12:SK12" si="148">RH9+RH6</f>
        <v>14077303.851000879</v>
      </c>
      <c r="RI12" s="21">
        <f t="shared" si="148"/>
        <v>13970752.469999697</v>
      </c>
      <c r="RJ12" s="21">
        <f t="shared" si="148"/>
        <v>12916353.107999776</v>
      </c>
      <c r="RK12" s="21">
        <f t="shared" si="148"/>
        <v>17276840.234999608</v>
      </c>
      <c r="RL12" s="21">
        <f t="shared" si="148"/>
        <v>12908972.463000435</v>
      </c>
      <c r="RM12" s="21">
        <f t="shared" si="148"/>
        <v>10557768.42300017</v>
      </c>
      <c r="RN12" s="21">
        <f t="shared" si="148"/>
        <v>10734055.997999227</v>
      </c>
      <c r="RO12" s="21">
        <f t="shared" si="148"/>
        <v>13268497.728000497</v>
      </c>
      <c r="RP12" s="21">
        <f t="shared" si="148"/>
        <v>13143902.234999806</v>
      </c>
      <c r="RQ12" s="21">
        <f t="shared" si="148"/>
        <v>11771683.320000075</v>
      </c>
      <c r="RR12" s="21">
        <f t="shared" si="148"/>
        <v>14040650.720999973</v>
      </c>
      <c r="RS12" s="21">
        <f t="shared" si="148"/>
        <v>11563489.854000382</v>
      </c>
      <c r="RT12" s="21">
        <f t="shared" si="148"/>
        <v>13703063.50499898</v>
      </c>
      <c r="RU12" s="21">
        <f t="shared" si="148"/>
        <v>11848890.54600101</v>
      </c>
      <c r="RV12" s="21">
        <f t="shared" si="148"/>
        <v>13724821.370999523</v>
      </c>
      <c r="RW12" s="21">
        <f t="shared" si="148"/>
        <v>13619241.57300033</v>
      </c>
      <c r="RX12" s="21">
        <f t="shared" si="148"/>
        <v>12041243.213999629</v>
      </c>
      <c r="RY12" s="21">
        <f t="shared" si="148"/>
        <v>11809283.130000463</v>
      </c>
      <c r="RZ12" s="21">
        <f t="shared" si="148"/>
        <v>13595189.549999325</v>
      </c>
      <c r="SA12" s="21">
        <f t="shared" si="148"/>
        <v>11953694.250000462</v>
      </c>
      <c r="SB12" s="21">
        <f t="shared" si="148"/>
        <v>12070036.949999887</v>
      </c>
      <c r="SC12" s="21">
        <f t="shared" si="148"/>
        <v>13819462.020000206</v>
      </c>
      <c r="SD12" s="21">
        <f t="shared" si="148"/>
        <v>13904820.899999633</v>
      </c>
      <c r="SE12" s="21">
        <f t="shared" si="148"/>
        <v>10640295.030000597</v>
      </c>
      <c r="SF12" s="21">
        <f t="shared" si="148"/>
        <v>13720975.349999947</v>
      </c>
      <c r="SG12" s="21">
        <f t="shared" si="148"/>
        <v>14017766.729999589</v>
      </c>
      <c r="SH12" s="21">
        <f t="shared" si="148"/>
        <v>11987075.190000124</v>
      </c>
      <c r="SI12" s="21">
        <f t="shared" si="148"/>
        <v>15363745.710000202</v>
      </c>
      <c r="SJ12" s="21">
        <f t="shared" si="148"/>
        <v>13601099.669998845</v>
      </c>
      <c r="SK12" s="21">
        <f t="shared" si="148"/>
        <v>14616148.140000897</v>
      </c>
      <c r="SL12" s="127">
        <f t="shared" ref="SL12:SL17" si="149">SUM(RH12:SK12)</f>
        <v>392267123.23500013</v>
      </c>
      <c r="SM12" s="21">
        <f t="shared" ref="SM12:TQ12" si="150">SM9+SM6</f>
        <v>10687085.940000758</v>
      </c>
      <c r="SN12" s="21">
        <f t="shared" si="150"/>
        <v>16828209.14999897</v>
      </c>
      <c r="SO12" s="21">
        <f t="shared" si="150"/>
        <v>21742564.110000446</v>
      </c>
      <c r="SP12" s="21">
        <f t="shared" si="150"/>
        <v>14548212.509999245</v>
      </c>
      <c r="SQ12" s="21">
        <f t="shared" si="150"/>
        <v>13174966.320001051</v>
      </c>
      <c r="SR12" s="21">
        <f t="shared" si="150"/>
        <v>14105132.880000163</v>
      </c>
      <c r="SS12" s="21">
        <f t="shared" si="150"/>
        <v>15029533.499998953</v>
      </c>
      <c r="ST12" s="21">
        <f t="shared" si="150"/>
        <v>12839653.32000047</v>
      </c>
      <c r="SU12" s="21">
        <f t="shared" si="150"/>
        <v>16982113.169999361</v>
      </c>
      <c r="SV12" s="21">
        <f t="shared" si="150"/>
        <v>13083437.700000627</v>
      </c>
      <c r="SW12" s="21">
        <f t="shared" si="150"/>
        <v>13421833.499999952</v>
      </c>
      <c r="SX12" s="21">
        <f t="shared" si="150"/>
        <v>13126438.71000021</v>
      </c>
      <c r="SY12" s="21">
        <f t="shared" si="150"/>
        <v>17458617.98999954</v>
      </c>
      <c r="SZ12" s="21">
        <f t="shared" si="150"/>
        <v>14746507.860001169</v>
      </c>
      <c r="TA12" s="21">
        <f t="shared" si="150"/>
        <v>13166391.929999569</v>
      </c>
      <c r="TB12" s="21">
        <f t="shared" si="150"/>
        <v>15494813.639999196</v>
      </c>
      <c r="TC12" s="21">
        <f t="shared" si="150"/>
        <v>13965781.410000596</v>
      </c>
      <c r="TD12" s="21">
        <f t="shared" si="150"/>
        <v>14170303.589999577</v>
      </c>
      <c r="TE12" s="21">
        <f t="shared" si="150"/>
        <v>15617929.829999097</v>
      </c>
      <c r="TF12" s="21">
        <f t="shared" si="150"/>
        <v>14918972.790000943</v>
      </c>
      <c r="TG12" s="21">
        <f t="shared" si="150"/>
        <v>15607741.050000109</v>
      </c>
      <c r="TH12" s="21">
        <f t="shared" si="150"/>
        <v>15858981.450000247</v>
      </c>
      <c r="TI12" s="21">
        <f t="shared" si="150"/>
        <v>15099008.999999804</v>
      </c>
      <c r="TJ12" s="21">
        <f t="shared" si="150"/>
        <v>15213175.139998987</v>
      </c>
      <c r="TK12" s="21">
        <f t="shared" si="150"/>
        <v>9954216.9900002629</v>
      </c>
      <c r="TL12" s="21">
        <f t="shared" si="150"/>
        <v>10455125.370000321</v>
      </c>
      <c r="TM12" s="21">
        <f t="shared" si="150"/>
        <v>12277614.720000606</v>
      </c>
      <c r="TN12" s="21">
        <f t="shared" si="150"/>
        <v>12157517.670000028</v>
      </c>
      <c r="TO12" s="21">
        <f t="shared" si="150"/>
        <v>10475865.480000028</v>
      </c>
      <c r="TP12" s="21">
        <f t="shared" si="150"/>
        <v>12493165.080000762</v>
      </c>
      <c r="TQ12" s="21">
        <f t="shared" si="150"/>
        <v>14119417.10999842</v>
      </c>
      <c r="TR12" s="127">
        <f t="shared" ref="TR12:TR17" si="151">SUM(SN12:TQ12)</f>
        <v>428133242.9699986</v>
      </c>
      <c r="TS12" s="21">
        <f t="shared" ref="TS12:UW12" si="152">TS9+TS6</f>
        <v>9295169.2800010666</v>
      </c>
      <c r="TT12" s="21">
        <f t="shared" si="152"/>
        <v>11359177.230000015</v>
      </c>
      <c r="TU12" s="21">
        <f t="shared" si="152"/>
        <v>11697362.12999977</v>
      </c>
      <c r="TV12" s="21">
        <f t="shared" si="152"/>
        <v>12542757.929998644</v>
      </c>
      <c r="TW12" s="21">
        <f t="shared" si="152"/>
        <v>10220246.310000736</v>
      </c>
      <c r="TX12" s="21">
        <f t="shared" si="152"/>
        <v>13468741.559999958</v>
      </c>
      <c r="TY12" s="21">
        <f t="shared" si="152"/>
        <v>13731630.240000345</v>
      </c>
      <c r="TZ12" s="21">
        <f t="shared" si="152"/>
        <v>14827667.639999893</v>
      </c>
      <c r="UA12" s="21">
        <f t="shared" si="152"/>
        <v>13014172.320000987</v>
      </c>
      <c r="UB12" s="21">
        <f t="shared" si="152"/>
        <v>14093048.399999451</v>
      </c>
      <c r="UC12" s="21">
        <f t="shared" si="152"/>
        <v>14227088.100000255</v>
      </c>
      <c r="UD12" s="21">
        <f t="shared" si="152"/>
        <v>11601282.359999802</v>
      </c>
      <c r="UE12" s="21">
        <f t="shared" si="152"/>
        <v>15817021.409999849</v>
      </c>
      <c r="UF12" s="21">
        <f t="shared" si="152"/>
        <v>13307145.779999766</v>
      </c>
      <c r="UG12" s="21">
        <f t="shared" si="152"/>
        <v>13491105.939999944</v>
      </c>
      <c r="UH12" s="21">
        <f t="shared" si="152"/>
        <v>13246555.649999907</v>
      </c>
      <c r="UI12" s="21">
        <f t="shared" si="152"/>
        <v>14629320.399999741</v>
      </c>
      <c r="UJ12" s="21">
        <f t="shared" si="152"/>
        <v>14732117.810000639</v>
      </c>
      <c r="UK12" s="21">
        <f t="shared" si="152"/>
        <v>13611073.839999961</v>
      </c>
      <c r="UL12" s="21">
        <f t="shared" si="152"/>
        <v>13013446.569999427</v>
      </c>
      <c r="UM12" s="21">
        <f t="shared" si="152"/>
        <v>12867185.080000255</v>
      </c>
      <c r="UN12" s="21">
        <f t="shared" si="152"/>
        <v>14859804.610000659</v>
      </c>
      <c r="UO12" s="21">
        <f t="shared" si="152"/>
        <v>13161134.989998888</v>
      </c>
      <c r="UP12" s="21">
        <f t="shared" si="152"/>
        <v>16263768.770001201</v>
      </c>
      <c r="UQ12" s="21">
        <f t="shared" si="152"/>
        <v>14906141.499998722</v>
      </c>
      <c r="UR12" s="21">
        <f t="shared" si="152"/>
        <v>14610004.920000803</v>
      </c>
      <c r="US12" s="21">
        <f t="shared" si="152"/>
        <v>14254729.599999959</v>
      </c>
      <c r="UT12" s="21">
        <f t="shared" si="152"/>
        <v>12550661.200000569</v>
      </c>
      <c r="UU12" s="21">
        <f t="shared" si="152"/>
        <v>7896905.0099993581</v>
      </c>
      <c r="UV12" s="21">
        <f t="shared" si="152"/>
        <v>12073584.83999957</v>
      </c>
      <c r="UW12" s="21">
        <f t="shared" si="152"/>
        <v>14344677.380000688</v>
      </c>
      <c r="UX12" s="127">
        <f t="shared" ref="UX12:UX17" si="153">SUM(TT12:UW12)</f>
        <v>400419559.51999974</v>
      </c>
      <c r="UY12" s="21">
        <f t="shared" ref="UY12:VZ12" si="154">UY9+UY6</f>
        <v>15016390.759999856</v>
      </c>
      <c r="UZ12" s="21">
        <f t="shared" si="154"/>
        <v>12432345.799999725</v>
      </c>
      <c r="VA12" s="21">
        <f t="shared" si="154"/>
        <v>18037569.459999979</v>
      </c>
      <c r="VB12" s="21">
        <f t="shared" si="154"/>
        <v>12847221.5200001</v>
      </c>
      <c r="VC12" s="21">
        <f t="shared" si="154"/>
        <v>14155987.329999756</v>
      </c>
      <c r="VD12" s="21">
        <f t="shared" si="154"/>
        <v>12565513.430000467</v>
      </c>
      <c r="VE12" s="21">
        <f t="shared" si="154"/>
        <v>14990220.703999415</v>
      </c>
      <c r="VF12" s="21">
        <f t="shared" si="154"/>
        <v>15851842.121000256</v>
      </c>
      <c r="VG12" s="21">
        <f t="shared" si="154"/>
        <v>11526460.963000245</v>
      </c>
      <c r="VH12" s="21">
        <f t="shared" si="154"/>
        <v>13626137.395999182</v>
      </c>
      <c r="VI12" s="21">
        <f t="shared" si="154"/>
        <v>14840193.859000226</v>
      </c>
      <c r="VJ12" s="21">
        <f t="shared" si="154"/>
        <v>12328278.348000422</v>
      </c>
      <c r="VK12" s="21">
        <f t="shared" si="154"/>
        <v>13599033.069000386</v>
      </c>
      <c r="VL12" s="21">
        <f t="shared" si="154"/>
        <v>16775226.831999047</v>
      </c>
      <c r="VM12" s="21">
        <f t="shared" si="154"/>
        <v>11620396.887001162</v>
      </c>
      <c r="VN12" s="21">
        <f t="shared" si="154"/>
        <v>13217788.276998205</v>
      </c>
      <c r="VO12" s="21">
        <f t="shared" si="154"/>
        <v>13907917.596001051</v>
      </c>
      <c r="VP12" s="21">
        <f t="shared" si="154"/>
        <v>12993520.78799965</v>
      </c>
      <c r="VQ12" s="21">
        <f t="shared" si="154"/>
        <v>15019731.258999826</v>
      </c>
      <c r="VR12" s="21">
        <f t="shared" si="154"/>
        <v>13773357.840000529</v>
      </c>
      <c r="VS12" s="21">
        <f t="shared" si="154"/>
        <v>13508449.597999683</v>
      </c>
      <c r="VT12" s="21">
        <f t="shared" si="154"/>
        <v>15071388.43999989</v>
      </c>
      <c r="VU12" s="21">
        <f t="shared" si="154"/>
        <v>12251276.824000059</v>
      </c>
      <c r="VV12" s="21">
        <f t="shared" si="154"/>
        <v>13445696.34400038</v>
      </c>
      <c r="VW12" s="21">
        <f t="shared" si="154"/>
        <v>14153978.364000019</v>
      </c>
      <c r="VX12" s="21">
        <f t="shared" si="154"/>
        <v>13161156.291999735</v>
      </c>
      <c r="VY12" s="21">
        <f t="shared" si="154"/>
        <v>14338274.566999469</v>
      </c>
      <c r="VZ12" s="21">
        <f t="shared" si="154"/>
        <v>12975634.429000609</v>
      </c>
      <c r="WA12" s="127">
        <f>SUM(UY12:VZ12)</f>
        <v>388030989.09699947</v>
      </c>
      <c r="WB12" s="21">
        <f t="shared" ref="WB12:XF12" si="155">WB9+WB6</f>
        <v>14954139.71900041</v>
      </c>
      <c r="WC12" s="21">
        <f t="shared" si="155"/>
        <v>11074632.187000316</v>
      </c>
      <c r="WD12" s="21">
        <f t="shared" si="155"/>
        <v>14764793.479999036</v>
      </c>
      <c r="WE12" s="21">
        <f t="shared" si="155"/>
        <v>12608087.608001281</v>
      </c>
      <c r="WF12" s="21">
        <f t="shared" si="155"/>
        <v>11166757.628999548</v>
      </c>
      <c r="WG12" s="21">
        <f t="shared" si="155"/>
        <v>7953236.202000252</v>
      </c>
      <c r="WH12" s="21">
        <f t="shared" si="155"/>
        <v>12771836.974998835</v>
      </c>
      <c r="WI12" s="21">
        <f t="shared" si="155"/>
        <v>14563596.754000382</v>
      </c>
      <c r="WJ12" s="21">
        <f t="shared" si="155"/>
        <v>12811931.237000167</v>
      </c>
      <c r="WK12" s="21">
        <f t="shared" si="155"/>
        <v>14307988.157000288</v>
      </c>
      <c r="WL12" s="21">
        <f t="shared" si="155"/>
        <v>15073954.363001131</v>
      </c>
      <c r="WM12" s="21">
        <f t="shared" si="155"/>
        <v>11337853.361999802</v>
      </c>
      <c r="WN12" s="21">
        <f t="shared" si="155"/>
        <v>11520220.808999829</v>
      </c>
      <c r="WO12" s="21">
        <f t="shared" si="155"/>
        <v>13001646.053998571</v>
      </c>
      <c r="WP12" s="21">
        <f t="shared" si="155"/>
        <v>15623166.701999916</v>
      </c>
      <c r="WQ12" s="21">
        <f t="shared" si="155"/>
        <v>10274931.054999754</v>
      </c>
      <c r="WR12" s="21">
        <f t="shared" si="155"/>
        <v>12592979.240000326</v>
      </c>
      <c r="WS12" s="21">
        <f t="shared" si="155"/>
        <v>10920726.294999642</v>
      </c>
      <c r="WT12" s="21">
        <f t="shared" si="155"/>
        <v>13331719.466001149</v>
      </c>
      <c r="WU12" s="21">
        <f t="shared" si="155"/>
        <v>11719289.386999769</v>
      </c>
      <c r="WV12" s="21">
        <f t="shared" si="155"/>
        <v>14373608.854999669</v>
      </c>
      <c r="WW12" s="21">
        <f t="shared" si="155"/>
        <v>13691113.975000136</v>
      </c>
      <c r="WX12" s="21">
        <f t="shared" si="155"/>
        <v>12695009.585999943</v>
      </c>
      <c r="WY12" s="21">
        <f t="shared" si="155"/>
        <v>14611726.716000389</v>
      </c>
      <c r="WZ12" s="21">
        <f t="shared" si="155"/>
        <v>12681825.573000208</v>
      </c>
      <c r="XA12" s="21">
        <f t="shared" si="155"/>
        <v>10973798.732000148</v>
      </c>
      <c r="XB12" s="21">
        <f t="shared" si="155"/>
        <v>14296123.533000164</v>
      </c>
      <c r="XC12" s="21">
        <f t="shared" si="155"/>
        <v>14501965.835998924</v>
      </c>
      <c r="XD12" s="21">
        <f t="shared" si="155"/>
        <v>16311140.961000234</v>
      </c>
      <c r="XE12" s="21">
        <f t="shared" si="155"/>
        <v>12323209.812001061</v>
      </c>
      <c r="XF12" s="21">
        <f t="shared" si="155"/>
        <v>13122558.284999499</v>
      </c>
      <c r="XG12" s="127">
        <f t="shared" ref="XG12:XG20" si="156">SUM(WB12:XF12)</f>
        <v>401955568.54500073</v>
      </c>
      <c r="XH12" s="21">
        <f t="shared" ref="XH12:YK12" si="157">XH9+XH6</f>
        <v>11901838.358999122</v>
      </c>
      <c r="XI12" s="21">
        <f t="shared" si="157"/>
        <v>11921657.396999881</v>
      </c>
      <c r="XJ12" s="21">
        <f t="shared" si="157"/>
        <v>12510035.565000206</v>
      </c>
      <c r="XK12" s="21">
        <f t="shared" si="157"/>
        <v>12922322.180000227</v>
      </c>
      <c r="XL12" s="21">
        <f t="shared" si="157"/>
        <v>14110883.840000678</v>
      </c>
      <c r="XM12" s="21">
        <f t="shared" si="157"/>
        <v>12507143.615000047</v>
      </c>
      <c r="XN12" s="21">
        <f t="shared" si="157"/>
        <v>14454532.719998688</v>
      </c>
      <c r="XO12" s="21">
        <f t="shared" si="157"/>
        <v>12928362.519999862</v>
      </c>
      <c r="XP12" s="21">
        <f t="shared" si="157"/>
        <v>11404583.235000964</v>
      </c>
      <c r="XQ12" s="21">
        <f t="shared" si="157"/>
        <v>13138260.579999888</v>
      </c>
      <c r="XR12" s="21">
        <f t="shared" si="157"/>
        <v>13332949.929999806</v>
      </c>
      <c r="XS12" s="21">
        <f t="shared" si="157"/>
        <v>13937852.20000086</v>
      </c>
      <c r="XT12" s="21">
        <f t="shared" si="157"/>
        <v>11593705.984998953</v>
      </c>
      <c r="XU12" s="21">
        <f t="shared" si="157"/>
        <v>11929498.66500031</v>
      </c>
      <c r="XV12" s="21">
        <f t="shared" si="157"/>
        <v>13182704.710000662</v>
      </c>
      <c r="XW12" s="21">
        <f t="shared" si="157"/>
        <v>14191058.304998202</v>
      </c>
      <c r="XX12" s="21">
        <f t="shared" si="157"/>
        <v>13564416.000001157</v>
      </c>
      <c r="XY12" s="21">
        <f t="shared" si="157"/>
        <v>12166464.449999696</v>
      </c>
      <c r="XZ12" s="21">
        <f t="shared" si="157"/>
        <v>13897133.699999619</v>
      </c>
      <c r="YA12" s="21">
        <f t="shared" si="157"/>
        <v>10030195.950000484</v>
      </c>
      <c r="YB12" s="21">
        <f t="shared" si="157"/>
        <v>11789100.44999982</v>
      </c>
      <c r="YC12" s="21">
        <f t="shared" si="157"/>
        <v>12703635.750000432</v>
      </c>
      <c r="YD12" s="21">
        <f t="shared" si="157"/>
        <v>12719947.800000895</v>
      </c>
      <c r="YE12" s="21">
        <f t="shared" si="157"/>
        <v>13220460.599999055</v>
      </c>
      <c r="YF12" s="21">
        <f t="shared" si="157"/>
        <v>13816125.899999872</v>
      </c>
      <c r="YG12" s="21">
        <f t="shared" si="157"/>
        <v>13485755.399999654</v>
      </c>
      <c r="YH12" s="21">
        <f t="shared" si="157"/>
        <v>12445072.500000985</v>
      </c>
      <c r="YI12" s="21">
        <f t="shared" si="157"/>
        <v>11818077.149998616</v>
      </c>
      <c r="YJ12" s="21">
        <f t="shared" si="157"/>
        <v>11471760.300000001</v>
      </c>
      <c r="YK12" s="21">
        <f t="shared" si="157"/>
        <v>11524168.950001096</v>
      </c>
      <c r="YL12" s="127">
        <f t="shared" ref="YL12:YL20" si="158">SUM(XH12:YK12)</f>
        <v>380619704.70599979</v>
      </c>
      <c r="YM12" s="21">
        <f t="shared" ref="YM12:ZQ12" si="159">YM9+YM6</f>
        <v>13797430.949999304</v>
      </c>
      <c r="YN12" s="21">
        <f t="shared" si="159"/>
        <v>16719685.049999878</v>
      </c>
      <c r="YO12" s="21">
        <f t="shared" si="159"/>
        <v>13702810.500000328</v>
      </c>
      <c r="YP12" s="21">
        <f t="shared" si="159"/>
        <v>13813094.550000312</v>
      </c>
      <c r="YQ12" s="21">
        <f t="shared" si="159"/>
        <v>15687304.199998982</v>
      </c>
      <c r="YR12" s="21">
        <f t="shared" si="159"/>
        <v>14030485.500000291</v>
      </c>
      <c r="YS12" s="21">
        <f t="shared" si="159"/>
        <v>11648366.250001417</v>
      </c>
      <c r="YT12" s="21">
        <f t="shared" si="159"/>
        <v>2127463.350000001</v>
      </c>
      <c r="YU12" s="21">
        <f t="shared" si="159"/>
        <v>11135412.599999215</v>
      </c>
      <c r="YV12" s="21">
        <f t="shared" si="159"/>
        <v>13713711.15000046</v>
      </c>
      <c r="YW12" s="21">
        <f t="shared" si="159"/>
        <v>10852694.699999679</v>
      </c>
      <c r="YX12" s="21">
        <f t="shared" si="159"/>
        <v>12127508.550000057</v>
      </c>
      <c r="YY12" s="21">
        <f t="shared" si="159"/>
        <v>11920638.300000113</v>
      </c>
      <c r="YZ12" s="21">
        <f t="shared" si="159"/>
        <v>12641285.100000139</v>
      </c>
      <c r="ZA12" s="21">
        <f t="shared" si="159"/>
        <v>12089325.299999036</v>
      </c>
      <c r="ZB12" s="21">
        <f t="shared" si="159"/>
        <v>12177232.650000539</v>
      </c>
      <c r="ZC12" s="21">
        <f t="shared" si="159"/>
        <v>14891381.70000026</v>
      </c>
      <c r="ZD12" s="21">
        <f t="shared" si="159"/>
        <v>12315183.89999989</v>
      </c>
      <c r="ZE12" s="21">
        <f t="shared" si="159"/>
        <v>14622342.900000397</v>
      </c>
      <c r="ZF12" s="21">
        <f t="shared" si="159"/>
        <v>12470792.999999546</v>
      </c>
      <c r="ZG12" s="21">
        <f t="shared" si="159"/>
        <v>14524775.399999246</v>
      </c>
      <c r="ZH12" s="21">
        <f t="shared" si="159"/>
        <v>14259505.650000207</v>
      </c>
      <c r="ZI12" s="21">
        <f t="shared" si="159"/>
        <v>15293662.200000644</v>
      </c>
      <c r="ZJ12" s="21">
        <f t="shared" si="159"/>
        <v>18448185.899999492</v>
      </c>
      <c r="ZK12" s="21">
        <f t="shared" si="159"/>
        <v>14216388.44999942</v>
      </c>
      <c r="ZL12" s="21">
        <f t="shared" si="159"/>
        <v>15883879.650000665</v>
      </c>
      <c r="ZM12" s="21">
        <f t="shared" si="159"/>
        <v>13818678.000000371</v>
      </c>
      <c r="ZN12" s="21">
        <f t="shared" si="159"/>
        <v>14923753.349999785</v>
      </c>
      <c r="ZO12" s="21">
        <f t="shared" si="159"/>
        <v>13587440.520000437</v>
      </c>
      <c r="ZP12" s="21">
        <f t="shared" si="159"/>
        <v>15305276.720000181</v>
      </c>
      <c r="ZQ12" s="21">
        <f t="shared" si="159"/>
        <v>14788979.150000108</v>
      </c>
      <c r="ZR12" s="127">
        <f t="shared" si="113"/>
        <v>417534675.19000047</v>
      </c>
      <c r="ZS12" s="21">
        <f t="shared" ref="ZS12:AAV12" si="160">ZS9+ZS6</f>
        <v>15195273.85999991</v>
      </c>
      <c r="ZT12" s="21">
        <f t="shared" si="160"/>
        <v>13939388.749998882</v>
      </c>
      <c r="ZU12" s="21">
        <f t="shared" si="160"/>
        <v>14196117.850000422</v>
      </c>
      <c r="ZV12" s="21">
        <f t="shared" si="160"/>
        <v>13456711.719999917</v>
      </c>
      <c r="ZW12" s="21">
        <f t="shared" si="160"/>
        <v>15870506.640000658</v>
      </c>
      <c r="ZX12" s="21">
        <f t="shared" si="160"/>
        <v>14372012.349999039</v>
      </c>
      <c r="ZY12" s="21">
        <f t="shared" si="160"/>
        <v>15222951.780000066</v>
      </c>
      <c r="ZZ12" s="21">
        <f t="shared" si="160"/>
        <v>14242923.52000168</v>
      </c>
      <c r="AAA12" s="21">
        <f t="shared" si="160"/>
        <v>12404059.609998439</v>
      </c>
      <c r="AAB12" s="21">
        <f t="shared" si="160"/>
        <v>18450520.78000053</v>
      </c>
      <c r="AAC12" s="21">
        <f t="shared" si="160"/>
        <v>14854510.579999764</v>
      </c>
      <c r="AAD12" s="21">
        <f t="shared" si="160"/>
        <v>13015571.450000735</v>
      </c>
      <c r="AAE12" s="21">
        <f t="shared" si="160"/>
        <v>16276594.579998545</v>
      </c>
      <c r="AAF12" s="21">
        <f t="shared" si="160"/>
        <v>16518286.160001427</v>
      </c>
      <c r="AAG12" s="21">
        <f t="shared" si="160"/>
        <v>14740875.189999271</v>
      </c>
      <c r="AAH12" s="21">
        <f t="shared" si="160"/>
        <v>14204942.760000754</v>
      </c>
      <c r="AAI12" s="21">
        <f t="shared" si="160"/>
        <v>13462506.399998711</v>
      </c>
      <c r="AAJ12" s="21">
        <f t="shared" si="160"/>
        <v>16305383.570001278</v>
      </c>
      <c r="AAK12" s="21">
        <f t="shared" si="160"/>
        <v>14782828.329998517</v>
      </c>
      <c r="AAL12" s="21">
        <f t="shared" si="160"/>
        <v>14568356.210001245</v>
      </c>
      <c r="AAM12" s="21">
        <f t="shared" si="160"/>
        <v>16737958.280000158</v>
      </c>
      <c r="AAN12" s="21">
        <f t="shared" si="160"/>
        <v>11708896.449999643</v>
      </c>
      <c r="AAO12" s="21">
        <f t="shared" si="160"/>
        <v>15224116.719998568</v>
      </c>
      <c r="AAP12" s="21">
        <f t="shared" si="160"/>
        <v>12790857.830000561</v>
      </c>
      <c r="AAQ12" s="21">
        <f t="shared" si="160"/>
        <v>13670997.019999355</v>
      </c>
      <c r="AAR12" s="21">
        <f t="shared" si="160"/>
        <v>13764728.960001262</v>
      </c>
      <c r="AAS12" s="21">
        <f t="shared" si="160"/>
        <v>14772811.529999912</v>
      </c>
      <c r="AAT12" s="21">
        <f t="shared" si="160"/>
        <v>16150247.670000359</v>
      </c>
      <c r="AAU12" s="21">
        <f t="shared" si="160"/>
        <v>12610049.060001304</v>
      </c>
      <c r="AAV12" s="21">
        <f t="shared" si="160"/>
        <v>12963996.049998879</v>
      </c>
      <c r="AAW12" s="127">
        <f t="shared" si="115"/>
        <v>436474981.65999985</v>
      </c>
      <c r="AAX12" s="21">
        <f t="shared" ref="AAX12:ACB12" si="161">AAX9+AAX6</f>
        <v>15069931.360000456</v>
      </c>
      <c r="AAY12" s="21">
        <f t="shared" si="161"/>
        <v>12614282.869999759</v>
      </c>
      <c r="AAZ12" s="21">
        <f t="shared" si="161"/>
        <v>13893265.409999501</v>
      </c>
      <c r="ABA12" s="21">
        <f t="shared" si="161"/>
        <v>14524842.499999812</v>
      </c>
      <c r="ABB12" s="21">
        <f t="shared" si="161"/>
        <v>17775212.630000535</v>
      </c>
      <c r="ABC12" s="21">
        <f t="shared" si="161"/>
        <v>14618469.39999989</v>
      </c>
      <c r="ABD12" s="21">
        <f t="shared" si="161"/>
        <v>13950430.649999775</v>
      </c>
      <c r="ABE12" s="21">
        <f t="shared" si="161"/>
        <v>15269066.800000221</v>
      </c>
      <c r="ABF12" s="21">
        <f t="shared" si="161"/>
        <v>13053090.189999133</v>
      </c>
      <c r="ABG12" s="21">
        <f t="shared" si="161"/>
        <v>14929479.780001501</v>
      </c>
      <c r="ABH12" s="21">
        <f t="shared" si="161"/>
        <v>15100585.769998349</v>
      </c>
      <c r="ABI12" s="21">
        <f t="shared" si="161"/>
        <v>10082965.359999467</v>
      </c>
      <c r="ABJ12" s="21">
        <f t="shared" si="161"/>
        <v>14571655.350001033</v>
      </c>
      <c r="ABK12" s="21">
        <f t="shared" si="161"/>
        <v>14362114.799999747</v>
      </c>
      <c r="ABL12" s="21">
        <f t="shared" si="161"/>
        <v>13998970.88000077</v>
      </c>
      <c r="ABM12" s="21">
        <f t="shared" si="161"/>
        <v>13741184.069998855</v>
      </c>
      <c r="ABN12" s="21">
        <f t="shared" si="161"/>
        <v>14237757.730000859</v>
      </c>
      <c r="ABO12" s="21">
        <f t="shared" si="161"/>
        <v>16603435.550000113</v>
      </c>
      <c r="ABP12" s="21">
        <f t="shared" si="161"/>
        <v>15138310.460000206</v>
      </c>
      <c r="ABQ12" s="21">
        <f t="shared" si="161"/>
        <v>13960029.329999436</v>
      </c>
      <c r="ABR12" s="21">
        <f t="shared" si="161"/>
        <v>12462136.160000838</v>
      </c>
      <c r="ABS12" s="21">
        <f t="shared" si="161"/>
        <v>12598547.819998642</v>
      </c>
      <c r="ABT12" s="21">
        <f t="shared" si="161"/>
        <v>14690659.470000576</v>
      </c>
      <c r="ABU12" s="21">
        <f t="shared" si="161"/>
        <v>14058364.670000618</v>
      </c>
      <c r="ABV12" s="21">
        <f t="shared" si="161"/>
        <v>16818674.409998983</v>
      </c>
      <c r="ABW12" s="21">
        <f t="shared" si="161"/>
        <v>15089820.240001164</v>
      </c>
      <c r="ABX12" s="21">
        <f t="shared" si="161"/>
        <v>13175121.979999103</v>
      </c>
      <c r="ABY12" s="21">
        <f t="shared" si="161"/>
        <v>16424402.849999672</v>
      </c>
      <c r="ABZ12" s="21">
        <f t="shared" si="161"/>
        <v>13713876.800000211</v>
      </c>
      <c r="ACA12" s="21">
        <f t="shared" si="161"/>
        <v>12649482.080000646</v>
      </c>
      <c r="ACB12" s="21">
        <f t="shared" si="161"/>
        <v>13806772.629999988</v>
      </c>
      <c r="ACC12" s="127">
        <f t="shared" si="117"/>
        <v>442982939.99999976</v>
      </c>
      <c r="ACD12" s="21">
        <f t="shared" ref="ACD12:ADH12" si="162">ACD9+ACD6</f>
        <v>15125960.379999772</v>
      </c>
      <c r="ACE12" s="21">
        <f t="shared" si="162"/>
        <v>17854359.200000457</v>
      </c>
      <c r="ACF12" s="21">
        <f t="shared" si="162"/>
        <v>15275931.409999426</v>
      </c>
      <c r="ACG12" s="21">
        <f t="shared" si="162"/>
        <v>15258753.640000233</v>
      </c>
      <c r="ACH12" s="21">
        <f t="shared" si="162"/>
        <v>15759919.609999951</v>
      </c>
      <c r="ACI12" s="21">
        <f t="shared" si="162"/>
        <v>12909117.100000609</v>
      </c>
      <c r="ACJ12" s="21">
        <f t="shared" si="162"/>
        <v>14131353.219000163</v>
      </c>
      <c r="ACK12" s="21">
        <f t="shared" si="162"/>
        <v>15531529.550998678</v>
      </c>
      <c r="ACL12" s="21">
        <f t="shared" si="162"/>
        <v>13939362.573000493</v>
      </c>
      <c r="ACM12" s="21">
        <f t="shared" si="162"/>
        <v>11947960.076999258</v>
      </c>
      <c r="ACN12" s="21">
        <f t="shared" si="162"/>
        <v>16212032.673001178</v>
      </c>
      <c r="ACO12" s="21">
        <f t="shared" si="162"/>
        <v>12430354.796999054</v>
      </c>
      <c r="ACP12" s="21">
        <f t="shared" si="162"/>
        <v>11987024.751000889</v>
      </c>
      <c r="ACQ12" s="21">
        <f t="shared" si="162"/>
        <v>15091127.387999482</v>
      </c>
      <c r="ACR12" s="21">
        <f t="shared" si="162"/>
        <v>14988195.431999637</v>
      </c>
      <c r="ACS12" s="21">
        <f t="shared" si="162"/>
        <v>13543120.769999899</v>
      </c>
      <c r="ACT12" s="21">
        <f t="shared" si="162"/>
        <v>13346190.279001463</v>
      </c>
      <c r="ACU12" s="21">
        <f t="shared" si="162"/>
        <v>14895174.782999285</v>
      </c>
      <c r="ACV12" s="21">
        <f t="shared" si="162"/>
        <v>11685724.211999875</v>
      </c>
      <c r="ACW12" s="21">
        <f t="shared" si="162"/>
        <v>11825790.693000145</v>
      </c>
      <c r="ACX12" s="21">
        <f t="shared" si="162"/>
        <v>12759680.996999061</v>
      </c>
      <c r="ACY12" s="21">
        <f t="shared" si="162"/>
        <v>14503015.098000428</v>
      </c>
      <c r="ACZ12" s="21">
        <f t="shared" si="162"/>
        <v>13759860.012000058</v>
      </c>
      <c r="ADA12" s="21">
        <f t="shared" si="162"/>
        <v>12487825.761000816</v>
      </c>
      <c r="ADB12" s="21">
        <f t="shared" si="162"/>
        <v>11783150.958000243</v>
      </c>
      <c r="ADC12" s="21">
        <f t="shared" si="162"/>
        <v>12297987.494999273</v>
      </c>
      <c r="ADD12" s="21">
        <f t="shared" si="162"/>
        <v>13241171.141999768</v>
      </c>
      <c r="ADE12" s="21">
        <f t="shared" si="162"/>
        <v>11539390.785000898</v>
      </c>
      <c r="ADF12" s="21">
        <f t="shared" si="162"/>
        <v>14025171.977999523</v>
      </c>
      <c r="ADG12" s="21">
        <f t="shared" si="162"/>
        <v>14005261.905000241</v>
      </c>
      <c r="ADH12" s="21">
        <f t="shared" si="162"/>
        <v>12206143.442999659</v>
      </c>
      <c r="ADI12" s="127">
        <f t="shared" si="119"/>
        <v>426347642.11199993</v>
      </c>
      <c r="ADJ12" s="21">
        <f t="shared" ref="ADJ12:AEM12" si="163">ADJ9+ADJ6</f>
        <v>12397906.925999835</v>
      </c>
      <c r="ADK12" s="21">
        <f t="shared" si="163"/>
        <v>12220324.157999996</v>
      </c>
      <c r="ADL12" s="21">
        <f t="shared" si="163"/>
        <v>12383189.214000368</v>
      </c>
      <c r="ADM12" s="21">
        <f t="shared" si="163"/>
        <v>13846338.914999824</v>
      </c>
      <c r="ADN12" s="21">
        <f t="shared" si="163"/>
        <v>13922624.069999516</v>
      </c>
      <c r="ADO12" s="21">
        <f t="shared" si="163"/>
        <v>15004903.167001167</v>
      </c>
      <c r="ADP12" s="21">
        <f t="shared" si="163"/>
        <v>12694532.141999774</v>
      </c>
      <c r="ADQ12" s="21">
        <f t="shared" si="163"/>
        <v>11991423.494999314</v>
      </c>
      <c r="ADR12" s="21">
        <f t="shared" si="163"/>
        <v>12662953.908000067</v>
      </c>
      <c r="ADS12" s="21">
        <f t="shared" si="163"/>
        <v>11187872.559000049</v>
      </c>
      <c r="ADT12" s="21">
        <f t="shared" si="163"/>
        <v>12819525.240000086</v>
      </c>
      <c r="ADU12" s="21">
        <f t="shared" si="163"/>
        <v>13376097.645000987</v>
      </c>
      <c r="ADV12" s="21">
        <f t="shared" si="163"/>
        <v>14956536.989998769</v>
      </c>
      <c r="ADW12" s="21">
        <f t="shared" si="163"/>
        <v>11073011.846999876</v>
      </c>
      <c r="ADX12" s="21">
        <f t="shared" si="163"/>
        <v>14361671.321999457</v>
      </c>
      <c r="ADY12" s="21">
        <f t="shared" si="163"/>
        <v>12172926.183001218</v>
      </c>
      <c r="ADZ12" s="21">
        <f t="shared" si="163"/>
        <v>10531038.236999817</v>
      </c>
      <c r="AEA12" s="21">
        <f t="shared" si="163"/>
        <v>12562761.221999042</v>
      </c>
      <c r="AEB12" s="21">
        <f t="shared" si="163"/>
        <v>11133859.035001192</v>
      </c>
      <c r="AEC12" s="21">
        <f t="shared" si="163"/>
        <v>12494004.665998895</v>
      </c>
      <c r="AED12" s="21">
        <f t="shared" si="163"/>
        <v>11713343.841000997</v>
      </c>
      <c r="AEE12" s="21">
        <f t="shared" si="163"/>
        <v>12935542.3279998</v>
      </c>
      <c r="AEF12" s="21">
        <f t="shared" si="163"/>
        <v>12123317.10899948</v>
      </c>
      <c r="AEG12" s="21">
        <f t="shared" si="163"/>
        <v>10648955.700000226</v>
      </c>
      <c r="AEH12" s="21">
        <f t="shared" si="163"/>
        <v>11026588.387000615</v>
      </c>
      <c r="AEI12" s="21">
        <f t="shared" si="163"/>
        <v>13820227.771999748</v>
      </c>
      <c r="AEJ12" s="21">
        <f t="shared" si="163"/>
        <v>13141392.309999701</v>
      </c>
      <c r="AEK12" s="21">
        <f t="shared" si="163"/>
        <v>10813284.951000299</v>
      </c>
      <c r="AEL12" s="21">
        <f t="shared" si="163"/>
        <v>12695091.636000052</v>
      </c>
      <c r="AEM12" s="21">
        <f t="shared" si="163"/>
        <v>12515314.106999209</v>
      </c>
      <c r="AEN12" s="127">
        <f t="shared" si="121"/>
        <v>375226559.08199942</v>
      </c>
      <c r="AEO12" s="21">
        <f t="shared" ref="AEO12:AFS12" si="164">AEO9+AEO6</f>
        <v>10726861.920000728</v>
      </c>
      <c r="AEP12" s="21">
        <f t="shared" si="164"/>
        <v>11477960.069999155</v>
      </c>
      <c r="AEQ12" s="21">
        <f t="shared" si="164"/>
        <v>12007926.095000006</v>
      </c>
      <c r="AER12" s="21">
        <f t="shared" si="164"/>
        <v>13003839.203000464</v>
      </c>
      <c r="AES12" s="21">
        <f t="shared" si="164"/>
        <v>11675088.808999982</v>
      </c>
      <c r="AET12" s="21">
        <f t="shared" si="164"/>
        <v>13149509.683000073</v>
      </c>
      <c r="AEU12" s="21">
        <f t="shared" si="164"/>
        <v>11135876.731000617</v>
      </c>
      <c r="AEV12" s="21">
        <f t="shared" si="164"/>
        <v>12365721.268000029</v>
      </c>
      <c r="AEW12" s="21">
        <f t="shared" si="164"/>
        <v>13192273.10099948</v>
      </c>
      <c r="AEX12" s="21">
        <f t="shared" si="164"/>
        <v>14146793.768000081</v>
      </c>
      <c r="AEY12" s="21">
        <f t="shared" si="164"/>
        <v>12329608.966999831</v>
      </c>
      <c r="AEZ12" s="21">
        <f t="shared" si="164"/>
        <v>10485451.321000058</v>
      </c>
      <c r="AFA12" s="21">
        <f t="shared" si="164"/>
        <v>11961925.151000097</v>
      </c>
      <c r="AFB12" s="21">
        <f t="shared" si="164"/>
        <v>11213710.217999615</v>
      </c>
      <c r="AFC12" s="21">
        <f t="shared" si="164"/>
        <v>12623688.207000701</v>
      </c>
      <c r="AFD12" s="21">
        <f t="shared" si="164"/>
        <v>12384631.121000038</v>
      </c>
      <c r="AFE12" s="21">
        <f t="shared" si="164"/>
        <v>12035509.633999806</v>
      </c>
      <c r="AFF12" s="21">
        <f t="shared" si="164"/>
        <v>13255229.049999928</v>
      </c>
      <c r="AFG12" s="21">
        <f t="shared" si="164"/>
        <v>12364953.838000694</v>
      </c>
      <c r="AFH12" s="21">
        <f t="shared" si="164"/>
        <v>12230120.719999347</v>
      </c>
      <c r="AFI12" s="21">
        <f t="shared" si="164"/>
        <v>12193295.131000238</v>
      </c>
      <c r="AFJ12" s="21">
        <f t="shared" si="164"/>
        <v>10637874.915998712</v>
      </c>
      <c r="AFK12" s="21">
        <f t="shared" si="164"/>
        <v>11025345.427001096</v>
      </c>
      <c r="AFL12" s="21">
        <f t="shared" si="164"/>
        <v>11911431.998999812</v>
      </c>
      <c r="AFM12" s="21">
        <f t="shared" si="164"/>
        <v>14921499.053999882</v>
      </c>
      <c r="AFN12" s="21">
        <f t="shared" si="164"/>
        <v>11975988.572999373</v>
      </c>
      <c r="AFO12" s="21">
        <f t="shared" si="164"/>
        <v>11759505.932999745</v>
      </c>
      <c r="AFP12" s="21">
        <f t="shared" si="164"/>
        <v>11615542.862001397</v>
      </c>
      <c r="AFQ12" s="21">
        <f t="shared" si="164"/>
        <v>9787609.7469986379</v>
      </c>
      <c r="AFR12" s="21">
        <f t="shared" si="164"/>
        <v>12240486.994000969</v>
      </c>
      <c r="AFS12" s="21">
        <f t="shared" si="164"/>
        <v>12194604.190000281</v>
      </c>
      <c r="AFT12" s="127">
        <f t="shared" si="123"/>
        <v>374029863.70100099</v>
      </c>
      <c r="AFU12" s="21">
        <f t="shared" ref="AFU12:AGX12" si="165">AFU9+AFU6</f>
        <v>12739373.236999163</v>
      </c>
      <c r="AFV12" s="21">
        <f t="shared" si="165"/>
        <v>12274870.417000864</v>
      </c>
      <c r="AFW12" s="21">
        <f t="shared" si="165"/>
        <v>12043237.85200016</v>
      </c>
      <c r="AFX12" s="21">
        <f t="shared" si="165"/>
        <v>11404510.314999076</v>
      </c>
      <c r="AFY12" s="21">
        <f t="shared" si="165"/>
        <v>12711844.337999364</v>
      </c>
      <c r="AFZ12" s="21">
        <f t="shared" si="165"/>
        <v>11514477.157001618</v>
      </c>
      <c r="AGA12" s="21">
        <f t="shared" si="165"/>
        <v>12867397.18999913</v>
      </c>
      <c r="AGB12" s="21">
        <f t="shared" si="165"/>
        <v>10447278.138000561</v>
      </c>
      <c r="AGC12" s="21">
        <f t="shared" si="165"/>
        <v>12691579.294999091</v>
      </c>
      <c r="AGD12" s="21">
        <f t="shared" si="165"/>
        <v>12488970.35900083</v>
      </c>
      <c r="AGE12" s="21">
        <f t="shared" si="165"/>
        <v>11982698.936000349</v>
      </c>
      <c r="AGF12" s="21">
        <f t="shared" si="165"/>
        <v>10469154.770999338</v>
      </c>
      <c r="AGG12" s="21">
        <f t="shared" si="165"/>
        <v>11190501.06099923</v>
      </c>
      <c r="AGH12" s="21">
        <f t="shared" si="165"/>
        <v>11741281.618001288</v>
      </c>
      <c r="AGI12" s="21">
        <f t="shared" si="165"/>
        <v>10920835.492999293</v>
      </c>
      <c r="AGJ12" s="21">
        <f t="shared" si="165"/>
        <v>11570394.151000183</v>
      </c>
      <c r="AGK12" s="21">
        <f t="shared" si="165"/>
        <v>12184588.123001024</v>
      </c>
      <c r="AGL12" s="21">
        <f t="shared" si="165"/>
        <v>12171028.96599929</v>
      </c>
      <c r="AGM12" s="21">
        <f t="shared" si="165"/>
        <v>11465130.435999418</v>
      </c>
      <c r="AGN12" s="21">
        <f t="shared" si="165"/>
        <v>13157814.823999535</v>
      </c>
      <c r="AGO12" s="21">
        <f t="shared" si="165"/>
        <v>13680455.822000902</v>
      </c>
      <c r="AGP12" s="21">
        <f t="shared" si="165"/>
        <v>15431118.252998877</v>
      </c>
      <c r="AGQ12" s="21">
        <f t="shared" si="165"/>
        <v>12172761.105001207</v>
      </c>
      <c r="AGR12" s="21">
        <f t="shared" si="165"/>
        <v>11416972.861000456</v>
      </c>
      <c r="AGS12" s="21">
        <f t="shared" si="165"/>
        <v>12647525.998998623</v>
      </c>
      <c r="AGT12" s="21">
        <f t="shared" si="165"/>
        <v>12338359.259000488</v>
      </c>
      <c r="AGU12" s="21">
        <f t="shared" si="165"/>
        <v>12628116.765000574</v>
      </c>
      <c r="AGV12" s="21">
        <f t="shared" si="165"/>
        <v>15519247.80900025</v>
      </c>
      <c r="AGW12" s="21">
        <f t="shared" si="165"/>
        <v>15198231.712998703</v>
      </c>
      <c r="AGX12" s="21">
        <f t="shared" si="165"/>
        <v>12195980.916000716</v>
      </c>
      <c r="AGY12" s="127">
        <f t="shared" si="125"/>
        <v>371265737.17899966</v>
      </c>
      <c r="AGZ12" s="21">
        <f t="shared" ref="AGZ12:AID12" si="166">AGZ9+AGZ6</f>
        <v>13200722.628999244</v>
      </c>
      <c r="AHA12" s="21">
        <f t="shared" si="166"/>
        <v>12841164.990999691</v>
      </c>
      <c r="AHB12" s="21">
        <f t="shared" si="166"/>
        <v>12631673.96600135</v>
      </c>
      <c r="AHC12" s="21">
        <f t="shared" si="166"/>
        <v>13719152.576999301</v>
      </c>
      <c r="AHD12" s="21">
        <f t="shared" si="166"/>
        <v>17144472.967000902</v>
      </c>
      <c r="AHE12" s="21">
        <f t="shared" si="166"/>
        <v>13056987.336999625</v>
      </c>
      <c r="AHF12" s="21">
        <f t="shared" si="166"/>
        <v>12582859.990000257</v>
      </c>
      <c r="AHG12" s="21">
        <f t="shared" si="166"/>
        <v>13032608.987998713</v>
      </c>
      <c r="AHH12" s="21">
        <f t="shared" si="166"/>
        <v>12680347.521000557</v>
      </c>
      <c r="AHI12" s="21">
        <f t="shared" si="166"/>
        <v>12758119.21500041</v>
      </c>
      <c r="AHJ12" s="21">
        <f t="shared" si="166"/>
        <v>12456214.991999429</v>
      </c>
      <c r="AHK12" s="21">
        <f t="shared" si="166"/>
        <v>14932355.626999965</v>
      </c>
      <c r="AHL12" s="21">
        <f t="shared" si="166"/>
        <v>14369695.218999954</v>
      </c>
      <c r="AHM12" s="21">
        <f t="shared" si="166"/>
        <v>11520077.393001344</v>
      </c>
      <c r="AHN12" s="21">
        <f t="shared" si="166"/>
        <v>13474283.446999298</v>
      </c>
      <c r="AHO12" s="21">
        <f t="shared" si="166"/>
        <v>12457769.256999789</v>
      </c>
      <c r="AHP12" s="21">
        <f t="shared" si="166"/>
        <v>11609237.09900064</v>
      </c>
      <c r="AHQ12" s="21">
        <f t="shared" si="166"/>
        <v>14570191.898000039</v>
      </c>
      <c r="AHR12" s="21">
        <f t="shared" si="166"/>
        <v>14509751.975999493</v>
      </c>
      <c r="AHS12" s="21">
        <f t="shared" si="166"/>
        <v>13107281.193999909</v>
      </c>
      <c r="AHT12" s="21">
        <f t="shared" si="166"/>
        <v>14086892.08400109</v>
      </c>
      <c r="AHU12" s="21">
        <f t="shared" si="166"/>
        <v>14973920.284998767</v>
      </c>
      <c r="AHV12" s="21">
        <f t="shared" si="166"/>
        <v>16572444.915000327</v>
      </c>
      <c r="AHW12" s="21">
        <f t="shared" si="166"/>
        <v>15515072.976000559</v>
      </c>
      <c r="AHX12" s="21">
        <f t="shared" si="166"/>
        <v>11224226.052000044</v>
      </c>
      <c r="AHY12" s="21">
        <f t="shared" si="166"/>
        <v>11062698.71100039</v>
      </c>
      <c r="AHZ12" s="21">
        <f t="shared" si="166"/>
        <v>10521631.048998419</v>
      </c>
      <c r="AIA12" s="21">
        <f t="shared" si="166"/>
        <v>9109453.2930010017</v>
      </c>
      <c r="AIB12" s="21">
        <f t="shared" si="166"/>
        <v>10400990.076999243</v>
      </c>
      <c r="AIC12" s="21">
        <f t="shared" si="166"/>
        <v>11752477.347999755</v>
      </c>
      <c r="AID12" s="21">
        <f t="shared" si="166"/>
        <v>14261554.579000564</v>
      </c>
      <c r="AIE12" s="127">
        <f>SUM(AGZ12:AID12)</f>
        <v>406136329.65200007</v>
      </c>
      <c r="AIF12" s="21">
        <f t="shared" ref="AIF12:AJJ12" si="167">AIF9+AIF6</f>
        <v>10653534.526999613</v>
      </c>
      <c r="AIG12" s="21">
        <f t="shared" si="167"/>
        <v>11631813.828999747</v>
      </c>
      <c r="AIH12" s="21">
        <f t="shared" si="167"/>
        <v>11855976.453001024</v>
      </c>
      <c r="AII12" s="21">
        <f t="shared" si="167"/>
        <v>11187929.412000794</v>
      </c>
      <c r="AIJ12" s="21">
        <f t="shared" si="167"/>
        <v>13392158.302997652</v>
      </c>
      <c r="AIK12" s="21">
        <f t="shared" si="167"/>
        <v>13946321.975001866</v>
      </c>
      <c r="AIL12" s="21">
        <f t="shared" si="167"/>
        <v>13622390.618999662</v>
      </c>
      <c r="AIM12" s="21">
        <f t="shared" si="167"/>
        <v>13528637.915000327</v>
      </c>
      <c r="AIN12" s="21">
        <f t="shared" si="167"/>
        <v>12501245.255999118</v>
      </c>
      <c r="AIO12" s="21">
        <f t="shared" si="167"/>
        <v>16668077.519999471</v>
      </c>
      <c r="AIP12" s="21">
        <f t="shared" si="167"/>
        <v>12046455.030001298</v>
      </c>
      <c r="AIQ12" s="21">
        <f t="shared" si="167"/>
        <v>11619990.284999039</v>
      </c>
      <c r="AIR12" s="21">
        <f t="shared" si="167"/>
        <v>12171837.445999559</v>
      </c>
      <c r="AIS12" s="21">
        <f t="shared" si="167"/>
        <v>12057008.220000967</v>
      </c>
      <c r="AIT12" s="21">
        <f t="shared" si="167"/>
        <v>6747991.9500003578</v>
      </c>
      <c r="AIU12" s="21">
        <f t="shared" si="167"/>
        <v>9125241.3260003962</v>
      </c>
      <c r="AIV12" s="21">
        <f t="shared" si="167"/>
        <v>5791329.7879995545</v>
      </c>
      <c r="AIW12" s="21">
        <f t="shared" si="167"/>
        <v>7443506.0469993111</v>
      </c>
      <c r="AIX12" s="21">
        <f t="shared" si="167"/>
        <v>11674489.443000283</v>
      </c>
      <c r="AIY12" s="21">
        <f t="shared" si="167"/>
        <v>11445262.695999829</v>
      </c>
      <c r="AIZ12" s="21">
        <f t="shared" si="167"/>
        <v>13346208.036000047</v>
      </c>
      <c r="AJA12" s="21">
        <f t="shared" si="167"/>
        <v>11919997.160999302</v>
      </c>
      <c r="AJB12" s="21">
        <f t="shared" si="167"/>
        <v>12694393.724000921</v>
      </c>
      <c r="AJC12" s="21">
        <f t="shared" si="167"/>
        <v>13790053.022999458</v>
      </c>
      <c r="AJD12" s="21">
        <f t="shared" si="167"/>
        <v>11442301.076999862</v>
      </c>
      <c r="AJE12" s="21">
        <f t="shared" si="167"/>
        <v>11367483.004999649</v>
      </c>
      <c r="AJF12" s="21">
        <f t="shared" si="167"/>
        <v>13057602.23900082</v>
      </c>
      <c r="AJG12" s="21">
        <f t="shared" si="167"/>
        <v>12523140.321999472</v>
      </c>
      <c r="AJH12" s="21">
        <f t="shared" si="167"/>
        <v>11821861.836000985</v>
      </c>
      <c r="AJI12" s="21">
        <f t="shared" si="167"/>
        <v>12531215.312999457</v>
      </c>
      <c r="AJJ12" s="21">
        <f t="shared" si="167"/>
        <v>12277050.23699951</v>
      </c>
      <c r="AJK12" s="127">
        <f>SUM(AIF12:AJJ12)</f>
        <v>365882504.0129993</v>
      </c>
      <c r="AJL12" s="21">
        <f t="shared" ref="AJL12:AKM12" si="168">AJL9+AJL6</f>
        <v>10499687.946000438</v>
      </c>
      <c r="AJM12" s="21">
        <f t="shared" si="168"/>
        <v>12518374.797001004</v>
      </c>
      <c r="AJN12" s="21">
        <f t="shared" si="168"/>
        <v>13063280.534999114</v>
      </c>
      <c r="AJO12" s="21">
        <f t="shared" si="168"/>
        <v>12133412.451001514</v>
      </c>
      <c r="AJP12" s="21">
        <f t="shared" si="168"/>
        <v>12792160.21499937</v>
      </c>
      <c r="AJQ12" s="21">
        <f t="shared" si="168"/>
        <v>10907473.72499902</v>
      </c>
      <c r="AJR12" s="21">
        <f t="shared" si="168"/>
        <v>13110959.169000927</v>
      </c>
      <c r="AJS12" s="21">
        <f t="shared" si="168"/>
        <v>13302084.212998766</v>
      </c>
      <c r="AJT12" s="21">
        <f t="shared" si="168"/>
        <v>13644392.436000753</v>
      </c>
      <c r="AJU12" s="21">
        <f t="shared" si="168"/>
        <v>12596384.456999991</v>
      </c>
      <c r="AJV12" s="21">
        <f t="shared" si="168"/>
        <v>12097831.229998499</v>
      </c>
      <c r="AJW12" s="21">
        <f t="shared" si="168"/>
        <v>13605517.593000632</v>
      </c>
      <c r="AJX12" s="21">
        <f t="shared" si="168"/>
        <v>14160164.355000377</v>
      </c>
      <c r="AJY12" s="21">
        <f t="shared" si="168"/>
        <v>12083724.441000085</v>
      </c>
      <c r="AJZ12" s="21">
        <f t="shared" si="168"/>
        <v>11766032.334000213</v>
      </c>
      <c r="AKA12" s="21">
        <f t="shared" si="168"/>
        <v>11445412.788000003</v>
      </c>
      <c r="AKB12" s="21">
        <f t="shared" si="168"/>
        <v>12077272.970999537</v>
      </c>
      <c r="AKC12" s="21">
        <f t="shared" si="168"/>
        <v>11413760.96700049</v>
      </c>
      <c r="AKD12" s="21">
        <f t="shared" si="168"/>
        <v>10563952.671000246</v>
      </c>
      <c r="AKE12" s="21">
        <f t="shared" si="168"/>
        <v>11619465.084000487</v>
      </c>
      <c r="AKF12" s="21">
        <f t="shared" si="168"/>
        <v>11764998.575998254</v>
      </c>
      <c r="AKG12" s="21">
        <f t="shared" si="168"/>
        <v>9445326.1650014706</v>
      </c>
      <c r="AKH12" s="21">
        <f t="shared" si="168"/>
        <v>12027579.209999979</v>
      </c>
      <c r="AKI12" s="21">
        <f t="shared" si="168"/>
        <v>12023125.136998953</v>
      </c>
      <c r="AKJ12" s="21">
        <f t="shared" si="168"/>
        <v>11922601.482000986</v>
      </c>
      <c r="AKK12" s="21">
        <f t="shared" si="168"/>
        <v>10694704.887000311</v>
      </c>
      <c r="AKL12" s="21">
        <f t="shared" si="168"/>
        <v>10852875.431999173</v>
      </c>
      <c r="AKM12" s="21">
        <f t="shared" si="168"/>
        <v>11172346.055999447</v>
      </c>
      <c r="AKN12" s="127">
        <f t="shared" si="11"/>
        <v>335304901.32300001</v>
      </c>
      <c r="AKO12" s="21">
        <f t="shared" ref="AKO12:ALS12" si="169">AKO9+AKO6</f>
        <v>11619506.412000038</v>
      </c>
      <c r="AKP12" s="21">
        <f t="shared" si="169"/>
        <v>11565175.247999955</v>
      </c>
      <c r="AKQ12" s="21">
        <f t="shared" si="169"/>
        <v>11799075.141001437</v>
      </c>
      <c r="AKR12" s="21">
        <f t="shared" si="169"/>
        <v>10418737.040999461</v>
      </c>
      <c r="AKS12" s="21">
        <f t="shared" si="169"/>
        <v>11082568.733998898</v>
      </c>
      <c r="AKT12" s="21">
        <f t="shared" si="169"/>
        <v>10724278.887001524</v>
      </c>
      <c r="AKU12" s="21">
        <f t="shared" si="169"/>
        <v>14532451.784998663</v>
      </c>
      <c r="AKV12" s="21">
        <f t="shared" si="169"/>
        <v>12040648.569000069</v>
      </c>
      <c r="AKW12" s="21">
        <f t="shared" si="169"/>
        <v>12261588.687001009</v>
      </c>
      <c r="AKX12" s="21">
        <f t="shared" si="169"/>
        <v>10151029.259999316</v>
      </c>
      <c r="AKY12" s="21">
        <f t="shared" si="169"/>
        <v>10638013.789000489</v>
      </c>
      <c r="AKZ12" s="21">
        <f t="shared" si="169"/>
        <v>11386916.827999366</v>
      </c>
      <c r="ALA12" s="21">
        <f t="shared" si="169"/>
        <v>12713650.897001572</v>
      </c>
      <c r="ALB12" s="21">
        <f t="shared" si="169"/>
        <v>14834169.367999468</v>
      </c>
      <c r="ALC12" s="21">
        <f t="shared" si="169"/>
        <v>13330349.962999098</v>
      </c>
      <c r="ALD12" s="21">
        <f t="shared" si="169"/>
        <v>15898996.317000195</v>
      </c>
      <c r="ALE12" s="21">
        <f t="shared" si="169"/>
        <v>13247244.964000538</v>
      </c>
      <c r="ALF12" s="21">
        <f t="shared" si="169"/>
        <v>11664099.466998957</v>
      </c>
      <c r="ALG12" s="21">
        <f t="shared" si="169"/>
        <v>14104865.144000448</v>
      </c>
      <c r="ALH12" s="21">
        <f t="shared" si="169"/>
        <v>12291860.040000191</v>
      </c>
      <c r="ALI12" s="21">
        <f t="shared" si="169"/>
        <v>13882705.793999795</v>
      </c>
      <c r="ALJ12" s="21">
        <f t="shared" si="169"/>
        <v>12300817.346000299</v>
      </c>
      <c r="ALK12" s="21">
        <f t="shared" si="169"/>
        <v>33661193.958998904</v>
      </c>
      <c r="ALL12" s="21">
        <f t="shared" si="169"/>
        <v>13586769.98700176</v>
      </c>
      <c r="ALM12" s="21">
        <f t="shared" si="169"/>
        <v>14178216.612998905</v>
      </c>
      <c r="ALN12" s="21">
        <f t="shared" si="169"/>
        <v>13246578.200999822</v>
      </c>
      <c r="ALO12" s="21">
        <f t="shared" si="169"/>
        <v>14548289.863001397</v>
      </c>
      <c r="ALP12" s="21">
        <f t="shared" si="169"/>
        <v>15280113.357999671</v>
      </c>
      <c r="ALQ12" s="21">
        <f t="shared" si="169"/>
        <v>16937772.630999681</v>
      </c>
      <c r="ALR12" s="21">
        <f t="shared" si="169"/>
        <v>16726204.013999909</v>
      </c>
      <c r="ALS12" s="21">
        <f t="shared" si="169"/>
        <v>12917420.195999589</v>
      </c>
      <c r="ALT12" s="127">
        <f t="shared" si="12"/>
        <v>423571308.50300044</v>
      </c>
      <c r="ALU12" s="21">
        <f t="shared" ref="ALU12:AMX12" si="170">ALU9+ALU6</f>
        <v>17302882.022999816</v>
      </c>
      <c r="ALV12" s="21">
        <f t="shared" si="170"/>
        <v>13302229.829999752</v>
      </c>
      <c r="ALW12" s="21">
        <f t="shared" si="170"/>
        <v>14649898.988000628</v>
      </c>
      <c r="ALX12" s="21">
        <f t="shared" si="170"/>
        <v>15387695.92699999</v>
      </c>
      <c r="ALY12" s="21">
        <f t="shared" si="170"/>
        <v>8496691.9590007737</v>
      </c>
      <c r="ALZ12" s="21">
        <f t="shared" si="170"/>
        <v>10242319.191999748</v>
      </c>
      <c r="AMA12" s="21">
        <f t="shared" si="170"/>
        <v>15593946.166999992</v>
      </c>
      <c r="AMB12" s="21">
        <f t="shared" si="170"/>
        <v>14591012.906999037</v>
      </c>
      <c r="AMC12" s="21">
        <f t="shared" si="170"/>
        <v>16126137.323000686</v>
      </c>
      <c r="AMD12" s="21">
        <f t="shared" si="170"/>
        <v>16023190.949999372</v>
      </c>
      <c r="AME12" s="21">
        <f t="shared" si="170"/>
        <v>17470604.486000281</v>
      </c>
      <c r="AMF12" s="21">
        <f t="shared" si="170"/>
        <v>16138690.63900011</v>
      </c>
      <c r="AMG12" s="21">
        <f t="shared" si="170"/>
        <v>16701602.900999445</v>
      </c>
      <c r="AMH12" s="21">
        <f t="shared" si="170"/>
        <v>12583626.498000666</v>
      </c>
      <c r="AMI12" s="21">
        <f t="shared" si="170"/>
        <v>15096625.111999959</v>
      </c>
      <c r="AMJ12" s="21">
        <f t="shared" si="170"/>
        <v>15033417.295999244</v>
      </c>
      <c r="AMK12" s="21">
        <f t="shared" si="170"/>
        <v>14847628.245001636</v>
      </c>
      <c r="AML12" s="21">
        <f t="shared" si="170"/>
        <v>17002853.098999474</v>
      </c>
      <c r="AMM12" s="21">
        <f t="shared" si="170"/>
        <v>16449532.990999324</v>
      </c>
      <c r="AMN12" s="21">
        <f t="shared" si="170"/>
        <v>25105361.12300064</v>
      </c>
      <c r="AMO12" s="21">
        <f t="shared" si="170"/>
        <v>29679190.933000203</v>
      </c>
      <c r="AMP12" s="21">
        <f t="shared" si="170"/>
        <v>22918803.540999848</v>
      </c>
      <c r="AMQ12" s="21">
        <f t="shared" si="170"/>
        <v>29599417.559998117</v>
      </c>
      <c r="AMR12" s="21">
        <f t="shared" si="170"/>
        <v>30872485.853001203</v>
      </c>
      <c r="AMS12" s="21">
        <f t="shared" si="170"/>
        <v>31787158.193999942</v>
      </c>
      <c r="AMT12" s="21">
        <f t="shared" si="170"/>
        <v>27842601.741000082</v>
      </c>
      <c r="AMU12" s="21">
        <f t="shared" si="170"/>
        <v>16145807.436000723</v>
      </c>
      <c r="AMV12" s="21">
        <f t="shared" si="170"/>
        <v>15301409.098000329</v>
      </c>
      <c r="AMW12" s="21">
        <f t="shared" si="170"/>
        <v>26825109.360999927</v>
      </c>
      <c r="AMX12" s="21">
        <f t="shared" si="170"/>
        <v>21677783.677999295</v>
      </c>
      <c r="AMY12" s="127">
        <f t="shared" si="13"/>
        <v>560795715.05100012</v>
      </c>
      <c r="AMZ12" s="21">
        <f t="shared" ref="AMZ12:AOC12" si="171">AMZ9+AMZ6</f>
        <v>14390405.819000147</v>
      </c>
      <c r="ANA12" s="21">
        <f t="shared" si="171"/>
        <v>15729866.349999994</v>
      </c>
      <c r="ANB12" s="21">
        <f t="shared" si="171"/>
        <v>12191677.995999277</v>
      </c>
      <c r="ANC12" s="21">
        <f t="shared" si="171"/>
        <v>15916232.228999704</v>
      </c>
      <c r="AND12" s="21">
        <f t="shared" si="171"/>
        <v>14006833.37100083</v>
      </c>
      <c r="ANE12" s="21">
        <f t="shared" si="171"/>
        <v>16312867.00099986</v>
      </c>
      <c r="ANF12" s="21">
        <f t="shared" si="171"/>
        <v>14888750.477000065</v>
      </c>
      <c r="ANG12" s="21">
        <f t="shared" si="171"/>
        <v>14327671.411000095</v>
      </c>
      <c r="ANH12" s="21">
        <f t="shared" si="171"/>
        <v>16584481.489999583</v>
      </c>
      <c r="ANI12" s="21">
        <f t="shared" si="171"/>
        <v>14372521.831000868</v>
      </c>
      <c r="ANJ12" s="21">
        <f t="shared" si="171"/>
        <v>15380039.302999893</v>
      </c>
      <c r="ANK12" s="21">
        <f t="shared" si="171"/>
        <v>12882121.72600092</v>
      </c>
      <c r="ANL12" s="21">
        <f t="shared" si="171"/>
        <v>15300392.618998012</v>
      </c>
      <c r="ANM12" s="21">
        <f t="shared" si="171"/>
        <v>16235268.80300222</v>
      </c>
      <c r="ANN12" s="21">
        <f t="shared" si="171"/>
        <v>17329176.925999023</v>
      </c>
      <c r="ANO12" s="21">
        <f t="shared" si="171"/>
        <v>13732925.503000289</v>
      </c>
      <c r="ANP12" s="21">
        <f t="shared" si="171"/>
        <v>9961140.8499991149</v>
      </c>
      <c r="ANQ12" s="21">
        <f t="shared" si="171"/>
        <v>12271204.099999733</v>
      </c>
      <c r="ANR12" s="21">
        <f t="shared" si="171"/>
        <v>11676080.050000563</v>
      </c>
      <c r="ANS12" s="21">
        <f t="shared" si="171"/>
        <v>12880652.249998737</v>
      </c>
      <c r="ANT12" s="21">
        <f t="shared" si="171"/>
        <v>10556670.950001869</v>
      </c>
      <c r="ANU12" s="21">
        <f t="shared" si="171"/>
        <v>17260301.599998727</v>
      </c>
      <c r="ANV12" s="21">
        <f t="shared" si="171"/>
        <v>14416659.073999789</v>
      </c>
      <c r="ANW12" s="21">
        <f t="shared" si="171"/>
        <v>12882195.382000498</v>
      </c>
      <c r="ANX12" s="21">
        <f t="shared" si="171"/>
        <v>15411224.405001689</v>
      </c>
      <c r="ANY12" s="21">
        <f t="shared" si="171"/>
        <v>19734751.577997983</v>
      </c>
      <c r="ANZ12" s="21">
        <f t="shared" si="171"/>
        <v>13180928.832000965</v>
      </c>
      <c r="AOA12" s="21">
        <f t="shared" si="171"/>
        <v>13001915.708998943</v>
      </c>
      <c r="AOB12" s="21">
        <f t="shared" si="171"/>
        <v>17530436.240001485</v>
      </c>
      <c r="AOC12" s="21">
        <f t="shared" si="171"/>
        <v>15825998.209999528</v>
      </c>
    </row>
    <row r="13" spans="1:1071" x14ac:dyDescent="0.2">
      <c r="A13" s="165" t="s">
        <v>1512</v>
      </c>
      <c r="B13" s="5" t="s">
        <v>1513</v>
      </c>
      <c r="C13" s="22">
        <f>'MOMO,AIRTEL,CARDS'!B4</f>
        <v>1656008</v>
      </c>
      <c r="D13" s="22">
        <f>'MOMO,AIRTEL,CARDS'!C4</f>
        <v>1896485</v>
      </c>
      <c r="E13" s="22">
        <f>'MOMO,AIRTEL,CARDS'!D4</f>
        <v>1900500</v>
      </c>
      <c r="F13" s="22">
        <f>'MOMO,AIRTEL,CARDS'!E4</f>
        <v>1307000</v>
      </c>
      <c r="G13" s="22">
        <f>'MOMO,AIRTEL,CARDS'!F4</f>
        <v>1320600</v>
      </c>
      <c r="H13" s="22">
        <f>'MOMO,AIRTEL,CARDS'!G4</f>
        <v>1245000</v>
      </c>
      <c r="I13" s="22">
        <f>'MOMO,AIRTEL,CARDS'!H4</f>
        <v>1337725</v>
      </c>
      <c r="J13" s="22">
        <f>'MOMO,AIRTEL,CARDS'!I4</f>
        <v>931700</v>
      </c>
      <c r="K13" s="22">
        <f>'MOMO,AIRTEL,CARDS'!J4</f>
        <v>1315000</v>
      </c>
      <c r="L13" s="22">
        <f>'MOMO,AIRTEL,CARDS'!K4</f>
        <v>1250500</v>
      </c>
      <c r="M13" s="22">
        <f>'MOMO,AIRTEL,CARDS'!L4</f>
        <v>911563</v>
      </c>
      <c r="N13" s="22">
        <f>'MOMO,AIRTEL,CARDS'!M4</f>
        <v>1656000</v>
      </c>
      <c r="O13" s="22">
        <f>'MOMO,AIRTEL,CARDS'!N4</f>
        <v>842000</v>
      </c>
      <c r="P13" s="22">
        <f>'MOMO,AIRTEL,CARDS'!O4</f>
        <v>667000</v>
      </c>
      <c r="Q13" s="22">
        <f>'MOMO,AIRTEL,CARDS'!P4</f>
        <v>1099000</v>
      </c>
      <c r="R13" s="22">
        <f>'MOMO,AIRTEL,CARDS'!Q4</f>
        <v>802000</v>
      </c>
      <c r="S13" s="22">
        <f>'MOMO,AIRTEL,CARDS'!R4</f>
        <v>1051000</v>
      </c>
      <c r="T13" s="22">
        <f>'MOMO,AIRTEL,CARDS'!S4</f>
        <v>1177000</v>
      </c>
      <c r="U13" s="22">
        <f>'MOMO,AIRTEL,CARDS'!T4</f>
        <v>766000</v>
      </c>
      <c r="V13" s="22">
        <f>'MOMO,AIRTEL,CARDS'!U4</f>
        <v>610500</v>
      </c>
      <c r="W13" s="22">
        <f>'MOMO,AIRTEL,CARDS'!V4</f>
        <v>2100000</v>
      </c>
      <c r="X13" s="22">
        <f>'MOMO,AIRTEL,CARDS'!W4</f>
        <v>1108000</v>
      </c>
      <c r="Y13" s="22">
        <f>'MOMO,AIRTEL,CARDS'!X4</f>
        <v>2044000</v>
      </c>
      <c r="Z13" s="22">
        <f>'MOMO,AIRTEL,CARDS'!Y4</f>
        <v>2241654</v>
      </c>
      <c r="AA13" s="22">
        <f>'MOMO,AIRTEL,CARDS'!Z4</f>
        <v>1168000</v>
      </c>
      <c r="AB13" s="22">
        <f>'MOMO,AIRTEL,CARDS'!AA4</f>
        <v>1201200</v>
      </c>
      <c r="AC13" s="22">
        <f>'MOMO,AIRTEL,CARDS'!AB4</f>
        <v>771400</v>
      </c>
      <c r="AD13" s="22">
        <f>'MOMO,AIRTEL,CARDS'!AC4</f>
        <v>645000</v>
      </c>
      <c r="AE13" s="22">
        <f>'MOMO,AIRTEL,CARDS'!AD4</f>
        <v>491000</v>
      </c>
      <c r="AF13" s="22">
        <f>'MOMO,AIRTEL,CARDS'!AE4</f>
        <v>731000</v>
      </c>
      <c r="AG13" s="22">
        <f>'MOMO,AIRTEL,CARDS'!AF4</f>
        <v>1242000</v>
      </c>
      <c r="AH13" s="94">
        <f t="shared" si="90"/>
        <v>37485835</v>
      </c>
      <c r="AI13" s="22">
        <f>'MOMO,AIRTEL,CARDS'!AH4</f>
        <v>608500</v>
      </c>
      <c r="AJ13" s="22">
        <f>'MOMO,AIRTEL,CARDS'!AI4</f>
        <v>834000</v>
      </c>
      <c r="AK13" s="22">
        <f>'MOMO,AIRTEL,CARDS'!AJ4</f>
        <v>1216886</v>
      </c>
      <c r="AL13" s="22">
        <f>'MOMO,AIRTEL,CARDS'!AK4</f>
        <v>2198000</v>
      </c>
      <c r="AM13" s="22">
        <f>'MOMO,AIRTEL,CARDS'!AL4</f>
        <v>1906595</v>
      </c>
      <c r="AN13" s="22">
        <f>'MOMO,AIRTEL,CARDS'!AM4</f>
        <v>1435300</v>
      </c>
      <c r="AO13" s="22">
        <f>'MOMO,AIRTEL,CARDS'!AN4</f>
        <v>1208000</v>
      </c>
      <c r="AP13" s="22">
        <f>'MOMO,AIRTEL,CARDS'!AO4</f>
        <v>2029000</v>
      </c>
      <c r="AQ13" s="22">
        <f>'MOMO,AIRTEL,CARDS'!AP4</f>
        <v>1333600</v>
      </c>
      <c r="AR13" s="22">
        <f>'MOMO,AIRTEL,CARDS'!AQ4</f>
        <v>1128600</v>
      </c>
      <c r="AS13" s="22">
        <f>'MOMO,AIRTEL,CARDS'!AR4</f>
        <v>1288100</v>
      </c>
      <c r="AT13" s="22">
        <f>'MOMO,AIRTEL,CARDS'!AS4</f>
        <v>671000</v>
      </c>
      <c r="AU13" s="22">
        <f>'MOMO,AIRTEL,CARDS'!AT4</f>
        <v>869000</v>
      </c>
      <c r="AV13" s="22">
        <f>'MOMO,AIRTEL,CARDS'!AU4</f>
        <v>1012400</v>
      </c>
      <c r="AW13" s="22">
        <f>'MOMO,AIRTEL,CARDS'!AV4</f>
        <v>1722800</v>
      </c>
      <c r="AX13" s="22">
        <f>'MOMO,AIRTEL,CARDS'!AW4</f>
        <v>1033000</v>
      </c>
      <c r="AY13" s="22">
        <f>'MOMO,AIRTEL,CARDS'!AX4</f>
        <v>480000</v>
      </c>
      <c r="AZ13" s="22">
        <f>'MOMO,AIRTEL,CARDS'!AY4</f>
        <v>1244000</v>
      </c>
      <c r="BA13" s="22">
        <f>'MOMO,AIRTEL,CARDS'!AZ4</f>
        <v>2092000</v>
      </c>
      <c r="BB13" s="22">
        <f>'MOMO,AIRTEL,CARDS'!BA4</f>
        <v>692000</v>
      </c>
      <c r="BC13" s="22">
        <f>'MOMO,AIRTEL,CARDS'!BB4</f>
        <v>1152500</v>
      </c>
      <c r="BD13" s="22">
        <f>'MOMO,AIRTEL,CARDS'!BC4</f>
        <v>1122300</v>
      </c>
      <c r="BE13" s="22">
        <f>'MOMO,AIRTEL,CARDS'!BD4</f>
        <v>1436500</v>
      </c>
      <c r="BF13" s="22">
        <f>'MOMO,AIRTEL,CARDS'!BE4</f>
        <v>1322100</v>
      </c>
      <c r="BG13" s="22">
        <f>'MOMO,AIRTEL,CARDS'!BF4</f>
        <v>1458000</v>
      </c>
      <c r="BH13" s="22">
        <f>'MOMO,AIRTEL,CARDS'!BG4</f>
        <v>854800</v>
      </c>
      <c r="BI13" s="22">
        <f>'MOMO,AIRTEL,CARDS'!BH4</f>
        <v>782000</v>
      </c>
      <c r="BJ13" s="22">
        <f>'MOMO,AIRTEL,CARDS'!BI4</f>
        <v>684560</v>
      </c>
      <c r="BK13" s="22">
        <f>'MOMO,AIRTEL,CARDS'!BJ4</f>
        <v>1953463</v>
      </c>
      <c r="BL13" s="22">
        <f>'MOMO,AIRTEL,CARDS'!BK4</f>
        <v>1323600</v>
      </c>
      <c r="BM13" s="97">
        <f t="shared" si="92"/>
        <v>37092604</v>
      </c>
      <c r="BN13" s="22">
        <f>'MOMO,AIRTEL,CARDS'!BM4</f>
        <v>1047000</v>
      </c>
      <c r="BO13" s="22">
        <f>'MOMO,AIRTEL,CARDS'!BN4</f>
        <v>1627000</v>
      </c>
      <c r="BP13" s="22">
        <f>'MOMO,AIRTEL,CARDS'!BO4</f>
        <v>1751000</v>
      </c>
      <c r="BQ13" s="22">
        <f>'MOMO,AIRTEL,CARDS'!BP4</f>
        <v>1141000</v>
      </c>
      <c r="BR13" s="22">
        <f>'MOMO,AIRTEL,CARDS'!BQ4</f>
        <v>511000</v>
      </c>
      <c r="BS13" s="22">
        <f>'MOMO,AIRTEL,CARDS'!BR4</f>
        <v>1372312</v>
      </c>
      <c r="BT13" s="22">
        <f>'MOMO,AIRTEL,CARDS'!BS4</f>
        <v>1370000</v>
      </c>
      <c r="BU13" s="22">
        <f>'MOMO,AIRTEL,CARDS'!BT4</f>
        <v>158000</v>
      </c>
      <c r="BV13" s="22">
        <f>'MOMO,AIRTEL,CARDS'!BU4</f>
        <v>974700</v>
      </c>
      <c r="BW13" s="22">
        <f>'MOMO,AIRTEL,CARDS'!BV4</f>
        <v>951750</v>
      </c>
      <c r="BX13" s="22">
        <f>'MOMO,AIRTEL,CARDS'!BW4</f>
        <v>832000</v>
      </c>
      <c r="BY13" s="22">
        <f>'MOMO,AIRTEL,CARDS'!BX4</f>
        <v>973000</v>
      </c>
      <c r="BZ13" s="22">
        <f>'MOMO,AIRTEL,CARDS'!BY4</f>
        <v>1484500</v>
      </c>
      <c r="CA13" s="22">
        <f>'MOMO,AIRTEL,CARDS'!BZ4</f>
        <v>2322000</v>
      </c>
      <c r="CB13" s="22">
        <f>'MOMO,AIRTEL,CARDS'!CA4</f>
        <v>1078000</v>
      </c>
      <c r="CC13" s="22">
        <f>'MOMO,AIRTEL,CARDS'!CB4</f>
        <v>1190000</v>
      </c>
      <c r="CD13" s="22">
        <f>'MOMO,AIRTEL,CARDS'!CC4</f>
        <v>847000</v>
      </c>
      <c r="CE13" s="22">
        <f>'MOMO,AIRTEL,CARDS'!CD4</f>
        <v>383000</v>
      </c>
      <c r="CF13" s="22">
        <f>'MOMO,AIRTEL,CARDS'!CE4</f>
        <v>1761170</v>
      </c>
      <c r="CG13" s="22">
        <f>'MOMO,AIRTEL,CARDS'!CF4</f>
        <v>723000</v>
      </c>
      <c r="CH13" s="22">
        <f>'MOMO,AIRTEL,CARDS'!CG4</f>
        <v>1178980</v>
      </c>
      <c r="CI13" s="22">
        <f>'MOMO,AIRTEL,CARDS'!CH4</f>
        <v>1037000</v>
      </c>
      <c r="CJ13" s="22">
        <f>'MOMO,AIRTEL,CARDS'!CI4</f>
        <v>766500</v>
      </c>
      <c r="CK13" s="22">
        <f>'MOMO,AIRTEL,CARDS'!CJ4</f>
        <v>1736000</v>
      </c>
      <c r="CL13" s="22">
        <f>'MOMO,AIRTEL,CARDS'!CK4</f>
        <v>917000</v>
      </c>
      <c r="CM13" s="22">
        <f>'MOMO,AIRTEL,CARDS'!CL4</f>
        <v>1370000</v>
      </c>
      <c r="CN13" s="22">
        <f>'MOMO,AIRTEL,CARDS'!CM4</f>
        <v>1496000</v>
      </c>
      <c r="CO13" s="22">
        <f>'MOMO,AIRTEL,CARDS'!CN4</f>
        <v>1106000</v>
      </c>
      <c r="CP13" s="22">
        <f>'MOMO,AIRTEL,CARDS'!CO4</f>
        <v>1061552</v>
      </c>
      <c r="CQ13" s="22">
        <f>'MOMO,AIRTEL,CARDS'!CP4</f>
        <v>1350421</v>
      </c>
      <c r="CR13" s="22">
        <f>'MOMO,AIRTEL,CARDS'!CQ4</f>
        <v>803000</v>
      </c>
      <c r="CS13" s="111">
        <f t="shared" si="10"/>
        <v>35319885</v>
      </c>
      <c r="CT13" s="22">
        <f>'MOMO,AIRTEL,CARDS'!CS4</f>
        <v>2575000</v>
      </c>
      <c r="CU13" s="22">
        <f>'MOMO,AIRTEL,CARDS'!CT4</f>
        <v>1032512</v>
      </c>
      <c r="CV13" s="22">
        <f>'MOMO,AIRTEL,CARDS'!CU4</f>
        <v>1549453</v>
      </c>
      <c r="CW13" s="22">
        <f>'MOMO,AIRTEL,CARDS'!CV4</f>
        <v>1163078</v>
      </c>
      <c r="CX13" s="22">
        <f>'MOMO,AIRTEL,CARDS'!CW4</f>
        <v>1572000</v>
      </c>
      <c r="CY13" s="22">
        <f>'MOMO,AIRTEL,CARDS'!CX4</f>
        <v>1357500</v>
      </c>
      <c r="CZ13" s="22">
        <f>'MOMO,AIRTEL,CARDS'!CY4</f>
        <v>1145000</v>
      </c>
      <c r="DA13" s="22">
        <f>'MOMO,AIRTEL,CARDS'!CZ4</f>
        <v>711000</v>
      </c>
      <c r="DB13" s="22">
        <f>'MOMO,AIRTEL,CARDS'!DA4</f>
        <v>630000</v>
      </c>
      <c r="DC13" s="22">
        <f>'MOMO,AIRTEL,CARDS'!DB4</f>
        <v>1686000</v>
      </c>
      <c r="DD13" s="22">
        <f>'MOMO,AIRTEL,CARDS'!DC4</f>
        <v>842000</v>
      </c>
      <c r="DE13" s="22">
        <f>'MOMO,AIRTEL,CARDS'!DD4</f>
        <v>565969</v>
      </c>
      <c r="DF13" s="22">
        <f>'MOMO,AIRTEL,CARDS'!DE4</f>
        <v>1019000</v>
      </c>
      <c r="DG13" s="22">
        <f>'MOMO,AIRTEL,CARDS'!DF4</f>
        <v>1122842</v>
      </c>
      <c r="DH13" s="22">
        <f>'MOMO,AIRTEL,CARDS'!DG4</f>
        <v>1012000</v>
      </c>
      <c r="DI13" s="22">
        <f>'MOMO,AIRTEL,CARDS'!DH4</f>
        <v>773000</v>
      </c>
      <c r="DJ13" s="22">
        <f>'MOMO,AIRTEL,CARDS'!DI4</f>
        <v>1700200</v>
      </c>
      <c r="DK13" s="22">
        <f>'MOMO,AIRTEL,CARDS'!DJ4</f>
        <v>1580000</v>
      </c>
      <c r="DL13" s="22">
        <f>'MOMO,AIRTEL,CARDS'!DK4</f>
        <v>684000</v>
      </c>
      <c r="DM13" s="22">
        <f>'MOMO,AIRTEL,CARDS'!DL4</f>
        <v>1780218</v>
      </c>
      <c r="DN13" s="22">
        <f>'MOMO,AIRTEL,CARDS'!DM4</f>
        <v>1258000</v>
      </c>
      <c r="DO13" s="22">
        <f>'MOMO,AIRTEL,CARDS'!DN4</f>
        <v>1173082</v>
      </c>
      <c r="DP13" s="22">
        <f>'MOMO,AIRTEL,CARDS'!DO4</f>
        <v>1887050</v>
      </c>
      <c r="DQ13" s="22">
        <f>'MOMO,AIRTEL,CARDS'!DP4</f>
        <v>1415000</v>
      </c>
      <c r="DR13" s="22">
        <f>'MOMO,AIRTEL,CARDS'!DQ4</f>
        <v>2460200</v>
      </c>
      <c r="DS13" s="22">
        <f>'MOMO,AIRTEL,CARDS'!DR4</f>
        <v>1009258</v>
      </c>
      <c r="DT13" s="22">
        <f>'MOMO,AIRTEL,CARDS'!DS4</f>
        <v>2444200</v>
      </c>
      <c r="DU13" s="22">
        <f>'MOMO,AIRTEL,CARDS'!DT4</f>
        <v>1119653</v>
      </c>
      <c r="DV13" s="22">
        <f>'MOMO,AIRTEL,CARDS'!DU4</f>
        <v>1084650</v>
      </c>
      <c r="DW13" s="22">
        <f>'MOMO,AIRTEL,CARDS'!DV4</f>
        <v>1015000</v>
      </c>
      <c r="DX13" s="119">
        <f t="shared" si="95"/>
        <v>39366865</v>
      </c>
      <c r="DY13" s="22">
        <f>'MOMO,AIRTEL,CARDS'!DX4</f>
        <v>894200</v>
      </c>
      <c r="DZ13" s="22">
        <f>'MOMO,AIRTEL,CARDS'!DY4</f>
        <v>1658286</v>
      </c>
      <c r="EA13" s="22">
        <f>'MOMO,AIRTEL,CARDS'!DZ4</f>
        <v>708900</v>
      </c>
      <c r="EB13" s="22">
        <f>'MOMO,AIRTEL,CARDS'!EA4</f>
        <v>610000</v>
      </c>
      <c r="EC13" s="22">
        <f>'MOMO,AIRTEL,CARDS'!EB4</f>
        <v>1304500</v>
      </c>
      <c r="ED13" s="22">
        <f>'MOMO,AIRTEL,CARDS'!EC4</f>
        <v>1055000</v>
      </c>
      <c r="EE13" s="22">
        <f>'MOMO,AIRTEL,CARDS'!ED4</f>
        <v>811000</v>
      </c>
      <c r="EF13" s="22">
        <f>'MOMO,AIRTEL,CARDS'!EE4</f>
        <v>1426100</v>
      </c>
      <c r="EG13" s="22">
        <f>'MOMO,AIRTEL,CARDS'!EF4</f>
        <v>1220000</v>
      </c>
      <c r="EH13" s="22">
        <f>'MOMO,AIRTEL,CARDS'!EG4</f>
        <v>1530000</v>
      </c>
      <c r="EI13" s="22">
        <f>'MOMO,AIRTEL,CARDS'!EH4</f>
        <v>1299000</v>
      </c>
      <c r="EJ13" s="22">
        <f>'MOMO,AIRTEL,CARDS'!EI4</f>
        <v>1527610</v>
      </c>
      <c r="EK13" s="22">
        <f>'MOMO,AIRTEL,CARDS'!EJ4</f>
        <v>1136000</v>
      </c>
      <c r="EL13" s="22">
        <f>'MOMO,AIRTEL,CARDS'!EK4</f>
        <v>850000</v>
      </c>
      <c r="EM13" s="22">
        <f>'MOMO,AIRTEL,CARDS'!EL4</f>
        <v>1403011</v>
      </c>
      <c r="EN13" s="22">
        <f>'MOMO,AIRTEL,CARDS'!EM4</f>
        <v>1591859</v>
      </c>
      <c r="EO13" s="22">
        <f>'MOMO,AIRTEL,CARDS'!EN4</f>
        <v>1323950</v>
      </c>
      <c r="EP13" s="22">
        <f>'MOMO,AIRTEL,CARDS'!EO4</f>
        <v>2499000</v>
      </c>
      <c r="EQ13" s="22">
        <f>'MOMO,AIRTEL,CARDS'!EP4</f>
        <v>1147000</v>
      </c>
      <c r="ER13" s="22">
        <f>'MOMO,AIRTEL,CARDS'!EQ4</f>
        <v>632400</v>
      </c>
      <c r="ES13" s="22">
        <f>'MOMO,AIRTEL,CARDS'!ER4</f>
        <v>1138000</v>
      </c>
      <c r="ET13" s="22">
        <f>'MOMO,AIRTEL,CARDS'!ES4</f>
        <v>1527865</v>
      </c>
      <c r="EU13" s="22">
        <f>'MOMO,AIRTEL,CARDS'!ET4</f>
        <v>1924000</v>
      </c>
      <c r="EV13" s="22">
        <f>'MOMO,AIRTEL,CARDS'!EU4</f>
        <v>1501128</v>
      </c>
      <c r="EW13" s="22">
        <f>'MOMO,AIRTEL,CARDS'!EV4</f>
        <v>1240000</v>
      </c>
      <c r="EX13" s="22">
        <f>'MOMO,AIRTEL,CARDS'!EW4</f>
        <v>1299000</v>
      </c>
      <c r="EY13" s="22">
        <f>'MOMO,AIRTEL,CARDS'!EX4</f>
        <v>851000</v>
      </c>
      <c r="EZ13" s="22">
        <f>'MOMO,AIRTEL,CARDS'!EY4</f>
        <v>1338078</v>
      </c>
      <c r="FA13" s="22">
        <f>'MOMO,AIRTEL,CARDS'!EZ4</f>
        <v>1748500</v>
      </c>
      <c r="FB13" s="22">
        <f>'MOMO,AIRTEL,CARDS'!FA4</f>
        <v>1992021</v>
      </c>
      <c r="FC13" s="22">
        <f>'MOMO,AIRTEL,CARDS'!FB4</f>
        <v>1585000</v>
      </c>
      <c r="FD13" s="128">
        <f t="shared" si="97"/>
        <v>40772408</v>
      </c>
      <c r="FE13" s="22">
        <f>'MOMO,AIRTEL,CARDS'!FD4</f>
        <v>1823895</v>
      </c>
      <c r="FF13" s="22">
        <f>'MOMO,AIRTEL,CARDS'!FE4</f>
        <v>1199000</v>
      </c>
      <c r="FG13" s="22">
        <f>'MOMO,AIRTEL,CARDS'!FF4</f>
        <v>1462000</v>
      </c>
      <c r="FH13" s="22">
        <f>'MOMO,AIRTEL,CARDS'!FG4</f>
        <v>600000</v>
      </c>
      <c r="FI13" s="22">
        <f>'MOMO,AIRTEL,CARDS'!FH4</f>
        <v>445000</v>
      </c>
      <c r="FJ13" s="22">
        <f>'MOMO,AIRTEL,CARDS'!FI4</f>
        <v>733000</v>
      </c>
      <c r="FK13" s="22">
        <f>'MOMO,AIRTEL,CARDS'!FJ4</f>
        <v>1637000</v>
      </c>
      <c r="FL13" s="22">
        <f>'MOMO,AIRTEL,CARDS'!FK4</f>
        <v>1143500</v>
      </c>
      <c r="FM13" s="22">
        <f>'MOMO,AIRTEL,CARDS'!FL4</f>
        <v>967000</v>
      </c>
      <c r="FN13" s="22">
        <f>'MOMO,AIRTEL,CARDS'!FM4</f>
        <v>1801689</v>
      </c>
      <c r="FO13" s="22">
        <f>'MOMO,AIRTEL,CARDS'!FN4</f>
        <v>1132600</v>
      </c>
      <c r="FP13" s="22">
        <f>'MOMO,AIRTEL,CARDS'!FO4</f>
        <v>949000</v>
      </c>
      <c r="FQ13" s="22">
        <f>'MOMO,AIRTEL,CARDS'!FP4</f>
        <v>1347000</v>
      </c>
      <c r="FR13" s="22">
        <f>'MOMO,AIRTEL,CARDS'!FQ4</f>
        <v>2005000</v>
      </c>
      <c r="FS13" s="22">
        <f>'MOMO,AIRTEL,CARDS'!FR4</f>
        <v>1237000</v>
      </c>
      <c r="FT13" s="22">
        <f>'MOMO,AIRTEL,CARDS'!FS4</f>
        <v>902000</v>
      </c>
      <c r="FU13" s="22">
        <f>'MOMO,AIRTEL,CARDS'!FT4</f>
        <v>1289000</v>
      </c>
      <c r="FV13" s="22">
        <f>'MOMO,AIRTEL,CARDS'!FU4</f>
        <v>1318000</v>
      </c>
      <c r="FW13" s="22">
        <f>'MOMO,AIRTEL,CARDS'!FV4</f>
        <v>665000</v>
      </c>
      <c r="FX13" s="22">
        <f>'MOMO,AIRTEL,CARDS'!FW4</f>
        <v>1365500</v>
      </c>
      <c r="FY13" s="22">
        <f>'MOMO,AIRTEL,CARDS'!FX4</f>
        <v>1156979</v>
      </c>
      <c r="FZ13" s="22">
        <f>'MOMO,AIRTEL,CARDS'!FY4</f>
        <v>895000</v>
      </c>
      <c r="GA13" s="22">
        <f>'MOMO,AIRTEL,CARDS'!FZ4</f>
        <v>1785682</v>
      </c>
      <c r="GB13" s="22">
        <f>'MOMO,AIRTEL,CARDS'!GA4</f>
        <v>719000</v>
      </c>
      <c r="GC13" s="22">
        <f>'MOMO,AIRTEL,CARDS'!GB4</f>
        <v>1006000</v>
      </c>
      <c r="GD13" s="22">
        <f>'MOMO,AIRTEL,CARDS'!GC4</f>
        <v>1835092</v>
      </c>
      <c r="GE13" s="22">
        <f>'MOMO,AIRTEL,CARDS'!GD4</f>
        <v>1320000</v>
      </c>
      <c r="GF13" s="22">
        <f>'MOMO,AIRTEL,CARDS'!GE4</f>
        <v>2044500</v>
      </c>
      <c r="GG13" s="22">
        <f>'MOMO,AIRTEL,CARDS'!GF4</f>
        <v>1124000</v>
      </c>
      <c r="GH13" s="22">
        <f>'MOMO,AIRTEL,CARDS'!GG4</f>
        <v>736000</v>
      </c>
      <c r="GI13" s="22">
        <f>'MOMO,AIRTEL,CARDS'!GH4</f>
        <v>2328000</v>
      </c>
      <c r="GJ13" s="127">
        <f t="shared" si="99"/>
        <v>38972437</v>
      </c>
      <c r="GK13" s="22">
        <f>'MOMO,AIRTEL,CARDS'!GJ4</f>
        <v>642000</v>
      </c>
      <c r="GL13" s="22">
        <f>'MOMO,AIRTEL,CARDS'!GK4</f>
        <v>774000</v>
      </c>
      <c r="GM13" s="22">
        <f>'MOMO,AIRTEL,CARDS'!GL4</f>
        <v>1126300</v>
      </c>
      <c r="GN13" s="22">
        <f>'MOMO,AIRTEL,CARDS'!GM4</f>
        <v>555000</v>
      </c>
      <c r="GO13" s="22">
        <f>'MOMO,AIRTEL,CARDS'!GN4</f>
        <v>1010000</v>
      </c>
      <c r="GP13" s="22">
        <f>'MOMO,AIRTEL,CARDS'!GO4</f>
        <v>1627300</v>
      </c>
      <c r="GQ13" s="22">
        <f>'MOMO,AIRTEL,CARDS'!GP4</f>
        <v>1329000</v>
      </c>
      <c r="GR13" s="22">
        <f>'MOMO,AIRTEL,CARDS'!GQ4</f>
        <v>1568000</v>
      </c>
      <c r="GS13" s="22">
        <f>'MOMO,AIRTEL,CARDS'!GR4</f>
        <v>1248000</v>
      </c>
      <c r="GT13" s="22">
        <f>'MOMO,AIRTEL,CARDS'!GS4</f>
        <v>1427000</v>
      </c>
      <c r="GU13" s="22">
        <f>'MOMO,AIRTEL,CARDS'!GT4</f>
        <v>986912</v>
      </c>
      <c r="GV13" s="22">
        <f>'MOMO,AIRTEL,CARDS'!GU4</f>
        <v>643000</v>
      </c>
      <c r="GW13" s="22">
        <f>'MOMO,AIRTEL,CARDS'!GV4</f>
        <v>1649922</v>
      </c>
      <c r="GX13" s="22">
        <f>'MOMO,AIRTEL,CARDS'!GW4</f>
        <v>706000</v>
      </c>
      <c r="GY13" s="22">
        <f>'MOMO,AIRTEL,CARDS'!GX4</f>
        <v>804608</v>
      </c>
      <c r="GZ13" s="22">
        <f>'MOMO,AIRTEL,CARDS'!GY4</f>
        <v>1237000</v>
      </c>
      <c r="HA13" s="22">
        <f>'MOMO,AIRTEL,CARDS'!GZ4</f>
        <v>2156432</v>
      </c>
      <c r="HB13" s="22">
        <f>'MOMO,AIRTEL,CARDS'!HA4</f>
        <v>1381061</v>
      </c>
      <c r="HC13" s="22">
        <f>'MOMO,AIRTEL,CARDS'!HB4</f>
        <v>1128000</v>
      </c>
      <c r="HD13" s="22">
        <f>'MOMO,AIRTEL,CARDS'!HC4</f>
        <v>1363000</v>
      </c>
      <c r="HE13" s="22">
        <f>'MOMO,AIRTEL,CARDS'!HD4</f>
        <v>830000</v>
      </c>
      <c r="HF13" s="22">
        <f>'MOMO,AIRTEL,CARDS'!HE4</f>
        <v>840000</v>
      </c>
      <c r="HG13" s="22">
        <f>'MOMO,AIRTEL,CARDS'!HF4</f>
        <v>2185450</v>
      </c>
      <c r="HH13" s="22">
        <f>'MOMO,AIRTEL,CARDS'!HG4</f>
        <v>576000</v>
      </c>
      <c r="HI13" s="22">
        <f>'MOMO,AIRTEL,CARDS'!HH4</f>
        <v>557000</v>
      </c>
      <c r="HJ13" s="22">
        <f>'MOMO,AIRTEL,CARDS'!HI4</f>
        <v>468000</v>
      </c>
      <c r="HK13" s="22">
        <f>'MOMO,AIRTEL,CARDS'!HJ4</f>
        <v>789000</v>
      </c>
      <c r="HL13" s="22">
        <f>'MOMO,AIRTEL,CARDS'!HK4</f>
        <v>1208817</v>
      </c>
      <c r="HM13" s="22">
        <f>'MOMO,AIRTEL,CARDS'!HL4</f>
        <v>426000</v>
      </c>
      <c r="HN13" s="127">
        <f t="shared" si="101"/>
        <v>31242802</v>
      </c>
      <c r="HO13" s="22">
        <f>'MOMO,AIRTEL,CARDS'!HN4</f>
        <v>880000</v>
      </c>
      <c r="HP13" s="22">
        <f>'MOMO,AIRTEL,CARDS'!HO4</f>
        <v>1598000</v>
      </c>
      <c r="HQ13" s="22">
        <f>'MOMO,AIRTEL,CARDS'!HP4</f>
        <v>1206000</v>
      </c>
      <c r="HR13" s="22">
        <f>'MOMO,AIRTEL,CARDS'!HQ4</f>
        <v>1775232</v>
      </c>
      <c r="HS13" s="22">
        <f>'MOMO,AIRTEL,CARDS'!HR4</f>
        <v>1131700</v>
      </c>
      <c r="HT13" s="22">
        <f>'MOMO,AIRTEL,CARDS'!HS4</f>
        <v>1820000</v>
      </c>
      <c r="HU13" s="22">
        <f>'MOMO,AIRTEL,CARDS'!HT4</f>
        <v>2131900</v>
      </c>
      <c r="HV13" s="22">
        <f>'MOMO,AIRTEL,CARDS'!HU4</f>
        <v>1653900</v>
      </c>
      <c r="HW13" s="22">
        <f>'MOMO,AIRTEL,CARDS'!HV4</f>
        <v>713000</v>
      </c>
      <c r="HX13" s="22">
        <f>'MOMO,AIRTEL,CARDS'!HW4</f>
        <v>870000</v>
      </c>
      <c r="HY13" s="22">
        <f>'MOMO,AIRTEL,CARDS'!HX4</f>
        <v>1099000</v>
      </c>
      <c r="HZ13" s="22">
        <f>'MOMO,AIRTEL,CARDS'!HY4</f>
        <v>1089000</v>
      </c>
      <c r="IA13" s="22">
        <f>'MOMO,AIRTEL,CARDS'!HZ4</f>
        <v>2110432</v>
      </c>
      <c r="IB13" s="22">
        <f>'MOMO,AIRTEL,CARDS'!IA4</f>
        <v>942000</v>
      </c>
      <c r="IC13" s="22">
        <f>'MOMO,AIRTEL,CARDS'!IB4</f>
        <v>1376000</v>
      </c>
      <c r="ID13" s="22">
        <f>'MOMO,AIRTEL,CARDS'!IC4</f>
        <v>1829300</v>
      </c>
      <c r="IE13" s="22">
        <f>'MOMO,AIRTEL,CARDS'!ID4</f>
        <v>576200</v>
      </c>
      <c r="IF13" s="22">
        <f>'MOMO,AIRTEL,CARDS'!IE4</f>
        <v>1260680</v>
      </c>
      <c r="IG13" s="22">
        <f>'MOMO,AIRTEL,CARDS'!IF4</f>
        <v>608000</v>
      </c>
      <c r="IH13" s="22">
        <f>'MOMO,AIRTEL,CARDS'!IG4</f>
        <v>1719836</v>
      </c>
      <c r="II13" s="22">
        <f>'MOMO,AIRTEL,CARDS'!IH4</f>
        <v>677000</v>
      </c>
      <c r="IJ13" s="22">
        <f>'MOMO,AIRTEL,CARDS'!II4</f>
        <v>1651000</v>
      </c>
      <c r="IK13" s="22">
        <f>'MOMO,AIRTEL,CARDS'!IJ4</f>
        <v>1404620</v>
      </c>
      <c r="IL13" s="22">
        <f>'MOMO,AIRTEL,CARDS'!IK4</f>
        <v>783000</v>
      </c>
      <c r="IM13" s="22">
        <f>'MOMO,AIRTEL,CARDS'!IL4</f>
        <v>1419000</v>
      </c>
      <c r="IN13" s="22">
        <f>'MOMO,AIRTEL,CARDS'!IM4</f>
        <v>1167700</v>
      </c>
      <c r="IO13" s="22">
        <f>'MOMO,AIRTEL,CARDS'!IN4</f>
        <v>665400</v>
      </c>
      <c r="IP13" s="22">
        <f>'MOMO,AIRTEL,CARDS'!IO4</f>
        <v>1703022</v>
      </c>
      <c r="IQ13" s="22">
        <f>'MOMO,AIRTEL,CARDS'!IP4</f>
        <v>1386003</v>
      </c>
      <c r="IR13" s="22">
        <f>'MOMO,AIRTEL,CARDS'!IQ4</f>
        <v>508000</v>
      </c>
      <c r="IS13" s="22">
        <f>'MOMO,AIRTEL,CARDS'!IR4</f>
        <v>807025</v>
      </c>
      <c r="IT13" s="127">
        <f t="shared" si="22"/>
        <v>38561950</v>
      </c>
      <c r="IU13" s="22">
        <f>'MOMO,AIRTEL,CARDS'!IT4</f>
        <v>223000</v>
      </c>
      <c r="IV13" s="22">
        <f>'MOMO,AIRTEL,CARDS'!IU4</f>
        <v>2000169</v>
      </c>
      <c r="IW13" s="22">
        <f>'MOMO,AIRTEL,CARDS'!IV4</f>
        <v>496000</v>
      </c>
      <c r="IX13" s="22">
        <f>'MOMO,AIRTEL,CARDS'!IW4</f>
        <v>785343</v>
      </c>
      <c r="IY13" s="22">
        <f>'MOMO,AIRTEL,CARDS'!IX4</f>
        <v>1149000</v>
      </c>
      <c r="IZ13" s="22">
        <f>'MOMO,AIRTEL,CARDS'!IY4</f>
        <v>870000</v>
      </c>
      <c r="JA13" s="22">
        <f>'MOMO,AIRTEL,CARDS'!IZ4</f>
        <v>1485000</v>
      </c>
      <c r="JB13" s="22">
        <f>'MOMO,AIRTEL,CARDS'!JA4</f>
        <v>2238052</v>
      </c>
      <c r="JC13" s="22">
        <f>'MOMO,AIRTEL,CARDS'!JB4</f>
        <v>697851</v>
      </c>
      <c r="JD13" s="22">
        <f>'MOMO,AIRTEL,CARDS'!JC4</f>
        <v>673000</v>
      </c>
      <c r="JE13" s="22">
        <f>'MOMO,AIRTEL,CARDS'!JD4</f>
        <v>1672000</v>
      </c>
      <c r="JF13" s="22">
        <f>'MOMO,AIRTEL,CARDS'!JE4</f>
        <v>2524583</v>
      </c>
      <c r="JG13" s="22">
        <f>'MOMO,AIRTEL,CARDS'!JF4</f>
        <v>1073000</v>
      </c>
      <c r="JH13" s="22">
        <f>'MOMO,AIRTEL,CARDS'!JG4</f>
        <v>725000</v>
      </c>
      <c r="JI13" s="22">
        <f>'MOMO,AIRTEL,CARDS'!JH4</f>
        <v>1193000</v>
      </c>
      <c r="JJ13" s="22">
        <f>'MOMO,AIRTEL,CARDS'!JI4</f>
        <v>837000</v>
      </c>
      <c r="JK13" s="22">
        <f>'MOMO,AIRTEL,CARDS'!JJ4</f>
        <v>717000</v>
      </c>
      <c r="JL13" s="22">
        <f>'MOMO,AIRTEL,CARDS'!JK4</f>
        <v>1095000</v>
      </c>
      <c r="JM13" s="22">
        <f>'MOMO,AIRTEL,CARDS'!JL4</f>
        <v>1084500</v>
      </c>
      <c r="JN13" s="22">
        <f>'MOMO,AIRTEL,CARDS'!JM4</f>
        <v>685000</v>
      </c>
      <c r="JO13" s="22">
        <f>'MOMO,AIRTEL,CARDS'!JN4</f>
        <v>1076968</v>
      </c>
      <c r="JP13" s="22">
        <f>'MOMO,AIRTEL,CARDS'!JO4</f>
        <v>832700</v>
      </c>
      <c r="JQ13" s="22">
        <f>'MOMO,AIRTEL,CARDS'!JP4</f>
        <v>704000</v>
      </c>
      <c r="JR13" s="22">
        <f>'MOMO,AIRTEL,CARDS'!JQ4</f>
        <v>399000</v>
      </c>
      <c r="JS13" s="22">
        <f>'MOMO,AIRTEL,CARDS'!JR4</f>
        <v>999950</v>
      </c>
      <c r="JT13" s="22">
        <f>'MOMO,AIRTEL,CARDS'!JS4</f>
        <v>1296000</v>
      </c>
      <c r="JU13" s="22">
        <f>'MOMO,AIRTEL,CARDS'!JT4</f>
        <v>2398500</v>
      </c>
      <c r="JV13" s="22">
        <f>'MOMO,AIRTEL,CARDS'!JU4</f>
        <v>1230000</v>
      </c>
      <c r="JW13" s="22">
        <f>'MOMO,AIRTEL,CARDS'!JV4</f>
        <v>1666500</v>
      </c>
      <c r="JX13" s="22">
        <f>'MOMO,AIRTEL,CARDS'!JW4</f>
        <v>877000</v>
      </c>
      <c r="JY13" s="127">
        <f t="shared" si="58"/>
        <v>33704116</v>
      </c>
      <c r="JZ13" s="22">
        <f>'MOMO,AIRTEL,CARDS'!JY4</f>
        <v>1235700</v>
      </c>
      <c r="KA13" s="22">
        <f>'MOMO,AIRTEL,CARDS'!JZ4</f>
        <v>790000</v>
      </c>
      <c r="KB13" s="22">
        <f>'MOMO,AIRTEL,CARDS'!KA4</f>
        <v>870000</v>
      </c>
      <c r="KC13" s="22">
        <f>'MOMO,AIRTEL,CARDS'!KB4</f>
        <v>709000</v>
      </c>
      <c r="KD13" s="22">
        <f>'MOMO,AIRTEL,CARDS'!KC4</f>
        <v>1210112</v>
      </c>
      <c r="KE13" s="22">
        <f>'MOMO,AIRTEL,CARDS'!KD4</f>
        <v>1168000</v>
      </c>
      <c r="KF13" s="22">
        <f>'MOMO,AIRTEL,CARDS'!KE4</f>
        <v>1510500</v>
      </c>
      <c r="KG13" s="22">
        <f>'MOMO,AIRTEL,CARDS'!KF4</f>
        <v>1061750</v>
      </c>
      <c r="KH13" s="22">
        <f>'MOMO,AIRTEL,CARDS'!KG4</f>
        <v>1311900</v>
      </c>
      <c r="KI13" s="22">
        <f>'MOMO,AIRTEL,CARDS'!KH4</f>
        <v>554000</v>
      </c>
      <c r="KJ13" s="22">
        <f>'MOMO,AIRTEL,CARDS'!KI4</f>
        <v>788000</v>
      </c>
      <c r="KK13" s="22">
        <f>'MOMO,AIRTEL,CARDS'!KJ4</f>
        <v>919000</v>
      </c>
      <c r="KL13" s="22">
        <f>'MOMO,AIRTEL,CARDS'!KK4</f>
        <v>2611400</v>
      </c>
      <c r="KM13" s="22">
        <f>'MOMO,AIRTEL,CARDS'!KL4</f>
        <v>878000</v>
      </c>
      <c r="KN13" s="22">
        <f>'MOMO,AIRTEL,CARDS'!KM4</f>
        <v>1270500</v>
      </c>
      <c r="KO13" s="22">
        <f>'MOMO,AIRTEL,CARDS'!KN4</f>
        <v>1827542</v>
      </c>
      <c r="KP13" s="22">
        <f>'MOMO,AIRTEL,CARDS'!KO4</f>
        <v>420000</v>
      </c>
      <c r="KQ13" s="22">
        <f>'MOMO,AIRTEL,CARDS'!KP4</f>
        <v>1465000</v>
      </c>
      <c r="KR13" s="22">
        <f>'MOMO,AIRTEL,CARDS'!KQ4</f>
        <v>513500</v>
      </c>
      <c r="KS13" s="22">
        <f>'MOMO,AIRTEL,CARDS'!KR4</f>
        <v>953000</v>
      </c>
      <c r="KT13" s="22">
        <f>'MOMO,AIRTEL,CARDS'!KS4</f>
        <v>2302050</v>
      </c>
      <c r="KU13" s="22">
        <f>'MOMO,AIRTEL,CARDS'!KT4</f>
        <v>817000</v>
      </c>
      <c r="KV13" s="22">
        <f>'MOMO,AIRTEL,CARDS'!KU4</f>
        <v>799000</v>
      </c>
      <c r="KW13" s="22">
        <f>'MOMO,AIRTEL,CARDS'!KV4</f>
        <v>1117900</v>
      </c>
      <c r="KX13" s="22">
        <f>'MOMO,AIRTEL,CARDS'!KW4</f>
        <v>1078000</v>
      </c>
      <c r="KY13" s="22">
        <f>'MOMO,AIRTEL,CARDS'!KX4</f>
        <v>1481038</v>
      </c>
      <c r="KZ13" s="22">
        <f>'MOMO,AIRTEL,CARDS'!KY4</f>
        <v>1311000</v>
      </c>
      <c r="LA13" s="22">
        <f>'MOMO,AIRTEL,CARDS'!KZ4</f>
        <v>1513500</v>
      </c>
      <c r="LB13" s="22">
        <f>'MOMO,AIRTEL,CARDS'!LA4</f>
        <v>1107250</v>
      </c>
      <c r="LC13" s="22">
        <f>'MOMO,AIRTEL,CARDS'!LB4</f>
        <v>540000</v>
      </c>
      <c r="LD13" s="22">
        <f>'MOMO,AIRTEL,CARDS'!LC4</f>
        <v>2368000</v>
      </c>
      <c r="LE13" s="127">
        <f t="shared" si="60"/>
        <v>35265942</v>
      </c>
      <c r="LF13" s="22">
        <f>'MOMO,AIRTEL,CARDS'!LE4</f>
        <v>1837864</v>
      </c>
      <c r="LG13" s="22">
        <f>'MOMO,AIRTEL,CARDS'!LF4</f>
        <v>1156000</v>
      </c>
      <c r="LH13" s="22">
        <f>'MOMO,AIRTEL,CARDS'!LG4</f>
        <v>927000</v>
      </c>
      <c r="LI13" s="22">
        <f>'MOMO,AIRTEL,CARDS'!LH4</f>
        <v>1204000</v>
      </c>
      <c r="LJ13" s="22">
        <f>'MOMO,AIRTEL,CARDS'!LI4</f>
        <v>1366500</v>
      </c>
      <c r="LK13" s="22">
        <f>'MOMO,AIRTEL,CARDS'!LJ4</f>
        <v>592500</v>
      </c>
      <c r="LL13" s="22">
        <f>'MOMO,AIRTEL,CARDS'!LK4</f>
        <v>1462000</v>
      </c>
      <c r="LM13" s="22">
        <f>'MOMO,AIRTEL,CARDS'!LL4</f>
        <v>1097931</v>
      </c>
      <c r="LN13" s="22">
        <f>'MOMO,AIRTEL,CARDS'!LM4</f>
        <v>790000</v>
      </c>
      <c r="LO13" s="22">
        <f>'MOMO,AIRTEL,CARDS'!LN4</f>
        <v>911000</v>
      </c>
      <c r="LP13" s="22">
        <f>'MOMO,AIRTEL,CARDS'!LO4</f>
        <v>724000</v>
      </c>
      <c r="LQ13" s="22">
        <f>'MOMO,AIRTEL,CARDS'!LP4</f>
        <v>1050042</v>
      </c>
      <c r="LR13" s="22">
        <f>'MOMO,AIRTEL,CARDS'!LQ4</f>
        <v>1363000</v>
      </c>
      <c r="LS13" s="22">
        <f>'MOMO,AIRTEL,CARDS'!LR4</f>
        <v>1145300</v>
      </c>
      <c r="LT13" s="22">
        <f>'MOMO,AIRTEL,CARDS'!LS4</f>
        <v>1831000</v>
      </c>
      <c r="LU13" s="22">
        <f>'MOMO,AIRTEL,CARDS'!LT4</f>
        <v>1249000</v>
      </c>
      <c r="LV13" s="22">
        <f>'MOMO,AIRTEL,CARDS'!LU4</f>
        <v>1374000</v>
      </c>
      <c r="LW13" s="22">
        <f>'MOMO,AIRTEL,CARDS'!LV4</f>
        <v>1502250</v>
      </c>
      <c r="LX13" s="22">
        <f>'MOMO,AIRTEL,CARDS'!LW4</f>
        <v>1583500</v>
      </c>
      <c r="LY13" s="22">
        <f>'MOMO,AIRTEL,CARDS'!LX4</f>
        <v>1275000</v>
      </c>
      <c r="LZ13" s="22">
        <f>'MOMO,AIRTEL,CARDS'!LY4</f>
        <v>1700014</v>
      </c>
      <c r="MA13" s="22">
        <f>'MOMO,AIRTEL,CARDS'!LZ4</f>
        <v>589450</v>
      </c>
      <c r="MB13" s="22">
        <f>'MOMO,AIRTEL,CARDS'!MA4</f>
        <v>1317000</v>
      </c>
      <c r="MC13" s="22">
        <f>'MOMO,AIRTEL,CARDS'!MB4</f>
        <v>546000</v>
      </c>
      <c r="MD13" s="22">
        <f>'MOMO,AIRTEL,CARDS'!MC4</f>
        <v>708750</v>
      </c>
      <c r="ME13" s="22">
        <f>'MOMO,AIRTEL,CARDS'!MD4</f>
        <v>1398198</v>
      </c>
      <c r="MF13" s="22">
        <f>'MOMO,AIRTEL,CARDS'!ME4</f>
        <v>697142</v>
      </c>
      <c r="MG13" s="22">
        <f>'MOMO,AIRTEL,CARDS'!MF4</f>
        <v>2145500</v>
      </c>
      <c r="MH13" s="22">
        <f>'MOMO,AIRTEL,CARDS'!MG4</f>
        <v>938500</v>
      </c>
      <c r="MI13" s="22">
        <f>'MOMO,AIRTEL,CARDS'!MH4</f>
        <v>960045</v>
      </c>
      <c r="MJ13" s="127">
        <f t="shared" si="62"/>
        <v>35442486</v>
      </c>
      <c r="MK13" s="22">
        <f>'MOMO,AIRTEL,CARDS'!MJ4</f>
        <v>1090164</v>
      </c>
      <c r="ML13" s="22">
        <f>'MOMO,AIRTEL,CARDS'!MK4</f>
        <v>1156500</v>
      </c>
      <c r="MM13" s="22">
        <f>'MOMO,AIRTEL,CARDS'!ML4</f>
        <v>593900</v>
      </c>
      <c r="MN13" s="22">
        <f>'MOMO,AIRTEL,CARDS'!MM4</f>
        <v>860900</v>
      </c>
      <c r="MO13" s="22">
        <f>'MOMO,AIRTEL,CARDS'!MN4</f>
        <v>818000</v>
      </c>
      <c r="MP13" s="22">
        <f>'MOMO,AIRTEL,CARDS'!MO4</f>
        <v>994000</v>
      </c>
      <c r="MQ13" s="22">
        <f>'MOMO,AIRTEL,CARDS'!MP4</f>
        <v>801000</v>
      </c>
      <c r="MR13" s="22">
        <f>'MOMO,AIRTEL,CARDS'!MQ4</f>
        <v>904000</v>
      </c>
      <c r="MS13" s="22">
        <f>'MOMO,AIRTEL,CARDS'!MR4</f>
        <v>596000</v>
      </c>
      <c r="MT13" s="22">
        <f>'MOMO,AIRTEL,CARDS'!MS4</f>
        <v>1277378</v>
      </c>
      <c r="MU13" s="22">
        <f>'MOMO,AIRTEL,CARDS'!MT4</f>
        <v>1370468</v>
      </c>
      <c r="MV13" s="22">
        <f>'MOMO,AIRTEL,CARDS'!MU4</f>
        <v>1847344</v>
      </c>
      <c r="MW13" s="22">
        <f>'MOMO,AIRTEL,CARDS'!MV4</f>
        <v>952450</v>
      </c>
      <c r="MX13" s="22">
        <f>'MOMO,AIRTEL,CARDS'!MW4</f>
        <v>1058000</v>
      </c>
      <c r="MY13" s="22">
        <f>'MOMO,AIRTEL,CARDS'!MX4</f>
        <v>970000</v>
      </c>
      <c r="MZ13" s="22">
        <f>'MOMO,AIRTEL,CARDS'!MY4</f>
        <v>1527000</v>
      </c>
      <c r="NA13" s="22">
        <f>'MOMO,AIRTEL,CARDS'!MZ4</f>
        <v>1187800</v>
      </c>
      <c r="NB13" s="22">
        <f>'MOMO,AIRTEL,CARDS'!NA4</f>
        <v>1215025</v>
      </c>
      <c r="NC13" s="22">
        <f>'MOMO,AIRTEL,CARDS'!NB4</f>
        <v>1618998</v>
      </c>
      <c r="ND13" s="22">
        <f>'MOMO,AIRTEL,CARDS'!NC4</f>
        <v>1332000</v>
      </c>
      <c r="NE13" s="22">
        <f>'MOMO,AIRTEL,CARDS'!ND4</f>
        <v>869500</v>
      </c>
      <c r="NF13" s="22">
        <f>'MOMO,AIRTEL,CARDS'!NE4</f>
        <v>1747960</v>
      </c>
      <c r="NG13" s="22">
        <f>'MOMO,AIRTEL,CARDS'!NF4</f>
        <v>721000</v>
      </c>
      <c r="NH13" s="22">
        <f>'MOMO,AIRTEL,CARDS'!NG4</f>
        <v>1173000</v>
      </c>
      <c r="NI13" s="22">
        <f>'MOMO,AIRTEL,CARDS'!NH4</f>
        <v>1137000</v>
      </c>
      <c r="NJ13" s="22">
        <f>'MOMO,AIRTEL,CARDS'!NI4</f>
        <v>913886</v>
      </c>
      <c r="NK13" s="22">
        <f>'MOMO,AIRTEL,CARDS'!NJ4</f>
        <v>1064000</v>
      </c>
      <c r="NL13" s="22">
        <f>'MOMO,AIRTEL,CARDS'!NK4</f>
        <v>459000</v>
      </c>
      <c r="NM13" s="22">
        <f>'MOMO,AIRTEL,CARDS'!NL4</f>
        <v>815000</v>
      </c>
      <c r="NN13" s="22">
        <f>'MOMO,AIRTEL,CARDS'!NM4</f>
        <v>1519688</v>
      </c>
      <c r="NO13" s="22">
        <f>'MOMO,AIRTEL,CARDS'!NN4</f>
        <v>914000</v>
      </c>
      <c r="NP13" s="127">
        <f t="shared" si="64"/>
        <v>32414797</v>
      </c>
      <c r="NQ13" s="22">
        <f>'MOMO,AIRTEL,CARDS'!NP4</f>
        <v>573000</v>
      </c>
      <c r="NR13" s="22">
        <f>'MOMO,AIRTEL,CARDS'!NQ4</f>
        <v>1917456</v>
      </c>
      <c r="NS13" s="22">
        <f>'MOMO,AIRTEL,CARDS'!NR4</f>
        <v>1123504</v>
      </c>
      <c r="NT13" s="22">
        <f>'MOMO,AIRTEL,CARDS'!NS4</f>
        <v>1260200</v>
      </c>
      <c r="NU13" s="22">
        <f>'MOMO,AIRTEL,CARDS'!NT4</f>
        <v>710500</v>
      </c>
      <c r="NV13" s="22">
        <f>'MOMO,AIRTEL,CARDS'!NU4</f>
        <v>1030000</v>
      </c>
      <c r="NW13" s="22">
        <f>'MOMO,AIRTEL,CARDS'!NV4</f>
        <v>985650</v>
      </c>
      <c r="NX13" s="22">
        <f>'MOMO,AIRTEL,CARDS'!NW4</f>
        <v>744000</v>
      </c>
      <c r="NY13" s="22">
        <f>'MOMO,AIRTEL,CARDS'!NX4</f>
        <v>772900</v>
      </c>
      <c r="NZ13" s="22">
        <f>'MOMO,AIRTEL,CARDS'!NY4</f>
        <v>462000</v>
      </c>
      <c r="OA13" s="22">
        <f>'MOMO,AIRTEL,CARDS'!NZ4</f>
        <v>452000</v>
      </c>
      <c r="OB13" s="22">
        <f>'MOMO,AIRTEL,CARDS'!OA4</f>
        <v>557000</v>
      </c>
      <c r="OC13" s="22">
        <f>'MOMO,AIRTEL,CARDS'!OB4</f>
        <v>1035830</v>
      </c>
      <c r="OD13" s="22">
        <f>'MOMO,AIRTEL,CARDS'!OC4</f>
        <v>1547000</v>
      </c>
      <c r="OE13" s="22">
        <f>'MOMO,AIRTEL,CARDS'!OD4</f>
        <v>1918400</v>
      </c>
      <c r="OF13" s="22">
        <f>'MOMO,AIRTEL,CARDS'!OE4</f>
        <v>2252000</v>
      </c>
      <c r="OG13" s="22">
        <f>'MOMO,AIRTEL,CARDS'!OF4</f>
        <v>1551900</v>
      </c>
      <c r="OH13" s="22">
        <f>'MOMO,AIRTEL,CARDS'!OG4</f>
        <v>677000</v>
      </c>
      <c r="OI13" s="22">
        <f>'MOMO,AIRTEL,CARDS'!OH4</f>
        <v>982200</v>
      </c>
      <c r="OJ13" s="22">
        <f>'MOMO,AIRTEL,CARDS'!OI4</f>
        <v>1115000</v>
      </c>
      <c r="OK13" s="22">
        <f>'MOMO,AIRTEL,CARDS'!OJ4</f>
        <v>986000</v>
      </c>
      <c r="OL13" s="22">
        <f>'MOMO,AIRTEL,CARDS'!OK4</f>
        <v>924000</v>
      </c>
      <c r="OM13" s="22">
        <f>'MOMO,AIRTEL,CARDS'!OL4</f>
        <v>342000</v>
      </c>
      <c r="ON13" s="22">
        <f>'MOMO,AIRTEL,CARDS'!OM4</f>
        <v>1314000</v>
      </c>
      <c r="OO13" s="22">
        <f>'MOMO,AIRTEL,CARDS'!ON4</f>
        <v>490000</v>
      </c>
      <c r="OP13" s="22">
        <f>'MOMO,AIRTEL,CARDS'!OO4</f>
        <v>1405094</v>
      </c>
      <c r="OQ13" s="22">
        <f>'MOMO,AIRTEL,CARDS'!OP4</f>
        <v>1147003</v>
      </c>
      <c r="OR13" s="22">
        <f>'MOMO,AIRTEL,CARDS'!OQ4</f>
        <v>696412</v>
      </c>
      <c r="OS13" s="22">
        <f>'MOMO,AIRTEL,CARDS'!OR4</f>
        <v>1178398</v>
      </c>
      <c r="OT13" s="22">
        <f>'MOMO,AIRTEL,CARDS'!OS4</f>
        <v>1292000</v>
      </c>
      <c r="OU13" s="22">
        <f>'MOMO,AIRTEL,CARDS'!OT4</f>
        <v>1059000</v>
      </c>
      <c r="OV13" s="127">
        <f t="shared" si="66"/>
        <v>31928447</v>
      </c>
      <c r="OW13" s="22">
        <f>'MOMO,AIRTEL,CARDS'!OV4</f>
        <v>1082000</v>
      </c>
      <c r="OX13" s="22">
        <f>'MOMO,AIRTEL,CARDS'!OW4</f>
        <v>1121495</v>
      </c>
      <c r="OY13" s="22">
        <f>'MOMO,AIRTEL,CARDS'!OX4</f>
        <v>1266980</v>
      </c>
      <c r="OZ13" s="22">
        <f>'MOMO,AIRTEL,CARDS'!OY4</f>
        <v>770000</v>
      </c>
      <c r="PA13" s="22">
        <f>'MOMO,AIRTEL,CARDS'!OZ4</f>
        <v>968000</v>
      </c>
      <c r="PB13" s="22">
        <f>'MOMO,AIRTEL,CARDS'!PA4</f>
        <v>1111000</v>
      </c>
      <c r="PC13" s="22">
        <f>'MOMO,AIRTEL,CARDS'!PB4</f>
        <v>862500</v>
      </c>
      <c r="PD13" s="22">
        <f>'MOMO,AIRTEL,CARDS'!PC4</f>
        <v>1625000</v>
      </c>
      <c r="PE13" s="22">
        <f>'MOMO,AIRTEL,CARDS'!PD4</f>
        <v>788200</v>
      </c>
      <c r="PF13" s="22">
        <f>'MOMO,AIRTEL,CARDS'!PE4</f>
        <v>718000</v>
      </c>
      <c r="PG13" s="22">
        <f>'MOMO,AIRTEL,CARDS'!PF4</f>
        <v>1261000</v>
      </c>
      <c r="PH13" s="22">
        <f>'MOMO,AIRTEL,CARDS'!PG4</f>
        <v>1345000</v>
      </c>
      <c r="PI13" s="22">
        <f>'MOMO,AIRTEL,CARDS'!PH4</f>
        <v>1730538</v>
      </c>
      <c r="PJ13" s="22">
        <f>'MOMO,AIRTEL,CARDS'!PI4</f>
        <v>892000</v>
      </c>
      <c r="PK13" s="22">
        <f>'MOMO,AIRTEL,CARDS'!PJ4</f>
        <v>734900</v>
      </c>
      <c r="PL13" s="22">
        <f>'MOMO,AIRTEL,CARDS'!PK4</f>
        <v>1055132</v>
      </c>
      <c r="PM13" s="22">
        <f>'MOMO,AIRTEL,CARDS'!PL4</f>
        <v>355000</v>
      </c>
      <c r="PN13" s="22">
        <f>'MOMO,AIRTEL,CARDS'!PM4</f>
        <v>1257500</v>
      </c>
      <c r="PO13" s="22">
        <f>'MOMO,AIRTEL,CARDS'!PN4</f>
        <v>1540200</v>
      </c>
      <c r="PP13" s="22">
        <f>'MOMO,AIRTEL,CARDS'!PO4</f>
        <v>2783148</v>
      </c>
      <c r="PQ13" s="22">
        <f>'MOMO,AIRTEL,CARDS'!PP4</f>
        <v>812000</v>
      </c>
      <c r="PR13" s="22">
        <f>'MOMO,AIRTEL,CARDS'!PQ4</f>
        <v>542014</v>
      </c>
      <c r="PS13" s="22">
        <f>'MOMO,AIRTEL,CARDS'!PR4</f>
        <v>695000</v>
      </c>
      <c r="PT13" s="22">
        <f>'MOMO,AIRTEL,CARDS'!PS4</f>
        <v>724000</v>
      </c>
      <c r="PU13" s="22">
        <f>'MOMO,AIRTEL,CARDS'!PT4</f>
        <v>659980</v>
      </c>
      <c r="PV13" s="22">
        <f>'MOMO,AIRTEL,CARDS'!PU4</f>
        <v>1191000</v>
      </c>
      <c r="PW13" s="22">
        <f>'MOMO,AIRTEL,CARDS'!PV4</f>
        <v>799000</v>
      </c>
      <c r="PX13" s="22">
        <f>'MOMO,AIRTEL,CARDS'!PW4</f>
        <v>843500</v>
      </c>
      <c r="PY13" s="22">
        <f>'MOMO,AIRTEL,CARDS'!PX4</f>
        <v>590000</v>
      </c>
      <c r="PZ13" s="22">
        <f>'MOMO,AIRTEL,CARDS'!PY4</f>
        <v>736000</v>
      </c>
      <c r="QA13" s="127">
        <f t="shared" si="68"/>
        <v>30860087</v>
      </c>
      <c r="QB13" s="22">
        <f>'MOMO,AIRTEL,CARDS'!QA4</f>
        <v>768000</v>
      </c>
      <c r="QC13" s="22">
        <f>'MOMO,AIRTEL,CARDS'!QB4</f>
        <v>320000</v>
      </c>
      <c r="QD13" s="22">
        <f>'MOMO,AIRTEL,CARDS'!QC4</f>
        <v>907100</v>
      </c>
      <c r="QE13" s="22">
        <f>'MOMO,AIRTEL,CARDS'!QD4</f>
        <v>469000</v>
      </c>
      <c r="QF13" s="22">
        <f>'MOMO,AIRTEL,CARDS'!QE4</f>
        <v>1572150</v>
      </c>
      <c r="QG13" s="22">
        <f>'MOMO,AIRTEL,CARDS'!QF4</f>
        <v>798000</v>
      </c>
      <c r="QH13" s="22">
        <f>'MOMO,AIRTEL,CARDS'!QG4</f>
        <v>1112000</v>
      </c>
      <c r="QI13" s="22">
        <f>'MOMO,AIRTEL,CARDS'!QH4</f>
        <v>578980</v>
      </c>
      <c r="QJ13" s="22">
        <f>'MOMO,AIRTEL,CARDS'!QI4</f>
        <v>836100</v>
      </c>
      <c r="QK13" s="22">
        <f>'MOMO,AIRTEL,CARDS'!QJ4</f>
        <v>624000</v>
      </c>
      <c r="QL13" s="22">
        <f>'MOMO,AIRTEL,CARDS'!QK4</f>
        <v>857550</v>
      </c>
      <c r="QM13" s="22">
        <f>'MOMO,AIRTEL,CARDS'!QL4</f>
        <v>909000</v>
      </c>
      <c r="QN13" s="22">
        <f>'MOMO,AIRTEL,CARDS'!QM4</f>
        <v>1440902</v>
      </c>
      <c r="QO13" s="22">
        <f>'MOMO,AIRTEL,CARDS'!QN4</f>
        <v>1675400</v>
      </c>
      <c r="QP13" s="22">
        <f>'MOMO,AIRTEL,CARDS'!QO4</f>
        <v>971700</v>
      </c>
      <c r="QQ13" s="22">
        <f>'MOMO,AIRTEL,CARDS'!QP4</f>
        <v>1343500</v>
      </c>
      <c r="QR13" s="22">
        <f>'MOMO,AIRTEL,CARDS'!QQ4</f>
        <v>1050850</v>
      </c>
      <c r="QS13" s="22">
        <f>'MOMO,AIRTEL,CARDS'!QR4</f>
        <v>1140450</v>
      </c>
      <c r="QT13" s="22">
        <f>'MOMO,AIRTEL,CARDS'!QS4</f>
        <v>1231500</v>
      </c>
      <c r="QU13" s="22">
        <f>'MOMO,AIRTEL,CARDS'!QT4</f>
        <v>380000</v>
      </c>
      <c r="QV13" s="22">
        <f>'MOMO,AIRTEL,CARDS'!QU4</f>
        <v>753400</v>
      </c>
      <c r="QW13" s="22">
        <f>'MOMO,AIRTEL,CARDS'!QV4</f>
        <v>842100</v>
      </c>
      <c r="QX13" s="22">
        <f>'MOMO,AIRTEL,CARDS'!QW4</f>
        <v>485000</v>
      </c>
      <c r="QY13" s="22">
        <f>'MOMO,AIRTEL,CARDS'!QX4</f>
        <v>402960</v>
      </c>
      <c r="QZ13" s="22">
        <f>'MOMO,AIRTEL,CARDS'!QY4</f>
        <v>2106000</v>
      </c>
      <c r="RA13" s="22">
        <f>'MOMO,AIRTEL,CARDS'!QZ4</f>
        <v>1477000</v>
      </c>
      <c r="RB13" s="22">
        <f>'MOMO,AIRTEL,CARDS'!RA4</f>
        <v>267000</v>
      </c>
      <c r="RC13" s="22">
        <f>'MOMO,AIRTEL,CARDS'!RB4</f>
        <v>1260000</v>
      </c>
      <c r="RD13" s="22">
        <f>'MOMO,AIRTEL,CARDS'!RC4</f>
        <v>596188</v>
      </c>
      <c r="RE13" s="22">
        <f>'MOMO,AIRTEL,CARDS'!RD4</f>
        <v>790000</v>
      </c>
      <c r="RF13" s="22">
        <f>'MOMO,AIRTEL,CARDS'!RE4</f>
        <v>953500</v>
      </c>
      <c r="RG13" s="127">
        <f t="shared" si="147"/>
        <v>28151330</v>
      </c>
      <c r="RH13" s="22">
        <f>'MOMO,AIRTEL,CARDS'!RG4</f>
        <v>888000</v>
      </c>
      <c r="RI13" s="22">
        <f>'MOMO,AIRTEL,CARDS'!RH4</f>
        <v>1097000</v>
      </c>
      <c r="RJ13" s="22">
        <f>'MOMO,AIRTEL,CARDS'!RI4</f>
        <v>658000</v>
      </c>
      <c r="RK13" s="22">
        <f>'MOMO,AIRTEL,CARDS'!RJ4</f>
        <v>837017</v>
      </c>
      <c r="RL13" s="22">
        <f>'MOMO,AIRTEL,CARDS'!RK4</f>
        <v>809985</v>
      </c>
      <c r="RM13" s="22">
        <f>'MOMO,AIRTEL,CARDS'!RL4</f>
        <v>1352780</v>
      </c>
      <c r="RN13" s="22">
        <f>'MOMO,AIRTEL,CARDS'!RM4</f>
        <v>758000</v>
      </c>
      <c r="RO13" s="22">
        <f>'MOMO,AIRTEL,CARDS'!RN4</f>
        <v>1177000</v>
      </c>
      <c r="RP13" s="22">
        <f>'MOMO,AIRTEL,CARDS'!RO4</f>
        <v>1104000</v>
      </c>
      <c r="RQ13" s="22">
        <f>'MOMO,AIRTEL,CARDS'!RP4</f>
        <v>646752</v>
      </c>
      <c r="RR13" s="22">
        <f>'MOMO,AIRTEL,CARDS'!RQ4</f>
        <v>620000</v>
      </c>
      <c r="RS13" s="22">
        <f>'MOMO,AIRTEL,CARDS'!RR4</f>
        <v>2178000</v>
      </c>
      <c r="RT13" s="22">
        <f>'MOMO,AIRTEL,CARDS'!RS4</f>
        <v>1079599</v>
      </c>
      <c r="RU13" s="22">
        <f>'MOMO,AIRTEL,CARDS'!RT4</f>
        <v>410000</v>
      </c>
      <c r="RV13" s="22">
        <f>'MOMO,AIRTEL,CARDS'!RU4</f>
        <v>458000</v>
      </c>
      <c r="RW13" s="22">
        <f>'MOMO,AIRTEL,CARDS'!RV4</f>
        <v>521000</v>
      </c>
      <c r="RX13" s="22">
        <f>'MOMO,AIRTEL,CARDS'!RW4</f>
        <v>882000</v>
      </c>
      <c r="RY13" s="22">
        <f>'MOMO,AIRTEL,CARDS'!RX4</f>
        <v>734000</v>
      </c>
      <c r="RZ13" s="22">
        <f>'MOMO,AIRTEL,CARDS'!RY4</f>
        <v>934000</v>
      </c>
      <c r="SA13" s="22">
        <f>'MOMO,AIRTEL,CARDS'!RZ4</f>
        <v>1192000</v>
      </c>
      <c r="SB13" s="22">
        <f>'MOMO,AIRTEL,CARDS'!SA4</f>
        <v>837842</v>
      </c>
      <c r="SC13" s="22">
        <f>'MOMO,AIRTEL,CARDS'!SB4</f>
        <v>840000</v>
      </c>
      <c r="SD13" s="22">
        <f>'MOMO,AIRTEL,CARDS'!SC4</f>
        <v>588000</v>
      </c>
      <c r="SE13" s="22">
        <f>'MOMO,AIRTEL,CARDS'!SD4</f>
        <v>450000</v>
      </c>
      <c r="SF13" s="22">
        <f>'MOMO,AIRTEL,CARDS'!SE4</f>
        <v>1165800</v>
      </c>
      <c r="SG13" s="22">
        <f>'MOMO,AIRTEL,CARDS'!SF4</f>
        <v>834333</v>
      </c>
      <c r="SH13" s="22">
        <f>'MOMO,AIRTEL,CARDS'!SG4</f>
        <v>2060000</v>
      </c>
      <c r="SI13" s="22">
        <f>'MOMO,AIRTEL,CARDS'!SH4</f>
        <v>925380</v>
      </c>
      <c r="SJ13" s="22">
        <f>'MOMO,AIRTEL,CARDS'!SI4</f>
        <v>1140000</v>
      </c>
      <c r="SK13" s="22">
        <f>'MOMO,AIRTEL,CARDS'!SJ4</f>
        <v>1205000</v>
      </c>
      <c r="SL13" s="127">
        <f t="shared" si="149"/>
        <v>28383488</v>
      </c>
      <c r="SM13" s="22">
        <f>'MOMO,AIRTEL,CARDS'!SL4</f>
        <v>408900</v>
      </c>
      <c r="SN13" s="22">
        <f>'MOMO,AIRTEL,CARDS'!SM4</f>
        <v>820000</v>
      </c>
      <c r="SO13" s="22">
        <f>'MOMO,AIRTEL,CARDS'!SN4</f>
        <v>1275400</v>
      </c>
      <c r="SP13" s="22">
        <f>'MOMO,AIRTEL,CARDS'!SO4</f>
        <v>1181500</v>
      </c>
      <c r="SQ13" s="22">
        <f>'MOMO,AIRTEL,CARDS'!SP4</f>
        <v>1570850</v>
      </c>
      <c r="SR13" s="22">
        <f>'MOMO,AIRTEL,CARDS'!SQ4</f>
        <v>803500</v>
      </c>
      <c r="SS13" s="22">
        <f>'MOMO,AIRTEL,CARDS'!SR4</f>
        <v>1469000</v>
      </c>
      <c r="ST13" s="22">
        <f>'MOMO,AIRTEL,CARDS'!SS4</f>
        <v>1278802</v>
      </c>
      <c r="SU13" s="22">
        <f>'MOMO,AIRTEL,CARDS'!ST4</f>
        <v>1370000</v>
      </c>
      <c r="SV13" s="22">
        <f>'MOMO,AIRTEL,CARDS'!SU4</f>
        <v>1715128</v>
      </c>
      <c r="SW13" s="22">
        <f>'MOMO,AIRTEL,CARDS'!SV4</f>
        <v>1590000</v>
      </c>
      <c r="SX13" s="22">
        <f>'MOMO,AIRTEL,CARDS'!SW4</f>
        <v>822800</v>
      </c>
      <c r="SY13" s="22">
        <f>'MOMO,AIRTEL,CARDS'!SX4</f>
        <v>2290090</v>
      </c>
      <c r="SZ13" s="22">
        <f>'MOMO,AIRTEL,CARDS'!SY4</f>
        <v>1148109</v>
      </c>
      <c r="TA13" s="22">
        <f>'MOMO,AIRTEL,CARDS'!SZ4</f>
        <v>956000</v>
      </c>
      <c r="TB13" s="22">
        <f>'MOMO,AIRTEL,CARDS'!TA4</f>
        <v>1747890</v>
      </c>
      <c r="TC13" s="22">
        <f>'MOMO,AIRTEL,CARDS'!TB4</f>
        <v>2034950</v>
      </c>
      <c r="TD13" s="22">
        <f>'MOMO,AIRTEL,CARDS'!TC4</f>
        <v>601000</v>
      </c>
      <c r="TE13" s="22">
        <f>'MOMO,AIRTEL,CARDS'!TD4</f>
        <v>1859222</v>
      </c>
      <c r="TF13" s="22">
        <f>'MOMO,AIRTEL,CARDS'!TE4</f>
        <v>1181429</v>
      </c>
      <c r="TG13" s="22">
        <f>'MOMO,AIRTEL,CARDS'!TF4</f>
        <v>1247000</v>
      </c>
      <c r="TH13" s="22">
        <f>'MOMO,AIRTEL,CARDS'!TG4</f>
        <v>3046264</v>
      </c>
      <c r="TI13" s="22">
        <f>'MOMO,AIRTEL,CARDS'!TH4</f>
        <v>1196000</v>
      </c>
      <c r="TJ13" s="22">
        <f>'MOMO,AIRTEL,CARDS'!TI4</f>
        <v>572000</v>
      </c>
      <c r="TK13" s="22">
        <f>'MOMO,AIRTEL,CARDS'!TJ4</f>
        <v>779559</v>
      </c>
      <c r="TL13" s="22">
        <f>'MOMO,AIRTEL,CARDS'!TK4</f>
        <v>671000</v>
      </c>
      <c r="TM13" s="22">
        <f>'MOMO,AIRTEL,CARDS'!TL4</f>
        <v>1661352</v>
      </c>
      <c r="TN13" s="22">
        <f>'MOMO,AIRTEL,CARDS'!TM4</f>
        <v>618000</v>
      </c>
      <c r="TO13" s="22">
        <f>'MOMO,AIRTEL,CARDS'!TN4</f>
        <v>1313500</v>
      </c>
      <c r="TP13" s="22">
        <f>'MOMO,AIRTEL,CARDS'!TO4</f>
        <v>643000</v>
      </c>
      <c r="TQ13" s="22">
        <f>'MOMO,AIRTEL,CARDS'!TP4</f>
        <v>1383000</v>
      </c>
      <c r="TR13" s="127">
        <f t="shared" si="151"/>
        <v>38846345</v>
      </c>
      <c r="TS13" s="22">
        <f>'MOMO,AIRTEL,CARDS'!TR4</f>
        <v>641000</v>
      </c>
      <c r="TT13" s="22">
        <f>'MOMO,AIRTEL,CARDS'!TS4</f>
        <v>847000</v>
      </c>
      <c r="TU13" s="22">
        <f>'MOMO,AIRTEL,CARDS'!TT4</f>
        <v>755000</v>
      </c>
      <c r="TV13" s="22">
        <f>'MOMO,AIRTEL,CARDS'!TU4</f>
        <v>1901000</v>
      </c>
      <c r="TW13" s="22">
        <f>'MOMO,AIRTEL,CARDS'!TV4</f>
        <v>1267800</v>
      </c>
      <c r="TX13" s="22">
        <f>'MOMO,AIRTEL,CARDS'!TW4</f>
        <v>1721000</v>
      </c>
      <c r="TY13" s="22">
        <f>'MOMO,AIRTEL,CARDS'!TX4</f>
        <v>840000</v>
      </c>
      <c r="TZ13" s="22">
        <f>'MOMO,AIRTEL,CARDS'!TY4</f>
        <v>1630000</v>
      </c>
      <c r="UA13" s="22">
        <f>'MOMO,AIRTEL,CARDS'!TZ4</f>
        <v>902000</v>
      </c>
      <c r="UB13" s="22">
        <f>'MOMO,AIRTEL,CARDS'!UA4</f>
        <v>2456590</v>
      </c>
      <c r="UC13" s="22">
        <f>'MOMO,AIRTEL,CARDS'!UB4</f>
        <v>538000</v>
      </c>
      <c r="UD13" s="22">
        <f>'MOMO,AIRTEL,CARDS'!UC4</f>
        <v>1376000</v>
      </c>
      <c r="UE13" s="22">
        <f>'MOMO,AIRTEL,CARDS'!UD4</f>
        <v>1391700</v>
      </c>
      <c r="UF13" s="22">
        <f>'MOMO,AIRTEL,CARDS'!UE4</f>
        <v>1799600</v>
      </c>
      <c r="UG13" s="22">
        <f>'MOMO,AIRTEL,CARDS'!UF4</f>
        <v>2289000</v>
      </c>
      <c r="UH13" s="22">
        <f>'MOMO,AIRTEL,CARDS'!UG4</f>
        <v>1722500</v>
      </c>
      <c r="UI13" s="22">
        <f>'MOMO,AIRTEL,CARDS'!UH4</f>
        <v>1480000</v>
      </c>
      <c r="UJ13" s="22">
        <f>'MOMO,AIRTEL,CARDS'!UI4</f>
        <v>1904000</v>
      </c>
      <c r="UK13" s="22">
        <f>'MOMO,AIRTEL,CARDS'!UJ4</f>
        <v>1559000</v>
      </c>
      <c r="UL13" s="22">
        <f>'MOMO,AIRTEL,CARDS'!UK4</f>
        <v>1093000</v>
      </c>
      <c r="UM13" s="22">
        <f>'MOMO,AIRTEL,CARDS'!UL4</f>
        <v>1025063</v>
      </c>
      <c r="UN13" s="22">
        <f>'MOMO,AIRTEL,CARDS'!UM4</f>
        <v>774500</v>
      </c>
      <c r="UO13" s="22">
        <f>'MOMO,AIRTEL,CARDS'!UN4</f>
        <v>1146000</v>
      </c>
      <c r="UP13" s="22">
        <f>'MOMO,AIRTEL,CARDS'!UO4</f>
        <v>1679000</v>
      </c>
      <c r="UQ13" s="22">
        <f>'MOMO,AIRTEL,CARDS'!UP4</f>
        <v>1427000</v>
      </c>
      <c r="UR13" s="22">
        <f>'MOMO,AIRTEL,CARDS'!UQ4</f>
        <v>851000</v>
      </c>
      <c r="US13" s="22">
        <f>'MOMO,AIRTEL,CARDS'!UR4</f>
        <v>1651000</v>
      </c>
      <c r="UT13" s="22">
        <f>'MOMO,AIRTEL,CARDS'!US4</f>
        <v>1429000</v>
      </c>
      <c r="UU13" s="22">
        <f>'MOMO,AIRTEL,CARDS'!UT4</f>
        <v>781000</v>
      </c>
      <c r="UV13" s="22">
        <f>'MOMO,AIRTEL,CARDS'!UU4</f>
        <v>368000</v>
      </c>
      <c r="UW13" s="22">
        <f>'MOMO,AIRTEL,CARDS'!UV4</f>
        <v>1191000</v>
      </c>
      <c r="UX13" s="127">
        <f t="shared" si="153"/>
        <v>39795753</v>
      </c>
      <c r="UY13" s="22">
        <f>'MOMO,AIRTEL,CARDS'!UX4</f>
        <v>796000</v>
      </c>
      <c r="UZ13" s="22">
        <f>'MOMO,AIRTEL,CARDS'!UY4</f>
        <v>866000</v>
      </c>
      <c r="VA13" s="22">
        <f>'MOMO,AIRTEL,CARDS'!UZ4</f>
        <v>2355260</v>
      </c>
      <c r="VB13" s="22">
        <f>'MOMO,AIRTEL,CARDS'!VA4</f>
        <v>905000</v>
      </c>
      <c r="VC13" s="22">
        <f>'MOMO,AIRTEL,CARDS'!VB4</f>
        <v>1027000</v>
      </c>
      <c r="VD13" s="22">
        <f>'MOMO,AIRTEL,CARDS'!VC4</f>
        <v>1294000</v>
      </c>
      <c r="VE13" s="22">
        <f>'MOMO,AIRTEL,CARDS'!VD4</f>
        <v>826500</v>
      </c>
      <c r="VF13" s="22">
        <f>'MOMO,AIRTEL,CARDS'!VE4</f>
        <v>2025000</v>
      </c>
      <c r="VG13" s="22">
        <f>'MOMO,AIRTEL,CARDS'!VF4</f>
        <v>226000</v>
      </c>
      <c r="VH13" s="22">
        <f>'MOMO,AIRTEL,CARDS'!VG4</f>
        <v>1033000</v>
      </c>
      <c r="VI13" s="22">
        <f>'MOMO,AIRTEL,CARDS'!VH4</f>
        <v>462000</v>
      </c>
      <c r="VJ13" s="22">
        <f>'MOMO,AIRTEL,CARDS'!VI4</f>
        <v>950000</v>
      </c>
      <c r="VK13" s="22">
        <f>'MOMO,AIRTEL,CARDS'!VJ4</f>
        <v>884000</v>
      </c>
      <c r="VL13" s="22">
        <f>'MOMO,AIRTEL,CARDS'!VK4</f>
        <v>864000</v>
      </c>
      <c r="VM13" s="22">
        <f>'MOMO,AIRTEL,CARDS'!VL4</f>
        <v>1089000</v>
      </c>
      <c r="VN13" s="22">
        <f>'MOMO,AIRTEL,CARDS'!VM4</f>
        <v>1230520</v>
      </c>
      <c r="VO13" s="22">
        <f>'MOMO,AIRTEL,CARDS'!VN4</f>
        <v>562000</v>
      </c>
      <c r="VP13" s="22">
        <f>'MOMO,AIRTEL,CARDS'!VO4</f>
        <v>384000</v>
      </c>
      <c r="VQ13" s="22">
        <f>'MOMO,AIRTEL,CARDS'!VP4</f>
        <v>910000</v>
      </c>
      <c r="VR13" s="22">
        <f>'MOMO,AIRTEL,CARDS'!VQ4</f>
        <v>1249106</v>
      </c>
      <c r="VS13" s="22">
        <f>'MOMO,AIRTEL,CARDS'!VR4</f>
        <v>1495000</v>
      </c>
      <c r="VT13" s="22">
        <f>'MOMO,AIRTEL,CARDS'!VS4</f>
        <v>1860000</v>
      </c>
      <c r="VU13" s="22">
        <f>'MOMO,AIRTEL,CARDS'!VT4</f>
        <v>1260500</v>
      </c>
      <c r="VV13" s="22">
        <f>'MOMO,AIRTEL,CARDS'!VU4</f>
        <v>1965332</v>
      </c>
      <c r="VW13" s="22">
        <f>'MOMO,AIRTEL,CARDS'!VV4</f>
        <v>1037000</v>
      </c>
      <c r="VX13" s="22">
        <f>'MOMO,AIRTEL,CARDS'!VW4</f>
        <v>1880000</v>
      </c>
      <c r="VY13" s="22">
        <f>'MOMO,AIRTEL,CARDS'!VX4</f>
        <v>1884000</v>
      </c>
      <c r="VZ13" s="22">
        <f>'MOMO,AIRTEL,CARDS'!VY4</f>
        <v>1250000</v>
      </c>
      <c r="WA13" s="127">
        <f>SUM(UY13:VZ13)</f>
        <v>32570218</v>
      </c>
      <c r="WB13" s="22">
        <f>'MOMO,AIRTEL,CARDS'!WA4</f>
        <v>1608652</v>
      </c>
      <c r="WC13" s="22">
        <f>'MOMO,AIRTEL,CARDS'!WB4</f>
        <v>917000</v>
      </c>
      <c r="WD13" s="22">
        <f>'MOMO,AIRTEL,CARDS'!WC4</f>
        <v>911500</v>
      </c>
      <c r="WE13" s="22">
        <f>'MOMO,AIRTEL,CARDS'!WD4</f>
        <v>840000</v>
      </c>
      <c r="WF13" s="22">
        <f>'MOMO,AIRTEL,CARDS'!WE4</f>
        <v>967200</v>
      </c>
      <c r="WG13" s="22">
        <f>'MOMO,AIRTEL,CARDS'!WF4</f>
        <v>1130000</v>
      </c>
      <c r="WH13" s="22">
        <f>'MOMO,AIRTEL,CARDS'!WG4</f>
        <v>729000</v>
      </c>
      <c r="WI13" s="22">
        <f>'MOMO,AIRTEL,CARDS'!WH4</f>
        <v>382000</v>
      </c>
      <c r="WJ13" s="22">
        <f>'MOMO,AIRTEL,CARDS'!WI4</f>
        <v>484000</v>
      </c>
      <c r="WK13" s="22">
        <f>'MOMO,AIRTEL,CARDS'!WJ4</f>
        <v>841000</v>
      </c>
      <c r="WL13" s="22">
        <f>'MOMO,AIRTEL,CARDS'!WK4</f>
        <v>1610000</v>
      </c>
      <c r="WM13" s="22">
        <f>'MOMO,AIRTEL,CARDS'!WL4</f>
        <v>511000</v>
      </c>
      <c r="WN13" s="22">
        <f>'MOMO,AIRTEL,CARDS'!WM4</f>
        <v>611500</v>
      </c>
      <c r="WO13" s="22">
        <f>'MOMO,AIRTEL,CARDS'!WN4</f>
        <v>1051000</v>
      </c>
      <c r="WP13" s="22">
        <f>'MOMO,AIRTEL,CARDS'!WO4</f>
        <v>1661050</v>
      </c>
      <c r="WQ13" s="22">
        <f>'MOMO,AIRTEL,CARDS'!WP4</f>
        <v>885000</v>
      </c>
      <c r="WR13" s="22">
        <f>'MOMO,AIRTEL,CARDS'!WQ4</f>
        <v>104000</v>
      </c>
      <c r="WS13" s="22">
        <f>'MOMO,AIRTEL,CARDS'!WR4</f>
        <v>0</v>
      </c>
      <c r="WT13" s="22">
        <f>'MOMO,AIRTEL,CARDS'!WS4</f>
        <v>478705</v>
      </c>
      <c r="WU13" s="22">
        <f>'MOMO,AIRTEL,CARDS'!WT4</f>
        <v>560000</v>
      </c>
      <c r="WV13" s="22">
        <f>'MOMO,AIRTEL,CARDS'!WU4</f>
        <v>578000</v>
      </c>
      <c r="WW13" s="22">
        <f>'MOMO,AIRTEL,CARDS'!WV4</f>
        <v>1439000</v>
      </c>
      <c r="WX13" s="22">
        <f>'MOMO,AIRTEL,CARDS'!WW4</f>
        <v>922000</v>
      </c>
      <c r="WY13" s="22">
        <f>'MOMO,AIRTEL,CARDS'!WX4</f>
        <v>2004000</v>
      </c>
      <c r="WZ13" s="22">
        <f>'MOMO,AIRTEL,CARDS'!WY4</f>
        <v>355000</v>
      </c>
      <c r="XA13" s="22">
        <f>'MOMO,AIRTEL,CARDS'!WZ4</f>
        <v>1618000</v>
      </c>
      <c r="XB13" s="22">
        <f>'MOMO,AIRTEL,CARDS'!XA4</f>
        <v>1428800</v>
      </c>
      <c r="XC13" s="22">
        <f>'MOMO,AIRTEL,CARDS'!XB4</f>
        <v>1293474</v>
      </c>
      <c r="XD13" s="22">
        <f>'MOMO,AIRTEL,CARDS'!XC4</f>
        <v>653000</v>
      </c>
      <c r="XE13" s="22">
        <f>'MOMO,AIRTEL,CARDS'!XD4</f>
        <v>2462000</v>
      </c>
      <c r="XF13" s="22">
        <f>'MOMO,AIRTEL,CARDS'!XE4</f>
        <v>1386000</v>
      </c>
      <c r="XG13" s="127">
        <f t="shared" si="156"/>
        <v>30421881</v>
      </c>
      <c r="XH13" s="22">
        <f>'MOMO,AIRTEL,CARDS'!XG4</f>
        <v>1520000</v>
      </c>
      <c r="XI13" s="22">
        <f>'MOMO,AIRTEL,CARDS'!XH4</f>
        <v>1163890</v>
      </c>
      <c r="XJ13" s="22">
        <f>'MOMO,AIRTEL,CARDS'!XI4</f>
        <v>2025000</v>
      </c>
      <c r="XK13" s="22">
        <f>'MOMO,AIRTEL,CARDS'!XJ4</f>
        <v>997000</v>
      </c>
      <c r="XL13" s="22">
        <f>'MOMO,AIRTEL,CARDS'!XK4</f>
        <v>1226585</v>
      </c>
      <c r="XM13" s="22">
        <f>'MOMO,AIRTEL,CARDS'!XL4</f>
        <v>646000</v>
      </c>
      <c r="XN13" s="22">
        <f>'MOMO,AIRTEL,CARDS'!XM4</f>
        <v>1453965</v>
      </c>
      <c r="XO13" s="22">
        <f>'MOMO,AIRTEL,CARDS'!XN4</f>
        <v>727200</v>
      </c>
      <c r="XP13" s="22">
        <f>'MOMO,AIRTEL,CARDS'!XO4</f>
        <v>548850</v>
      </c>
      <c r="XQ13" s="22">
        <f>'MOMO,AIRTEL,CARDS'!XP4</f>
        <v>758000</v>
      </c>
      <c r="XR13" s="22">
        <f>'MOMO,AIRTEL,CARDS'!XQ4</f>
        <v>707000</v>
      </c>
      <c r="XS13" s="22">
        <f>'MOMO,AIRTEL,CARDS'!XR4</f>
        <v>1865954</v>
      </c>
      <c r="XT13" s="22">
        <f>'MOMO,AIRTEL,CARDS'!XS4</f>
        <v>745000</v>
      </c>
      <c r="XU13" s="22">
        <f>'MOMO,AIRTEL,CARDS'!XT4</f>
        <v>1457850</v>
      </c>
      <c r="XV13" s="22">
        <f>'MOMO,AIRTEL,CARDS'!XU4</f>
        <v>1290000</v>
      </c>
      <c r="XW13" s="22">
        <f>'MOMO,AIRTEL,CARDS'!XV4</f>
        <v>1035000</v>
      </c>
      <c r="XX13" s="22">
        <f>'MOMO,AIRTEL,CARDS'!XW4</f>
        <v>1092000</v>
      </c>
      <c r="XY13" s="22">
        <f>'MOMO,AIRTEL,CARDS'!XX4</f>
        <v>530000</v>
      </c>
      <c r="XZ13" s="22">
        <f>'MOMO,AIRTEL,CARDS'!XY4</f>
        <v>625030</v>
      </c>
      <c r="YA13" s="22">
        <f>'MOMO,AIRTEL,CARDS'!XZ4</f>
        <v>350000</v>
      </c>
      <c r="YB13" s="22">
        <f>'MOMO,AIRTEL,CARDS'!YA4</f>
        <v>986000</v>
      </c>
      <c r="YC13" s="22">
        <f>'MOMO,AIRTEL,CARDS'!YB4</f>
        <v>996000</v>
      </c>
      <c r="YD13" s="22">
        <f>'MOMO,AIRTEL,CARDS'!YC4</f>
        <v>1942000</v>
      </c>
      <c r="YE13" s="22">
        <f>'MOMO,AIRTEL,CARDS'!YD4</f>
        <v>532000</v>
      </c>
      <c r="YF13" s="22">
        <f>'MOMO,AIRTEL,CARDS'!YE4</f>
        <v>921000</v>
      </c>
      <c r="YG13" s="22">
        <f>'MOMO,AIRTEL,CARDS'!YF4</f>
        <v>770000</v>
      </c>
      <c r="YH13" s="22">
        <f>'MOMO,AIRTEL,CARDS'!YG4</f>
        <v>686000</v>
      </c>
      <c r="YI13" s="22">
        <f>'MOMO,AIRTEL,CARDS'!YH4</f>
        <v>373000</v>
      </c>
      <c r="YJ13" s="22">
        <f>'MOMO,AIRTEL,CARDS'!YI4</f>
        <v>1210266</v>
      </c>
      <c r="YK13" s="22">
        <f>'MOMO,AIRTEL,CARDS'!YJ4</f>
        <v>358000</v>
      </c>
      <c r="YL13" s="127">
        <f t="shared" si="158"/>
        <v>29538590</v>
      </c>
      <c r="YM13" s="22">
        <f>'MOMO,AIRTEL,CARDS'!YL4</f>
        <v>2827000</v>
      </c>
      <c r="YN13" s="22">
        <f>'MOMO,AIRTEL,CARDS'!YM4</f>
        <v>1098256</v>
      </c>
      <c r="YO13" s="22">
        <f>'MOMO,AIRTEL,CARDS'!YN4</f>
        <v>937000</v>
      </c>
      <c r="YP13" s="22">
        <f>'MOMO,AIRTEL,CARDS'!YO4</f>
        <v>864500</v>
      </c>
      <c r="YQ13" s="22">
        <f>'MOMO,AIRTEL,CARDS'!YP4</f>
        <v>1315000</v>
      </c>
      <c r="YR13" s="22">
        <f>'MOMO,AIRTEL,CARDS'!YQ4</f>
        <v>1103000</v>
      </c>
      <c r="YS13" s="22">
        <f>'MOMO,AIRTEL,CARDS'!YR4</f>
        <v>1169676</v>
      </c>
      <c r="YT13" s="22">
        <f>'MOMO,AIRTEL,CARDS'!YS4</f>
        <v>736500</v>
      </c>
      <c r="YU13" s="22">
        <f>'MOMO,AIRTEL,CARDS'!YT4</f>
        <v>982000</v>
      </c>
      <c r="YV13" s="22">
        <f>'MOMO,AIRTEL,CARDS'!YU4</f>
        <v>1235832</v>
      </c>
      <c r="YW13" s="22">
        <f>'MOMO,AIRTEL,CARDS'!YV4</f>
        <v>1252000</v>
      </c>
      <c r="YX13" s="22">
        <f>'MOMO,AIRTEL,CARDS'!YW4</f>
        <v>840450</v>
      </c>
      <c r="YY13" s="22">
        <f>'MOMO,AIRTEL,CARDS'!YX4</f>
        <v>824000</v>
      </c>
      <c r="YZ13" s="22">
        <f>'MOMO,AIRTEL,CARDS'!YY4</f>
        <v>733500</v>
      </c>
      <c r="ZA13" s="22">
        <f>'MOMO,AIRTEL,CARDS'!YZ4</f>
        <v>1793000</v>
      </c>
      <c r="ZB13" s="22">
        <f>'MOMO,AIRTEL,CARDS'!ZA4</f>
        <v>1392000</v>
      </c>
      <c r="ZC13" s="22">
        <f>'MOMO,AIRTEL,CARDS'!ZB4</f>
        <v>642000</v>
      </c>
      <c r="ZD13" s="22">
        <f>'MOMO,AIRTEL,CARDS'!ZC4</f>
        <v>881000</v>
      </c>
      <c r="ZE13" s="22">
        <f>'MOMO,AIRTEL,CARDS'!ZD4</f>
        <v>1561000</v>
      </c>
      <c r="ZF13" s="22">
        <f>'MOMO,AIRTEL,CARDS'!ZE4</f>
        <v>470000</v>
      </c>
      <c r="ZG13" s="22">
        <f>'MOMO,AIRTEL,CARDS'!ZF4</f>
        <v>1294700</v>
      </c>
      <c r="ZH13" s="22">
        <f>'MOMO,AIRTEL,CARDS'!ZG4</f>
        <v>1474750</v>
      </c>
      <c r="ZI13" s="22">
        <f>'MOMO,AIRTEL,CARDS'!ZH4</f>
        <v>1068000</v>
      </c>
      <c r="ZJ13" s="22">
        <f>'MOMO,AIRTEL,CARDS'!ZI4</f>
        <v>1325000</v>
      </c>
      <c r="ZK13" s="22">
        <f>'MOMO,AIRTEL,CARDS'!ZJ4</f>
        <v>806500</v>
      </c>
      <c r="ZL13" s="22">
        <f>'MOMO,AIRTEL,CARDS'!ZK4</f>
        <v>1456719</v>
      </c>
      <c r="ZM13" s="22">
        <f>'MOMO,AIRTEL,CARDS'!ZL4</f>
        <v>2515000</v>
      </c>
      <c r="ZN13" s="22">
        <f>'MOMO,AIRTEL,CARDS'!ZM4</f>
        <v>1405000</v>
      </c>
      <c r="ZO13" s="22">
        <f>'MOMO,AIRTEL,CARDS'!ZN4</f>
        <v>662500</v>
      </c>
      <c r="ZP13" s="22">
        <f>'MOMO,AIRTEL,CARDS'!ZO4</f>
        <v>842500</v>
      </c>
      <c r="ZQ13" s="22">
        <f>'MOMO,AIRTEL,CARDS'!ZP4</f>
        <v>806000</v>
      </c>
      <c r="ZR13" s="127">
        <f t="shared" si="113"/>
        <v>36314383</v>
      </c>
      <c r="ZS13" s="22">
        <f>'MOMO,AIRTEL,CARDS'!ZR4</f>
        <v>1700000</v>
      </c>
      <c r="ZT13" s="22">
        <f>'MOMO,AIRTEL,CARDS'!ZS4</f>
        <v>1007000</v>
      </c>
      <c r="ZU13" s="22">
        <f>'MOMO,AIRTEL,CARDS'!ZT4</f>
        <v>1258000</v>
      </c>
      <c r="ZV13" s="22">
        <f>'MOMO,AIRTEL,CARDS'!ZU4</f>
        <v>2037740</v>
      </c>
      <c r="ZW13" s="22">
        <f>'MOMO,AIRTEL,CARDS'!ZV4</f>
        <v>1400000</v>
      </c>
      <c r="ZX13" s="22">
        <f>'MOMO,AIRTEL,CARDS'!ZW4</f>
        <v>1558046</v>
      </c>
      <c r="ZY13" s="22">
        <f>'MOMO,AIRTEL,CARDS'!ZX4</f>
        <v>1067950</v>
      </c>
      <c r="ZZ13" s="22">
        <f>'MOMO,AIRTEL,CARDS'!ZY4</f>
        <v>874500</v>
      </c>
      <c r="AAA13" s="22">
        <f>'MOMO,AIRTEL,CARDS'!ZZ4</f>
        <v>1500000</v>
      </c>
      <c r="AAB13" s="22">
        <f>'MOMO,AIRTEL,CARDS'!AAA4</f>
        <v>820000</v>
      </c>
      <c r="AAC13" s="22">
        <f>'MOMO,AIRTEL,CARDS'!AAB4</f>
        <v>557000</v>
      </c>
      <c r="AAD13" s="22">
        <f>'MOMO,AIRTEL,CARDS'!AAC4</f>
        <v>1795000</v>
      </c>
      <c r="AAE13" s="22">
        <f>'MOMO,AIRTEL,CARDS'!AAD4</f>
        <v>1264000</v>
      </c>
      <c r="AAF13" s="22">
        <f>'MOMO,AIRTEL,CARDS'!AAE4</f>
        <v>1283816</v>
      </c>
      <c r="AAG13" s="22">
        <f>'MOMO,AIRTEL,CARDS'!AAF4</f>
        <v>846472</v>
      </c>
      <c r="AAH13" s="22">
        <f>'MOMO,AIRTEL,CARDS'!AAG4</f>
        <v>862700</v>
      </c>
      <c r="AAI13" s="22">
        <f>'MOMO,AIRTEL,CARDS'!AAH4</f>
        <v>1286000</v>
      </c>
      <c r="AAJ13" s="22">
        <f>'MOMO,AIRTEL,CARDS'!AAI4</f>
        <v>1083832</v>
      </c>
      <c r="AAK13" s="22">
        <f>'MOMO,AIRTEL,CARDS'!AAJ4</f>
        <v>1737482</v>
      </c>
      <c r="AAL13" s="22">
        <f>'MOMO,AIRTEL,CARDS'!AAK4</f>
        <v>1940600</v>
      </c>
      <c r="AAM13" s="22">
        <f>'MOMO,AIRTEL,CARDS'!AAL4</f>
        <v>856880</v>
      </c>
      <c r="AAN13" s="22">
        <f>'MOMO,AIRTEL,CARDS'!AAM4</f>
        <v>1585000</v>
      </c>
      <c r="AAO13" s="22">
        <f>'MOMO,AIRTEL,CARDS'!AAN4</f>
        <v>1065000</v>
      </c>
      <c r="AAP13" s="22">
        <f>'MOMO,AIRTEL,CARDS'!AAO4</f>
        <v>1299500</v>
      </c>
      <c r="AAQ13" s="22">
        <f>'MOMO,AIRTEL,CARDS'!AAP4</f>
        <v>902509</v>
      </c>
      <c r="AAR13" s="22">
        <f>'MOMO,AIRTEL,CARDS'!AAQ4</f>
        <v>1707000</v>
      </c>
      <c r="AAS13" s="22">
        <f>'MOMO,AIRTEL,CARDS'!AAR4</f>
        <v>1340000</v>
      </c>
      <c r="AAT13" s="22">
        <f>'MOMO,AIRTEL,CARDS'!AAS4</f>
        <v>1388500</v>
      </c>
      <c r="AAU13" s="22">
        <f>'MOMO,AIRTEL,CARDS'!AAT4</f>
        <v>904000</v>
      </c>
      <c r="AAV13" s="22">
        <f>'MOMO,AIRTEL,CARDS'!AAU4</f>
        <v>1704000</v>
      </c>
      <c r="AAW13" s="127">
        <f t="shared" si="115"/>
        <v>38632527</v>
      </c>
      <c r="AAX13" s="22">
        <f>'MOMO,AIRTEL,CARDS'!AAW4</f>
        <v>989000</v>
      </c>
      <c r="AAY13" s="22">
        <f>'MOMO,AIRTEL,CARDS'!AAX4</f>
        <v>475000</v>
      </c>
      <c r="AAZ13" s="22">
        <f>'MOMO,AIRTEL,CARDS'!AAY4</f>
        <v>878000</v>
      </c>
      <c r="ABA13" s="22">
        <f>'MOMO,AIRTEL,CARDS'!AAZ4</f>
        <v>1711000</v>
      </c>
      <c r="ABB13" s="22">
        <f>'MOMO,AIRTEL,CARDS'!ABA4</f>
        <v>1003500</v>
      </c>
      <c r="ABC13" s="22">
        <f>'MOMO,AIRTEL,CARDS'!ABB4</f>
        <v>1699500</v>
      </c>
      <c r="ABD13" s="22">
        <f>'MOMO,AIRTEL,CARDS'!ABC4</f>
        <v>540200</v>
      </c>
      <c r="ABE13" s="22">
        <f>'MOMO,AIRTEL,CARDS'!ABD4</f>
        <v>1891997</v>
      </c>
      <c r="ABF13" s="22">
        <f>'MOMO,AIRTEL,CARDS'!ABE4</f>
        <v>643000</v>
      </c>
      <c r="ABG13" s="22">
        <f>'MOMO,AIRTEL,CARDS'!ABF4</f>
        <v>1083542</v>
      </c>
      <c r="ABH13" s="22">
        <f>'MOMO,AIRTEL,CARDS'!ABG4</f>
        <v>2508235</v>
      </c>
      <c r="ABI13" s="22">
        <f>'MOMO,AIRTEL,CARDS'!ABH4</f>
        <v>930000</v>
      </c>
      <c r="ABJ13" s="22">
        <f>'MOMO,AIRTEL,CARDS'!ABI4</f>
        <v>1800000</v>
      </c>
      <c r="ABK13" s="22">
        <f>'MOMO,AIRTEL,CARDS'!ABJ4</f>
        <v>1536831</v>
      </c>
      <c r="ABL13" s="22">
        <f>'MOMO,AIRTEL,CARDS'!ABK4</f>
        <v>928000</v>
      </c>
      <c r="ABM13" s="22">
        <f>'MOMO,AIRTEL,CARDS'!ABL4</f>
        <v>655000</v>
      </c>
      <c r="ABN13" s="22">
        <f>'MOMO,AIRTEL,CARDS'!ABM4</f>
        <v>2021000</v>
      </c>
      <c r="ABO13" s="22">
        <f>'MOMO,AIRTEL,CARDS'!ABN4</f>
        <v>1669800</v>
      </c>
      <c r="ABP13" s="22">
        <f>'MOMO,AIRTEL,CARDS'!ABO4</f>
        <v>1325000</v>
      </c>
      <c r="ABQ13" s="22">
        <f>'MOMO,AIRTEL,CARDS'!ABP4</f>
        <v>1076200</v>
      </c>
      <c r="ABR13" s="22">
        <f>'MOMO,AIRTEL,CARDS'!ABQ4</f>
        <v>1162626</v>
      </c>
      <c r="ABS13" s="22">
        <f>'MOMO,AIRTEL,CARDS'!ABR4</f>
        <v>1196500</v>
      </c>
      <c r="ABT13" s="22">
        <f>'MOMO,AIRTEL,CARDS'!ABS4</f>
        <v>1151404</v>
      </c>
      <c r="ABU13" s="22">
        <f>'MOMO,AIRTEL,CARDS'!ABT4</f>
        <v>952009</v>
      </c>
      <c r="ABV13" s="22">
        <f>'MOMO,AIRTEL,CARDS'!ABU4</f>
        <v>930000</v>
      </c>
      <c r="ABW13" s="22">
        <f>'MOMO,AIRTEL,CARDS'!ABV4</f>
        <v>1084000</v>
      </c>
      <c r="ABX13" s="22">
        <f>'MOMO,AIRTEL,CARDS'!ABW4</f>
        <v>650000</v>
      </c>
      <c r="ABY13" s="22">
        <f>'MOMO,AIRTEL,CARDS'!ABX4</f>
        <v>1264000</v>
      </c>
      <c r="ABZ13" s="22">
        <f>'MOMO,AIRTEL,CARDS'!ABY4</f>
        <v>838500</v>
      </c>
      <c r="ACA13" s="22">
        <f>'MOMO,AIRTEL,CARDS'!ABZ4</f>
        <v>1313000</v>
      </c>
      <c r="ACB13" s="22">
        <f>'MOMO,AIRTEL,CARDS'!ACA4</f>
        <v>1996500</v>
      </c>
      <c r="ACC13" s="127">
        <f t="shared" si="117"/>
        <v>37903344</v>
      </c>
      <c r="ACD13" s="22">
        <f>'MOMO,AIRTEL,CARDS'!ACC4</f>
        <v>913000</v>
      </c>
      <c r="ACE13" s="22">
        <f>'MOMO,AIRTEL,CARDS'!ACD4</f>
        <v>2157364</v>
      </c>
      <c r="ACF13" s="22">
        <f>'MOMO,AIRTEL,CARDS'!ACE4</f>
        <v>1061000</v>
      </c>
      <c r="ACG13" s="22">
        <f>'MOMO,AIRTEL,CARDS'!ACF4</f>
        <v>2929500</v>
      </c>
      <c r="ACH13" s="22">
        <f>'MOMO,AIRTEL,CARDS'!ACG4</f>
        <v>872000</v>
      </c>
      <c r="ACI13" s="22">
        <f>'MOMO,AIRTEL,CARDS'!ACH4</f>
        <v>1941000</v>
      </c>
      <c r="ACJ13" s="22">
        <f>'MOMO,AIRTEL,CARDS'!ACI4</f>
        <v>2588547</v>
      </c>
      <c r="ACK13" s="22">
        <f>'MOMO,AIRTEL,CARDS'!ACJ4</f>
        <v>1466250</v>
      </c>
      <c r="ACL13" s="22">
        <f>'MOMO,AIRTEL,CARDS'!ACK4</f>
        <v>1385000</v>
      </c>
      <c r="ACM13" s="22">
        <f>'MOMO,AIRTEL,CARDS'!ACL4</f>
        <v>540000</v>
      </c>
      <c r="ACN13" s="22">
        <f>'MOMO,AIRTEL,CARDS'!ACM4</f>
        <v>1318000</v>
      </c>
      <c r="ACO13" s="22">
        <f>'MOMO,AIRTEL,CARDS'!ACN4</f>
        <v>1194500</v>
      </c>
      <c r="ACP13" s="22">
        <f>'MOMO,AIRTEL,CARDS'!ACO4</f>
        <v>916153</v>
      </c>
      <c r="ACQ13" s="22">
        <f>'MOMO,AIRTEL,CARDS'!ACP4</f>
        <v>966076</v>
      </c>
      <c r="ACR13" s="22">
        <f>'MOMO,AIRTEL,CARDS'!ACQ4</f>
        <v>841000</v>
      </c>
      <c r="ACS13" s="22">
        <f>'MOMO,AIRTEL,CARDS'!ACR4</f>
        <v>1688600</v>
      </c>
      <c r="ACT13" s="22">
        <f>'MOMO,AIRTEL,CARDS'!ACS4</f>
        <v>1151000</v>
      </c>
      <c r="ACU13" s="22">
        <f>'MOMO,AIRTEL,CARDS'!ACT4</f>
        <v>1667535</v>
      </c>
      <c r="ACV13" s="22">
        <f>'MOMO,AIRTEL,CARDS'!ACU4</f>
        <v>819000</v>
      </c>
      <c r="ACW13" s="22">
        <f>'MOMO,AIRTEL,CARDS'!ACV4</f>
        <v>967190</v>
      </c>
      <c r="ACX13" s="22">
        <f>'MOMO,AIRTEL,CARDS'!ACW4</f>
        <v>710190</v>
      </c>
      <c r="ACY13" s="22">
        <f>'MOMO,AIRTEL,CARDS'!ACX4</f>
        <v>2732000</v>
      </c>
      <c r="ACZ13" s="22">
        <f>'MOMO,AIRTEL,CARDS'!ACY4</f>
        <v>770333</v>
      </c>
      <c r="ADA13" s="22">
        <f>'MOMO,AIRTEL,CARDS'!ACZ4</f>
        <v>1530500</v>
      </c>
      <c r="ADB13" s="22">
        <f>'MOMO,AIRTEL,CARDS'!ADA4</f>
        <v>1464731</v>
      </c>
      <c r="ADC13" s="22">
        <f>'MOMO,AIRTEL,CARDS'!ADB4</f>
        <v>751200</v>
      </c>
      <c r="ADD13" s="22">
        <f>'MOMO,AIRTEL,CARDS'!ADC4</f>
        <v>815000</v>
      </c>
      <c r="ADE13" s="22">
        <f>'MOMO,AIRTEL,CARDS'!ADD4</f>
        <v>473000</v>
      </c>
      <c r="ADF13" s="22">
        <f>'MOMO,AIRTEL,CARDS'!ADE4</f>
        <v>939000</v>
      </c>
      <c r="ADG13" s="22">
        <f>'MOMO,AIRTEL,CARDS'!ADF4</f>
        <v>1066000</v>
      </c>
      <c r="ADH13" s="22">
        <f>'MOMO,AIRTEL,CARDS'!ADG4</f>
        <v>478000</v>
      </c>
      <c r="ADI13" s="127">
        <f t="shared" si="119"/>
        <v>39112669</v>
      </c>
      <c r="ADJ13" s="22">
        <f>'MOMO,AIRTEL,CARDS'!ADI4</f>
        <v>1126000</v>
      </c>
      <c r="ADK13" s="22">
        <f>'MOMO,AIRTEL,CARDS'!ADJ4</f>
        <v>1642601</v>
      </c>
      <c r="ADL13" s="22">
        <f>'MOMO,AIRTEL,CARDS'!ADK4</f>
        <v>1538000</v>
      </c>
      <c r="ADM13" s="22">
        <f>'MOMO,AIRTEL,CARDS'!ADL4</f>
        <v>1410746</v>
      </c>
      <c r="ADN13" s="22">
        <f>'MOMO,AIRTEL,CARDS'!ADM4</f>
        <v>1099000</v>
      </c>
      <c r="ADO13" s="22">
        <f>'MOMO,AIRTEL,CARDS'!ADN4</f>
        <v>1186000</v>
      </c>
      <c r="ADP13" s="22">
        <f>'MOMO,AIRTEL,CARDS'!ADO4</f>
        <v>1107800</v>
      </c>
      <c r="ADQ13" s="22">
        <f>'MOMO,AIRTEL,CARDS'!ADP4</f>
        <v>742000</v>
      </c>
      <c r="ADR13" s="22">
        <f>'MOMO,AIRTEL,CARDS'!ADQ4</f>
        <v>1020000</v>
      </c>
      <c r="ADS13" s="22">
        <f>'MOMO,AIRTEL,CARDS'!ADR4</f>
        <v>920580</v>
      </c>
      <c r="ADT13" s="22">
        <f>'MOMO,AIRTEL,CARDS'!ADS4</f>
        <v>1103095</v>
      </c>
      <c r="ADU13" s="22">
        <f>'MOMO,AIRTEL,CARDS'!ADT4</f>
        <v>2227109</v>
      </c>
      <c r="ADV13" s="22">
        <f>'MOMO,AIRTEL,CARDS'!ADU4</f>
        <v>962000</v>
      </c>
      <c r="ADW13" s="22">
        <f>'MOMO,AIRTEL,CARDS'!ADV4</f>
        <v>1262000</v>
      </c>
      <c r="ADX13" s="22">
        <f>'MOMO,AIRTEL,CARDS'!ADW4</f>
        <v>882500</v>
      </c>
      <c r="ADY13" s="22">
        <f>'MOMO,AIRTEL,CARDS'!ADX4</f>
        <v>511000</v>
      </c>
      <c r="ADZ13" s="22">
        <f>'MOMO,AIRTEL,CARDS'!ADY4</f>
        <v>946060</v>
      </c>
      <c r="AEA13" s="22">
        <f>'MOMO,AIRTEL,CARDS'!ADZ4</f>
        <v>1408400</v>
      </c>
      <c r="AEB13" s="22">
        <f>'MOMO,AIRTEL,CARDS'!AEA4</f>
        <v>1323000</v>
      </c>
      <c r="AEC13" s="22">
        <f>'MOMO,AIRTEL,CARDS'!AEB4</f>
        <v>968000</v>
      </c>
      <c r="AED13" s="22">
        <f>'MOMO,AIRTEL,CARDS'!AEC4</f>
        <v>1361000</v>
      </c>
      <c r="AEE13" s="22">
        <f>'MOMO,AIRTEL,CARDS'!AED4</f>
        <v>935000</v>
      </c>
      <c r="AEF13" s="22">
        <f>'MOMO,AIRTEL,CARDS'!AEE4</f>
        <v>1044000</v>
      </c>
      <c r="AEG13" s="22">
        <f>'MOMO,AIRTEL,CARDS'!AEF4</f>
        <v>1372000</v>
      </c>
      <c r="AEH13" s="22">
        <f>'MOMO,AIRTEL,CARDS'!AEG4</f>
        <v>1276000</v>
      </c>
      <c r="AEI13" s="22">
        <f>'MOMO,AIRTEL,CARDS'!AEH4</f>
        <v>1004000</v>
      </c>
      <c r="AEJ13" s="22">
        <f>'MOMO,AIRTEL,CARDS'!AEI4</f>
        <v>1901000</v>
      </c>
      <c r="AEK13" s="22">
        <f>'MOMO,AIRTEL,CARDS'!AEJ4</f>
        <v>992000</v>
      </c>
      <c r="AEL13" s="22">
        <f>'MOMO,AIRTEL,CARDS'!AEK4</f>
        <v>632000</v>
      </c>
      <c r="AEM13" s="22">
        <f>'MOMO,AIRTEL,CARDS'!AEL4</f>
        <v>1646000</v>
      </c>
      <c r="AEN13" s="127">
        <f t="shared" si="121"/>
        <v>35548891</v>
      </c>
      <c r="AEO13" s="22">
        <f>'MOMO,AIRTEL,CARDS'!AEN4</f>
        <v>935893</v>
      </c>
      <c r="AEP13" s="22">
        <f>'MOMO,AIRTEL,CARDS'!AEO4</f>
        <v>890000</v>
      </c>
      <c r="AEQ13" s="22">
        <f>'MOMO,AIRTEL,CARDS'!AEP4</f>
        <v>1040040</v>
      </c>
      <c r="AER13" s="22">
        <f>'MOMO,AIRTEL,CARDS'!AEQ4</f>
        <v>2119000</v>
      </c>
      <c r="AES13" s="22">
        <f>'MOMO,AIRTEL,CARDS'!AER4</f>
        <v>1027103</v>
      </c>
      <c r="AET13" s="22">
        <f>'MOMO,AIRTEL,CARDS'!AES4</f>
        <v>944500</v>
      </c>
      <c r="AEU13" s="22">
        <f>'MOMO,AIRTEL,CARDS'!AET4</f>
        <v>703000</v>
      </c>
      <c r="AEV13" s="22">
        <f>'MOMO,AIRTEL,CARDS'!AEU4</f>
        <v>2110142</v>
      </c>
      <c r="AEW13" s="22">
        <f>'MOMO,AIRTEL,CARDS'!AEV4</f>
        <v>1684900</v>
      </c>
      <c r="AEX13" s="22">
        <f>'MOMO,AIRTEL,CARDS'!AEW4</f>
        <v>2658489</v>
      </c>
      <c r="AEY13" s="22">
        <f>'MOMO,AIRTEL,CARDS'!AEX4</f>
        <v>1535000</v>
      </c>
      <c r="AEZ13" s="22">
        <f>'MOMO,AIRTEL,CARDS'!AEY4</f>
        <v>1361788</v>
      </c>
      <c r="AFA13" s="22">
        <f>'MOMO,AIRTEL,CARDS'!AEZ4</f>
        <v>2107984</v>
      </c>
      <c r="AFB13" s="22">
        <f>'MOMO,AIRTEL,CARDS'!AFA4</f>
        <v>354000</v>
      </c>
      <c r="AFC13" s="22">
        <f>'MOMO,AIRTEL,CARDS'!AFB4</f>
        <v>657142</v>
      </c>
      <c r="AFD13" s="22">
        <f>'MOMO,AIRTEL,CARDS'!AFC4</f>
        <v>761000</v>
      </c>
      <c r="AFE13" s="22">
        <f>'MOMO,AIRTEL,CARDS'!AFD4</f>
        <v>730024</v>
      </c>
      <c r="AFF13" s="22">
        <f>'MOMO,AIRTEL,CARDS'!AFE4</f>
        <v>889000</v>
      </c>
      <c r="AFG13" s="22">
        <f>'MOMO,AIRTEL,CARDS'!AFF4</f>
        <v>849000</v>
      </c>
      <c r="AFH13" s="22">
        <f>'MOMO,AIRTEL,CARDS'!AFG4</f>
        <v>625000</v>
      </c>
      <c r="AFI13" s="22">
        <f>'MOMO,AIRTEL,CARDS'!AFH4</f>
        <v>1102000</v>
      </c>
      <c r="AFJ13" s="22">
        <f>'MOMO,AIRTEL,CARDS'!AFI4</f>
        <v>1283000</v>
      </c>
      <c r="AFK13" s="22">
        <f>'MOMO,AIRTEL,CARDS'!AFJ4</f>
        <v>1236827</v>
      </c>
      <c r="AFL13" s="22">
        <f>'MOMO,AIRTEL,CARDS'!AFK4</f>
        <v>974000</v>
      </c>
      <c r="AFM13" s="22">
        <f>'MOMO,AIRTEL,CARDS'!AFL4</f>
        <v>1400000</v>
      </c>
      <c r="AFN13" s="22">
        <f>'MOMO,AIRTEL,CARDS'!AFM4</f>
        <v>2008974</v>
      </c>
      <c r="AFO13" s="22">
        <f>'MOMO,AIRTEL,CARDS'!AFN4</f>
        <v>886330</v>
      </c>
      <c r="AFP13" s="22">
        <f>'MOMO,AIRTEL,CARDS'!AFO4</f>
        <v>415000</v>
      </c>
      <c r="AFQ13" s="22">
        <f>'MOMO,AIRTEL,CARDS'!AFP4</f>
        <v>630725</v>
      </c>
      <c r="AFR13" s="22">
        <f>'MOMO,AIRTEL,CARDS'!AFQ4</f>
        <v>2195000</v>
      </c>
      <c r="AFS13" s="22">
        <f>'MOMO,AIRTEL,CARDS'!AFR4</f>
        <v>1531000</v>
      </c>
      <c r="AFT13" s="127">
        <f t="shared" si="123"/>
        <v>37645861</v>
      </c>
      <c r="AFU13" s="22">
        <f>'MOMO,AIRTEL,CARDS'!AFT4</f>
        <v>599500</v>
      </c>
      <c r="AFV13" s="22">
        <f>'MOMO,AIRTEL,CARDS'!AFU4</f>
        <v>1221000</v>
      </c>
      <c r="AFW13" s="22">
        <f>'MOMO,AIRTEL,CARDS'!AFV4</f>
        <v>1785000</v>
      </c>
      <c r="AFX13" s="22">
        <f>'MOMO,AIRTEL,CARDS'!AFW4</f>
        <v>515000</v>
      </c>
      <c r="AFY13" s="22">
        <f>'MOMO,AIRTEL,CARDS'!AFX4</f>
        <v>1283490</v>
      </c>
      <c r="AFZ13" s="22">
        <f>'MOMO,AIRTEL,CARDS'!AFY4</f>
        <v>1077000</v>
      </c>
      <c r="AGA13" s="22">
        <f>'MOMO,AIRTEL,CARDS'!AFZ4</f>
        <v>866000</v>
      </c>
      <c r="AGB13" s="22">
        <f>'MOMO,AIRTEL,CARDS'!AGA4</f>
        <v>0</v>
      </c>
      <c r="AGC13" s="22">
        <f>'MOMO,AIRTEL,CARDS'!AGB4</f>
        <v>0</v>
      </c>
      <c r="AGD13" s="22">
        <f>'MOMO,AIRTEL,CARDS'!AGC4</f>
        <v>0</v>
      </c>
      <c r="AGE13" s="22">
        <f>'MOMO,AIRTEL,CARDS'!AGD4</f>
        <v>0</v>
      </c>
      <c r="AGF13" s="22">
        <f>'MOMO,AIRTEL,CARDS'!AGE4</f>
        <v>60000</v>
      </c>
      <c r="AGG13" s="22">
        <f>'MOMO,AIRTEL,CARDS'!AGF4</f>
        <v>0</v>
      </c>
      <c r="AGH13" s="22">
        <f>'MOMO,AIRTEL,CARDS'!AGG4</f>
        <v>0</v>
      </c>
      <c r="AGI13" s="22">
        <f>'MOMO,AIRTEL,CARDS'!AGH4</f>
        <v>0</v>
      </c>
      <c r="AGJ13" s="22">
        <f>'MOMO,AIRTEL,CARDS'!AGI4</f>
        <v>0</v>
      </c>
      <c r="AGK13" s="22">
        <f>'MOMO,AIRTEL,CARDS'!AGJ4</f>
        <v>0</v>
      </c>
      <c r="AGL13" s="22">
        <f>'MOMO,AIRTEL,CARDS'!AGK4</f>
        <v>0</v>
      </c>
      <c r="AGM13" s="22">
        <f>'MOMO,AIRTEL,CARDS'!AGL4</f>
        <v>0</v>
      </c>
      <c r="AGN13" s="22">
        <f>'MOMO,AIRTEL,CARDS'!AGM4</f>
        <v>0</v>
      </c>
      <c r="AGO13" s="22">
        <f>'MOMO,AIRTEL,CARDS'!AGN4</f>
        <v>130000</v>
      </c>
      <c r="AGP13" s="22">
        <f>'MOMO,AIRTEL,CARDS'!AGO4</f>
        <v>0</v>
      </c>
      <c r="AGQ13" s="22">
        <f>'MOMO,AIRTEL,CARDS'!AGP4</f>
        <v>0</v>
      </c>
      <c r="AGR13" s="22">
        <f>'MOMO,AIRTEL,CARDS'!AGQ4</f>
        <v>0</v>
      </c>
      <c r="AGS13" s="22">
        <f>'MOMO,AIRTEL,CARDS'!AGR4</f>
        <v>0</v>
      </c>
      <c r="AGT13" s="22">
        <f>'MOMO,AIRTEL,CARDS'!AGS4</f>
        <v>0</v>
      </c>
      <c r="AGU13" s="22">
        <f>'MOMO,AIRTEL,CARDS'!AGT4</f>
        <v>0</v>
      </c>
      <c r="AGV13" s="22">
        <f>'MOMO,AIRTEL,CARDS'!AGU4</f>
        <v>0</v>
      </c>
      <c r="AGW13" s="22">
        <f>'MOMO,AIRTEL,CARDS'!AGV4</f>
        <v>0</v>
      </c>
      <c r="AGX13" s="22">
        <f>'MOMO,AIRTEL,CARDS'!AGW4</f>
        <v>0</v>
      </c>
      <c r="AGY13" s="127">
        <f t="shared" si="125"/>
        <v>7536990</v>
      </c>
      <c r="AGZ13" s="22">
        <f>'MOMO,AIRTEL,CARDS'!AGY4</f>
        <v>0</v>
      </c>
      <c r="AHA13" s="22">
        <f>'MOMO,AIRTEL,CARDS'!AGZ4</f>
        <v>0</v>
      </c>
      <c r="AHB13" s="22">
        <f>'MOMO,AIRTEL,CARDS'!AHA4</f>
        <v>0</v>
      </c>
      <c r="AHC13" s="22">
        <f>'MOMO,AIRTEL,CARDS'!AHB4</f>
        <v>0</v>
      </c>
      <c r="AHD13" s="22">
        <f>'MOMO,AIRTEL,CARDS'!AHC4</f>
        <v>0</v>
      </c>
      <c r="AHE13" s="22">
        <f>'MOMO,AIRTEL,CARDS'!AHD4</f>
        <v>0</v>
      </c>
      <c r="AHF13" s="22">
        <f>'MOMO,AIRTEL,CARDS'!AHE4</f>
        <v>0</v>
      </c>
      <c r="AHG13" s="22">
        <f>'MOMO,AIRTEL,CARDS'!AHF4</f>
        <v>0</v>
      </c>
      <c r="AHH13" s="22">
        <f>'MOMO,AIRTEL,CARDS'!AHG4</f>
        <v>0</v>
      </c>
      <c r="AHI13" s="22">
        <f>'MOMO,AIRTEL,CARDS'!AHH4</f>
        <v>0</v>
      </c>
      <c r="AHJ13" s="22">
        <f>'MOMO,AIRTEL,CARDS'!AHI4</f>
        <v>0</v>
      </c>
      <c r="AHK13" s="22">
        <f>'MOMO,AIRTEL,CARDS'!AHJ4</f>
        <v>0</v>
      </c>
      <c r="AHL13" s="22">
        <f>'MOMO,AIRTEL,CARDS'!AHK4</f>
        <v>0</v>
      </c>
      <c r="AHM13" s="22">
        <f>'MOMO,AIRTEL,CARDS'!AHL4</f>
        <v>0</v>
      </c>
      <c r="AHN13" s="22">
        <f>'MOMO,AIRTEL,CARDS'!AHM4</f>
        <v>0</v>
      </c>
      <c r="AHO13" s="22">
        <f>'MOMO,AIRTEL,CARDS'!AHN4</f>
        <v>0</v>
      </c>
      <c r="AHP13" s="22">
        <f>'MOMO,AIRTEL,CARDS'!AHO4</f>
        <v>0</v>
      </c>
      <c r="AHQ13" s="22">
        <f>'MOMO,AIRTEL,CARDS'!AHP4</f>
        <v>0</v>
      </c>
      <c r="AHR13" s="22">
        <f>'MOMO,AIRTEL,CARDS'!AHQ4</f>
        <v>0</v>
      </c>
      <c r="AHS13" s="22">
        <f>'MOMO,AIRTEL,CARDS'!AHR4</f>
        <v>0</v>
      </c>
      <c r="AHT13" s="22">
        <f>'MOMO,AIRTEL,CARDS'!AHS4</f>
        <v>0</v>
      </c>
      <c r="AHU13" s="22">
        <f>'MOMO,AIRTEL,CARDS'!AHT4</f>
        <v>0</v>
      </c>
      <c r="AHV13" s="22">
        <f>'MOMO,AIRTEL,CARDS'!AHU4</f>
        <v>0</v>
      </c>
      <c r="AHW13" s="22">
        <f>'MOMO,AIRTEL,CARDS'!AHV4</f>
        <v>0</v>
      </c>
      <c r="AHX13" s="22">
        <f>'MOMO,AIRTEL,CARDS'!AHW4</f>
        <v>0</v>
      </c>
      <c r="AHY13" s="22">
        <f>'MOMO,AIRTEL,CARDS'!AHX4</f>
        <v>0</v>
      </c>
      <c r="AHZ13" s="22">
        <f>'MOMO,AIRTEL,CARDS'!AHY4</f>
        <v>0</v>
      </c>
      <c r="AIA13" s="22">
        <f>'MOMO,AIRTEL,CARDS'!AHZ4</f>
        <v>0</v>
      </c>
      <c r="AIB13" s="22">
        <f>'MOMO,AIRTEL,CARDS'!AIA4</f>
        <v>0</v>
      </c>
      <c r="AIC13" s="22">
        <f>'MOMO,AIRTEL,CARDS'!AIB4</f>
        <v>0</v>
      </c>
      <c r="AID13" s="22">
        <f>'MOMO,AIRTEL,CARDS'!AIC4</f>
        <v>0</v>
      </c>
      <c r="AIE13" s="127">
        <f>SUM(AHA13:AID13)</f>
        <v>0</v>
      </c>
      <c r="AIF13" s="22">
        <f>'MOMO,AIRTEL,CARDS'!AIE4</f>
        <v>0</v>
      </c>
      <c r="AIG13" s="22">
        <f>'MOMO,AIRTEL,CARDS'!AIF4</f>
        <v>0</v>
      </c>
      <c r="AIH13" s="22">
        <f>'MOMO,AIRTEL,CARDS'!AIG4</f>
        <v>0</v>
      </c>
      <c r="AII13" s="22">
        <f>'MOMO,AIRTEL,CARDS'!AIH4</f>
        <v>0</v>
      </c>
      <c r="AIJ13" s="22">
        <f>'MOMO,AIRTEL,CARDS'!AII4</f>
        <v>0</v>
      </c>
      <c r="AIK13" s="22">
        <f>'MOMO,AIRTEL,CARDS'!AIJ4</f>
        <v>0</v>
      </c>
      <c r="AIL13" s="22">
        <f>'MOMO,AIRTEL,CARDS'!AIK4</f>
        <v>0</v>
      </c>
      <c r="AIM13" s="22">
        <f>'MOMO,AIRTEL,CARDS'!AIL4</f>
        <v>0</v>
      </c>
      <c r="AIN13" s="22">
        <f>'MOMO,AIRTEL,CARDS'!AIM4</f>
        <v>0</v>
      </c>
      <c r="AIO13" s="22">
        <f>'MOMO,AIRTEL,CARDS'!AIN4</f>
        <v>0</v>
      </c>
      <c r="AIP13" s="22">
        <f>'MOMO,AIRTEL,CARDS'!AIO4</f>
        <v>0</v>
      </c>
      <c r="AIQ13" s="22">
        <f>'MOMO,AIRTEL,CARDS'!AIP4</f>
        <v>0</v>
      </c>
      <c r="AIR13" s="22">
        <f>'MOMO,AIRTEL,CARDS'!AIQ4</f>
        <v>0</v>
      </c>
      <c r="AIS13" s="22">
        <f>'MOMO,AIRTEL,CARDS'!AIR4</f>
        <v>0</v>
      </c>
      <c r="AIT13" s="22">
        <f>'MOMO,AIRTEL,CARDS'!AIS4</f>
        <v>0</v>
      </c>
      <c r="AIU13" s="22">
        <f>'MOMO,AIRTEL,CARDS'!AIT4</f>
        <v>0</v>
      </c>
      <c r="AIV13" s="22">
        <f>'MOMO,AIRTEL,CARDS'!AIU4</f>
        <v>0</v>
      </c>
      <c r="AIW13" s="22">
        <f>'MOMO,AIRTEL,CARDS'!AIV4</f>
        <v>0</v>
      </c>
      <c r="AIX13" s="22">
        <f>'MOMO,AIRTEL,CARDS'!AIW4</f>
        <v>0</v>
      </c>
      <c r="AIY13" s="22">
        <f>'MOMO,AIRTEL,CARDS'!AIX4</f>
        <v>0</v>
      </c>
      <c r="AIZ13" s="22">
        <f>'MOMO,AIRTEL,CARDS'!AIY4</f>
        <v>0</v>
      </c>
      <c r="AJA13" s="22">
        <f>'MOMO,AIRTEL,CARDS'!AIZ4</f>
        <v>0</v>
      </c>
      <c r="AJB13" s="22">
        <f>'MOMO,AIRTEL,CARDS'!AJA4</f>
        <v>0</v>
      </c>
      <c r="AJC13" s="22">
        <f>'MOMO,AIRTEL,CARDS'!AJB4</f>
        <v>0</v>
      </c>
      <c r="AJD13" s="22">
        <f>'MOMO,AIRTEL,CARDS'!AJC4</f>
        <v>0</v>
      </c>
      <c r="AJE13" s="22">
        <f>'MOMO,AIRTEL,CARDS'!AJD4</f>
        <v>0</v>
      </c>
      <c r="AJF13" s="22">
        <f>'MOMO,AIRTEL,CARDS'!AJE4</f>
        <v>0</v>
      </c>
      <c r="AJG13" s="22">
        <f>'MOMO,AIRTEL,CARDS'!AJF4</f>
        <v>0</v>
      </c>
      <c r="AJH13" s="22">
        <f>'MOMO,AIRTEL,CARDS'!AJG4</f>
        <v>0</v>
      </c>
      <c r="AJI13" s="22">
        <f>'MOMO,AIRTEL,CARDS'!AJH4</f>
        <v>0</v>
      </c>
      <c r="AJJ13" s="22">
        <f>'MOMO,AIRTEL,CARDS'!AJI4</f>
        <v>0</v>
      </c>
      <c r="AJK13" s="127">
        <f>SUM(AIG13:AJJ13)</f>
        <v>0</v>
      </c>
      <c r="AJL13" s="22">
        <f>'MOMO,AIRTEL,CARDS'!AJK4</f>
        <v>0</v>
      </c>
      <c r="AJM13" s="22">
        <f>'MOMO,AIRTEL,CARDS'!AJL4</f>
        <v>0</v>
      </c>
      <c r="AJN13" s="22">
        <f>'MOMO,AIRTEL,CARDS'!AJM4</f>
        <v>0</v>
      </c>
      <c r="AJO13" s="22">
        <f>'MOMO,AIRTEL,CARDS'!AJN4</f>
        <v>0</v>
      </c>
      <c r="AJP13" s="22">
        <f>'MOMO,AIRTEL,CARDS'!AJO4</f>
        <v>0</v>
      </c>
      <c r="AJQ13" s="22">
        <f>'MOMO,AIRTEL,CARDS'!AJP4</f>
        <v>0</v>
      </c>
      <c r="AJR13" s="22">
        <f>'MOMO,AIRTEL,CARDS'!AJQ4</f>
        <v>0</v>
      </c>
      <c r="AJS13" s="22">
        <f>'MOMO,AIRTEL,CARDS'!AJR4</f>
        <v>0</v>
      </c>
      <c r="AJT13" s="22">
        <f>'MOMO,AIRTEL,CARDS'!AJS4</f>
        <v>0</v>
      </c>
      <c r="AJU13" s="22">
        <f>'MOMO,AIRTEL,CARDS'!AJT4</f>
        <v>0</v>
      </c>
      <c r="AJV13" s="22">
        <f>'MOMO,AIRTEL,CARDS'!AJU4</f>
        <v>0</v>
      </c>
      <c r="AJW13" s="22">
        <f>'MOMO,AIRTEL,CARDS'!AJV4</f>
        <v>0</v>
      </c>
      <c r="AJX13" s="22">
        <f>'MOMO,AIRTEL,CARDS'!AJW4</f>
        <v>0</v>
      </c>
      <c r="AJY13" s="22">
        <f>'MOMO,AIRTEL,CARDS'!AJX4</f>
        <v>0</v>
      </c>
      <c r="AJZ13" s="22">
        <f>'MOMO,AIRTEL,CARDS'!AJY4</f>
        <v>0</v>
      </c>
      <c r="AKA13" s="22">
        <f>'MOMO,AIRTEL,CARDS'!AJZ4</f>
        <v>0</v>
      </c>
      <c r="AKB13" s="22">
        <f>'MOMO,AIRTEL,CARDS'!AKA4</f>
        <v>0</v>
      </c>
      <c r="AKC13" s="22">
        <f>'MOMO,AIRTEL,CARDS'!AKB4</f>
        <v>0</v>
      </c>
      <c r="AKD13" s="22">
        <f>'MOMO,AIRTEL,CARDS'!AKC4</f>
        <v>0</v>
      </c>
      <c r="AKE13" s="22">
        <f>'MOMO,AIRTEL,CARDS'!AKD4</f>
        <v>0</v>
      </c>
      <c r="AKF13" s="22">
        <f>'MOMO,AIRTEL,CARDS'!AKE4</f>
        <v>0</v>
      </c>
      <c r="AKG13" s="22">
        <f>'MOMO,AIRTEL,CARDS'!AKF4</f>
        <v>0</v>
      </c>
      <c r="AKH13" s="22">
        <f>'MOMO,AIRTEL,CARDS'!AKG4</f>
        <v>0</v>
      </c>
      <c r="AKI13" s="22">
        <f>'MOMO,AIRTEL,CARDS'!AKH4</f>
        <v>0</v>
      </c>
      <c r="AKJ13" s="22">
        <f>'MOMO,AIRTEL,CARDS'!AKI4</f>
        <v>0</v>
      </c>
      <c r="AKK13" s="22">
        <f>'MOMO,AIRTEL,CARDS'!AKJ4</f>
        <v>0</v>
      </c>
      <c r="AKL13" s="22">
        <f>'MOMO,AIRTEL,CARDS'!AKK4</f>
        <v>0</v>
      </c>
      <c r="AKM13" s="22">
        <f>'MOMO,AIRTEL,CARDS'!AKL4</f>
        <v>0</v>
      </c>
      <c r="AKN13" s="127">
        <f t="shared" si="11"/>
        <v>0</v>
      </c>
      <c r="AKO13" s="22">
        <f>'MOMO,AIRTEL,CARDS'!AKN4</f>
        <v>0</v>
      </c>
      <c r="AKP13" s="22">
        <f>'MOMO,AIRTEL,CARDS'!AKO4</f>
        <v>0</v>
      </c>
      <c r="AKQ13" s="22">
        <f>'MOMO,AIRTEL,CARDS'!AKP4</f>
        <v>0</v>
      </c>
      <c r="AKR13" s="22">
        <f>'MOMO,AIRTEL,CARDS'!AKQ4</f>
        <v>0</v>
      </c>
      <c r="AKS13" s="22">
        <f>'MOMO,AIRTEL,CARDS'!AKR4</f>
        <v>0</v>
      </c>
      <c r="AKT13" s="22">
        <f>'MOMO,AIRTEL,CARDS'!AKS4</f>
        <v>0</v>
      </c>
      <c r="AKU13" s="22">
        <f>'MOMO,AIRTEL,CARDS'!AKT4</f>
        <v>0</v>
      </c>
      <c r="AKV13" s="22">
        <f>'MOMO,AIRTEL,CARDS'!AKU4</f>
        <v>0</v>
      </c>
      <c r="AKW13" s="22">
        <f>'MOMO,AIRTEL,CARDS'!AKV4</f>
        <v>0</v>
      </c>
      <c r="AKX13" s="22">
        <f>'MOMO,AIRTEL,CARDS'!AKW4</f>
        <v>0</v>
      </c>
      <c r="AKY13" s="22">
        <f>'MOMO,AIRTEL,CARDS'!AKX4</f>
        <v>0</v>
      </c>
      <c r="AKZ13" s="22">
        <f>'MOMO,AIRTEL,CARDS'!AKY4</f>
        <v>0</v>
      </c>
      <c r="ALA13" s="22">
        <f>'MOMO,AIRTEL,CARDS'!AKZ4</f>
        <v>0</v>
      </c>
      <c r="ALB13" s="22">
        <f>'MOMO,AIRTEL,CARDS'!ALA4</f>
        <v>0</v>
      </c>
      <c r="ALC13" s="22">
        <f>'MOMO,AIRTEL,CARDS'!ALB4</f>
        <v>0</v>
      </c>
      <c r="ALD13" s="22">
        <f>'MOMO,AIRTEL,CARDS'!ALC4</f>
        <v>0</v>
      </c>
      <c r="ALE13" s="22">
        <f>'MOMO,AIRTEL,CARDS'!ALD4</f>
        <v>0</v>
      </c>
      <c r="ALF13" s="22">
        <f>'MOMO,AIRTEL,CARDS'!ALE4</f>
        <v>0</v>
      </c>
      <c r="ALG13" s="22">
        <f>'MOMO,AIRTEL,CARDS'!ALF4</f>
        <v>0</v>
      </c>
      <c r="ALH13" s="22">
        <f>'MOMO,AIRTEL,CARDS'!ALG4</f>
        <v>0</v>
      </c>
      <c r="ALI13" s="22">
        <f>'MOMO,AIRTEL,CARDS'!ALH4</f>
        <v>0</v>
      </c>
      <c r="ALJ13" s="22">
        <f>'MOMO,AIRTEL,CARDS'!ALI4</f>
        <v>0</v>
      </c>
      <c r="ALK13" s="22">
        <f>'MOMO,AIRTEL,CARDS'!ALJ4</f>
        <v>0</v>
      </c>
      <c r="ALL13" s="22">
        <f>'MOMO,AIRTEL,CARDS'!ALK4</f>
        <v>0</v>
      </c>
      <c r="ALM13" s="22">
        <f>'MOMO,AIRTEL,CARDS'!ALL4</f>
        <v>0</v>
      </c>
      <c r="ALN13" s="22">
        <f>'MOMO,AIRTEL,CARDS'!ALM4</f>
        <v>0</v>
      </c>
      <c r="ALO13" s="22">
        <f>'MOMO,AIRTEL,CARDS'!ALN4</f>
        <v>0</v>
      </c>
      <c r="ALP13" s="22">
        <f>'MOMO,AIRTEL,CARDS'!ALO4</f>
        <v>0</v>
      </c>
      <c r="ALQ13" s="22">
        <f>'MOMO,AIRTEL,CARDS'!ALP4</f>
        <v>0</v>
      </c>
      <c r="ALR13" s="22">
        <f>'MOMO,AIRTEL,CARDS'!ALQ4</f>
        <v>0</v>
      </c>
      <c r="ALS13" s="22">
        <f>'MOMO,AIRTEL,CARDS'!ALR4</f>
        <v>0</v>
      </c>
      <c r="ALT13" s="127">
        <f t="shared" si="12"/>
        <v>0</v>
      </c>
      <c r="ALU13" s="22">
        <f>'MOMO,AIRTEL,CARDS'!ALT4</f>
        <v>0</v>
      </c>
      <c r="ALV13" s="22">
        <f>'MOMO,AIRTEL,CARDS'!ALU4</f>
        <v>0</v>
      </c>
      <c r="ALW13" s="22">
        <f>'MOMO,AIRTEL,CARDS'!ALV4</f>
        <v>0</v>
      </c>
      <c r="ALX13" s="22">
        <f>'MOMO,AIRTEL,CARDS'!ALW4</f>
        <v>0</v>
      </c>
      <c r="ALY13" s="22">
        <f>'MOMO,AIRTEL,CARDS'!ALX4</f>
        <v>0</v>
      </c>
      <c r="ALZ13" s="22">
        <f>'MOMO,AIRTEL,CARDS'!ALY4</f>
        <v>0</v>
      </c>
      <c r="AMA13" s="22">
        <f>'MOMO,AIRTEL,CARDS'!ALZ4</f>
        <v>0</v>
      </c>
      <c r="AMB13" s="22">
        <f>'MOMO,AIRTEL,CARDS'!AMA4</f>
        <v>0</v>
      </c>
      <c r="AMC13" s="22">
        <f>'MOMO,AIRTEL,CARDS'!AMB4</f>
        <v>0</v>
      </c>
      <c r="AMD13" s="22">
        <f>'MOMO,AIRTEL,CARDS'!AMC4</f>
        <v>0</v>
      </c>
      <c r="AME13" s="22">
        <f>'MOMO,AIRTEL,CARDS'!AMD4</f>
        <v>0</v>
      </c>
      <c r="AMF13" s="22">
        <f>'MOMO,AIRTEL,CARDS'!AME4</f>
        <v>0</v>
      </c>
      <c r="AMG13" s="22">
        <f>'MOMO,AIRTEL,CARDS'!AMF4</f>
        <v>0</v>
      </c>
      <c r="AMH13" s="22">
        <f>'MOMO,AIRTEL,CARDS'!AMG4</f>
        <v>0</v>
      </c>
      <c r="AMI13" s="22">
        <f>'MOMO,AIRTEL,CARDS'!AMH4</f>
        <v>0</v>
      </c>
      <c r="AMJ13" s="22">
        <f>'MOMO,AIRTEL,CARDS'!AMI4</f>
        <v>0</v>
      </c>
      <c r="AMK13" s="22">
        <f>'MOMO,AIRTEL,CARDS'!AMJ4</f>
        <v>0</v>
      </c>
      <c r="AML13" s="22">
        <f>'MOMO,AIRTEL,CARDS'!AMK4</f>
        <v>0</v>
      </c>
      <c r="AMM13" s="22">
        <f>'MOMO,AIRTEL,CARDS'!AML4</f>
        <v>0</v>
      </c>
      <c r="AMN13" s="22">
        <f>'MOMO,AIRTEL,CARDS'!AMM4</f>
        <v>0</v>
      </c>
      <c r="AMO13" s="22">
        <f>'MOMO,AIRTEL,CARDS'!AMN4</f>
        <v>0</v>
      </c>
      <c r="AMP13" s="22">
        <f>'MOMO,AIRTEL,CARDS'!AMO4</f>
        <v>0</v>
      </c>
      <c r="AMQ13" s="22">
        <f>'MOMO,AIRTEL,CARDS'!AMP4</f>
        <v>0</v>
      </c>
      <c r="AMR13" s="22">
        <f>'MOMO,AIRTEL,CARDS'!AMQ4</f>
        <v>0</v>
      </c>
      <c r="AMS13" s="22">
        <f>'MOMO,AIRTEL,CARDS'!AMR4</f>
        <v>0</v>
      </c>
      <c r="AMT13" s="22">
        <f>'MOMO,AIRTEL,CARDS'!AMS4</f>
        <v>0</v>
      </c>
      <c r="AMU13" s="22">
        <f>'MOMO,AIRTEL,CARDS'!AMT4</f>
        <v>0</v>
      </c>
      <c r="AMV13" s="22">
        <f>'MOMO,AIRTEL,CARDS'!AMU4</f>
        <v>0</v>
      </c>
      <c r="AMW13" s="22">
        <f>'MOMO,AIRTEL,CARDS'!AMV4</f>
        <v>0</v>
      </c>
      <c r="AMX13" s="22">
        <f>'MOMO,AIRTEL,CARDS'!AMW4</f>
        <v>0</v>
      </c>
      <c r="AMY13" s="127">
        <f t="shared" si="13"/>
        <v>0</v>
      </c>
      <c r="AMZ13" s="22">
        <f>'MOMO,AIRTEL,CARDS'!AMY4</f>
        <v>0</v>
      </c>
      <c r="ANA13" s="22">
        <f>'MOMO,AIRTEL,CARDS'!AMZ4</f>
        <v>0</v>
      </c>
      <c r="ANB13" s="22">
        <f>'MOMO,AIRTEL,CARDS'!ANA4</f>
        <v>0</v>
      </c>
      <c r="ANC13" s="22">
        <f>'MOMO,AIRTEL,CARDS'!ANB4</f>
        <v>0</v>
      </c>
      <c r="AND13" s="22">
        <f>'MOMO,AIRTEL,CARDS'!ANC4</f>
        <v>0</v>
      </c>
      <c r="ANE13" s="22">
        <f>'MOMO,AIRTEL,CARDS'!AND4</f>
        <v>0</v>
      </c>
      <c r="ANF13" s="22">
        <f>'MOMO,AIRTEL,CARDS'!ANE4</f>
        <v>0</v>
      </c>
      <c r="ANG13" s="22">
        <f>'MOMO,AIRTEL,CARDS'!ANF4</f>
        <v>0</v>
      </c>
      <c r="ANH13" s="22">
        <f>'MOMO,AIRTEL,CARDS'!ANG4</f>
        <v>0</v>
      </c>
      <c r="ANI13" s="22">
        <f>'MOMO,AIRTEL,CARDS'!ANH4</f>
        <v>0</v>
      </c>
      <c r="ANJ13" s="22">
        <f>'MOMO,AIRTEL,CARDS'!ANI4</f>
        <v>0</v>
      </c>
      <c r="ANK13" s="22">
        <f>'MOMO,AIRTEL,CARDS'!ANJ4</f>
        <v>0</v>
      </c>
      <c r="ANL13" s="22">
        <f>'MOMO,AIRTEL,CARDS'!ANK4</f>
        <v>0</v>
      </c>
      <c r="ANM13" s="22">
        <f>'MOMO,AIRTEL,CARDS'!ANL4</f>
        <v>0</v>
      </c>
      <c r="ANN13" s="22">
        <f>'MOMO,AIRTEL,CARDS'!ANM4</f>
        <v>0</v>
      </c>
      <c r="ANO13" s="22">
        <f>'MOMO,AIRTEL,CARDS'!ANN4</f>
        <v>0</v>
      </c>
      <c r="ANP13" s="22">
        <f>'MOMO,AIRTEL,CARDS'!ANO4</f>
        <v>0</v>
      </c>
      <c r="ANQ13" s="22">
        <f>'MOMO,AIRTEL,CARDS'!ANP4</f>
        <v>0</v>
      </c>
      <c r="ANR13" s="22">
        <f>'MOMO,AIRTEL,CARDS'!ANQ4</f>
        <v>0</v>
      </c>
      <c r="ANS13" s="22">
        <f>'MOMO,AIRTEL,CARDS'!ANR4</f>
        <v>0</v>
      </c>
      <c r="ANT13" s="22">
        <f>'MOMO,AIRTEL,CARDS'!ANS4</f>
        <v>0</v>
      </c>
      <c r="ANU13" s="22">
        <f>'MOMO,AIRTEL,CARDS'!ANT4</f>
        <v>0</v>
      </c>
      <c r="ANV13" s="22">
        <f>'MOMO,AIRTEL,CARDS'!ANU4</f>
        <v>0</v>
      </c>
      <c r="ANW13" s="22">
        <f>'MOMO,AIRTEL,CARDS'!ANV4</f>
        <v>0</v>
      </c>
      <c r="ANX13" s="22">
        <f>'MOMO,AIRTEL,CARDS'!ANW4</f>
        <v>0</v>
      </c>
      <c r="ANY13" s="22">
        <f>'MOMO,AIRTEL,CARDS'!ANX4</f>
        <v>0</v>
      </c>
      <c r="ANZ13" s="22">
        <f>'MOMO,AIRTEL,CARDS'!ANY4</f>
        <v>0</v>
      </c>
      <c r="AOA13" s="22">
        <f>'MOMO,AIRTEL,CARDS'!ANZ4</f>
        <v>0</v>
      </c>
      <c r="AOB13" s="22">
        <f>'MOMO,AIRTEL,CARDS'!AOA4</f>
        <v>0</v>
      </c>
      <c r="AOC13" s="22">
        <f>'MOMO,AIRTEL,CARDS'!AOB4</f>
        <v>0</v>
      </c>
    </row>
    <row r="14" spans="1:1071" x14ac:dyDescent="0.2">
      <c r="A14" s="160"/>
      <c r="B14" s="5" t="s">
        <v>1090</v>
      </c>
      <c r="C14" s="22">
        <f>'MOMO,AIRTEL,CARDS'!B5</f>
        <v>2169300</v>
      </c>
      <c r="D14" s="22">
        <f>'MOMO,AIRTEL,CARDS'!C5</f>
        <v>1204500</v>
      </c>
      <c r="E14" s="22">
        <f>'MOMO,AIRTEL,CARDS'!D5</f>
        <v>2185500</v>
      </c>
      <c r="F14" s="22">
        <f>'MOMO,AIRTEL,CARDS'!E5</f>
        <v>1573000</v>
      </c>
      <c r="G14" s="22">
        <f>'MOMO,AIRTEL,CARDS'!F5</f>
        <v>1008600</v>
      </c>
      <c r="H14" s="22">
        <f>'MOMO,AIRTEL,CARDS'!G5</f>
        <v>2899500</v>
      </c>
      <c r="I14" s="22">
        <f>'MOMO,AIRTEL,CARDS'!H5</f>
        <v>1116000</v>
      </c>
      <c r="J14" s="22">
        <f>'MOMO,AIRTEL,CARDS'!I5</f>
        <v>2236800</v>
      </c>
      <c r="K14" s="22">
        <f>'MOMO,AIRTEL,CARDS'!J5</f>
        <v>3300500</v>
      </c>
      <c r="L14" s="22">
        <f>'MOMO,AIRTEL,CARDS'!K5</f>
        <v>1593000</v>
      </c>
      <c r="M14" s="22">
        <f>'MOMO,AIRTEL,CARDS'!L5</f>
        <v>1335000</v>
      </c>
      <c r="N14" s="22">
        <f>'MOMO,AIRTEL,CARDS'!M5</f>
        <v>1260000</v>
      </c>
      <c r="O14" s="22">
        <f>'MOMO,AIRTEL,CARDS'!N5</f>
        <v>1038000</v>
      </c>
      <c r="P14" s="22">
        <f>'MOMO,AIRTEL,CARDS'!O5</f>
        <v>1021000</v>
      </c>
      <c r="Q14" s="22">
        <f>'MOMO,AIRTEL,CARDS'!P5</f>
        <v>1538000</v>
      </c>
      <c r="R14" s="22">
        <f>'MOMO,AIRTEL,CARDS'!Q5</f>
        <v>582600</v>
      </c>
      <c r="S14" s="22">
        <f>'MOMO,AIRTEL,CARDS'!R5</f>
        <v>1396000</v>
      </c>
      <c r="T14" s="22">
        <f>'MOMO,AIRTEL,CARDS'!S5</f>
        <v>959000</v>
      </c>
      <c r="U14" s="22">
        <f>'MOMO,AIRTEL,CARDS'!T5</f>
        <v>815000</v>
      </c>
      <c r="V14" s="22">
        <f>'MOMO,AIRTEL,CARDS'!U5</f>
        <v>1463300</v>
      </c>
      <c r="W14" s="22">
        <f>'MOMO,AIRTEL,CARDS'!V5</f>
        <v>1017000</v>
      </c>
      <c r="X14" s="22">
        <f>'MOMO,AIRTEL,CARDS'!W5</f>
        <v>790000</v>
      </c>
      <c r="Y14" s="22">
        <f>'MOMO,AIRTEL,CARDS'!X5</f>
        <v>1052300</v>
      </c>
      <c r="Z14" s="22">
        <f>'MOMO,AIRTEL,CARDS'!Y5</f>
        <v>1261000</v>
      </c>
      <c r="AA14" s="22">
        <f>'MOMO,AIRTEL,CARDS'!Z5</f>
        <v>1507800</v>
      </c>
      <c r="AB14" s="22">
        <f>'MOMO,AIRTEL,CARDS'!AA5</f>
        <v>1014100</v>
      </c>
      <c r="AC14" s="22">
        <f>'MOMO,AIRTEL,CARDS'!AB5</f>
        <v>1187000</v>
      </c>
      <c r="AD14" s="22">
        <f>'MOMO,AIRTEL,CARDS'!AC5</f>
        <v>518000</v>
      </c>
      <c r="AE14" s="22">
        <f>'MOMO,AIRTEL,CARDS'!AD5</f>
        <v>2516000</v>
      </c>
      <c r="AF14" s="22">
        <f>'MOMO,AIRTEL,CARDS'!AE5</f>
        <v>979000</v>
      </c>
      <c r="AG14" s="22">
        <f>'MOMO,AIRTEL,CARDS'!AF5</f>
        <v>758000</v>
      </c>
      <c r="AH14" s="94">
        <f t="shared" si="90"/>
        <v>43294800</v>
      </c>
      <c r="AI14" s="22">
        <f>'MOMO,AIRTEL,CARDS'!AH5</f>
        <v>1437000</v>
      </c>
      <c r="AJ14" s="22">
        <f>'MOMO,AIRTEL,CARDS'!AI5</f>
        <v>1046100</v>
      </c>
      <c r="AK14" s="22">
        <f>'MOMO,AIRTEL,CARDS'!AJ5</f>
        <v>1065000</v>
      </c>
      <c r="AL14" s="22">
        <f>'MOMO,AIRTEL,CARDS'!AK5</f>
        <v>1675000</v>
      </c>
      <c r="AM14" s="22">
        <f>'MOMO,AIRTEL,CARDS'!AL5</f>
        <v>1615462</v>
      </c>
      <c r="AN14" s="22">
        <f>'MOMO,AIRTEL,CARDS'!AM5</f>
        <v>604000</v>
      </c>
      <c r="AO14" s="22">
        <f>'MOMO,AIRTEL,CARDS'!AN5</f>
        <v>1560238</v>
      </c>
      <c r="AP14" s="22">
        <f>'MOMO,AIRTEL,CARDS'!AO5</f>
        <v>2003764</v>
      </c>
      <c r="AQ14" s="22">
        <f>'MOMO,AIRTEL,CARDS'!AP5</f>
        <v>867500</v>
      </c>
      <c r="AR14" s="22">
        <f>'MOMO,AIRTEL,CARDS'!AQ5</f>
        <v>1468000</v>
      </c>
      <c r="AS14" s="22">
        <f>'MOMO,AIRTEL,CARDS'!AR5</f>
        <v>523400</v>
      </c>
      <c r="AT14" s="22">
        <f>'MOMO,AIRTEL,CARDS'!AS5</f>
        <v>875000</v>
      </c>
      <c r="AU14" s="22">
        <f>'MOMO,AIRTEL,CARDS'!AT5</f>
        <v>755900</v>
      </c>
      <c r="AV14" s="22">
        <f>'MOMO,AIRTEL,CARDS'!AU5</f>
        <v>780000</v>
      </c>
      <c r="AW14" s="22">
        <f>'MOMO,AIRTEL,CARDS'!AV5</f>
        <v>1337500</v>
      </c>
      <c r="AX14" s="22">
        <f>'MOMO,AIRTEL,CARDS'!AW5</f>
        <v>1193000</v>
      </c>
      <c r="AY14" s="22">
        <f>'MOMO,AIRTEL,CARDS'!AX5</f>
        <v>1332000</v>
      </c>
      <c r="AZ14" s="22">
        <f>'MOMO,AIRTEL,CARDS'!AY5</f>
        <v>1432800</v>
      </c>
      <c r="BA14" s="22">
        <f>'MOMO,AIRTEL,CARDS'!AZ5</f>
        <v>672000</v>
      </c>
      <c r="BB14" s="22">
        <f>'MOMO,AIRTEL,CARDS'!BA5</f>
        <v>1271300</v>
      </c>
      <c r="BC14" s="22">
        <f>'MOMO,AIRTEL,CARDS'!BB5</f>
        <v>386700</v>
      </c>
      <c r="BD14" s="22">
        <f>'MOMO,AIRTEL,CARDS'!BC5</f>
        <v>940740</v>
      </c>
      <c r="BE14" s="22">
        <f>'MOMO,AIRTEL,CARDS'!BD5</f>
        <v>1522010</v>
      </c>
      <c r="BF14" s="22">
        <f>'MOMO,AIRTEL,CARDS'!BE5</f>
        <v>540100</v>
      </c>
      <c r="BG14" s="22">
        <f>'MOMO,AIRTEL,CARDS'!BF5</f>
        <v>904000</v>
      </c>
      <c r="BH14" s="22">
        <f>'MOMO,AIRTEL,CARDS'!BG5</f>
        <v>2004900</v>
      </c>
      <c r="BI14" s="22">
        <f>'MOMO,AIRTEL,CARDS'!BH5</f>
        <v>892000</v>
      </c>
      <c r="BJ14" s="22">
        <f>'MOMO,AIRTEL,CARDS'!BI5</f>
        <v>902000</v>
      </c>
      <c r="BK14" s="22">
        <f>'MOMO,AIRTEL,CARDS'!BJ5</f>
        <v>732000</v>
      </c>
      <c r="BL14" s="22">
        <f>'MOMO,AIRTEL,CARDS'!BK5</f>
        <v>921000</v>
      </c>
      <c r="BM14" s="97">
        <f t="shared" si="92"/>
        <v>33260414</v>
      </c>
      <c r="BN14" s="22">
        <f>'MOMO,AIRTEL,CARDS'!BM5</f>
        <v>293000</v>
      </c>
      <c r="BO14" s="22">
        <f>'MOMO,AIRTEL,CARDS'!BN5</f>
        <v>778000</v>
      </c>
      <c r="BP14" s="22">
        <f>'MOMO,AIRTEL,CARDS'!BO5</f>
        <v>421900</v>
      </c>
      <c r="BQ14" s="22">
        <f>'MOMO,AIRTEL,CARDS'!BP5</f>
        <v>1368000</v>
      </c>
      <c r="BR14" s="22">
        <f>'MOMO,AIRTEL,CARDS'!BQ5</f>
        <v>1064560</v>
      </c>
      <c r="BS14" s="22">
        <f>'MOMO,AIRTEL,CARDS'!BR5</f>
        <v>1124000</v>
      </c>
      <c r="BT14" s="22">
        <f>'MOMO,AIRTEL,CARDS'!BS5</f>
        <v>1139000</v>
      </c>
      <c r="BU14" s="22">
        <f>'MOMO,AIRTEL,CARDS'!BT5</f>
        <v>1305800</v>
      </c>
      <c r="BV14" s="22">
        <f>'MOMO,AIRTEL,CARDS'!BU5</f>
        <v>1657500</v>
      </c>
      <c r="BW14" s="22">
        <f>'MOMO,AIRTEL,CARDS'!BV5</f>
        <v>828500</v>
      </c>
      <c r="BX14" s="22">
        <f>'MOMO,AIRTEL,CARDS'!BW5</f>
        <v>306950</v>
      </c>
      <c r="BY14" s="22">
        <f>'MOMO,AIRTEL,CARDS'!BX5</f>
        <v>947000</v>
      </c>
      <c r="BZ14" s="22">
        <f>'MOMO,AIRTEL,CARDS'!BY5</f>
        <v>639000</v>
      </c>
      <c r="CA14" s="22">
        <f>'MOMO,AIRTEL,CARDS'!BZ5</f>
        <v>939000</v>
      </c>
      <c r="CB14" s="22">
        <f>'MOMO,AIRTEL,CARDS'!CA5</f>
        <v>661500</v>
      </c>
      <c r="CC14" s="22">
        <f>'MOMO,AIRTEL,CARDS'!CB5</f>
        <v>1073000</v>
      </c>
      <c r="CD14" s="22">
        <f>'MOMO,AIRTEL,CARDS'!CC5</f>
        <v>1259500</v>
      </c>
      <c r="CE14" s="22">
        <f>'MOMO,AIRTEL,CARDS'!CD5</f>
        <v>314000</v>
      </c>
      <c r="CF14" s="22">
        <f>'MOMO,AIRTEL,CARDS'!CE5</f>
        <v>860500</v>
      </c>
      <c r="CG14" s="22">
        <f>'MOMO,AIRTEL,CARDS'!CF5</f>
        <v>712000</v>
      </c>
      <c r="CH14" s="22">
        <f>'MOMO,AIRTEL,CARDS'!CG5</f>
        <v>1014754</v>
      </c>
      <c r="CI14" s="22">
        <f>'MOMO,AIRTEL,CARDS'!CH5</f>
        <v>601000</v>
      </c>
      <c r="CJ14" s="22">
        <f>'MOMO,AIRTEL,CARDS'!CI5</f>
        <v>924500</v>
      </c>
      <c r="CK14" s="22">
        <f>'MOMO,AIRTEL,CARDS'!CJ5</f>
        <v>480000</v>
      </c>
      <c r="CL14" s="22">
        <f>'MOMO,AIRTEL,CARDS'!CK5</f>
        <v>1637500</v>
      </c>
      <c r="CM14" s="22">
        <f>'MOMO,AIRTEL,CARDS'!CL5</f>
        <v>1332000</v>
      </c>
      <c r="CN14" s="22">
        <f>'MOMO,AIRTEL,CARDS'!CM5</f>
        <v>1067900</v>
      </c>
      <c r="CO14" s="22">
        <f>'MOMO,AIRTEL,CARDS'!CN5</f>
        <v>1758000</v>
      </c>
      <c r="CP14" s="22">
        <f>'MOMO,AIRTEL,CARDS'!CO5</f>
        <v>507950</v>
      </c>
      <c r="CQ14" s="22">
        <f>'MOMO,AIRTEL,CARDS'!CP5</f>
        <v>1675700</v>
      </c>
      <c r="CR14" s="22">
        <f>'MOMO,AIRTEL,CARDS'!CQ5</f>
        <v>922000</v>
      </c>
      <c r="CS14" s="111">
        <f t="shared" si="10"/>
        <v>29614014</v>
      </c>
      <c r="CT14" s="22">
        <f>'MOMO,AIRTEL,CARDS'!CS5</f>
        <v>1279000</v>
      </c>
      <c r="CU14" s="22">
        <f>'MOMO,AIRTEL,CARDS'!CT5</f>
        <v>1380000</v>
      </c>
      <c r="CV14" s="22">
        <f>'MOMO,AIRTEL,CARDS'!CU5</f>
        <v>1038000</v>
      </c>
      <c r="CW14" s="22">
        <f>'MOMO,AIRTEL,CARDS'!CV5</f>
        <v>1588010</v>
      </c>
      <c r="CX14" s="22">
        <f>'MOMO,AIRTEL,CARDS'!CW5</f>
        <v>622053</v>
      </c>
      <c r="CY14" s="22">
        <f>'MOMO,AIRTEL,CARDS'!CX5</f>
        <v>1828800</v>
      </c>
      <c r="CZ14" s="22">
        <f>'MOMO,AIRTEL,CARDS'!CY5</f>
        <v>1008122</v>
      </c>
      <c r="DA14" s="22">
        <f>'MOMO,AIRTEL,CARDS'!CZ5</f>
        <v>838000</v>
      </c>
      <c r="DB14" s="22">
        <f>'MOMO,AIRTEL,CARDS'!DA5</f>
        <v>1369500</v>
      </c>
      <c r="DC14" s="22">
        <f>'MOMO,AIRTEL,CARDS'!DB5</f>
        <v>972073</v>
      </c>
      <c r="DD14" s="22">
        <f>'MOMO,AIRTEL,CARDS'!DC5</f>
        <v>694000</v>
      </c>
      <c r="DE14" s="22">
        <f>'MOMO,AIRTEL,CARDS'!DD5</f>
        <v>1175500</v>
      </c>
      <c r="DF14" s="22">
        <f>'MOMO,AIRTEL,CARDS'!DE5</f>
        <v>1133695</v>
      </c>
      <c r="DG14" s="22">
        <f>'MOMO,AIRTEL,CARDS'!DF5</f>
        <v>1438390</v>
      </c>
      <c r="DH14" s="22">
        <f>'MOMO,AIRTEL,CARDS'!DG5</f>
        <v>1093000</v>
      </c>
      <c r="DI14" s="22">
        <f>'MOMO,AIRTEL,CARDS'!DH5</f>
        <v>612100</v>
      </c>
      <c r="DJ14" s="22">
        <f>'MOMO,AIRTEL,CARDS'!DI5</f>
        <v>2553150</v>
      </c>
      <c r="DK14" s="22">
        <f>'MOMO,AIRTEL,CARDS'!DJ5</f>
        <v>497100</v>
      </c>
      <c r="DL14" s="22">
        <f>'MOMO,AIRTEL,CARDS'!DK5</f>
        <v>969000</v>
      </c>
      <c r="DM14" s="22">
        <f>'MOMO,AIRTEL,CARDS'!DL5</f>
        <v>1626490</v>
      </c>
      <c r="DN14" s="22">
        <f>'MOMO,AIRTEL,CARDS'!DM5</f>
        <v>1000900</v>
      </c>
      <c r="DO14" s="22">
        <f>'MOMO,AIRTEL,CARDS'!DN5</f>
        <v>903500</v>
      </c>
      <c r="DP14" s="22">
        <f>'MOMO,AIRTEL,CARDS'!DO5</f>
        <v>953000</v>
      </c>
      <c r="DQ14" s="22">
        <f>'MOMO,AIRTEL,CARDS'!DP5</f>
        <v>679000</v>
      </c>
      <c r="DR14" s="22">
        <f>'MOMO,AIRTEL,CARDS'!DQ5</f>
        <v>1415100</v>
      </c>
      <c r="DS14" s="22">
        <f>'MOMO,AIRTEL,CARDS'!DR5</f>
        <v>819500</v>
      </c>
      <c r="DT14" s="22">
        <f>'MOMO,AIRTEL,CARDS'!DS5</f>
        <v>981500</v>
      </c>
      <c r="DU14" s="22">
        <f>'MOMO,AIRTEL,CARDS'!DT5</f>
        <v>2126000</v>
      </c>
      <c r="DV14" s="22">
        <f>'MOMO,AIRTEL,CARDS'!DU5</f>
        <v>514000</v>
      </c>
      <c r="DW14" s="22">
        <f>'MOMO,AIRTEL,CARDS'!DV5</f>
        <v>1322000</v>
      </c>
      <c r="DX14" s="119">
        <f t="shared" si="95"/>
        <v>34430483</v>
      </c>
      <c r="DY14" s="22">
        <f>'MOMO,AIRTEL,CARDS'!DX5</f>
        <v>1631000</v>
      </c>
      <c r="DZ14" s="22">
        <f>'MOMO,AIRTEL,CARDS'!DY5</f>
        <v>898000</v>
      </c>
      <c r="EA14" s="22">
        <f>'MOMO,AIRTEL,CARDS'!DZ5</f>
        <v>352000</v>
      </c>
      <c r="EB14" s="22">
        <f>'MOMO,AIRTEL,CARDS'!EA5</f>
        <v>370500</v>
      </c>
      <c r="EC14" s="22">
        <f>'MOMO,AIRTEL,CARDS'!EB5</f>
        <v>1413000</v>
      </c>
      <c r="ED14" s="22">
        <f>'MOMO,AIRTEL,CARDS'!EC5</f>
        <v>724000</v>
      </c>
      <c r="EE14" s="22">
        <f>'MOMO,AIRTEL,CARDS'!ED5</f>
        <v>914000</v>
      </c>
      <c r="EF14" s="22">
        <f>'MOMO,AIRTEL,CARDS'!EE5</f>
        <v>1747780</v>
      </c>
      <c r="EG14" s="22">
        <f>'MOMO,AIRTEL,CARDS'!EF5</f>
        <v>1047000</v>
      </c>
      <c r="EH14" s="22">
        <f>'MOMO,AIRTEL,CARDS'!EG5</f>
        <v>1539400</v>
      </c>
      <c r="EI14" s="22">
        <f>'MOMO,AIRTEL,CARDS'!EH5</f>
        <v>1161000</v>
      </c>
      <c r="EJ14" s="22">
        <f>'MOMO,AIRTEL,CARDS'!EI5</f>
        <v>1748000</v>
      </c>
      <c r="EK14" s="22">
        <f>'MOMO,AIRTEL,CARDS'!EJ5</f>
        <v>2177962</v>
      </c>
      <c r="EL14" s="22">
        <f>'MOMO,AIRTEL,CARDS'!EK5</f>
        <v>1605850</v>
      </c>
      <c r="EM14" s="22">
        <f>'MOMO,AIRTEL,CARDS'!EL5</f>
        <v>961000</v>
      </c>
      <c r="EN14" s="22">
        <f>'MOMO,AIRTEL,CARDS'!EM5</f>
        <v>1564000</v>
      </c>
      <c r="EO14" s="22">
        <f>'MOMO,AIRTEL,CARDS'!EN5</f>
        <v>684000</v>
      </c>
      <c r="EP14" s="22">
        <f>'MOMO,AIRTEL,CARDS'!EO5</f>
        <v>1224900</v>
      </c>
      <c r="EQ14" s="22">
        <f>'MOMO,AIRTEL,CARDS'!EP5</f>
        <v>803000</v>
      </c>
      <c r="ER14" s="22">
        <f>'MOMO,AIRTEL,CARDS'!EQ5</f>
        <v>1502000</v>
      </c>
      <c r="ES14" s="22">
        <f>'MOMO,AIRTEL,CARDS'!ER5</f>
        <v>2153000</v>
      </c>
      <c r="ET14" s="22">
        <f>'MOMO,AIRTEL,CARDS'!ES5</f>
        <v>1266500</v>
      </c>
      <c r="EU14" s="22">
        <f>'MOMO,AIRTEL,CARDS'!ET5</f>
        <v>2187000</v>
      </c>
      <c r="EV14" s="22">
        <f>'MOMO,AIRTEL,CARDS'!EU5</f>
        <v>717112</v>
      </c>
      <c r="EW14" s="22">
        <f>'MOMO,AIRTEL,CARDS'!EV5</f>
        <v>1548038</v>
      </c>
      <c r="EX14" s="22">
        <f>'MOMO,AIRTEL,CARDS'!EW5</f>
        <v>1201000</v>
      </c>
      <c r="EY14" s="22">
        <f>'MOMO,AIRTEL,CARDS'!EX5</f>
        <v>1383205</v>
      </c>
      <c r="EZ14" s="22">
        <f>'MOMO,AIRTEL,CARDS'!EY5</f>
        <v>1702500</v>
      </c>
      <c r="FA14" s="22">
        <f>'MOMO,AIRTEL,CARDS'!EZ5</f>
        <v>1892700</v>
      </c>
      <c r="FB14" s="22">
        <f>'MOMO,AIRTEL,CARDS'!FA5</f>
        <v>1325000</v>
      </c>
      <c r="FC14" s="22">
        <f>'MOMO,AIRTEL,CARDS'!FB5</f>
        <v>789540</v>
      </c>
      <c r="FD14" s="128">
        <f t="shared" si="97"/>
        <v>40233987</v>
      </c>
      <c r="FE14" s="22">
        <f>'MOMO,AIRTEL,CARDS'!FD5</f>
        <v>626333</v>
      </c>
      <c r="FF14" s="22">
        <f>'MOMO,AIRTEL,CARDS'!FE5</f>
        <v>439000</v>
      </c>
      <c r="FG14" s="22">
        <f>'MOMO,AIRTEL,CARDS'!FF5</f>
        <v>532000</v>
      </c>
      <c r="FH14" s="22">
        <f>'MOMO,AIRTEL,CARDS'!FG5</f>
        <v>1204900</v>
      </c>
      <c r="FI14" s="22">
        <f>'MOMO,AIRTEL,CARDS'!FH5</f>
        <v>2003124</v>
      </c>
      <c r="FJ14" s="22">
        <f>'MOMO,AIRTEL,CARDS'!FI5</f>
        <v>518000</v>
      </c>
      <c r="FK14" s="22">
        <f>'MOMO,AIRTEL,CARDS'!FJ5</f>
        <v>955000</v>
      </c>
      <c r="FL14" s="22">
        <f>'MOMO,AIRTEL,CARDS'!FK5</f>
        <v>789000</v>
      </c>
      <c r="FM14" s="22">
        <f>'MOMO,AIRTEL,CARDS'!FL5</f>
        <v>1582000</v>
      </c>
      <c r="FN14" s="22">
        <f>'MOMO,AIRTEL,CARDS'!FM5</f>
        <v>275000</v>
      </c>
      <c r="FO14" s="22">
        <f>'MOMO,AIRTEL,CARDS'!FN5</f>
        <v>1662000</v>
      </c>
      <c r="FP14" s="22">
        <f>'MOMO,AIRTEL,CARDS'!FO5</f>
        <v>1093044</v>
      </c>
      <c r="FQ14" s="22">
        <f>'MOMO,AIRTEL,CARDS'!FP5</f>
        <v>974000</v>
      </c>
      <c r="FR14" s="22">
        <f>'MOMO,AIRTEL,CARDS'!FQ5</f>
        <v>1022000</v>
      </c>
      <c r="FS14" s="22">
        <f>'MOMO,AIRTEL,CARDS'!FR5</f>
        <v>1178674</v>
      </c>
      <c r="FT14" s="22">
        <f>'MOMO,AIRTEL,CARDS'!FS5</f>
        <v>650000</v>
      </c>
      <c r="FU14" s="22">
        <f>'MOMO,AIRTEL,CARDS'!FT5</f>
        <v>1880000</v>
      </c>
      <c r="FV14" s="22">
        <f>'MOMO,AIRTEL,CARDS'!FU5</f>
        <v>1582000</v>
      </c>
      <c r="FW14" s="22">
        <f>'MOMO,AIRTEL,CARDS'!FV5</f>
        <v>1813000</v>
      </c>
      <c r="FX14" s="22">
        <f>'MOMO,AIRTEL,CARDS'!FW5</f>
        <v>884000</v>
      </c>
      <c r="FY14" s="22">
        <f>'MOMO,AIRTEL,CARDS'!FX5</f>
        <v>853000</v>
      </c>
      <c r="FZ14" s="22">
        <f>'MOMO,AIRTEL,CARDS'!FY5</f>
        <v>662000</v>
      </c>
      <c r="GA14" s="22">
        <f>'MOMO,AIRTEL,CARDS'!FZ5</f>
        <v>569000</v>
      </c>
      <c r="GB14" s="22">
        <f>'MOMO,AIRTEL,CARDS'!GA5</f>
        <v>1526170</v>
      </c>
      <c r="GC14" s="22">
        <f>'MOMO,AIRTEL,CARDS'!GB5</f>
        <v>1524000</v>
      </c>
      <c r="GD14" s="22">
        <f>'MOMO,AIRTEL,CARDS'!GC5</f>
        <v>2441200</v>
      </c>
      <c r="GE14" s="22">
        <f>'MOMO,AIRTEL,CARDS'!GD5</f>
        <v>947000</v>
      </c>
      <c r="GF14" s="22">
        <f>'MOMO,AIRTEL,CARDS'!GE5</f>
        <v>1374000</v>
      </c>
      <c r="GG14" s="22">
        <f>'MOMO,AIRTEL,CARDS'!GF5</f>
        <v>1462000</v>
      </c>
      <c r="GH14" s="22">
        <f>'MOMO,AIRTEL,CARDS'!GG5</f>
        <v>785000</v>
      </c>
      <c r="GI14" s="22">
        <f>'MOMO,AIRTEL,CARDS'!GH5</f>
        <v>1781000</v>
      </c>
      <c r="GJ14" s="127">
        <f t="shared" si="99"/>
        <v>35587445</v>
      </c>
      <c r="GK14" s="22">
        <f>'MOMO,AIRTEL,CARDS'!GJ5</f>
        <v>1640000</v>
      </c>
      <c r="GL14" s="22">
        <f>'MOMO,AIRTEL,CARDS'!GK5</f>
        <v>1490000</v>
      </c>
      <c r="GM14" s="22">
        <f>'MOMO,AIRTEL,CARDS'!GL5</f>
        <v>1449034</v>
      </c>
      <c r="GN14" s="22">
        <f>'MOMO,AIRTEL,CARDS'!GM5</f>
        <v>453000</v>
      </c>
      <c r="GO14" s="22">
        <f>'MOMO,AIRTEL,CARDS'!GN5</f>
        <v>932000</v>
      </c>
      <c r="GP14" s="22">
        <f>'MOMO,AIRTEL,CARDS'!GO5</f>
        <v>800000</v>
      </c>
      <c r="GQ14" s="22">
        <f>'MOMO,AIRTEL,CARDS'!GP5</f>
        <v>1696000</v>
      </c>
      <c r="GR14" s="22">
        <f>'MOMO,AIRTEL,CARDS'!GQ5</f>
        <v>957000</v>
      </c>
      <c r="GS14" s="22">
        <f>'MOMO,AIRTEL,CARDS'!GR5</f>
        <v>1689000</v>
      </c>
      <c r="GT14" s="22">
        <f>'MOMO,AIRTEL,CARDS'!GS5</f>
        <v>1344500</v>
      </c>
      <c r="GU14" s="22">
        <f>'MOMO,AIRTEL,CARDS'!GT5</f>
        <v>1077000</v>
      </c>
      <c r="GV14" s="22">
        <f>'MOMO,AIRTEL,CARDS'!GU5</f>
        <v>1599000</v>
      </c>
      <c r="GW14" s="22">
        <f>'MOMO,AIRTEL,CARDS'!GV5</f>
        <v>1359300</v>
      </c>
      <c r="GX14" s="22">
        <f>'MOMO,AIRTEL,CARDS'!GW5</f>
        <v>823703</v>
      </c>
      <c r="GY14" s="22">
        <f>'MOMO,AIRTEL,CARDS'!GX5</f>
        <v>1075000</v>
      </c>
      <c r="GZ14" s="22">
        <f>'MOMO,AIRTEL,CARDS'!GY5</f>
        <v>1126972</v>
      </c>
      <c r="HA14" s="22">
        <f>'MOMO,AIRTEL,CARDS'!GZ5</f>
        <v>967602</v>
      </c>
      <c r="HB14" s="22">
        <f>'MOMO,AIRTEL,CARDS'!HA5</f>
        <v>814900</v>
      </c>
      <c r="HC14" s="22">
        <f>'MOMO,AIRTEL,CARDS'!HB5</f>
        <v>695000</v>
      </c>
      <c r="HD14" s="22">
        <f>'MOMO,AIRTEL,CARDS'!HC5</f>
        <v>1540390</v>
      </c>
      <c r="HE14" s="22">
        <f>'MOMO,AIRTEL,CARDS'!HD5</f>
        <v>1150200</v>
      </c>
      <c r="HF14" s="22">
        <f>'MOMO,AIRTEL,CARDS'!HE5</f>
        <v>715000</v>
      </c>
      <c r="HG14" s="22">
        <f>'MOMO,AIRTEL,CARDS'!HF5</f>
        <v>991160</v>
      </c>
      <c r="HH14" s="22">
        <f>'MOMO,AIRTEL,CARDS'!HG5</f>
        <v>1064000</v>
      </c>
      <c r="HI14" s="22">
        <f>'MOMO,AIRTEL,CARDS'!HH5</f>
        <v>771000</v>
      </c>
      <c r="HJ14" s="22">
        <f>'MOMO,AIRTEL,CARDS'!HI5</f>
        <v>834000</v>
      </c>
      <c r="HK14" s="22">
        <f>'MOMO,AIRTEL,CARDS'!HJ5</f>
        <v>1032000</v>
      </c>
      <c r="HL14" s="22">
        <f>'MOMO,AIRTEL,CARDS'!HK5</f>
        <v>1441808</v>
      </c>
      <c r="HM14" s="22">
        <f>'MOMO,AIRTEL,CARDS'!HL5</f>
        <v>1368946</v>
      </c>
      <c r="HN14" s="127">
        <f t="shared" si="101"/>
        <v>32897515</v>
      </c>
      <c r="HO14" s="22">
        <f>'MOMO,AIRTEL,CARDS'!HN5</f>
        <v>1175000</v>
      </c>
      <c r="HP14" s="22">
        <f>'MOMO,AIRTEL,CARDS'!HO5</f>
        <v>1055000</v>
      </c>
      <c r="HQ14" s="22">
        <f>'MOMO,AIRTEL,CARDS'!HP5</f>
        <v>1062000</v>
      </c>
      <c r="HR14" s="22">
        <f>'MOMO,AIRTEL,CARDS'!HQ5</f>
        <v>1519000</v>
      </c>
      <c r="HS14" s="22">
        <f>'MOMO,AIRTEL,CARDS'!HR5</f>
        <v>1896823</v>
      </c>
      <c r="HT14" s="22">
        <f>'MOMO,AIRTEL,CARDS'!HS5</f>
        <v>805900</v>
      </c>
      <c r="HU14" s="22">
        <f>'MOMO,AIRTEL,CARDS'!HT5</f>
        <v>1278160</v>
      </c>
      <c r="HV14" s="22">
        <f>'MOMO,AIRTEL,CARDS'!HU5</f>
        <v>1486160</v>
      </c>
      <c r="HW14" s="22">
        <f>'MOMO,AIRTEL,CARDS'!HV5</f>
        <v>1685000</v>
      </c>
      <c r="HX14" s="22">
        <f>'MOMO,AIRTEL,CARDS'!HW5</f>
        <v>1362000</v>
      </c>
      <c r="HY14" s="22">
        <f>'MOMO,AIRTEL,CARDS'!HX5</f>
        <v>1367000</v>
      </c>
      <c r="HZ14" s="22">
        <f>'MOMO,AIRTEL,CARDS'!HY5</f>
        <v>1354000</v>
      </c>
      <c r="IA14" s="22">
        <f>'MOMO,AIRTEL,CARDS'!HZ5</f>
        <v>610000</v>
      </c>
      <c r="IB14" s="22">
        <f>'MOMO,AIRTEL,CARDS'!IA5</f>
        <v>1363500</v>
      </c>
      <c r="IC14" s="22">
        <f>'MOMO,AIRTEL,CARDS'!IB5</f>
        <v>3145400</v>
      </c>
      <c r="ID14" s="22">
        <f>'MOMO,AIRTEL,CARDS'!IC5</f>
        <v>828000</v>
      </c>
      <c r="IE14" s="22">
        <f>'MOMO,AIRTEL,CARDS'!ID5</f>
        <v>1249650</v>
      </c>
      <c r="IF14" s="22">
        <f>'MOMO,AIRTEL,CARDS'!IE5</f>
        <v>882000</v>
      </c>
      <c r="IG14" s="22">
        <f>'MOMO,AIRTEL,CARDS'!IF5</f>
        <v>1695000</v>
      </c>
      <c r="IH14" s="22">
        <f>'MOMO,AIRTEL,CARDS'!IG5</f>
        <v>924000</v>
      </c>
      <c r="II14" s="22">
        <f>'MOMO,AIRTEL,CARDS'!IH5</f>
        <v>470400</v>
      </c>
      <c r="IJ14" s="22">
        <f>'MOMO,AIRTEL,CARDS'!II5</f>
        <v>1703000</v>
      </c>
      <c r="IK14" s="22">
        <f>'MOMO,AIRTEL,CARDS'!IJ5</f>
        <v>1364500</v>
      </c>
      <c r="IL14" s="22">
        <f>'MOMO,AIRTEL,CARDS'!IK5</f>
        <v>1592250</v>
      </c>
      <c r="IM14" s="22">
        <f>'MOMO,AIRTEL,CARDS'!IL5</f>
        <v>1259400</v>
      </c>
      <c r="IN14" s="22">
        <f>'MOMO,AIRTEL,CARDS'!IM5</f>
        <v>1312500</v>
      </c>
      <c r="IO14" s="22">
        <f>'MOMO,AIRTEL,CARDS'!IN5</f>
        <v>932700</v>
      </c>
      <c r="IP14" s="22">
        <f>'MOMO,AIRTEL,CARDS'!IO5</f>
        <v>2296900</v>
      </c>
      <c r="IQ14" s="22">
        <f>'MOMO,AIRTEL,CARDS'!IP5</f>
        <v>816000</v>
      </c>
      <c r="IR14" s="22">
        <f>'MOMO,AIRTEL,CARDS'!IQ5</f>
        <v>1421500</v>
      </c>
      <c r="IS14" s="22">
        <f>'MOMO,AIRTEL,CARDS'!IR5</f>
        <v>588400</v>
      </c>
      <c r="IT14" s="127">
        <f t="shared" si="22"/>
        <v>40501143</v>
      </c>
      <c r="IU14" s="22">
        <f>'MOMO,AIRTEL,CARDS'!IT5</f>
        <v>1128000</v>
      </c>
      <c r="IV14" s="22">
        <f>'MOMO,AIRTEL,CARDS'!IU5</f>
        <v>1561182</v>
      </c>
      <c r="IW14" s="22">
        <f>'MOMO,AIRTEL,CARDS'!IV5</f>
        <v>785400</v>
      </c>
      <c r="IX14" s="22">
        <f>'MOMO,AIRTEL,CARDS'!IW5</f>
        <v>1354000</v>
      </c>
      <c r="IY14" s="22">
        <f>'MOMO,AIRTEL,CARDS'!IX5</f>
        <v>1117000</v>
      </c>
      <c r="IZ14" s="22">
        <f>'MOMO,AIRTEL,CARDS'!IY5</f>
        <v>1191500</v>
      </c>
      <c r="JA14" s="22">
        <f>'MOMO,AIRTEL,CARDS'!IZ5</f>
        <v>953000</v>
      </c>
      <c r="JB14" s="22">
        <f>'MOMO,AIRTEL,CARDS'!JA5</f>
        <v>797500</v>
      </c>
      <c r="JC14" s="22">
        <f>'MOMO,AIRTEL,CARDS'!JB5</f>
        <v>1702000</v>
      </c>
      <c r="JD14" s="22">
        <f>'MOMO,AIRTEL,CARDS'!JC5</f>
        <v>1038000</v>
      </c>
      <c r="JE14" s="22">
        <f>'MOMO,AIRTEL,CARDS'!JD5</f>
        <v>1434000</v>
      </c>
      <c r="JF14" s="22">
        <f>'MOMO,AIRTEL,CARDS'!JE5</f>
        <v>1106900</v>
      </c>
      <c r="JG14" s="22">
        <f>'MOMO,AIRTEL,CARDS'!JF5</f>
        <v>2077500</v>
      </c>
      <c r="JH14" s="22">
        <f>'MOMO,AIRTEL,CARDS'!JG5</f>
        <v>1378500</v>
      </c>
      <c r="JI14" s="22">
        <f>'MOMO,AIRTEL,CARDS'!JH5</f>
        <v>983000</v>
      </c>
      <c r="JJ14" s="22">
        <f>'MOMO,AIRTEL,CARDS'!JI5</f>
        <v>1536780</v>
      </c>
      <c r="JK14" s="22">
        <f>'MOMO,AIRTEL,CARDS'!JJ5</f>
        <v>1079000</v>
      </c>
      <c r="JL14" s="22">
        <f>'MOMO,AIRTEL,CARDS'!JK5</f>
        <v>641000</v>
      </c>
      <c r="JM14" s="22">
        <f>'MOMO,AIRTEL,CARDS'!JL5</f>
        <v>2637636</v>
      </c>
      <c r="JN14" s="22">
        <f>'MOMO,AIRTEL,CARDS'!JM5</f>
        <v>1292500</v>
      </c>
      <c r="JO14" s="22">
        <f>'MOMO,AIRTEL,CARDS'!JN5</f>
        <v>1081000</v>
      </c>
      <c r="JP14" s="22">
        <f>'MOMO,AIRTEL,CARDS'!JO5</f>
        <v>2728500</v>
      </c>
      <c r="JQ14" s="22">
        <f>'MOMO,AIRTEL,CARDS'!JP5</f>
        <v>1455080</v>
      </c>
      <c r="JR14" s="22">
        <f>'MOMO,AIRTEL,CARDS'!JQ5</f>
        <v>2339531</v>
      </c>
      <c r="JS14" s="22">
        <f>'MOMO,AIRTEL,CARDS'!JR5</f>
        <v>465000</v>
      </c>
      <c r="JT14" s="22">
        <f>'MOMO,AIRTEL,CARDS'!JS5</f>
        <v>1207000</v>
      </c>
      <c r="JU14" s="22">
        <f>'MOMO,AIRTEL,CARDS'!JT5</f>
        <v>2168000</v>
      </c>
      <c r="JV14" s="22">
        <f>'MOMO,AIRTEL,CARDS'!JU5</f>
        <v>811500</v>
      </c>
      <c r="JW14" s="22">
        <f>'MOMO,AIRTEL,CARDS'!JV5</f>
        <v>1463085</v>
      </c>
      <c r="JX14" s="22">
        <f>'MOMO,AIRTEL,CARDS'!JW5</f>
        <v>1701000</v>
      </c>
      <c r="JY14" s="127">
        <f t="shared" si="58"/>
        <v>41214094</v>
      </c>
      <c r="JZ14" s="22">
        <f>'MOMO,AIRTEL,CARDS'!JY5</f>
        <v>1371000</v>
      </c>
      <c r="KA14" s="22">
        <f>'MOMO,AIRTEL,CARDS'!JZ5</f>
        <v>1212900</v>
      </c>
      <c r="KB14" s="22">
        <f>'MOMO,AIRTEL,CARDS'!KA5</f>
        <v>1798700</v>
      </c>
      <c r="KC14" s="22">
        <f>'MOMO,AIRTEL,CARDS'!KB5</f>
        <v>1761460</v>
      </c>
      <c r="KD14" s="22">
        <f>'MOMO,AIRTEL,CARDS'!KC5</f>
        <v>1253744</v>
      </c>
      <c r="KE14" s="22">
        <f>'MOMO,AIRTEL,CARDS'!KD5</f>
        <v>2674320</v>
      </c>
      <c r="KF14" s="22">
        <f>'MOMO,AIRTEL,CARDS'!KE5</f>
        <v>3076340</v>
      </c>
      <c r="KG14" s="22">
        <f>'MOMO,AIRTEL,CARDS'!KF5</f>
        <v>1821680</v>
      </c>
      <c r="KH14" s="22">
        <f>'MOMO,AIRTEL,CARDS'!KG5</f>
        <v>2480880</v>
      </c>
      <c r="KI14" s="22">
        <f>'MOMO,AIRTEL,CARDS'!KH5</f>
        <v>3013300</v>
      </c>
      <c r="KJ14" s="22">
        <f>'MOMO,AIRTEL,CARDS'!KI5</f>
        <v>2133730</v>
      </c>
      <c r="KK14" s="22">
        <f>'MOMO,AIRTEL,CARDS'!KJ5</f>
        <v>830000</v>
      </c>
      <c r="KL14" s="22">
        <f>'MOMO,AIRTEL,CARDS'!KK5</f>
        <v>2986700</v>
      </c>
      <c r="KM14" s="22">
        <f>'MOMO,AIRTEL,CARDS'!KL5</f>
        <v>2926900</v>
      </c>
      <c r="KN14" s="22">
        <f>'MOMO,AIRTEL,CARDS'!KM5</f>
        <v>1457000</v>
      </c>
      <c r="KO14" s="22">
        <f>'MOMO,AIRTEL,CARDS'!KN5</f>
        <v>3459050</v>
      </c>
      <c r="KP14" s="22">
        <f>'MOMO,AIRTEL,CARDS'!KO5</f>
        <v>2108730</v>
      </c>
      <c r="KQ14" s="22">
        <f>'MOMO,AIRTEL,CARDS'!KP5</f>
        <v>2337500</v>
      </c>
      <c r="KR14" s="22">
        <f>'MOMO,AIRTEL,CARDS'!KQ5</f>
        <v>1024000</v>
      </c>
      <c r="KS14" s="22">
        <f>'MOMO,AIRTEL,CARDS'!KR5</f>
        <v>2445590</v>
      </c>
      <c r="KT14" s="22">
        <f>'MOMO,AIRTEL,CARDS'!KS5</f>
        <v>2456370</v>
      </c>
      <c r="KU14" s="22">
        <f>'MOMO,AIRTEL,CARDS'!KT5</f>
        <v>2496500</v>
      </c>
      <c r="KV14" s="22">
        <f>'MOMO,AIRTEL,CARDS'!KU5</f>
        <v>2019000</v>
      </c>
      <c r="KW14" s="22">
        <f>'MOMO,AIRTEL,CARDS'!KV5</f>
        <v>2412200</v>
      </c>
      <c r="KX14" s="22">
        <f>'MOMO,AIRTEL,CARDS'!KW5</f>
        <v>2207880</v>
      </c>
      <c r="KY14" s="22">
        <f>'MOMO,AIRTEL,CARDS'!KX5</f>
        <v>1173000</v>
      </c>
      <c r="KZ14" s="22">
        <f>'MOMO,AIRTEL,CARDS'!KY5</f>
        <v>3002660</v>
      </c>
      <c r="LA14" s="22">
        <f>'MOMO,AIRTEL,CARDS'!KZ5</f>
        <v>3333000</v>
      </c>
      <c r="LB14" s="22">
        <f>'MOMO,AIRTEL,CARDS'!LA5</f>
        <v>2541000</v>
      </c>
      <c r="LC14" s="22">
        <f>'MOMO,AIRTEL,CARDS'!LB5</f>
        <v>5008500</v>
      </c>
      <c r="LD14" s="22">
        <f>'MOMO,AIRTEL,CARDS'!LC5</f>
        <v>1319950</v>
      </c>
      <c r="LE14" s="127">
        <f t="shared" si="60"/>
        <v>68772584</v>
      </c>
      <c r="LF14" s="22">
        <f>'MOMO,AIRTEL,CARDS'!LE5</f>
        <v>3509660</v>
      </c>
      <c r="LG14" s="22">
        <f>'MOMO,AIRTEL,CARDS'!LF5</f>
        <v>1950100</v>
      </c>
      <c r="LH14" s="22">
        <f>'MOMO,AIRTEL,CARDS'!LG5</f>
        <v>2454000</v>
      </c>
      <c r="LI14" s="22">
        <f>'MOMO,AIRTEL,CARDS'!LH5</f>
        <v>2263350</v>
      </c>
      <c r="LJ14" s="22">
        <f>'MOMO,AIRTEL,CARDS'!LI5</f>
        <v>1815450</v>
      </c>
      <c r="LK14" s="22">
        <f>'MOMO,AIRTEL,CARDS'!LJ5</f>
        <v>3072850</v>
      </c>
      <c r="LL14" s="22">
        <f>'MOMO,AIRTEL,CARDS'!LK5</f>
        <v>2489700</v>
      </c>
      <c r="LM14" s="22">
        <f>'MOMO,AIRTEL,CARDS'!LL5</f>
        <v>3426000</v>
      </c>
      <c r="LN14" s="22">
        <f>'MOMO,AIRTEL,CARDS'!LM5</f>
        <v>854000</v>
      </c>
      <c r="LO14" s="22">
        <f>'MOMO,AIRTEL,CARDS'!LN5</f>
        <v>2294000</v>
      </c>
      <c r="LP14" s="22">
        <f>'MOMO,AIRTEL,CARDS'!LO5</f>
        <v>4265268</v>
      </c>
      <c r="LQ14" s="22">
        <f>'MOMO,AIRTEL,CARDS'!LP5</f>
        <v>1658740</v>
      </c>
      <c r="LR14" s="22">
        <f>'MOMO,AIRTEL,CARDS'!LQ5</f>
        <v>2202000</v>
      </c>
      <c r="LS14" s="22">
        <f>'MOMO,AIRTEL,CARDS'!LR5</f>
        <v>2962213</v>
      </c>
      <c r="LT14" s="22">
        <f>'MOMO,AIRTEL,CARDS'!LS5</f>
        <v>2793343</v>
      </c>
      <c r="LU14" s="22">
        <f>'MOMO,AIRTEL,CARDS'!LT5</f>
        <v>888200</v>
      </c>
      <c r="LV14" s="22">
        <f>'MOMO,AIRTEL,CARDS'!LU5</f>
        <v>1877900</v>
      </c>
      <c r="LW14" s="22">
        <f>'MOMO,AIRTEL,CARDS'!LV5</f>
        <v>2867000</v>
      </c>
      <c r="LX14" s="22">
        <f>'MOMO,AIRTEL,CARDS'!LW5</f>
        <v>2999209</v>
      </c>
      <c r="LY14" s="22">
        <f>'MOMO,AIRTEL,CARDS'!LX5</f>
        <v>2113000</v>
      </c>
      <c r="LZ14" s="22">
        <f>'MOMO,AIRTEL,CARDS'!LY5</f>
        <v>3588000</v>
      </c>
      <c r="MA14" s="22">
        <f>'MOMO,AIRTEL,CARDS'!LZ5</f>
        <v>2049000</v>
      </c>
      <c r="MB14" s="22">
        <f>'MOMO,AIRTEL,CARDS'!MA5</f>
        <v>514000</v>
      </c>
      <c r="MC14" s="22">
        <f>'MOMO,AIRTEL,CARDS'!MB5</f>
        <v>3290450</v>
      </c>
      <c r="MD14" s="22">
        <f>'MOMO,AIRTEL,CARDS'!MC5</f>
        <v>1602350</v>
      </c>
      <c r="ME14" s="22">
        <f>'MOMO,AIRTEL,CARDS'!MD5</f>
        <v>2205740</v>
      </c>
      <c r="MF14" s="22">
        <f>'MOMO,AIRTEL,CARDS'!ME5</f>
        <v>1228000</v>
      </c>
      <c r="MG14" s="22">
        <f>'MOMO,AIRTEL,CARDS'!MF5</f>
        <v>3280836</v>
      </c>
      <c r="MH14" s="22">
        <f>'MOMO,AIRTEL,CARDS'!MG5</f>
        <v>1326000</v>
      </c>
      <c r="MI14" s="22">
        <f>'MOMO,AIRTEL,CARDS'!MH5</f>
        <v>2044500</v>
      </c>
      <c r="MJ14" s="127">
        <f t="shared" si="62"/>
        <v>69884859</v>
      </c>
      <c r="MK14" s="22">
        <f>'MOMO,AIRTEL,CARDS'!MJ5</f>
        <v>2181100</v>
      </c>
      <c r="ML14" s="22">
        <f>'MOMO,AIRTEL,CARDS'!MK5</f>
        <v>1937000</v>
      </c>
      <c r="MM14" s="22">
        <f>'MOMO,AIRTEL,CARDS'!ML5</f>
        <v>2369000</v>
      </c>
      <c r="MN14" s="22">
        <f>'MOMO,AIRTEL,CARDS'!MM5</f>
        <v>1965000</v>
      </c>
      <c r="MO14" s="22">
        <f>'MOMO,AIRTEL,CARDS'!MN5</f>
        <v>3602000</v>
      </c>
      <c r="MP14" s="22">
        <f>'MOMO,AIRTEL,CARDS'!MO5</f>
        <v>1638900</v>
      </c>
      <c r="MQ14" s="22">
        <f>'MOMO,AIRTEL,CARDS'!MP5</f>
        <v>1732500</v>
      </c>
      <c r="MR14" s="22">
        <f>'MOMO,AIRTEL,CARDS'!MQ5</f>
        <v>3546370</v>
      </c>
      <c r="MS14" s="22">
        <f>'MOMO,AIRTEL,CARDS'!MR5</f>
        <v>2896501</v>
      </c>
      <c r="MT14" s="22">
        <f>'MOMO,AIRTEL,CARDS'!MS5</f>
        <v>1682000</v>
      </c>
      <c r="MU14" s="22">
        <f>'MOMO,AIRTEL,CARDS'!MT5</f>
        <v>3423000</v>
      </c>
      <c r="MV14" s="22">
        <f>'MOMO,AIRTEL,CARDS'!MU5</f>
        <v>3320000</v>
      </c>
      <c r="MW14" s="22">
        <f>'MOMO,AIRTEL,CARDS'!MV5</f>
        <v>2853000</v>
      </c>
      <c r="MX14" s="22">
        <f>'MOMO,AIRTEL,CARDS'!MW5</f>
        <v>1558000</v>
      </c>
      <c r="MY14" s="22">
        <f>'MOMO,AIRTEL,CARDS'!MX5</f>
        <v>2680100</v>
      </c>
      <c r="MZ14" s="22">
        <f>'MOMO,AIRTEL,CARDS'!MY5</f>
        <v>2541000</v>
      </c>
      <c r="NA14" s="22">
        <f>'MOMO,AIRTEL,CARDS'!MZ5</f>
        <v>1547700</v>
      </c>
      <c r="NB14" s="22">
        <f>'MOMO,AIRTEL,CARDS'!NA5</f>
        <v>2616018</v>
      </c>
      <c r="NC14" s="22">
        <f>'MOMO,AIRTEL,CARDS'!NB5</f>
        <v>1513117</v>
      </c>
      <c r="ND14" s="22">
        <f>'MOMO,AIRTEL,CARDS'!NC5</f>
        <v>1290000</v>
      </c>
      <c r="NE14" s="22">
        <f>'MOMO,AIRTEL,CARDS'!ND5</f>
        <v>960320</v>
      </c>
      <c r="NF14" s="22">
        <f>'MOMO,AIRTEL,CARDS'!NE5</f>
        <v>1776600</v>
      </c>
      <c r="NG14" s="22">
        <f>'MOMO,AIRTEL,CARDS'!NF5</f>
        <v>2696000</v>
      </c>
      <c r="NH14" s="22">
        <f>'MOMO,AIRTEL,CARDS'!NG5</f>
        <v>1796000</v>
      </c>
      <c r="NI14" s="22">
        <f>'MOMO,AIRTEL,CARDS'!NH5</f>
        <v>2729300</v>
      </c>
      <c r="NJ14" s="22">
        <f>'MOMO,AIRTEL,CARDS'!NI5</f>
        <v>3264100</v>
      </c>
      <c r="NK14" s="22">
        <f>'MOMO,AIRTEL,CARDS'!NJ5</f>
        <v>1277000</v>
      </c>
      <c r="NL14" s="22">
        <f>'MOMO,AIRTEL,CARDS'!NK5</f>
        <v>1236000</v>
      </c>
      <c r="NM14" s="22">
        <f>'MOMO,AIRTEL,CARDS'!NL5</f>
        <v>2005000</v>
      </c>
      <c r="NN14" s="22">
        <f>'MOMO,AIRTEL,CARDS'!NM5</f>
        <v>2110300</v>
      </c>
      <c r="NO14" s="22">
        <f>'MOMO,AIRTEL,CARDS'!NN5</f>
        <v>1924000</v>
      </c>
      <c r="NP14" s="127">
        <f t="shared" si="64"/>
        <v>66485826</v>
      </c>
      <c r="NQ14" s="22">
        <f>'MOMO,AIRTEL,CARDS'!NP5</f>
        <v>2068500</v>
      </c>
      <c r="NR14" s="22">
        <f>'MOMO,AIRTEL,CARDS'!NQ5</f>
        <v>2502000</v>
      </c>
      <c r="NS14" s="22">
        <f>'MOMO,AIRTEL,CARDS'!NR5</f>
        <v>3647892</v>
      </c>
      <c r="NT14" s="22">
        <f>'MOMO,AIRTEL,CARDS'!NS5</f>
        <v>1743500</v>
      </c>
      <c r="NU14" s="22">
        <f>'MOMO,AIRTEL,CARDS'!NT5</f>
        <v>2372800</v>
      </c>
      <c r="NV14" s="22">
        <f>'MOMO,AIRTEL,CARDS'!NU5</f>
        <v>3323409</v>
      </c>
      <c r="NW14" s="22">
        <f>'MOMO,AIRTEL,CARDS'!NV5</f>
        <v>2913000</v>
      </c>
      <c r="NX14" s="22">
        <f>'MOMO,AIRTEL,CARDS'!NW5</f>
        <v>3078500</v>
      </c>
      <c r="NY14" s="22">
        <f>'MOMO,AIRTEL,CARDS'!NX5</f>
        <v>2473000</v>
      </c>
      <c r="NZ14" s="22">
        <f>'MOMO,AIRTEL,CARDS'!NY5</f>
        <v>1880700</v>
      </c>
      <c r="OA14" s="22">
        <f>'MOMO,AIRTEL,CARDS'!NZ5</f>
        <v>1440904</v>
      </c>
      <c r="OB14" s="22">
        <f>'MOMO,AIRTEL,CARDS'!OA5</f>
        <v>1790000</v>
      </c>
      <c r="OC14" s="22">
        <f>'MOMO,AIRTEL,CARDS'!OB5</f>
        <v>1453000</v>
      </c>
      <c r="OD14" s="22">
        <f>'MOMO,AIRTEL,CARDS'!OC5</f>
        <v>2304900</v>
      </c>
      <c r="OE14" s="22">
        <f>'MOMO,AIRTEL,CARDS'!OD5</f>
        <v>962000</v>
      </c>
      <c r="OF14" s="22">
        <f>'MOMO,AIRTEL,CARDS'!OE5</f>
        <v>2684415</v>
      </c>
      <c r="OG14" s="22">
        <f>'MOMO,AIRTEL,CARDS'!OF5</f>
        <v>1532500</v>
      </c>
      <c r="OH14" s="22">
        <f>'MOMO,AIRTEL,CARDS'!OG5</f>
        <v>1156500</v>
      </c>
      <c r="OI14" s="22">
        <f>'MOMO,AIRTEL,CARDS'!OH5</f>
        <v>1015000</v>
      </c>
      <c r="OJ14" s="22">
        <f>'MOMO,AIRTEL,CARDS'!OI5</f>
        <v>1457000</v>
      </c>
      <c r="OK14" s="22">
        <f>'MOMO,AIRTEL,CARDS'!OJ5</f>
        <v>1379300</v>
      </c>
      <c r="OL14" s="22">
        <f>'MOMO,AIRTEL,CARDS'!OK5</f>
        <v>1078000</v>
      </c>
      <c r="OM14" s="22">
        <f>'MOMO,AIRTEL,CARDS'!OL5</f>
        <v>1264500</v>
      </c>
      <c r="ON14" s="22">
        <f>'MOMO,AIRTEL,CARDS'!OM5</f>
        <v>1287000</v>
      </c>
      <c r="OO14" s="22">
        <f>'MOMO,AIRTEL,CARDS'!ON5</f>
        <v>329000</v>
      </c>
      <c r="OP14" s="22">
        <f>'MOMO,AIRTEL,CARDS'!OO5</f>
        <v>1526500</v>
      </c>
      <c r="OQ14" s="22">
        <f>'MOMO,AIRTEL,CARDS'!OP5</f>
        <v>3350963</v>
      </c>
      <c r="OR14" s="22">
        <f>'MOMO,AIRTEL,CARDS'!OQ5</f>
        <v>889760</v>
      </c>
      <c r="OS14" s="22">
        <f>'MOMO,AIRTEL,CARDS'!OR5</f>
        <v>1603260</v>
      </c>
      <c r="OT14" s="22">
        <f>'MOMO,AIRTEL,CARDS'!OS5</f>
        <v>1257010</v>
      </c>
      <c r="OU14" s="22">
        <f>'MOMO,AIRTEL,CARDS'!OT5</f>
        <v>1341760</v>
      </c>
      <c r="OV14" s="127">
        <f t="shared" si="66"/>
        <v>55038073</v>
      </c>
      <c r="OW14" s="22">
        <f>'MOMO,AIRTEL,CARDS'!OV5</f>
        <v>947500</v>
      </c>
      <c r="OX14" s="22">
        <f>'MOMO,AIRTEL,CARDS'!OW5</f>
        <v>1358900</v>
      </c>
      <c r="OY14" s="22">
        <f>'MOMO,AIRTEL,CARDS'!OX5</f>
        <v>2014100</v>
      </c>
      <c r="OZ14" s="22">
        <f>'MOMO,AIRTEL,CARDS'!OY5</f>
        <v>2974000</v>
      </c>
      <c r="PA14" s="22">
        <f>'MOMO,AIRTEL,CARDS'!OZ5</f>
        <v>2374500</v>
      </c>
      <c r="PB14" s="22">
        <f>'MOMO,AIRTEL,CARDS'!PA5</f>
        <v>1228000</v>
      </c>
      <c r="PC14" s="22">
        <f>'MOMO,AIRTEL,CARDS'!PB5</f>
        <v>1187500</v>
      </c>
      <c r="PD14" s="22">
        <f>'MOMO,AIRTEL,CARDS'!PC5</f>
        <v>1214000</v>
      </c>
      <c r="PE14" s="22">
        <f>'MOMO,AIRTEL,CARDS'!PD5</f>
        <v>1520000</v>
      </c>
      <c r="PF14" s="22">
        <f>'MOMO,AIRTEL,CARDS'!PE5</f>
        <v>2447500</v>
      </c>
      <c r="PG14" s="22">
        <f>'MOMO,AIRTEL,CARDS'!PF5</f>
        <v>1702300</v>
      </c>
      <c r="PH14" s="22">
        <f>'MOMO,AIRTEL,CARDS'!PG5</f>
        <v>619500</v>
      </c>
      <c r="PI14" s="22">
        <f>'MOMO,AIRTEL,CARDS'!PH5</f>
        <v>2894600</v>
      </c>
      <c r="PJ14" s="22">
        <f>'MOMO,AIRTEL,CARDS'!PI5</f>
        <v>829400</v>
      </c>
      <c r="PK14" s="22">
        <f>'MOMO,AIRTEL,CARDS'!PJ5</f>
        <v>1721500</v>
      </c>
      <c r="PL14" s="22">
        <f>'MOMO,AIRTEL,CARDS'!PK5</f>
        <v>1283000</v>
      </c>
      <c r="PM14" s="22">
        <f>'MOMO,AIRTEL,CARDS'!PL5</f>
        <v>712000</v>
      </c>
      <c r="PN14" s="22">
        <f>'MOMO,AIRTEL,CARDS'!PM5</f>
        <v>2373000</v>
      </c>
      <c r="PO14" s="22">
        <f>'MOMO,AIRTEL,CARDS'!PN5</f>
        <v>1161100</v>
      </c>
      <c r="PP14" s="22">
        <f>'MOMO,AIRTEL,CARDS'!PO5</f>
        <v>740000</v>
      </c>
      <c r="PQ14" s="22">
        <f>'MOMO,AIRTEL,CARDS'!PP5</f>
        <v>422000</v>
      </c>
      <c r="PR14" s="22">
        <f>'MOMO,AIRTEL,CARDS'!PQ5</f>
        <v>1482000</v>
      </c>
      <c r="PS14" s="22">
        <f>'MOMO,AIRTEL,CARDS'!PR5</f>
        <v>924500</v>
      </c>
      <c r="PT14" s="22">
        <f>'MOMO,AIRTEL,CARDS'!PS5</f>
        <v>1501000</v>
      </c>
      <c r="PU14" s="22">
        <f>'MOMO,AIRTEL,CARDS'!PT5</f>
        <v>852000</v>
      </c>
      <c r="PV14" s="22">
        <f>'MOMO,AIRTEL,CARDS'!PU5</f>
        <v>1416714</v>
      </c>
      <c r="PW14" s="22">
        <f>'MOMO,AIRTEL,CARDS'!PV5</f>
        <v>868000</v>
      </c>
      <c r="PX14" s="22">
        <f>'MOMO,AIRTEL,CARDS'!PW5</f>
        <v>626500</v>
      </c>
      <c r="PY14" s="22">
        <f>'MOMO,AIRTEL,CARDS'!PX5</f>
        <v>1067675</v>
      </c>
      <c r="PZ14" s="22">
        <f>'MOMO,AIRTEL,CARDS'!PY5</f>
        <v>1623400</v>
      </c>
      <c r="QA14" s="127">
        <f t="shared" si="68"/>
        <v>42086189</v>
      </c>
      <c r="QB14" s="22">
        <f>'MOMO,AIRTEL,CARDS'!QA5</f>
        <v>1145000</v>
      </c>
      <c r="QC14" s="22">
        <f>'MOMO,AIRTEL,CARDS'!QB5</f>
        <v>740000</v>
      </c>
      <c r="QD14" s="22">
        <f>'MOMO,AIRTEL,CARDS'!QC5</f>
        <v>1339000</v>
      </c>
      <c r="QE14" s="22">
        <f>'MOMO,AIRTEL,CARDS'!QD5</f>
        <v>1784600</v>
      </c>
      <c r="QF14" s="22">
        <f>'MOMO,AIRTEL,CARDS'!QE5</f>
        <v>1214000</v>
      </c>
      <c r="QG14" s="22">
        <f>'MOMO,AIRTEL,CARDS'!QF5</f>
        <v>2010100</v>
      </c>
      <c r="QH14" s="22">
        <f>'MOMO,AIRTEL,CARDS'!QG5</f>
        <v>1409000</v>
      </c>
      <c r="QI14" s="22">
        <f>'MOMO,AIRTEL,CARDS'!QH5</f>
        <v>1523000</v>
      </c>
      <c r="QJ14" s="22">
        <f>'MOMO,AIRTEL,CARDS'!QI5</f>
        <v>1283750</v>
      </c>
      <c r="QK14" s="22">
        <f>'MOMO,AIRTEL,CARDS'!QJ5</f>
        <v>865250</v>
      </c>
      <c r="QL14" s="22">
        <f>'MOMO,AIRTEL,CARDS'!QK5</f>
        <v>1958900</v>
      </c>
      <c r="QM14" s="22">
        <f>'MOMO,AIRTEL,CARDS'!QL5</f>
        <v>1147000</v>
      </c>
      <c r="QN14" s="22">
        <f>'MOMO,AIRTEL,CARDS'!QM5</f>
        <v>1577500</v>
      </c>
      <c r="QO14" s="22">
        <f>'MOMO,AIRTEL,CARDS'!QN5</f>
        <v>1405000</v>
      </c>
      <c r="QP14" s="22">
        <f>'MOMO,AIRTEL,CARDS'!QO5</f>
        <v>2060000</v>
      </c>
      <c r="QQ14" s="22">
        <f>'MOMO,AIRTEL,CARDS'!QP5</f>
        <v>636000</v>
      </c>
      <c r="QR14" s="22">
        <f>'MOMO,AIRTEL,CARDS'!QQ5</f>
        <v>1711000</v>
      </c>
      <c r="QS14" s="22">
        <f>'MOMO,AIRTEL,CARDS'!QR5</f>
        <v>1315000</v>
      </c>
      <c r="QT14" s="22">
        <f>'MOMO,AIRTEL,CARDS'!QS5</f>
        <v>4169700</v>
      </c>
      <c r="QU14" s="22">
        <f>'MOMO,AIRTEL,CARDS'!QT5</f>
        <v>853500</v>
      </c>
      <c r="QV14" s="22">
        <f>'MOMO,AIRTEL,CARDS'!QU5</f>
        <v>831500</v>
      </c>
      <c r="QW14" s="22">
        <f>'MOMO,AIRTEL,CARDS'!QV5</f>
        <v>1104500</v>
      </c>
      <c r="QX14" s="22">
        <f>'MOMO,AIRTEL,CARDS'!QW5</f>
        <v>1050485</v>
      </c>
      <c r="QY14" s="22">
        <f>'MOMO,AIRTEL,CARDS'!QX5</f>
        <v>939985</v>
      </c>
      <c r="QZ14" s="22">
        <f>'MOMO,AIRTEL,CARDS'!QY5</f>
        <v>1774000</v>
      </c>
      <c r="RA14" s="22">
        <f>'MOMO,AIRTEL,CARDS'!QZ5</f>
        <v>596000</v>
      </c>
      <c r="RB14" s="22">
        <f>'MOMO,AIRTEL,CARDS'!RA5</f>
        <v>1093500</v>
      </c>
      <c r="RC14" s="22">
        <f>'MOMO,AIRTEL,CARDS'!RB5</f>
        <v>1490750</v>
      </c>
      <c r="RD14" s="22">
        <f>'MOMO,AIRTEL,CARDS'!RC5</f>
        <v>2072300</v>
      </c>
      <c r="RE14" s="22">
        <f>'MOMO,AIRTEL,CARDS'!RD5</f>
        <v>1685000</v>
      </c>
      <c r="RF14" s="22">
        <f>'MOMO,AIRTEL,CARDS'!RE5</f>
        <v>2108908</v>
      </c>
      <c r="RG14" s="127">
        <f t="shared" si="147"/>
        <v>43749228</v>
      </c>
      <c r="RH14" s="22">
        <f>'MOMO,AIRTEL,CARDS'!RG5</f>
        <v>1267000</v>
      </c>
      <c r="RI14" s="22">
        <f>'MOMO,AIRTEL,CARDS'!RH5</f>
        <v>626648</v>
      </c>
      <c r="RJ14" s="22">
        <f>'MOMO,AIRTEL,CARDS'!RI5</f>
        <v>1975000</v>
      </c>
      <c r="RK14" s="22">
        <f>'MOMO,AIRTEL,CARDS'!RJ5</f>
        <v>1515380</v>
      </c>
      <c r="RL14" s="22">
        <f>'MOMO,AIRTEL,CARDS'!RK5</f>
        <v>972785</v>
      </c>
      <c r="RM14" s="22">
        <f>'MOMO,AIRTEL,CARDS'!RL5</f>
        <v>1026000</v>
      </c>
      <c r="RN14" s="22">
        <f>'MOMO,AIRTEL,CARDS'!RM5</f>
        <v>1492000</v>
      </c>
      <c r="RO14" s="22">
        <f>'MOMO,AIRTEL,CARDS'!RN5</f>
        <v>844000</v>
      </c>
      <c r="RP14" s="22">
        <f>'MOMO,AIRTEL,CARDS'!RO5</f>
        <v>1084000</v>
      </c>
      <c r="RQ14" s="22">
        <f>'MOMO,AIRTEL,CARDS'!RP5</f>
        <v>993500</v>
      </c>
      <c r="RR14" s="22">
        <f>'MOMO,AIRTEL,CARDS'!RQ5</f>
        <v>1229000</v>
      </c>
      <c r="RS14" s="22">
        <f>'MOMO,AIRTEL,CARDS'!RR5</f>
        <v>1433285</v>
      </c>
      <c r="RT14" s="22">
        <f>'MOMO,AIRTEL,CARDS'!RS5</f>
        <v>1174304</v>
      </c>
      <c r="RU14" s="22">
        <f>'MOMO,AIRTEL,CARDS'!RT5</f>
        <v>1170400</v>
      </c>
      <c r="RV14" s="22">
        <f>'MOMO,AIRTEL,CARDS'!RU5</f>
        <v>1685500</v>
      </c>
      <c r="RW14" s="22">
        <f>'MOMO,AIRTEL,CARDS'!RV5</f>
        <v>1750500</v>
      </c>
      <c r="RX14" s="22">
        <f>'MOMO,AIRTEL,CARDS'!RW5</f>
        <v>1255500</v>
      </c>
      <c r="RY14" s="22">
        <f>'MOMO,AIRTEL,CARDS'!RX5</f>
        <v>2286285</v>
      </c>
      <c r="RZ14" s="22">
        <f>'MOMO,AIRTEL,CARDS'!RY5</f>
        <v>2582300</v>
      </c>
      <c r="SA14" s="22">
        <f>'MOMO,AIRTEL,CARDS'!RZ5</f>
        <v>1316500</v>
      </c>
      <c r="SB14" s="22">
        <f>'MOMO,AIRTEL,CARDS'!SA5</f>
        <v>710500</v>
      </c>
      <c r="SC14" s="22">
        <f>'MOMO,AIRTEL,CARDS'!SB5</f>
        <v>1230500</v>
      </c>
      <c r="SD14" s="22">
        <f>'MOMO,AIRTEL,CARDS'!SC5</f>
        <v>1655500</v>
      </c>
      <c r="SE14" s="22">
        <f>'MOMO,AIRTEL,CARDS'!SD5</f>
        <v>2170740</v>
      </c>
      <c r="SF14" s="22">
        <f>'MOMO,AIRTEL,CARDS'!SE5</f>
        <v>2753500</v>
      </c>
      <c r="SG14" s="22">
        <f>'MOMO,AIRTEL,CARDS'!SF5</f>
        <v>1166755</v>
      </c>
      <c r="SH14" s="22">
        <f>'MOMO,AIRTEL,CARDS'!SG5</f>
        <v>1054800</v>
      </c>
      <c r="SI14" s="22">
        <f>'MOMO,AIRTEL,CARDS'!SH5</f>
        <v>1045000</v>
      </c>
      <c r="SJ14" s="22">
        <f>'MOMO,AIRTEL,CARDS'!SI5</f>
        <v>1615900</v>
      </c>
      <c r="SK14" s="22">
        <f>'MOMO,AIRTEL,CARDS'!SJ5</f>
        <v>1176049</v>
      </c>
      <c r="SL14" s="127">
        <f t="shared" si="149"/>
        <v>42259131</v>
      </c>
      <c r="SM14" s="22">
        <f>'MOMO,AIRTEL,CARDS'!SL5</f>
        <v>861500</v>
      </c>
      <c r="SN14" s="22">
        <f>'MOMO,AIRTEL,CARDS'!SM5</f>
        <v>1074355</v>
      </c>
      <c r="SO14" s="22">
        <f>'MOMO,AIRTEL,CARDS'!SN5</f>
        <v>1597000</v>
      </c>
      <c r="SP14" s="22">
        <f>'MOMO,AIRTEL,CARDS'!SO5</f>
        <v>1542000</v>
      </c>
      <c r="SQ14" s="22">
        <f>'MOMO,AIRTEL,CARDS'!SP5</f>
        <v>1968868</v>
      </c>
      <c r="SR14" s="22">
        <f>'MOMO,AIRTEL,CARDS'!SQ5</f>
        <v>1706000</v>
      </c>
      <c r="SS14" s="22">
        <f>'MOMO,AIRTEL,CARDS'!SR5</f>
        <v>1294000</v>
      </c>
      <c r="ST14" s="22">
        <f>'MOMO,AIRTEL,CARDS'!SS5</f>
        <v>678000</v>
      </c>
      <c r="SU14" s="22">
        <f>'MOMO,AIRTEL,CARDS'!ST5</f>
        <v>2844355</v>
      </c>
      <c r="SV14" s="22">
        <f>'MOMO,AIRTEL,CARDS'!SU5</f>
        <v>1632350</v>
      </c>
      <c r="SW14" s="22">
        <f>'MOMO,AIRTEL,CARDS'!SV5</f>
        <v>854000</v>
      </c>
      <c r="SX14" s="22">
        <f>'MOMO,AIRTEL,CARDS'!SW5</f>
        <v>1259000</v>
      </c>
      <c r="SY14" s="22">
        <f>'MOMO,AIRTEL,CARDS'!SX5</f>
        <v>2575000</v>
      </c>
      <c r="SZ14" s="22">
        <f>'MOMO,AIRTEL,CARDS'!SY5</f>
        <v>829000</v>
      </c>
      <c r="TA14" s="22">
        <f>'MOMO,AIRTEL,CARDS'!SZ5</f>
        <v>2259840</v>
      </c>
      <c r="TB14" s="22">
        <f>'MOMO,AIRTEL,CARDS'!TA5</f>
        <v>1790355</v>
      </c>
      <c r="TC14" s="22">
        <f>'MOMO,AIRTEL,CARDS'!TB5</f>
        <v>1891560</v>
      </c>
      <c r="TD14" s="22">
        <f>'MOMO,AIRTEL,CARDS'!TC5</f>
        <v>2340000</v>
      </c>
      <c r="TE14" s="22">
        <f>'MOMO,AIRTEL,CARDS'!TD5</f>
        <v>2092230</v>
      </c>
      <c r="TF14" s="22">
        <f>'MOMO,AIRTEL,CARDS'!TE5</f>
        <v>1170000</v>
      </c>
      <c r="TG14" s="22">
        <f>'MOMO,AIRTEL,CARDS'!TF5</f>
        <v>1300500</v>
      </c>
      <c r="TH14" s="22">
        <f>'MOMO,AIRTEL,CARDS'!TG5</f>
        <v>1575033</v>
      </c>
      <c r="TI14" s="22">
        <f>'MOMO,AIRTEL,CARDS'!TH5</f>
        <v>982355</v>
      </c>
      <c r="TJ14" s="22">
        <f>'MOMO,AIRTEL,CARDS'!TI5</f>
        <v>2000000</v>
      </c>
      <c r="TK14" s="22">
        <f>'MOMO,AIRTEL,CARDS'!TJ5</f>
        <v>1085000</v>
      </c>
      <c r="TL14" s="22">
        <f>'MOMO,AIRTEL,CARDS'!TK5</f>
        <v>947000</v>
      </c>
      <c r="TM14" s="22">
        <f>'MOMO,AIRTEL,CARDS'!TL5</f>
        <v>1260500</v>
      </c>
      <c r="TN14" s="22">
        <f>'MOMO,AIRTEL,CARDS'!TM5</f>
        <v>1830000</v>
      </c>
      <c r="TO14" s="22">
        <f>'MOMO,AIRTEL,CARDS'!TN5</f>
        <v>1073000</v>
      </c>
      <c r="TP14" s="22">
        <f>'MOMO,AIRTEL,CARDS'!TO5</f>
        <v>708000</v>
      </c>
      <c r="TQ14" s="22">
        <f>'MOMO,AIRTEL,CARDS'!TP5</f>
        <v>1759910</v>
      </c>
      <c r="TR14" s="127">
        <f t="shared" si="151"/>
        <v>45919211</v>
      </c>
      <c r="TS14" s="22">
        <f>'MOMO,AIRTEL,CARDS'!TR5</f>
        <v>353474</v>
      </c>
      <c r="TT14" s="22">
        <f>'MOMO,AIRTEL,CARDS'!TS5</f>
        <v>1026000</v>
      </c>
      <c r="TU14" s="22">
        <f>'MOMO,AIRTEL,CARDS'!TT5</f>
        <v>1354000</v>
      </c>
      <c r="TV14" s="22">
        <f>'MOMO,AIRTEL,CARDS'!TU5</f>
        <v>707560</v>
      </c>
      <c r="TW14" s="22">
        <f>'MOMO,AIRTEL,CARDS'!TV5</f>
        <v>1308000</v>
      </c>
      <c r="TX14" s="22">
        <f>'MOMO,AIRTEL,CARDS'!TW5</f>
        <v>845355</v>
      </c>
      <c r="TY14" s="22">
        <f>'MOMO,AIRTEL,CARDS'!TX5</f>
        <v>776000</v>
      </c>
      <c r="TZ14" s="22">
        <f>'MOMO,AIRTEL,CARDS'!TY5</f>
        <v>1414500</v>
      </c>
      <c r="UA14" s="22">
        <f>'MOMO,AIRTEL,CARDS'!TZ5</f>
        <v>1806000</v>
      </c>
      <c r="UB14" s="22">
        <f>'MOMO,AIRTEL,CARDS'!UA5</f>
        <v>2354000</v>
      </c>
      <c r="UC14" s="22">
        <f>'MOMO,AIRTEL,CARDS'!UB5</f>
        <v>1835000</v>
      </c>
      <c r="UD14" s="22">
        <f>'MOMO,AIRTEL,CARDS'!UC5</f>
        <v>747000</v>
      </c>
      <c r="UE14" s="22">
        <f>'MOMO,AIRTEL,CARDS'!UD5</f>
        <v>960000</v>
      </c>
      <c r="UF14" s="22">
        <f>'MOMO,AIRTEL,CARDS'!UE5</f>
        <v>1686061</v>
      </c>
      <c r="UG14" s="22">
        <f>'MOMO,AIRTEL,CARDS'!UF5</f>
        <v>1732500</v>
      </c>
      <c r="UH14" s="22">
        <f>'MOMO,AIRTEL,CARDS'!UG5</f>
        <v>1172000</v>
      </c>
      <c r="UI14" s="22">
        <f>'MOMO,AIRTEL,CARDS'!UH5</f>
        <v>1116700</v>
      </c>
      <c r="UJ14" s="22">
        <f>'MOMO,AIRTEL,CARDS'!UI5</f>
        <v>1748000</v>
      </c>
      <c r="UK14" s="22">
        <f>'MOMO,AIRTEL,CARDS'!UJ5</f>
        <v>950000</v>
      </c>
      <c r="UL14" s="22">
        <f>'MOMO,AIRTEL,CARDS'!UK5</f>
        <v>1577355</v>
      </c>
      <c r="UM14" s="22">
        <f>'MOMO,AIRTEL,CARDS'!UL5</f>
        <v>1413000</v>
      </c>
      <c r="UN14" s="22">
        <f>'MOMO,AIRTEL,CARDS'!UM5</f>
        <v>1553000</v>
      </c>
      <c r="UO14" s="22">
        <f>'MOMO,AIRTEL,CARDS'!UN5</f>
        <v>1473000</v>
      </c>
      <c r="UP14" s="22">
        <f>'MOMO,AIRTEL,CARDS'!UO5</f>
        <v>1733058</v>
      </c>
      <c r="UQ14" s="22">
        <f>'MOMO,AIRTEL,CARDS'!UP5</f>
        <v>1290800</v>
      </c>
      <c r="UR14" s="22">
        <f>'MOMO,AIRTEL,CARDS'!UQ5</f>
        <v>1771500</v>
      </c>
      <c r="US14" s="22">
        <f>'MOMO,AIRTEL,CARDS'!UR5</f>
        <v>912655</v>
      </c>
      <c r="UT14" s="22">
        <f>'MOMO,AIRTEL,CARDS'!US5</f>
        <v>1415000</v>
      </c>
      <c r="UU14" s="22">
        <f>'MOMO,AIRTEL,CARDS'!UT5</f>
        <v>598000</v>
      </c>
      <c r="UV14" s="22">
        <f>'MOMO,AIRTEL,CARDS'!UU5</f>
        <v>975000</v>
      </c>
      <c r="UW14" s="22">
        <f>'MOMO,AIRTEL,CARDS'!UV5</f>
        <v>1190241</v>
      </c>
      <c r="UX14" s="127">
        <f t="shared" si="153"/>
        <v>39441285</v>
      </c>
      <c r="UY14" s="22">
        <f>'MOMO,AIRTEL,CARDS'!UX5</f>
        <v>2338275</v>
      </c>
      <c r="UZ14" s="22">
        <f>'MOMO,AIRTEL,CARDS'!UY5</f>
        <v>1534000</v>
      </c>
      <c r="VA14" s="22">
        <f>'MOMO,AIRTEL,CARDS'!UZ5</f>
        <v>774000</v>
      </c>
      <c r="VB14" s="22">
        <f>'MOMO,AIRTEL,CARDS'!VA5</f>
        <v>3229000</v>
      </c>
      <c r="VC14" s="22">
        <f>'MOMO,AIRTEL,CARDS'!VB5</f>
        <v>1496900</v>
      </c>
      <c r="VD14" s="22">
        <f>'MOMO,AIRTEL,CARDS'!VC5</f>
        <v>1212000</v>
      </c>
      <c r="VE14" s="22">
        <f>'MOMO,AIRTEL,CARDS'!VD5</f>
        <v>446900</v>
      </c>
      <c r="VF14" s="22">
        <f>'MOMO,AIRTEL,CARDS'!VE5</f>
        <v>1182000</v>
      </c>
      <c r="VG14" s="22">
        <f>'MOMO,AIRTEL,CARDS'!VF5</f>
        <v>1342000</v>
      </c>
      <c r="VH14" s="22">
        <f>'MOMO,AIRTEL,CARDS'!VG5</f>
        <v>1559500</v>
      </c>
      <c r="VI14" s="22">
        <f>'MOMO,AIRTEL,CARDS'!VH5</f>
        <v>2429000</v>
      </c>
      <c r="VJ14" s="22">
        <f>'MOMO,AIRTEL,CARDS'!VI5</f>
        <v>1141500</v>
      </c>
      <c r="VK14" s="22">
        <f>'MOMO,AIRTEL,CARDS'!VJ5</f>
        <v>1779852</v>
      </c>
      <c r="VL14" s="22">
        <f>'MOMO,AIRTEL,CARDS'!VK5</f>
        <v>1360350</v>
      </c>
      <c r="VM14" s="22">
        <f>'MOMO,AIRTEL,CARDS'!VL5</f>
        <v>1431900</v>
      </c>
      <c r="VN14" s="22">
        <f>'MOMO,AIRTEL,CARDS'!VM5</f>
        <v>2328000</v>
      </c>
      <c r="VO14" s="22">
        <f>'MOMO,AIRTEL,CARDS'!VN5</f>
        <v>694384</v>
      </c>
      <c r="VP14" s="22">
        <f>'MOMO,AIRTEL,CARDS'!VO5</f>
        <v>1181490</v>
      </c>
      <c r="VQ14" s="22">
        <f>'MOMO,AIRTEL,CARDS'!VP5</f>
        <v>779970</v>
      </c>
      <c r="VR14" s="22">
        <f>'MOMO,AIRTEL,CARDS'!VQ5</f>
        <v>2053000</v>
      </c>
      <c r="VS14" s="22">
        <f>'MOMO,AIRTEL,CARDS'!VR5</f>
        <v>1687000</v>
      </c>
      <c r="VT14" s="22">
        <f>'MOMO,AIRTEL,CARDS'!VS5</f>
        <v>1416000</v>
      </c>
      <c r="VU14" s="22">
        <f>'MOMO,AIRTEL,CARDS'!VT5</f>
        <v>998096</v>
      </c>
      <c r="VV14" s="22">
        <f>'MOMO,AIRTEL,CARDS'!VU5</f>
        <v>979000</v>
      </c>
      <c r="VW14" s="22">
        <f>'MOMO,AIRTEL,CARDS'!VV5</f>
        <v>2288200</v>
      </c>
      <c r="VX14" s="22">
        <f>'MOMO,AIRTEL,CARDS'!VW5</f>
        <v>1209000</v>
      </c>
      <c r="VY14" s="22">
        <f>'MOMO,AIRTEL,CARDS'!VX5</f>
        <v>1479710</v>
      </c>
      <c r="VZ14" s="22">
        <f>'MOMO,AIRTEL,CARDS'!VY5</f>
        <v>1340000</v>
      </c>
      <c r="WA14" s="127">
        <f>SUM(UY14:VZ14)</f>
        <v>41691027</v>
      </c>
      <c r="WB14" s="22">
        <f>'MOMO,AIRTEL,CARDS'!WA5</f>
        <v>1793000</v>
      </c>
      <c r="WC14" s="22">
        <f>'MOMO,AIRTEL,CARDS'!WB5</f>
        <v>767800</v>
      </c>
      <c r="WD14" s="22">
        <f>'MOMO,AIRTEL,CARDS'!WC5</f>
        <v>1308417</v>
      </c>
      <c r="WE14" s="22">
        <f>'MOMO,AIRTEL,CARDS'!WD5</f>
        <v>1200000</v>
      </c>
      <c r="WF14" s="22">
        <f>'MOMO,AIRTEL,CARDS'!WE5</f>
        <v>1136000</v>
      </c>
      <c r="WG14" s="22">
        <f>'MOMO,AIRTEL,CARDS'!WF5</f>
        <v>879000</v>
      </c>
      <c r="WH14" s="22">
        <f>'MOMO,AIRTEL,CARDS'!WG5</f>
        <v>1398000</v>
      </c>
      <c r="WI14" s="22">
        <f>'MOMO,AIRTEL,CARDS'!WH5</f>
        <v>1195710</v>
      </c>
      <c r="WJ14" s="22">
        <f>'MOMO,AIRTEL,CARDS'!WI5</f>
        <v>882000</v>
      </c>
      <c r="WK14" s="22">
        <f>'MOMO,AIRTEL,CARDS'!WJ5</f>
        <v>1475000</v>
      </c>
      <c r="WL14" s="22">
        <f>'MOMO,AIRTEL,CARDS'!WK5</f>
        <v>1826000</v>
      </c>
      <c r="WM14" s="22">
        <f>'MOMO,AIRTEL,CARDS'!WL5</f>
        <v>957500</v>
      </c>
      <c r="WN14" s="22">
        <f>'MOMO,AIRTEL,CARDS'!WM5</f>
        <v>1655000</v>
      </c>
      <c r="WO14" s="22">
        <f>'MOMO,AIRTEL,CARDS'!WN5</f>
        <v>545000</v>
      </c>
      <c r="WP14" s="22">
        <f>'MOMO,AIRTEL,CARDS'!WO5</f>
        <v>1730000</v>
      </c>
      <c r="WQ14" s="22">
        <f>'MOMO,AIRTEL,CARDS'!WP5</f>
        <v>966700</v>
      </c>
      <c r="WR14" s="22">
        <f>'MOMO,AIRTEL,CARDS'!WQ5</f>
        <v>998000</v>
      </c>
      <c r="WS14" s="22">
        <f>'MOMO,AIRTEL,CARDS'!WR5</f>
        <v>0</v>
      </c>
      <c r="WT14" s="22">
        <f>'MOMO,AIRTEL,CARDS'!WS5</f>
        <v>773500</v>
      </c>
      <c r="WU14" s="22">
        <f>'MOMO,AIRTEL,CARDS'!WT5</f>
        <v>1114962</v>
      </c>
      <c r="WV14" s="22">
        <f>'MOMO,AIRTEL,CARDS'!WU5</f>
        <v>1188000</v>
      </c>
      <c r="WW14" s="22">
        <f>'MOMO,AIRTEL,CARDS'!WV5</f>
        <v>2092000</v>
      </c>
      <c r="WX14" s="22">
        <f>'MOMO,AIRTEL,CARDS'!WW5</f>
        <v>1486000</v>
      </c>
      <c r="WY14" s="22">
        <f>'MOMO,AIRTEL,CARDS'!WX5</f>
        <v>1547000</v>
      </c>
      <c r="WZ14" s="22">
        <f>'MOMO,AIRTEL,CARDS'!WY5</f>
        <v>2942000</v>
      </c>
      <c r="XA14" s="22">
        <f>'MOMO,AIRTEL,CARDS'!WZ5</f>
        <v>837000</v>
      </c>
      <c r="XB14" s="22">
        <f>'MOMO,AIRTEL,CARDS'!XA5</f>
        <v>2102000</v>
      </c>
      <c r="XC14" s="22">
        <f>'MOMO,AIRTEL,CARDS'!XB5</f>
        <v>1461000</v>
      </c>
      <c r="XD14" s="22">
        <f>'MOMO,AIRTEL,CARDS'!XC5</f>
        <v>1935500</v>
      </c>
      <c r="XE14" s="22">
        <f>'MOMO,AIRTEL,CARDS'!XD5</f>
        <v>907000</v>
      </c>
      <c r="XF14" s="22">
        <f>'MOMO,AIRTEL,CARDS'!XE5</f>
        <v>2456059</v>
      </c>
      <c r="XG14" s="127">
        <f t="shared" si="156"/>
        <v>41555148</v>
      </c>
      <c r="XH14" s="22">
        <f>'MOMO,AIRTEL,CARDS'!XG5</f>
        <v>1335500</v>
      </c>
      <c r="XI14" s="22">
        <f>'MOMO,AIRTEL,CARDS'!XH5</f>
        <v>1223000</v>
      </c>
      <c r="XJ14" s="22">
        <f>'MOMO,AIRTEL,CARDS'!XI5</f>
        <v>1796400</v>
      </c>
      <c r="XK14" s="22">
        <f>'MOMO,AIRTEL,CARDS'!XJ5</f>
        <v>1669620</v>
      </c>
      <c r="XL14" s="22">
        <f>'MOMO,AIRTEL,CARDS'!XK5</f>
        <v>987000</v>
      </c>
      <c r="XM14" s="22">
        <f>'MOMO,AIRTEL,CARDS'!XL5</f>
        <v>2099520</v>
      </c>
      <c r="XN14" s="22">
        <f>'MOMO,AIRTEL,CARDS'!XM5</f>
        <v>1922587</v>
      </c>
      <c r="XO14" s="22">
        <f>'MOMO,AIRTEL,CARDS'!XN5</f>
        <v>1718200</v>
      </c>
      <c r="XP14" s="22">
        <f>'MOMO,AIRTEL,CARDS'!XO5</f>
        <v>1281540</v>
      </c>
      <c r="XQ14" s="22">
        <f>'MOMO,AIRTEL,CARDS'!XP5</f>
        <v>1406800</v>
      </c>
      <c r="XR14" s="22">
        <f>'MOMO,AIRTEL,CARDS'!XQ5</f>
        <v>3226734</v>
      </c>
      <c r="XS14" s="22">
        <f>'MOMO,AIRTEL,CARDS'!XR5</f>
        <v>1601743</v>
      </c>
      <c r="XT14" s="22">
        <f>'MOMO,AIRTEL,CARDS'!XS5</f>
        <v>1498000</v>
      </c>
      <c r="XU14" s="22">
        <f>'MOMO,AIRTEL,CARDS'!XT5</f>
        <v>1722000</v>
      </c>
      <c r="XV14" s="22">
        <f>'MOMO,AIRTEL,CARDS'!XU5</f>
        <v>2090826</v>
      </c>
      <c r="XW14" s="22">
        <f>'MOMO,AIRTEL,CARDS'!XV5</f>
        <v>1640550</v>
      </c>
      <c r="XX14" s="22">
        <f>'MOMO,AIRTEL,CARDS'!XW5</f>
        <v>1180000</v>
      </c>
      <c r="XY14" s="22">
        <f>'MOMO,AIRTEL,CARDS'!XX5</f>
        <v>2219900</v>
      </c>
      <c r="XZ14" s="22">
        <f>'MOMO,AIRTEL,CARDS'!XY5</f>
        <v>2042700</v>
      </c>
      <c r="YA14" s="22">
        <f>'MOMO,AIRTEL,CARDS'!XZ5</f>
        <v>1665000</v>
      </c>
      <c r="YB14" s="22">
        <f>'MOMO,AIRTEL,CARDS'!YA5</f>
        <v>1651000</v>
      </c>
      <c r="YC14" s="22">
        <f>'MOMO,AIRTEL,CARDS'!YB5</f>
        <v>847500</v>
      </c>
      <c r="YD14" s="22">
        <f>'MOMO,AIRTEL,CARDS'!YC5</f>
        <v>946000</v>
      </c>
      <c r="YE14" s="22">
        <f>'MOMO,AIRTEL,CARDS'!YD5</f>
        <v>1965000</v>
      </c>
      <c r="YF14" s="22">
        <f>'MOMO,AIRTEL,CARDS'!YE5</f>
        <v>3158207</v>
      </c>
      <c r="YG14" s="22">
        <f>'MOMO,AIRTEL,CARDS'!YF5</f>
        <v>1514000</v>
      </c>
      <c r="YH14" s="22">
        <f>'MOMO,AIRTEL,CARDS'!YG5</f>
        <v>1588000</v>
      </c>
      <c r="YI14" s="22">
        <f>'MOMO,AIRTEL,CARDS'!YH5</f>
        <v>1262000</v>
      </c>
      <c r="YJ14" s="22">
        <f>'MOMO,AIRTEL,CARDS'!YI5</f>
        <v>677500</v>
      </c>
      <c r="YK14" s="22">
        <f>'MOMO,AIRTEL,CARDS'!YJ5</f>
        <v>939000</v>
      </c>
      <c r="YL14" s="127">
        <f t="shared" si="158"/>
        <v>48875827</v>
      </c>
      <c r="YM14" s="22">
        <f>'MOMO,AIRTEL,CARDS'!YL5</f>
        <v>1639500</v>
      </c>
      <c r="YN14" s="22">
        <f>'MOMO,AIRTEL,CARDS'!YM5</f>
        <v>2209500</v>
      </c>
      <c r="YO14" s="22">
        <f>'MOMO,AIRTEL,CARDS'!YN5</f>
        <v>1083000</v>
      </c>
      <c r="YP14" s="22">
        <f>'MOMO,AIRTEL,CARDS'!YO5</f>
        <v>618600</v>
      </c>
      <c r="YQ14" s="22">
        <f>'MOMO,AIRTEL,CARDS'!YP5</f>
        <v>1447000</v>
      </c>
      <c r="YR14" s="22">
        <f>'MOMO,AIRTEL,CARDS'!YQ5</f>
        <v>902000</v>
      </c>
      <c r="YS14" s="22">
        <f>'MOMO,AIRTEL,CARDS'!YR5</f>
        <v>820000</v>
      </c>
      <c r="YT14" s="22">
        <f>'MOMO,AIRTEL,CARDS'!YS5</f>
        <v>300000</v>
      </c>
      <c r="YU14" s="22">
        <f>'MOMO,AIRTEL,CARDS'!YT5</f>
        <v>1322222</v>
      </c>
      <c r="YV14" s="22">
        <f>'MOMO,AIRTEL,CARDS'!YU5</f>
        <v>1256000</v>
      </c>
      <c r="YW14" s="22">
        <f>'MOMO,AIRTEL,CARDS'!YV5</f>
        <v>1026000</v>
      </c>
      <c r="YX14" s="22">
        <f>'MOMO,AIRTEL,CARDS'!YW5</f>
        <v>1207000</v>
      </c>
      <c r="YY14" s="22">
        <f>'MOMO,AIRTEL,CARDS'!YX5</f>
        <v>1634100</v>
      </c>
      <c r="YZ14" s="22">
        <f>'MOMO,AIRTEL,CARDS'!YY5</f>
        <v>1019000</v>
      </c>
      <c r="ZA14" s="22">
        <f>'MOMO,AIRTEL,CARDS'!YZ5</f>
        <v>955000</v>
      </c>
      <c r="ZB14" s="22">
        <f>'MOMO,AIRTEL,CARDS'!ZA5</f>
        <v>1267179</v>
      </c>
      <c r="ZC14" s="22">
        <f>'MOMO,AIRTEL,CARDS'!ZB5</f>
        <v>1449000</v>
      </c>
      <c r="ZD14" s="22">
        <f>'MOMO,AIRTEL,CARDS'!ZC5</f>
        <v>1049800</v>
      </c>
      <c r="ZE14" s="22">
        <f>'MOMO,AIRTEL,CARDS'!ZD5</f>
        <v>956000</v>
      </c>
      <c r="ZF14" s="22">
        <f>'MOMO,AIRTEL,CARDS'!ZE5</f>
        <v>1937059</v>
      </c>
      <c r="ZG14" s="22">
        <f>'MOMO,AIRTEL,CARDS'!ZF5</f>
        <v>1925000</v>
      </c>
      <c r="ZH14" s="22">
        <f>'MOMO,AIRTEL,CARDS'!ZG5</f>
        <v>1302000</v>
      </c>
      <c r="ZI14" s="22">
        <f>'MOMO,AIRTEL,CARDS'!ZH5</f>
        <v>1800000</v>
      </c>
      <c r="ZJ14" s="22">
        <f>'MOMO,AIRTEL,CARDS'!ZI5</f>
        <v>1537000</v>
      </c>
      <c r="ZK14" s="22">
        <f>'MOMO,AIRTEL,CARDS'!ZJ5</f>
        <v>1018000</v>
      </c>
      <c r="ZL14" s="22">
        <f>'MOMO,AIRTEL,CARDS'!ZK5</f>
        <v>2519750</v>
      </c>
      <c r="ZM14" s="22">
        <f>'MOMO,AIRTEL,CARDS'!ZL5</f>
        <v>1507000</v>
      </c>
      <c r="ZN14" s="22">
        <f>'MOMO,AIRTEL,CARDS'!ZM5</f>
        <v>1362500</v>
      </c>
      <c r="ZO14" s="22">
        <f>'MOMO,AIRTEL,CARDS'!ZN5</f>
        <v>2789000</v>
      </c>
      <c r="ZP14" s="22">
        <f>'MOMO,AIRTEL,CARDS'!ZO5</f>
        <v>1091000</v>
      </c>
      <c r="ZQ14" s="22">
        <f>'MOMO,AIRTEL,CARDS'!ZP5</f>
        <v>1843000</v>
      </c>
      <c r="ZR14" s="127">
        <f t="shared" si="113"/>
        <v>42792210</v>
      </c>
      <c r="ZS14" s="22">
        <f>'MOMO,AIRTEL,CARDS'!ZR5</f>
        <v>1001000</v>
      </c>
      <c r="ZT14" s="22">
        <f>'MOMO,AIRTEL,CARDS'!ZS5</f>
        <v>2577500</v>
      </c>
      <c r="ZU14" s="22">
        <f>'MOMO,AIRTEL,CARDS'!ZT5</f>
        <v>1070000</v>
      </c>
      <c r="ZV14" s="22">
        <f>'MOMO,AIRTEL,CARDS'!ZU5</f>
        <v>1873000</v>
      </c>
      <c r="ZW14" s="22">
        <f>'MOMO,AIRTEL,CARDS'!ZV5</f>
        <v>1305000</v>
      </c>
      <c r="ZX14" s="22">
        <f>'MOMO,AIRTEL,CARDS'!ZW5</f>
        <v>865000</v>
      </c>
      <c r="ZY14" s="22">
        <f>'MOMO,AIRTEL,CARDS'!ZX5</f>
        <v>1109126</v>
      </c>
      <c r="ZZ14" s="22">
        <f>'MOMO,AIRTEL,CARDS'!ZY5</f>
        <v>896000</v>
      </c>
      <c r="AAA14" s="22">
        <f>'MOMO,AIRTEL,CARDS'!ZZ5</f>
        <v>577000</v>
      </c>
      <c r="AAB14" s="22">
        <f>'MOMO,AIRTEL,CARDS'!AAA5</f>
        <v>760000</v>
      </c>
      <c r="AAC14" s="22">
        <f>'MOMO,AIRTEL,CARDS'!AAB5</f>
        <v>570500</v>
      </c>
      <c r="AAD14" s="22">
        <f>'MOMO,AIRTEL,CARDS'!AAC5</f>
        <v>986000</v>
      </c>
      <c r="AAE14" s="22">
        <f>'MOMO,AIRTEL,CARDS'!AAD5</f>
        <v>1238910</v>
      </c>
      <c r="AAF14" s="22">
        <f>'MOMO,AIRTEL,CARDS'!AAE5</f>
        <v>1803000</v>
      </c>
      <c r="AAG14" s="22">
        <f>'MOMO,AIRTEL,CARDS'!AAF5</f>
        <v>1769000</v>
      </c>
      <c r="AAH14" s="22">
        <f>'MOMO,AIRTEL,CARDS'!AAG5</f>
        <v>1166331</v>
      </c>
      <c r="AAI14" s="22">
        <f>'MOMO,AIRTEL,CARDS'!AAH5</f>
        <v>1083000</v>
      </c>
      <c r="AAJ14" s="22">
        <f>'MOMO,AIRTEL,CARDS'!AAI5</f>
        <v>1913000</v>
      </c>
      <c r="AAK14" s="22">
        <f>'MOMO,AIRTEL,CARDS'!AAJ5</f>
        <v>1152500</v>
      </c>
      <c r="AAL14" s="22">
        <f>'MOMO,AIRTEL,CARDS'!AAK5</f>
        <v>3011624</v>
      </c>
      <c r="AAM14" s="22">
        <f>'MOMO,AIRTEL,CARDS'!AAL5</f>
        <v>1532000</v>
      </c>
      <c r="AAN14" s="22">
        <f>'MOMO,AIRTEL,CARDS'!AAM5</f>
        <v>1725200</v>
      </c>
      <c r="AAO14" s="22">
        <f>'MOMO,AIRTEL,CARDS'!AAN5</f>
        <v>1507000</v>
      </c>
      <c r="AAP14" s="22">
        <f>'MOMO,AIRTEL,CARDS'!AAO5</f>
        <v>1281000</v>
      </c>
      <c r="AAQ14" s="22">
        <f>'MOMO,AIRTEL,CARDS'!AAP5</f>
        <v>1384450</v>
      </c>
      <c r="AAR14" s="22">
        <f>'MOMO,AIRTEL,CARDS'!AAQ5</f>
        <v>1794000</v>
      </c>
      <c r="AAS14" s="22">
        <f>'MOMO,AIRTEL,CARDS'!AAR5</f>
        <v>1074000</v>
      </c>
      <c r="AAT14" s="22">
        <f>'MOMO,AIRTEL,CARDS'!AAS5</f>
        <v>2144905</v>
      </c>
      <c r="AAU14" s="22">
        <f>'MOMO,AIRTEL,CARDS'!AAT5</f>
        <v>1223000</v>
      </c>
      <c r="AAV14" s="22">
        <f>'MOMO,AIRTEL,CARDS'!AAU5</f>
        <v>1762500</v>
      </c>
      <c r="AAW14" s="127">
        <f t="shared" si="115"/>
        <v>42155546</v>
      </c>
      <c r="AAX14" s="22">
        <f>'MOMO,AIRTEL,CARDS'!AAW5</f>
        <v>2785500</v>
      </c>
      <c r="AAY14" s="22">
        <f>'MOMO,AIRTEL,CARDS'!AAX5</f>
        <v>2495500</v>
      </c>
      <c r="AAZ14" s="22">
        <f>'MOMO,AIRTEL,CARDS'!AAY5</f>
        <v>690000</v>
      </c>
      <c r="ABA14" s="22">
        <f>'MOMO,AIRTEL,CARDS'!AAZ5</f>
        <v>1472950</v>
      </c>
      <c r="ABB14" s="22">
        <f>'MOMO,AIRTEL,CARDS'!ABA5</f>
        <v>1637000</v>
      </c>
      <c r="ABC14" s="22">
        <f>'MOMO,AIRTEL,CARDS'!ABB5</f>
        <v>1435620</v>
      </c>
      <c r="ABD14" s="22">
        <f>'MOMO,AIRTEL,CARDS'!ABC5</f>
        <v>522000</v>
      </c>
      <c r="ABE14" s="22">
        <f>'MOMO,AIRTEL,CARDS'!ABD5</f>
        <v>2259300</v>
      </c>
      <c r="ABF14" s="22">
        <f>'MOMO,AIRTEL,CARDS'!ABE5</f>
        <v>1249800</v>
      </c>
      <c r="ABG14" s="22">
        <f>'MOMO,AIRTEL,CARDS'!ABF5</f>
        <v>784800</v>
      </c>
      <c r="ABH14" s="22">
        <f>'MOMO,AIRTEL,CARDS'!ABG5</f>
        <v>1543000</v>
      </c>
      <c r="ABI14" s="22">
        <f>'MOMO,AIRTEL,CARDS'!ABH5</f>
        <v>2222000</v>
      </c>
      <c r="ABJ14" s="22">
        <f>'MOMO,AIRTEL,CARDS'!ABI5</f>
        <v>2834100</v>
      </c>
      <c r="ABK14" s="22">
        <f>'MOMO,AIRTEL,CARDS'!ABJ5</f>
        <v>2086000</v>
      </c>
      <c r="ABL14" s="22">
        <f>'MOMO,AIRTEL,CARDS'!ABK5</f>
        <v>2130000</v>
      </c>
      <c r="ABM14" s="22">
        <f>'MOMO,AIRTEL,CARDS'!ABL5</f>
        <v>1464423</v>
      </c>
      <c r="ABN14" s="22">
        <f>'MOMO,AIRTEL,CARDS'!ABM5</f>
        <v>1012000</v>
      </c>
      <c r="ABO14" s="22">
        <f>'MOMO,AIRTEL,CARDS'!ABN5</f>
        <v>2304000</v>
      </c>
      <c r="ABP14" s="22">
        <f>'MOMO,AIRTEL,CARDS'!ABO5</f>
        <v>1219000</v>
      </c>
      <c r="ABQ14" s="22">
        <f>'MOMO,AIRTEL,CARDS'!ABP5</f>
        <v>1872000</v>
      </c>
      <c r="ABR14" s="22">
        <f>'MOMO,AIRTEL,CARDS'!ABQ5</f>
        <v>1451756</v>
      </c>
      <c r="ABS14" s="22">
        <f>'MOMO,AIRTEL,CARDS'!ABR5</f>
        <v>1703000</v>
      </c>
      <c r="ABT14" s="22">
        <f>'MOMO,AIRTEL,CARDS'!ABS5</f>
        <v>1161000</v>
      </c>
      <c r="ABU14" s="22">
        <f>'MOMO,AIRTEL,CARDS'!ABT5</f>
        <v>1376919</v>
      </c>
      <c r="ABV14" s="22">
        <f>'MOMO,AIRTEL,CARDS'!ABU5</f>
        <v>3343700</v>
      </c>
      <c r="ABW14" s="22">
        <f>'MOMO,AIRTEL,CARDS'!ABV5</f>
        <v>2548165</v>
      </c>
      <c r="ABX14" s="22">
        <f>'MOMO,AIRTEL,CARDS'!ABW5</f>
        <v>1789000</v>
      </c>
      <c r="ABY14" s="22">
        <f>'MOMO,AIRTEL,CARDS'!ABX5</f>
        <v>2167500</v>
      </c>
      <c r="ABZ14" s="22">
        <f>'MOMO,AIRTEL,CARDS'!ABY5</f>
        <v>2920555</v>
      </c>
      <c r="ACA14" s="22">
        <f>'MOMO,AIRTEL,CARDS'!ABZ5</f>
        <v>856000</v>
      </c>
      <c r="ACB14" s="22">
        <f>'MOMO,AIRTEL,CARDS'!ACA5</f>
        <v>1518122</v>
      </c>
      <c r="ACC14" s="127">
        <f t="shared" si="117"/>
        <v>54854710</v>
      </c>
      <c r="ACD14" s="22">
        <f>'MOMO,AIRTEL,CARDS'!ACC5</f>
        <v>880000</v>
      </c>
      <c r="ACE14" s="22">
        <f>'MOMO,AIRTEL,CARDS'!ACD5</f>
        <v>2694000</v>
      </c>
      <c r="ACF14" s="22">
        <f>'MOMO,AIRTEL,CARDS'!ACE5</f>
        <v>715000</v>
      </c>
      <c r="ACG14" s="22">
        <f>'MOMO,AIRTEL,CARDS'!ACF5</f>
        <v>1902000</v>
      </c>
      <c r="ACH14" s="22">
        <f>'MOMO,AIRTEL,CARDS'!ACG5</f>
        <v>1794000</v>
      </c>
      <c r="ACI14" s="22">
        <f>'MOMO,AIRTEL,CARDS'!ACH5</f>
        <v>2131000</v>
      </c>
      <c r="ACJ14" s="22">
        <f>'MOMO,AIRTEL,CARDS'!ACI5</f>
        <v>1135000</v>
      </c>
      <c r="ACK14" s="22">
        <f>'MOMO,AIRTEL,CARDS'!ACJ5</f>
        <v>1842500</v>
      </c>
      <c r="ACL14" s="22">
        <f>'MOMO,AIRTEL,CARDS'!ACK5</f>
        <v>1679000</v>
      </c>
      <c r="ACM14" s="22">
        <f>'MOMO,AIRTEL,CARDS'!ACL5</f>
        <v>1831500</v>
      </c>
      <c r="ACN14" s="22">
        <f>'MOMO,AIRTEL,CARDS'!ACM5</f>
        <v>1384000</v>
      </c>
      <c r="ACO14" s="22">
        <f>'MOMO,AIRTEL,CARDS'!ACN5</f>
        <v>1030100</v>
      </c>
      <c r="ACP14" s="22">
        <f>'MOMO,AIRTEL,CARDS'!ACO5</f>
        <v>1275000</v>
      </c>
      <c r="ACQ14" s="22">
        <f>'MOMO,AIRTEL,CARDS'!ACP5</f>
        <v>1949636</v>
      </c>
      <c r="ACR14" s="22">
        <f>'MOMO,AIRTEL,CARDS'!ACQ5</f>
        <v>1883000</v>
      </c>
      <c r="ACS14" s="22">
        <f>'MOMO,AIRTEL,CARDS'!ACR5</f>
        <v>1315000</v>
      </c>
      <c r="ACT14" s="22">
        <f>'MOMO,AIRTEL,CARDS'!ACS5</f>
        <v>1908831</v>
      </c>
      <c r="ACU14" s="22">
        <f>'MOMO,AIRTEL,CARDS'!ACT5</f>
        <v>965000</v>
      </c>
      <c r="ACV14" s="22">
        <f>'MOMO,AIRTEL,CARDS'!ACU5</f>
        <v>1316000</v>
      </c>
      <c r="ACW14" s="22">
        <f>'MOMO,AIRTEL,CARDS'!ACV5</f>
        <v>1061000</v>
      </c>
      <c r="ACX14" s="22">
        <f>'MOMO,AIRTEL,CARDS'!ACW5</f>
        <v>899500</v>
      </c>
      <c r="ACY14" s="22">
        <f>'MOMO,AIRTEL,CARDS'!ACX5</f>
        <v>1284500</v>
      </c>
      <c r="ACZ14" s="22">
        <f>'MOMO,AIRTEL,CARDS'!ACY5</f>
        <v>1039841</v>
      </c>
      <c r="ADA14" s="22">
        <f>'MOMO,AIRTEL,CARDS'!ACZ5</f>
        <v>1944500</v>
      </c>
      <c r="ADB14" s="22">
        <f>'MOMO,AIRTEL,CARDS'!ADA5</f>
        <v>1203400</v>
      </c>
      <c r="ADC14" s="22">
        <f>'MOMO,AIRTEL,CARDS'!ADB5</f>
        <v>190000</v>
      </c>
      <c r="ADD14" s="22">
        <f>'MOMO,AIRTEL,CARDS'!ADC5</f>
        <v>1313810</v>
      </c>
      <c r="ADE14" s="22">
        <f>'MOMO,AIRTEL,CARDS'!ADD5</f>
        <v>1376000</v>
      </c>
      <c r="ADF14" s="22">
        <f>'MOMO,AIRTEL,CARDS'!ADE5</f>
        <v>2718047</v>
      </c>
      <c r="ADG14" s="22">
        <f>'MOMO,AIRTEL,CARDS'!ADF5</f>
        <v>942500</v>
      </c>
      <c r="ADH14" s="22">
        <f>'MOMO,AIRTEL,CARDS'!ADG5</f>
        <v>1488000</v>
      </c>
      <c r="ADI14" s="127">
        <f t="shared" si="119"/>
        <v>45091665</v>
      </c>
      <c r="ADJ14" s="22">
        <f>'MOMO,AIRTEL,CARDS'!ADI5</f>
        <v>1329841</v>
      </c>
      <c r="ADK14" s="22">
        <f>'MOMO,AIRTEL,CARDS'!ADJ5</f>
        <v>1307000</v>
      </c>
      <c r="ADL14" s="22">
        <f>'MOMO,AIRTEL,CARDS'!ADK5</f>
        <v>965500</v>
      </c>
      <c r="ADM14" s="22">
        <f>'MOMO,AIRTEL,CARDS'!ADL5</f>
        <v>1118000</v>
      </c>
      <c r="ADN14" s="22">
        <f>'MOMO,AIRTEL,CARDS'!ADM5</f>
        <v>1168000</v>
      </c>
      <c r="ADO14" s="22">
        <f>'MOMO,AIRTEL,CARDS'!ADN5</f>
        <v>1031500</v>
      </c>
      <c r="ADP14" s="22">
        <f>'MOMO,AIRTEL,CARDS'!ADO5</f>
        <v>1091000</v>
      </c>
      <c r="ADQ14" s="22">
        <f>'MOMO,AIRTEL,CARDS'!ADP5</f>
        <v>1293258</v>
      </c>
      <c r="ADR14" s="22">
        <f>'MOMO,AIRTEL,CARDS'!ADQ5</f>
        <v>2401300</v>
      </c>
      <c r="ADS14" s="22">
        <f>'MOMO,AIRTEL,CARDS'!ADR5</f>
        <v>1708000</v>
      </c>
      <c r="ADT14" s="22">
        <f>'MOMO,AIRTEL,CARDS'!ADS5</f>
        <v>2010800</v>
      </c>
      <c r="ADU14" s="22">
        <f>'MOMO,AIRTEL,CARDS'!ADT5</f>
        <v>2558500</v>
      </c>
      <c r="ADV14" s="22">
        <f>'MOMO,AIRTEL,CARDS'!ADU5</f>
        <v>1596000</v>
      </c>
      <c r="ADW14" s="22">
        <f>'MOMO,AIRTEL,CARDS'!ADV5</f>
        <v>843095</v>
      </c>
      <c r="ADX14" s="22">
        <f>'MOMO,AIRTEL,CARDS'!ADW5</f>
        <v>1831000</v>
      </c>
      <c r="ADY14" s="22">
        <f>'MOMO,AIRTEL,CARDS'!ADX5</f>
        <v>1046000</v>
      </c>
      <c r="ADZ14" s="22">
        <f>'MOMO,AIRTEL,CARDS'!ADY5</f>
        <v>1386000</v>
      </c>
      <c r="AEA14" s="22">
        <f>'MOMO,AIRTEL,CARDS'!ADZ5</f>
        <v>1149500</v>
      </c>
      <c r="AEB14" s="22">
        <f>'MOMO,AIRTEL,CARDS'!AEA5</f>
        <v>1362500</v>
      </c>
      <c r="AEC14" s="22">
        <f>'MOMO,AIRTEL,CARDS'!AEB5</f>
        <v>1764900</v>
      </c>
      <c r="AED14" s="22">
        <f>'MOMO,AIRTEL,CARDS'!AEC5</f>
        <v>1399000</v>
      </c>
      <c r="AEE14" s="22">
        <f>'MOMO,AIRTEL,CARDS'!AED5</f>
        <v>1269500</v>
      </c>
      <c r="AEF14" s="22">
        <f>'MOMO,AIRTEL,CARDS'!AEE5</f>
        <v>1351000</v>
      </c>
      <c r="AEG14" s="22">
        <f>'MOMO,AIRTEL,CARDS'!AEF5</f>
        <v>775000</v>
      </c>
      <c r="AEH14" s="22">
        <f>'MOMO,AIRTEL,CARDS'!AEG5</f>
        <v>596000</v>
      </c>
      <c r="AEI14" s="22">
        <f>'MOMO,AIRTEL,CARDS'!AEH5</f>
        <v>1415000</v>
      </c>
      <c r="AEJ14" s="22">
        <f>'MOMO,AIRTEL,CARDS'!AEI5</f>
        <v>1336000</v>
      </c>
      <c r="AEK14" s="22">
        <f>'MOMO,AIRTEL,CARDS'!AEJ5</f>
        <v>613500</v>
      </c>
      <c r="AEL14" s="22">
        <f>'MOMO,AIRTEL,CARDS'!AEK5</f>
        <v>1426595</v>
      </c>
      <c r="AEM14" s="22">
        <f>'MOMO,AIRTEL,CARDS'!AEL5</f>
        <v>3026000</v>
      </c>
      <c r="AEN14" s="127">
        <f t="shared" si="121"/>
        <v>42169289</v>
      </c>
      <c r="AEO14" s="22">
        <f>'MOMO,AIRTEL,CARDS'!AEN5</f>
        <v>1106700</v>
      </c>
      <c r="AEP14" s="22">
        <f>'MOMO,AIRTEL,CARDS'!AEO5</f>
        <v>1305000</v>
      </c>
      <c r="AEQ14" s="22">
        <f>'MOMO,AIRTEL,CARDS'!AEP5</f>
        <v>1132000</v>
      </c>
      <c r="AER14" s="22">
        <f>'MOMO,AIRTEL,CARDS'!AEQ5</f>
        <v>1816506</v>
      </c>
      <c r="AES14" s="22">
        <f>'MOMO,AIRTEL,CARDS'!AER5</f>
        <v>1511595</v>
      </c>
      <c r="AET14" s="22">
        <f>'MOMO,AIRTEL,CARDS'!AES5</f>
        <v>456000</v>
      </c>
      <c r="AEU14" s="22">
        <f>'MOMO,AIRTEL,CARDS'!AET5</f>
        <v>868000</v>
      </c>
      <c r="AEV14" s="22">
        <f>'MOMO,AIRTEL,CARDS'!AEU5</f>
        <v>1516000</v>
      </c>
      <c r="AEW14" s="22">
        <f>'MOMO,AIRTEL,CARDS'!AEV5</f>
        <v>2305000</v>
      </c>
      <c r="AEX14" s="22">
        <f>'MOMO,AIRTEL,CARDS'!AEW5</f>
        <v>1115000</v>
      </c>
      <c r="AEY14" s="22">
        <f>'MOMO,AIRTEL,CARDS'!AEX5</f>
        <v>1866609</v>
      </c>
      <c r="AEZ14" s="22">
        <f>'MOMO,AIRTEL,CARDS'!AEY5</f>
        <v>1938632</v>
      </c>
      <c r="AFA14" s="22">
        <f>'MOMO,AIRTEL,CARDS'!AEZ5</f>
        <v>1668000</v>
      </c>
      <c r="AFB14" s="22">
        <f>'MOMO,AIRTEL,CARDS'!AFA5</f>
        <v>2289500</v>
      </c>
      <c r="AFC14" s="22">
        <f>'MOMO,AIRTEL,CARDS'!AFB5</f>
        <v>1227000</v>
      </c>
      <c r="AFD14" s="22">
        <f>'MOMO,AIRTEL,CARDS'!AFC5</f>
        <v>1079000</v>
      </c>
      <c r="AFE14" s="22">
        <f>'MOMO,AIRTEL,CARDS'!AFD5</f>
        <v>1200500</v>
      </c>
      <c r="AFF14" s="22">
        <f>'MOMO,AIRTEL,CARDS'!AFE5</f>
        <v>1198100</v>
      </c>
      <c r="AFG14" s="22">
        <f>'MOMO,AIRTEL,CARDS'!AFF5</f>
        <v>1668000</v>
      </c>
      <c r="AFH14" s="22">
        <f>'MOMO,AIRTEL,CARDS'!AFG5</f>
        <v>1181000</v>
      </c>
      <c r="AFI14" s="22">
        <f>'MOMO,AIRTEL,CARDS'!AFH5</f>
        <v>1140000</v>
      </c>
      <c r="AFJ14" s="22">
        <f>'MOMO,AIRTEL,CARDS'!AFI5</f>
        <v>1120000</v>
      </c>
      <c r="AFK14" s="22">
        <f>'MOMO,AIRTEL,CARDS'!AFJ5</f>
        <v>1875206</v>
      </c>
      <c r="AFL14" s="22">
        <f>'MOMO,AIRTEL,CARDS'!AFK5</f>
        <v>1968848</v>
      </c>
      <c r="AFM14" s="22">
        <f>'MOMO,AIRTEL,CARDS'!AFL5</f>
        <v>2085000</v>
      </c>
      <c r="AFN14" s="22">
        <f>'MOMO,AIRTEL,CARDS'!AFM5</f>
        <v>1869600</v>
      </c>
      <c r="AFO14" s="22">
        <f>'MOMO,AIRTEL,CARDS'!AFN5</f>
        <v>979000</v>
      </c>
      <c r="AFP14" s="22">
        <f>'MOMO,AIRTEL,CARDS'!AFO5</f>
        <v>760000</v>
      </c>
      <c r="AFQ14" s="22">
        <f>'MOMO,AIRTEL,CARDS'!AFP5</f>
        <v>1840500</v>
      </c>
      <c r="AFR14" s="22">
        <f>'MOMO,AIRTEL,CARDS'!AFQ5</f>
        <v>2492800</v>
      </c>
      <c r="AFS14" s="22">
        <f>'MOMO,AIRTEL,CARDS'!AFR5</f>
        <v>1472000</v>
      </c>
      <c r="AFT14" s="127">
        <f t="shared" si="123"/>
        <v>46051096</v>
      </c>
      <c r="AFU14" s="22">
        <f>'MOMO,AIRTEL,CARDS'!AFT5</f>
        <v>2164800</v>
      </c>
      <c r="AFV14" s="22">
        <f>'MOMO,AIRTEL,CARDS'!AFU5</f>
        <v>2186435</v>
      </c>
      <c r="AFW14" s="22">
        <f>'MOMO,AIRTEL,CARDS'!AFV5</f>
        <v>838600</v>
      </c>
      <c r="AFX14" s="22">
        <f>'MOMO,AIRTEL,CARDS'!AFW5</f>
        <v>1976800</v>
      </c>
      <c r="AFY14" s="22">
        <f>'MOMO,AIRTEL,CARDS'!AFX5</f>
        <v>2283800</v>
      </c>
      <c r="AFZ14" s="22">
        <f>'MOMO,AIRTEL,CARDS'!AFY5</f>
        <v>2140255</v>
      </c>
      <c r="AGA14" s="22">
        <f>'MOMO,AIRTEL,CARDS'!AFZ5</f>
        <v>662000</v>
      </c>
      <c r="AGB14" s="22">
        <f>'MOMO,AIRTEL,CARDS'!AGA5</f>
        <v>30000</v>
      </c>
      <c r="AGC14" s="22">
        <f>'MOMO,AIRTEL,CARDS'!AGB5</f>
        <v>0</v>
      </c>
      <c r="AGD14" s="22">
        <f>'MOMO,AIRTEL,CARDS'!AGC5</f>
        <v>0</v>
      </c>
      <c r="AGE14" s="22">
        <f>'MOMO,AIRTEL,CARDS'!AGD5</f>
        <v>0</v>
      </c>
      <c r="AGF14" s="22">
        <f>'MOMO,AIRTEL,CARDS'!AGE5</f>
        <v>0</v>
      </c>
      <c r="AGG14" s="22">
        <f>'MOMO,AIRTEL,CARDS'!AGF5</f>
        <v>0</v>
      </c>
      <c r="AGH14" s="22">
        <f>'MOMO,AIRTEL,CARDS'!AGG5</f>
        <v>0</v>
      </c>
      <c r="AGI14" s="22">
        <f>'MOMO,AIRTEL,CARDS'!AGH5</f>
        <v>0</v>
      </c>
      <c r="AGJ14" s="22">
        <f>'MOMO,AIRTEL,CARDS'!AGI5</f>
        <v>0</v>
      </c>
      <c r="AGK14" s="22">
        <f>'MOMO,AIRTEL,CARDS'!AGJ5</f>
        <v>0</v>
      </c>
      <c r="AGL14" s="22">
        <f>'MOMO,AIRTEL,CARDS'!AGK5</f>
        <v>0</v>
      </c>
      <c r="AGM14" s="22">
        <f>'MOMO,AIRTEL,CARDS'!AGL5</f>
        <v>0</v>
      </c>
      <c r="AGN14" s="22">
        <f>'MOMO,AIRTEL,CARDS'!AGM5</f>
        <v>0</v>
      </c>
      <c r="AGO14" s="22">
        <f>'MOMO,AIRTEL,CARDS'!AGN5</f>
        <v>0</v>
      </c>
      <c r="AGP14" s="22">
        <f>'MOMO,AIRTEL,CARDS'!AGO5</f>
        <v>0</v>
      </c>
      <c r="AGQ14" s="22">
        <f>'MOMO,AIRTEL,CARDS'!AGP5</f>
        <v>0</v>
      </c>
      <c r="AGR14" s="22">
        <f>'MOMO,AIRTEL,CARDS'!AGQ5</f>
        <v>0</v>
      </c>
      <c r="AGS14" s="22">
        <f>'MOMO,AIRTEL,CARDS'!AGR5</f>
        <v>0</v>
      </c>
      <c r="AGT14" s="22">
        <f>'MOMO,AIRTEL,CARDS'!AGS5</f>
        <v>0</v>
      </c>
      <c r="AGU14" s="22">
        <f>'MOMO,AIRTEL,CARDS'!AGT5</f>
        <v>0</v>
      </c>
      <c r="AGV14" s="22">
        <f>'MOMO,AIRTEL,CARDS'!AGU5</f>
        <v>0</v>
      </c>
      <c r="AGW14" s="22">
        <f>'MOMO,AIRTEL,CARDS'!AGV5</f>
        <v>0</v>
      </c>
      <c r="AGX14" s="22">
        <f>'MOMO,AIRTEL,CARDS'!AGW5</f>
        <v>0</v>
      </c>
      <c r="AGY14" s="127">
        <f t="shared" si="125"/>
        <v>12282690</v>
      </c>
      <c r="AGZ14" s="22">
        <f>'MOMO,AIRTEL,CARDS'!AGY5</f>
        <v>0</v>
      </c>
      <c r="AHA14" s="22">
        <f>'MOMO,AIRTEL,CARDS'!AGZ5</f>
        <v>0</v>
      </c>
      <c r="AHB14" s="22">
        <f>'MOMO,AIRTEL,CARDS'!AHA5</f>
        <v>0</v>
      </c>
      <c r="AHC14" s="22">
        <f>'MOMO,AIRTEL,CARDS'!AHB5</f>
        <v>0</v>
      </c>
      <c r="AHD14" s="22">
        <f>'MOMO,AIRTEL,CARDS'!AHC5</f>
        <v>0</v>
      </c>
      <c r="AHE14" s="22">
        <f>'MOMO,AIRTEL,CARDS'!AHD5</f>
        <v>0</v>
      </c>
      <c r="AHF14" s="22">
        <f>'MOMO,AIRTEL,CARDS'!AHE5</f>
        <v>0</v>
      </c>
      <c r="AHG14" s="22">
        <f>'MOMO,AIRTEL,CARDS'!AHF5</f>
        <v>0</v>
      </c>
      <c r="AHH14" s="22">
        <f>'MOMO,AIRTEL,CARDS'!AHG5</f>
        <v>0</v>
      </c>
      <c r="AHI14" s="22">
        <f>'MOMO,AIRTEL,CARDS'!AHH5</f>
        <v>0</v>
      </c>
      <c r="AHJ14" s="22">
        <f>'MOMO,AIRTEL,CARDS'!AHI5</f>
        <v>0</v>
      </c>
      <c r="AHK14" s="22">
        <f>'MOMO,AIRTEL,CARDS'!AHJ5</f>
        <v>0</v>
      </c>
      <c r="AHL14" s="22">
        <f>'MOMO,AIRTEL,CARDS'!AHK5</f>
        <v>0</v>
      </c>
      <c r="AHM14" s="22">
        <f>'MOMO,AIRTEL,CARDS'!AHL5</f>
        <v>0</v>
      </c>
      <c r="AHN14" s="22">
        <f>'MOMO,AIRTEL,CARDS'!AHM5</f>
        <v>0</v>
      </c>
      <c r="AHO14" s="22">
        <f>'MOMO,AIRTEL,CARDS'!AHN5</f>
        <v>0</v>
      </c>
      <c r="AHP14" s="22">
        <f>'MOMO,AIRTEL,CARDS'!AHO5</f>
        <v>0</v>
      </c>
      <c r="AHQ14" s="22">
        <f>'MOMO,AIRTEL,CARDS'!AHP5</f>
        <v>0</v>
      </c>
      <c r="AHR14" s="22">
        <f>'MOMO,AIRTEL,CARDS'!AHQ5</f>
        <v>0</v>
      </c>
      <c r="AHS14" s="22">
        <f>'MOMO,AIRTEL,CARDS'!AHR5</f>
        <v>0</v>
      </c>
      <c r="AHT14" s="22">
        <f>'MOMO,AIRTEL,CARDS'!AHS5</f>
        <v>0</v>
      </c>
      <c r="AHU14" s="22">
        <f>'MOMO,AIRTEL,CARDS'!AHT5</f>
        <v>0</v>
      </c>
      <c r="AHV14" s="22">
        <f>'MOMO,AIRTEL,CARDS'!AHU5</f>
        <v>0</v>
      </c>
      <c r="AHW14" s="22">
        <f>'MOMO,AIRTEL,CARDS'!AHV5</f>
        <v>0</v>
      </c>
      <c r="AHX14" s="22">
        <f>'MOMO,AIRTEL,CARDS'!AHW5</f>
        <v>0</v>
      </c>
      <c r="AHY14" s="22">
        <f>'MOMO,AIRTEL,CARDS'!AHX5</f>
        <v>0</v>
      </c>
      <c r="AHZ14" s="22">
        <f>'MOMO,AIRTEL,CARDS'!AHY5</f>
        <v>0</v>
      </c>
      <c r="AIA14" s="22">
        <f>'MOMO,AIRTEL,CARDS'!AHZ5</f>
        <v>0</v>
      </c>
      <c r="AIB14" s="22">
        <f>'MOMO,AIRTEL,CARDS'!AIA5</f>
        <v>0</v>
      </c>
      <c r="AIC14" s="22">
        <f>'MOMO,AIRTEL,CARDS'!AIB5</f>
        <v>0</v>
      </c>
      <c r="AID14" s="22">
        <f>'MOMO,AIRTEL,CARDS'!AIC5</f>
        <v>0</v>
      </c>
      <c r="AIE14" s="127">
        <f>SUM(AHA14:AID14)</f>
        <v>0</v>
      </c>
      <c r="AIF14" s="22">
        <f>'MOMO,AIRTEL,CARDS'!AIE5</f>
        <v>0</v>
      </c>
      <c r="AIG14" s="22">
        <f>'MOMO,AIRTEL,CARDS'!AIF5</f>
        <v>0</v>
      </c>
      <c r="AIH14" s="22">
        <f>'MOMO,AIRTEL,CARDS'!AIG5</f>
        <v>0</v>
      </c>
      <c r="AII14" s="22">
        <f>'MOMO,AIRTEL,CARDS'!AIH5</f>
        <v>0</v>
      </c>
      <c r="AIJ14" s="22">
        <f>'MOMO,AIRTEL,CARDS'!AII5</f>
        <v>0</v>
      </c>
      <c r="AIK14" s="22">
        <f>'MOMO,AIRTEL,CARDS'!AIJ5</f>
        <v>0</v>
      </c>
      <c r="AIL14" s="22">
        <f>'MOMO,AIRTEL,CARDS'!AIK5</f>
        <v>0</v>
      </c>
      <c r="AIM14" s="22">
        <f>'MOMO,AIRTEL,CARDS'!AIL5</f>
        <v>0</v>
      </c>
      <c r="AIN14" s="22">
        <f>'MOMO,AIRTEL,CARDS'!AIM5</f>
        <v>0</v>
      </c>
      <c r="AIO14" s="22">
        <f>'MOMO,AIRTEL,CARDS'!AIN5</f>
        <v>0</v>
      </c>
      <c r="AIP14" s="22">
        <f>'MOMO,AIRTEL,CARDS'!AIO5</f>
        <v>0</v>
      </c>
      <c r="AIQ14" s="22">
        <f>'MOMO,AIRTEL,CARDS'!AIP5</f>
        <v>0</v>
      </c>
      <c r="AIR14" s="22">
        <f>'MOMO,AIRTEL,CARDS'!AIQ5</f>
        <v>0</v>
      </c>
      <c r="AIS14" s="22">
        <f>'MOMO,AIRTEL,CARDS'!AIR5</f>
        <v>0</v>
      </c>
      <c r="AIT14" s="22">
        <f>'MOMO,AIRTEL,CARDS'!AIS5</f>
        <v>0</v>
      </c>
      <c r="AIU14" s="22">
        <f>'MOMO,AIRTEL,CARDS'!AIT5</f>
        <v>0</v>
      </c>
      <c r="AIV14" s="22">
        <f>'MOMO,AIRTEL,CARDS'!AIU5</f>
        <v>0</v>
      </c>
      <c r="AIW14" s="22">
        <f>'MOMO,AIRTEL,CARDS'!AIV5</f>
        <v>0</v>
      </c>
      <c r="AIX14" s="22">
        <f>'MOMO,AIRTEL,CARDS'!AIW5</f>
        <v>0</v>
      </c>
      <c r="AIY14" s="22">
        <f>'MOMO,AIRTEL,CARDS'!AIX5</f>
        <v>0</v>
      </c>
      <c r="AIZ14" s="22">
        <f>'MOMO,AIRTEL,CARDS'!AIY5</f>
        <v>0</v>
      </c>
      <c r="AJA14" s="22">
        <f>'MOMO,AIRTEL,CARDS'!AIZ5</f>
        <v>0</v>
      </c>
      <c r="AJB14" s="22">
        <f>'MOMO,AIRTEL,CARDS'!AJA5</f>
        <v>0</v>
      </c>
      <c r="AJC14" s="22">
        <f>'MOMO,AIRTEL,CARDS'!AJB5</f>
        <v>0</v>
      </c>
      <c r="AJD14" s="22">
        <f>'MOMO,AIRTEL,CARDS'!AJC5</f>
        <v>0</v>
      </c>
      <c r="AJE14" s="22">
        <f>'MOMO,AIRTEL,CARDS'!AJD5</f>
        <v>0</v>
      </c>
      <c r="AJF14" s="22">
        <f>'MOMO,AIRTEL,CARDS'!AJE5</f>
        <v>0</v>
      </c>
      <c r="AJG14" s="22">
        <f>'MOMO,AIRTEL,CARDS'!AJF5</f>
        <v>0</v>
      </c>
      <c r="AJH14" s="22">
        <f>'MOMO,AIRTEL,CARDS'!AJG5</f>
        <v>0</v>
      </c>
      <c r="AJI14" s="22">
        <f>'MOMO,AIRTEL,CARDS'!AJH5</f>
        <v>0</v>
      </c>
      <c r="AJJ14" s="22">
        <f>'MOMO,AIRTEL,CARDS'!AJI5</f>
        <v>0</v>
      </c>
      <c r="AJK14" s="127">
        <f>SUM(AIG14:AJJ14)</f>
        <v>0</v>
      </c>
      <c r="AJL14" s="22">
        <f>'MOMO,AIRTEL,CARDS'!AJK5</f>
        <v>0</v>
      </c>
      <c r="AJM14" s="22">
        <f>'MOMO,AIRTEL,CARDS'!AJL5</f>
        <v>0</v>
      </c>
      <c r="AJN14" s="22">
        <f>'MOMO,AIRTEL,CARDS'!AJM5</f>
        <v>0</v>
      </c>
      <c r="AJO14" s="22">
        <f>'MOMO,AIRTEL,CARDS'!AJN5</f>
        <v>0</v>
      </c>
      <c r="AJP14" s="22">
        <f>'MOMO,AIRTEL,CARDS'!AJO5</f>
        <v>0</v>
      </c>
      <c r="AJQ14" s="22">
        <f>'MOMO,AIRTEL,CARDS'!AJP5</f>
        <v>0</v>
      </c>
      <c r="AJR14" s="22">
        <f>'MOMO,AIRTEL,CARDS'!AJQ5</f>
        <v>0</v>
      </c>
      <c r="AJS14" s="22">
        <f>'MOMO,AIRTEL,CARDS'!AJR5</f>
        <v>0</v>
      </c>
      <c r="AJT14" s="22">
        <f>'MOMO,AIRTEL,CARDS'!AJS5</f>
        <v>0</v>
      </c>
      <c r="AJU14" s="22">
        <f>'MOMO,AIRTEL,CARDS'!AJT5</f>
        <v>0</v>
      </c>
      <c r="AJV14" s="22">
        <f>'MOMO,AIRTEL,CARDS'!AJU5</f>
        <v>0</v>
      </c>
      <c r="AJW14" s="22">
        <f>'MOMO,AIRTEL,CARDS'!AJV5</f>
        <v>0</v>
      </c>
      <c r="AJX14" s="22">
        <f>'MOMO,AIRTEL,CARDS'!AJW5</f>
        <v>0</v>
      </c>
      <c r="AJY14" s="22">
        <f>'MOMO,AIRTEL,CARDS'!AJX5</f>
        <v>0</v>
      </c>
      <c r="AJZ14" s="22">
        <f>'MOMO,AIRTEL,CARDS'!AJY5</f>
        <v>0</v>
      </c>
      <c r="AKA14" s="22">
        <f>'MOMO,AIRTEL,CARDS'!AJZ5</f>
        <v>0</v>
      </c>
      <c r="AKB14" s="22">
        <f>'MOMO,AIRTEL,CARDS'!AKA5</f>
        <v>0</v>
      </c>
      <c r="AKC14" s="22">
        <f>'MOMO,AIRTEL,CARDS'!AKB5</f>
        <v>0</v>
      </c>
      <c r="AKD14" s="22">
        <f>'MOMO,AIRTEL,CARDS'!AKC5</f>
        <v>0</v>
      </c>
      <c r="AKE14" s="22">
        <f>'MOMO,AIRTEL,CARDS'!AKD5</f>
        <v>0</v>
      </c>
      <c r="AKF14" s="22">
        <f>'MOMO,AIRTEL,CARDS'!AKE5</f>
        <v>0</v>
      </c>
      <c r="AKG14" s="22">
        <f>'MOMO,AIRTEL,CARDS'!AKF5</f>
        <v>0</v>
      </c>
      <c r="AKH14" s="22">
        <f>'MOMO,AIRTEL,CARDS'!AKG5</f>
        <v>0</v>
      </c>
      <c r="AKI14" s="22">
        <f>'MOMO,AIRTEL,CARDS'!AKH5</f>
        <v>0</v>
      </c>
      <c r="AKJ14" s="22">
        <f>'MOMO,AIRTEL,CARDS'!AKI5</f>
        <v>0</v>
      </c>
      <c r="AKK14" s="22">
        <f>'MOMO,AIRTEL,CARDS'!AKJ5</f>
        <v>0</v>
      </c>
      <c r="AKL14" s="22">
        <f>'MOMO,AIRTEL,CARDS'!AKK5</f>
        <v>0</v>
      </c>
      <c r="AKM14" s="22">
        <f>'MOMO,AIRTEL,CARDS'!AKL5</f>
        <v>0</v>
      </c>
      <c r="AKN14" s="127">
        <f t="shared" si="11"/>
        <v>0</v>
      </c>
      <c r="AKO14" s="22">
        <f>'MOMO,AIRTEL,CARDS'!AKN5</f>
        <v>0</v>
      </c>
      <c r="AKP14" s="22">
        <f>'MOMO,AIRTEL,CARDS'!AKO5</f>
        <v>0</v>
      </c>
      <c r="AKQ14" s="22">
        <f>'MOMO,AIRTEL,CARDS'!AKP5</f>
        <v>0</v>
      </c>
      <c r="AKR14" s="22">
        <f>'MOMO,AIRTEL,CARDS'!AKQ5</f>
        <v>0</v>
      </c>
      <c r="AKS14" s="22">
        <f>'MOMO,AIRTEL,CARDS'!AKR5</f>
        <v>0</v>
      </c>
      <c r="AKT14" s="22">
        <f>'MOMO,AIRTEL,CARDS'!AKS5</f>
        <v>0</v>
      </c>
      <c r="AKU14" s="22">
        <f>'MOMO,AIRTEL,CARDS'!AKT5</f>
        <v>0</v>
      </c>
      <c r="AKV14" s="22">
        <f>'MOMO,AIRTEL,CARDS'!AKU5</f>
        <v>0</v>
      </c>
      <c r="AKW14" s="22">
        <f>'MOMO,AIRTEL,CARDS'!AKV5</f>
        <v>0</v>
      </c>
      <c r="AKX14" s="22">
        <f>'MOMO,AIRTEL,CARDS'!AKW5</f>
        <v>0</v>
      </c>
      <c r="AKY14" s="22">
        <f>'MOMO,AIRTEL,CARDS'!AKX5</f>
        <v>0</v>
      </c>
      <c r="AKZ14" s="22">
        <f>'MOMO,AIRTEL,CARDS'!AKY5</f>
        <v>0</v>
      </c>
      <c r="ALA14" s="22">
        <f>'MOMO,AIRTEL,CARDS'!AKZ5</f>
        <v>0</v>
      </c>
      <c r="ALB14" s="22">
        <f>'MOMO,AIRTEL,CARDS'!ALA5</f>
        <v>0</v>
      </c>
      <c r="ALC14" s="22">
        <f>'MOMO,AIRTEL,CARDS'!ALB5</f>
        <v>0</v>
      </c>
      <c r="ALD14" s="22">
        <f>'MOMO,AIRTEL,CARDS'!ALC5</f>
        <v>0</v>
      </c>
      <c r="ALE14" s="22">
        <f>'MOMO,AIRTEL,CARDS'!ALD5</f>
        <v>0</v>
      </c>
      <c r="ALF14" s="22">
        <f>'MOMO,AIRTEL,CARDS'!ALE5</f>
        <v>0</v>
      </c>
      <c r="ALG14" s="22">
        <f>'MOMO,AIRTEL,CARDS'!ALF5</f>
        <v>0</v>
      </c>
      <c r="ALH14" s="22">
        <f>'MOMO,AIRTEL,CARDS'!ALG5</f>
        <v>0</v>
      </c>
      <c r="ALI14" s="22">
        <f>'MOMO,AIRTEL,CARDS'!ALH5</f>
        <v>0</v>
      </c>
      <c r="ALJ14" s="22">
        <f>'MOMO,AIRTEL,CARDS'!ALI5</f>
        <v>0</v>
      </c>
      <c r="ALK14" s="22">
        <f>'MOMO,AIRTEL,CARDS'!ALJ5</f>
        <v>0</v>
      </c>
      <c r="ALL14" s="22">
        <f>'MOMO,AIRTEL,CARDS'!ALK5</f>
        <v>0</v>
      </c>
      <c r="ALM14" s="22">
        <f>'MOMO,AIRTEL,CARDS'!ALL5</f>
        <v>0</v>
      </c>
      <c r="ALN14" s="22">
        <f>'MOMO,AIRTEL,CARDS'!ALM5</f>
        <v>0</v>
      </c>
      <c r="ALO14" s="22">
        <f>'MOMO,AIRTEL,CARDS'!ALN5</f>
        <v>0</v>
      </c>
      <c r="ALP14" s="22">
        <f>'MOMO,AIRTEL,CARDS'!ALO5</f>
        <v>0</v>
      </c>
      <c r="ALQ14" s="22">
        <f>'MOMO,AIRTEL,CARDS'!ALP5</f>
        <v>0</v>
      </c>
      <c r="ALR14" s="22">
        <f>'MOMO,AIRTEL,CARDS'!ALQ5</f>
        <v>0</v>
      </c>
      <c r="ALS14" s="22">
        <f>'MOMO,AIRTEL,CARDS'!ALR5</f>
        <v>0</v>
      </c>
      <c r="ALT14" s="127">
        <f t="shared" si="12"/>
        <v>0</v>
      </c>
      <c r="ALU14" s="22">
        <f>'MOMO,AIRTEL,CARDS'!ALT5</f>
        <v>0</v>
      </c>
      <c r="ALV14" s="22">
        <f>'MOMO,AIRTEL,CARDS'!ALU5</f>
        <v>0</v>
      </c>
      <c r="ALW14" s="22">
        <f>'MOMO,AIRTEL,CARDS'!ALV5</f>
        <v>0</v>
      </c>
      <c r="ALX14" s="22">
        <f>'MOMO,AIRTEL,CARDS'!ALW5</f>
        <v>0</v>
      </c>
      <c r="ALY14" s="22">
        <f>'MOMO,AIRTEL,CARDS'!ALX5</f>
        <v>0</v>
      </c>
      <c r="ALZ14" s="22">
        <f>'MOMO,AIRTEL,CARDS'!ALY5</f>
        <v>0</v>
      </c>
      <c r="AMA14" s="22">
        <f>'MOMO,AIRTEL,CARDS'!ALZ5</f>
        <v>0</v>
      </c>
      <c r="AMB14" s="22">
        <f>'MOMO,AIRTEL,CARDS'!AMA5</f>
        <v>0</v>
      </c>
      <c r="AMC14" s="22">
        <f>'MOMO,AIRTEL,CARDS'!AMB5</f>
        <v>0</v>
      </c>
      <c r="AMD14" s="22">
        <f>'MOMO,AIRTEL,CARDS'!AMC5</f>
        <v>10000</v>
      </c>
      <c r="AME14" s="22">
        <f>'MOMO,AIRTEL,CARDS'!AMD5</f>
        <v>0</v>
      </c>
      <c r="AMF14" s="22">
        <f>'MOMO,AIRTEL,CARDS'!AME5</f>
        <v>0</v>
      </c>
      <c r="AMG14" s="22">
        <f>'MOMO,AIRTEL,CARDS'!AMF5</f>
        <v>0</v>
      </c>
      <c r="AMH14" s="22">
        <f>'MOMO,AIRTEL,CARDS'!AMG5</f>
        <v>0</v>
      </c>
      <c r="AMI14" s="22">
        <f>'MOMO,AIRTEL,CARDS'!AMH5</f>
        <v>0</v>
      </c>
      <c r="AMJ14" s="22">
        <f>'MOMO,AIRTEL,CARDS'!AMI5</f>
        <v>0</v>
      </c>
      <c r="AMK14" s="22">
        <f>'MOMO,AIRTEL,CARDS'!AMJ5</f>
        <v>0</v>
      </c>
      <c r="AML14" s="22">
        <f>'MOMO,AIRTEL,CARDS'!AMK5</f>
        <v>0</v>
      </c>
      <c r="AMM14" s="22">
        <f>'MOMO,AIRTEL,CARDS'!AML5</f>
        <v>0</v>
      </c>
      <c r="AMN14" s="22">
        <f>'MOMO,AIRTEL,CARDS'!AMM5</f>
        <v>0</v>
      </c>
      <c r="AMO14" s="22">
        <f>'MOMO,AIRTEL,CARDS'!AMN5</f>
        <v>0</v>
      </c>
      <c r="AMP14" s="22">
        <f>'MOMO,AIRTEL,CARDS'!AMO5</f>
        <v>0</v>
      </c>
      <c r="AMQ14" s="22">
        <f>'MOMO,AIRTEL,CARDS'!AMP5</f>
        <v>0</v>
      </c>
      <c r="AMR14" s="22">
        <f>'MOMO,AIRTEL,CARDS'!AMQ5</f>
        <v>0</v>
      </c>
      <c r="AMS14" s="22">
        <f>'MOMO,AIRTEL,CARDS'!AMR5</f>
        <v>0</v>
      </c>
      <c r="AMT14" s="22">
        <f>'MOMO,AIRTEL,CARDS'!AMS5</f>
        <v>0</v>
      </c>
      <c r="AMU14" s="22">
        <f>'MOMO,AIRTEL,CARDS'!AMT5</f>
        <v>0</v>
      </c>
      <c r="AMV14" s="22">
        <f>'MOMO,AIRTEL,CARDS'!AMU5</f>
        <v>0</v>
      </c>
      <c r="AMW14" s="22">
        <f>'MOMO,AIRTEL,CARDS'!AMV5</f>
        <v>0</v>
      </c>
      <c r="AMX14" s="22">
        <f>'MOMO,AIRTEL,CARDS'!AMW5</f>
        <v>0</v>
      </c>
      <c r="AMY14" s="127">
        <f t="shared" si="13"/>
        <v>10000</v>
      </c>
      <c r="AMZ14" s="22">
        <f>'MOMO,AIRTEL,CARDS'!AMY5</f>
        <v>0</v>
      </c>
      <c r="ANA14" s="22">
        <f>'MOMO,AIRTEL,CARDS'!AMZ5</f>
        <v>0</v>
      </c>
      <c r="ANB14" s="22">
        <f>'MOMO,AIRTEL,CARDS'!ANA5</f>
        <v>0</v>
      </c>
      <c r="ANC14" s="22">
        <f>'MOMO,AIRTEL,CARDS'!ANB5</f>
        <v>0</v>
      </c>
      <c r="AND14" s="22">
        <f>'MOMO,AIRTEL,CARDS'!ANC5</f>
        <v>0</v>
      </c>
      <c r="ANE14" s="22">
        <f>'MOMO,AIRTEL,CARDS'!AND5</f>
        <v>0</v>
      </c>
      <c r="ANF14" s="22">
        <f>'MOMO,AIRTEL,CARDS'!ANE5</f>
        <v>0</v>
      </c>
      <c r="ANG14" s="22">
        <f>'MOMO,AIRTEL,CARDS'!ANF5</f>
        <v>0</v>
      </c>
      <c r="ANH14" s="22">
        <f>'MOMO,AIRTEL,CARDS'!ANG5</f>
        <v>0</v>
      </c>
      <c r="ANI14" s="22">
        <f>'MOMO,AIRTEL,CARDS'!ANH5</f>
        <v>0</v>
      </c>
      <c r="ANJ14" s="22">
        <f>'MOMO,AIRTEL,CARDS'!ANI5</f>
        <v>0</v>
      </c>
      <c r="ANK14" s="22">
        <f>'MOMO,AIRTEL,CARDS'!ANJ5</f>
        <v>0</v>
      </c>
      <c r="ANL14" s="22">
        <f>'MOMO,AIRTEL,CARDS'!ANK5</f>
        <v>0</v>
      </c>
      <c r="ANM14" s="22">
        <f>'MOMO,AIRTEL,CARDS'!ANL5</f>
        <v>0</v>
      </c>
      <c r="ANN14" s="22">
        <f>'MOMO,AIRTEL,CARDS'!ANM5</f>
        <v>0</v>
      </c>
      <c r="ANO14" s="22">
        <f>'MOMO,AIRTEL,CARDS'!ANN5</f>
        <v>0</v>
      </c>
      <c r="ANP14" s="22">
        <f>'MOMO,AIRTEL,CARDS'!ANO5</f>
        <v>0</v>
      </c>
      <c r="ANQ14" s="22">
        <f>'MOMO,AIRTEL,CARDS'!ANP5</f>
        <v>0</v>
      </c>
      <c r="ANR14" s="22">
        <f>'MOMO,AIRTEL,CARDS'!ANQ5</f>
        <v>0</v>
      </c>
      <c r="ANS14" s="22">
        <f>'MOMO,AIRTEL,CARDS'!ANR5</f>
        <v>0</v>
      </c>
      <c r="ANT14" s="22">
        <f>'MOMO,AIRTEL,CARDS'!ANS5</f>
        <v>284000</v>
      </c>
      <c r="ANU14" s="22">
        <f>'MOMO,AIRTEL,CARDS'!ANT5</f>
        <v>753500</v>
      </c>
      <c r="ANV14" s="22">
        <f>'MOMO,AIRTEL,CARDS'!ANU5</f>
        <v>856000</v>
      </c>
      <c r="ANW14" s="22">
        <f>'MOMO,AIRTEL,CARDS'!ANV5</f>
        <v>742300</v>
      </c>
      <c r="ANX14" s="22">
        <f>'MOMO,AIRTEL,CARDS'!ANW5</f>
        <v>2482975</v>
      </c>
      <c r="ANY14" s="22">
        <f>'MOMO,AIRTEL,CARDS'!ANX5</f>
        <v>3207095</v>
      </c>
      <c r="ANZ14" s="22">
        <f>'MOMO,AIRTEL,CARDS'!ANY5</f>
        <v>474400</v>
      </c>
      <c r="AOA14" s="22">
        <f>'MOMO,AIRTEL,CARDS'!ANZ5</f>
        <v>1656250</v>
      </c>
      <c r="AOB14" s="22">
        <f>'MOMO,AIRTEL,CARDS'!AOA5</f>
        <v>1653800</v>
      </c>
      <c r="AOC14" s="22">
        <f>'MOMO,AIRTEL,CARDS'!AOB5</f>
        <v>2389033</v>
      </c>
    </row>
    <row r="15" spans="1:1071" x14ac:dyDescent="0.2">
      <c r="A15" s="160"/>
      <c r="B15" s="5" t="s">
        <v>1091</v>
      </c>
      <c r="C15" s="22">
        <f>'MOMO,AIRTEL,CARDS'!B6</f>
        <v>710000</v>
      </c>
      <c r="D15" s="22">
        <f>'MOMO,AIRTEL,CARDS'!C6</f>
        <v>330000</v>
      </c>
      <c r="E15" s="22">
        <f>'MOMO,AIRTEL,CARDS'!D6</f>
        <v>55000</v>
      </c>
      <c r="F15" s="22">
        <f>'MOMO,AIRTEL,CARDS'!E6</f>
        <v>1316400</v>
      </c>
      <c r="G15" s="22">
        <f>'MOMO,AIRTEL,CARDS'!F6</f>
        <v>1692230</v>
      </c>
      <c r="H15" s="22">
        <f>'MOMO,AIRTEL,CARDS'!G6</f>
        <v>1004268</v>
      </c>
      <c r="I15" s="22">
        <f>'MOMO,AIRTEL,CARDS'!H6</f>
        <v>372000</v>
      </c>
      <c r="J15" s="22">
        <f>'MOMO,AIRTEL,CARDS'!I6</f>
        <v>472250</v>
      </c>
      <c r="K15" s="22">
        <f>'MOMO,AIRTEL,CARDS'!J6</f>
        <v>490000</v>
      </c>
      <c r="L15" s="22">
        <f>'MOMO,AIRTEL,CARDS'!K6</f>
        <v>771000</v>
      </c>
      <c r="M15" s="22">
        <f>'MOMO,AIRTEL,CARDS'!L6</f>
        <v>2024588</v>
      </c>
      <c r="N15" s="22">
        <f>'MOMO,AIRTEL,CARDS'!M6</f>
        <v>440000</v>
      </c>
      <c r="O15" s="22">
        <f>'MOMO,AIRTEL,CARDS'!N6</f>
        <v>913865</v>
      </c>
      <c r="P15" s="22">
        <f>'MOMO,AIRTEL,CARDS'!O6</f>
        <v>585000</v>
      </c>
      <c r="Q15" s="22">
        <f>'MOMO,AIRTEL,CARDS'!P6</f>
        <v>170000</v>
      </c>
      <c r="R15" s="22">
        <f>'MOMO,AIRTEL,CARDS'!Q6</f>
        <v>887317</v>
      </c>
      <c r="S15" s="22">
        <f>'MOMO,AIRTEL,CARDS'!R6</f>
        <v>164000</v>
      </c>
      <c r="T15" s="22">
        <f>'MOMO,AIRTEL,CARDS'!S6</f>
        <v>641000</v>
      </c>
      <c r="U15" s="22">
        <f>'MOMO,AIRTEL,CARDS'!T6</f>
        <v>1401000</v>
      </c>
      <c r="V15" s="22">
        <f>'MOMO,AIRTEL,CARDS'!U6</f>
        <v>260000</v>
      </c>
      <c r="W15" s="22">
        <f>'MOMO,AIRTEL,CARDS'!V6</f>
        <v>492000</v>
      </c>
      <c r="X15" s="22">
        <f>'MOMO,AIRTEL,CARDS'!W6</f>
        <v>360000</v>
      </c>
      <c r="Y15" s="22">
        <f>'MOMO,AIRTEL,CARDS'!X6</f>
        <v>1266321</v>
      </c>
      <c r="Z15" s="22">
        <f>'MOMO,AIRTEL,CARDS'!Y6</f>
        <v>835700</v>
      </c>
      <c r="AA15" s="22">
        <f>'MOMO,AIRTEL,CARDS'!Z6</f>
        <v>1106385</v>
      </c>
      <c r="AB15" s="22">
        <f>'MOMO,AIRTEL,CARDS'!AA6</f>
        <v>488300</v>
      </c>
      <c r="AC15" s="22">
        <f>'MOMO,AIRTEL,CARDS'!AB6</f>
        <v>1433857</v>
      </c>
      <c r="AD15" s="22">
        <f>'MOMO,AIRTEL,CARDS'!AC6</f>
        <v>575000</v>
      </c>
      <c r="AE15" s="22">
        <f>'MOMO,AIRTEL,CARDS'!AD6</f>
        <v>623000</v>
      </c>
      <c r="AF15" s="22">
        <f>'MOMO,AIRTEL,CARDS'!AE6</f>
        <v>1086000</v>
      </c>
      <c r="AG15" s="22">
        <f>'MOMO,AIRTEL,CARDS'!AF6</f>
        <v>415000</v>
      </c>
      <c r="AH15" s="94">
        <f t="shared" si="90"/>
        <v>23381481</v>
      </c>
      <c r="AI15" s="22">
        <f>'MOMO,AIRTEL,CARDS'!AH6</f>
        <v>897366</v>
      </c>
      <c r="AJ15" s="22">
        <f>'MOMO,AIRTEL,CARDS'!AI6</f>
        <v>886028</v>
      </c>
      <c r="AK15" s="22">
        <f>'MOMO,AIRTEL,CARDS'!AJ6</f>
        <v>830500</v>
      </c>
      <c r="AL15" s="22">
        <f>'MOMO,AIRTEL,CARDS'!AK6</f>
        <v>555941</v>
      </c>
      <c r="AM15" s="22">
        <f>'MOMO,AIRTEL,CARDS'!AL6</f>
        <v>518000</v>
      </c>
      <c r="AN15" s="22">
        <f>'MOMO,AIRTEL,CARDS'!AM6</f>
        <v>312000</v>
      </c>
      <c r="AO15" s="22">
        <f>'MOMO,AIRTEL,CARDS'!AN6</f>
        <v>494503</v>
      </c>
      <c r="AP15" s="22">
        <f>'MOMO,AIRTEL,CARDS'!AO6</f>
        <v>575746</v>
      </c>
      <c r="AQ15" s="22">
        <f>'MOMO,AIRTEL,CARDS'!AP6</f>
        <v>455000</v>
      </c>
      <c r="AR15" s="22">
        <f>'MOMO,AIRTEL,CARDS'!AQ6</f>
        <v>634000</v>
      </c>
      <c r="AS15" s="22">
        <f>'MOMO,AIRTEL,CARDS'!AR6</f>
        <v>415822</v>
      </c>
      <c r="AT15" s="22">
        <f>'MOMO,AIRTEL,CARDS'!AS6</f>
        <v>400600</v>
      </c>
      <c r="AU15" s="22">
        <f>'MOMO,AIRTEL,CARDS'!AT6</f>
        <v>1052000</v>
      </c>
      <c r="AV15" s="22">
        <f>'MOMO,AIRTEL,CARDS'!AU6</f>
        <v>886500</v>
      </c>
      <c r="AW15" s="22">
        <f>'MOMO,AIRTEL,CARDS'!AV6</f>
        <v>360000</v>
      </c>
      <c r="AX15" s="22">
        <f>'MOMO,AIRTEL,CARDS'!AW6</f>
        <v>470200</v>
      </c>
      <c r="AY15" s="22">
        <f>'MOMO,AIRTEL,CARDS'!AX6</f>
        <v>520000</v>
      </c>
      <c r="AZ15" s="22">
        <f>'MOMO,AIRTEL,CARDS'!AY6</f>
        <v>426000</v>
      </c>
      <c r="BA15" s="22">
        <f>'MOMO,AIRTEL,CARDS'!AZ6</f>
        <v>260000</v>
      </c>
      <c r="BB15" s="22">
        <f>'MOMO,AIRTEL,CARDS'!BA6</f>
        <v>257000</v>
      </c>
      <c r="BC15" s="22">
        <f>'MOMO,AIRTEL,CARDS'!BB6</f>
        <v>465000</v>
      </c>
      <c r="BD15" s="22">
        <f>'MOMO,AIRTEL,CARDS'!BC6</f>
        <v>522000</v>
      </c>
      <c r="BE15" s="22">
        <f>'MOMO,AIRTEL,CARDS'!BD6</f>
        <v>300900</v>
      </c>
      <c r="BF15" s="22">
        <f>'MOMO,AIRTEL,CARDS'!BE6</f>
        <v>549042</v>
      </c>
      <c r="BG15" s="22">
        <f>'MOMO,AIRTEL,CARDS'!BF6</f>
        <v>425958</v>
      </c>
      <c r="BH15" s="22">
        <f>'MOMO,AIRTEL,CARDS'!BG6</f>
        <v>728000</v>
      </c>
      <c r="BI15" s="22">
        <f>'MOMO,AIRTEL,CARDS'!BH6</f>
        <v>895800</v>
      </c>
      <c r="BJ15" s="22">
        <f>'MOMO,AIRTEL,CARDS'!BI6</f>
        <v>771833</v>
      </c>
      <c r="BK15" s="22">
        <f>'MOMO,AIRTEL,CARDS'!BJ6</f>
        <v>60000</v>
      </c>
      <c r="BL15" s="22">
        <f>'MOMO,AIRTEL,CARDS'!BK6</f>
        <v>726071</v>
      </c>
      <c r="BM15" s="97">
        <f t="shared" si="92"/>
        <v>16651810</v>
      </c>
      <c r="BN15" s="22">
        <f>'MOMO,AIRTEL,CARDS'!BM6</f>
        <v>595500</v>
      </c>
      <c r="BO15" s="22">
        <f>'MOMO,AIRTEL,CARDS'!BN6</f>
        <v>396500</v>
      </c>
      <c r="BP15" s="22">
        <f>'MOMO,AIRTEL,CARDS'!BO6</f>
        <v>702558</v>
      </c>
      <c r="BQ15" s="22">
        <f>'MOMO,AIRTEL,CARDS'!BP6</f>
        <v>310000</v>
      </c>
      <c r="BR15" s="22">
        <f>'MOMO,AIRTEL,CARDS'!BQ6</f>
        <v>695663</v>
      </c>
      <c r="BS15" s="22">
        <f>'MOMO,AIRTEL,CARDS'!BR6</f>
        <v>894000</v>
      </c>
      <c r="BT15" s="22">
        <f>'MOMO,AIRTEL,CARDS'!BS6</f>
        <v>366000</v>
      </c>
      <c r="BU15" s="22">
        <f>'MOMO,AIRTEL,CARDS'!BT6</f>
        <v>740500</v>
      </c>
      <c r="BV15" s="22">
        <f>'MOMO,AIRTEL,CARDS'!BU6</f>
        <v>728950</v>
      </c>
      <c r="BW15" s="22">
        <f>'MOMO,AIRTEL,CARDS'!BV6</f>
        <v>641000</v>
      </c>
      <c r="BX15" s="22">
        <f>'MOMO,AIRTEL,CARDS'!BW6</f>
        <v>600600</v>
      </c>
      <c r="BY15" s="22">
        <f>'MOMO,AIRTEL,CARDS'!BX6</f>
        <v>1840000</v>
      </c>
      <c r="BZ15" s="22">
        <f>'MOMO,AIRTEL,CARDS'!BY6</f>
        <v>1052574</v>
      </c>
      <c r="CA15" s="22">
        <f>'MOMO,AIRTEL,CARDS'!BZ6</f>
        <v>197800</v>
      </c>
      <c r="CB15" s="22">
        <f>'MOMO,AIRTEL,CARDS'!CA6</f>
        <v>668000</v>
      </c>
      <c r="CC15" s="22">
        <f>'MOMO,AIRTEL,CARDS'!CB6</f>
        <v>418000</v>
      </c>
      <c r="CD15" s="22">
        <f>'MOMO,AIRTEL,CARDS'!CC6</f>
        <v>459000</v>
      </c>
      <c r="CE15" s="22">
        <f>'MOMO,AIRTEL,CARDS'!CD6</f>
        <v>434000</v>
      </c>
      <c r="CF15" s="22">
        <f>'MOMO,AIRTEL,CARDS'!CE6</f>
        <v>470565</v>
      </c>
      <c r="CG15" s="22">
        <f>'MOMO,AIRTEL,CARDS'!CF6</f>
        <v>820124</v>
      </c>
      <c r="CH15" s="22">
        <f>'MOMO,AIRTEL,CARDS'!CG6</f>
        <v>422000</v>
      </c>
      <c r="CI15" s="22">
        <f>'MOMO,AIRTEL,CARDS'!CH6</f>
        <v>588000</v>
      </c>
      <c r="CJ15" s="22">
        <f>'MOMO,AIRTEL,CARDS'!CI6</f>
        <v>203500</v>
      </c>
      <c r="CK15" s="22">
        <f>'MOMO,AIRTEL,CARDS'!CJ6</f>
        <v>898400</v>
      </c>
      <c r="CL15" s="22">
        <f>'MOMO,AIRTEL,CARDS'!CK6</f>
        <v>320000</v>
      </c>
      <c r="CM15" s="22">
        <f>'MOMO,AIRTEL,CARDS'!CL6</f>
        <v>871900</v>
      </c>
      <c r="CN15" s="22">
        <f>'MOMO,AIRTEL,CARDS'!CM6</f>
        <v>445000</v>
      </c>
      <c r="CO15" s="22">
        <f>'MOMO,AIRTEL,CARDS'!CN6</f>
        <v>577200</v>
      </c>
      <c r="CP15" s="22">
        <f>'MOMO,AIRTEL,CARDS'!CO6</f>
        <v>522000</v>
      </c>
      <c r="CQ15" s="22">
        <f>'MOMO,AIRTEL,CARDS'!CP6</f>
        <v>527000</v>
      </c>
      <c r="CR15" s="22">
        <f>'MOMO,AIRTEL,CARDS'!CQ6</f>
        <v>540400</v>
      </c>
      <c r="CS15" s="111">
        <f t="shared" si="10"/>
        <v>18946734</v>
      </c>
      <c r="CT15" s="22">
        <f>'MOMO,AIRTEL,CARDS'!CS6</f>
        <v>17500</v>
      </c>
      <c r="CU15" s="22">
        <f>'MOMO,AIRTEL,CARDS'!CT6</f>
        <v>436500</v>
      </c>
      <c r="CV15" s="22">
        <f>'MOMO,AIRTEL,CARDS'!CU6</f>
        <v>130000</v>
      </c>
      <c r="CW15" s="22">
        <f>'MOMO,AIRTEL,CARDS'!CV6</f>
        <v>315000</v>
      </c>
      <c r="CX15" s="22">
        <f>'MOMO,AIRTEL,CARDS'!CW6</f>
        <v>911800</v>
      </c>
      <c r="CY15" s="22">
        <f>'MOMO,AIRTEL,CARDS'!CX6</f>
        <v>588696</v>
      </c>
      <c r="CZ15" s="22">
        <f>'MOMO,AIRTEL,CARDS'!CY6</f>
        <v>160500</v>
      </c>
      <c r="DA15" s="22">
        <f>'MOMO,AIRTEL,CARDS'!CZ6</f>
        <v>224500</v>
      </c>
      <c r="DB15" s="22">
        <f>'MOMO,AIRTEL,CARDS'!DA6</f>
        <v>183000</v>
      </c>
      <c r="DC15" s="22">
        <f>'MOMO,AIRTEL,CARDS'!DB6</f>
        <v>293000</v>
      </c>
      <c r="DD15" s="22">
        <f>'MOMO,AIRTEL,CARDS'!DC6</f>
        <v>235000</v>
      </c>
      <c r="DE15" s="22">
        <f>'MOMO,AIRTEL,CARDS'!DD6</f>
        <v>427000</v>
      </c>
      <c r="DF15" s="22">
        <f>'MOMO,AIRTEL,CARDS'!DE6</f>
        <v>443000</v>
      </c>
      <c r="DG15" s="22">
        <f>'MOMO,AIRTEL,CARDS'!DF6</f>
        <v>1057612</v>
      </c>
      <c r="DH15" s="22">
        <f>'MOMO,AIRTEL,CARDS'!DG6</f>
        <v>120000</v>
      </c>
      <c r="DI15" s="22">
        <f>'MOMO,AIRTEL,CARDS'!DH6</f>
        <v>592800</v>
      </c>
      <c r="DJ15" s="22">
        <f>'MOMO,AIRTEL,CARDS'!DI6</f>
        <v>193000</v>
      </c>
      <c r="DK15" s="22">
        <f>'MOMO,AIRTEL,CARDS'!DJ6</f>
        <v>263000</v>
      </c>
      <c r="DL15" s="22">
        <f>'MOMO,AIRTEL,CARDS'!DK6</f>
        <v>399500</v>
      </c>
      <c r="DM15" s="22">
        <f>'MOMO,AIRTEL,CARDS'!DL6</f>
        <v>669370</v>
      </c>
      <c r="DN15" s="22">
        <f>'MOMO,AIRTEL,CARDS'!DM6</f>
        <v>0</v>
      </c>
      <c r="DO15" s="22">
        <f>'MOMO,AIRTEL,CARDS'!DN6</f>
        <v>180000</v>
      </c>
      <c r="DP15" s="22">
        <f>'MOMO,AIRTEL,CARDS'!DO6</f>
        <v>946000</v>
      </c>
      <c r="DQ15" s="22">
        <f>'MOMO,AIRTEL,CARDS'!DP6</f>
        <v>140000</v>
      </c>
      <c r="DR15" s="22">
        <f>'MOMO,AIRTEL,CARDS'!DQ6</f>
        <v>649500</v>
      </c>
      <c r="DS15" s="22">
        <f>'MOMO,AIRTEL,CARDS'!DR6</f>
        <v>160000</v>
      </c>
      <c r="DT15" s="22">
        <f>'MOMO,AIRTEL,CARDS'!DS6</f>
        <v>30000</v>
      </c>
      <c r="DU15" s="22">
        <f>'MOMO,AIRTEL,CARDS'!DT6</f>
        <v>0</v>
      </c>
      <c r="DV15" s="22">
        <f>'MOMO,AIRTEL,CARDS'!DU6</f>
        <v>100000</v>
      </c>
      <c r="DW15" s="22">
        <f>'MOMO,AIRTEL,CARDS'!DV6</f>
        <v>182000</v>
      </c>
      <c r="DX15" s="119">
        <f t="shared" si="95"/>
        <v>10048278</v>
      </c>
      <c r="DY15" s="22">
        <f>'MOMO,AIRTEL,CARDS'!DX6</f>
        <v>899800</v>
      </c>
      <c r="DZ15" s="22">
        <f>'MOMO,AIRTEL,CARDS'!DY6</f>
        <v>123500</v>
      </c>
      <c r="EA15" s="22">
        <f>'MOMO,AIRTEL,CARDS'!DZ6</f>
        <v>237000</v>
      </c>
      <c r="EB15" s="22">
        <f>'MOMO,AIRTEL,CARDS'!EA6</f>
        <v>571000</v>
      </c>
      <c r="EC15" s="22">
        <f>'MOMO,AIRTEL,CARDS'!EB6</f>
        <v>46000</v>
      </c>
      <c r="ED15" s="22">
        <f>'MOMO,AIRTEL,CARDS'!EC6</f>
        <v>110000</v>
      </c>
      <c r="EE15" s="22">
        <f>'MOMO,AIRTEL,CARDS'!ED6</f>
        <v>9500</v>
      </c>
      <c r="EF15" s="22">
        <f>'MOMO,AIRTEL,CARDS'!EE6</f>
        <v>56000</v>
      </c>
      <c r="EG15" s="22">
        <f>'MOMO,AIRTEL,CARDS'!EF6</f>
        <v>999600</v>
      </c>
      <c r="EH15" s="22">
        <f>'MOMO,AIRTEL,CARDS'!EG6</f>
        <v>510900</v>
      </c>
      <c r="EI15" s="22">
        <f>'MOMO,AIRTEL,CARDS'!EH6</f>
        <v>892013</v>
      </c>
      <c r="EJ15" s="22">
        <f>'MOMO,AIRTEL,CARDS'!EI6</f>
        <v>785000</v>
      </c>
      <c r="EK15" s="22">
        <f>'MOMO,AIRTEL,CARDS'!EJ6</f>
        <v>470000</v>
      </c>
      <c r="EL15" s="22">
        <f>'MOMO,AIRTEL,CARDS'!EK6</f>
        <v>254000</v>
      </c>
      <c r="EM15" s="22">
        <f>'MOMO,AIRTEL,CARDS'!EL6</f>
        <v>1184911</v>
      </c>
      <c r="EN15" s="22">
        <f>'MOMO,AIRTEL,CARDS'!EM6</f>
        <v>430300</v>
      </c>
      <c r="EO15" s="22">
        <f>'MOMO,AIRTEL,CARDS'!EN6</f>
        <v>1065500</v>
      </c>
      <c r="EP15" s="22">
        <f>'MOMO,AIRTEL,CARDS'!EO6</f>
        <v>689000</v>
      </c>
      <c r="EQ15" s="22">
        <f>'MOMO,AIRTEL,CARDS'!EP6</f>
        <v>668849</v>
      </c>
      <c r="ER15" s="22">
        <f>'MOMO,AIRTEL,CARDS'!EQ6</f>
        <v>689800</v>
      </c>
      <c r="ES15" s="22">
        <f>'MOMO,AIRTEL,CARDS'!ER6</f>
        <v>1842300</v>
      </c>
      <c r="ET15" s="22">
        <f>'MOMO,AIRTEL,CARDS'!ES6</f>
        <v>643800</v>
      </c>
      <c r="EU15" s="22">
        <f>'MOMO,AIRTEL,CARDS'!ET6</f>
        <v>311042</v>
      </c>
      <c r="EV15" s="22">
        <f>'MOMO,AIRTEL,CARDS'!EU6</f>
        <v>823000</v>
      </c>
      <c r="EW15" s="22">
        <f>'MOMO,AIRTEL,CARDS'!EV6</f>
        <v>1224751</v>
      </c>
      <c r="EX15" s="22">
        <f>'MOMO,AIRTEL,CARDS'!EW6</f>
        <v>10000</v>
      </c>
      <c r="EY15" s="22">
        <f>'MOMO,AIRTEL,CARDS'!EX6</f>
        <v>190500</v>
      </c>
      <c r="EZ15" s="22">
        <f>'MOMO,AIRTEL,CARDS'!EY6</f>
        <v>1169700</v>
      </c>
      <c r="FA15" s="22">
        <f>'MOMO,AIRTEL,CARDS'!EZ6</f>
        <v>933150</v>
      </c>
      <c r="FB15" s="22">
        <f>'MOMO,AIRTEL,CARDS'!FA6</f>
        <v>451000</v>
      </c>
      <c r="FC15" s="22">
        <f>'MOMO,AIRTEL,CARDS'!FB6</f>
        <v>96000</v>
      </c>
      <c r="FD15" s="128">
        <f t="shared" si="97"/>
        <v>18387916</v>
      </c>
      <c r="FE15" s="22">
        <f>'MOMO,AIRTEL,CARDS'!FD6</f>
        <v>498300</v>
      </c>
      <c r="FF15" s="22">
        <f>'MOMO,AIRTEL,CARDS'!FE6</f>
        <v>444600</v>
      </c>
      <c r="FG15" s="22">
        <f>'MOMO,AIRTEL,CARDS'!FF6</f>
        <v>150000</v>
      </c>
      <c r="FH15" s="22">
        <f>'MOMO,AIRTEL,CARDS'!FG6</f>
        <v>710061</v>
      </c>
      <c r="FI15" s="22">
        <f>'MOMO,AIRTEL,CARDS'!FH6</f>
        <v>130000</v>
      </c>
      <c r="FJ15" s="22">
        <f>'MOMO,AIRTEL,CARDS'!FI6</f>
        <v>233500</v>
      </c>
      <c r="FK15" s="22">
        <f>'MOMO,AIRTEL,CARDS'!FJ6</f>
        <v>247200</v>
      </c>
      <c r="FL15" s="22">
        <f>'MOMO,AIRTEL,CARDS'!FK6</f>
        <v>737988</v>
      </c>
      <c r="FM15" s="22">
        <f>'MOMO,AIRTEL,CARDS'!FL6</f>
        <v>415000</v>
      </c>
      <c r="FN15" s="22">
        <f>'MOMO,AIRTEL,CARDS'!FM6</f>
        <v>110000</v>
      </c>
      <c r="FO15" s="22">
        <f>'MOMO,AIRTEL,CARDS'!FN6</f>
        <v>0</v>
      </c>
      <c r="FP15" s="22">
        <f>'MOMO,AIRTEL,CARDS'!FO6</f>
        <v>535900</v>
      </c>
      <c r="FQ15" s="22">
        <f>'MOMO,AIRTEL,CARDS'!FP6</f>
        <v>849633</v>
      </c>
      <c r="FR15" s="22">
        <f>'MOMO,AIRTEL,CARDS'!FQ6</f>
        <v>313400</v>
      </c>
      <c r="FS15" s="22">
        <f>'MOMO,AIRTEL,CARDS'!FR6</f>
        <v>811443</v>
      </c>
      <c r="FT15" s="22">
        <f>'MOMO,AIRTEL,CARDS'!FS6</f>
        <v>309500</v>
      </c>
      <c r="FU15" s="22">
        <f>'MOMO,AIRTEL,CARDS'!FT6</f>
        <v>752500</v>
      </c>
      <c r="FV15" s="22">
        <f>'MOMO,AIRTEL,CARDS'!FU6</f>
        <v>286500</v>
      </c>
      <c r="FW15" s="22">
        <f>'MOMO,AIRTEL,CARDS'!FV6</f>
        <v>205000</v>
      </c>
      <c r="FX15" s="22">
        <f>'MOMO,AIRTEL,CARDS'!FW6</f>
        <v>416000</v>
      </c>
      <c r="FY15" s="22">
        <f>'MOMO,AIRTEL,CARDS'!FX6</f>
        <v>1159300</v>
      </c>
      <c r="FZ15" s="22">
        <f>'MOMO,AIRTEL,CARDS'!FY6</f>
        <v>1955500</v>
      </c>
      <c r="GA15" s="22">
        <f>'MOMO,AIRTEL,CARDS'!FZ6</f>
        <v>0</v>
      </c>
      <c r="GB15" s="22">
        <f>'MOMO,AIRTEL,CARDS'!GA6</f>
        <v>394372</v>
      </c>
      <c r="GC15" s="22">
        <f>'MOMO,AIRTEL,CARDS'!GB6</f>
        <v>565000</v>
      </c>
      <c r="GD15" s="22">
        <f>'MOMO,AIRTEL,CARDS'!GC6</f>
        <v>716900</v>
      </c>
      <c r="GE15" s="22">
        <f>'MOMO,AIRTEL,CARDS'!GD6</f>
        <v>476500</v>
      </c>
      <c r="GF15" s="22">
        <f>'MOMO,AIRTEL,CARDS'!GE6</f>
        <v>560000</v>
      </c>
      <c r="GG15" s="22">
        <f>'MOMO,AIRTEL,CARDS'!GF6</f>
        <v>516929</v>
      </c>
      <c r="GH15" s="22">
        <f>'MOMO,AIRTEL,CARDS'!GG6</f>
        <v>410000</v>
      </c>
      <c r="GI15" s="22">
        <f>'MOMO,AIRTEL,CARDS'!GH6</f>
        <v>404500</v>
      </c>
      <c r="GJ15" s="127">
        <f t="shared" si="99"/>
        <v>15315526</v>
      </c>
      <c r="GK15" s="22">
        <f>'MOMO,AIRTEL,CARDS'!GJ6</f>
        <v>30000</v>
      </c>
      <c r="GL15" s="22">
        <f>'MOMO,AIRTEL,CARDS'!GK6</f>
        <v>421000</v>
      </c>
      <c r="GM15" s="22">
        <f>'MOMO,AIRTEL,CARDS'!GL6</f>
        <v>674553</v>
      </c>
      <c r="GN15" s="22">
        <f>'MOMO,AIRTEL,CARDS'!GM6</f>
        <v>546964</v>
      </c>
      <c r="GO15" s="22">
        <f>'MOMO,AIRTEL,CARDS'!GN6</f>
        <v>576500</v>
      </c>
      <c r="GP15" s="22">
        <f>'MOMO,AIRTEL,CARDS'!GO6</f>
        <v>1559030</v>
      </c>
      <c r="GQ15" s="22">
        <f>'MOMO,AIRTEL,CARDS'!GP6</f>
        <v>100000</v>
      </c>
      <c r="GR15" s="22">
        <f>'MOMO,AIRTEL,CARDS'!GQ6</f>
        <v>655500</v>
      </c>
      <c r="GS15" s="22">
        <f>'MOMO,AIRTEL,CARDS'!GR6</f>
        <v>229000</v>
      </c>
      <c r="GT15" s="22">
        <f>'MOMO,AIRTEL,CARDS'!GS6</f>
        <v>202000</v>
      </c>
      <c r="GU15" s="22">
        <f>'MOMO,AIRTEL,CARDS'!GT6</f>
        <v>135500</v>
      </c>
      <c r="GV15" s="22">
        <f>'MOMO,AIRTEL,CARDS'!GU6</f>
        <v>687592</v>
      </c>
      <c r="GW15" s="22">
        <f>'MOMO,AIRTEL,CARDS'!GV6</f>
        <v>0</v>
      </c>
      <c r="GX15" s="22">
        <f>'MOMO,AIRTEL,CARDS'!GW6</f>
        <v>80000</v>
      </c>
      <c r="GY15" s="22">
        <f>'MOMO,AIRTEL,CARDS'!GX6</f>
        <v>495000</v>
      </c>
      <c r="GZ15" s="22">
        <f>'MOMO,AIRTEL,CARDS'!GY6</f>
        <v>200000</v>
      </c>
      <c r="HA15" s="22">
        <f>'MOMO,AIRTEL,CARDS'!GZ6</f>
        <v>710000</v>
      </c>
      <c r="HB15" s="22">
        <f>'MOMO,AIRTEL,CARDS'!HA6</f>
        <v>150000</v>
      </c>
      <c r="HC15" s="22">
        <f>'MOMO,AIRTEL,CARDS'!HB6</f>
        <v>173000</v>
      </c>
      <c r="HD15" s="22">
        <f>'MOMO,AIRTEL,CARDS'!HC6</f>
        <v>60000</v>
      </c>
      <c r="HE15" s="22">
        <f>'MOMO,AIRTEL,CARDS'!HD6</f>
        <v>512000</v>
      </c>
      <c r="HF15" s="22">
        <f>'MOMO,AIRTEL,CARDS'!HE6</f>
        <v>0</v>
      </c>
      <c r="HG15" s="22">
        <f>'MOMO,AIRTEL,CARDS'!HF6</f>
        <v>1030000</v>
      </c>
      <c r="HH15" s="22">
        <f>'MOMO,AIRTEL,CARDS'!HG6</f>
        <v>700000</v>
      </c>
      <c r="HI15" s="22">
        <f>'MOMO,AIRTEL,CARDS'!HH6</f>
        <v>482000</v>
      </c>
      <c r="HJ15" s="22">
        <f>'MOMO,AIRTEL,CARDS'!HI6</f>
        <v>405500</v>
      </c>
      <c r="HK15" s="22">
        <f>'MOMO,AIRTEL,CARDS'!HJ6</f>
        <v>345000</v>
      </c>
      <c r="HL15" s="22">
        <f>'MOMO,AIRTEL,CARDS'!HK6</f>
        <v>540500</v>
      </c>
      <c r="HM15" s="22">
        <f>'MOMO,AIRTEL,CARDS'!HL6</f>
        <v>215500</v>
      </c>
      <c r="HN15" s="127">
        <f t="shared" si="101"/>
        <v>11916139</v>
      </c>
      <c r="HO15" s="22">
        <f>'MOMO,AIRTEL,CARDS'!HN6</f>
        <v>595236</v>
      </c>
      <c r="HP15" s="22">
        <f>'MOMO,AIRTEL,CARDS'!HO6</f>
        <v>1229495</v>
      </c>
      <c r="HQ15" s="22">
        <f>'MOMO,AIRTEL,CARDS'!HP6</f>
        <v>241000</v>
      </c>
      <c r="HR15" s="22">
        <f>'MOMO,AIRTEL,CARDS'!HQ6</f>
        <v>935000</v>
      </c>
      <c r="HS15" s="22">
        <f>'MOMO,AIRTEL,CARDS'!HR6</f>
        <v>427500</v>
      </c>
      <c r="HT15" s="22">
        <f>'MOMO,AIRTEL,CARDS'!HS6</f>
        <v>485900</v>
      </c>
      <c r="HU15" s="22">
        <f>'MOMO,AIRTEL,CARDS'!HT6</f>
        <v>508856</v>
      </c>
      <c r="HV15" s="22">
        <f>'MOMO,AIRTEL,CARDS'!HU6</f>
        <v>270000</v>
      </c>
      <c r="HW15" s="22">
        <f>'MOMO,AIRTEL,CARDS'!HV6</f>
        <v>82500</v>
      </c>
      <c r="HX15" s="22">
        <f>'MOMO,AIRTEL,CARDS'!HW6</f>
        <v>150000</v>
      </c>
      <c r="HY15" s="22">
        <f>'MOMO,AIRTEL,CARDS'!HX6</f>
        <v>0</v>
      </c>
      <c r="HZ15" s="22">
        <f>'MOMO,AIRTEL,CARDS'!HY6</f>
        <v>0</v>
      </c>
      <c r="IA15" s="22">
        <f>'MOMO,AIRTEL,CARDS'!HZ6</f>
        <v>0</v>
      </c>
      <c r="IB15" s="22">
        <f>'MOMO,AIRTEL,CARDS'!IA6</f>
        <v>0</v>
      </c>
      <c r="IC15" s="22">
        <f>'MOMO,AIRTEL,CARDS'!IB6</f>
        <v>0</v>
      </c>
      <c r="ID15" s="22">
        <f>'MOMO,AIRTEL,CARDS'!IC6</f>
        <v>0</v>
      </c>
      <c r="IE15" s="22">
        <f>'MOMO,AIRTEL,CARDS'!ID6</f>
        <v>217000</v>
      </c>
      <c r="IF15" s="22">
        <f>'MOMO,AIRTEL,CARDS'!IE6</f>
        <v>181000</v>
      </c>
      <c r="IG15" s="22">
        <f>'MOMO,AIRTEL,CARDS'!IF6</f>
        <v>147400</v>
      </c>
      <c r="IH15" s="22">
        <f>'MOMO,AIRTEL,CARDS'!IG6</f>
        <v>0</v>
      </c>
      <c r="II15" s="22">
        <f>'MOMO,AIRTEL,CARDS'!IH6</f>
        <v>500000</v>
      </c>
      <c r="IJ15" s="22">
        <f>'MOMO,AIRTEL,CARDS'!II6</f>
        <v>180000</v>
      </c>
      <c r="IK15" s="22">
        <f>'MOMO,AIRTEL,CARDS'!IJ6</f>
        <v>1014861</v>
      </c>
      <c r="IL15" s="22">
        <f>'MOMO,AIRTEL,CARDS'!IK6</f>
        <v>39000</v>
      </c>
      <c r="IM15" s="22">
        <f>'MOMO,AIRTEL,CARDS'!IL6</f>
        <v>1102000</v>
      </c>
      <c r="IN15" s="22">
        <f>'MOMO,AIRTEL,CARDS'!IM6</f>
        <v>225500</v>
      </c>
      <c r="IO15" s="22">
        <f>'MOMO,AIRTEL,CARDS'!IN6</f>
        <v>289200</v>
      </c>
      <c r="IP15" s="22">
        <f>'MOMO,AIRTEL,CARDS'!IO6</f>
        <v>50000</v>
      </c>
      <c r="IQ15" s="22">
        <f>'MOMO,AIRTEL,CARDS'!IP6</f>
        <v>0</v>
      </c>
      <c r="IR15" s="22">
        <f>'MOMO,AIRTEL,CARDS'!IQ6</f>
        <v>0</v>
      </c>
      <c r="IS15" s="22">
        <f>'MOMO,AIRTEL,CARDS'!IR6</f>
        <v>0</v>
      </c>
      <c r="IT15" s="127">
        <f t="shared" si="22"/>
        <v>8871448</v>
      </c>
      <c r="IU15" s="22">
        <f>'MOMO,AIRTEL,CARDS'!IT6</f>
        <v>0</v>
      </c>
      <c r="IV15" s="22">
        <f>'MOMO,AIRTEL,CARDS'!IU6</f>
        <v>0</v>
      </c>
      <c r="IW15" s="22">
        <f>'MOMO,AIRTEL,CARDS'!IV6</f>
        <v>0</v>
      </c>
      <c r="IX15" s="22">
        <f>'MOMO,AIRTEL,CARDS'!IW6</f>
        <v>0</v>
      </c>
      <c r="IY15" s="22">
        <f>'MOMO,AIRTEL,CARDS'!IX6</f>
        <v>195200</v>
      </c>
      <c r="IZ15" s="22">
        <f>'MOMO,AIRTEL,CARDS'!IY6</f>
        <v>316100</v>
      </c>
      <c r="JA15" s="22">
        <f>'MOMO,AIRTEL,CARDS'!IZ6</f>
        <v>830000</v>
      </c>
      <c r="JB15" s="22">
        <f>'MOMO,AIRTEL,CARDS'!JA6</f>
        <v>212500</v>
      </c>
      <c r="JC15" s="22">
        <f>'MOMO,AIRTEL,CARDS'!JB6</f>
        <v>131800</v>
      </c>
      <c r="JD15" s="22">
        <f>'MOMO,AIRTEL,CARDS'!JC6</f>
        <v>672710</v>
      </c>
      <c r="JE15" s="22">
        <f>'MOMO,AIRTEL,CARDS'!JD6</f>
        <v>512051</v>
      </c>
      <c r="JF15" s="22">
        <f>'MOMO,AIRTEL,CARDS'!JE6</f>
        <v>0</v>
      </c>
      <c r="JG15" s="22">
        <f>'MOMO,AIRTEL,CARDS'!JF6</f>
        <v>456000</v>
      </c>
      <c r="JH15" s="22">
        <f>'MOMO,AIRTEL,CARDS'!JG6</f>
        <v>270000</v>
      </c>
      <c r="JI15" s="22">
        <f>'MOMO,AIRTEL,CARDS'!JH6</f>
        <v>150000</v>
      </c>
      <c r="JJ15" s="22">
        <f>'MOMO,AIRTEL,CARDS'!JI6</f>
        <v>311000</v>
      </c>
      <c r="JK15" s="22">
        <f>'MOMO,AIRTEL,CARDS'!JJ6</f>
        <v>15400</v>
      </c>
      <c r="JL15" s="22">
        <f>'MOMO,AIRTEL,CARDS'!JK6</f>
        <v>446400</v>
      </c>
      <c r="JM15" s="22">
        <f>'MOMO,AIRTEL,CARDS'!JL6</f>
        <v>30000</v>
      </c>
      <c r="JN15" s="22">
        <f>'MOMO,AIRTEL,CARDS'!JM6</f>
        <v>130000</v>
      </c>
      <c r="JO15" s="22">
        <f>'MOMO,AIRTEL,CARDS'!JN6</f>
        <v>270000</v>
      </c>
      <c r="JP15" s="22">
        <f>'MOMO,AIRTEL,CARDS'!JO6</f>
        <v>425000</v>
      </c>
      <c r="JQ15" s="22">
        <f>'MOMO,AIRTEL,CARDS'!JP6</f>
        <v>230000</v>
      </c>
      <c r="JR15" s="22">
        <f>'MOMO,AIRTEL,CARDS'!JQ6</f>
        <v>250000</v>
      </c>
      <c r="JS15" s="22">
        <f>'MOMO,AIRTEL,CARDS'!JR6</f>
        <v>350000</v>
      </c>
      <c r="JT15" s="22">
        <f>'MOMO,AIRTEL,CARDS'!JS6</f>
        <v>105000</v>
      </c>
      <c r="JU15" s="22">
        <f>'MOMO,AIRTEL,CARDS'!JT6</f>
        <v>1214791</v>
      </c>
      <c r="JV15" s="22">
        <f>'MOMO,AIRTEL,CARDS'!JU6</f>
        <v>1471648</v>
      </c>
      <c r="JW15" s="22">
        <f>'MOMO,AIRTEL,CARDS'!JV6</f>
        <v>622165</v>
      </c>
      <c r="JX15" s="22">
        <f>'MOMO,AIRTEL,CARDS'!JW6</f>
        <v>130000</v>
      </c>
      <c r="JY15" s="127">
        <f t="shared" si="58"/>
        <v>9747765</v>
      </c>
      <c r="JZ15" s="22">
        <f>'MOMO,AIRTEL,CARDS'!JY6</f>
        <v>755000</v>
      </c>
      <c r="KA15" s="22">
        <f>'MOMO,AIRTEL,CARDS'!JZ6</f>
        <v>373000</v>
      </c>
      <c r="KB15" s="22">
        <f>'MOMO,AIRTEL,CARDS'!KA6</f>
        <v>390000</v>
      </c>
      <c r="KC15" s="22">
        <f>'MOMO,AIRTEL,CARDS'!KB6</f>
        <v>870656</v>
      </c>
      <c r="KD15" s="22">
        <f>'MOMO,AIRTEL,CARDS'!KC6</f>
        <v>570000</v>
      </c>
      <c r="KE15" s="22">
        <f>'MOMO,AIRTEL,CARDS'!KD6</f>
        <v>70000</v>
      </c>
      <c r="KF15" s="22">
        <f>'MOMO,AIRTEL,CARDS'!KE6</f>
        <v>485000</v>
      </c>
      <c r="KG15" s="22">
        <f>'MOMO,AIRTEL,CARDS'!KF6</f>
        <v>360000</v>
      </c>
      <c r="KH15" s="22">
        <f>'MOMO,AIRTEL,CARDS'!KG6</f>
        <v>450000</v>
      </c>
      <c r="KI15" s="22">
        <f>'MOMO,AIRTEL,CARDS'!KH6</f>
        <v>799117</v>
      </c>
      <c r="KJ15" s="22">
        <f>'MOMO,AIRTEL,CARDS'!KI6</f>
        <v>930000</v>
      </c>
      <c r="KK15" s="22">
        <f>'MOMO,AIRTEL,CARDS'!KJ6</f>
        <v>600000</v>
      </c>
      <c r="KL15" s="22">
        <f>'MOMO,AIRTEL,CARDS'!KK6</f>
        <v>90000</v>
      </c>
      <c r="KM15" s="22">
        <f>'MOMO,AIRTEL,CARDS'!KL6</f>
        <v>993800</v>
      </c>
      <c r="KN15" s="22">
        <f>'MOMO,AIRTEL,CARDS'!KM6</f>
        <v>0</v>
      </c>
      <c r="KO15" s="22">
        <f>'MOMO,AIRTEL,CARDS'!KN6</f>
        <v>687500</v>
      </c>
      <c r="KP15" s="22">
        <f>'MOMO,AIRTEL,CARDS'!KO6</f>
        <v>389146</v>
      </c>
      <c r="KQ15" s="22">
        <f>'MOMO,AIRTEL,CARDS'!KP6</f>
        <v>1128300</v>
      </c>
      <c r="KR15" s="22">
        <f>'MOMO,AIRTEL,CARDS'!KQ6</f>
        <v>1103556</v>
      </c>
      <c r="KS15" s="22">
        <f>'MOMO,AIRTEL,CARDS'!KR6</f>
        <v>300000</v>
      </c>
      <c r="KT15" s="22">
        <f>'MOMO,AIRTEL,CARDS'!KS6</f>
        <v>966000</v>
      </c>
      <c r="KU15" s="22">
        <f>'MOMO,AIRTEL,CARDS'!KT6</f>
        <v>330000</v>
      </c>
      <c r="KV15" s="22">
        <f>'MOMO,AIRTEL,CARDS'!KU6</f>
        <v>497000</v>
      </c>
      <c r="KW15" s="22">
        <f>'MOMO,AIRTEL,CARDS'!KV6</f>
        <v>220000</v>
      </c>
      <c r="KX15" s="22">
        <f>'MOMO,AIRTEL,CARDS'!KW6</f>
        <v>360000</v>
      </c>
      <c r="KY15" s="22">
        <f>'MOMO,AIRTEL,CARDS'!KX6</f>
        <v>678200</v>
      </c>
      <c r="KZ15" s="22">
        <f>'MOMO,AIRTEL,CARDS'!KY6</f>
        <v>731000</v>
      </c>
      <c r="LA15" s="22">
        <f>'MOMO,AIRTEL,CARDS'!KZ6</f>
        <v>50000</v>
      </c>
      <c r="LB15" s="22">
        <f>'MOMO,AIRTEL,CARDS'!LA6</f>
        <v>399500</v>
      </c>
      <c r="LC15" s="22">
        <f>'MOMO,AIRTEL,CARDS'!LB6</f>
        <v>414000</v>
      </c>
      <c r="LD15" s="22">
        <f>'MOMO,AIRTEL,CARDS'!LC6</f>
        <v>1090000</v>
      </c>
      <c r="LE15" s="127">
        <f t="shared" si="60"/>
        <v>16325775</v>
      </c>
      <c r="LF15" s="22">
        <f>'MOMO,AIRTEL,CARDS'!LE6</f>
        <v>921600</v>
      </c>
      <c r="LG15" s="22">
        <f>'MOMO,AIRTEL,CARDS'!LF6</f>
        <v>365000</v>
      </c>
      <c r="LH15" s="22">
        <f>'MOMO,AIRTEL,CARDS'!LG6</f>
        <v>554000</v>
      </c>
      <c r="LI15" s="22">
        <f>'MOMO,AIRTEL,CARDS'!LH6</f>
        <v>1308465</v>
      </c>
      <c r="LJ15" s="22">
        <f>'MOMO,AIRTEL,CARDS'!LI6</f>
        <v>285000</v>
      </c>
      <c r="LK15" s="22">
        <f>'MOMO,AIRTEL,CARDS'!LJ6</f>
        <v>122000</v>
      </c>
      <c r="LL15" s="22">
        <f>'MOMO,AIRTEL,CARDS'!LK6</f>
        <v>1396128</v>
      </c>
      <c r="LM15" s="22">
        <f>'MOMO,AIRTEL,CARDS'!LL6</f>
        <v>494500</v>
      </c>
      <c r="LN15" s="22">
        <f>'MOMO,AIRTEL,CARDS'!LM6</f>
        <v>451500</v>
      </c>
      <c r="LO15" s="22">
        <f>'MOMO,AIRTEL,CARDS'!LN6</f>
        <v>740000</v>
      </c>
      <c r="LP15" s="22">
        <f>'MOMO,AIRTEL,CARDS'!LO6</f>
        <v>880000</v>
      </c>
      <c r="LQ15" s="22">
        <f>'MOMO,AIRTEL,CARDS'!LP6</f>
        <v>852000</v>
      </c>
      <c r="LR15" s="22">
        <f>'MOMO,AIRTEL,CARDS'!LQ6</f>
        <v>140000</v>
      </c>
      <c r="LS15" s="22">
        <f>'MOMO,AIRTEL,CARDS'!LR6</f>
        <v>248000</v>
      </c>
      <c r="LT15" s="22">
        <f>'MOMO,AIRTEL,CARDS'!LS6</f>
        <v>330000</v>
      </c>
      <c r="LU15" s="22">
        <f>'MOMO,AIRTEL,CARDS'!LT6</f>
        <v>607000</v>
      </c>
      <c r="LV15" s="22">
        <f>'MOMO,AIRTEL,CARDS'!LU6</f>
        <v>500785</v>
      </c>
      <c r="LW15" s="22">
        <f>'MOMO,AIRTEL,CARDS'!LV6</f>
        <v>1053000</v>
      </c>
      <c r="LX15" s="22">
        <f>'MOMO,AIRTEL,CARDS'!LW6</f>
        <v>876000</v>
      </c>
      <c r="LY15" s="22">
        <f>'MOMO,AIRTEL,CARDS'!LX6</f>
        <v>577000</v>
      </c>
      <c r="LZ15" s="22">
        <f>'MOMO,AIRTEL,CARDS'!LY6</f>
        <v>1220000</v>
      </c>
      <c r="MA15" s="22">
        <f>'MOMO,AIRTEL,CARDS'!LZ6</f>
        <v>836000</v>
      </c>
      <c r="MB15" s="22">
        <f>'MOMO,AIRTEL,CARDS'!MA6</f>
        <v>472994</v>
      </c>
      <c r="MC15" s="22">
        <f>'MOMO,AIRTEL,CARDS'!MB6</f>
        <v>570900</v>
      </c>
      <c r="MD15" s="22">
        <f>'MOMO,AIRTEL,CARDS'!MC6</f>
        <v>692700</v>
      </c>
      <c r="ME15" s="22">
        <f>'MOMO,AIRTEL,CARDS'!MD6</f>
        <v>585877</v>
      </c>
      <c r="MF15" s="22">
        <f>'MOMO,AIRTEL,CARDS'!ME6</f>
        <v>154000</v>
      </c>
      <c r="MG15" s="22">
        <f>'MOMO,AIRTEL,CARDS'!MF6</f>
        <v>250000</v>
      </c>
      <c r="MH15" s="22">
        <f>'MOMO,AIRTEL,CARDS'!MG6</f>
        <v>441400</v>
      </c>
      <c r="MI15" s="22">
        <f>'MOMO,AIRTEL,CARDS'!MH6</f>
        <v>360000</v>
      </c>
      <c r="MJ15" s="127">
        <f t="shared" si="62"/>
        <v>18285849</v>
      </c>
      <c r="MK15" s="22">
        <f>'MOMO,AIRTEL,CARDS'!MJ6</f>
        <v>1381874</v>
      </c>
      <c r="ML15" s="22">
        <f>'MOMO,AIRTEL,CARDS'!MK6</f>
        <v>901000</v>
      </c>
      <c r="MM15" s="22">
        <f>'MOMO,AIRTEL,CARDS'!ML6</f>
        <v>355000</v>
      </c>
      <c r="MN15" s="22">
        <f>'MOMO,AIRTEL,CARDS'!MM6</f>
        <v>245000</v>
      </c>
      <c r="MO15" s="22">
        <f>'MOMO,AIRTEL,CARDS'!MN6</f>
        <v>612000</v>
      </c>
      <c r="MP15" s="22">
        <f>'MOMO,AIRTEL,CARDS'!MO6</f>
        <v>630967</v>
      </c>
      <c r="MQ15" s="22">
        <f>'MOMO,AIRTEL,CARDS'!MP6</f>
        <v>875000</v>
      </c>
      <c r="MR15" s="22">
        <f>'MOMO,AIRTEL,CARDS'!MQ6</f>
        <v>218000</v>
      </c>
      <c r="MS15" s="22">
        <f>'MOMO,AIRTEL,CARDS'!MR6</f>
        <v>195000</v>
      </c>
      <c r="MT15" s="22">
        <f>'MOMO,AIRTEL,CARDS'!MS6</f>
        <v>416500</v>
      </c>
      <c r="MU15" s="22">
        <f>'MOMO,AIRTEL,CARDS'!MT6</f>
        <v>660000</v>
      </c>
      <c r="MV15" s="22">
        <f>'MOMO,AIRTEL,CARDS'!MU6</f>
        <v>395000</v>
      </c>
      <c r="MW15" s="22">
        <f>'MOMO,AIRTEL,CARDS'!MV6</f>
        <v>1202153</v>
      </c>
      <c r="MX15" s="22">
        <f>'MOMO,AIRTEL,CARDS'!MW6</f>
        <v>308000</v>
      </c>
      <c r="MY15" s="22">
        <f>'MOMO,AIRTEL,CARDS'!MX6</f>
        <v>245000</v>
      </c>
      <c r="MZ15" s="22">
        <f>'MOMO,AIRTEL,CARDS'!MY6</f>
        <v>428000</v>
      </c>
      <c r="NA15" s="22">
        <f>'MOMO,AIRTEL,CARDS'!MZ6</f>
        <v>310000</v>
      </c>
      <c r="NB15" s="22">
        <f>'MOMO,AIRTEL,CARDS'!NA6</f>
        <v>375000</v>
      </c>
      <c r="NC15" s="22">
        <f>'MOMO,AIRTEL,CARDS'!NB6</f>
        <v>435500</v>
      </c>
      <c r="ND15" s="22">
        <f>'MOMO,AIRTEL,CARDS'!NC6</f>
        <v>220000</v>
      </c>
      <c r="NE15" s="22">
        <f>'MOMO,AIRTEL,CARDS'!ND6</f>
        <v>1334000</v>
      </c>
      <c r="NF15" s="22">
        <f>'MOMO,AIRTEL,CARDS'!NE6</f>
        <v>450000</v>
      </c>
      <c r="NG15" s="22">
        <f>'MOMO,AIRTEL,CARDS'!NF6</f>
        <v>683156</v>
      </c>
      <c r="NH15" s="22">
        <f>'MOMO,AIRTEL,CARDS'!NG6</f>
        <v>200000</v>
      </c>
      <c r="NI15" s="22">
        <f>'MOMO,AIRTEL,CARDS'!NH6</f>
        <v>295032</v>
      </c>
      <c r="NJ15" s="22">
        <f>'MOMO,AIRTEL,CARDS'!NI6</f>
        <v>679152</v>
      </c>
      <c r="NK15" s="22">
        <f>'MOMO,AIRTEL,CARDS'!NJ6</f>
        <v>865604</v>
      </c>
      <c r="NL15" s="22">
        <f>'MOMO,AIRTEL,CARDS'!NK6</f>
        <v>688000</v>
      </c>
      <c r="NM15" s="22">
        <f>'MOMO,AIRTEL,CARDS'!NL6</f>
        <v>711000</v>
      </c>
      <c r="NN15" s="22">
        <f>'MOMO,AIRTEL,CARDS'!NM6</f>
        <v>305000</v>
      </c>
      <c r="NO15" s="22">
        <f>'MOMO,AIRTEL,CARDS'!NN6</f>
        <v>601000</v>
      </c>
      <c r="NP15" s="127">
        <f t="shared" si="64"/>
        <v>15839064</v>
      </c>
      <c r="NQ15" s="22">
        <f>'MOMO,AIRTEL,CARDS'!NP6</f>
        <v>597000</v>
      </c>
      <c r="NR15" s="22">
        <f>'MOMO,AIRTEL,CARDS'!NQ6</f>
        <v>385000</v>
      </c>
      <c r="NS15" s="22">
        <f>'MOMO,AIRTEL,CARDS'!NR6</f>
        <v>872000</v>
      </c>
      <c r="NT15" s="22">
        <f>'MOMO,AIRTEL,CARDS'!NS6</f>
        <v>1037332</v>
      </c>
      <c r="NU15" s="22">
        <f>'MOMO,AIRTEL,CARDS'!NT6</f>
        <v>950000</v>
      </c>
      <c r="NV15" s="22">
        <f>'MOMO,AIRTEL,CARDS'!NU6</f>
        <v>420000</v>
      </c>
      <c r="NW15" s="22">
        <f>'MOMO,AIRTEL,CARDS'!NV6</f>
        <v>107000</v>
      </c>
      <c r="NX15" s="22">
        <f>'MOMO,AIRTEL,CARDS'!NW6</f>
        <v>558000</v>
      </c>
      <c r="NY15" s="22">
        <f>'MOMO,AIRTEL,CARDS'!NX6</f>
        <v>1105956</v>
      </c>
      <c r="NZ15" s="22">
        <f>'MOMO,AIRTEL,CARDS'!NY6</f>
        <v>1068000</v>
      </c>
      <c r="OA15" s="22">
        <f>'MOMO,AIRTEL,CARDS'!NZ6</f>
        <v>566616</v>
      </c>
      <c r="OB15" s="22">
        <f>'MOMO,AIRTEL,CARDS'!OA6</f>
        <v>1150000</v>
      </c>
      <c r="OC15" s="22">
        <f>'MOMO,AIRTEL,CARDS'!OB6</f>
        <v>33500</v>
      </c>
      <c r="OD15" s="22">
        <f>'MOMO,AIRTEL,CARDS'!OC6</f>
        <v>70000</v>
      </c>
      <c r="OE15" s="22">
        <f>'MOMO,AIRTEL,CARDS'!OD6</f>
        <v>165500</v>
      </c>
      <c r="OF15" s="22">
        <f>'MOMO,AIRTEL,CARDS'!OE6</f>
        <v>444400</v>
      </c>
      <c r="OG15" s="22">
        <f>'MOMO,AIRTEL,CARDS'!OF6</f>
        <v>1043024</v>
      </c>
      <c r="OH15" s="22">
        <f>'MOMO,AIRTEL,CARDS'!OG6</f>
        <v>196000</v>
      </c>
      <c r="OI15" s="22">
        <f>'MOMO,AIRTEL,CARDS'!OH6</f>
        <v>340000</v>
      </c>
      <c r="OJ15" s="22">
        <f>'MOMO,AIRTEL,CARDS'!OI6</f>
        <v>100000</v>
      </c>
      <c r="OK15" s="22">
        <f>'MOMO,AIRTEL,CARDS'!OJ6</f>
        <v>439823</v>
      </c>
      <c r="OL15" s="22">
        <f>'MOMO,AIRTEL,CARDS'!OK6</f>
        <v>440000</v>
      </c>
      <c r="OM15" s="22">
        <f>'MOMO,AIRTEL,CARDS'!OL6</f>
        <v>342000</v>
      </c>
      <c r="ON15" s="22">
        <f>'MOMO,AIRTEL,CARDS'!OM6</f>
        <v>319000</v>
      </c>
      <c r="OO15" s="22">
        <f>'MOMO,AIRTEL,CARDS'!ON6</f>
        <v>105000</v>
      </c>
      <c r="OP15" s="22">
        <f>'MOMO,AIRTEL,CARDS'!OO6</f>
        <v>575000</v>
      </c>
      <c r="OQ15" s="22">
        <f>'MOMO,AIRTEL,CARDS'!OP6</f>
        <v>240000</v>
      </c>
      <c r="OR15" s="22">
        <f>'MOMO,AIRTEL,CARDS'!OQ6</f>
        <v>71900</v>
      </c>
      <c r="OS15" s="22">
        <f>'MOMO,AIRTEL,CARDS'!OR6</f>
        <v>625000</v>
      </c>
      <c r="OT15" s="22">
        <f>'MOMO,AIRTEL,CARDS'!OS6</f>
        <v>593800</v>
      </c>
      <c r="OU15" s="22">
        <f>'MOMO,AIRTEL,CARDS'!OT6</f>
        <v>776277</v>
      </c>
      <c r="OV15" s="127">
        <f t="shared" si="66"/>
        <v>15140128</v>
      </c>
      <c r="OW15" s="22">
        <f>'MOMO,AIRTEL,CARDS'!OV6</f>
        <v>648791</v>
      </c>
      <c r="OX15" s="22">
        <f>'MOMO,AIRTEL,CARDS'!OW6</f>
        <v>570700</v>
      </c>
      <c r="OY15" s="22">
        <f>'MOMO,AIRTEL,CARDS'!OX6</f>
        <v>533500</v>
      </c>
      <c r="OZ15" s="22">
        <f>'MOMO,AIRTEL,CARDS'!OY6</f>
        <v>520000</v>
      </c>
      <c r="PA15" s="22">
        <f>'MOMO,AIRTEL,CARDS'!OZ6</f>
        <v>515000</v>
      </c>
      <c r="PB15" s="22">
        <f>'MOMO,AIRTEL,CARDS'!PA6</f>
        <v>1129576</v>
      </c>
      <c r="PC15" s="22">
        <f>'MOMO,AIRTEL,CARDS'!PB6</f>
        <v>170000</v>
      </c>
      <c r="PD15" s="22">
        <f>'MOMO,AIRTEL,CARDS'!PC6</f>
        <v>206000</v>
      </c>
      <c r="PE15" s="22">
        <f>'MOMO,AIRTEL,CARDS'!PD6</f>
        <v>750000</v>
      </c>
      <c r="PF15" s="22">
        <f>'MOMO,AIRTEL,CARDS'!PE6</f>
        <v>215000</v>
      </c>
      <c r="PG15" s="22">
        <f>'MOMO,AIRTEL,CARDS'!PF6</f>
        <v>252415</v>
      </c>
      <c r="PH15" s="22">
        <f>'MOMO,AIRTEL,CARDS'!PG6</f>
        <v>206900</v>
      </c>
      <c r="PI15" s="22">
        <f>'MOMO,AIRTEL,CARDS'!PH6</f>
        <v>497500</v>
      </c>
      <c r="PJ15" s="22">
        <f>'MOMO,AIRTEL,CARDS'!PI6</f>
        <v>125000</v>
      </c>
      <c r="PK15" s="22">
        <f>'MOMO,AIRTEL,CARDS'!PJ6</f>
        <v>463000</v>
      </c>
      <c r="PL15" s="22">
        <f>'MOMO,AIRTEL,CARDS'!PK6</f>
        <v>132000</v>
      </c>
      <c r="PM15" s="22">
        <f>'MOMO,AIRTEL,CARDS'!PL6</f>
        <v>831000</v>
      </c>
      <c r="PN15" s="22">
        <f>'MOMO,AIRTEL,CARDS'!PM6</f>
        <v>473162</v>
      </c>
      <c r="PO15" s="22">
        <f>'MOMO,AIRTEL,CARDS'!PN6</f>
        <v>57000</v>
      </c>
      <c r="PP15" s="22">
        <f>'MOMO,AIRTEL,CARDS'!PO6</f>
        <v>331500</v>
      </c>
      <c r="PQ15" s="22">
        <f>'MOMO,AIRTEL,CARDS'!PP6</f>
        <v>320000</v>
      </c>
      <c r="PR15" s="22">
        <f>'MOMO,AIRTEL,CARDS'!PQ6</f>
        <v>281750</v>
      </c>
      <c r="PS15" s="22">
        <f>'MOMO,AIRTEL,CARDS'!PR6</f>
        <v>389000</v>
      </c>
      <c r="PT15" s="22">
        <f>'MOMO,AIRTEL,CARDS'!PS6</f>
        <v>476900</v>
      </c>
      <c r="PU15" s="22">
        <f>'MOMO,AIRTEL,CARDS'!PT6</f>
        <v>50000</v>
      </c>
      <c r="PV15" s="22">
        <f>'MOMO,AIRTEL,CARDS'!PU6</f>
        <v>275000</v>
      </c>
      <c r="PW15" s="22">
        <f>'MOMO,AIRTEL,CARDS'!PV6</f>
        <v>385900</v>
      </c>
      <c r="PX15" s="22">
        <f>'MOMO,AIRTEL,CARDS'!PW6</f>
        <v>714596</v>
      </c>
      <c r="PY15" s="22">
        <f>'MOMO,AIRTEL,CARDS'!PX6</f>
        <v>738800</v>
      </c>
      <c r="PZ15" s="22">
        <f>'MOMO,AIRTEL,CARDS'!PY6</f>
        <v>399000</v>
      </c>
      <c r="QA15" s="127">
        <f t="shared" si="68"/>
        <v>12658990</v>
      </c>
      <c r="QB15" s="22">
        <f>'MOMO,AIRTEL,CARDS'!QA6</f>
        <v>240000</v>
      </c>
      <c r="QC15" s="22">
        <f>'MOMO,AIRTEL,CARDS'!QB6</f>
        <v>450000</v>
      </c>
      <c r="QD15" s="22">
        <f>'MOMO,AIRTEL,CARDS'!QC6</f>
        <v>350000</v>
      </c>
      <c r="QE15" s="22">
        <f>'MOMO,AIRTEL,CARDS'!QD6</f>
        <v>562950</v>
      </c>
      <c r="QF15" s="22">
        <f>'MOMO,AIRTEL,CARDS'!QE6</f>
        <v>335000</v>
      </c>
      <c r="QG15" s="22">
        <f>'MOMO,AIRTEL,CARDS'!QF6</f>
        <v>235000</v>
      </c>
      <c r="QH15" s="22">
        <f>'MOMO,AIRTEL,CARDS'!QG6</f>
        <v>760000</v>
      </c>
      <c r="QI15" s="22">
        <f>'MOMO,AIRTEL,CARDS'!QH6</f>
        <v>488000</v>
      </c>
      <c r="QJ15" s="22">
        <f>'MOMO,AIRTEL,CARDS'!QI6</f>
        <v>200000</v>
      </c>
      <c r="QK15" s="22">
        <f>'MOMO,AIRTEL,CARDS'!QJ6</f>
        <v>300000</v>
      </c>
      <c r="QL15" s="22">
        <f>'MOMO,AIRTEL,CARDS'!QK6</f>
        <v>674909</v>
      </c>
      <c r="QM15" s="22">
        <f>'MOMO,AIRTEL,CARDS'!QL6</f>
        <v>282000</v>
      </c>
      <c r="QN15" s="22">
        <f>'MOMO,AIRTEL,CARDS'!QM6</f>
        <v>465700</v>
      </c>
      <c r="QO15" s="22">
        <f>'MOMO,AIRTEL,CARDS'!QN6</f>
        <v>470000</v>
      </c>
      <c r="QP15" s="22">
        <f>'MOMO,AIRTEL,CARDS'!QO6</f>
        <v>325000</v>
      </c>
      <c r="QQ15" s="22">
        <f>'MOMO,AIRTEL,CARDS'!QP6</f>
        <v>330000</v>
      </c>
      <c r="QR15" s="22">
        <f>'MOMO,AIRTEL,CARDS'!QQ6</f>
        <v>271000</v>
      </c>
      <c r="QS15" s="22">
        <f>'MOMO,AIRTEL,CARDS'!QR6</f>
        <v>637550</v>
      </c>
      <c r="QT15" s="22">
        <f>'MOMO,AIRTEL,CARDS'!QS6</f>
        <v>343900</v>
      </c>
      <c r="QU15" s="22">
        <f>'MOMO,AIRTEL,CARDS'!QT6</f>
        <v>484000</v>
      </c>
      <c r="QV15" s="22">
        <f>'MOMO,AIRTEL,CARDS'!QU6</f>
        <v>356000</v>
      </c>
      <c r="QW15" s="22">
        <f>'MOMO,AIRTEL,CARDS'!QV6</f>
        <v>314000</v>
      </c>
      <c r="QX15" s="22">
        <f>'MOMO,AIRTEL,CARDS'!QW6</f>
        <v>430000</v>
      </c>
      <c r="QY15" s="22">
        <f>'MOMO,AIRTEL,CARDS'!QX6</f>
        <v>610000</v>
      </c>
      <c r="QZ15" s="22">
        <f>'MOMO,AIRTEL,CARDS'!QY6</f>
        <v>400000</v>
      </c>
      <c r="RA15" s="22">
        <f>'MOMO,AIRTEL,CARDS'!QZ6</f>
        <v>410000</v>
      </c>
      <c r="RB15" s="22">
        <f>'MOMO,AIRTEL,CARDS'!RA6</f>
        <v>266000</v>
      </c>
      <c r="RC15" s="22">
        <f>'MOMO,AIRTEL,CARDS'!RB6</f>
        <v>480000</v>
      </c>
      <c r="RD15" s="22">
        <f>'MOMO,AIRTEL,CARDS'!RC6</f>
        <v>799500</v>
      </c>
      <c r="RE15" s="22">
        <f>'MOMO,AIRTEL,CARDS'!RD6</f>
        <v>170000</v>
      </c>
      <c r="RF15" s="22">
        <f>'MOMO,AIRTEL,CARDS'!RE6</f>
        <v>220000</v>
      </c>
      <c r="RG15" s="127">
        <f t="shared" si="147"/>
        <v>12420509</v>
      </c>
      <c r="RH15" s="22">
        <f>'MOMO,AIRTEL,CARDS'!RG6</f>
        <v>824890</v>
      </c>
      <c r="RI15" s="22">
        <f>'MOMO,AIRTEL,CARDS'!RH6</f>
        <v>70000</v>
      </c>
      <c r="RJ15" s="22">
        <f>'MOMO,AIRTEL,CARDS'!RI6</f>
        <v>45000</v>
      </c>
      <c r="RK15" s="22">
        <f>'MOMO,AIRTEL,CARDS'!RJ6</f>
        <v>665000</v>
      </c>
      <c r="RL15" s="22">
        <f>'MOMO,AIRTEL,CARDS'!RK6</f>
        <v>0</v>
      </c>
      <c r="RM15" s="22">
        <f>'MOMO,AIRTEL,CARDS'!RL6</f>
        <v>235000</v>
      </c>
      <c r="RN15" s="22">
        <f>'MOMO,AIRTEL,CARDS'!RM6</f>
        <v>126000</v>
      </c>
      <c r="RO15" s="22">
        <f>'MOMO,AIRTEL,CARDS'!RN6</f>
        <v>207000</v>
      </c>
      <c r="RP15" s="22">
        <f>'MOMO,AIRTEL,CARDS'!RO6</f>
        <v>25000</v>
      </c>
      <c r="RQ15" s="22">
        <f>'MOMO,AIRTEL,CARDS'!RP6</f>
        <v>276000</v>
      </c>
      <c r="RR15" s="22">
        <f>'MOMO,AIRTEL,CARDS'!RQ6</f>
        <v>638711</v>
      </c>
      <c r="RS15" s="22">
        <f>'MOMO,AIRTEL,CARDS'!RR6</f>
        <v>150000</v>
      </c>
      <c r="RT15" s="22">
        <f>'MOMO,AIRTEL,CARDS'!RS6</f>
        <v>1243466</v>
      </c>
      <c r="RU15" s="22">
        <f>'MOMO,AIRTEL,CARDS'!RT6</f>
        <v>200000</v>
      </c>
      <c r="RV15" s="22">
        <f>'MOMO,AIRTEL,CARDS'!RU6</f>
        <v>380000</v>
      </c>
      <c r="RW15" s="22">
        <f>'MOMO,AIRTEL,CARDS'!RV6</f>
        <v>310000</v>
      </c>
      <c r="RX15" s="22">
        <f>'MOMO,AIRTEL,CARDS'!RW6</f>
        <v>625742</v>
      </c>
      <c r="RY15" s="22">
        <f>'MOMO,AIRTEL,CARDS'!RX6</f>
        <v>881400</v>
      </c>
      <c r="RZ15" s="22">
        <f>'MOMO,AIRTEL,CARDS'!RY6</f>
        <v>1161000</v>
      </c>
      <c r="SA15" s="22">
        <f>'MOMO,AIRTEL,CARDS'!RZ6</f>
        <v>200000</v>
      </c>
      <c r="SB15" s="22">
        <f>'MOMO,AIRTEL,CARDS'!SA6</f>
        <v>55000</v>
      </c>
      <c r="SC15" s="22">
        <f>'MOMO,AIRTEL,CARDS'!SB6</f>
        <v>758802</v>
      </c>
      <c r="SD15" s="22">
        <f>'MOMO,AIRTEL,CARDS'!SC6</f>
        <v>79500</v>
      </c>
      <c r="SE15" s="22">
        <f>'MOMO,AIRTEL,CARDS'!SD6</f>
        <v>176000</v>
      </c>
      <c r="SF15" s="22">
        <f>'MOMO,AIRTEL,CARDS'!SE6</f>
        <v>767000</v>
      </c>
      <c r="SG15" s="22">
        <f>'MOMO,AIRTEL,CARDS'!SF6</f>
        <v>424500</v>
      </c>
      <c r="SH15" s="22">
        <f>'MOMO,AIRTEL,CARDS'!SG6</f>
        <v>275500</v>
      </c>
      <c r="SI15" s="22">
        <f>'MOMO,AIRTEL,CARDS'!SH6</f>
        <v>313000</v>
      </c>
      <c r="SJ15" s="22">
        <f>'MOMO,AIRTEL,CARDS'!SI6</f>
        <v>360000</v>
      </c>
      <c r="SK15" s="22">
        <f>'MOMO,AIRTEL,CARDS'!SJ6</f>
        <v>552496</v>
      </c>
      <c r="SL15" s="127">
        <f t="shared" si="149"/>
        <v>12026007</v>
      </c>
      <c r="SM15" s="22">
        <f>'MOMO,AIRTEL,CARDS'!SL6</f>
        <v>320000</v>
      </c>
      <c r="SN15" s="22">
        <f>'MOMO,AIRTEL,CARDS'!SM6</f>
        <v>510000</v>
      </c>
      <c r="SO15" s="22">
        <f>'MOMO,AIRTEL,CARDS'!SN6</f>
        <v>230000</v>
      </c>
      <c r="SP15" s="22">
        <f>'MOMO,AIRTEL,CARDS'!SO6</f>
        <v>325000</v>
      </c>
      <c r="SQ15" s="22">
        <f>'MOMO,AIRTEL,CARDS'!SP6</f>
        <v>120000</v>
      </c>
      <c r="SR15" s="22">
        <f>'MOMO,AIRTEL,CARDS'!SQ6</f>
        <v>385000</v>
      </c>
      <c r="SS15" s="22">
        <f>'MOMO,AIRTEL,CARDS'!SR6</f>
        <v>80000</v>
      </c>
      <c r="ST15" s="22">
        <f>'MOMO,AIRTEL,CARDS'!SS6</f>
        <v>210000</v>
      </c>
      <c r="SU15" s="22">
        <f>'MOMO,AIRTEL,CARDS'!ST6</f>
        <v>697150</v>
      </c>
      <c r="SV15" s="22">
        <f>'MOMO,AIRTEL,CARDS'!SU6</f>
        <v>270000</v>
      </c>
      <c r="SW15" s="22">
        <f>'MOMO,AIRTEL,CARDS'!SV6</f>
        <v>1065000</v>
      </c>
      <c r="SX15" s="22">
        <f>'MOMO,AIRTEL,CARDS'!SW6</f>
        <v>315000</v>
      </c>
      <c r="SY15" s="22">
        <f>'MOMO,AIRTEL,CARDS'!SX6</f>
        <v>723000</v>
      </c>
      <c r="SZ15" s="22">
        <f>'MOMO,AIRTEL,CARDS'!SY6</f>
        <v>219000</v>
      </c>
      <c r="TA15" s="22">
        <f>'MOMO,AIRTEL,CARDS'!SZ6</f>
        <v>110000</v>
      </c>
      <c r="TB15" s="22">
        <f>'MOMO,AIRTEL,CARDS'!TA6</f>
        <v>172000</v>
      </c>
      <c r="TC15" s="22">
        <f>'MOMO,AIRTEL,CARDS'!TB6</f>
        <v>148000</v>
      </c>
      <c r="TD15" s="22">
        <f>'MOMO,AIRTEL,CARDS'!TC6</f>
        <v>289000</v>
      </c>
      <c r="TE15" s="22">
        <f>'MOMO,AIRTEL,CARDS'!TD6</f>
        <v>546663</v>
      </c>
      <c r="TF15" s="22">
        <f>'MOMO,AIRTEL,CARDS'!TE6</f>
        <v>270000</v>
      </c>
      <c r="TG15" s="22">
        <f>'MOMO,AIRTEL,CARDS'!TF6</f>
        <v>450000</v>
      </c>
      <c r="TH15" s="22">
        <f>'MOMO,AIRTEL,CARDS'!TG6</f>
        <v>285000</v>
      </c>
      <c r="TI15" s="22">
        <f>'MOMO,AIRTEL,CARDS'!TH6</f>
        <v>320000</v>
      </c>
      <c r="TJ15" s="22">
        <f>'MOMO,AIRTEL,CARDS'!TI6</f>
        <v>194500</v>
      </c>
      <c r="TK15" s="22">
        <f>'MOMO,AIRTEL,CARDS'!TJ6</f>
        <v>612000</v>
      </c>
      <c r="TL15" s="22">
        <f>'MOMO,AIRTEL,CARDS'!TK6</f>
        <v>330000</v>
      </c>
      <c r="TM15" s="22">
        <f>'MOMO,AIRTEL,CARDS'!TL6</f>
        <v>961400</v>
      </c>
      <c r="TN15" s="22">
        <f>'MOMO,AIRTEL,CARDS'!TM6</f>
        <v>932500</v>
      </c>
      <c r="TO15" s="22">
        <f>'MOMO,AIRTEL,CARDS'!TN6</f>
        <v>253000</v>
      </c>
      <c r="TP15" s="22">
        <f>'MOMO,AIRTEL,CARDS'!TO6</f>
        <v>461500</v>
      </c>
      <c r="TQ15" s="22">
        <f>'MOMO,AIRTEL,CARDS'!TP6</f>
        <v>280000</v>
      </c>
      <c r="TR15" s="127">
        <f t="shared" si="151"/>
        <v>11764713</v>
      </c>
      <c r="TS15" s="22">
        <f>'MOMO,AIRTEL,CARDS'!TR6</f>
        <v>1005085</v>
      </c>
      <c r="TT15" s="22">
        <f>'MOMO,AIRTEL,CARDS'!TS6</f>
        <v>191000</v>
      </c>
      <c r="TU15" s="22">
        <f>'MOMO,AIRTEL,CARDS'!TT6</f>
        <v>45500</v>
      </c>
      <c r="TV15" s="22">
        <f>'MOMO,AIRTEL,CARDS'!TU6</f>
        <v>450000</v>
      </c>
      <c r="TW15" s="22">
        <f>'MOMO,AIRTEL,CARDS'!TV6</f>
        <v>324500</v>
      </c>
      <c r="TX15" s="22">
        <f>'MOMO,AIRTEL,CARDS'!TW6</f>
        <v>190000</v>
      </c>
      <c r="TY15" s="22">
        <f>'MOMO,AIRTEL,CARDS'!TX6</f>
        <v>574371</v>
      </c>
      <c r="TZ15" s="22">
        <f>'MOMO,AIRTEL,CARDS'!TY6</f>
        <v>670978</v>
      </c>
      <c r="UA15" s="22">
        <f>'MOMO,AIRTEL,CARDS'!TZ6</f>
        <v>330000</v>
      </c>
      <c r="UB15" s="22">
        <f>'MOMO,AIRTEL,CARDS'!UA6</f>
        <v>400000</v>
      </c>
      <c r="UC15" s="22">
        <f>'MOMO,AIRTEL,CARDS'!UB6</f>
        <v>448900</v>
      </c>
      <c r="UD15" s="22">
        <f>'MOMO,AIRTEL,CARDS'!UC6</f>
        <v>170000</v>
      </c>
      <c r="UE15" s="22">
        <f>'MOMO,AIRTEL,CARDS'!UD6</f>
        <v>120000</v>
      </c>
      <c r="UF15" s="22">
        <f>'MOMO,AIRTEL,CARDS'!UE6</f>
        <v>486011</v>
      </c>
      <c r="UG15" s="22">
        <f>'MOMO,AIRTEL,CARDS'!UF6</f>
        <v>250000</v>
      </c>
      <c r="UH15" s="22">
        <f>'MOMO,AIRTEL,CARDS'!UG6</f>
        <v>448864</v>
      </c>
      <c r="UI15" s="22">
        <f>'MOMO,AIRTEL,CARDS'!UH6</f>
        <v>625000</v>
      </c>
      <c r="UJ15" s="22">
        <f>'MOMO,AIRTEL,CARDS'!UI6</f>
        <v>743314</v>
      </c>
      <c r="UK15" s="22">
        <f>'MOMO,AIRTEL,CARDS'!UJ6</f>
        <v>350000</v>
      </c>
      <c r="UL15" s="22">
        <f>'MOMO,AIRTEL,CARDS'!UK6</f>
        <v>725000</v>
      </c>
      <c r="UM15" s="22">
        <f>'MOMO,AIRTEL,CARDS'!UL6</f>
        <v>315524</v>
      </c>
      <c r="UN15" s="22">
        <f>'MOMO,AIRTEL,CARDS'!UM6</f>
        <v>700000</v>
      </c>
      <c r="UO15" s="22">
        <f>'MOMO,AIRTEL,CARDS'!UN6</f>
        <v>550000</v>
      </c>
      <c r="UP15" s="22">
        <f>'MOMO,AIRTEL,CARDS'!UO6</f>
        <v>611000</v>
      </c>
      <c r="UQ15" s="22">
        <f>'MOMO,AIRTEL,CARDS'!UP6</f>
        <v>525000</v>
      </c>
      <c r="UR15" s="22">
        <f>'MOMO,AIRTEL,CARDS'!UQ6</f>
        <v>1040000</v>
      </c>
      <c r="US15" s="22">
        <f>'MOMO,AIRTEL,CARDS'!UR6</f>
        <v>380000</v>
      </c>
      <c r="UT15" s="22">
        <f>'MOMO,AIRTEL,CARDS'!US6</f>
        <v>187000</v>
      </c>
      <c r="UU15" s="22">
        <f>'MOMO,AIRTEL,CARDS'!UT6</f>
        <v>112000</v>
      </c>
      <c r="UV15" s="22">
        <f>'MOMO,AIRTEL,CARDS'!UU6</f>
        <v>120000</v>
      </c>
      <c r="UW15" s="22">
        <f>'MOMO,AIRTEL,CARDS'!UV6</f>
        <v>410000</v>
      </c>
      <c r="UX15" s="127">
        <f t="shared" si="153"/>
        <v>12493962</v>
      </c>
      <c r="UY15" s="22">
        <f>'MOMO,AIRTEL,CARDS'!UX6</f>
        <v>228000</v>
      </c>
      <c r="UZ15" s="22">
        <f>'MOMO,AIRTEL,CARDS'!UY6</f>
        <v>520000</v>
      </c>
      <c r="VA15" s="22">
        <f>'MOMO,AIRTEL,CARDS'!UZ6</f>
        <v>310000</v>
      </c>
      <c r="VB15" s="22">
        <f>'MOMO,AIRTEL,CARDS'!VA6</f>
        <v>167000</v>
      </c>
      <c r="VC15" s="22">
        <f>'MOMO,AIRTEL,CARDS'!VB6</f>
        <v>263766</v>
      </c>
      <c r="VD15" s="22">
        <f>'MOMO,AIRTEL,CARDS'!VC6</f>
        <v>603000</v>
      </c>
      <c r="VE15" s="22">
        <f>'MOMO,AIRTEL,CARDS'!VD6</f>
        <v>470000</v>
      </c>
      <c r="VF15" s="22">
        <f>'MOMO,AIRTEL,CARDS'!VE6</f>
        <v>390500</v>
      </c>
      <c r="VG15" s="22">
        <f>'MOMO,AIRTEL,CARDS'!VF6</f>
        <v>288500</v>
      </c>
      <c r="VH15" s="22">
        <f>'MOMO,AIRTEL,CARDS'!VG6</f>
        <v>211000</v>
      </c>
      <c r="VI15" s="22">
        <f>'MOMO,AIRTEL,CARDS'!VH6</f>
        <v>858500</v>
      </c>
      <c r="VJ15" s="22">
        <f>'MOMO,AIRTEL,CARDS'!VI6</f>
        <v>430000</v>
      </c>
      <c r="VK15" s="22">
        <f>'MOMO,AIRTEL,CARDS'!VJ6</f>
        <v>9500</v>
      </c>
      <c r="VL15" s="22">
        <f>'MOMO,AIRTEL,CARDS'!VK6</f>
        <v>433500</v>
      </c>
      <c r="VM15" s="22">
        <f>'MOMO,AIRTEL,CARDS'!VL6</f>
        <v>195000</v>
      </c>
      <c r="VN15" s="22">
        <f>'MOMO,AIRTEL,CARDS'!VM6</f>
        <v>177000</v>
      </c>
      <c r="VO15" s="22">
        <f>'MOMO,AIRTEL,CARDS'!VN6</f>
        <v>779200</v>
      </c>
      <c r="VP15" s="22">
        <f>'MOMO,AIRTEL,CARDS'!VO6</f>
        <v>301500</v>
      </c>
      <c r="VQ15" s="22">
        <f>'MOMO,AIRTEL,CARDS'!VP6</f>
        <v>120000</v>
      </c>
      <c r="VR15" s="22">
        <f>'MOMO,AIRTEL,CARDS'!VQ6</f>
        <v>20000</v>
      </c>
      <c r="VS15" s="22">
        <f>'MOMO,AIRTEL,CARDS'!VR6</f>
        <v>378500</v>
      </c>
      <c r="VT15" s="22">
        <f>'MOMO,AIRTEL,CARDS'!VS6</f>
        <v>175300</v>
      </c>
      <c r="VU15" s="22">
        <f>'MOMO,AIRTEL,CARDS'!VT6</f>
        <v>245000</v>
      </c>
      <c r="VV15" s="22">
        <f>'MOMO,AIRTEL,CARDS'!VU6</f>
        <v>221000</v>
      </c>
      <c r="VW15" s="22">
        <f>'MOMO,AIRTEL,CARDS'!VV6</f>
        <v>159101</v>
      </c>
      <c r="VX15" s="22">
        <f>'MOMO,AIRTEL,CARDS'!VW6</f>
        <v>338500</v>
      </c>
      <c r="VY15" s="22">
        <f>'MOMO,AIRTEL,CARDS'!VX6</f>
        <v>354000</v>
      </c>
      <c r="VZ15" s="22">
        <f>'MOMO,AIRTEL,CARDS'!VY6</f>
        <v>354000</v>
      </c>
      <c r="WA15" s="127">
        <f>SUM(UY15:VZ15)</f>
        <v>9001367</v>
      </c>
      <c r="WB15" s="22">
        <f>'MOMO,AIRTEL,CARDS'!WA6</f>
        <v>143000</v>
      </c>
      <c r="WC15" s="22">
        <f>'MOMO,AIRTEL,CARDS'!WB6</f>
        <v>563955</v>
      </c>
      <c r="WD15" s="22">
        <f>'MOMO,AIRTEL,CARDS'!WC6</f>
        <v>300000</v>
      </c>
      <c r="WE15" s="22">
        <f>'MOMO,AIRTEL,CARDS'!WD6</f>
        <v>1452456</v>
      </c>
      <c r="WF15" s="22">
        <f>'MOMO,AIRTEL,CARDS'!WE6</f>
        <v>173000</v>
      </c>
      <c r="WG15" s="22">
        <f>'MOMO,AIRTEL,CARDS'!WF6</f>
        <v>214000</v>
      </c>
      <c r="WH15" s="22">
        <f>'MOMO,AIRTEL,CARDS'!WG6</f>
        <v>561000</v>
      </c>
      <c r="WI15" s="22">
        <f>'MOMO,AIRTEL,CARDS'!WH6</f>
        <v>400000</v>
      </c>
      <c r="WJ15" s="22">
        <f>'MOMO,AIRTEL,CARDS'!WI6</f>
        <v>384000</v>
      </c>
      <c r="WK15" s="22">
        <f>'MOMO,AIRTEL,CARDS'!WJ6</f>
        <v>260000</v>
      </c>
      <c r="WL15" s="22">
        <f>'MOMO,AIRTEL,CARDS'!WK6</f>
        <v>150000</v>
      </c>
      <c r="WM15" s="22">
        <f>'MOMO,AIRTEL,CARDS'!WL6</f>
        <v>526000</v>
      </c>
      <c r="WN15" s="22">
        <f>'MOMO,AIRTEL,CARDS'!WM6</f>
        <v>240000</v>
      </c>
      <c r="WO15" s="22">
        <f>'MOMO,AIRTEL,CARDS'!WN6</f>
        <v>615000</v>
      </c>
      <c r="WP15" s="22">
        <f>'MOMO,AIRTEL,CARDS'!WO6</f>
        <v>500000</v>
      </c>
      <c r="WQ15" s="22">
        <f>'MOMO,AIRTEL,CARDS'!WP6</f>
        <v>239000</v>
      </c>
      <c r="WR15" s="22">
        <f>'MOMO,AIRTEL,CARDS'!WQ6</f>
        <v>10000</v>
      </c>
      <c r="WS15" s="22">
        <f>'MOMO,AIRTEL,CARDS'!WR6</f>
        <v>1078795</v>
      </c>
      <c r="WT15" s="22">
        <f>'MOMO,AIRTEL,CARDS'!WS6</f>
        <v>250000</v>
      </c>
      <c r="WU15" s="22">
        <f>'MOMO,AIRTEL,CARDS'!WT6</f>
        <v>50000</v>
      </c>
      <c r="WV15" s="22">
        <f>'MOMO,AIRTEL,CARDS'!WU6</f>
        <v>205000</v>
      </c>
      <c r="WW15" s="22">
        <f>'MOMO,AIRTEL,CARDS'!WV6</f>
        <v>522036</v>
      </c>
      <c r="WX15" s="22">
        <f>'MOMO,AIRTEL,CARDS'!WW6</f>
        <v>450000</v>
      </c>
      <c r="WY15" s="22">
        <f>'MOMO,AIRTEL,CARDS'!WX6</f>
        <v>316000</v>
      </c>
      <c r="WZ15" s="22">
        <f>'MOMO,AIRTEL,CARDS'!WY6</f>
        <v>405000</v>
      </c>
      <c r="XA15" s="22">
        <f>'MOMO,AIRTEL,CARDS'!WZ6</f>
        <v>230000</v>
      </c>
      <c r="XB15" s="22">
        <f>'MOMO,AIRTEL,CARDS'!XA6</f>
        <v>1320000</v>
      </c>
      <c r="XC15" s="22">
        <f>'MOMO,AIRTEL,CARDS'!XB6</f>
        <v>658863</v>
      </c>
      <c r="XD15" s="22">
        <f>'MOMO,AIRTEL,CARDS'!XC6</f>
        <v>476441</v>
      </c>
      <c r="XE15" s="22">
        <f>'MOMO,AIRTEL,CARDS'!XD6</f>
        <v>182000</v>
      </c>
      <c r="XF15" s="22">
        <f>'MOMO,AIRTEL,CARDS'!XE6</f>
        <v>140000</v>
      </c>
      <c r="XG15" s="127">
        <f t="shared" si="156"/>
        <v>13015546</v>
      </c>
      <c r="XH15" s="22">
        <f>'MOMO,AIRTEL,CARDS'!XG6</f>
        <v>395000</v>
      </c>
      <c r="XI15" s="22">
        <f>'MOMO,AIRTEL,CARDS'!XH6</f>
        <v>122000</v>
      </c>
      <c r="XJ15" s="22">
        <f>'MOMO,AIRTEL,CARDS'!XI6</f>
        <v>500000</v>
      </c>
      <c r="XK15" s="22">
        <f>'MOMO,AIRTEL,CARDS'!XJ6</f>
        <v>232000</v>
      </c>
      <c r="XL15" s="22">
        <f>'MOMO,AIRTEL,CARDS'!XK6</f>
        <v>160000</v>
      </c>
      <c r="XM15" s="22">
        <f>'MOMO,AIRTEL,CARDS'!XL6</f>
        <v>840424</v>
      </c>
      <c r="XN15" s="22">
        <f>'MOMO,AIRTEL,CARDS'!XM6</f>
        <v>461462</v>
      </c>
      <c r="XO15" s="22">
        <f>'MOMO,AIRTEL,CARDS'!XN6</f>
        <v>0</v>
      </c>
      <c r="XP15" s="22">
        <f>'MOMO,AIRTEL,CARDS'!XO6</f>
        <v>88000</v>
      </c>
      <c r="XQ15" s="22">
        <f>'MOMO,AIRTEL,CARDS'!XP6</f>
        <v>145000</v>
      </c>
      <c r="XR15" s="22">
        <f>'MOMO,AIRTEL,CARDS'!XQ6</f>
        <v>410000</v>
      </c>
      <c r="XS15" s="22">
        <f>'MOMO,AIRTEL,CARDS'!XR6</f>
        <v>596310</v>
      </c>
      <c r="XT15" s="22">
        <f>'MOMO,AIRTEL,CARDS'!XS6</f>
        <v>307578</v>
      </c>
      <c r="XU15" s="22">
        <f>'MOMO,AIRTEL,CARDS'!XT6</f>
        <v>80000</v>
      </c>
      <c r="XV15" s="22">
        <f>'MOMO,AIRTEL,CARDS'!XU6</f>
        <v>496000</v>
      </c>
      <c r="XW15" s="22">
        <f>'MOMO,AIRTEL,CARDS'!XV6</f>
        <v>150000</v>
      </c>
      <c r="XX15" s="22">
        <f>'MOMO,AIRTEL,CARDS'!XW6</f>
        <v>470000</v>
      </c>
      <c r="XY15" s="22">
        <f>'MOMO,AIRTEL,CARDS'!XX6</f>
        <v>255000</v>
      </c>
      <c r="XZ15" s="22">
        <f>'MOMO,AIRTEL,CARDS'!XY6</f>
        <v>400000</v>
      </c>
      <c r="YA15" s="22">
        <f>'MOMO,AIRTEL,CARDS'!XZ6</f>
        <v>303786</v>
      </c>
      <c r="YB15" s="22">
        <f>'MOMO,AIRTEL,CARDS'!YA6</f>
        <v>615000</v>
      </c>
      <c r="YC15" s="22">
        <f>'MOMO,AIRTEL,CARDS'!YB6</f>
        <v>50000</v>
      </c>
      <c r="YD15" s="22">
        <f>'MOMO,AIRTEL,CARDS'!YC6</f>
        <v>160000</v>
      </c>
      <c r="YE15" s="22">
        <f>'MOMO,AIRTEL,CARDS'!YD6</f>
        <v>713728</v>
      </c>
      <c r="YF15" s="22">
        <f>'MOMO,AIRTEL,CARDS'!YE6</f>
        <v>445000</v>
      </c>
      <c r="YG15" s="22">
        <f>'MOMO,AIRTEL,CARDS'!YF6</f>
        <v>1309036</v>
      </c>
      <c r="YH15" s="22">
        <f>'MOMO,AIRTEL,CARDS'!YG6</f>
        <v>618000</v>
      </c>
      <c r="YI15" s="22">
        <f>'MOMO,AIRTEL,CARDS'!YH6</f>
        <v>20000</v>
      </c>
      <c r="YJ15" s="22">
        <f>'MOMO,AIRTEL,CARDS'!YI6</f>
        <v>40000</v>
      </c>
      <c r="YK15" s="22">
        <f>'MOMO,AIRTEL,CARDS'!YJ6</f>
        <v>550000</v>
      </c>
      <c r="YL15" s="127">
        <f t="shared" si="158"/>
        <v>10933324</v>
      </c>
      <c r="YM15" s="22">
        <f>'MOMO,AIRTEL,CARDS'!YL6</f>
        <v>477000</v>
      </c>
      <c r="YN15" s="22">
        <f>'MOMO,AIRTEL,CARDS'!YM6</f>
        <v>584320</v>
      </c>
      <c r="YO15" s="22">
        <f>'MOMO,AIRTEL,CARDS'!YN6</f>
        <v>343000</v>
      </c>
      <c r="YP15" s="22">
        <f>'MOMO,AIRTEL,CARDS'!YO6</f>
        <v>275000</v>
      </c>
      <c r="YQ15" s="22">
        <f>'MOMO,AIRTEL,CARDS'!YP6</f>
        <v>120000</v>
      </c>
      <c r="YR15" s="22">
        <f>'MOMO,AIRTEL,CARDS'!YQ6</f>
        <v>417000</v>
      </c>
      <c r="YS15" s="22">
        <f>'MOMO,AIRTEL,CARDS'!YR6</f>
        <v>410000</v>
      </c>
      <c r="YT15" s="22">
        <f>'MOMO,AIRTEL,CARDS'!YS6</f>
        <v>435000</v>
      </c>
      <c r="YU15" s="22">
        <f>'MOMO,AIRTEL,CARDS'!YT6</f>
        <v>150000</v>
      </c>
      <c r="YV15" s="22">
        <f>'MOMO,AIRTEL,CARDS'!YU6</f>
        <v>565000</v>
      </c>
      <c r="YW15" s="22">
        <f>'MOMO,AIRTEL,CARDS'!YV6</f>
        <v>33000</v>
      </c>
      <c r="YX15" s="22">
        <f>'MOMO,AIRTEL,CARDS'!YW6</f>
        <v>212000</v>
      </c>
      <c r="YY15" s="22">
        <f>'MOMO,AIRTEL,CARDS'!YX6</f>
        <v>520000</v>
      </c>
      <c r="YZ15" s="22">
        <f>'MOMO,AIRTEL,CARDS'!YY6</f>
        <v>579850</v>
      </c>
      <c r="ZA15" s="22">
        <f>'MOMO,AIRTEL,CARDS'!YZ6</f>
        <v>222500</v>
      </c>
      <c r="ZB15" s="22">
        <f>'MOMO,AIRTEL,CARDS'!ZA6</f>
        <v>100000</v>
      </c>
      <c r="ZC15" s="22">
        <f>'MOMO,AIRTEL,CARDS'!ZB6</f>
        <v>543990</v>
      </c>
      <c r="ZD15" s="22">
        <f>'MOMO,AIRTEL,CARDS'!ZC6</f>
        <v>50000</v>
      </c>
      <c r="ZE15" s="22">
        <f>'MOMO,AIRTEL,CARDS'!ZD6</f>
        <v>180000</v>
      </c>
      <c r="ZF15" s="22">
        <f>'MOMO,AIRTEL,CARDS'!ZE6</f>
        <v>50000</v>
      </c>
      <c r="ZG15" s="22">
        <f>'MOMO,AIRTEL,CARDS'!ZF6</f>
        <v>200000</v>
      </c>
      <c r="ZH15" s="22">
        <f>'MOMO,AIRTEL,CARDS'!ZG6</f>
        <v>479500</v>
      </c>
      <c r="ZI15" s="22">
        <f>'MOMO,AIRTEL,CARDS'!ZH6</f>
        <v>220000</v>
      </c>
      <c r="ZJ15" s="22">
        <f>'MOMO,AIRTEL,CARDS'!ZI6</f>
        <v>514186</v>
      </c>
      <c r="ZK15" s="22">
        <f>'MOMO,AIRTEL,CARDS'!ZJ6</f>
        <v>201500</v>
      </c>
      <c r="ZL15" s="22">
        <f>'MOMO,AIRTEL,CARDS'!ZK6</f>
        <v>265000</v>
      </c>
      <c r="ZM15" s="22">
        <f>'MOMO,AIRTEL,CARDS'!ZL6</f>
        <v>410000</v>
      </c>
      <c r="ZN15" s="22">
        <f>'MOMO,AIRTEL,CARDS'!ZM6</f>
        <v>110000</v>
      </c>
      <c r="ZO15" s="22">
        <f>'MOMO,AIRTEL,CARDS'!ZN6</f>
        <v>360000</v>
      </c>
      <c r="ZP15" s="22">
        <f>'MOMO,AIRTEL,CARDS'!ZO6</f>
        <v>173000</v>
      </c>
      <c r="ZQ15" s="22">
        <f>'MOMO,AIRTEL,CARDS'!ZP6</f>
        <v>80000</v>
      </c>
      <c r="ZR15" s="127">
        <f t="shared" si="113"/>
        <v>9280846</v>
      </c>
      <c r="ZS15" s="22">
        <f>'MOMO,AIRTEL,CARDS'!ZR6</f>
        <v>230000</v>
      </c>
      <c r="ZT15" s="22">
        <f>'MOMO,AIRTEL,CARDS'!ZS6</f>
        <v>195000</v>
      </c>
      <c r="ZU15" s="22">
        <f>'MOMO,AIRTEL,CARDS'!ZT6</f>
        <v>185000</v>
      </c>
      <c r="ZV15" s="22">
        <f>'MOMO,AIRTEL,CARDS'!ZU6</f>
        <v>135000</v>
      </c>
      <c r="ZW15" s="22">
        <f>'MOMO,AIRTEL,CARDS'!ZV6</f>
        <v>308449</v>
      </c>
      <c r="ZX15" s="22">
        <f>'MOMO,AIRTEL,CARDS'!ZW6</f>
        <v>1201950</v>
      </c>
      <c r="ZY15" s="22">
        <f>'MOMO,AIRTEL,CARDS'!ZX6</f>
        <v>120000</v>
      </c>
      <c r="ZZ15" s="22">
        <f>'MOMO,AIRTEL,CARDS'!ZY6</f>
        <v>405500</v>
      </c>
      <c r="AAA15" s="22">
        <f>'MOMO,AIRTEL,CARDS'!ZZ6</f>
        <v>40000</v>
      </c>
      <c r="AAB15" s="22">
        <f>'MOMO,AIRTEL,CARDS'!AAA6</f>
        <v>80000</v>
      </c>
      <c r="AAC15" s="22">
        <f>'MOMO,AIRTEL,CARDS'!AAB6</f>
        <v>220000</v>
      </c>
      <c r="AAD15" s="22">
        <f>'MOMO,AIRTEL,CARDS'!AAC6</f>
        <v>405000</v>
      </c>
      <c r="AAE15" s="22">
        <f>'MOMO,AIRTEL,CARDS'!AAD6</f>
        <v>395000</v>
      </c>
      <c r="AAF15" s="22">
        <f>'MOMO,AIRTEL,CARDS'!AAE6</f>
        <v>1682500</v>
      </c>
      <c r="AAG15" s="22">
        <f>'MOMO,AIRTEL,CARDS'!AAF6</f>
        <v>638146</v>
      </c>
      <c r="AAH15" s="22">
        <f>'MOMO,AIRTEL,CARDS'!AAG6</f>
        <v>421822</v>
      </c>
      <c r="AAI15" s="22">
        <f>'MOMO,AIRTEL,CARDS'!AAH6</f>
        <v>348000</v>
      </c>
      <c r="AAJ15" s="22">
        <f>'MOMO,AIRTEL,CARDS'!AAI6</f>
        <v>217000</v>
      </c>
      <c r="AAK15" s="22">
        <f>'MOMO,AIRTEL,CARDS'!AAJ6</f>
        <v>200000</v>
      </c>
      <c r="AAL15" s="22">
        <f>'MOMO,AIRTEL,CARDS'!AAK6</f>
        <v>220000</v>
      </c>
      <c r="AAM15" s="22">
        <f>'MOMO,AIRTEL,CARDS'!AAL6</f>
        <v>838500</v>
      </c>
      <c r="AAN15" s="22">
        <f>'MOMO,AIRTEL,CARDS'!AAM6</f>
        <v>513500</v>
      </c>
      <c r="AAO15" s="22">
        <f>'MOMO,AIRTEL,CARDS'!AAN6</f>
        <v>260000</v>
      </c>
      <c r="AAP15" s="22">
        <f>'MOMO,AIRTEL,CARDS'!AAO6</f>
        <v>0</v>
      </c>
      <c r="AAQ15" s="22">
        <f>'MOMO,AIRTEL,CARDS'!AAP6</f>
        <v>1171000</v>
      </c>
      <c r="AAR15" s="22">
        <f>'MOMO,AIRTEL,CARDS'!AAQ6</f>
        <v>847000</v>
      </c>
      <c r="AAS15" s="22">
        <f>'MOMO,AIRTEL,CARDS'!AAR6</f>
        <v>729260</v>
      </c>
      <c r="AAT15" s="22">
        <f>'MOMO,AIRTEL,CARDS'!AAS6</f>
        <v>823737</v>
      </c>
      <c r="AAU15" s="22">
        <f>'MOMO,AIRTEL,CARDS'!AAT6</f>
        <v>488595</v>
      </c>
      <c r="AAV15" s="22">
        <f>'MOMO,AIRTEL,CARDS'!AAU6</f>
        <v>120000</v>
      </c>
      <c r="AAW15" s="127">
        <f t="shared" si="115"/>
        <v>13439959</v>
      </c>
      <c r="AAX15" s="22">
        <f>'MOMO,AIRTEL,CARDS'!AAW6</f>
        <v>791000</v>
      </c>
      <c r="AAY15" s="22">
        <f>'MOMO,AIRTEL,CARDS'!AAX6</f>
        <v>420500</v>
      </c>
      <c r="AAZ15" s="22">
        <f>'MOMO,AIRTEL,CARDS'!AAY6</f>
        <v>82000</v>
      </c>
      <c r="ABA15" s="22">
        <f>'MOMO,AIRTEL,CARDS'!AAZ6</f>
        <v>632242</v>
      </c>
      <c r="ABB15" s="22">
        <f>'MOMO,AIRTEL,CARDS'!ABA6</f>
        <v>417000</v>
      </c>
      <c r="ABC15" s="22">
        <f>'MOMO,AIRTEL,CARDS'!ABB6</f>
        <v>217500</v>
      </c>
      <c r="ABD15" s="22">
        <f>'MOMO,AIRTEL,CARDS'!ABC6</f>
        <v>286000</v>
      </c>
      <c r="ABE15" s="22">
        <f>'MOMO,AIRTEL,CARDS'!ABD6</f>
        <v>477000</v>
      </c>
      <c r="ABF15" s="22">
        <f>'MOMO,AIRTEL,CARDS'!ABE6</f>
        <v>60000</v>
      </c>
      <c r="ABG15" s="22">
        <f>'MOMO,AIRTEL,CARDS'!ABF6</f>
        <v>262600</v>
      </c>
      <c r="ABH15" s="22">
        <f>'MOMO,AIRTEL,CARDS'!ABG6</f>
        <v>150000</v>
      </c>
      <c r="ABI15" s="22">
        <f>'MOMO,AIRTEL,CARDS'!ABH6</f>
        <v>127000</v>
      </c>
      <c r="ABJ15" s="22">
        <f>'MOMO,AIRTEL,CARDS'!ABI6</f>
        <v>274400</v>
      </c>
      <c r="ABK15" s="22">
        <f>'MOMO,AIRTEL,CARDS'!ABJ6</f>
        <v>129000</v>
      </c>
      <c r="ABL15" s="22">
        <f>'MOMO,AIRTEL,CARDS'!ABK6</f>
        <v>20000</v>
      </c>
      <c r="ABM15" s="22">
        <f>'MOMO,AIRTEL,CARDS'!ABL6</f>
        <v>335129</v>
      </c>
      <c r="ABN15" s="22">
        <f>'MOMO,AIRTEL,CARDS'!ABM6</f>
        <v>98500</v>
      </c>
      <c r="ABO15" s="22">
        <f>'MOMO,AIRTEL,CARDS'!ABN6</f>
        <v>36000</v>
      </c>
      <c r="ABP15" s="22">
        <f>'MOMO,AIRTEL,CARDS'!ABO6</f>
        <v>491000</v>
      </c>
      <c r="ABQ15" s="22">
        <f>'MOMO,AIRTEL,CARDS'!ABP6</f>
        <v>388000</v>
      </c>
      <c r="ABR15" s="22">
        <f>'MOMO,AIRTEL,CARDS'!ABQ6</f>
        <v>365000</v>
      </c>
      <c r="ABS15" s="22">
        <f>'MOMO,AIRTEL,CARDS'!ABR6</f>
        <v>0</v>
      </c>
      <c r="ABT15" s="22">
        <f>'MOMO,AIRTEL,CARDS'!ABS6</f>
        <v>260000</v>
      </c>
      <c r="ABU15" s="22">
        <f>'MOMO,AIRTEL,CARDS'!ABT6</f>
        <v>100000</v>
      </c>
      <c r="ABV15" s="22">
        <f>'MOMO,AIRTEL,CARDS'!ABU6</f>
        <v>498000</v>
      </c>
      <c r="ABW15" s="22">
        <f>'MOMO,AIRTEL,CARDS'!ABV6</f>
        <v>100000</v>
      </c>
      <c r="ABX15" s="22">
        <f>'MOMO,AIRTEL,CARDS'!ABW6</f>
        <v>1117000</v>
      </c>
      <c r="ABY15" s="22">
        <f>'MOMO,AIRTEL,CARDS'!ABX6</f>
        <v>2250000</v>
      </c>
      <c r="ABZ15" s="22">
        <f>'MOMO,AIRTEL,CARDS'!ABY6</f>
        <v>10000</v>
      </c>
      <c r="ACA15" s="22">
        <f>'MOMO,AIRTEL,CARDS'!ABZ6</f>
        <v>100000</v>
      </c>
      <c r="ACB15" s="22">
        <f>'MOMO,AIRTEL,CARDS'!ACA6</f>
        <v>127000</v>
      </c>
      <c r="ACC15" s="127">
        <f t="shared" si="117"/>
        <v>10621871</v>
      </c>
      <c r="ACD15" s="22">
        <f>'MOMO,AIRTEL,CARDS'!ACC6</f>
        <v>277500</v>
      </c>
      <c r="ACE15" s="22">
        <f>'MOMO,AIRTEL,CARDS'!ACD6</f>
        <v>320000</v>
      </c>
      <c r="ACF15" s="22">
        <f>'MOMO,AIRTEL,CARDS'!ACE6</f>
        <v>810000</v>
      </c>
      <c r="ACG15" s="22">
        <f>'MOMO,AIRTEL,CARDS'!ACF6</f>
        <v>645000</v>
      </c>
      <c r="ACH15" s="22">
        <f>'MOMO,AIRTEL,CARDS'!ACG6</f>
        <v>180000</v>
      </c>
      <c r="ACI15" s="22">
        <f>'MOMO,AIRTEL,CARDS'!ACH6</f>
        <v>271000</v>
      </c>
      <c r="ACJ15" s="22">
        <f>'MOMO,AIRTEL,CARDS'!ACI6</f>
        <v>0</v>
      </c>
      <c r="ACK15" s="22">
        <f>'MOMO,AIRTEL,CARDS'!ACJ6</f>
        <v>644642</v>
      </c>
      <c r="ACL15" s="22">
        <f>'MOMO,AIRTEL,CARDS'!ACK6</f>
        <v>126000</v>
      </c>
      <c r="ACM15" s="22">
        <f>'MOMO,AIRTEL,CARDS'!ACL6</f>
        <v>315169</v>
      </c>
      <c r="ACN15" s="22">
        <f>'MOMO,AIRTEL,CARDS'!ACM6</f>
        <v>950000</v>
      </c>
      <c r="ACO15" s="22">
        <f>'MOMO,AIRTEL,CARDS'!ACN6</f>
        <v>470000</v>
      </c>
      <c r="ACP15" s="22">
        <f>'MOMO,AIRTEL,CARDS'!ACO6</f>
        <v>624378</v>
      </c>
      <c r="ACQ15" s="22">
        <f>'MOMO,AIRTEL,CARDS'!ACP6</f>
        <v>270000</v>
      </c>
      <c r="ACR15" s="22">
        <f>'MOMO,AIRTEL,CARDS'!ACQ6</f>
        <v>491203</v>
      </c>
      <c r="ACS15" s="22">
        <f>'MOMO,AIRTEL,CARDS'!ACR6</f>
        <v>643122</v>
      </c>
      <c r="ACT15" s="22">
        <f>'MOMO,AIRTEL,CARDS'!ACS6</f>
        <v>345912</v>
      </c>
      <c r="ACU15" s="22">
        <f>'MOMO,AIRTEL,CARDS'!ACT6</f>
        <v>929000</v>
      </c>
      <c r="ACV15" s="22">
        <f>'MOMO,AIRTEL,CARDS'!ACU6</f>
        <v>28000</v>
      </c>
      <c r="ACW15" s="22">
        <f>'MOMO,AIRTEL,CARDS'!ACV6</f>
        <v>163000</v>
      </c>
      <c r="ACX15" s="22">
        <f>'MOMO,AIRTEL,CARDS'!ACW6</f>
        <v>850000</v>
      </c>
      <c r="ACY15" s="22">
        <f>'MOMO,AIRTEL,CARDS'!ACX6</f>
        <v>210500</v>
      </c>
      <c r="ACZ15" s="22">
        <f>'MOMO,AIRTEL,CARDS'!ACY6</f>
        <v>586499</v>
      </c>
      <c r="ADA15" s="22">
        <f>'MOMO,AIRTEL,CARDS'!ACZ6</f>
        <v>200000</v>
      </c>
      <c r="ADB15" s="22">
        <f>'MOMO,AIRTEL,CARDS'!ADA6</f>
        <v>0</v>
      </c>
      <c r="ADC15" s="22">
        <f>'MOMO,AIRTEL,CARDS'!ADB6</f>
        <v>1488050</v>
      </c>
      <c r="ADD15" s="22">
        <f>'MOMO,AIRTEL,CARDS'!ADC6</f>
        <v>93000</v>
      </c>
      <c r="ADE15" s="22">
        <f>'MOMO,AIRTEL,CARDS'!ADD6</f>
        <v>504828</v>
      </c>
      <c r="ADF15" s="22">
        <f>'MOMO,AIRTEL,CARDS'!ADE6</f>
        <v>390000</v>
      </c>
      <c r="ADG15" s="22">
        <f>'MOMO,AIRTEL,CARDS'!ADF6</f>
        <v>760000</v>
      </c>
      <c r="ADH15" s="22">
        <f>'MOMO,AIRTEL,CARDS'!ADG6</f>
        <v>509270</v>
      </c>
      <c r="ADI15" s="127">
        <f t="shared" si="119"/>
        <v>14096073</v>
      </c>
      <c r="ADJ15" s="22">
        <f>'MOMO,AIRTEL,CARDS'!ADI6</f>
        <v>60000</v>
      </c>
      <c r="ADK15" s="22">
        <f>'MOMO,AIRTEL,CARDS'!ADJ6</f>
        <v>427501</v>
      </c>
      <c r="ADL15" s="22">
        <f>'MOMO,AIRTEL,CARDS'!ADK6</f>
        <v>613000</v>
      </c>
      <c r="ADM15" s="22">
        <f>'MOMO,AIRTEL,CARDS'!ADL6</f>
        <v>220095</v>
      </c>
      <c r="ADN15" s="22">
        <f>'MOMO,AIRTEL,CARDS'!ADM6</f>
        <v>204000</v>
      </c>
      <c r="ADO15" s="22">
        <f>'MOMO,AIRTEL,CARDS'!ADN6</f>
        <v>450000</v>
      </c>
      <c r="ADP15" s="22">
        <f>'MOMO,AIRTEL,CARDS'!ADO6</f>
        <v>235000</v>
      </c>
      <c r="ADQ15" s="22">
        <f>'MOMO,AIRTEL,CARDS'!ADP6</f>
        <v>210000</v>
      </c>
      <c r="ADR15" s="22">
        <f>'MOMO,AIRTEL,CARDS'!ADQ6</f>
        <v>166000</v>
      </c>
      <c r="ADS15" s="22">
        <f>'MOMO,AIRTEL,CARDS'!ADR6</f>
        <v>848000</v>
      </c>
      <c r="ADT15" s="22">
        <f>'MOMO,AIRTEL,CARDS'!ADS6</f>
        <v>360000</v>
      </c>
      <c r="ADU15" s="22">
        <f>'MOMO,AIRTEL,CARDS'!ADT6</f>
        <v>456000</v>
      </c>
      <c r="ADV15" s="22">
        <f>'MOMO,AIRTEL,CARDS'!ADU6</f>
        <v>411000</v>
      </c>
      <c r="ADW15" s="22">
        <f>'MOMO,AIRTEL,CARDS'!ADV6</f>
        <v>70000</v>
      </c>
      <c r="ADX15" s="22">
        <f>'MOMO,AIRTEL,CARDS'!ADW6</f>
        <v>402541</v>
      </c>
      <c r="ADY15" s="22">
        <f>'MOMO,AIRTEL,CARDS'!ADX6</f>
        <v>631281</v>
      </c>
      <c r="ADZ15" s="22">
        <f>'MOMO,AIRTEL,CARDS'!ADY6</f>
        <v>350000</v>
      </c>
      <c r="AEA15" s="22">
        <f>'MOMO,AIRTEL,CARDS'!ADZ6</f>
        <v>250000</v>
      </c>
      <c r="AEB15" s="22">
        <f>'MOMO,AIRTEL,CARDS'!AEA6</f>
        <v>60000</v>
      </c>
      <c r="AEC15" s="22">
        <f>'MOMO,AIRTEL,CARDS'!AEB6</f>
        <v>270000</v>
      </c>
      <c r="AED15" s="22">
        <f>'MOMO,AIRTEL,CARDS'!AEC6</f>
        <v>290000</v>
      </c>
      <c r="AEE15" s="22">
        <f>'MOMO,AIRTEL,CARDS'!AED6</f>
        <v>270000</v>
      </c>
      <c r="AEF15" s="22">
        <f>'MOMO,AIRTEL,CARDS'!AEE6</f>
        <v>100000</v>
      </c>
      <c r="AEG15" s="22">
        <f>'MOMO,AIRTEL,CARDS'!AEF6</f>
        <v>50000</v>
      </c>
      <c r="AEH15" s="22">
        <f>'MOMO,AIRTEL,CARDS'!AEG6</f>
        <v>150000</v>
      </c>
      <c r="AEI15" s="22">
        <f>'MOMO,AIRTEL,CARDS'!AEH6</f>
        <v>455000</v>
      </c>
      <c r="AEJ15" s="22">
        <f>'MOMO,AIRTEL,CARDS'!AEI6</f>
        <v>448416</v>
      </c>
      <c r="AEK15" s="22">
        <f>'MOMO,AIRTEL,CARDS'!AEJ6</f>
        <v>450000</v>
      </c>
      <c r="AEL15" s="22">
        <f>'MOMO,AIRTEL,CARDS'!AEK6</f>
        <v>613048</v>
      </c>
      <c r="AEM15" s="22">
        <f>'MOMO,AIRTEL,CARDS'!AEL6</f>
        <v>235000</v>
      </c>
      <c r="AEN15" s="127">
        <f t="shared" si="121"/>
        <v>9755882</v>
      </c>
      <c r="AEO15" s="22">
        <f>'MOMO,AIRTEL,CARDS'!AEN6</f>
        <v>90000</v>
      </c>
      <c r="AEP15" s="22">
        <f>'MOMO,AIRTEL,CARDS'!AEO6</f>
        <v>0</v>
      </c>
      <c r="AEQ15" s="22">
        <f>'MOMO,AIRTEL,CARDS'!AEP6</f>
        <v>50000</v>
      </c>
      <c r="AER15" s="22">
        <f>'MOMO,AIRTEL,CARDS'!AEQ6</f>
        <v>230000</v>
      </c>
      <c r="AES15" s="22">
        <f>'MOMO,AIRTEL,CARDS'!AER6</f>
        <v>150000</v>
      </c>
      <c r="AET15" s="22">
        <f>'MOMO,AIRTEL,CARDS'!AES6</f>
        <v>550000</v>
      </c>
      <c r="AEU15" s="22">
        <f>'MOMO,AIRTEL,CARDS'!AET6</f>
        <v>100000</v>
      </c>
      <c r="AEV15" s="22">
        <f>'MOMO,AIRTEL,CARDS'!AEU6</f>
        <v>157000</v>
      </c>
      <c r="AEW15" s="22">
        <f>'MOMO,AIRTEL,CARDS'!AEV6</f>
        <v>1172538</v>
      </c>
      <c r="AEX15" s="22">
        <f>'MOMO,AIRTEL,CARDS'!AEW6</f>
        <v>20000</v>
      </c>
      <c r="AEY15" s="22">
        <f>'MOMO,AIRTEL,CARDS'!AEX6</f>
        <v>165000</v>
      </c>
      <c r="AEZ15" s="22">
        <f>'MOMO,AIRTEL,CARDS'!AEY6</f>
        <v>0</v>
      </c>
      <c r="AFA15" s="22">
        <f>'MOMO,AIRTEL,CARDS'!AEZ6</f>
        <v>130000</v>
      </c>
      <c r="AFB15" s="22">
        <f>'MOMO,AIRTEL,CARDS'!AFA6</f>
        <v>327510</v>
      </c>
      <c r="AFC15" s="22">
        <f>'MOMO,AIRTEL,CARDS'!AFB6</f>
        <v>410000</v>
      </c>
      <c r="AFD15" s="22">
        <f>'MOMO,AIRTEL,CARDS'!AFC6</f>
        <v>180000</v>
      </c>
      <c r="AFE15" s="22">
        <f>'MOMO,AIRTEL,CARDS'!AFD6</f>
        <v>210000</v>
      </c>
      <c r="AFF15" s="22">
        <f>'MOMO,AIRTEL,CARDS'!AFE6</f>
        <v>694787</v>
      </c>
      <c r="AFG15" s="22">
        <f>'MOMO,AIRTEL,CARDS'!AFF6</f>
        <v>120000</v>
      </c>
      <c r="AFH15" s="22">
        <f>'MOMO,AIRTEL,CARDS'!AFG6</f>
        <v>390000</v>
      </c>
      <c r="AFI15" s="22">
        <f>'MOMO,AIRTEL,CARDS'!AFH6</f>
        <v>220000</v>
      </c>
      <c r="AFJ15" s="22">
        <f>'MOMO,AIRTEL,CARDS'!AFI6</f>
        <v>535892</v>
      </c>
      <c r="AFK15" s="22">
        <f>'MOMO,AIRTEL,CARDS'!AFJ6</f>
        <v>20000</v>
      </c>
      <c r="AFL15" s="22">
        <f>'MOMO,AIRTEL,CARDS'!AFK6</f>
        <v>613558</v>
      </c>
      <c r="AFM15" s="22">
        <f>'MOMO,AIRTEL,CARDS'!AFL6</f>
        <v>465000</v>
      </c>
      <c r="AFN15" s="22">
        <f>'MOMO,AIRTEL,CARDS'!AFM6</f>
        <v>1141975</v>
      </c>
      <c r="AFO15" s="22">
        <f>'MOMO,AIRTEL,CARDS'!AFN6</f>
        <v>252000</v>
      </c>
      <c r="AFP15" s="22">
        <f>'MOMO,AIRTEL,CARDS'!AFO6</f>
        <v>300000</v>
      </c>
      <c r="AFQ15" s="22">
        <f>'MOMO,AIRTEL,CARDS'!AFP6</f>
        <v>550000</v>
      </c>
      <c r="AFR15" s="22">
        <f>'MOMO,AIRTEL,CARDS'!AFQ6</f>
        <v>322000</v>
      </c>
      <c r="AFS15" s="22">
        <f>'MOMO,AIRTEL,CARDS'!AFR6</f>
        <v>745000</v>
      </c>
      <c r="AFT15" s="127">
        <f t="shared" si="123"/>
        <v>10312260</v>
      </c>
      <c r="AFU15" s="22">
        <f>'MOMO,AIRTEL,CARDS'!AFT6</f>
        <v>30000</v>
      </c>
      <c r="AFV15" s="22">
        <f>'MOMO,AIRTEL,CARDS'!AFU6</f>
        <v>435000</v>
      </c>
      <c r="AFW15" s="22">
        <f>'MOMO,AIRTEL,CARDS'!AFV6</f>
        <v>142000</v>
      </c>
      <c r="AFX15" s="22">
        <f>'MOMO,AIRTEL,CARDS'!AFW6</f>
        <v>240000</v>
      </c>
      <c r="AFY15" s="22">
        <f>'MOMO,AIRTEL,CARDS'!AFX6</f>
        <v>752000</v>
      </c>
      <c r="AFZ15" s="22">
        <f>'MOMO,AIRTEL,CARDS'!AFY6</f>
        <v>320000</v>
      </c>
      <c r="AGA15" s="22">
        <f>'MOMO,AIRTEL,CARDS'!AFZ6</f>
        <v>50000</v>
      </c>
      <c r="AGB15" s="22">
        <f>'MOMO,AIRTEL,CARDS'!AGA6</f>
        <v>145000</v>
      </c>
      <c r="AGC15" s="22">
        <f>'MOMO,AIRTEL,CARDS'!AGB6</f>
        <v>253700</v>
      </c>
      <c r="AGD15" s="22">
        <f>'MOMO,AIRTEL,CARDS'!AGC6</f>
        <v>484490</v>
      </c>
      <c r="AGE15" s="22">
        <f>'MOMO,AIRTEL,CARDS'!AGD6</f>
        <v>630000</v>
      </c>
      <c r="AGF15" s="22">
        <f>'MOMO,AIRTEL,CARDS'!AGE6</f>
        <v>425000</v>
      </c>
      <c r="AGG15" s="22">
        <f>'MOMO,AIRTEL,CARDS'!AGF6</f>
        <v>500000</v>
      </c>
      <c r="AGH15" s="22">
        <f>'MOMO,AIRTEL,CARDS'!AGG6</f>
        <v>357227</v>
      </c>
      <c r="AGI15" s="22">
        <f>'MOMO,AIRTEL,CARDS'!AGH6</f>
        <v>510000</v>
      </c>
      <c r="AGJ15" s="22">
        <f>'MOMO,AIRTEL,CARDS'!AGI6</f>
        <v>135490</v>
      </c>
      <c r="AGK15" s="22">
        <f>'MOMO,AIRTEL,CARDS'!AGJ6</f>
        <v>864908</v>
      </c>
      <c r="AGL15" s="22">
        <f>'MOMO,AIRTEL,CARDS'!AGK6</f>
        <v>131000</v>
      </c>
      <c r="AGM15" s="22">
        <f>'MOMO,AIRTEL,CARDS'!AGL6</f>
        <v>30000</v>
      </c>
      <c r="AGN15" s="22">
        <f>'MOMO,AIRTEL,CARDS'!AGM6</f>
        <v>110000</v>
      </c>
      <c r="AGO15" s="22">
        <f>'MOMO,AIRTEL,CARDS'!AGN6</f>
        <v>753000</v>
      </c>
      <c r="AGP15" s="22">
        <f>'MOMO,AIRTEL,CARDS'!AGO6</f>
        <v>210000</v>
      </c>
      <c r="AGQ15" s="22">
        <f>'MOMO,AIRTEL,CARDS'!AGP6</f>
        <v>379000</v>
      </c>
      <c r="AGR15" s="22">
        <f>'MOMO,AIRTEL,CARDS'!AGQ6</f>
        <v>310000</v>
      </c>
      <c r="AGS15" s="22">
        <f>'MOMO,AIRTEL,CARDS'!AGR6</f>
        <v>824500</v>
      </c>
      <c r="AGT15" s="22">
        <f>'MOMO,AIRTEL,CARDS'!AGS6</f>
        <v>100000</v>
      </c>
      <c r="AGU15" s="22">
        <f>'MOMO,AIRTEL,CARDS'!AGT6</f>
        <v>203790</v>
      </c>
      <c r="AGV15" s="22">
        <f>'MOMO,AIRTEL,CARDS'!AGU6</f>
        <v>412000</v>
      </c>
      <c r="AGW15" s="22">
        <f>'MOMO,AIRTEL,CARDS'!AGV6</f>
        <v>545000</v>
      </c>
      <c r="AGX15" s="22">
        <f>'MOMO,AIRTEL,CARDS'!AGW6</f>
        <v>550000</v>
      </c>
      <c r="AGY15" s="127">
        <f t="shared" si="125"/>
        <v>10833105</v>
      </c>
      <c r="AGZ15" s="22">
        <f>'MOMO,AIRTEL,CARDS'!AGY6</f>
        <v>630000</v>
      </c>
      <c r="AHA15" s="22">
        <f>'MOMO,AIRTEL,CARDS'!AGZ6</f>
        <v>0</v>
      </c>
      <c r="AHB15" s="22">
        <f>'MOMO,AIRTEL,CARDS'!AHA6</f>
        <v>150000</v>
      </c>
      <c r="AHC15" s="22">
        <f>'MOMO,AIRTEL,CARDS'!AHB6</f>
        <v>0</v>
      </c>
      <c r="AHD15" s="22">
        <f>'MOMO,AIRTEL,CARDS'!AHC6</f>
        <v>390000</v>
      </c>
      <c r="AHE15" s="22">
        <f>'MOMO,AIRTEL,CARDS'!AHD6</f>
        <v>634976</v>
      </c>
      <c r="AHF15" s="22">
        <f>'MOMO,AIRTEL,CARDS'!AHE6</f>
        <v>353000</v>
      </c>
      <c r="AHG15" s="22">
        <f>'MOMO,AIRTEL,CARDS'!AHF6</f>
        <v>0</v>
      </c>
      <c r="AHH15" s="22">
        <f>'MOMO,AIRTEL,CARDS'!AHG6</f>
        <v>225000</v>
      </c>
      <c r="AHI15" s="22">
        <f>'MOMO,AIRTEL,CARDS'!AHH6</f>
        <v>1392000</v>
      </c>
      <c r="AHJ15" s="22">
        <f>'MOMO,AIRTEL,CARDS'!AHI6</f>
        <v>555700</v>
      </c>
      <c r="AHK15" s="22">
        <f>'MOMO,AIRTEL,CARDS'!AHJ6</f>
        <v>150000</v>
      </c>
      <c r="AHL15" s="22">
        <f>'MOMO,AIRTEL,CARDS'!AHK6</f>
        <v>235000</v>
      </c>
      <c r="AHM15" s="22">
        <f>'MOMO,AIRTEL,CARDS'!AHL6</f>
        <v>930000</v>
      </c>
      <c r="AHN15" s="22">
        <f>'MOMO,AIRTEL,CARDS'!AHM6</f>
        <v>400000</v>
      </c>
      <c r="AHO15" s="22">
        <f>'MOMO,AIRTEL,CARDS'!AHN6</f>
        <v>100000</v>
      </c>
      <c r="AHP15" s="22">
        <f>'MOMO,AIRTEL,CARDS'!AHO6</f>
        <v>250000</v>
      </c>
      <c r="AHQ15" s="22">
        <f>'MOMO,AIRTEL,CARDS'!AHP6</f>
        <v>152945</v>
      </c>
      <c r="AHR15" s="22">
        <f>'MOMO,AIRTEL,CARDS'!AHQ6</f>
        <v>775000</v>
      </c>
      <c r="AHS15" s="22">
        <f>'MOMO,AIRTEL,CARDS'!AHR6</f>
        <v>555000</v>
      </c>
      <c r="AHT15" s="22">
        <f>'MOMO,AIRTEL,CARDS'!AHS6</f>
        <v>829235</v>
      </c>
      <c r="AHU15" s="22">
        <f>'MOMO,AIRTEL,CARDS'!AHT6</f>
        <v>500000</v>
      </c>
      <c r="AHV15" s="22">
        <f>'MOMO,AIRTEL,CARDS'!AHU6</f>
        <v>120000</v>
      </c>
      <c r="AHW15" s="22">
        <f>'MOMO,AIRTEL,CARDS'!AHV6</f>
        <v>299490</v>
      </c>
      <c r="AHX15" s="22">
        <f>'MOMO,AIRTEL,CARDS'!AHW6</f>
        <v>664669</v>
      </c>
      <c r="AHY15" s="22">
        <f>'MOMO,AIRTEL,CARDS'!AHX6</f>
        <v>761797</v>
      </c>
      <c r="AHZ15" s="22">
        <f>'MOMO,AIRTEL,CARDS'!AHY6</f>
        <v>245000</v>
      </c>
      <c r="AIA15" s="22">
        <f>'MOMO,AIRTEL,CARDS'!AHZ6</f>
        <v>321109</v>
      </c>
      <c r="AIB15" s="22">
        <f>'MOMO,AIRTEL,CARDS'!AIA6</f>
        <v>235000</v>
      </c>
      <c r="AIC15" s="22">
        <f>'MOMO,AIRTEL,CARDS'!AIB6</f>
        <v>430000</v>
      </c>
      <c r="AID15" s="22">
        <f>'MOMO,AIRTEL,CARDS'!AIC6</f>
        <v>170000</v>
      </c>
      <c r="AIE15" s="127">
        <f>SUM(AGZ15:AID15)</f>
        <v>12454921</v>
      </c>
      <c r="AIF15" s="22">
        <f>'MOMO,AIRTEL,CARDS'!AIE6</f>
        <v>350000</v>
      </c>
      <c r="AIG15" s="22">
        <f>'MOMO,AIRTEL,CARDS'!AIF6</f>
        <v>650000</v>
      </c>
      <c r="AIH15" s="22">
        <f>'MOMO,AIRTEL,CARDS'!AIG6</f>
        <v>270000</v>
      </c>
      <c r="AII15" s="22">
        <f>'MOMO,AIRTEL,CARDS'!AIH6</f>
        <v>459490</v>
      </c>
      <c r="AIJ15" s="22">
        <f>'MOMO,AIRTEL,CARDS'!AII6</f>
        <v>865000</v>
      </c>
      <c r="AIK15" s="22">
        <f>'MOMO,AIRTEL,CARDS'!AIJ6</f>
        <v>440989</v>
      </c>
      <c r="AIL15" s="22">
        <f>'MOMO,AIRTEL,CARDS'!AIK6</f>
        <v>231000</v>
      </c>
      <c r="AIM15" s="22">
        <f>'MOMO,AIRTEL,CARDS'!AIL6</f>
        <v>170000</v>
      </c>
      <c r="AIN15" s="22">
        <f>'MOMO,AIRTEL,CARDS'!AIM6</f>
        <v>880000</v>
      </c>
      <c r="AIO15" s="22">
        <f>'MOMO,AIRTEL,CARDS'!AIN6</f>
        <v>886505</v>
      </c>
      <c r="AIP15" s="22">
        <f>'MOMO,AIRTEL,CARDS'!AIO6</f>
        <v>406093</v>
      </c>
      <c r="AIQ15" s="22">
        <f>'MOMO,AIRTEL,CARDS'!AIP6</f>
        <v>402012</v>
      </c>
      <c r="AIR15" s="22">
        <f>'MOMO,AIRTEL,CARDS'!AIQ6</f>
        <v>160000</v>
      </c>
      <c r="AIS15" s="22">
        <f>'MOMO,AIRTEL,CARDS'!AIR6</f>
        <v>150000</v>
      </c>
      <c r="AIT15" s="22">
        <f>'MOMO,AIRTEL,CARDS'!AIS6</f>
        <v>55000</v>
      </c>
      <c r="AIU15" s="22">
        <f>'MOMO,AIRTEL,CARDS'!AIT6</f>
        <v>265000</v>
      </c>
      <c r="AIV15" s="22">
        <f>'MOMO,AIRTEL,CARDS'!AIU6</f>
        <v>130000</v>
      </c>
      <c r="AIW15" s="22">
        <f>'MOMO,AIRTEL,CARDS'!AIV6</f>
        <v>189000</v>
      </c>
      <c r="AIX15" s="22">
        <f>'MOMO,AIRTEL,CARDS'!AIW6</f>
        <v>395000</v>
      </c>
      <c r="AIY15" s="22">
        <f>'MOMO,AIRTEL,CARDS'!AIX6</f>
        <v>0</v>
      </c>
      <c r="AIZ15" s="22">
        <f>'MOMO,AIRTEL,CARDS'!AIY6</f>
        <v>150000</v>
      </c>
      <c r="AJA15" s="22">
        <f>'MOMO,AIRTEL,CARDS'!AIZ6</f>
        <v>555500</v>
      </c>
      <c r="AJB15" s="22">
        <f>'MOMO,AIRTEL,CARDS'!AJA6</f>
        <v>210000</v>
      </c>
      <c r="AJC15" s="22">
        <f>'MOMO,AIRTEL,CARDS'!AJB6</f>
        <v>508000</v>
      </c>
      <c r="AJD15" s="22">
        <f>'MOMO,AIRTEL,CARDS'!AJC6</f>
        <v>330000</v>
      </c>
      <c r="AJE15" s="22">
        <f>'MOMO,AIRTEL,CARDS'!AJD6</f>
        <v>170000</v>
      </c>
      <c r="AJF15" s="22">
        <f>'MOMO,AIRTEL,CARDS'!AJE6</f>
        <v>430000</v>
      </c>
      <c r="AJG15" s="22">
        <f>'MOMO,AIRTEL,CARDS'!AJF6</f>
        <v>200000</v>
      </c>
      <c r="AJH15" s="22">
        <f>'MOMO,AIRTEL,CARDS'!AJG6</f>
        <v>410000</v>
      </c>
      <c r="AJI15" s="22">
        <f>'MOMO,AIRTEL,CARDS'!AJH6</f>
        <v>800000</v>
      </c>
      <c r="AJJ15" s="22">
        <f>'MOMO,AIRTEL,CARDS'!AJI6</f>
        <v>273000</v>
      </c>
      <c r="AJK15" s="127">
        <f>SUM(AIF15:AJJ15)</f>
        <v>11391589</v>
      </c>
      <c r="AJL15" s="22">
        <f>'MOMO,AIRTEL,CARDS'!AJK6</f>
        <v>369400</v>
      </c>
      <c r="AJM15" s="22">
        <f>'MOMO,AIRTEL,CARDS'!AJL6</f>
        <v>80000</v>
      </c>
      <c r="AJN15" s="22">
        <f>'MOMO,AIRTEL,CARDS'!AJM6</f>
        <v>286000</v>
      </c>
      <c r="AJO15" s="22">
        <f>'MOMO,AIRTEL,CARDS'!AJN6</f>
        <v>1304077</v>
      </c>
      <c r="AJP15" s="22">
        <f>'MOMO,AIRTEL,CARDS'!AJO6</f>
        <v>357716</v>
      </c>
      <c r="AJQ15" s="22">
        <f>'MOMO,AIRTEL,CARDS'!AJP6</f>
        <v>655000</v>
      </c>
      <c r="AJR15" s="22">
        <f>'MOMO,AIRTEL,CARDS'!AJQ6</f>
        <v>346923</v>
      </c>
      <c r="AJS15" s="22">
        <f>'MOMO,AIRTEL,CARDS'!AJR6</f>
        <v>200000</v>
      </c>
      <c r="AJT15" s="22">
        <f>'MOMO,AIRTEL,CARDS'!AJS6</f>
        <v>354960</v>
      </c>
      <c r="AJU15" s="22">
        <f>'MOMO,AIRTEL,CARDS'!AJT6</f>
        <v>80000</v>
      </c>
      <c r="AJV15" s="22">
        <f>'MOMO,AIRTEL,CARDS'!AJU6</f>
        <v>275389</v>
      </c>
      <c r="AJW15" s="22">
        <f>'MOMO,AIRTEL,CARDS'!AJV6</f>
        <v>80000</v>
      </c>
      <c r="AJX15" s="22">
        <f>'MOMO,AIRTEL,CARDS'!AJW6</f>
        <v>150000</v>
      </c>
      <c r="AJY15" s="22">
        <f>'MOMO,AIRTEL,CARDS'!AJX6</f>
        <v>515316</v>
      </c>
      <c r="AJZ15" s="22">
        <f>'MOMO,AIRTEL,CARDS'!AJY6</f>
        <v>438000</v>
      </c>
      <c r="AKA15" s="22">
        <f>'MOMO,AIRTEL,CARDS'!AJZ6</f>
        <v>370000</v>
      </c>
      <c r="AKB15" s="22">
        <f>'MOMO,AIRTEL,CARDS'!AKA6</f>
        <v>130000</v>
      </c>
      <c r="AKC15" s="22">
        <f>'MOMO,AIRTEL,CARDS'!AKB6</f>
        <v>324936</v>
      </c>
      <c r="AKD15" s="22">
        <f>'MOMO,AIRTEL,CARDS'!AKC6</f>
        <v>551960</v>
      </c>
      <c r="AKE15" s="22">
        <f>'MOMO,AIRTEL,CARDS'!AKD6</f>
        <v>90000</v>
      </c>
      <c r="AKF15" s="22">
        <f>'MOMO,AIRTEL,CARDS'!AKE6</f>
        <v>355000</v>
      </c>
      <c r="AKG15" s="22">
        <f>'MOMO,AIRTEL,CARDS'!AKF6</f>
        <v>603233</v>
      </c>
      <c r="AKH15" s="22">
        <f>'MOMO,AIRTEL,CARDS'!AKG6</f>
        <v>870000</v>
      </c>
      <c r="AKI15" s="22">
        <f>'MOMO,AIRTEL,CARDS'!AKH6</f>
        <v>886198</v>
      </c>
      <c r="AKJ15" s="22">
        <f>'MOMO,AIRTEL,CARDS'!AKI6</f>
        <v>250000</v>
      </c>
      <c r="AKK15" s="22">
        <f>'MOMO,AIRTEL,CARDS'!AKJ6</f>
        <v>672000</v>
      </c>
      <c r="AKL15" s="22">
        <f>'MOMO,AIRTEL,CARDS'!AKK6</f>
        <v>300000</v>
      </c>
      <c r="AKM15" s="22">
        <f>'MOMO,AIRTEL,CARDS'!AKL6</f>
        <v>173000</v>
      </c>
      <c r="AKN15" s="127">
        <f t="shared" si="11"/>
        <v>11069108</v>
      </c>
      <c r="AKO15" s="22">
        <f>'MOMO,AIRTEL,CARDS'!AKN6</f>
        <v>1014000</v>
      </c>
      <c r="AKP15" s="22">
        <f>'MOMO,AIRTEL,CARDS'!AKO6</f>
        <v>90000</v>
      </c>
      <c r="AKQ15" s="22">
        <f>'MOMO,AIRTEL,CARDS'!AKP6</f>
        <v>350000</v>
      </c>
      <c r="AKR15" s="22">
        <f>'MOMO,AIRTEL,CARDS'!AKQ6</f>
        <v>270000</v>
      </c>
      <c r="AKS15" s="22">
        <f>'MOMO,AIRTEL,CARDS'!AKR6</f>
        <v>100000</v>
      </c>
      <c r="AKT15" s="22">
        <f>'MOMO,AIRTEL,CARDS'!AKS6</f>
        <v>390000</v>
      </c>
      <c r="AKU15" s="22">
        <f>'MOMO,AIRTEL,CARDS'!AKT6</f>
        <v>600000</v>
      </c>
      <c r="AKV15" s="22">
        <f>'MOMO,AIRTEL,CARDS'!AKU6</f>
        <v>105000</v>
      </c>
      <c r="AKW15" s="22">
        <f>'MOMO,AIRTEL,CARDS'!AKV6</f>
        <v>495000</v>
      </c>
      <c r="AKX15" s="22">
        <f>'MOMO,AIRTEL,CARDS'!AKW6</f>
        <v>694109</v>
      </c>
      <c r="AKY15" s="22">
        <f>'MOMO,AIRTEL,CARDS'!AKX6</f>
        <v>320000</v>
      </c>
      <c r="AKZ15" s="22">
        <f>'MOMO,AIRTEL,CARDS'!AKY6</f>
        <v>661000</v>
      </c>
      <c r="ALA15" s="22">
        <f>'MOMO,AIRTEL,CARDS'!AKZ6</f>
        <v>370000</v>
      </c>
      <c r="ALB15" s="22">
        <f>'MOMO,AIRTEL,CARDS'!ALA6</f>
        <v>796980</v>
      </c>
      <c r="ALC15" s="22">
        <f>'MOMO,AIRTEL,CARDS'!ALB6</f>
        <v>380000</v>
      </c>
      <c r="ALD15" s="22">
        <f>'MOMO,AIRTEL,CARDS'!ALC6</f>
        <v>1454314</v>
      </c>
      <c r="ALE15" s="22">
        <f>'MOMO,AIRTEL,CARDS'!ALD6</f>
        <v>201000</v>
      </c>
      <c r="ALF15" s="22">
        <f>'MOMO,AIRTEL,CARDS'!ALE6</f>
        <v>0</v>
      </c>
      <c r="ALG15" s="22">
        <f>'MOMO,AIRTEL,CARDS'!ALF6</f>
        <v>1400000</v>
      </c>
      <c r="ALH15" s="22">
        <f>'MOMO,AIRTEL,CARDS'!ALG6</f>
        <v>610000</v>
      </c>
      <c r="ALI15" s="22">
        <f>'MOMO,AIRTEL,CARDS'!ALH6</f>
        <v>220000</v>
      </c>
      <c r="ALJ15" s="22">
        <f>'MOMO,AIRTEL,CARDS'!ALI6</f>
        <v>200000</v>
      </c>
      <c r="ALK15" s="22">
        <f>'MOMO,AIRTEL,CARDS'!ALJ6</f>
        <v>356490</v>
      </c>
      <c r="ALL15" s="22">
        <f>'MOMO,AIRTEL,CARDS'!ALK6</f>
        <v>752000</v>
      </c>
      <c r="ALM15" s="22">
        <f>'MOMO,AIRTEL,CARDS'!ALL6</f>
        <v>575000</v>
      </c>
      <c r="ALN15" s="22">
        <f>'MOMO,AIRTEL,CARDS'!ALM6</f>
        <v>450000</v>
      </c>
      <c r="ALO15" s="22">
        <f>'MOMO,AIRTEL,CARDS'!ALN6</f>
        <v>130000</v>
      </c>
      <c r="ALP15" s="22">
        <f>'MOMO,AIRTEL,CARDS'!ALO6</f>
        <v>854486</v>
      </c>
      <c r="ALQ15" s="22">
        <f>'MOMO,AIRTEL,CARDS'!ALP6</f>
        <v>749081</v>
      </c>
      <c r="ALR15" s="22">
        <f>'MOMO,AIRTEL,CARDS'!ALQ6</f>
        <v>150000</v>
      </c>
      <c r="ALS15" s="22">
        <f>'MOMO,AIRTEL,CARDS'!ALR6</f>
        <v>100000</v>
      </c>
      <c r="ALT15" s="127">
        <f t="shared" si="12"/>
        <v>14838460</v>
      </c>
      <c r="ALU15" s="22">
        <f>'MOMO,AIRTEL,CARDS'!ALT6</f>
        <v>880000</v>
      </c>
      <c r="ALV15" s="22">
        <f>'MOMO,AIRTEL,CARDS'!ALU6</f>
        <v>290000</v>
      </c>
      <c r="ALW15" s="22">
        <f>'MOMO,AIRTEL,CARDS'!ALV6</f>
        <v>626351</v>
      </c>
      <c r="ALX15" s="22">
        <f>'MOMO,AIRTEL,CARDS'!ALW6</f>
        <v>205000</v>
      </c>
      <c r="ALY15" s="22">
        <f>'MOMO,AIRTEL,CARDS'!ALX6</f>
        <v>288000</v>
      </c>
      <c r="ALZ15" s="22">
        <f>'MOMO,AIRTEL,CARDS'!ALY6</f>
        <v>813000</v>
      </c>
      <c r="AMA15" s="22">
        <f>'MOMO,AIRTEL,CARDS'!ALZ6</f>
        <v>301515</v>
      </c>
      <c r="AMB15" s="22">
        <f>'MOMO,AIRTEL,CARDS'!AMA6</f>
        <v>119000</v>
      </c>
      <c r="AMC15" s="22">
        <f>'MOMO,AIRTEL,CARDS'!AMB6</f>
        <v>545000</v>
      </c>
      <c r="AMD15" s="22">
        <f>'MOMO,AIRTEL,CARDS'!AMC6</f>
        <v>811200</v>
      </c>
      <c r="AME15" s="22">
        <f>'MOMO,AIRTEL,CARDS'!AMD6</f>
        <v>130000</v>
      </c>
      <c r="AMF15" s="22">
        <f>'MOMO,AIRTEL,CARDS'!AME6</f>
        <v>50000</v>
      </c>
      <c r="AMG15" s="22">
        <f>'MOMO,AIRTEL,CARDS'!AMF6</f>
        <v>350000</v>
      </c>
      <c r="AMH15" s="22">
        <f>'MOMO,AIRTEL,CARDS'!AMG6</f>
        <v>474000</v>
      </c>
      <c r="AMI15" s="22">
        <f>'MOMO,AIRTEL,CARDS'!AMH6</f>
        <v>480000</v>
      </c>
      <c r="AMJ15" s="22">
        <f>'MOMO,AIRTEL,CARDS'!AMI6</f>
        <v>260000</v>
      </c>
      <c r="AMK15" s="22">
        <f>'MOMO,AIRTEL,CARDS'!AMJ6</f>
        <v>95000</v>
      </c>
      <c r="AML15" s="22">
        <f>'MOMO,AIRTEL,CARDS'!AMK6</f>
        <v>510000</v>
      </c>
      <c r="AMM15" s="22">
        <f>'MOMO,AIRTEL,CARDS'!AML6</f>
        <v>545000</v>
      </c>
      <c r="AMN15" s="22">
        <f>'MOMO,AIRTEL,CARDS'!AMM6</f>
        <v>390000</v>
      </c>
      <c r="AMO15" s="22">
        <f>'MOMO,AIRTEL,CARDS'!AMN6</f>
        <v>1060000</v>
      </c>
      <c r="AMP15" s="22">
        <f>'MOMO,AIRTEL,CARDS'!AMO6</f>
        <v>2173700</v>
      </c>
      <c r="AMQ15" s="22">
        <f>'MOMO,AIRTEL,CARDS'!AMP6</f>
        <v>803534</v>
      </c>
      <c r="AMR15" s="22">
        <f>'MOMO,AIRTEL,CARDS'!AMQ6</f>
        <v>1381899</v>
      </c>
      <c r="AMS15" s="22">
        <f>'MOMO,AIRTEL,CARDS'!AMR6</f>
        <v>625000</v>
      </c>
      <c r="AMT15" s="22">
        <f>'MOMO,AIRTEL,CARDS'!AMS6</f>
        <v>575000</v>
      </c>
      <c r="AMU15" s="22">
        <f>'MOMO,AIRTEL,CARDS'!AMT6</f>
        <v>826983</v>
      </c>
      <c r="AMV15" s="22">
        <f>'MOMO,AIRTEL,CARDS'!AMU6</f>
        <v>277500</v>
      </c>
      <c r="AMW15" s="22">
        <f>'MOMO,AIRTEL,CARDS'!AMV6</f>
        <v>873000</v>
      </c>
      <c r="AMX15" s="22">
        <f>'MOMO,AIRTEL,CARDS'!AMW6</f>
        <v>214173</v>
      </c>
      <c r="AMY15" s="127">
        <f t="shared" si="13"/>
        <v>16973855</v>
      </c>
      <c r="AMZ15" s="22">
        <f>'MOMO,AIRTEL,CARDS'!AMY6</f>
        <v>600000</v>
      </c>
      <c r="ANA15" s="22">
        <f>'MOMO,AIRTEL,CARDS'!AMZ6</f>
        <v>729850</v>
      </c>
      <c r="ANB15" s="22">
        <f>'MOMO,AIRTEL,CARDS'!ANA6</f>
        <v>80000</v>
      </c>
      <c r="ANC15" s="22">
        <f>'MOMO,AIRTEL,CARDS'!ANB6</f>
        <v>164000</v>
      </c>
      <c r="AND15" s="22">
        <f>'MOMO,AIRTEL,CARDS'!ANC6</f>
        <v>974859</v>
      </c>
      <c r="ANE15" s="22">
        <f>'MOMO,AIRTEL,CARDS'!AND6</f>
        <v>260000</v>
      </c>
      <c r="ANF15" s="22">
        <f>'MOMO,AIRTEL,CARDS'!ANE6</f>
        <v>1992000</v>
      </c>
      <c r="ANG15" s="22">
        <f>'MOMO,AIRTEL,CARDS'!ANF6</f>
        <v>500000</v>
      </c>
      <c r="ANH15" s="22">
        <f>'MOMO,AIRTEL,CARDS'!ANG6</f>
        <v>831816</v>
      </c>
      <c r="ANI15" s="22">
        <f>'MOMO,AIRTEL,CARDS'!ANH6</f>
        <v>300000</v>
      </c>
      <c r="ANJ15" s="22">
        <f>'MOMO,AIRTEL,CARDS'!ANI6</f>
        <v>110000</v>
      </c>
      <c r="ANK15" s="22">
        <f>'MOMO,AIRTEL,CARDS'!ANJ6</f>
        <v>979848</v>
      </c>
      <c r="ANL15" s="22">
        <f>'MOMO,AIRTEL,CARDS'!ANK6</f>
        <v>600000</v>
      </c>
      <c r="ANM15" s="22">
        <f>'MOMO,AIRTEL,CARDS'!ANL6</f>
        <v>358586</v>
      </c>
      <c r="ANN15" s="22">
        <f>'MOMO,AIRTEL,CARDS'!ANM6</f>
        <v>842000</v>
      </c>
      <c r="ANO15" s="22">
        <f>'MOMO,AIRTEL,CARDS'!ANN6</f>
        <v>532500</v>
      </c>
      <c r="ANP15" s="22">
        <f>'MOMO,AIRTEL,CARDS'!ANO6</f>
        <v>530000</v>
      </c>
      <c r="ANQ15" s="22">
        <f>'MOMO,AIRTEL,CARDS'!ANP6</f>
        <v>300000</v>
      </c>
      <c r="ANR15" s="22">
        <f>'MOMO,AIRTEL,CARDS'!ANQ6</f>
        <v>120000</v>
      </c>
      <c r="ANS15" s="22">
        <f>'MOMO,AIRTEL,CARDS'!ANR6</f>
        <v>520000</v>
      </c>
      <c r="ANT15" s="22">
        <f>'MOMO,AIRTEL,CARDS'!ANS6</f>
        <v>250000</v>
      </c>
      <c r="ANU15" s="22">
        <f>'MOMO,AIRTEL,CARDS'!ANT6</f>
        <v>605000</v>
      </c>
      <c r="ANV15" s="22">
        <f>'MOMO,AIRTEL,CARDS'!ANU6</f>
        <v>1268689</v>
      </c>
      <c r="ANW15" s="22">
        <f>'MOMO,AIRTEL,CARDS'!ANV6</f>
        <v>361648</v>
      </c>
      <c r="ANX15" s="22">
        <f>'MOMO,AIRTEL,CARDS'!ANW6</f>
        <v>978000</v>
      </c>
      <c r="ANY15" s="22">
        <f>'MOMO,AIRTEL,CARDS'!ANX6</f>
        <v>480000</v>
      </c>
      <c r="ANZ15" s="22">
        <f>'MOMO,AIRTEL,CARDS'!ANY6</f>
        <v>90000</v>
      </c>
      <c r="AOA15" s="22">
        <f>'MOMO,AIRTEL,CARDS'!ANZ6</f>
        <v>430000</v>
      </c>
      <c r="AOB15" s="22">
        <f>'MOMO,AIRTEL,CARDS'!AOA6</f>
        <v>959887</v>
      </c>
      <c r="AOC15" s="22">
        <f>'MOMO,AIRTEL,CARDS'!AOB6</f>
        <v>498890</v>
      </c>
    </row>
    <row r="16" spans="1:1071" x14ac:dyDescent="0.2">
      <c r="A16" s="160"/>
      <c r="B16" s="5" t="s">
        <v>1092</v>
      </c>
      <c r="C16" s="22">
        <f>'MOMO,AIRTEL,CARDS'!B7</f>
        <v>1430350</v>
      </c>
      <c r="D16" s="22">
        <f>'MOMO,AIRTEL,CARDS'!C7</f>
        <v>1207350</v>
      </c>
      <c r="E16" s="22">
        <f>'MOMO,AIRTEL,CARDS'!D7</f>
        <v>80750</v>
      </c>
      <c r="F16" s="22">
        <f>'MOMO,AIRTEL,CARDS'!E7</f>
        <v>650751</v>
      </c>
      <c r="G16" s="22">
        <f>'MOMO,AIRTEL,CARDS'!F7</f>
        <v>301510</v>
      </c>
      <c r="H16" s="22">
        <f>'MOMO,AIRTEL,CARDS'!G7</f>
        <v>385500</v>
      </c>
      <c r="I16" s="22">
        <f>'MOMO,AIRTEL,CARDS'!H7</f>
        <v>618780</v>
      </c>
      <c r="J16" s="22">
        <f>'MOMO,AIRTEL,CARDS'!I7</f>
        <v>100000</v>
      </c>
      <c r="K16" s="22">
        <f>'MOMO,AIRTEL,CARDS'!J7</f>
        <v>576500</v>
      </c>
      <c r="L16" s="22">
        <f>'MOMO,AIRTEL,CARDS'!K7</f>
        <v>100000</v>
      </c>
      <c r="M16" s="22">
        <f>'MOMO,AIRTEL,CARDS'!L7</f>
        <v>1257450</v>
      </c>
      <c r="N16" s="22">
        <f>'MOMO,AIRTEL,CARDS'!M7</f>
        <v>246700</v>
      </c>
      <c r="O16" s="22">
        <f>'MOMO,AIRTEL,CARDS'!N7</f>
        <v>318030</v>
      </c>
      <c r="P16" s="22">
        <f>'MOMO,AIRTEL,CARDS'!O7</f>
        <v>642370</v>
      </c>
      <c r="Q16" s="22">
        <f>'MOMO,AIRTEL,CARDS'!P7</f>
        <v>1293500</v>
      </c>
      <c r="R16" s="22">
        <f>'MOMO,AIRTEL,CARDS'!Q7</f>
        <v>58680</v>
      </c>
      <c r="S16" s="22">
        <f>'MOMO,AIRTEL,CARDS'!R7</f>
        <v>2310700</v>
      </c>
      <c r="T16" s="22">
        <f>'MOMO,AIRTEL,CARDS'!S7</f>
        <v>336560</v>
      </c>
      <c r="U16" s="22">
        <f>'MOMO,AIRTEL,CARDS'!T7</f>
        <v>209250</v>
      </c>
      <c r="V16" s="22">
        <f>'MOMO,AIRTEL,CARDS'!U7</f>
        <v>0</v>
      </c>
      <c r="W16" s="22">
        <f>'MOMO,AIRTEL,CARDS'!V7</f>
        <v>513640</v>
      </c>
      <c r="X16" s="22">
        <f>'MOMO,AIRTEL,CARDS'!W7</f>
        <v>130000</v>
      </c>
      <c r="Y16" s="22">
        <f>'MOMO,AIRTEL,CARDS'!X7</f>
        <v>1059760</v>
      </c>
      <c r="Z16" s="22">
        <f>'MOMO,AIRTEL,CARDS'!Y7</f>
        <v>0</v>
      </c>
      <c r="AA16" s="22">
        <f>'MOMO,AIRTEL,CARDS'!Z7</f>
        <v>588250</v>
      </c>
      <c r="AB16" s="22">
        <f>'MOMO,AIRTEL,CARDS'!AA7</f>
        <v>286300</v>
      </c>
      <c r="AC16" s="22">
        <f>'MOMO,AIRTEL,CARDS'!AB7</f>
        <v>214460</v>
      </c>
      <c r="AD16" s="22">
        <f>'MOMO,AIRTEL,CARDS'!AC7</f>
        <v>903450</v>
      </c>
      <c r="AE16" s="22">
        <f>'MOMO,AIRTEL,CARDS'!AD7</f>
        <v>383520</v>
      </c>
      <c r="AF16" s="22">
        <f>'MOMO,AIRTEL,CARDS'!AE7</f>
        <v>32830</v>
      </c>
      <c r="AG16" s="22">
        <f>'MOMO,AIRTEL,CARDS'!AF7</f>
        <v>990987</v>
      </c>
      <c r="AH16" s="94">
        <f t="shared" si="90"/>
        <v>17227928</v>
      </c>
      <c r="AI16" s="22">
        <f>'MOMO,AIRTEL,CARDS'!AH7</f>
        <v>305658</v>
      </c>
      <c r="AJ16" s="22">
        <f>'MOMO,AIRTEL,CARDS'!AI7</f>
        <v>195500</v>
      </c>
      <c r="AK16" s="22">
        <f>'MOMO,AIRTEL,CARDS'!AJ7</f>
        <v>905650</v>
      </c>
      <c r="AL16" s="22">
        <f>'MOMO,AIRTEL,CARDS'!AK7</f>
        <v>367600</v>
      </c>
      <c r="AM16" s="22">
        <f>'MOMO,AIRTEL,CARDS'!AL7</f>
        <v>178220</v>
      </c>
      <c r="AN16" s="22">
        <f>'MOMO,AIRTEL,CARDS'!AM7</f>
        <v>312050</v>
      </c>
      <c r="AO16" s="22">
        <f>'MOMO,AIRTEL,CARDS'!AN7</f>
        <v>560850</v>
      </c>
      <c r="AP16" s="22">
        <f>'MOMO,AIRTEL,CARDS'!AO7</f>
        <v>234500</v>
      </c>
      <c r="AQ16" s="22">
        <f>'MOMO,AIRTEL,CARDS'!AP7</f>
        <v>823500</v>
      </c>
      <c r="AR16" s="22">
        <f>'MOMO,AIRTEL,CARDS'!AQ7</f>
        <v>1087050</v>
      </c>
      <c r="AS16" s="22">
        <f>'MOMO,AIRTEL,CARDS'!AR7</f>
        <v>0</v>
      </c>
      <c r="AT16" s="22">
        <f>'MOMO,AIRTEL,CARDS'!AS7</f>
        <v>0</v>
      </c>
      <c r="AU16" s="22">
        <f>'MOMO,AIRTEL,CARDS'!AT7</f>
        <v>0</v>
      </c>
      <c r="AV16" s="22">
        <f>'MOMO,AIRTEL,CARDS'!AU7</f>
        <v>792500</v>
      </c>
      <c r="AW16" s="22">
        <f>'MOMO,AIRTEL,CARDS'!AV7</f>
        <v>343000</v>
      </c>
      <c r="AX16" s="22">
        <f>'MOMO,AIRTEL,CARDS'!AW7</f>
        <v>367200</v>
      </c>
      <c r="AY16" s="22">
        <f>'MOMO,AIRTEL,CARDS'!AX7</f>
        <v>199000</v>
      </c>
      <c r="AZ16" s="22">
        <f>'MOMO,AIRTEL,CARDS'!AY7</f>
        <v>546330</v>
      </c>
      <c r="BA16" s="22">
        <f>'MOMO,AIRTEL,CARDS'!AZ7</f>
        <v>343600</v>
      </c>
      <c r="BB16" s="22">
        <f>'MOMO,AIRTEL,CARDS'!BA7</f>
        <v>0</v>
      </c>
      <c r="BC16" s="22">
        <f>'MOMO,AIRTEL,CARDS'!BB7</f>
        <v>536750</v>
      </c>
      <c r="BD16" s="22">
        <f>'MOMO,AIRTEL,CARDS'!BC7</f>
        <v>539000</v>
      </c>
      <c r="BE16" s="22">
        <f>'MOMO,AIRTEL,CARDS'!BD7</f>
        <v>80000</v>
      </c>
      <c r="BF16" s="22">
        <f>'MOMO,AIRTEL,CARDS'!BE7</f>
        <v>288500</v>
      </c>
      <c r="BG16" s="22">
        <f>'MOMO,AIRTEL,CARDS'!BF7</f>
        <v>50000</v>
      </c>
      <c r="BH16" s="22">
        <f>'MOMO,AIRTEL,CARDS'!BG7</f>
        <v>196000</v>
      </c>
      <c r="BI16" s="22">
        <f>'MOMO,AIRTEL,CARDS'!BH7</f>
        <v>223900</v>
      </c>
      <c r="BJ16" s="22">
        <f>'MOMO,AIRTEL,CARDS'!BI7</f>
        <v>1085500</v>
      </c>
      <c r="BK16" s="22">
        <f>'MOMO,AIRTEL,CARDS'!BJ7</f>
        <v>891000</v>
      </c>
      <c r="BL16" s="22">
        <f>'MOMO,AIRTEL,CARDS'!BK7</f>
        <v>173250</v>
      </c>
      <c r="BM16" s="97">
        <f t="shared" si="92"/>
        <v>11626108</v>
      </c>
      <c r="BN16" s="22">
        <f>'MOMO,AIRTEL,CARDS'!BM7</f>
        <v>237000</v>
      </c>
      <c r="BO16" s="22">
        <f>'MOMO,AIRTEL,CARDS'!BN7</f>
        <v>247500</v>
      </c>
      <c r="BP16" s="22">
        <f>'MOMO,AIRTEL,CARDS'!BO7</f>
        <v>611470</v>
      </c>
      <c r="BQ16" s="22">
        <f>'MOMO,AIRTEL,CARDS'!BP7</f>
        <v>0</v>
      </c>
      <c r="BR16" s="22">
        <f>'MOMO,AIRTEL,CARDS'!BQ7</f>
        <v>2476000</v>
      </c>
      <c r="BS16" s="22">
        <f>'MOMO,AIRTEL,CARDS'!BR7</f>
        <v>188420</v>
      </c>
      <c r="BT16" s="22">
        <f>'MOMO,AIRTEL,CARDS'!BS7</f>
        <v>978190</v>
      </c>
      <c r="BU16" s="22">
        <f>'MOMO,AIRTEL,CARDS'!BT7</f>
        <v>415090</v>
      </c>
      <c r="BV16" s="22">
        <f>'MOMO,AIRTEL,CARDS'!BU7</f>
        <v>1905750</v>
      </c>
      <c r="BW16" s="22">
        <f>'MOMO,AIRTEL,CARDS'!BV7</f>
        <v>695500</v>
      </c>
      <c r="BX16" s="22">
        <f>'MOMO,AIRTEL,CARDS'!BW7</f>
        <v>819280</v>
      </c>
      <c r="BY16" s="22">
        <f>'MOMO,AIRTEL,CARDS'!BX7</f>
        <v>0</v>
      </c>
      <c r="BZ16" s="22">
        <f>'MOMO,AIRTEL,CARDS'!BY7</f>
        <v>690867</v>
      </c>
      <c r="CA16" s="22">
        <f>'MOMO,AIRTEL,CARDS'!BZ7</f>
        <v>869052</v>
      </c>
      <c r="CB16" s="22">
        <f>'MOMO,AIRTEL,CARDS'!CA7</f>
        <v>628000</v>
      </c>
      <c r="CC16" s="22">
        <f>'MOMO,AIRTEL,CARDS'!CB7</f>
        <v>267500</v>
      </c>
      <c r="CD16" s="22">
        <f>'MOMO,AIRTEL,CARDS'!CC7</f>
        <v>386600</v>
      </c>
      <c r="CE16" s="22">
        <f>'MOMO,AIRTEL,CARDS'!CD7</f>
        <v>2213905</v>
      </c>
      <c r="CF16" s="22">
        <f>'MOMO,AIRTEL,CARDS'!CE7</f>
        <v>0</v>
      </c>
      <c r="CG16" s="22">
        <f>'MOMO,AIRTEL,CARDS'!CF7</f>
        <v>497700</v>
      </c>
      <c r="CH16" s="22">
        <f>'MOMO,AIRTEL,CARDS'!CG7</f>
        <v>60000</v>
      </c>
      <c r="CI16" s="22">
        <f>'MOMO,AIRTEL,CARDS'!CH7</f>
        <v>110000</v>
      </c>
      <c r="CJ16" s="22">
        <f>'MOMO,AIRTEL,CARDS'!CI7</f>
        <v>30000</v>
      </c>
      <c r="CK16" s="22">
        <f>'MOMO,AIRTEL,CARDS'!CJ7</f>
        <v>0</v>
      </c>
      <c r="CL16" s="22">
        <f>'MOMO,AIRTEL,CARDS'!CK7</f>
        <v>639150</v>
      </c>
      <c r="CM16" s="22">
        <f>'MOMO,AIRTEL,CARDS'!CL7</f>
        <v>150000</v>
      </c>
      <c r="CN16" s="22">
        <f>'MOMO,AIRTEL,CARDS'!CM7</f>
        <v>371250</v>
      </c>
      <c r="CO16" s="22">
        <f>'MOMO,AIRTEL,CARDS'!CN7</f>
        <v>0</v>
      </c>
      <c r="CP16" s="22">
        <f>'MOMO,AIRTEL,CARDS'!CO7</f>
        <v>20000</v>
      </c>
      <c r="CQ16" s="22">
        <f>'MOMO,AIRTEL,CARDS'!CP7</f>
        <v>30000</v>
      </c>
      <c r="CR16" s="22">
        <f>'MOMO,AIRTEL,CARDS'!CQ7</f>
        <v>297500</v>
      </c>
      <c r="CS16" s="111">
        <f t="shared" si="10"/>
        <v>15835724</v>
      </c>
      <c r="CT16" s="22">
        <f>'MOMO,AIRTEL,CARDS'!CS7</f>
        <v>207800</v>
      </c>
      <c r="CU16" s="22">
        <f>'MOMO,AIRTEL,CARDS'!CT7</f>
        <v>1097890</v>
      </c>
      <c r="CV16" s="22">
        <f>'MOMO,AIRTEL,CARDS'!CU7</f>
        <v>239500</v>
      </c>
      <c r="CW16" s="22">
        <f>'MOMO,AIRTEL,CARDS'!CV7</f>
        <v>309000</v>
      </c>
      <c r="CX16" s="22">
        <f>'MOMO,AIRTEL,CARDS'!CW7</f>
        <v>321750</v>
      </c>
      <c r="CY16" s="22">
        <f>'MOMO,AIRTEL,CARDS'!CX7</f>
        <v>575000</v>
      </c>
      <c r="CZ16" s="22">
        <f>'MOMO,AIRTEL,CARDS'!CY7</f>
        <v>1965279</v>
      </c>
      <c r="DA16" s="22">
        <f>'MOMO,AIRTEL,CARDS'!CZ7</f>
        <v>332443</v>
      </c>
      <c r="DB16" s="22">
        <f>'MOMO,AIRTEL,CARDS'!DA7</f>
        <v>1588445</v>
      </c>
      <c r="DC16" s="22">
        <f>'MOMO,AIRTEL,CARDS'!DB7</f>
        <v>411500</v>
      </c>
      <c r="DD16" s="22">
        <f>'MOMO,AIRTEL,CARDS'!DC7</f>
        <v>1272170</v>
      </c>
      <c r="DE16" s="22">
        <f>'MOMO,AIRTEL,CARDS'!DD7</f>
        <v>203000</v>
      </c>
      <c r="DF16" s="22">
        <f>'MOMO,AIRTEL,CARDS'!DE7</f>
        <v>499243</v>
      </c>
      <c r="DG16" s="22">
        <f>'MOMO,AIRTEL,CARDS'!DF7</f>
        <v>587079</v>
      </c>
      <c r="DH16" s="22">
        <f>'MOMO,AIRTEL,CARDS'!DG7</f>
        <v>1108300</v>
      </c>
      <c r="DI16" s="22">
        <f>'MOMO,AIRTEL,CARDS'!DH7</f>
        <v>0</v>
      </c>
      <c r="DJ16" s="22">
        <f>'MOMO,AIRTEL,CARDS'!DI7</f>
        <v>2337500</v>
      </c>
      <c r="DK16" s="22">
        <f>'MOMO,AIRTEL,CARDS'!DJ7</f>
        <v>658453</v>
      </c>
      <c r="DL16" s="22">
        <f>'MOMO,AIRTEL,CARDS'!DK7</f>
        <v>567000</v>
      </c>
      <c r="DM16" s="22">
        <f>'MOMO,AIRTEL,CARDS'!DL7</f>
        <v>979200</v>
      </c>
      <c r="DN16" s="22">
        <f>'MOMO,AIRTEL,CARDS'!DM7</f>
        <v>424350</v>
      </c>
      <c r="DO16" s="22">
        <f>'MOMO,AIRTEL,CARDS'!DN7</f>
        <v>2125700</v>
      </c>
      <c r="DP16" s="22">
        <f>'MOMO,AIRTEL,CARDS'!DO7</f>
        <v>290250</v>
      </c>
      <c r="DQ16" s="22">
        <f>'MOMO,AIRTEL,CARDS'!DP7</f>
        <v>0</v>
      </c>
      <c r="DR16" s="22">
        <f>'MOMO,AIRTEL,CARDS'!DQ7</f>
        <v>0</v>
      </c>
      <c r="DS16" s="22">
        <f>'MOMO,AIRTEL,CARDS'!DR7</f>
        <v>0</v>
      </c>
      <c r="DT16" s="22">
        <f>'MOMO,AIRTEL,CARDS'!DS7</f>
        <v>3644800</v>
      </c>
      <c r="DU16" s="22">
        <f>'MOMO,AIRTEL,CARDS'!DT7</f>
        <v>436500</v>
      </c>
      <c r="DV16" s="22">
        <f>'MOMO,AIRTEL,CARDS'!DU7</f>
        <v>0</v>
      </c>
      <c r="DW16" s="22">
        <f>'MOMO,AIRTEL,CARDS'!DV7</f>
        <v>509400</v>
      </c>
      <c r="DX16" s="119">
        <f t="shared" si="95"/>
        <v>22691552</v>
      </c>
      <c r="DY16" s="22">
        <f>'MOMO,AIRTEL,CARDS'!DX7</f>
        <v>1108003</v>
      </c>
      <c r="DZ16" s="22">
        <f>'MOMO,AIRTEL,CARDS'!DY7</f>
        <v>1696000</v>
      </c>
      <c r="EA16" s="22">
        <f>'MOMO,AIRTEL,CARDS'!DZ7</f>
        <v>420000</v>
      </c>
      <c r="EB16" s="22">
        <f>'MOMO,AIRTEL,CARDS'!EA7</f>
        <v>100000</v>
      </c>
      <c r="EC16" s="22">
        <f>'MOMO,AIRTEL,CARDS'!EB7</f>
        <v>0</v>
      </c>
      <c r="ED16" s="22">
        <f>'MOMO,AIRTEL,CARDS'!EC7</f>
        <v>650000</v>
      </c>
      <c r="EE16" s="22">
        <f>'MOMO,AIRTEL,CARDS'!ED7</f>
        <v>888900</v>
      </c>
      <c r="EF16" s="22">
        <f>'MOMO,AIRTEL,CARDS'!EE7</f>
        <v>0</v>
      </c>
      <c r="EG16" s="22">
        <f>'MOMO,AIRTEL,CARDS'!EF7</f>
        <v>315250</v>
      </c>
      <c r="EH16" s="22">
        <f>'MOMO,AIRTEL,CARDS'!EG7</f>
        <v>103500</v>
      </c>
      <c r="EI16" s="22">
        <f>'MOMO,AIRTEL,CARDS'!EH7</f>
        <v>1035000</v>
      </c>
      <c r="EJ16" s="22">
        <f>'MOMO,AIRTEL,CARDS'!EI7</f>
        <v>1548609</v>
      </c>
      <c r="EK16" s="22">
        <f>'MOMO,AIRTEL,CARDS'!EJ7</f>
        <v>647750</v>
      </c>
      <c r="EL16" s="22">
        <f>'MOMO,AIRTEL,CARDS'!EK7</f>
        <v>291000</v>
      </c>
      <c r="EM16" s="22">
        <f>'MOMO,AIRTEL,CARDS'!EL7</f>
        <v>1843000</v>
      </c>
      <c r="EN16" s="22">
        <f>'MOMO,AIRTEL,CARDS'!EM7</f>
        <v>681000</v>
      </c>
      <c r="EO16" s="22">
        <f>'MOMO,AIRTEL,CARDS'!EN7</f>
        <v>201000</v>
      </c>
      <c r="EP16" s="22">
        <f>'MOMO,AIRTEL,CARDS'!EO7</f>
        <v>160000</v>
      </c>
      <c r="EQ16" s="22">
        <f>'MOMO,AIRTEL,CARDS'!EP7</f>
        <v>242500</v>
      </c>
      <c r="ER16" s="22">
        <f>'MOMO,AIRTEL,CARDS'!EQ7</f>
        <v>582000</v>
      </c>
      <c r="ES16" s="22">
        <f>'MOMO,AIRTEL,CARDS'!ER7</f>
        <v>1940000</v>
      </c>
      <c r="ET16" s="22">
        <f>'MOMO,AIRTEL,CARDS'!ES7</f>
        <v>100000</v>
      </c>
      <c r="EU16" s="22">
        <f>'MOMO,AIRTEL,CARDS'!ET7</f>
        <v>0</v>
      </c>
      <c r="EV16" s="22">
        <f>'MOMO,AIRTEL,CARDS'!EU7</f>
        <v>0</v>
      </c>
      <c r="EW16" s="22">
        <f>'MOMO,AIRTEL,CARDS'!EV7</f>
        <v>102960</v>
      </c>
      <c r="EX16" s="22">
        <f>'MOMO,AIRTEL,CARDS'!EW7</f>
        <v>32000</v>
      </c>
      <c r="EY16" s="22">
        <f>'MOMO,AIRTEL,CARDS'!EX7</f>
        <v>0</v>
      </c>
      <c r="EZ16" s="22">
        <f>'MOMO,AIRTEL,CARDS'!EY7</f>
        <v>0</v>
      </c>
      <c r="FA16" s="22">
        <f>'MOMO,AIRTEL,CARDS'!EZ7</f>
        <v>0</v>
      </c>
      <c r="FB16" s="22">
        <f>'MOMO,AIRTEL,CARDS'!FA7</f>
        <v>542500</v>
      </c>
      <c r="FC16" s="22">
        <f>'MOMO,AIRTEL,CARDS'!FB7</f>
        <v>339500</v>
      </c>
      <c r="FD16" s="128">
        <f t="shared" si="97"/>
        <v>15570472</v>
      </c>
      <c r="FE16" s="22">
        <f>'MOMO,AIRTEL,CARDS'!FD7</f>
        <v>339400</v>
      </c>
      <c r="FF16" s="22">
        <f>'MOMO,AIRTEL,CARDS'!FE7</f>
        <v>1661900</v>
      </c>
      <c r="FG16" s="22">
        <f>'MOMO,AIRTEL,CARDS'!FF7</f>
        <v>1812500</v>
      </c>
      <c r="FH16" s="22">
        <f>'MOMO,AIRTEL,CARDS'!FG7</f>
        <v>277000</v>
      </c>
      <c r="FI16" s="22">
        <f>'MOMO,AIRTEL,CARDS'!FH7</f>
        <v>0</v>
      </c>
      <c r="FJ16" s="22">
        <f>'MOMO,AIRTEL,CARDS'!FI7</f>
        <v>1528900</v>
      </c>
      <c r="FK16" s="22">
        <f>'MOMO,AIRTEL,CARDS'!FJ7</f>
        <v>194000</v>
      </c>
      <c r="FL16" s="22">
        <f>'MOMO,AIRTEL,CARDS'!FK7</f>
        <v>194000</v>
      </c>
      <c r="FM16" s="22">
        <f>'MOMO,AIRTEL,CARDS'!FL7</f>
        <v>545362</v>
      </c>
      <c r="FN16" s="22">
        <f>'MOMO,AIRTEL,CARDS'!FM7</f>
        <v>0</v>
      </c>
      <c r="FO16" s="22">
        <f>'MOMO,AIRTEL,CARDS'!FN7</f>
        <v>0</v>
      </c>
      <c r="FP16" s="22">
        <f>'MOMO,AIRTEL,CARDS'!FO7</f>
        <v>2449250</v>
      </c>
      <c r="FQ16" s="22">
        <f>'MOMO,AIRTEL,CARDS'!FP7</f>
        <v>0</v>
      </c>
      <c r="FR16" s="22">
        <f>'MOMO,AIRTEL,CARDS'!FQ7</f>
        <v>194000</v>
      </c>
      <c r="FS16" s="22">
        <f>'MOMO,AIRTEL,CARDS'!FR7</f>
        <v>1908250</v>
      </c>
      <c r="FT16" s="22">
        <f>'MOMO,AIRTEL,CARDS'!FS7</f>
        <v>0</v>
      </c>
      <c r="FU16" s="22">
        <f>'MOMO,AIRTEL,CARDS'!FT7</f>
        <v>175000</v>
      </c>
      <c r="FV16" s="22">
        <v>445250</v>
      </c>
      <c r="FW16" s="22">
        <f>'MOMO,AIRTEL,CARDS'!FV7</f>
        <v>0</v>
      </c>
      <c r="FX16" s="22">
        <f>'MOMO,AIRTEL,CARDS'!FW7</f>
        <v>100000</v>
      </c>
      <c r="FY16" s="22">
        <f>'MOMO,AIRTEL,CARDS'!FX7</f>
        <v>214750</v>
      </c>
      <c r="FZ16" s="22">
        <f>'MOMO,AIRTEL,CARDS'!FY7</f>
        <v>0</v>
      </c>
      <c r="GA16" s="22">
        <f>'MOMO,AIRTEL,CARDS'!FZ7</f>
        <v>2677867</v>
      </c>
      <c r="GB16" s="22">
        <f>'MOMO,AIRTEL,CARDS'!GA7</f>
        <v>0</v>
      </c>
      <c r="GC16" s="22">
        <f>'MOMO,AIRTEL,CARDS'!GB7</f>
        <v>127000</v>
      </c>
      <c r="GD16" s="22">
        <f>'MOMO,AIRTEL,CARDS'!GC7</f>
        <v>205000</v>
      </c>
      <c r="GE16" s="22">
        <f>'MOMO,AIRTEL,CARDS'!GD7</f>
        <v>1727380</v>
      </c>
      <c r="GF16" s="22">
        <f>'MOMO,AIRTEL,CARDS'!GE7</f>
        <v>0</v>
      </c>
      <c r="GG16" s="22">
        <f>'MOMO,AIRTEL,CARDS'!GF7</f>
        <v>318250</v>
      </c>
      <c r="GH16" s="22">
        <f>'MOMO,AIRTEL,CARDS'!GG7</f>
        <v>1600000</v>
      </c>
      <c r="GI16" s="22">
        <f>'MOMO,AIRTEL,CARDS'!GH7</f>
        <v>339500</v>
      </c>
      <c r="GJ16" s="127">
        <f t="shared" si="99"/>
        <v>19034559</v>
      </c>
      <c r="GK16" s="22">
        <f>'MOMO,AIRTEL,CARDS'!GJ7</f>
        <v>1635200</v>
      </c>
      <c r="GL16" s="22">
        <f>'MOMO,AIRTEL,CARDS'!GK7</f>
        <v>1623530</v>
      </c>
      <c r="GM16" s="22">
        <f>'MOMO,AIRTEL,CARDS'!GL7</f>
        <v>5290</v>
      </c>
      <c r="GN16" s="22">
        <f>'MOMO,AIRTEL,CARDS'!GM7</f>
        <v>890982</v>
      </c>
      <c r="GO16" s="22">
        <f>'MOMO,AIRTEL,CARDS'!GN7</f>
        <v>1050900</v>
      </c>
      <c r="GP16" s="22">
        <f>'MOMO,AIRTEL,CARDS'!GO7</f>
        <v>582500</v>
      </c>
      <c r="GQ16" s="22">
        <f>'MOMO,AIRTEL,CARDS'!GP7</f>
        <v>1996700</v>
      </c>
      <c r="GR16" s="22">
        <f>'MOMO,AIRTEL,CARDS'!GQ7</f>
        <v>528969</v>
      </c>
      <c r="GS16" s="22">
        <f>'MOMO,AIRTEL,CARDS'!GR7</f>
        <v>342307</v>
      </c>
      <c r="GT16" s="22">
        <f>'MOMO,AIRTEL,CARDS'!GS7</f>
        <v>2002500</v>
      </c>
      <c r="GU16" s="22">
        <f>'MOMO,AIRTEL,CARDS'!GT7</f>
        <v>262500</v>
      </c>
      <c r="GV16" s="22">
        <f>'MOMO,AIRTEL,CARDS'!GU7</f>
        <v>324950</v>
      </c>
      <c r="GW16" s="22">
        <f>'MOMO,AIRTEL,CARDS'!GV7</f>
        <v>100000</v>
      </c>
      <c r="GX16" s="22">
        <f>'MOMO,AIRTEL,CARDS'!GW7</f>
        <v>1982400</v>
      </c>
      <c r="GY16" s="22">
        <f>'MOMO,AIRTEL,CARDS'!GX7</f>
        <v>349200</v>
      </c>
      <c r="GZ16" s="22">
        <f>'MOMO,AIRTEL,CARDS'!GY7</f>
        <v>291000</v>
      </c>
      <c r="HA16" s="22">
        <f>'MOMO,AIRTEL,CARDS'!GZ7</f>
        <v>720000</v>
      </c>
      <c r="HB16" s="22">
        <f>'MOMO,AIRTEL,CARDS'!HA7</f>
        <v>100000</v>
      </c>
      <c r="HC16" s="22">
        <f>'MOMO,AIRTEL,CARDS'!HB7</f>
        <v>1700500</v>
      </c>
      <c r="HD16" s="22">
        <f>'MOMO,AIRTEL,CARDS'!HC7</f>
        <v>642350</v>
      </c>
      <c r="HE16" s="22">
        <f>'MOMO,AIRTEL,CARDS'!HD7</f>
        <v>258550</v>
      </c>
      <c r="HF16" s="22">
        <f>'MOMO,AIRTEL,CARDS'!HE7</f>
        <v>200000</v>
      </c>
      <c r="HG16" s="22">
        <f>'MOMO,AIRTEL,CARDS'!HF7</f>
        <v>197000</v>
      </c>
      <c r="HH16" s="22">
        <f>'MOMO,AIRTEL,CARDS'!HG7</f>
        <v>2282500</v>
      </c>
      <c r="HI16" s="22">
        <f>'MOMO,AIRTEL,CARDS'!HH7</f>
        <v>0</v>
      </c>
      <c r="HJ16" s="22">
        <f>'MOMO,AIRTEL,CARDS'!HI7</f>
        <v>955515</v>
      </c>
      <c r="HK16" s="22">
        <f>'MOMO,AIRTEL,CARDS'!HJ7</f>
        <v>0</v>
      </c>
      <c r="HL16" s="22">
        <f>'MOMO,AIRTEL,CARDS'!HK7</f>
        <v>420500</v>
      </c>
      <c r="HM16" s="22">
        <f>'MOMO,AIRTEL,CARDS'!HL7</f>
        <v>927000</v>
      </c>
      <c r="HN16" s="127">
        <f t="shared" si="101"/>
        <v>22372843</v>
      </c>
      <c r="HO16" s="22">
        <f>'MOMO,AIRTEL,CARDS'!HN7</f>
        <v>1939453</v>
      </c>
      <c r="HP16" s="22">
        <f>'MOMO,AIRTEL,CARDS'!HO7</f>
        <v>388000</v>
      </c>
      <c r="HQ16" s="22">
        <f>'MOMO,AIRTEL,CARDS'!HP7</f>
        <v>1000000</v>
      </c>
      <c r="HR16" s="22">
        <f>'MOMO,AIRTEL,CARDS'!HQ7</f>
        <v>2589326</v>
      </c>
      <c r="HS16" s="22">
        <f>'MOMO,AIRTEL,CARDS'!HR7</f>
        <v>1164150</v>
      </c>
      <c r="HT16" s="22">
        <f>'MOMO,AIRTEL,CARDS'!HS7</f>
        <v>50000</v>
      </c>
      <c r="HU16" s="22">
        <f>'MOMO,AIRTEL,CARDS'!HT7</f>
        <v>366750</v>
      </c>
      <c r="HV16" s="22">
        <f>'MOMO,AIRTEL,CARDS'!HU7</f>
        <v>777864</v>
      </c>
      <c r="HW16" s="22">
        <f>'MOMO,AIRTEL,CARDS'!HV7</f>
        <v>2513650</v>
      </c>
      <c r="HX16" s="22">
        <f>'MOMO,AIRTEL,CARDS'!HW7</f>
        <v>0</v>
      </c>
      <c r="HY16" s="22">
        <f>'MOMO,AIRTEL,CARDS'!HX7</f>
        <v>1290000</v>
      </c>
      <c r="HZ16" s="22">
        <f>'MOMO,AIRTEL,CARDS'!HY7</f>
        <v>0</v>
      </c>
      <c r="IA16" s="22">
        <f>'MOMO,AIRTEL,CARDS'!HZ7</f>
        <v>250000</v>
      </c>
      <c r="IB16" s="22">
        <f>'MOMO,AIRTEL,CARDS'!IA7</f>
        <v>1287337</v>
      </c>
      <c r="IC16" s="22">
        <f>'MOMO,AIRTEL,CARDS'!IB7</f>
        <v>452250</v>
      </c>
      <c r="ID16" s="22">
        <f>'MOMO,AIRTEL,CARDS'!IC7</f>
        <v>299000</v>
      </c>
      <c r="IE16" s="22">
        <f>'MOMO,AIRTEL,CARDS'!ID7</f>
        <v>398500</v>
      </c>
      <c r="IF16" s="22">
        <f>'MOMO,AIRTEL,CARDS'!IE7</f>
        <v>1478000</v>
      </c>
      <c r="IG16" s="22">
        <f>'MOMO,AIRTEL,CARDS'!IF7</f>
        <v>1232000</v>
      </c>
      <c r="IH16" s="22">
        <f>'MOMO,AIRTEL,CARDS'!IG7</f>
        <v>399530</v>
      </c>
      <c r="II16" s="22">
        <f>'MOMO,AIRTEL,CARDS'!IH7</f>
        <v>2235450</v>
      </c>
      <c r="IJ16" s="22">
        <f>'MOMO,AIRTEL,CARDS'!II7</f>
        <v>321000</v>
      </c>
      <c r="IK16" s="22">
        <f>'MOMO,AIRTEL,CARDS'!IJ7</f>
        <v>97000</v>
      </c>
      <c r="IL16" s="22">
        <f>'MOMO,AIRTEL,CARDS'!IK7</f>
        <v>0</v>
      </c>
      <c r="IM16" s="22">
        <f>'MOMO,AIRTEL,CARDS'!IL7</f>
        <v>1466000</v>
      </c>
      <c r="IN16" s="22">
        <f>'MOMO,AIRTEL,CARDS'!IM7</f>
        <v>441000</v>
      </c>
      <c r="IO16" s="22">
        <f>'MOMO,AIRTEL,CARDS'!IN7</f>
        <v>224217</v>
      </c>
      <c r="IP16" s="22">
        <f>'MOMO,AIRTEL,CARDS'!IO7</f>
        <v>250000</v>
      </c>
      <c r="IQ16" s="22">
        <f>'MOMO,AIRTEL,CARDS'!IP7</f>
        <v>1700000</v>
      </c>
      <c r="IR16" s="22">
        <f>'MOMO,AIRTEL,CARDS'!IQ7</f>
        <v>740000</v>
      </c>
      <c r="IS16" s="22">
        <f>'MOMO,AIRTEL,CARDS'!IR7</f>
        <v>100000</v>
      </c>
      <c r="IT16" s="127">
        <f t="shared" si="22"/>
        <v>25450477</v>
      </c>
      <c r="IU16" s="22">
        <f>'MOMO,AIRTEL,CARDS'!IT7</f>
        <v>1370750</v>
      </c>
      <c r="IV16" s="22">
        <f>'MOMO,AIRTEL,CARDS'!IU7</f>
        <v>2598808</v>
      </c>
      <c r="IW16" s="22">
        <f>'MOMO,AIRTEL,CARDS'!IV7</f>
        <v>280000</v>
      </c>
      <c r="IX16" s="22">
        <f>'MOMO,AIRTEL,CARDS'!IW7</f>
        <v>1728964</v>
      </c>
      <c r="IY16" s="22">
        <f>'MOMO,AIRTEL,CARDS'!IX7</f>
        <v>2065142</v>
      </c>
      <c r="IZ16" s="22">
        <f>'MOMO,AIRTEL,CARDS'!IY7</f>
        <v>618807</v>
      </c>
      <c r="JA16" s="22">
        <f>'MOMO,AIRTEL,CARDS'!IZ7</f>
        <v>30000</v>
      </c>
      <c r="JB16" s="22">
        <f>'MOMO,AIRTEL,CARDS'!JA7</f>
        <v>2619750</v>
      </c>
      <c r="JC16" s="22">
        <f>'MOMO,AIRTEL,CARDS'!JB7</f>
        <v>304700</v>
      </c>
      <c r="JD16" s="22">
        <f>'MOMO,AIRTEL,CARDS'!JC7</f>
        <v>200000</v>
      </c>
      <c r="JE16" s="22">
        <f>'MOMO,AIRTEL,CARDS'!JD7</f>
        <v>70000</v>
      </c>
      <c r="JF16" s="22">
        <f>'MOMO,AIRTEL,CARDS'!JE7</f>
        <v>394450</v>
      </c>
      <c r="JG16" s="22">
        <f>'MOMO,AIRTEL,CARDS'!JF7</f>
        <v>3379965</v>
      </c>
      <c r="JH16" s="22">
        <f>'MOMO,AIRTEL,CARDS'!JG7</f>
        <v>314000</v>
      </c>
      <c r="JI16" s="22">
        <f>'MOMO,AIRTEL,CARDS'!JH7</f>
        <v>400000</v>
      </c>
      <c r="JJ16" s="22">
        <f>'MOMO,AIRTEL,CARDS'!JI7</f>
        <v>0</v>
      </c>
      <c r="JK16" s="22">
        <f>'MOMO,AIRTEL,CARDS'!JJ7</f>
        <v>2287842</v>
      </c>
      <c r="JL16" s="22">
        <f>'MOMO,AIRTEL,CARDS'!JK7</f>
        <v>250000</v>
      </c>
      <c r="JM16" s="22">
        <f>'MOMO,AIRTEL,CARDS'!JL7</f>
        <v>539900</v>
      </c>
      <c r="JN16" s="22">
        <f>'MOMO,AIRTEL,CARDS'!JM7</f>
        <v>0</v>
      </c>
      <c r="JO16" s="22">
        <f>'MOMO,AIRTEL,CARDS'!JN7</f>
        <v>0</v>
      </c>
      <c r="JP16" s="22">
        <f>'MOMO,AIRTEL,CARDS'!JO7</f>
        <v>3443300</v>
      </c>
      <c r="JQ16" s="22">
        <f>'MOMO,AIRTEL,CARDS'!JP7</f>
        <v>274450</v>
      </c>
      <c r="JR16" s="22">
        <f>'MOMO,AIRTEL,CARDS'!JQ7</f>
        <v>138000</v>
      </c>
      <c r="JS16" s="22">
        <f>'MOMO,AIRTEL,CARDS'!JR7</f>
        <v>444000</v>
      </c>
      <c r="JT16" s="22">
        <f>'MOMO,AIRTEL,CARDS'!JS7</f>
        <v>784362</v>
      </c>
      <c r="JU16" s="22">
        <f>'MOMO,AIRTEL,CARDS'!JT7</f>
        <v>0</v>
      </c>
      <c r="JV16" s="22">
        <f>'MOMO,AIRTEL,CARDS'!JU7</f>
        <v>0</v>
      </c>
      <c r="JW16" s="22">
        <f>'MOMO,AIRTEL,CARDS'!JV7</f>
        <v>1050000</v>
      </c>
      <c r="JX16" s="22">
        <f>'MOMO,AIRTEL,CARDS'!JW7</f>
        <v>294400</v>
      </c>
      <c r="JY16" s="127">
        <f t="shared" si="58"/>
        <v>25881590</v>
      </c>
      <c r="JZ16" s="22">
        <f>'MOMO,AIRTEL,CARDS'!JY7</f>
        <v>284720</v>
      </c>
      <c r="KA16" s="22">
        <f>'MOMO,AIRTEL,CARDS'!JZ7</f>
        <v>1495000</v>
      </c>
      <c r="KB16" s="22">
        <f>'MOMO,AIRTEL,CARDS'!KA7</f>
        <v>1295306</v>
      </c>
      <c r="KC16" s="22">
        <f>'MOMO,AIRTEL,CARDS'!KB7</f>
        <v>45000</v>
      </c>
      <c r="KD16" s="22">
        <f>'MOMO,AIRTEL,CARDS'!KC7</f>
        <v>50000</v>
      </c>
      <c r="KE16" s="22">
        <f>'MOMO,AIRTEL,CARDS'!KD7</f>
        <v>429969</v>
      </c>
      <c r="KF16" s="22">
        <f>'MOMO,AIRTEL,CARDS'!KE7</f>
        <v>655662</v>
      </c>
      <c r="KG16" s="22">
        <f>'MOMO,AIRTEL,CARDS'!KF7</f>
        <v>0</v>
      </c>
      <c r="KH16" s="22">
        <f>'MOMO,AIRTEL,CARDS'!KG7</f>
        <v>787344</v>
      </c>
      <c r="KI16" s="22">
        <f>'MOMO,AIRTEL,CARDS'!KH7</f>
        <v>295991</v>
      </c>
      <c r="KJ16" s="22">
        <f>'MOMO,AIRTEL,CARDS'!KI7</f>
        <v>244500</v>
      </c>
      <c r="KK16" s="22">
        <f>'MOMO,AIRTEL,CARDS'!KJ7</f>
        <v>0</v>
      </c>
      <c r="KL16" s="22">
        <f>'MOMO,AIRTEL,CARDS'!KK7</f>
        <v>5797650</v>
      </c>
      <c r="KM16" s="22">
        <f>'MOMO,AIRTEL,CARDS'!KL7</f>
        <v>86050</v>
      </c>
      <c r="KN16" s="22">
        <f>'MOMO,AIRTEL,CARDS'!KM7</f>
        <v>714807</v>
      </c>
      <c r="KO16" s="22">
        <f>'MOMO,AIRTEL,CARDS'!KN7</f>
        <v>408769</v>
      </c>
      <c r="KP16" s="22">
        <f>'MOMO,AIRTEL,CARDS'!KO7</f>
        <v>322740</v>
      </c>
      <c r="KQ16" s="22">
        <f>'MOMO,AIRTEL,CARDS'!KP7</f>
        <v>11000</v>
      </c>
      <c r="KR16" s="22">
        <f>'MOMO,AIRTEL,CARDS'!KQ7</f>
        <v>0</v>
      </c>
      <c r="KS16" s="22">
        <f>'MOMO,AIRTEL,CARDS'!KR7</f>
        <v>951357</v>
      </c>
      <c r="KT16" s="22">
        <f>'MOMO,AIRTEL,CARDS'!KS7</f>
        <v>39120</v>
      </c>
      <c r="KU16" s="22">
        <f>'MOMO,AIRTEL,CARDS'!KT7</f>
        <v>1583170</v>
      </c>
      <c r="KV16" s="22">
        <f>'MOMO,AIRTEL,CARDS'!KU7</f>
        <v>900184</v>
      </c>
      <c r="KW16" s="22">
        <f>'MOMO,AIRTEL,CARDS'!KV7</f>
        <v>416970</v>
      </c>
      <c r="KX16" s="22">
        <f>'MOMO,AIRTEL,CARDS'!KW7</f>
        <v>600000</v>
      </c>
      <c r="KY16" s="22">
        <f>'MOMO,AIRTEL,CARDS'!KX7</f>
        <v>65120</v>
      </c>
      <c r="KZ16" s="22">
        <f>'MOMO,AIRTEL,CARDS'!KY7</f>
        <v>298240</v>
      </c>
      <c r="LA16" s="22">
        <f>'MOMO,AIRTEL,CARDS'!KZ7</f>
        <v>643266</v>
      </c>
      <c r="LB16" s="22">
        <f>'MOMO,AIRTEL,CARDS'!LA7</f>
        <v>914539</v>
      </c>
      <c r="LC16" s="22">
        <f>'MOMO,AIRTEL,CARDS'!LB7</f>
        <v>505000</v>
      </c>
      <c r="LD16" s="22">
        <f>'MOMO,AIRTEL,CARDS'!LC7</f>
        <v>444350</v>
      </c>
      <c r="LE16" s="127">
        <f t="shared" si="60"/>
        <v>20001104</v>
      </c>
      <c r="LF16" s="22">
        <f>'MOMO,AIRTEL,CARDS'!LE7</f>
        <v>1045950</v>
      </c>
      <c r="LG16" s="22">
        <f>'MOMO,AIRTEL,CARDS'!LF7</f>
        <v>203700</v>
      </c>
      <c r="LH16" s="22">
        <f>'MOMO,AIRTEL,CARDS'!LG7</f>
        <v>753064</v>
      </c>
      <c r="LI16" s="22">
        <f>'MOMO,AIRTEL,CARDS'!LH7</f>
        <v>1217460</v>
      </c>
      <c r="LJ16" s="22">
        <f>'MOMO,AIRTEL,CARDS'!LI7</f>
        <v>281620</v>
      </c>
      <c r="LK16" s="22">
        <f>'MOMO,AIRTEL,CARDS'!LJ7</f>
        <v>38800</v>
      </c>
      <c r="LL16" s="22">
        <f>'MOMO,AIRTEL,CARDS'!LK7</f>
        <v>556750</v>
      </c>
      <c r="LM16" s="22">
        <f>'MOMO,AIRTEL,CARDS'!LL7</f>
        <v>541392</v>
      </c>
      <c r="LN16" s="22">
        <f>'MOMO,AIRTEL,CARDS'!LM7</f>
        <v>38800</v>
      </c>
      <c r="LO16" s="22">
        <f>'MOMO,AIRTEL,CARDS'!LN7</f>
        <v>160050</v>
      </c>
      <c r="LP16" s="22">
        <f>'MOMO,AIRTEL,CARDS'!LO7</f>
        <v>742853</v>
      </c>
      <c r="LQ16" s="22">
        <f>'MOMO,AIRTEL,CARDS'!LP7</f>
        <v>792050</v>
      </c>
      <c r="LR16" s="22">
        <f>'MOMO,AIRTEL,CARDS'!LQ7</f>
        <v>244997</v>
      </c>
      <c r="LS16" s="22">
        <f>'MOMO,AIRTEL,CARDS'!LR7</f>
        <v>77600</v>
      </c>
      <c r="LT16" s="22">
        <f>'MOMO,AIRTEL,CARDS'!LS7</f>
        <v>581750</v>
      </c>
      <c r="LU16" s="22">
        <f>'MOMO,AIRTEL,CARDS'!LT7</f>
        <v>0</v>
      </c>
      <c r="LV16" s="22">
        <f>'MOMO,AIRTEL,CARDS'!LU7</f>
        <v>567262</v>
      </c>
      <c r="LW16" s="22">
        <f>'MOMO,AIRTEL,CARDS'!LV7</f>
        <v>767864</v>
      </c>
      <c r="LX16" s="22">
        <f>'MOMO,AIRTEL,CARDS'!LW7</f>
        <v>38800</v>
      </c>
      <c r="LY16" s="22">
        <f>'MOMO,AIRTEL,CARDS'!LX7</f>
        <v>631125</v>
      </c>
      <c r="LZ16" s="22">
        <f>'MOMO,AIRTEL,CARDS'!LY7</f>
        <v>660820</v>
      </c>
      <c r="MA16" s="22">
        <f>'MOMO,AIRTEL,CARDS'!LZ7</f>
        <v>138800</v>
      </c>
      <c r="MB16" s="22">
        <f>'MOMO,AIRTEL,CARDS'!MA7</f>
        <v>90000</v>
      </c>
      <c r="MC16" s="22">
        <f>'MOMO,AIRTEL,CARDS'!MB7</f>
        <v>0</v>
      </c>
      <c r="MD16" s="22">
        <f>'MOMO,AIRTEL,CARDS'!MC7</f>
        <v>0</v>
      </c>
      <c r="ME16" s="22">
        <f>'MOMO,AIRTEL,CARDS'!MD7</f>
        <v>578862</v>
      </c>
      <c r="MF16" s="22">
        <f>'MOMO,AIRTEL,CARDS'!ME7</f>
        <v>40000</v>
      </c>
      <c r="MG16" s="22">
        <f>'MOMO,AIRTEL,CARDS'!MF7</f>
        <v>454500</v>
      </c>
      <c r="MH16" s="22">
        <f>'MOMO,AIRTEL,CARDS'!MG7</f>
        <v>66500</v>
      </c>
      <c r="MI16" s="22">
        <f>'MOMO,AIRTEL,CARDS'!MH7</f>
        <v>665660</v>
      </c>
      <c r="MJ16" s="127">
        <f t="shared" si="62"/>
        <v>11977029</v>
      </c>
      <c r="MK16" s="22">
        <f>'MOMO,AIRTEL,CARDS'!MJ7</f>
        <v>720950</v>
      </c>
      <c r="ML16" s="22">
        <f>'MOMO,AIRTEL,CARDS'!MK7</f>
        <v>533550</v>
      </c>
      <c r="MM16" s="22">
        <f>'MOMO,AIRTEL,CARDS'!ML7</f>
        <v>92900</v>
      </c>
      <c r="MN16" s="22">
        <f>'MOMO,AIRTEL,CARDS'!MM7</f>
        <v>0</v>
      </c>
      <c r="MO16" s="22">
        <f>'MOMO,AIRTEL,CARDS'!MN7</f>
        <v>370450</v>
      </c>
      <c r="MP16" s="22">
        <f>'MOMO,AIRTEL,CARDS'!MO7</f>
        <v>40000</v>
      </c>
      <c r="MQ16" s="22">
        <f>'MOMO,AIRTEL,CARDS'!MP7</f>
        <v>626682</v>
      </c>
      <c r="MR16" s="22">
        <f>'MOMO,AIRTEL,CARDS'!MQ7</f>
        <v>290950</v>
      </c>
      <c r="MS16" s="22">
        <f>'MOMO,AIRTEL,CARDS'!MR7</f>
        <v>310000</v>
      </c>
      <c r="MT16" s="22">
        <f>'MOMO,AIRTEL,CARDS'!MS7</f>
        <v>273430</v>
      </c>
      <c r="MU16" s="22">
        <f>'MOMO,AIRTEL,CARDS'!MT7</f>
        <v>478000</v>
      </c>
      <c r="MV16" s="22">
        <f>'MOMO,AIRTEL,CARDS'!MU7</f>
        <v>40000</v>
      </c>
      <c r="MW16" s="22">
        <f>'MOMO,AIRTEL,CARDS'!MV7</f>
        <v>559000</v>
      </c>
      <c r="MX16" s="22">
        <f>'MOMO,AIRTEL,CARDS'!MW7</f>
        <v>126000</v>
      </c>
      <c r="MY16" s="22">
        <f>'MOMO,AIRTEL,CARDS'!MX7</f>
        <v>110000</v>
      </c>
      <c r="MZ16" s="22">
        <f>'MOMO,AIRTEL,CARDS'!MY7</f>
        <v>330950</v>
      </c>
      <c r="NA16" s="22">
        <f>'MOMO,AIRTEL,CARDS'!MZ7</f>
        <v>90000</v>
      </c>
      <c r="NB16" s="22">
        <f>'MOMO,AIRTEL,CARDS'!NA7</f>
        <v>360725</v>
      </c>
      <c r="NC16" s="22">
        <f>'MOMO,AIRTEL,CARDS'!NB7</f>
        <v>742262</v>
      </c>
      <c r="ND16" s="22">
        <f>'MOMO,AIRTEL,CARDS'!NC7</f>
        <v>0</v>
      </c>
      <c r="NE16" s="22">
        <f>'MOMO,AIRTEL,CARDS'!ND7</f>
        <v>440000</v>
      </c>
      <c r="NF16" s="22">
        <f>'MOMO,AIRTEL,CARDS'!NE7</f>
        <v>493750</v>
      </c>
      <c r="NG16" s="22">
        <f>'MOMO,AIRTEL,CARDS'!NF7</f>
        <v>40000</v>
      </c>
      <c r="NH16" s="22">
        <f>'MOMO,AIRTEL,CARDS'!NG7</f>
        <v>0</v>
      </c>
      <c r="NI16" s="22">
        <f>'MOMO,AIRTEL,CARDS'!NH7</f>
        <v>20000</v>
      </c>
      <c r="NJ16" s="22">
        <f>'MOMO,AIRTEL,CARDS'!NI7</f>
        <v>531502</v>
      </c>
      <c r="NK16" s="22">
        <f>'MOMO,AIRTEL,CARDS'!NJ7</f>
        <v>400000</v>
      </c>
      <c r="NL16" s="22">
        <f>'MOMO,AIRTEL,CARDS'!NK7</f>
        <v>0</v>
      </c>
      <c r="NM16" s="22">
        <f>'MOMO,AIRTEL,CARDS'!NL7</f>
        <v>299842</v>
      </c>
      <c r="NN16" s="22">
        <f>'MOMO,AIRTEL,CARDS'!NM7</f>
        <v>20000</v>
      </c>
      <c r="NO16" s="22">
        <f>'MOMO,AIRTEL,CARDS'!NN7</f>
        <v>322338</v>
      </c>
      <c r="NP16" s="127">
        <f t="shared" si="64"/>
        <v>7942331</v>
      </c>
      <c r="NQ16" s="22">
        <f>'MOMO,AIRTEL,CARDS'!NP7</f>
        <v>0</v>
      </c>
      <c r="NR16" s="22">
        <f>'MOMO,AIRTEL,CARDS'!NQ7</f>
        <v>686000</v>
      </c>
      <c r="NS16" s="22">
        <f>'MOMO,AIRTEL,CARDS'!NR7</f>
        <v>190000</v>
      </c>
      <c r="NT16" s="22">
        <f>'MOMO,AIRTEL,CARDS'!NS7</f>
        <v>65000</v>
      </c>
      <c r="NU16" s="22">
        <f>'MOMO,AIRTEL,CARDS'!NT7</f>
        <v>0</v>
      </c>
      <c r="NV16" s="22">
        <f>'MOMO,AIRTEL,CARDS'!NU7</f>
        <v>340042</v>
      </c>
      <c r="NW16" s="22">
        <f>'MOMO,AIRTEL,CARDS'!NV7</f>
        <v>373250</v>
      </c>
      <c r="NX16" s="22">
        <f>'MOMO,AIRTEL,CARDS'!NW7</f>
        <v>970416</v>
      </c>
      <c r="NY16" s="22">
        <f>'MOMO,AIRTEL,CARDS'!NX7</f>
        <v>537026</v>
      </c>
      <c r="NZ16" s="22">
        <f>'MOMO,AIRTEL,CARDS'!NY7</f>
        <v>0</v>
      </c>
      <c r="OA16" s="22">
        <f>'MOMO,AIRTEL,CARDS'!NZ7</f>
        <v>209708</v>
      </c>
      <c r="OB16" s="22">
        <f>'MOMO,AIRTEL,CARDS'!OA7</f>
        <v>330000</v>
      </c>
      <c r="OC16" s="22">
        <f>'MOMO,AIRTEL,CARDS'!OB7</f>
        <v>412362</v>
      </c>
      <c r="OD16" s="22">
        <f>'MOMO,AIRTEL,CARDS'!OC7</f>
        <v>106000</v>
      </c>
      <c r="OE16" s="22">
        <f>'MOMO,AIRTEL,CARDS'!OD7</f>
        <v>30000</v>
      </c>
      <c r="OF16" s="22">
        <f>'MOMO,AIRTEL,CARDS'!OE7</f>
        <v>260000</v>
      </c>
      <c r="OG16" s="22">
        <f>'MOMO,AIRTEL,CARDS'!OF7</f>
        <v>100000</v>
      </c>
      <c r="OH16" s="22">
        <f>'MOMO,AIRTEL,CARDS'!OG7</f>
        <v>412322</v>
      </c>
      <c r="OI16" s="22">
        <f>'MOMO,AIRTEL,CARDS'!OH7</f>
        <v>0</v>
      </c>
      <c r="OJ16" s="22">
        <f>'MOMO,AIRTEL,CARDS'!OI7</f>
        <v>528576</v>
      </c>
      <c r="OK16" s="22">
        <f>'MOMO,AIRTEL,CARDS'!OJ7</f>
        <v>343638</v>
      </c>
      <c r="OL16" s="22">
        <f>'MOMO,AIRTEL,CARDS'!OK7</f>
        <v>480000</v>
      </c>
      <c r="OM16" s="22">
        <f>'MOMO,AIRTEL,CARDS'!OL7</f>
        <v>361283</v>
      </c>
      <c r="ON16" s="22">
        <f>'MOMO,AIRTEL,CARDS'!OM7</f>
        <v>0</v>
      </c>
      <c r="OO16" s="22">
        <f>'MOMO,AIRTEL,CARDS'!ON7</f>
        <v>40000</v>
      </c>
      <c r="OP16" s="22">
        <f>'MOMO,AIRTEL,CARDS'!OO7</f>
        <v>1327250</v>
      </c>
      <c r="OQ16" s="22">
        <f>'MOMO,AIRTEL,CARDS'!OP7</f>
        <v>78473</v>
      </c>
      <c r="OR16" s="22">
        <f>'MOMO,AIRTEL,CARDS'!OQ7</f>
        <v>806597</v>
      </c>
      <c r="OS16" s="22">
        <f>'MOMO,AIRTEL,CARDS'!OR7</f>
        <v>210000</v>
      </c>
      <c r="OT16" s="22">
        <f>'MOMO,AIRTEL,CARDS'!OS7</f>
        <v>100000</v>
      </c>
      <c r="OU16" s="22">
        <f>'MOMO,AIRTEL,CARDS'!OT7</f>
        <v>3633399</v>
      </c>
      <c r="OV16" s="127">
        <f t="shared" si="66"/>
        <v>12931342</v>
      </c>
      <c r="OW16" s="22">
        <f>'MOMO,AIRTEL,CARDS'!OV7</f>
        <v>0</v>
      </c>
      <c r="OX16" s="22">
        <f>'MOMO,AIRTEL,CARDS'!OW7</f>
        <v>2543563</v>
      </c>
      <c r="OY16" s="22">
        <f>'MOMO,AIRTEL,CARDS'!OX7</f>
        <v>247490</v>
      </c>
      <c r="OZ16" s="22">
        <f>'MOMO,AIRTEL,CARDS'!OY7</f>
        <v>158000</v>
      </c>
      <c r="PA16" s="22">
        <f>'MOMO,AIRTEL,CARDS'!OZ7</f>
        <v>518499</v>
      </c>
      <c r="PB16" s="22">
        <f>'MOMO,AIRTEL,CARDS'!PA7</f>
        <v>1500118</v>
      </c>
      <c r="PC16" s="22">
        <f>'MOMO,AIRTEL,CARDS'!PB7</f>
        <v>1482250</v>
      </c>
      <c r="PD16" s="22">
        <f>'MOMO,AIRTEL,CARDS'!PC7</f>
        <v>629880</v>
      </c>
      <c r="PE16" s="22">
        <f>'MOMO,AIRTEL,CARDS'!PD7</f>
        <v>822399</v>
      </c>
      <c r="PF16" s="22">
        <f>'MOMO,AIRTEL,CARDS'!PE7</f>
        <v>522900</v>
      </c>
      <c r="PG16" s="22">
        <f>'MOMO,AIRTEL,CARDS'!PF7</f>
        <v>899840</v>
      </c>
      <c r="PH16" s="22">
        <f>'MOMO,AIRTEL,CARDS'!PG7</f>
        <v>1124754</v>
      </c>
      <c r="PI16" s="22">
        <f>'MOMO,AIRTEL,CARDS'!PH7</f>
        <v>654980</v>
      </c>
      <c r="PJ16" s="22">
        <f>'MOMO,AIRTEL,CARDS'!PI7</f>
        <v>80000</v>
      </c>
      <c r="PK16" s="22">
        <f>'MOMO,AIRTEL,CARDS'!PJ7</f>
        <v>40000</v>
      </c>
      <c r="PL16" s="22">
        <f>'MOMO,AIRTEL,CARDS'!PK7</f>
        <v>926765</v>
      </c>
      <c r="PM16" s="22">
        <f>'MOMO,AIRTEL,CARDS'!PL7</f>
        <v>1141526</v>
      </c>
      <c r="PN16" s="22">
        <f>'MOMO,AIRTEL,CARDS'!PM7</f>
        <v>40000</v>
      </c>
      <c r="PO16" s="22">
        <f>'MOMO,AIRTEL,CARDS'!PN7</f>
        <v>1485700</v>
      </c>
      <c r="PP16" s="22">
        <f>'MOMO,AIRTEL,CARDS'!PO7</f>
        <v>1206446</v>
      </c>
      <c r="PQ16" s="22">
        <f>'MOMO,AIRTEL,CARDS'!PP7</f>
        <v>475450</v>
      </c>
      <c r="PR16" s="22">
        <f>'MOMO,AIRTEL,CARDS'!PQ7</f>
        <v>400000</v>
      </c>
      <c r="PS16" s="22">
        <f>'MOMO,AIRTEL,CARDS'!PR7</f>
        <v>300000</v>
      </c>
      <c r="PT16" s="22">
        <f>'MOMO,AIRTEL,CARDS'!PS7</f>
        <v>401195</v>
      </c>
      <c r="PU16" s="22">
        <f>'MOMO,AIRTEL,CARDS'!PT7</f>
        <v>450000</v>
      </c>
      <c r="PV16" s="22">
        <f>'MOMO,AIRTEL,CARDS'!PU7</f>
        <v>120000</v>
      </c>
      <c r="PW16" s="22">
        <f>'MOMO,AIRTEL,CARDS'!PV7</f>
        <v>533278</v>
      </c>
      <c r="PX16" s="22">
        <f>'MOMO,AIRTEL,CARDS'!PW7</f>
        <v>1995975</v>
      </c>
      <c r="PY16" s="22">
        <f>'MOMO,AIRTEL,CARDS'!PX7</f>
        <v>60000</v>
      </c>
      <c r="PZ16" s="22">
        <f>'MOMO,AIRTEL,CARDS'!PY7</f>
        <v>1304631</v>
      </c>
      <c r="QA16" s="127">
        <f t="shared" si="68"/>
        <v>22065639</v>
      </c>
      <c r="QB16" s="22">
        <f>'MOMO,AIRTEL,CARDS'!QA7</f>
        <v>410000</v>
      </c>
      <c r="QC16" s="22">
        <f>'MOMO,AIRTEL,CARDS'!QB7</f>
        <v>715450</v>
      </c>
      <c r="QD16" s="22">
        <f>'MOMO,AIRTEL,CARDS'!QC7</f>
        <v>449960</v>
      </c>
      <c r="QE16" s="22">
        <f>'MOMO,AIRTEL,CARDS'!QD7</f>
        <v>1932110</v>
      </c>
      <c r="QF16" s="22">
        <f>'MOMO,AIRTEL,CARDS'!QE7</f>
        <v>460000</v>
      </c>
      <c r="QG16" s="22">
        <f>'MOMO,AIRTEL,CARDS'!QF7</f>
        <v>60000</v>
      </c>
      <c r="QH16" s="22">
        <f>'MOMO,AIRTEL,CARDS'!QG7</f>
        <v>725450</v>
      </c>
      <c r="QI16" s="22">
        <f>'MOMO,AIRTEL,CARDS'!QH7</f>
        <v>90000</v>
      </c>
      <c r="QJ16" s="22">
        <f>'MOMO,AIRTEL,CARDS'!QI7</f>
        <v>433373</v>
      </c>
      <c r="QK16" s="22">
        <f>'MOMO,AIRTEL,CARDS'!QJ7</f>
        <v>537920</v>
      </c>
      <c r="QL16" s="22">
        <f>'MOMO,AIRTEL,CARDS'!QK7</f>
        <v>436000</v>
      </c>
      <c r="QM16" s="22">
        <f>'MOMO,AIRTEL,CARDS'!QL7</f>
        <v>1530677</v>
      </c>
      <c r="QN16" s="22">
        <f>'MOMO,AIRTEL,CARDS'!QM7</f>
        <v>1052887</v>
      </c>
      <c r="QO16" s="22">
        <f>'MOMO,AIRTEL,CARDS'!QN7</f>
        <v>2567539</v>
      </c>
      <c r="QP16" s="22">
        <f>'MOMO,AIRTEL,CARDS'!QO7</f>
        <v>110000</v>
      </c>
      <c r="QQ16" s="22">
        <f>'MOMO,AIRTEL,CARDS'!QP7</f>
        <v>2186686</v>
      </c>
      <c r="QR16" s="22">
        <f>'MOMO,AIRTEL,CARDS'!QQ7</f>
        <v>569237</v>
      </c>
      <c r="QS16" s="22">
        <f>'MOMO,AIRTEL,CARDS'!QR7</f>
        <v>1416890</v>
      </c>
      <c r="QT16" s="22">
        <f>'MOMO,AIRTEL,CARDS'!QS7</f>
        <v>989800</v>
      </c>
      <c r="QU16" s="22">
        <f>'MOMO,AIRTEL,CARDS'!QT7</f>
        <v>841812</v>
      </c>
      <c r="QV16" s="22">
        <f>'MOMO,AIRTEL,CARDS'!QU7</f>
        <v>239148</v>
      </c>
      <c r="QW16" s="22">
        <f>'MOMO,AIRTEL,CARDS'!QV7</f>
        <v>363000</v>
      </c>
      <c r="QX16" s="22">
        <f>'MOMO,AIRTEL,CARDS'!QW7</f>
        <v>231980</v>
      </c>
      <c r="QY16" s="22">
        <f>'MOMO,AIRTEL,CARDS'!QX7</f>
        <v>4751544</v>
      </c>
      <c r="QZ16" s="22">
        <f>'MOMO,AIRTEL,CARDS'!QY7</f>
        <v>684049</v>
      </c>
      <c r="RA16" s="22">
        <f>'MOMO,AIRTEL,CARDS'!QZ7</f>
        <v>835000</v>
      </c>
      <c r="RB16" s="22">
        <f>'MOMO,AIRTEL,CARDS'!RA7</f>
        <v>308346</v>
      </c>
      <c r="RC16" s="22">
        <f>'MOMO,AIRTEL,CARDS'!RB7</f>
        <v>1244769</v>
      </c>
      <c r="RD16" s="22">
        <f>'MOMO,AIRTEL,CARDS'!RC7</f>
        <v>1543000</v>
      </c>
      <c r="RE16" s="22">
        <f>'MOMO,AIRTEL,CARDS'!RD7</f>
        <v>528346</v>
      </c>
      <c r="RF16" s="22">
        <f>'MOMO,AIRTEL,CARDS'!RE7</f>
        <v>859703</v>
      </c>
      <c r="RG16" s="127">
        <f t="shared" si="147"/>
        <v>28694676</v>
      </c>
      <c r="RH16" s="22">
        <f>'MOMO,AIRTEL,CARDS'!RG7</f>
        <v>140000</v>
      </c>
      <c r="RI16" s="22">
        <f>'MOMO,AIRTEL,CARDS'!RH7</f>
        <v>110000</v>
      </c>
      <c r="RJ16" s="22">
        <f>'MOMO,AIRTEL,CARDS'!RI7</f>
        <v>462945</v>
      </c>
      <c r="RK16" s="22">
        <f>'MOMO,AIRTEL,CARDS'!RJ7</f>
        <v>3063297</v>
      </c>
      <c r="RL16" s="22">
        <f>'MOMO,AIRTEL,CARDS'!RK7</f>
        <v>165000</v>
      </c>
      <c r="RM16" s="22">
        <f>'MOMO,AIRTEL,CARDS'!RL7</f>
        <v>256980</v>
      </c>
      <c r="RN16" s="22">
        <f>'MOMO,AIRTEL,CARDS'!RM7</f>
        <v>854148</v>
      </c>
      <c r="RO16" s="22">
        <f>'MOMO,AIRTEL,CARDS'!RN7</f>
        <v>566843</v>
      </c>
      <c r="RP16" s="22">
        <f>'MOMO,AIRTEL,CARDS'!RO7</f>
        <v>794295</v>
      </c>
      <c r="RQ16" s="22">
        <f>'MOMO,AIRTEL,CARDS'!RP7</f>
        <v>351380</v>
      </c>
      <c r="RR16" s="22">
        <f>'MOMO,AIRTEL,CARDS'!RQ7</f>
        <v>1224500</v>
      </c>
      <c r="RS16" s="22">
        <f>'MOMO,AIRTEL,CARDS'!RR7</f>
        <v>835300</v>
      </c>
      <c r="RT16" s="22">
        <f>'MOMO,AIRTEL,CARDS'!RS7</f>
        <v>754395</v>
      </c>
      <c r="RU16" s="22">
        <f>'MOMO,AIRTEL,CARDS'!RT7</f>
        <v>1716390</v>
      </c>
      <c r="RV16" s="22">
        <f>'MOMO,AIRTEL,CARDS'!RU7</f>
        <v>1095020</v>
      </c>
      <c r="RW16" s="22">
        <f>'MOMO,AIRTEL,CARDS'!RV7</f>
        <v>1842967</v>
      </c>
      <c r="RX16" s="22">
        <f>'MOMO,AIRTEL,CARDS'!RW7</f>
        <v>1287365</v>
      </c>
      <c r="RY16" s="22">
        <f>'MOMO,AIRTEL,CARDS'!RX7</f>
        <v>645860</v>
      </c>
      <c r="RZ16" s="22">
        <f>'MOMO,AIRTEL,CARDS'!RY7</f>
        <v>501228</v>
      </c>
      <c r="SA16" s="22">
        <f>'MOMO,AIRTEL,CARDS'!RZ7</f>
        <v>590000</v>
      </c>
      <c r="SB16" s="22">
        <f>'MOMO,AIRTEL,CARDS'!SA7</f>
        <v>956660</v>
      </c>
      <c r="SC16" s="22">
        <f>'MOMO,AIRTEL,CARDS'!SB7</f>
        <v>197800</v>
      </c>
      <c r="SD16" s="22">
        <f>'MOMO,AIRTEL,CARDS'!SC7</f>
        <v>194100</v>
      </c>
      <c r="SE16" s="22">
        <f>'MOMO,AIRTEL,CARDS'!SD7</f>
        <v>372670</v>
      </c>
      <c r="SF16" s="22">
        <f>'MOMO,AIRTEL,CARDS'!SE7</f>
        <v>457600</v>
      </c>
      <c r="SG16" s="22">
        <f>'MOMO,AIRTEL,CARDS'!SF7</f>
        <v>1062779</v>
      </c>
      <c r="SH16" s="22">
        <f>'MOMO,AIRTEL,CARDS'!SG7</f>
        <v>338000</v>
      </c>
      <c r="SI16" s="22">
        <f>'MOMO,AIRTEL,CARDS'!SH7</f>
        <v>1980900</v>
      </c>
      <c r="SJ16" s="22">
        <f>'MOMO,AIRTEL,CARDS'!SI7</f>
        <v>0</v>
      </c>
      <c r="SK16" s="22">
        <f>'MOMO,AIRTEL,CARDS'!SJ7</f>
        <v>374764</v>
      </c>
      <c r="SL16" s="127">
        <f t="shared" si="149"/>
        <v>23193186</v>
      </c>
      <c r="SM16" s="22">
        <f>'MOMO,AIRTEL,CARDS'!SL7</f>
        <v>827000</v>
      </c>
      <c r="SN16" s="22">
        <f>'MOMO,AIRTEL,CARDS'!SM7</f>
        <v>2147199</v>
      </c>
      <c r="SO16" s="22">
        <f>'MOMO,AIRTEL,CARDS'!SN7</f>
        <v>417568</v>
      </c>
      <c r="SP16" s="22">
        <f>'MOMO,AIRTEL,CARDS'!SO7</f>
        <v>1968000</v>
      </c>
      <c r="SQ16" s="22">
        <f>'MOMO,AIRTEL,CARDS'!SP7</f>
        <v>250000</v>
      </c>
      <c r="SR16" s="22">
        <f>'MOMO,AIRTEL,CARDS'!SQ7</f>
        <v>60000</v>
      </c>
      <c r="SS16" s="22">
        <f>'MOMO,AIRTEL,CARDS'!SR7</f>
        <v>907600</v>
      </c>
      <c r="ST16" s="22">
        <f>'MOMO,AIRTEL,CARDS'!SS7</f>
        <v>518950</v>
      </c>
      <c r="SU16" s="22">
        <f>'MOMO,AIRTEL,CARDS'!ST7</f>
        <v>1888000</v>
      </c>
      <c r="SV16" s="22">
        <f>'MOMO,AIRTEL,CARDS'!SU7</f>
        <v>60000</v>
      </c>
      <c r="SW16" s="22">
        <f>'MOMO,AIRTEL,CARDS'!SV7</f>
        <v>368510</v>
      </c>
      <c r="SX16" s="22">
        <f>'MOMO,AIRTEL,CARDS'!SW7</f>
        <v>956000</v>
      </c>
      <c r="SY16" s="22">
        <f>'MOMO,AIRTEL,CARDS'!SX7</f>
        <v>409984</v>
      </c>
      <c r="SZ16" s="22">
        <f>'MOMO,AIRTEL,CARDS'!SY7</f>
        <v>729050</v>
      </c>
      <c r="TA16" s="22">
        <f>'MOMO,AIRTEL,CARDS'!SZ7</f>
        <v>1108900</v>
      </c>
      <c r="TB16" s="22">
        <f>'MOMO,AIRTEL,CARDS'!TA7</f>
        <v>2410440</v>
      </c>
      <c r="TC16" s="22">
        <f>'MOMO,AIRTEL,CARDS'!TB7</f>
        <v>200000</v>
      </c>
      <c r="TD16" s="22">
        <f>'MOMO,AIRTEL,CARDS'!TC7</f>
        <v>326500</v>
      </c>
      <c r="TE16" s="22">
        <f>'MOMO,AIRTEL,CARDS'!TD7</f>
        <v>1186910</v>
      </c>
      <c r="TF16" s="22">
        <f>'MOMO,AIRTEL,CARDS'!TE7</f>
        <v>60000</v>
      </c>
      <c r="TG16" s="22">
        <f>'MOMO,AIRTEL,CARDS'!TF7</f>
        <v>717000</v>
      </c>
      <c r="TH16" s="22">
        <f>'MOMO,AIRTEL,CARDS'!TG7</f>
        <v>558400</v>
      </c>
      <c r="TI16" s="22">
        <f>'MOMO,AIRTEL,CARDS'!TH7</f>
        <v>760000</v>
      </c>
      <c r="TJ16" s="22">
        <f>'MOMO,AIRTEL,CARDS'!TI7</f>
        <v>777940</v>
      </c>
      <c r="TK16" s="22">
        <f>'MOMO,AIRTEL,CARDS'!TJ7</f>
        <v>0</v>
      </c>
      <c r="TL16" s="22">
        <f>'MOMO,AIRTEL,CARDS'!TK7</f>
        <v>0</v>
      </c>
      <c r="TM16" s="22">
        <f>'MOMO,AIRTEL,CARDS'!TL7</f>
        <v>160000</v>
      </c>
      <c r="TN16" s="22">
        <f>'MOMO,AIRTEL,CARDS'!TM7</f>
        <v>199900</v>
      </c>
      <c r="TO16" s="22">
        <f>'MOMO,AIRTEL,CARDS'!TN7</f>
        <v>304500</v>
      </c>
      <c r="TP16" s="22">
        <f>'MOMO,AIRTEL,CARDS'!TO7</f>
        <v>80000</v>
      </c>
      <c r="TQ16" s="22">
        <f>'MOMO,AIRTEL,CARDS'!TP7</f>
        <v>0</v>
      </c>
      <c r="TR16" s="127">
        <f t="shared" si="151"/>
        <v>19531351</v>
      </c>
      <c r="TS16" s="22">
        <f>'MOMO,AIRTEL,CARDS'!TR7</f>
        <v>468950</v>
      </c>
      <c r="TT16" s="22">
        <f>'MOMO,AIRTEL,CARDS'!TS7</f>
        <v>60000</v>
      </c>
      <c r="TU16" s="22">
        <f>'MOMO,AIRTEL,CARDS'!TT7</f>
        <v>300000</v>
      </c>
      <c r="TV16" s="22">
        <f>'MOMO,AIRTEL,CARDS'!TU7</f>
        <v>40000</v>
      </c>
      <c r="TW16" s="22">
        <f>'MOMO,AIRTEL,CARDS'!TV7</f>
        <v>775950</v>
      </c>
      <c r="TX16" s="22">
        <f>'MOMO,AIRTEL,CARDS'!TW7</f>
        <v>523400</v>
      </c>
      <c r="TY16" s="22">
        <f>'MOMO,AIRTEL,CARDS'!TX7</f>
        <v>954000</v>
      </c>
      <c r="TZ16" s="22">
        <f>'MOMO,AIRTEL,CARDS'!TY7</f>
        <v>1832950</v>
      </c>
      <c r="UA16" s="22">
        <f>'MOMO,AIRTEL,CARDS'!TZ7</f>
        <v>150000</v>
      </c>
      <c r="UB16" s="22">
        <f>'MOMO,AIRTEL,CARDS'!UA7</f>
        <v>187200</v>
      </c>
      <c r="UC16" s="22">
        <f>'MOMO,AIRTEL,CARDS'!UB7</f>
        <v>90000</v>
      </c>
      <c r="UD16" s="22">
        <f>'MOMO,AIRTEL,CARDS'!UC7</f>
        <v>618520</v>
      </c>
      <c r="UE16" s="22">
        <f>'MOMO,AIRTEL,CARDS'!UD7</f>
        <v>2267950</v>
      </c>
      <c r="UF16" s="22">
        <f>'MOMO,AIRTEL,CARDS'!UE7</f>
        <v>568950</v>
      </c>
      <c r="UG16" s="22">
        <f>'MOMO,AIRTEL,CARDS'!UF7</f>
        <v>100000</v>
      </c>
      <c r="UH16" s="22">
        <f>'MOMO,AIRTEL,CARDS'!UG7</f>
        <v>537970</v>
      </c>
      <c r="UI16" s="22">
        <f>'MOMO,AIRTEL,CARDS'!UH7</f>
        <v>680430</v>
      </c>
      <c r="UJ16" s="22">
        <f>'MOMO,AIRTEL,CARDS'!UI7</f>
        <v>175000</v>
      </c>
      <c r="UK16" s="22">
        <f>'MOMO,AIRTEL,CARDS'!UJ7</f>
        <v>328950</v>
      </c>
      <c r="UL16" s="22">
        <f>'MOMO,AIRTEL,CARDS'!UK7</f>
        <v>80000</v>
      </c>
      <c r="UM16" s="22">
        <f>'MOMO,AIRTEL,CARDS'!UL7</f>
        <v>1110000</v>
      </c>
      <c r="UN16" s="22">
        <f>'MOMO,AIRTEL,CARDS'!UM7</f>
        <v>801773</v>
      </c>
      <c r="UO16" s="22">
        <f>'MOMO,AIRTEL,CARDS'!UN7</f>
        <v>517400</v>
      </c>
      <c r="UP16" s="22">
        <f>'MOMO,AIRTEL,CARDS'!UO7</f>
        <v>595000</v>
      </c>
      <c r="UQ16" s="22">
        <f>'MOMO,AIRTEL,CARDS'!UP7</f>
        <v>950000</v>
      </c>
      <c r="UR16" s="22">
        <f>'MOMO,AIRTEL,CARDS'!UQ7</f>
        <v>700000</v>
      </c>
      <c r="US16" s="22">
        <f>'MOMO,AIRTEL,CARDS'!UR7</f>
        <v>2192720</v>
      </c>
      <c r="UT16" s="22">
        <f>'MOMO,AIRTEL,CARDS'!US7</f>
        <v>810000</v>
      </c>
      <c r="UU16" s="22">
        <f>'MOMO,AIRTEL,CARDS'!UT7</f>
        <v>40000</v>
      </c>
      <c r="UV16" s="22">
        <f>'MOMO,AIRTEL,CARDS'!UU7</f>
        <v>1153302</v>
      </c>
      <c r="UW16" s="22">
        <f>'MOMO,AIRTEL,CARDS'!UV7</f>
        <v>60000</v>
      </c>
      <c r="UX16" s="127">
        <f t="shared" si="153"/>
        <v>19201465</v>
      </c>
      <c r="UY16" s="22">
        <f>'MOMO,AIRTEL,CARDS'!UX7</f>
        <v>868950</v>
      </c>
      <c r="UZ16" s="22">
        <f>'MOMO,AIRTEL,CARDS'!UY7</f>
        <v>569978</v>
      </c>
      <c r="VA16" s="22">
        <f>'MOMO,AIRTEL,CARDS'!UZ7</f>
        <v>2949203</v>
      </c>
      <c r="VB16" s="22">
        <f>'MOMO,AIRTEL,CARDS'!VA7</f>
        <v>449435</v>
      </c>
      <c r="VC16" s="22">
        <f>'MOMO,AIRTEL,CARDS'!VB7</f>
        <v>813840</v>
      </c>
      <c r="VD16" s="22">
        <f>'MOMO,AIRTEL,CARDS'!VC7</f>
        <v>195000</v>
      </c>
      <c r="VE16" s="22">
        <f>'MOMO,AIRTEL,CARDS'!VD7</f>
        <v>1411762</v>
      </c>
      <c r="VF16" s="22">
        <f>'MOMO,AIRTEL,CARDS'!VE7</f>
        <v>1353000</v>
      </c>
      <c r="VG16" s="22">
        <f>'MOMO,AIRTEL,CARDS'!VF7</f>
        <v>830063</v>
      </c>
      <c r="VH16" s="22">
        <f>'MOMO,AIRTEL,CARDS'!VG7</f>
        <v>860445</v>
      </c>
      <c r="VI16" s="22">
        <f>'MOMO,AIRTEL,CARDS'!VH7</f>
        <v>3250110</v>
      </c>
      <c r="VJ16" s="22">
        <f>'MOMO,AIRTEL,CARDS'!VI7</f>
        <v>350120</v>
      </c>
      <c r="VK16" s="22">
        <f>'MOMO,AIRTEL,CARDS'!VJ7</f>
        <v>774344</v>
      </c>
      <c r="VL16" s="22">
        <f>'MOMO,AIRTEL,CARDS'!VK7</f>
        <v>451060</v>
      </c>
      <c r="VM16" s="22">
        <f>'MOMO,AIRTEL,CARDS'!VL7</f>
        <v>455000</v>
      </c>
      <c r="VN16" s="22">
        <f>'MOMO,AIRTEL,CARDS'!VM7</f>
        <v>777000</v>
      </c>
      <c r="VO16" s="22">
        <f>'MOMO,AIRTEL,CARDS'!VN7</f>
        <v>350000</v>
      </c>
      <c r="VP16" s="22">
        <f>'MOMO,AIRTEL,CARDS'!VO7</f>
        <v>269445</v>
      </c>
      <c r="VQ16" s="22">
        <f>'MOMO,AIRTEL,CARDS'!VP7</f>
        <v>1776000</v>
      </c>
      <c r="VR16" s="22">
        <f>'MOMO,AIRTEL,CARDS'!VQ7</f>
        <v>368010</v>
      </c>
      <c r="VS16" s="22">
        <f>'MOMO,AIRTEL,CARDS'!VR7</f>
        <v>550000</v>
      </c>
      <c r="VT16" s="22">
        <f>'MOMO,AIRTEL,CARDS'!VS7</f>
        <v>765000</v>
      </c>
      <c r="VU16" s="22">
        <f>'MOMO,AIRTEL,CARDS'!VT7</f>
        <v>795700</v>
      </c>
      <c r="VV16" s="22">
        <f>'MOMO,AIRTEL,CARDS'!VU7</f>
        <v>27060</v>
      </c>
      <c r="VW16" s="22">
        <f>'MOMO,AIRTEL,CARDS'!VV7</f>
        <v>2875605</v>
      </c>
      <c r="VX16" s="22">
        <f>'MOMO,AIRTEL,CARDS'!VW7</f>
        <v>125000</v>
      </c>
      <c r="VY16" s="22">
        <f>'MOMO,AIRTEL,CARDS'!VX7</f>
        <v>2170000</v>
      </c>
      <c r="VZ16" s="22">
        <f>'MOMO,AIRTEL,CARDS'!VY7</f>
        <v>70000</v>
      </c>
      <c r="WA16" s="127">
        <f>SUM(UY16:VZ16)</f>
        <v>26501130</v>
      </c>
      <c r="WB16" s="22">
        <f>'MOMO,AIRTEL,CARDS'!WA7</f>
        <v>632000</v>
      </c>
      <c r="WC16" s="22">
        <f>'MOMO,AIRTEL,CARDS'!WB7</f>
        <v>960250</v>
      </c>
      <c r="WD16" s="22">
        <f>'MOMO,AIRTEL,CARDS'!WC7</f>
        <v>3445412</v>
      </c>
      <c r="WE16" s="22">
        <f>'MOMO,AIRTEL,CARDS'!WD7</f>
        <v>1287292</v>
      </c>
      <c r="WF16" s="22">
        <f>'MOMO,AIRTEL,CARDS'!WE7</f>
        <v>1135960</v>
      </c>
      <c r="WG16" s="22">
        <f>'MOMO,AIRTEL,CARDS'!WF7</f>
        <v>127000</v>
      </c>
      <c r="WH16" s="22">
        <f>'MOMO,AIRTEL,CARDS'!WG7</f>
        <v>755492</v>
      </c>
      <c r="WI16" s="22">
        <f>'MOMO,AIRTEL,CARDS'!WH7</f>
        <v>2182000</v>
      </c>
      <c r="WJ16" s="22">
        <f>'MOMO,AIRTEL,CARDS'!WI7</f>
        <v>617778</v>
      </c>
      <c r="WK16" s="22">
        <f>'MOMO,AIRTEL,CARDS'!WJ7</f>
        <v>1300000</v>
      </c>
      <c r="WL16" s="22">
        <f>'MOMO,AIRTEL,CARDS'!WK7</f>
        <v>2208460</v>
      </c>
      <c r="WM16" s="22">
        <f>'MOMO,AIRTEL,CARDS'!WL7</f>
        <v>557500</v>
      </c>
      <c r="WN16" s="22">
        <f>'MOMO,AIRTEL,CARDS'!WM7</f>
        <v>1542883</v>
      </c>
      <c r="WO16" s="22">
        <f>'MOMO,AIRTEL,CARDS'!WN7</f>
        <v>1628000</v>
      </c>
      <c r="WP16" s="22">
        <f>'MOMO,AIRTEL,CARDS'!WO7</f>
        <v>967000</v>
      </c>
      <c r="WQ16" s="22">
        <f>'MOMO,AIRTEL,CARDS'!WP7</f>
        <v>801650</v>
      </c>
      <c r="WR16" s="22">
        <f>'MOMO,AIRTEL,CARDS'!WQ7</f>
        <v>1458700</v>
      </c>
      <c r="WS16" s="22">
        <f>'MOMO,AIRTEL,CARDS'!WR7</f>
        <v>90000</v>
      </c>
      <c r="WT16" s="22">
        <f>'MOMO,AIRTEL,CARDS'!WS7</f>
        <v>931970</v>
      </c>
      <c r="WU16" s="22">
        <f>'MOMO,AIRTEL,CARDS'!WT7</f>
        <v>110000</v>
      </c>
      <c r="WV16" s="22">
        <f>'MOMO,AIRTEL,CARDS'!WU7</f>
        <v>2466570</v>
      </c>
      <c r="WW16" s="22">
        <f>'MOMO,AIRTEL,CARDS'!WV7</f>
        <v>355000</v>
      </c>
      <c r="WX16" s="22">
        <f>'MOMO,AIRTEL,CARDS'!WW7</f>
        <v>1188248</v>
      </c>
      <c r="WY16" s="22">
        <f>'MOMO,AIRTEL,CARDS'!WX7</f>
        <v>1045000</v>
      </c>
      <c r="WZ16" s="22">
        <f>'MOMO,AIRTEL,CARDS'!WY7</f>
        <v>0</v>
      </c>
      <c r="XA16" s="22">
        <f>'MOMO,AIRTEL,CARDS'!WZ7</f>
        <v>0</v>
      </c>
      <c r="XB16" s="22">
        <f>'MOMO,AIRTEL,CARDS'!XA7</f>
        <v>0</v>
      </c>
      <c r="XC16" s="22">
        <f>'MOMO,AIRTEL,CARDS'!XB7</f>
        <v>250000</v>
      </c>
      <c r="XD16" s="22">
        <f>'MOMO,AIRTEL,CARDS'!XC7</f>
        <v>0</v>
      </c>
      <c r="XE16" s="22">
        <f>'MOMO,AIRTEL,CARDS'!XD7</f>
        <v>0</v>
      </c>
      <c r="XF16" s="22">
        <f>'MOMO,AIRTEL,CARDS'!XE7</f>
        <v>0</v>
      </c>
      <c r="XG16" s="127">
        <f t="shared" si="156"/>
        <v>28044165</v>
      </c>
      <c r="XH16" s="22">
        <f>'MOMO,AIRTEL,CARDS'!XG7</f>
        <v>0</v>
      </c>
      <c r="XI16" s="22">
        <f>'MOMO,AIRTEL,CARDS'!XH7</f>
        <v>0</v>
      </c>
      <c r="XJ16" s="22">
        <f>'MOMO,AIRTEL,CARDS'!XI7</f>
        <v>0</v>
      </c>
      <c r="XK16" s="22">
        <f>'MOMO,AIRTEL,CARDS'!XJ7</f>
        <v>0</v>
      </c>
      <c r="XL16" s="22">
        <f>'MOMO,AIRTEL,CARDS'!XK7</f>
        <v>0</v>
      </c>
      <c r="XM16" s="22">
        <f>'MOMO,AIRTEL,CARDS'!XL7</f>
        <v>0</v>
      </c>
      <c r="XN16" s="22">
        <f>'MOMO,AIRTEL,CARDS'!XM7</f>
        <v>0</v>
      </c>
      <c r="XO16" s="22">
        <f>'MOMO,AIRTEL,CARDS'!XN7</f>
        <v>0</v>
      </c>
      <c r="XP16" s="22">
        <f>'MOMO,AIRTEL,CARDS'!XO7</f>
        <v>0</v>
      </c>
      <c r="XQ16" s="22">
        <f>'MOMO,AIRTEL,CARDS'!XP7</f>
        <v>0</v>
      </c>
      <c r="XR16" s="22">
        <f>'MOMO,AIRTEL,CARDS'!XQ7</f>
        <v>0</v>
      </c>
      <c r="XS16" s="22">
        <f>'MOMO,AIRTEL,CARDS'!XR7</f>
        <v>0</v>
      </c>
      <c r="XT16" s="22">
        <f>'MOMO,AIRTEL,CARDS'!XS7</f>
        <v>0</v>
      </c>
      <c r="XU16" s="22">
        <f>'MOMO,AIRTEL,CARDS'!XT7</f>
        <v>0</v>
      </c>
      <c r="XV16" s="22">
        <f>'MOMO,AIRTEL,CARDS'!XU7</f>
        <v>0</v>
      </c>
      <c r="XW16" s="22">
        <f>'MOMO,AIRTEL,CARDS'!XV7</f>
        <v>56000</v>
      </c>
      <c r="XX16" s="22">
        <f>'MOMO,AIRTEL,CARDS'!XW7</f>
        <v>200000</v>
      </c>
      <c r="XY16" s="22">
        <f>'MOMO,AIRTEL,CARDS'!XX7</f>
        <v>300000</v>
      </c>
      <c r="XZ16" s="22">
        <f>'MOMO,AIRTEL,CARDS'!XY7</f>
        <v>255750</v>
      </c>
      <c r="YA16" s="22">
        <f>'MOMO,AIRTEL,CARDS'!XZ7</f>
        <v>465000</v>
      </c>
      <c r="YB16" s="22">
        <f>'MOMO,AIRTEL,CARDS'!YA7</f>
        <v>190000</v>
      </c>
      <c r="YC16" s="22">
        <f>'MOMO,AIRTEL,CARDS'!YB7</f>
        <v>490972</v>
      </c>
      <c r="YD16" s="22">
        <f>'MOMO,AIRTEL,CARDS'!YC7</f>
        <v>558422</v>
      </c>
      <c r="YE16" s="22">
        <f>'MOMO,AIRTEL,CARDS'!YD7</f>
        <v>398245</v>
      </c>
      <c r="YF16" s="22">
        <f>'MOMO,AIRTEL,CARDS'!YE7</f>
        <v>383000</v>
      </c>
      <c r="YG16" s="22">
        <f>'MOMO,AIRTEL,CARDS'!YF7</f>
        <v>40000</v>
      </c>
      <c r="YH16" s="22">
        <f>'MOMO,AIRTEL,CARDS'!YG7</f>
        <v>0</v>
      </c>
      <c r="YI16" s="22">
        <f>'MOMO,AIRTEL,CARDS'!YH7</f>
        <v>479000</v>
      </c>
      <c r="YJ16" s="22">
        <f>'MOMO,AIRTEL,CARDS'!YI7</f>
        <v>0</v>
      </c>
      <c r="YK16" s="22">
        <f>'MOMO,AIRTEL,CARDS'!YJ7</f>
        <v>566000</v>
      </c>
      <c r="YL16" s="127">
        <f t="shared" si="158"/>
        <v>4382389</v>
      </c>
      <c r="YM16" s="22">
        <f>'MOMO,AIRTEL,CARDS'!YL7</f>
        <v>1935000</v>
      </c>
      <c r="YN16" s="22">
        <f>'MOMO,AIRTEL,CARDS'!YM7</f>
        <v>326555</v>
      </c>
      <c r="YO16" s="22">
        <f>'MOMO,AIRTEL,CARDS'!YN7</f>
        <v>200000</v>
      </c>
      <c r="YP16" s="22">
        <f>'MOMO,AIRTEL,CARDS'!YO7</f>
        <v>1177000</v>
      </c>
      <c r="YQ16" s="22">
        <f>'MOMO,AIRTEL,CARDS'!YP7</f>
        <v>1541000</v>
      </c>
      <c r="YR16" s="22">
        <f>'MOMO,AIRTEL,CARDS'!YQ7</f>
        <v>792412</v>
      </c>
      <c r="YS16" s="22">
        <f>'MOMO,AIRTEL,CARDS'!YR7</f>
        <v>1301060</v>
      </c>
      <c r="YT16" s="22">
        <f>'MOMO,AIRTEL,CARDS'!YS7</f>
        <v>0</v>
      </c>
      <c r="YU16" s="22">
        <f>'MOMO,AIRTEL,CARDS'!YT7</f>
        <v>1495000</v>
      </c>
      <c r="YV16" s="22">
        <f>'MOMO,AIRTEL,CARDS'!YU7</f>
        <v>1037200</v>
      </c>
      <c r="YW16" s="22">
        <f>'MOMO,AIRTEL,CARDS'!YV7</f>
        <v>645200</v>
      </c>
      <c r="YX16" s="22">
        <f>'MOMO,AIRTEL,CARDS'!YW7</f>
        <v>1530988</v>
      </c>
      <c r="YY16" s="22">
        <f>'MOMO,AIRTEL,CARDS'!YX7</f>
        <v>0</v>
      </c>
      <c r="YZ16" s="22">
        <f>'MOMO,AIRTEL,CARDS'!YY7</f>
        <v>30000</v>
      </c>
      <c r="ZA16" s="22">
        <f>'MOMO,AIRTEL,CARDS'!YZ7</f>
        <v>0</v>
      </c>
      <c r="ZB16" s="22">
        <f>'MOMO,AIRTEL,CARDS'!ZA7</f>
        <v>922500</v>
      </c>
      <c r="ZC16" s="22">
        <f>'MOMO,AIRTEL,CARDS'!ZB7</f>
        <v>310000</v>
      </c>
      <c r="ZD16" s="22">
        <f>'MOMO,AIRTEL,CARDS'!ZC7</f>
        <v>915000</v>
      </c>
      <c r="ZE16" s="22">
        <f>'MOMO,AIRTEL,CARDS'!ZD7</f>
        <v>923614</v>
      </c>
      <c r="ZF16" s="22">
        <f>'MOMO,AIRTEL,CARDS'!ZE7</f>
        <v>333900</v>
      </c>
      <c r="ZG16" s="22">
        <f>'MOMO,AIRTEL,CARDS'!ZF7</f>
        <v>1053000</v>
      </c>
      <c r="ZH16" s="22">
        <f>'MOMO,AIRTEL,CARDS'!ZG7</f>
        <v>0</v>
      </c>
      <c r="ZI16" s="22">
        <f>'MOMO,AIRTEL,CARDS'!ZH7</f>
        <v>0</v>
      </c>
      <c r="ZJ16" s="22">
        <f>'MOMO,AIRTEL,CARDS'!ZI7</f>
        <v>1162900</v>
      </c>
      <c r="ZK16" s="22">
        <f>'MOMO,AIRTEL,CARDS'!ZJ7</f>
        <v>0</v>
      </c>
      <c r="ZL16" s="22">
        <f>'MOMO,AIRTEL,CARDS'!ZK7</f>
        <v>100000</v>
      </c>
      <c r="ZM16" s="22">
        <f>'MOMO,AIRTEL,CARDS'!ZL7</f>
        <v>60000</v>
      </c>
      <c r="ZN16" s="22">
        <f>'MOMO,AIRTEL,CARDS'!ZM7</f>
        <v>250000</v>
      </c>
      <c r="ZO16" s="22">
        <f>'MOMO,AIRTEL,CARDS'!ZN7</f>
        <v>830096</v>
      </c>
      <c r="ZP16" s="22">
        <f>'MOMO,AIRTEL,CARDS'!ZO7</f>
        <v>941268</v>
      </c>
      <c r="ZQ16" s="22">
        <f>'MOMO,AIRTEL,CARDS'!ZP7</f>
        <v>0</v>
      </c>
      <c r="ZR16" s="127">
        <f t="shared" si="113"/>
        <v>19813693</v>
      </c>
      <c r="ZS16" s="22">
        <f>'MOMO,AIRTEL,CARDS'!ZR7</f>
        <v>3040750</v>
      </c>
      <c r="ZT16" s="22">
        <f>'MOMO,AIRTEL,CARDS'!ZS7</f>
        <v>930000</v>
      </c>
      <c r="ZU16" s="22">
        <f>'MOMO,AIRTEL,CARDS'!ZT7</f>
        <v>426057</v>
      </c>
      <c r="ZV16" s="22">
        <f>'MOMO,AIRTEL,CARDS'!ZU7</f>
        <v>265000</v>
      </c>
      <c r="ZW16" s="22">
        <f>'MOMO,AIRTEL,CARDS'!ZV7</f>
        <v>1079760</v>
      </c>
      <c r="ZX16" s="22">
        <f>'MOMO,AIRTEL,CARDS'!ZW7</f>
        <v>80000</v>
      </c>
      <c r="ZY16" s="22">
        <f>'MOMO,AIRTEL,CARDS'!ZX7</f>
        <v>420850</v>
      </c>
      <c r="ZZ16" s="22">
        <f>'MOMO,AIRTEL,CARDS'!ZY7</f>
        <v>70000</v>
      </c>
      <c r="AAA16" s="22">
        <f>'MOMO,AIRTEL,CARDS'!ZZ7</f>
        <v>670000</v>
      </c>
      <c r="AAB16" s="22">
        <f>'MOMO,AIRTEL,CARDS'!AAA7</f>
        <v>4301250</v>
      </c>
      <c r="AAC16" s="22">
        <f>'MOMO,AIRTEL,CARDS'!AAB7</f>
        <v>2526714</v>
      </c>
      <c r="AAD16" s="22">
        <f>'MOMO,AIRTEL,CARDS'!AAC7</f>
        <v>293000</v>
      </c>
      <c r="AAE16" s="22">
        <f>'MOMO,AIRTEL,CARDS'!AAD7</f>
        <v>367564</v>
      </c>
      <c r="AAF16" s="22">
        <f>'MOMO,AIRTEL,CARDS'!AAE7</f>
        <v>360000</v>
      </c>
      <c r="AAG16" s="22">
        <f>'MOMO,AIRTEL,CARDS'!AAF7</f>
        <v>1025000</v>
      </c>
      <c r="AAH16" s="22">
        <f>'MOMO,AIRTEL,CARDS'!AAG7</f>
        <v>80000</v>
      </c>
      <c r="AAI16" s="22">
        <f>'MOMO,AIRTEL,CARDS'!AAH7</f>
        <v>200000</v>
      </c>
      <c r="AAJ16" s="22">
        <f>'MOMO,AIRTEL,CARDS'!AAI7</f>
        <v>400000</v>
      </c>
      <c r="AAK16" s="22">
        <f>'MOMO,AIRTEL,CARDS'!AAJ7</f>
        <v>1410400</v>
      </c>
      <c r="AAL16" s="22">
        <f>'MOMO,AIRTEL,CARDS'!AAK7</f>
        <v>1265900</v>
      </c>
      <c r="AAM16" s="22">
        <f>'MOMO,AIRTEL,CARDS'!AAL7</f>
        <v>1804000</v>
      </c>
      <c r="AAN16" s="22">
        <f>'MOMO,AIRTEL,CARDS'!AAM7</f>
        <v>406117</v>
      </c>
      <c r="AAO16" s="22">
        <f>'MOMO,AIRTEL,CARDS'!AAN7</f>
        <v>287000</v>
      </c>
      <c r="AAP16" s="22">
        <f>'MOMO,AIRTEL,CARDS'!AAO7</f>
        <v>250000</v>
      </c>
      <c r="AAQ16" s="22">
        <f>'MOMO,AIRTEL,CARDS'!AAP7</f>
        <v>110000</v>
      </c>
      <c r="AAR16" s="22">
        <f>'MOMO,AIRTEL,CARDS'!AAQ7</f>
        <v>0</v>
      </c>
      <c r="AAS16" s="22">
        <f>'MOMO,AIRTEL,CARDS'!AAR7</f>
        <v>0</v>
      </c>
      <c r="AAT16" s="22">
        <f>'MOMO,AIRTEL,CARDS'!AAS7</f>
        <v>873000</v>
      </c>
      <c r="AAU16" s="22">
        <f>'MOMO,AIRTEL,CARDS'!AAT7</f>
        <v>0</v>
      </c>
      <c r="AAV16" s="22">
        <f>'MOMO,AIRTEL,CARDS'!AAU7</f>
        <v>0</v>
      </c>
      <c r="AAW16" s="127">
        <f t="shared" si="115"/>
        <v>22942362</v>
      </c>
      <c r="AAX16" s="22">
        <f>'MOMO,AIRTEL,CARDS'!AAW7</f>
        <v>68000</v>
      </c>
      <c r="AAY16" s="22">
        <f>'MOMO,AIRTEL,CARDS'!AAX7</f>
        <v>160000</v>
      </c>
      <c r="AAZ16" s="22">
        <f>'MOMO,AIRTEL,CARDS'!AAY7</f>
        <v>867800</v>
      </c>
      <c r="ABA16" s="22">
        <f>'MOMO,AIRTEL,CARDS'!AAZ7</f>
        <v>0</v>
      </c>
      <c r="ABB16" s="22">
        <f>'MOMO,AIRTEL,CARDS'!ABA7</f>
        <v>2025877</v>
      </c>
      <c r="ABC16" s="22">
        <f>'MOMO,AIRTEL,CARDS'!ABB7</f>
        <v>543005</v>
      </c>
      <c r="ABD16" s="22">
        <f>'MOMO,AIRTEL,CARDS'!ABC7</f>
        <v>0</v>
      </c>
      <c r="ABE16" s="22">
        <f>'MOMO,AIRTEL,CARDS'!ABD7</f>
        <v>300000</v>
      </c>
      <c r="ABF16" s="22">
        <f>'MOMO,AIRTEL,CARDS'!ABE7</f>
        <v>423661</v>
      </c>
      <c r="ABG16" s="22">
        <f>'MOMO,AIRTEL,CARDS'!ABF7</f>
        <v>0</v>
      </c>
      <c r="ABH16" s="22">
        <f>'MOMO,AIRTEL,CARDS'!ABG7</f>
        <v>772000</v>
      </c>
      <c r="ABI16" s="22">
        <f>'MOMO,AIRTEL,CARDS'!ABH7</f>
        <v>1333000</v>
      </c>
      <c r="ABJ16" s="22">
        <f>'MOMO,AIRTEL,CARDS'!ABI7</f>
        <v>140000</v>
      </c>
      <c r="ABK16" s="22">
        <f>'MOMO,AIRTEL,CARDS'!ABJ7</f>
        <v>0</v>
      </c>
      <c r="ABL16" s="22">
        <f>'MOMO,AIRTEL,CARDS'!ABK7</f>
        <v>309051</v>
      </c>
      <c r="ABM16" s="22">
        <f>'MOMO,AIRTEL,CARDS'!ABL7</f>
        <v>0</v>
      </c>
      <c r="ABN16" s="22">
        <f>'MOMO,AIRTEL,CARDS'!ABM7</f>
        <v>0</v>
      </c>
      <c r="ABO16" s="22">
        <f>'MOMO,AIRTEL,CARDS'!ABN7</f>
        <v>571402</v>
      </c>
      <c r="ABP16" s="22">
        <f>'MOMO,AIRTEL,CARDS'!ABO7</f>
        <v>1270977</v>
      </c>
      <c r="ABQ16" s="22">
        <f>'MOMO,AIRTEL,CARDS'!ABP7</f>
        <v>159000</v>
      </c>
      <c r="ABR16" s="22">
        <f>'MOMO,AIRTEL,CARDS'!ABQ7</f>
        <v>20000</v>
      </c>
      <c r="ABS16" s="22">
        <f>'MOMO,AIRTEL,CARDS'!ABR7</f>
        <v>72700</v>
      </c>
      <c r="ABT16" s="22">
        <f>'MOMO,AIRTEL,CARDS'!ABS7</f>
        <v>672904</v>
      </c>
      <c r="ABU16" s="22">
        <f>'MOMO,AIRTEL,CARDS'!ABT7</f>
        <v>0</v>
      </c>
      <c r="ABV16" s="22">
        <f>'MOMO,AIRTEL,CARDS'!ABU7</f>
        <v>379000</v>
      </c>
      <c r="ABW16" s="22">
        <f>'MOMO,AIRTEL,CARDS'!ABV7</f>
        <v>1152500</v>
      </c>
      <c r="ABX16" s="22">
        <f>'MOMO,AIRTEL,CARDS'!ABW7</f>
        <v>0</v>
      </c>
      <c r="ABY16" s="22">
        <f>'MOMO,AIRTEL,CARDS'!ABX7</f>
        <v>0</v>
      </c>
      <c r="ABZ16" s="22">
        <f>'MOMO,AIRTEL,CARDS'!ABY7</f>
        <v>0</v>
      </c>
      <c r="ACA16" s="22">
        <f>'MOMO,AIRTEL,CARDS'!ABZ7</f>
        <v>111427</v>
      </c>
      <c r="ACB16" s="22">
        <f>'MOMO,AIRTEL,CARDS'!ACA7</f>
        <v>0</v>
      </c>
      <c r="ACC16" s="127">
        <f t="shared" si="117"/>
        <v>11352304</v>
      </c>
      <c r="ACD16" s="22">
        <f>'MOMO,AIRTEL,CARDS'!ACC7</f>
        <v>314450</v>
      </c>
      <c r="ACE16" s="22">
        <f>'MOMO,AIRTEL,CARDS'!ACD7</f>
        <v>1046800</v>
      </c>
      <c r="ACF16" s="22">
        <f>'MOMO,AIRTEL,CARDS'!ACE7</f>
        <v>100000</v>
      </c>
      <c r="ACG16" s="22">
        <f>'MOMO,AIRTEL,CARDS'!ACF7</f>
        <v>872000</v>
      </c>
      <c r="ACH16" s="22">
        <f>'MOMO,AIRTEL,CARDS'!ACG7</f>
        <v>534740</v>
      </c>
      <c r="ACI16" s="22">
        <f>'MOMO,AIRTEL,CARDS'!ACH7</f>
        <v>200000</v>
      </c>
      <c r="ACJ16" s="22">
        <f>'MOMO,AIRTEL,CARDS'!ACI7</f>
        <v>698760</v>
      </c>
      <c r="ACK16" s="22">
        <f>'MOMO,AIRTEL,CARDS'!ACJ7</f>
        <v>275593</v>
      </c>
      <c r="ACL16" s="22">
        <f>'MOMO,AIRTEL,CARDS'!ACK7</f>
        <v>485000</v>
      </c>
      <c r="ACM16" s="22">
        <f>'MOMO,AIRTEL,CARDS'!ACL7</f>
        <v>0</v>
      </c>
      <c r="ACN16" s="22">
        <f>'MOMO,AIRTEL,CARDS'!ACM7</f>
        <v>921510</v>
      </c>
      <c r="ACO16" s="22">
        <f>'MOMO,AIRTEL,CARDS'!ACN7</f>
        <v>500000</v>
      </c>
      <c r="ACP16" s="22">
        <f>'MOMO,AIRTEL,CARDS'!ACO7</f>
        <v>818450</v>
      </c>
      <c r="ACQ16" s="22">
        <f>'MOMO,AIRTEL,CARDS'!ACP7</f>
        <v>368750</v>
      </c>
      <c r="ACR16" s="22">
        <f>'MOMO,AIRTEL,CARDS'!ACQ7</f>
        <v>70000</v>
      </c>
      <c r="ACS16" s="22">
        <f>'MOMO,AIRTEL,CARDS'!ACR7</f>
        <v>837000</v>
      </c>
      <c r="ACT16" s="22">
        <f>'MOMO,AIRTEL,CARDS'!ACS7</f>
        <v>1219068</v>
      </c>
      <c r="ACU16" s="22">
        <f>'MOMO,AIRTEL,CARDS'!ACT7</f>
        <v>533281</v>
      </c>
      <c r="ACV16" s="22">
        <f>'MOMO,AIRTEL,CARDS'!ACU7</f>
        <v>120000</v>
      </c>
      <c r="ACW16" s="22">
        <f>'MOMO,AIRTEL,CARDS'!ACV7</f>
        <v>0</v>
      </c>
      <c r="ACX16" s="22">
        <f>'MOMO,AIRTEL,CARDS'!ACW7</f>
        <v>323760</v>
      </c>
      <c r="ACY16" s="22">
        <f>'MOMO,AIRTEL,CARDS'!ACX7</f>
        <v>443548</v>
      </c>
      <c r="ACZ16" s="22">
        <f>'MOMO,AIRTEL,CARDS'!ACY7</f>
        <v>837000</v>
      </c>
      <c r="ADA16" s="22">
        <f>'MOMO,AIRTEL,CARDS'!ACZ7</f>
        <v>0</v>
      </c>
      <c r="ADB16" s="22">
        <f>'MOMO,AIRTEL,CARDS'!ADA7</f>
        <v>672000</v>
      </c>
      <c r="ADC16" s="22">
        <f>'MOMO,AIRTEL,CARDS'!ADB7</f>
        <v>200000</v>
      </c>
      <c r="ADD16" s="22">
        <f>'MOMO,AIRTEL,CARDS'!ADC7</f>
        <v>395129</v>
      </c>
      <c r="ADE16" s="22">
        <f>'MOMO,AIRTEL,CARDS'!ADD7</f>
        <v>0</v>
      </c>
      <c r="ADF16" s="22">
        <f>'MOMO,AIRTEL,CARDS'!ADE7</f>
        <v>0</v>
      </c>
      <c r="ADG16" s="22">
        <f>'MOMO,AIRTEL,CARDS'!ADF7</f>
        <v>553500</v>
      </c>
      <c r="ADH16" s="22">
        <f>'MOMO,AIRTEL,CARDS'!ADG7</f>
        <v>784724</v>
      </c>
      <c r="ADI16" s="127">
        <f t="shared" si="119"/>
        <v>14125063</v>
      </c>
      <c r="ADJ16" s="22">
        <f>'MOMO,AIRTEL,CARDS'!ADI7</f>
        <v>901989</v>
      </c>
      <c r="ADK16" s="22">
        <f>'MOMO,AIRTEL,CARDS'!ADJ7</f>
        <v>343000</v>
      </c>
      <c r="ADL16" s="22">
        <f>'MOMO,AIRTEL,CARDS'!ADK7</f>
        <v>348750</v>
      </c>
      <c r="ADM16" s="22">
        <f>'MOMO,AIRTEL,CARDS'!ADL7</f>
        <v>100000</v>
      </c>
      <c r="ADN16" s="22">
        <f>'MOMO,AIRTEL,CARDS'!ADM7</f>
        <v>450760</v>
      </c>
      <c r="ADO16" s="22">
        <f>'MOMO,AIRTEL,CARDS'!ADN7</f>
        <v>1010615</v>
      </c>
      <c r="ADP16" s="22">
        <f>'MOMO,AIRTEL,CARDS'!ADO7</f>
        <v>562500</v>
      </c>
      <c r="ADQ16" s="22">
        <f>'MOMO,AIRTEL,CARDS'!ADP7</f>
        <v>801493</v>
      </c>
      <c r="ADR16" s="22">
        <f>'MOMO,AIRTEL,CARDS'!ADQ7</f>
        <v>352558</v>
      </c>
      <c r="ADS16" s="22">
        <f>'MOMO,AIRTEL,CARDS'!ADR7</f>
        <v>395250</v>
      </c>
      <c r="ADT16" s="22">
        <f>'MOMO,AIRTEL,CARDS'!ADS7</f>
        <v>170000</v>
      </c>
      <c r="ADU16" s="22">
        <f>'MOMO,AIRTEL,CARDS'!ADT7</f>
        <v>253961</v>
      </c>
      <c r="ADV16" s="22">
        <f>'MOMO,AIRTEL,CARDS'!ADU7</f>
        <v>838000</v>
      </c>
      <c r="ADW16" s="22">
        <f>'MOMO,AIRTEL,CARDS'!ADV7</f>
        <v>668000</v>
      </c>
      <c r="ADX16" s="22">
        <f>'MOMO,AIRTEL,CARDS'!ADW7</f>
        <v>859500</v>
      </c>
      <c r="ADY16" s="22">
        <f>'MOMO,AIRTEL,CARDS'!ADX7</f>
        <v>0</v>
      </c>
      <c r="ADZ16" s="22">
        <f>'MOMO,AIRTEL,CARDS'!ADY7</f>
        <v>150000</v>
      </c>
      <c r="AEA16" s="22">
        <f>'MOMO,AIRTEL,CARDS'!ADZ7</f>
        <v>481824</v>
      </c>
      <c r="AEB16" s="22">
        <f>'MOMO,AIRTEL,CARDS'!AEA7</f>
        <v>0</v>
      </c>
      <c r="AEC16" s="22">
        <f>'MOMO,AIRTEL,CARDS'!AEB7</f>
        <v>232500</v>
      </c>
      <c r="AED16" s="22">
        <f>'MOMO,AIRTEL,CARDS'!AEC7</f>
        <v>245300</v>
      </c>
      <c r="AEE16" s="22">
        <f>'MOMO,AIRTEL,CARDS'!AED7</f>
        <v>566328</v>
      </c>
      <c r="AEF16" s="22">
        <f>'MOMO,AIRTEL,CARDS'!AEE7</f>
        <v>311298</v>
      </c>
      <c r="AEG16" s="22">
        <f>'MOMO,AIRTEL,CARDS'!AEF7</f>
        <v>50000</v>
      </c>
      <c r="AEH16" s="22">
        <f>'MOMO,AIRTEL,CARDS'!AEG7</f>
        <v>645000</v>
      </c>
      <c r="AEI16" s="22">
        <f>'MOMO,AIRTEL,CARDS'!AEH7</f>
        <v>93000</v>
      </c>
      <c r="AEJ16" s="22">
        <f>'MOMO,AIRTEL,CARDS'!AEI7</f>
        <v>8000</v>
      </c>
      <c r="AEK16" s="22">
        <f>'MOMO,AIRTEL,CARDS'!AEJ7</f>
        <v>0</v>
      </c>
      <c r="AEL16" s="22">
        <f>'MOMO,AIRTEL,CARDS'!AEK7</f>
        <v>150000</v>
      </c>
      <c r="AEM16" s="22">
        <f>'MOMO,AIRTEL,CARDS'!AEL7</f>
        <v>255750</v>
      </c>
      <c r="AEN16" s="127">
        <f t="shared" si="121"/>
        <v>11245376</v>
      </c>
      <c r="AEO16" s="22">
        <f>'MOMO,AIRTEL,CARDS'!AEN7</f>
        <v>789945</v>
      </c>
      <c r="AEP16" s="22">
        <f>'MOMO,AIRTEL,CARDS'!AEO7</f>
        <v>160000</v>
      </c>
      <c r="AEQ16" s="22">
        <f>'MOMO,AIRTEL,CARDS'!AEP7</f>
        <v>0</v>
      </c>
      <c r="AER16" s="22">
        <f>'MOMO,AIRTEL,CARDS'!AEQ7</f>
        <v>0</v>
      </c>
      <c r="AES16" s="22">
        <f>'MOMO,AIRTEL,CARDS'!AER7</f>
        <v>593938</v>
      </c>
      <c r="AET16" s="22">
        <f>'MOMO,AIRTEL,CARDS'!AES7</f>
        <v>308750</v>
      </c>
      <c r="AEU16" s="22">
        <f>'MOMO,AIRTEL,CARDS'!AET7</f>
        <v>0</v>
      </c>
      <c r="AEV16" s="22">
        <f>'MOMO,AIRTEL,CARDS'!AEU7</f>
        <v>724500</v>
      </c>
      <c r="AEW16" s="22">
        <f>'MOMO,AIRTEL,CARDS'!AEV7</f>
        <v>255750</v>
      </c>
      <c r="AEX16" s="22">
        <f>'MOMO,AIRTEL,CARDS'!AEW7</f>
        <v>866867</v>
      </c>
      <c r="AEY16" s="22">
        <f>'MOMO,AIRTEL,CARDS'!AEX7</f>
        <v>0</v>
      </c>
      <c r="AEZ16" s="22">
        <f>'MOMO,AIRTEL,CARDS'!AEY7</f>
        <v>0</v>
      </c>
      <c r="AFA16" s="22">
        <f>'MOMO,AIRTEL,CARDS'!AEZ7</f>
        <v>616000</v>
      </c>
      <c r="AFB16" s="22">
        <f>'MOMO,AIRTEL,CARDS'!AFA7</f>
        <v>0</v>
      </c>
      <c r="AFC16" s="22">
        <f>'MOMO,AIRTEL,CARDS'!AFB7</f>
        <v>439480</v>
      </c>
      <c r="AFD16" s="22">
        <f>'MOMO,AIRTEL,CARDS'!AFC7</f>
        <v>250000</v>
      </c>
      <c r="AFE16" s="22">
        <f>'MOMO,AIRTEL,CARDS'!AFD7</f>
        <v>0</v>
      </c>
      <c r="AFF16" s="22">
        <f>'MOMO,AIRTEL,CARDS'!AFE7</f>
        <v>372000</v>
      </c>
      <c r="AFG16" s="22">
        <f>'MOMO,AIRTEL,CARDS'!AFF7</f>
        <v>0</v>
      </c>
      <c r="AFH16" s="22">
        <f>'MOMO,AIRTEL,CARDS'!AFG7</f>
        <v>0</v>
      </c>
      <c r="AFI16" s="22">
        <f>'MOMO,AIRTEL,CARDS'!AFH7</f>
        <v>0</v>
      </c>
      <c r="AFJ16" s="22">
        <f>'MOMO,AIRTEL,CARDS'!AFI7</f>
        <v>139500</v>
      </c>
      <c r="AFK16" s="22">
        <f>'MOMO,AIRTEL,CARDS'!AFJ7</f>
        <v>93000</v>
      </c>
      <c r="AFL16" s="22">
        <f>'MOMO,AIRTEL,CARDS'!AFK7</f>
        <v>180000</v>
      </c>
      <c r="AFM16" s="22">
        <f>'MOMO,AIRTEL,CARDS'!AFL7</f>
        <v>150000</v>
      </c>
      <c r="AFN16" s="22">
        <f>'MOMO,AIRTEL,CARDS'!AFM7</f>
        <v>0</v>
      </c>
      <c r="AFO16" s="22">
        <f>'MOMO,AIRTEL,CARDS'!AFN7</f>
        <v>139500</v>
      </c>
      <c r="AFP16" s="22">
        <f>'MOMO,AIRTEL,CARDS'!AFO7</f>
        <v>0</v>
      </c>
      <c r="AFQ16" s="22">
        <f>'MOMO,AIRTEL,CARDS'!AFP7</f>
        <v>0</v>
      </c>
      <c r="AFR16" s="22">
        <f>'MOMO,AIRTEL,CARDS'!AFQ7</f>
        <v>121000</v>
      </c>
      <c r="AFS16" s="22">
        <f>'MOMO,AIRTEL,CARDS'!AFR7</f>
        <v>8000</v>
      </c>
      <c r="AFT16" s="127">
        <f t="shared" si="123"/>
        <v>6208230</v>
      </c>
      <c r="AFU16" s="22">
        <f>'MOMO,AIRTEL,CARDS'!AFT7</f>
        <v>693998</v>
      </c>
      <c r="AFV16" s="22">
        <f>'MOMO,AIRTEL,CARDS'!AFU7</f>
        <v>50000</v>
      </c>
      <c r="AFW16" s="22">
        <f>'MOMO,AIRTEL,CARDS'!AFV7</f>
        <v>0</v>
      </c>
      <c r="AFX16" s="22">
        <f>'MOMO,AIRTEL,CARDS'!AFW7</f>
        <v>255750</v>
      </c>
      <c r="AFY16" s="22">
        <f>'MOMO,AIRTEL,CARDS'!AFX7</f>
        <v>150000</v>
      </c>
      <c r="AFZ16" s="22">
        <f>'MOMO,AIRTEL,CARDS'!AFY7</f>
        <v>250000</v>
      </c>
      <c r="AGA16" s="22">
        <f>'MOMO,AIRTEL,CARDS'!AFZ7</f>
        <v>255750</v>
      </c>
      <c r="AGB16" s="22">
        <f>'MOMO,AIRTEL,CARDS'!AGA7</f>
        <v>0</v>
      </c>
      <c r="AGC16" s="22">
        <f>'MOMO,AIRTEL,CARDS'!AGB7</f>
        <v>359199</v>
      </c>
      <c r="AGD16" s="22">
        <f>'MOMO,AIRTEL,CARDS'!AGC7</f>
        <v>0</v>
      </c>
      <c r="AGE16" s="22">
        <f>'MOMO,AIRTEL,CARDS'!AGD7</f>
        <v>0</v>
      </c>
      <c r="AGF16" s="22">
        <f>'MOMO,AIRTEL,CARDS'!AGE7</f>
        <v>100000</v>
      </c>
      <c r="AGG16" s="22">
        <f>'MOMO,AIRTEL,CARDS'!AGF7</f>
        <v>150000</v>
      </c>
      <c r="AGH16" s="22">
        <f>'MOMO,AIRTEL,CARDS'!AGG7</f>
        <v>150000</v>
      </c>
      <c r="AGI16" s="22">
        <f>'MOMO,AIRTEL,CARDS'!AGH7</f>
        <v>151538</v>
      </c>
      <c r="AGJ16" s="22">
        <f>'MOMO,AIRTEL,CARDS'!AGI7</f>
        <v>1349348</v>
      </c>
      <c r="AGK16" s="22">
        <f>'MOMO,AIRTEL,CARDS'!AGJ7</f>
        <v>200000</v>
      </c>
      <c r="AGL16" s="22">
        <f>'MOMO,AIRTEL,CARDS'!AGK7</f>
        <v>500000</v>
      </c>
      <c r="AGM16" s="22">
        <f>'MOMO,AIRTEL,CARDS'!AGL7</f>
        <v>211025</v>
      </c>
      <c r="AGN16" s="22">
        <f>'MOMO,AIRTEL,CARDS'!AGM7</f>
        <v>0</v>
      </c>
      <c r="AGO16" s="22">
        <f>'MOMO,AIRTEL,CARDS'!AGN7</f>
        <v>260000</v>
      </c>
      <c r="AGP16" s="22">
        <f>'MOMO,AIRTEL,CARDS'!AGO7</f>
        <v>702234</v>
      </c>
      <c r="AGQ16" s="22">
        <f>'MOMO,AIRTEL,CARDS'!AGP7</f>
        <v>406990</v>
      </c>
      <c r="AGR16" s="22">
        <f>'MOMO,AIRTEL,CARDS'!AGQ7</f>
        <v>150917</v>
      </c>
      <c r="AGS16" s="22">
        <f>'MOMO,AIRTEL,CARDS'!AGR7</f>
        <v>0</v>
      </c>
      <c r="AGT16" s="22">
        <f>'MOMO,AIRTEL,CARDS'!AGS7</f>
        <v>0</v>
      </c>
      <c r="AGU16" s="22">
        <f>'MOMO,AIRTEL,CARDS'!AGT7</f>
        <v>0</v>
      </c>
      <c r="AGV16" s="22">
        <f>'MOMO,AIRTEL,CARDS'!AGU7</f>
        <v>30000</v>
      </c>
      <c r="AGW16" s="22">
        <f>'MOMO,AIRTEL,CARDS'!AGV7</f>
        <v>201000</v>
      </c>
      <c r="AGX16" s="22">
        <f>'MOMO,AIRTEL,CARDS'!AGW7</f>
        <v>50000</v>
      </c>
      <c r="AGY16" s="127">
        <f t="shared" si="125"/>
        <v>6627749</v>
      </c>
      <c r="AGZ16" s="22">
        <f>'MOMO,AIRTEL,CARDS'!AGY7</f>
        <v>0</v>
      </c>
      <c r="AHA16" s="22">
        <f>'MOMO,AIRTEL,CARDS'!AGZ7</f>
        <v>634000</v>
      </c>
      <c r="AHB16" s="22">
        <f>'MOMO,AIRTEL,CARDS'!AHA7</f>
        <v>220033</v>
      </c>
      <c r="AHC16" s="22">
        <f>'MOMO,AIRTEL,CARDS'!AHB7</f>
        <v>445404</v>
      </c>
      <c r="AHD16" s="22">
        <f>'MOMO,AIRTEL,CARDS'!AHC7</f>
        <v>672395</v>
      </c>
      <c r="AHE16" s="22">
        <f>'MOMO,AIRTEL,CARDS'!AHD7</f>
        <v>0</v>
      </c>
      <c r="AHF16" s="22">
        <f>'MOMO,AIRTEL,CARDS'!AHE7</f>
        <v>847120</v>
      </c>
      <c r="AHG16" s="22">
        <f>'MOMO,AIRTEL,CARDS'!AHF7</f>
        <v>0</v>
      </c>
      <c r="AHH16" s="22">
        <f>'MOMO,AIRTEL,CARDS'!AHG7</f>
        <v>0</v>
      </c>
      <c r="AHI16" s="22">
        <f>'MOMO,AIRTEL,CARDS'!AHH7</f>
        <v>250000</v>
      </c>
      <c r="AHJ16" s="22">
        <f>'MOMO,AIRTEL,CARDS'!AHI7</f>
        <v>0</v>
      </c>
      <c r="AHK16" s="22">
        <f>'MOMO,AIRTEL,CARDS'!AHJ7</f>
        <v>128478</v>
      </c>
      <c r="AHL16" s="22">
        <f>'MOMO,AIRTEL,CARDS'!AHK7</f>
        <v>180000</v>
      </c>
      <c r="AHM16" s="22">
        <f>'MOMO,AIRTEL,CARDS'!AHL7</f>
        <v>413010</v>
      </c>
      <c r="AHN16" s="22">
        <f>'MOMO,AIRTEL,CARDS'!AHM7</f>
        <v>100000</v>
      </c>
      <c r="AHO16" s="22">
        <f>'MOMO,AIRTEL,CARDS'!AHN7</f>
        <v>0</v>
      </c>
      <c r="AHP16" s="22">
        <f>'MOMO,AIRTEL,CARDS'!AHO7</f>
        <v>270109</v>
      </c>
      <c r="AHQ16" s="22">
        <f>'MOMO,AIRTEL,CARDS'!AHP7</f>
        <v>220000</v>
      </c>
      <c r="AHR16" s="22">
        <f>'MOMO,AIRTEL,CARDS'!AHQ7</f>
        <v>114725</v>
      </c>
      <c r="AHS16" s="22">
        <f>'MOMO,AIRTEL,CARDS'!AHR7</f>
        <v>0</v>
      </c>
      <c r="AHT16" s="22">
        <f>'MOMO,AIRTEL,CARDS'!AHS7</f>
        <v>100000</v>
      </c>
      <c r="AHU16" s="22">
        <f>'MOMO,AIRTEL,CARDS'!AHT7</f>
        <v>0</v>
      </c>
      <c r="AHV16" s="22">
        <f>'MOMO,AIRTEL,CARDS'!AHU7</f>
        <v>0</v>
      </c>
      <c r="AHW16" s="22">
        <f>'MOMO,AIRTEL,CARDS'!AHV7</f>
        <v>0</v>
      </c>
      <c r="AHX16" s="22">
        <f>'MOMO,AIRTEL,CARDS'!AHW7</f>
        <v>0</v>
      </c>
      <c r="AHY16" s="22">
        <f>'MOMO,AIRTEL,CARDS'!AHX7</f>
        <v>100000</v>
      </c>
      <c r="AHZ16" s="22">
        <f>'MOMO,AIRTEL,CARDS'!AHY7</f>
        <v>140000</v>
      </c>
      <c r="AIA16" s="22">
        <f>'MOMO,AIRTEL,CARDS'!AHZ7</f>
        <v>226565</v>
      </c>
      <c r="AIB16" s="22">
        <f>'MOMO,AIRTEL,CARDS'!AIA7</f>
        <v>0</v>
      </c>
      <c r="AIC16" s="22">
        <f>'MOMO,AIRTEL,CARDS'!AIB7</f>
        <v>202000</v>
      </c>
      <c r="AID16" s="22">
        <f>'MOMO,AIRTEL,CARDS'!AIC7</f>
        <v>0</v>
      </c>
      <c r="AIE16" s="127">
        <f>SUM(AGZ16:AID16)</f>
        <v>5263839</v>
      </c>
      <c r="AIF16" s="22">
        <f>'MOMO,AIRTEL,CARDS'!AIE7</f>
        <v>0</v>
      </c>
      <c r="AIG16" s="22">
        <f>'MOMO,AIRTEL,CARDS'!AIF7</f>
        <v>155646</v>
      </c>
      <c r="AIH16" s="22">
        <f>'MOMO,AIRTEL,CARDS'!AIG7</f>
        <v>0</v>
      </c>
      <c r="AII16" s="22">
        <f>'MOMO,AIRTEL,CARDS'!AIH7</f>
        <v>364049</v>
      </c>
      <c r="AIJ16" s="22">
        <f>'MOMO,AIRTEL,CARDS'!AII7</f>
        <v>548000</v>
      </c>
      <c r="AIK16" s="22">
        <f>'MOMO,AIRTEL,CARDS'!AIJ7</f>
        <v>0</v>
      </c>
      <c r="AIL16" s="22">
        <f>'MOMO,AIRTEL,CARDS'!AIK7</f>
        <v>1482666</v>
      </c>
      <c r="AIM16" s="22">
        <f>'MOMO,AIRTEL,CARDS'!AIL7</f>
        <v>835000</v>
      </c>
      <c r="AIN16" s="22">
        <f>'MOMO,AIRTEL,CARDS'!AIM7</f>
        <v>157774</v>
      </c>
      <c r="AIO16" s="22">
        <f>'MOMO,AIRTEL,CARDS'!AIN7</f>
        <v>1666150</v>
      </c>
      <c r="AIP16" s="22">
        <f>'MOMO,AIRTEL,CARDS'!AIO7</f>
        <v>70000</v>
      </c>
      <c r="AIQ16" s="22">
        <f>'MOMO,AIRTEL,CARDS'!AIP7</f>
        <v>1000100</v>
      </c>
      <c r="AIR16" s="22">
        <f>'MOMO,AIRTEL,CARDS'!AIQ7</f>
        <v>0</v>
      </c>
      <c r="AIS16" s="22">
        <f>'MOMO,AIRTEL,CARDS'!AIR7</f>
        <v>0</v>
      </c>
      <c r="AIT16" s="22">
        <f>'MOMO,AIRTEL,CARDS'!AIS7</f>
        <v>0</v>
      </c>
      <c r="AIU16" s="22">
        <f>'MOMO,AIRTEL,CARDS'!AIT7</f>
        <v>0</v>
      </c>
      <c r="AIV16" s="22">
        <f>'MOMO,AIRTEL,CARDS'!AIU7</f>
        <v>0</v>
      </c>
      <c r="AIW16" s="22">
        <f>'MOMO,AIRTEL,CARDS'!AIV7</f>
        <v>0</v>
      </c>
      <c r="AIX16" s="22">
        <f>'MOMO,AIRTEL,CARDS'!AIW7</f>
        <v>400000</v>
      </c>
      <c r="AIY16" s="22">
        <f>'MOMO,AIRTEL,CARDS'!AIX7</f>
        <v>150000</v>
      </c>
      <c r="AIZ16" s="22">
        <f>'MOMO,AIRTEL,CARDS'!AIY7</f>
        <v>444147</v>
      </c>
      <c r="AJA16" s="22">
        <f>'MOMO,AIRTEL,CARDS'!AIZ7</f>
        <v>199980</v>
      </c>
      <c r="AJB16" s="22">
        <f>'MOMO,AIRTEL,CARDS'!AJA7</f>
        <v>0</v>
      </c>
      <c r="AJC16" s="22">
        <f>'MOMO,AIRTEL,CARDS'!AJB7</f>
        <v>16000</v>
      </c>
      <c r="AJD16" s="22">
        <f>'MOMO,AIRTEL,CARDS'!AJC7</f>
        <v>0</v>
      </c>
      <c r="AJE16" s="22">
        <f>'MOMO,AIRTEL,CARDS'!AJD7</f>
        <v>0</v>
      </c>
      <c r="AJF16" s="22">
        <f>'MOMO,AIRTEL,CARDS'!AJE7</f>
        <v>84000</v>
      </c>
      <c r="AJG16" s="22">
        <f>'MOMO,AIRTEL,CARDS'!AJF7</f>
        <v>1639650</v>
      </c>
      <c r="AJH16" s="22">
        <f>'MOMO,AIRTEL,CARDS'!AJG7</f>
        <v>0</v>
      </c>
      <c r="AJI16" s="22">
        <f>'MOMO,AIRTEL,CARDS'!AJH7</f>
        <v>375969</v>
      </c>
      <c r="AJJ16" s="22">
        <f>'MOMO,AIRTEL,CARDS'!AJI7</f>
        <v>191458</v>
      </c>
      <c r="AJK16" s="127">
        <f>SUM(AIF16:AJJ16)</f>
        <v>9780589</v>
      </c>
      <c r="AJL16" s="22">
        <f>'MOMO,AIRTEL,CARDS'!AJK7</f>
        <v>0</v>
      </c>
      <c r="AJM16" s="22">
        <f>'MOMO,AIRTEL,CARDS'!AJL7</f>
        <v>541930</v>
      </c>
      <c r="AJN16" s="22">
        <f>'MOMO,AIRTEL,CARDS'!AJM7</f>
        <v>1024171</v>
      </c>
      <c r="AJO16" s="22">
        <f>'MOMO,AIRTEL,CARDS'!AJN7</f>
        <v>252945</v>
      </c>
      <c r="AJP16" s="22">
        <f>'MOMO,AIRTEL,CARDS'!AJO7</f>
        <v>99900</v>
      </c>
      <c r="AJQ16" s="22">
        <f>'MOMO,AIRTEL,CARDS'!AJP7</f>
        <v>0</v>
      </c>
      <c r="AJR16" s="22">
        <f>'MOMO,AIRTEL,CARDS'!AJQ7</f>
        <v>310000</v>
      </c>
      <c r="AJS16" s="22">
        <f>'MOMO,AIRTEL,CARDS'!AJR7</f>
        <v>1305485</v>
      </c>
      <c r="AJT16" s="22">
        <f>'MOMO,AIRTEL,CARDS'!AJS7</f>
        <v>229950</v>
      </c>
      <c r="AJU16" s="22">
        <f>'MOMO,AIRTEL,CARDS'!AJT7</f>
        <v>99980</v>
      </c>
      <c r="AJV16" s="22">
        <f>'MOMO,AIRTEL,CARDS'!AJU7</f>
        <v>0</v>
      </c>
      <c r="AJW16" s="22">
        <f>'MOMO,AIRTEL,CARDS'!AJV7</f>
        <v>200000</v>
      </c>
      <c r="AJX16" s="22">
        <f>'MOMO,AIRTEL,CARDS'!AJW7</f>
        <v>280000</v>
      </c>
      <c r="AJY16" s="22">
        <f>'MOMO,AIRTEL,CARDS'!AJX7</f>
        <v>0</v>
      </c>
      <c r="AJZ16" s="22">
        <f>'MOMO,AIRTEL,CARDS'!AJY7</f>
        <v>50000</v>
      </c>
      <c r="AKA16" s="22">
        <f>'MOMO,AIRTEL,CARDS'!AJZ7</f>
        <v>326953</v>
      </c>
      <c r="AKB16" s="22">
        <f>'MOMO,AIRTEL,CARDS'!AKA7</f>
        <v>60033</v>
      </c>
      <c r="AKC16" s="22">
        <f>'MOMO,AIRTEL,CARDS'!AKB7</f>
        <v>99980</v>
      </c>
      <c r="AKD16" s="22">
        <f>'MOMO,AIRTEL,CARDS'!AKC7</f>
        <v>0</v>
      </c>
      <c r="AKE16" s="22">
        <f>'MOMO,AIRTEL,CARDS'!AKD7</f>
        <v>1096068</v>
      </c>
      <c r="AKF16" s="22">
        <f>'MOMO,AIRTEL,CARDS'!AKE7</f>
        <v>196571</v>
      </c>
      <c r="AKG16" s="22">
        <f>'MOMO,AIRTEL,CARDS'!AKF7</f>
        <v>100000</v>
      </c>
      <c r="AKH16" s="22">
        <f>'MOMO,AIRTEL,CARDS'!AKG7</f>
        <v>0</v>
      </c>
      <c r="AKI16" s="22">
        <f>'MOMO,AIRTEL,CARDS'!AKH7</f>
        <v>99980</v>
      </c>
      <c r="AKJ16" s="22">
        <f>'MOMO,AIRTEL,CARDS'!AKI7</f>
        <v>515925</v>
      </c>
      <c r="AKK16" s="22">
        <f>'MOMO,AIRTEL,CARDS'!AKJ7</f>
        <v>24000</v>
      </c>
      <c r="AKL16" s="22">
        <f>'MOMO,AIRTEL,CARDS'!AKK7</f>
        <v>530000</v>
      </c>
      <c r="AKM16" s="22">
        <f>'MOMO,AIRTEL,CARDS'!AKL7</f>
        <v>600000</v>
      </c>
      <c r="AKN16" s="127">
        <f t="shared" si="11"/>
        <v>8043871</v>
      </c>
      <c r="AKO16" s="22">
        <f>'MOMO,AIRTEL,CARDS'!AKN7</f>
        <v>501971</v>
      </c>
      <c r="AKP16" s="22">
        <f>'MOMO,AIRTEL,CARDS'!AKO7</f>
        <v>298868</v>
      </c>
      <c r="AKQ16" s="22">
        <f>'MOMO,AIRTEL,CARDS'!AKP7</f>
        <v>727755</v>
      </c>
      <c r="AKR16" s="22">
        <f>'MOMO,AIRTEL,CARDS'!AKQ7</f>
        <v>219200</v>
      </c>
      <c r="AKS16" s="22">
        <f>'MOMO,AIRTEL,CARDS'!AKR7</f>
        <v>196154</v>
      </c>
      <c r="AKT16" s="22">
        <f>'MOMO,AIRTEL,CARDS'!AKS7</f>
        <v>549000</v>
      </c>
      <c r="AKU16" s="22">
        <f>'MOMO,AIRTEL,CARDS'!AKT7</f>
        <v>2408704</v>
      </c>
      <c r="AKV16" s="22">
        <f>'MOMO,AIRTEL,CARDS'!AKU7</f>
        <v>150000</v>
      </c>
      <c r="AKW16" s="22">
        <f>'MOMO,AIRTEL,CARDS'!AKV7</f>
        <v>1441074</v>
      </c>
      <c r="AKX16" s="22">
        <f>'MOMO,AIRTEL,CARDS'!AKW7</f>
        <v>442205</v>
      </c>
      <c r="AKY16" s="22">
        <f>'MOMO,AIRTEL,CARDS'!AKX7</f>
        <v>499103</v>
      </c>
      <c r="AKZ16" s="22">
        <f>'MOMO,AIRTEL,CARDS'!AKY7</f>
        <v>50000</v>
      </c>
      <c r="ALA16" s="22">
        <f>'MOMO,AIRTEL,CARDS'!AKZ7</f>
        <v>0</v>
      </c>
      <c r="ALB16" s="22">
        <f>'MOMO,AIRTEL,CARDS'!ALA7</f>
        <v>0</v>
      </c>
      <c r="ALC16" s="22">
        <f>'MOMO,AIRTEL,CARDS'!ALB7</f>
        <v>0</v>
      </c>
      <c r="ALD16" s="22">
        <f>'MOMO,AIRTEL,CARDS'!ALC7</f>
        <v>343747</v>
      </c>
      <c r="ALE16" s="22">
        <f>'MOMO,AIRTEL,CARDS'!ALD7</f>
        <v>331994</v>
      </c>
      <c r="ALF16" s="22">
        <f>'MOMO,AIRTEL,CARDS'!ALE7</f>
        <v>50000</v>
      </c>
      <c r="ALG16" s="22">
        <f>'MOMO,AIRTEL,CARDS'!ALF7</f>
        <v>0</v>
      </c>
      <c r="ALH16" s="22">
        <f>'MOMO,AIRTEL,CARDS'!ALG7</f>
        <v>255000</v>
      </c>
      <c r="ALI16" s="22">
        <f>'MOMO,AIRTEL,CARDS'!ALH7</f>
        <v>10000</v>
      </c>
      <c r="ALJ16" s="22">
        <f>'MOMO,AIRTEL,CARDS'!ALI7</f>
        <v>0</v>
      </c>
      <c r="ALK16" s="22">
        <f>'MOMO,AIRTEL,CARDS'!ALJ7</f>
        <v>0</v>
      </c>
      <c r="ALL16" s="22">
        <f>'MOMO,AIRTEL,CARDS'!ALK7</f>
        <v>160000</v>
      </c>
      <c r="ALM16" s="22">
        <f>'MOMO,AIRTEL,CARDS'!ALL7</f>
        <v>60000</v>
      </c>
      <c r="ALN16" s="22">
        <f>'MOMO,AIRTEL,CARDS'!ALM7</f>
        <v>50000</v>
      </c>
      <c r="ALO16" s="22">
        <f>'MOMO,AIRTEL,CARDS'!ALN7</f>
        <v>403000</v>
      </c>
      <c r="ALP16" s="22">
        <f>'MOMO,AIRTEL,CARDS'!ALO7</f>
        <v>155000</v>
      </c>
      <c r="ALQ16" s="22">
        <f>'MOMO,AIRTEL,CARDS'!ALP7</f>
        <v>557005</v>
      </c>
      <c r="ALR16" s="22">
        <f>'MOMO,AIRTEL,CARDS'!ALQ7</f>
        <v>782000</v>
      </c>
      <c r="ALS16" s="22">
        <f>'MOMO,AIRTEL,CARDS'!ALR7</f>
        <v>554905</v>
      </c>
      <c r="ALT16" s="127">
        <f t="shared" si="12"/>
        <v>11196685</v>
      </c>
      <c r="ALU16" s="22">
        <f>'MOMO,AIRTEL,CARDS'!ALT7</f>
        <v>342000</v>
      </c>
      <c r="ALV16" s="22">
        <f>'MOMO,AIRTEL,CARDS'!ALU7</f>
        <v>50000</v>
      </c>
      <c r="ALW16" s="22">
        <f>'MOMO,AIRTEL,CARDS'!ALV7</f>
        <v>0</v>
      </c>
      <c r="ALX16" s="22">
        <f>'MOMO,AIRTEL,CARDS'!ALW7</f>
        <v>81768</v>
      </c>
      <c r="ALY16" s="22">
        <f>'MOMO,AIRTEL,CARDS'!ALX7</f>
        <v>0</v>
      </c>
      <c r="ALZ16" s="22">
        <f>'MOMO,AIRTEL,CARDS'!ALY7</f>
        <v>277748</v>
      </c>
      <c r="AMA16" s="22">
        <f>'MOMO,AIRTEL,CARDS'!ALZ7</f>
        <v>501000</v>
      </c>
      <c r="AMB16" s="22">
        <f>'MOMO,AIRTEL,CARDS'!AMA7</f>
        <v>1221278</v>
      </c>
      <c r="AMC16" s="22">
        <f>'MOMO,AIRTEL,CARDS'!AMB7</f>
        <v>1224362</v>
      </c>
      <c r="AMD16" s="22">
        <f>'MOMO,AIRTEL,CARDS'!AMC7</f>
        <v>350000</v>
      </c>
      <c r="AME16" s="22">
        <f>'MOMO,AIRTEL,CARDS'!AMD7</f>
        <v>550000</v>
      </c>
      <c r="AMF16" s="22">
        <f>'MOMO,AIRTEL,CARDS'!AME7</f>
        <v>389188</v>
      </c>
      <c r="AMG16" s="22">
        <f>'MOMO,AIRTEL,CARDS'!AMF7</f>
        <v>1158740</v>
      </c>
      <c r="AMH16" s="22">
        <f>'MOMO,AIRTEL,CARDS'!AMG7</f>
        <v>105000</v>
      </c>
      <c r="AMI16" s="22">
        <f>'MOMO,AIRTEL,CARDS'!AMH7</f>
        <v>678891</v>
      </c>
      <c r="AMJ16" s="22">
        <f>'MOMO,AIRTEL,CARDS'!AMI7</f>
        <v>320050</v>
      </c>
      <c r="AMK16" s="22">
        <f>'MOMO,AIRTEL,CARDS'!AMJ7</f>
        <v>400000</v>
      </c>
      <c r="AML16" s="22">
        <f>'MOMO,AIRTEL,CARDS'!AMK7</f>
        <v>90000</v>
      </c>
      <c r="AMM16" s="22">
        <f>'MOMO,AIRTEL,CARDS'!AML7</f>
        <v>160000</v>
      </c>
      <c r="AMN16" s="22">
        <f>'MOMO,AIRTEL,CARDS'!AMM7</f>
        <v>296945</v>
      </c>
      <c r="AMO16" s="22">
        <f>'MOMO,AIRTEL,CARDS'!AMN7</f>
        <v>0</v>
      </c>
      <c r="AMP16" s="22">
        <f>'MOMO,AIRTEL,CARDS'!AMO7</f>
        <v>66000</v>
      </c>
      <c r="AMQ16" s="22">
        <f>'MOMO,AIRTEL,CARDS'!AMP7</f>
        <v>0</v>
      </c>
      <c r="AMR16" s="22">
        <f>'MOMO,AIRTEL,CARDS'!AMQ7</f>
        <v>290000</v>
      </c>
      <c r="AMS16" s="22">
        <f>'MOMO,AIRTEL,CARDS'!AMR7</f>
        <v>0</v>
      </c>
      <c r="AMT16" s="22">
        <f>'MOMO,AIRTEL,CARDS'!AMS7</f>
        <v>500000</v>
      </c>
      <c r="AMU16" s="22">
        <f>'MOMO,AIRTEL,CARDS'!AMT7</f>
        <v>200000</v>
      </c>
      <c r="AMV16" s="22">
        <f>'MOMO,AIRTEL,CARDS'!AMU7</f>
        <v>183000</v>
      </c>
      <c r="AMW16" s="22">
        <f>'MOMO,AIRTEL,CARDS'!AMV7</f>
        <v>0</v>
      </c>
      <c r="AMX16" s="22">
        <f>'MOMO,AIRTEL,CARDS'!AMW7</f>
        <v>100000</v>
      </c>
      <c r="AMY16" s="127">
        <f t="shared" si="13"/>
        <v>9535970</v>
      </c>
      <c r="AMZ16" s="22">
        <f>'MOMO,AIRTEL,CARDS'!AMY7</f>
        <v>368818</v>
      </c>
      <c r="ANA16" s="22">
        <f>'MOMO,AIRTEL,CARDS'!AMZ7</f>
        <v>1150879</v>
      </c>
      <c r="ANB16" s="22">
        <f>'MOMO,AIRTEL,CARDS'!ANA7</f>
        <v>235027</v>
      </c>
      <c r="ANC16" s="22">
        <f>'MOMO,AIRTEL,CARDS'!ANB7</f>
        <v>723136</v>
      </c>
      <c r="AND16" s="22">
        <f>'MOMO,AIRTEL,CARDS'!ANC7</f>
        <v>270000</v>
      </c>
      <c r="ANE16" s="22">
        <f>'MOMO,AIRTEL,CARDS'!AND7</f>
        <v>1378020</v>
      </c>
      <c r="ANF16" s="22">
        <f>'MOMO,AIRTEL,CARDS'!ANE7</f>
        <v>763990</v>
      </c>
      <c r="ANG16" s="22">
        <f>'MOMO,AIRTEL,CARDS'!ANF7</f>
        <v>100000</v>
      </c>
      <c r="ANH16" s="22">
        <f>'MOMO,AIRTEL,CARDS'!ANG7</f>
        <v>260000</v>
      </c>
      <c r="ANI16" s="22">
        <f>'MOMO,AIRTEL,CARDS'!ANH7</f>
        <v>973830</v>
      </c>
      <c r="ANJ16" s="22">
        <f>'MOMO,AIRTEL,CARDS'!ANI7</f>
        <v>1232310</v>
      </c>
      <c r="ANK16" s="22">
        <f>'MOMO,AIRTEL,CARDS'!ANJ7</f>
        <v>40000</v>
      </c>
      <c r="ANL16" s="22">
        <f>'MOMO,AIRTEL,CARDS'!ANK7</f>
        <v>50000</v>
      </c>
      <c r="ANM16" s="22">
        <f>'MOMO,AIRTEL,CARDS'!ANL7</f>
        <v>369828</v>
      </c>
      <c r="ANN16" s="22">
        <f>'MOMO,AIRTEL,CARDS'!ANM7</f>
        <v>180000</v>
      </c>
      <c r="ANO16" s="22">
        <f>'MOMO,AIRTEL,CARDS'!ANN7</f>
        <v>0</v>
      </c>
      <c r="ANP16" s="22">
        <f>'MOMO,AIRTEL,CARDS'!ANO7</f>
        <v>129000</v>
      </c>
      <c r="ANQ16" s="22">
        <f>'MOMO,AIRTEL,CARDS'!ANP7</f>
        <v>0</v>
      </c>
      <c r="ANR16" s="22">
        <f>'MOMO,AIRTEL,CARDS'!ANQ7</f>
        <v>957000</v>
      </c>
      <c r="ANS16" s="22">
        <f>'MOMO,AIRTEL,CARDS'!ANR7</f>
        <v>722207</v>
      </c>
      <c r="ANT16" s="22">
        <f>'MOMO,AIRTEL,CARDS'!ANS7</f>
        <v>0</v>
      </c>
      <c r="ANU16" s="22">
        <f>'MOMO,AIRTEL,CARDS'!ANT7</f>
        <v>632647</v>
      </c>
      <c r="ANV16" s="22">
        <f>'MOMO,AIRTEL,CARDS'!ANU7</f>
        <v>135000</v>
      </c>
      <c r="ANW16" s="22">
        <f>'MOMO,AIRTEL,CARDS'!ANV7</f>
        <v>180000</v>
      </c>
      <c r="ANX16" s="22">
        <f>'MOMO,AIRTEL,CARDS'!ANW7</f>
        <v>516000</v>
      </c>
      <c r="ANY16" s="22">
        <f>'MOMO,AIRTEL,CARDS'!ANX7</f>
        <v>247000</v>
      </c>
      <c r="ANZ16" s="22">
        <f>'MOMO,AIRTEL,CARDS'!ANY7</f>
        <v>868022</v>
      </c>
      <c r="AOA16" s="22">
        <f>'MOMO,AIRTEL,CARDS'!ANZ7</f>
        <v>0</v>
      </c>
      <c r="AOB16" s="22">
        <f>'MOMO,AIRTEL,CARDS'!AOA7</f>
        <v>0</v>
      </c>
      <c r="AOC16" s="22">
        <f>'MOMO,AIRTEL,CARDS'!AOB7</f>
        <v>100161</v>
      </c>
    </row>
    <row r="17" spans="1:1069" x14ac:dyDescent="0.2">
      <c r="A17" s="160"/>
      <c r="B17" s="5" t="s">
        <v>1093</v>
      </c>
      <c r="C17" s="22">
        <f>'MOMO,AIRTEL,CARDS'!B8</f>
        <v>0</v>
      </c>
      <c r="D17" s="22">
        <f>'MOMO,AIRTEL,CARDS'!C8</f>
        <v>30000</v>
      </c>
      <c r="E17" s="22">
        <f>'MOMO,AIRTEL,CARDS'!D8</f>
        <v>0</v>
      </c>
      <c r="F17" s="22">
        <f>'MOMO,AIRTEL,CARDS'!E8</f>
        <v>0</v>
      </c>
      <c r="G17" s="22">
        <f>'MOMO,AIRTEL,CARDS'!F8</f>
        <v>0</v>
      </c>
      <c r="H17" s="22">
        <f>'MOMO,AIRTEL,CARDS'!G8</f>
        <v>0</v>
      </c>
      <c r="I17" s="22">
        <f>'MOMO,AIRTEL,CARDS'!H8</f>
        <v>0</v>
      </c>
      <c r="J17" s="22">
        <f>'MOMO,AIRTEL,CARDS'!I8</f>
        <v>50000</v>
      </c>
      <c r="K17" s="22">
        <f>'MOMO,AIRTEL,CARDS'!J8</f>
        <v>0</v>
      </c>
      <c r="L17" s="22">
        <f>'MOMO,AIRTEL,CARDS'!K8</f>
        <v>0</v>
      </c>
      <c r="M17" s="22">
        <f>'MOMO,AIRTEL,CARDS'!L8</f>
        <v>0</v>
      </c>
      <c r="N17" s="22">
        <f>'MOMO,AIRTEL,CARDS'!M8</f>
        <v>0</v>
      </c>
      <c r="O17" s="22">
        <f>'MOMO,AIRTEL,CARDS'!N8</f>
        <v>0</v>
      </c>
      <c r="P17" s="22">
        <f>'MOMO,AIRTEL,CARDS'!O8</f>
        <v>0</v>
      </c>
      <c r="Q17" s="22">
        <f>'MOMO,AIRTEL,CARDS'!P8</f>
        <v>0</v>
      </c>
      <c r="R17" s="22">
        <f>'MOMO,AIRTEL,CARDS'!Q8</f>
        <v>0</v>
      </c>
      <c r="S17" s="22">
        <f>'MOMO,AIRTEL,CARDS'!R8</f>
        <v>62000</v>
      </c>
      <c r="T17" s="22">
        <f>'MOMO,AIRTEL,CARDS'!S8</f>
        <v>0</v>
      </c>
      <c r="U17" s="22">
        <f>'MOMO,AIRTEL,CARDS'!T8</f>
        <v>0</v>
      </c>
      <c r="V17" s="22">
        <f>'MOMO,AIRTEL,CARDS'!U8</f>
        <v>0</v>
      </c>
      <c r="W17" s="22">
        <f>'MOMO,AIRTEL,CARDS'!V8</f>
        <v>0</v>
      </c>
      <c r="X17" s="22">
        <f>'MOMO,AIRTEL,CARDS'!W8</f>
        <v>90000</v>
      </c>
      <c r="Y17" s="22">
        <f>'MOMO,AIRTEL,CARDS'!X8</f>
        <v>0</v>
      </c>
      <c r="Z17" s="22">
        <f>'MOMO,AIRTEL,CARDS'!Y8</f>
        <v>0</v>
      </c>
      <c r="AA17" s="22">
        <f>'MOMO,AIRTEL,CARDS'!Z8</f>
        <v>0</v>
      </c>
      <c r="AB17" s="22">
        <f>'MOMO,AIRTEL,CARDS'!AA8</f>
        <v>0</v>
      </c>
      <c r="AC17" s="22">
        <f>'MOMO,AIRTEL,CARDS'!AB8</f>
        <v>0</v>
      </c>
      <c r="AD17" s="22">
        <f>'MOMO,AIRTEL,CARDS'!AC8</f>
        <v>0</v>
      </c>
      <c r="AE17" s="22">
        <f>'MOMO,AIRTEL,CARDS'!AD8</f>
        <v>0</v>
      </c>
      <c r="AF17" s="22">
        <f>'MOMO,AIRTEL,CARDS'!AE8</f>
        <v>0</v>
      </c>
      <c r="AG17" s="22">
        <f>'MOMO,AIRTEL,CARDS'!AF8</f>
        <v>0</v>
      </c>
      <c r="AH17" s="94">
        <f t="shared" si="90"/>
        <v>232000</v>
      </c>
      <c r="AI17" s="22">
        <f>'MOMO,AIRTEL,CARDS'!AH8</f>
        <v>0</v>
      </c>
      <c r="AJ17" s="22">
        <f>'MOMO,AIRTEL,CARDS'!AI8</f>
        <v>0</v>
      </c>
      <c r="AK17" s="22">
        <f>'MOMO,AIRTEL,CARDS'!AJ8</f>
        <v>0</v>
      </c>
      <c r="AL17" s="22">
        <f>'MOMO,AIRTEL,CARDS'!AK8</f>
        <v>0</v>
      </c>
      <c r="AM17" s="22">
        <f>'MOMO,AIRTEL,CARDS'!AL8</f>
        <v>0</v>
      </c>
      <c r="AN17" s="22">
        <f>'MOMO,AIRTEL,CARDS'!AM8</f>
        <v>200000</v>
      </c>
      <c r="AO17" s="22">
        <f>'MOMO,AIRTEL,CARDS'!AN8</f>
        <v>0</v>
      </c>
      <c r="AP17" s="22">
        <f>'MOMO,AIRTEL,CARDS'!AO8</f>
        <v>0</v>
      </c>
      <c r="AQ17" s="22">
        <f>'MOMO,AIRTEL,CARDS'!AP8</f>
        <v>0</v>
      </c>
      <c r="AR17" s="22">
        <f>'MOMO,AIRTEL,CARDS'!AQ8</f>
        <v>0</v>
      </c>
      <c r="AS17" s="22">
        <f>'MOMO,AIRTEL,CARDS'!AR8</f>
        <v>0</v>
      </c>
      <c r="AT17" s="22">
        <f>'MOMO,AIRTEL,CARDS'!AS8</f>
        <v>0</v>
      </c>
      <c r="AU17" s="22">
        <f>'MOMO,AIRTEL,CARDS'!AT8</f>
        <v>0</v>
      </c>
      <c r="AV17" s="22">
        <f>'MOMO,AIRTEL,CARDS'!AU8</f>
        <v>0</v>
      </c>
      <c r="AW17" s="22">
        <f>'MOMO,AIRTEL,CARDS'!AV8</f>
        <v>0</v>
      </c>
      <c r="AX17" s="22">
        <f>'MOMO,AIRTEL,CARDS'!AW8</f>
        <v>0</v>
      </c>
      <c r="AY17" s="22">
        <f>'MOMO,AIRTEL,CARDS'!AX8</f>
        <v>0</v>
      </c>
      <c r="AZ17" s="22">
        <f>'MOMO,AIRTEL,CARDS'!AY8</f>
        <v>0</v>
      </c>
      <c r="BA17" s="22">
        <f>'MOMO,AIRTEL,CARDS'!AZ8</f>
        <v>0</v>
      </c>
      <c r="BB17" s="22">
        <f>'MOMO,AIRTEL,CARDS'!BA8</f>
        <v>0</v>
      </c>
      <c r="BC17" s="22">
        <f>'MOMO,AIRTEL,CARDS'!BB8</f>
        <v>0</v>
      </c>
      <c r="BD17" s="22">
        <f>'MOMO,AIRTEL,CARDS'!BC8</f>
        <v>0</v>
      </c>
      <c r="BE17" s="22">
        <f>'MOMO,AIRTEL,CARDS'!BD8</f>
        <v>0</v>
      </c>
      <c r="BF17" s="22">
        <f>'MOMO,AIRTEL,CARDS'!BE8</f>
        <v>0</v>
      </c>
      <c r="BG17" s="22">
        <f>'MOMO,AIRTEL,CARDS'!BF8</f>
        <v>0</v>
      </c>
      <c r="BH17" s="22">
        <f>'MOMO,AIRTEL,CARDS'!BG8</f>
        <v>0</v>
      </c>
      <c r="BI17" s="22">
        <f>'MOMO,AIRTEL,CARDS'!BH8</f>
        <v>0</v>
      </c>
      <c r="BJ17" s="22">
        <f>'MOMO,AIRTEL,CARDS'!BI8</f>
        <v>0</v>
      </c>
      <c r="BK17" s="22">
        <f>'MOMO,AIRTEL,CARDS'!BJ8</f>
        <v>0</v>
      </c>
      <c r="BL17" s="22">
        <f>'MOMO,AIRTEL,CARDS'!BK8</f>
        <v>0</v>
      </c>
      <c r="BM17" s="97">
        <f t="shared" si="92"/>
        <v>200000</v>
      </c>
      <c r="CN17" s="22">
        <f>'MOMO,AIRTEL,CARDS'!CM8</f>
        <v>130000</v>
      </c>
      <c r="CS17" s="111">
        <f t="shared" si="10"/>
        <v>130000</v>
      </c>
      <c r="CT17" s="22">
        <f>'MOMO,AIRTEL,CARDS'!CS8</f>
        <v>0</v>
      </c>
      <c r="CU17" s="22">
        <f>'MOMO,AIRTEL,CARDS'!CT8</f>
        <v>0</v>
      </c>
      <c r="CV17" s="22">
        <f>'MOMO,AIRTEL,CARDS'!CU8</f>
        <v>0</v>
      </c>
      <c r="CW17" s="22">
        <f>'MOMO,AIRTEL,CARDS'!CV8</f>
        <v>0</v>
      </c>
      <c r="CX17" s="22">
        <f>'MOMO,AIRTEL,CARDS'!CW8</f>
        <v>0</v>
      </c>
      <c r="CY17" s="22">
        <f>'MOMO,AIRTEL,CARDS'!CX8</f>
        <v>0</v>
      </c>
      <c r="CZ17" s="22">
        <f>'MOMO,AIRTEL,CARDS'!CY8</f>
        <v>100000</v>
      </c>
      <c r="DA17" s="22">
        <f>'MOMO,AIRTEL,CARDS'!CZ8</f>
        <v>0</v>
      </c>
      <c r="DB17" s="22">
        <f>'MOMO,AIRTEL,CARDS'!DA8</f>
        <v>205000</v>
      </c>
      <c r="DC17" s="22">
        <f>'MOMO,AIRTEL,CARDS'!DB8</f>
        <v>0</v>
      </c>
      <c r="DD17" s="22">
        <f>'MOMO,AIRTEL,CARDS'!DC8</f>
        <v>0</v>
      </c>
      <c r="DE17" s="22">
        <f>'MOMO,AIRTEL,CARDS'!DD8</f>
        <v>0</v>
      </c>
      <c r="DF17" s="22">
        <f>'MOMO,AIRTEL,CARDS'!DE8</f>
        <v>0</v>
      </c>
      <c r="DG17" s="22">
        <f>'MOMO,AIRTEL,CARDS'!DF8</f>
        <v>0</v>
      </c>
      <c r="DH17" s="22">
        <f>'MOMO,AIRTEL,CARDS'!DG8</f>
        <v>0</v>
      </c>
      <c r="DI17" s="22">
        <f>'MOMO,AIRTEL,CARDS'!DH8</f>
        <v>0</v>
      </c>
      <c r="DJ17" s="22">
        <f>'MOMO,AIRTEL,CARDS'!DI8</f>
        <v>0</v>
      </c>
      <c r="DK17" s="22">
        <f>'MOMO,AIRTEL,CARDS'!DJ8</f>
        <v>0</v>
      </c>
      <c r="DL17" s="22">
        <f>'MOMO,AIRTEL,CARDS'!DK8</f>
        <v>280000</v>
      </c>
      <c r="DM17" s="22">
        <f>'MOMO,AIRTEL,CARDS'!DL8</f>
        <v>0</v>
      </c>
      <c r="DN17" s="22">
        <f>'MOMO,AIRTEL,CARDS'!DM8</f>
        <v>302000</v>
      </c>
      <c r="DO17" s="22">
        <f>'MOMO,AIRTEL,CARDS'!DN8</f>
        <v>0</v>
      </c>
      <c r="DP17" s="22">
        <f>'MOMO,AIRTEL,CARDS'!DO8</f>
        <v>126000</v>
      </c>
      <c r="DQ17" s="22">
        <f>'MOMO,AIRTEL,CARDS'!DP8</f>
        <v>0</v>
      </c>
      <c r="DR17" s="22">
        <f>'MOMO,AIRTEL,CARDS'!DQ8</f>
        <v>0</v>
      </c>
      <c r="DS17" s="22">
        <f>'MOMO,AIRTEL,CARDS'!DR8</f>
        <v>0</v>
      </c>
      <c r="DT17" s="22">
        <f>'MOMO,AIRTEL,CARDS'!DS8</f>
        <v>0</v>
      </c>
      <c r="DU17" s="22">
        <f>'MOMO,AIRTEL,CARDS'!DT8</f>
        <v>0</v>
      </c>
      <c r="DV17" s="22">
        <f>'MOMO,AIRTEL,CARDS'!DU8</f>
        <v>0</v>
      </c>
      <c r="DW17" s="22">
        <f>'MOMO,AIRTEL,CARDS'!DV8</f>
        <v>0</v>
      </c>
      <c r="DX17" s="119">
        <f t="shared" si="95"/>
        <v>1013000</v>
      </c>
      <c r="FD17" s="128"/>
      <c r="GJ17" s="127">
        <f t="shared" si="99"/>
        <v>0</v>
      </c>
      <c r="HF17" s="22">
        <f>'MOMO,AIRTEL,CARDS'!HE8</f>
        <v>24000</v>
      </c>
      <c r="HG17" s="22">
        <f>'MOMO,AIRTEL,CARDS'!HF8</f>
        <v>310000</v>
      </c>
      <c r="HJ17" s="22">
        <f>'MOMO,AIRTEL,CARDS'!HI8</f>
        <v>312000</v>
      </c>
      <c r="HM17" s="22">
        <f>'MOMO,AIRTEL,CARDS'!HL8</f>
        <v>384000</v>
      </c>
      <c r="HN17" s="127">
        <f t="shared" si="101"/>
        <v>1030000</v>
      </c>
      <c r="HO17" s="22">
        <f>'MOMO,AIRTEL,CARDS'!HN8</f>
        <v>0</v>
      </c>
      <c r="HP17" s="22">
        <f>'MOMO,AIRTEL,CARDS'!HO8</f>
        <v>0</v>
      </c>
      <c r="HQ17" s="22">
        <f>'MOMO,AIRTEL,CARDS'!HP8</f>
        <v>0</v>
      </c>
      <c r="HR17" s="22">
        <f>'MOMO,AIRTEL,CARDS'!HQ8</f>
        <v>0</v>
      </c>
      <c r="HS17" s="22">
        <f>'MOMO,AIRTEL,CARDS'!HR8</f>
        <v>0</v>
      </c>
      <c r="HT17" s="22">
        <f>'MOMO,AIRTEL,CARDS'!HS8</f>
        <v>312000</v>
      </c>
      <c r="HU17" s="22">
        <f>'MOMO,AIRTEL,CARDS'!HT8</f>
        <v>0</v>
      </c>
      <c r="HV17" s="22">
        <f>'MOMO,AIRTEL,CARDS'!HU8</f>
        <v>0</v>
      </c>
      <c r="HW17" s="22">
        <f>'MOMO,AIRTEL,CARDS'!HV8</f>
        <v>0</v>
      </c>
      <c r="HX17" s="22">
        <f>'MOMO,AIRTEL,CARDS'!HW8</f>
        <v>0</v>
      </c>
      <c r="HY17" s="22">
        <f>'MOMO,AIRTEL,CARDS'!HX8</f>
        <v>0</v>
      </c>
      <c r="HZ17" s="22">
        <f>'MOMO,AIRTEL,CARDS'!HY8</f>
        <v>0</v>
      </c>
      <c r="IA17" s="22">
        <f>'MOMO,AIRTEL,CARDS'!HZ8</f>
        <v>312000</v>
      </c>
      <c r="IB17" s="22">
        <f>'MOMO,AIRTEL,CARDS'!IA8</f>
        <v>0</v>
      </c>
      <c r="IC17" s="22">
        <f>'MOMO,AIRTEL,CARDS'!IB8</f>
        <v>0</v>
      </c>
      <c r="ID17" s="22">
        <f>'MOMO,AIRTEL,CARDS'!IC8</f>
        <v>0</v>
      </c>
      <c r="IE17" s="22">
        <f>'MOMO,AIRTEL,CARDS'!ID8</f>
        <v>0</v>
      </c>
      <c r="IF17" s="22">
        <f>'MOMO,AIRTEL,CARDS'!IE8</f>
        <v>385000</v>
      </c>
      <c r="IG17" s="22">
        <f>'MOMO,AIRTEL,CARDS'!IF8</f>
        <v>0</v>
      </c>
      <c r="IH17" s="22">
        <f>'MOMO,AIRTEL,CARDS'!IG8</f>
        <v>0</v>
      </c>
      <c r="II17" s="22">
        <f>'MOMO,AIRTEL,CARDS'!IH8</f>
        <v>0</v>
      </c>
      <c r="IJ17" s="22">
        <f>'MOMO,AIRTEL,CARDS'!II8</f>
        <v>0</v>
      </c>
      <c r="IK17" s="22">
        <f>'MOMO,AIRTEL,CARDS'!IJ8</f>
        <v>0</v>
      </c>
      <c r="IL17" s="22">
        <f>'MOMO,AIRTEL,CARDS'!IK8</f>
        <v>0</v>
      </c>
      <c r="IM17" s="22">
        <f>'MOMO,AIRTEL,CARDS'!IL8</f>
        <v>312000</v>
      </c>
      <c r="IN17" s="22">
        <f>'MOMO,AIRTEL,CARDS'!IM8</f>
        <v>0</v>
      </c>
      <c r="IO17" s="22">
        <f>'MOMO,AIRTEL,CARDS'!IN8</f>
        <v>0</v>
      </c>
      <c r="IP17" s="22">
        <f>'MOMO,AIRTEL,CARDS'!IO8</f>
        <v>0</v>
      </c>
      <c r="IQ17" s="22">
        <f>'MOMO,AIRTEL,CARDS'!IP8</f>
        <v>0</v>
      </c>
      <c r="IR17" s="22">
        <f>'MOMO,AIRTEL,CARDS'!IQ8</f>
        <v>382000</v>
      </c>
      <c r="IS17" s="22">
        <f>'MOMO,AIRTEL,CARDS'!IR8</f>
        <v>0</v>
      </c>
      <c r="IT17" s="127">
        <f t="shared" si="22"/>
        <v>1703000</v>
      </c>
      <c r="IU17" s="22">
        <f>'MOMO,AIRTEL,CARDS'!IT8</f>
        <v>0</v>
      </c>
      <c r="IV17" s="22">
        <f>'MOMO,AIRTEL,CARDS'!IU8</f>
        <v>313000</v>
      </c>
      <c r="IW17" s="22">
        <f>'MOMO,AIRTEL,CARDS'!IV8</f>
        <v>0</v>
      </c>
      <c r="IX17" s="22">
        <f>'MOMO,AIRTEL,CARDS'!IW8</f>
        <v>0</v>
      </c>
      <c r="IY17" s="22">
        <f>'MOMO,AIRTEL,CARDS'!IX8</f>
        <v>0</v>
      </c>
      <c r="IZ17" s="22">
        <f>'MOMO,AIRTEL,CARDS'!IY8</f>
        <v>312000</v>
      </c>
      <c r="JA17" s="22">
        <f>'MOMO,AIRTEL,CARDS'!IZ8</f>
        <v>0</v>
      </c>
      <c r="JB17" s="22">
        <f>'MOMO,AIRTEL,CARDS'!JA8</f>
        <v>0</v>
      </c>
      <c r="JC17" s="22">
        <f>'MOMO,AIRTEL,CARDS'!JB8</f>
        <v>0</v>
      </c>
      <c r="JD17" s="22">
        <f>'MOMO,AIRTEL,CARDS'!JC8</f>
        <v>0</v>
      </c>
      <c r="JE17" s="22">
        <f>'MOMO,AIRTEL,CARDS'!JD8</f>
        <v>318000</v>
      </c>
      <c r="JF17" s="22">
        <f>'MOMO,AIRTEL,CARDS'!JE8</f>
        <v>0</v>
      </c>
      <c r="JG17" s="22">
        <f>'MOMO,AIRTEL,CARDS'!JF8</f>
        <v>0</v>
      </c>
      <c r="JH17" s="22">
        <f>'MOMO,AIRTEL,CARDS'!JG8</f>
        <v>0</v>
      </c>
      <c r="JI17" s="22">
        <f>'MOMO,AIRTEL,CARDS'!JH8</f>
        <v>384000</v>
      </c>
      <c r="JJ17" s="22">
        <f>'MOMO,AIRTEL,CARDS'!JI8</f>
        <v>0</v>
      </c>
      <c r="JK17" s="22">
        <f>'MOMO,AIRTEL,CARDS'!JJ8</f>
        <v>0</v>
      </c>
      <c r="JL17" s="22">
        <f>'MOMO,AIRTEL,CARDS'!JK8</f>
        <v>0</v>
      </c>
      <c r="JM17" s="22">
        <f>'MOMO,AIRTEL,CARDS'!JL8</f>
        <v>312000</v>
      </c>
      <c r="JN17" s="22">
        <f>'MOMO,AIRTEL,CARDS'!JM8</f>
        <v>0</v>
      </c>
      <c r="JO17" s="22">
        <f>'MOMO,AIRTEL,CARDS'!JN8</f>
        <v>0</v>
      </c>
      <c r="JP17" s="22">
        <f>'MOMO,AIRTEL,CARDS'!JO8</f>
        <v>312000</v>
      </c>
      <c r="JQ17" s="22">
        <f>'MOMO,AIRTEL,CARDS'!JP8</f>
        <v>0</v>
      </c>
      <c r="JR17" s="22">
        <f>'MOMO,AIRTEL,CARDS'!JQ8</f>
        <v>0</v>
      </c>
      <c r="JS17" s="22">
        <f>'MOMO,AIRTEL,CARDS'!JR8</f>
        <v>383000</v>
      </c>
      <c r="JT17" s="22">
        <f>'MOMO,AIRTEL,CARDS'!JS8</f>
        <v>0</v>
      </c>
      <c r="JU17" s="22">
        <f>'MOMO,AIRTEL,CARDS'!JT8</f>
        <v>0</v>
      </c>
      <c r="JV17" s="22">
        <f>'MOMO,AIRTEL,CARDS'!JU8</f>
        <v>0</v>
      </c>
      <c r="JW17" s="22">
        <f>'MOMO,AIRTEL,CARDS'!JV8</f>
        <v>313000</v>
      </c>
      <c r="JX17" s="22">
        <f>'MOMO,AIRTEL,CARDS'!JW8</f>
        <v>0</v>
      </c>
      <c r="JY17" s="127">
        <f t="shared" si="58"/>
        <v>2647000</v>
      </c>
      <c r="JZ17" s="22">
        <f>'MOMO,AIRTEL,CARDS'!JY8</f>
        <v>0</v>
      </c>
      <c r="KA17" s="22">
        <f>'MOMO,AIRTEL,CARDS'!JZ8</f>
        <v>0</v>
      </c>
      <c r="KB17" s="22">
        <f>'MOMO,AIRTEL,CARDS'!KA8</f>
        <v>312000</v>
      </c>
      <c r="KC17" s="22">
        <f>'MOMO,AIRTEL,CARDS'!KB8</f>
        <v>0</v>
      </c>
      <c r="KD17" s="22">
        <f>'MOMO,AIRTEL,CARDS'!KC8</f>
        <v>0</v>
      </c>
      <c r="KE17" s="22">
        <f>'MOMO,AIRTEL,CARDS'!KD8</f>
        <v>0</v>
      </c>
      <c r="KF17" s="22">
        <f>'MOMO,AIRTEL,CARDS'!KE8</f>
        <v>383000</v>
      </c>
      <c r="KG17" s="22">
        <f>'MOMO,AIRTEL,CARDS'!KF8</f>
        <v>0</v>
      </c>
      <c r="KH17" s="22">
        <f>'MOMO,AIRTEL,CARDS'!KG8</f>
        <v>0</v>
      </c>
      <c r="KI17" s="22">
        <f>'MOMO,AIRTEL,CARDS'!KH8</f>
        <v>0</v>
      </c>
      <c r="KJ17" s="22">
        <f>'MOMO,AIRTEL,CARDS'!KI8</f>
        <v>0</v>
      </c>
      <c r="KK17" s="22">
        <f>'MOMO,AIRTEL,CARDS'!KJ8</f>
        <v>0</v>
      </c>
      <c r="KL17" s="22">
        <f>'MOMO,AIRTEL,CARDS'!KK8</f>
        <v>0</v>
      </c>
      <c r="KM17" s="22">
        <f>'MOMO,AIRTEL,CARDS'!KL8</f>
        <v>312000</v>
      </c>
      <c r="KN17" s="22">
        <f>'MOMO,AIRTEL,CARDS'!KM8</f>
        <v>0</v>
      </c>
      <c r="KO17" s="22">
        <f>'MOMO,AIRTEL,CARDS'!KN8</f>
        <v>0</v>
      </c>
      <c r="KP17" s="22">
        <f>'MOMO,AIRTEL,CARDS'!KO8</f>
        <v>382000</v>
      </c>
      <c r="KQ17" s="22">
        <f>'MOMO,AIRTEL,CARDS'!KP8</f>
        <v>0</v>
      </c>
      <c r="KR17" s="22">
        <f>'MOMO,AIRTEL,CARDS'!KQ8</f>
        <v>0</v>
      </c>
      <c r="KS17" s="22">
        <f>'MOMO,AIRTEL,CARDS'!KR8</f>
        <v>312000</v>
      </c>
      <c r="KT17" s="22">
        <f>'MOMO,AIRTEL,CARDS'!KS8</f>
        <v>0</v>
      </c>
      <c r="KU17" s="22">
        <f>'MOMO,AIRTEL,CARDS'!KT8</f>
        <v>0</v>
      </c>
      <c r="KV17" s="22">
        <f>'MOMO,AIRTEL,CARDS'!KU8</f>
        <v>17000</v>
      </c>
      <c r="KW17" s="22">
        <f>'MOMO,AIRTEL,CARDS'!KV8</f>
        <v>382000</v>
      </c>
      <c r="KX17" s="22">
        <f>'MOMO,AIRTEL,CARDS'!KW8</f>
        <v>0</v>
      </c>
      <c r="KY17" s="22">
        <f>'MOMO,AIRTEL,CARDS'!KX8</f>
        <v>0</v>
      </c>
      <c r="KZ17" s="22">
        <f>'MOMO,AIRTEL,CARDS'!KY8</f>
        <v>307000</v>
      </c>
      <c r="LA17" s="22">
        <f>'MOMO,AIRTEL,CARDS'!KZ8</f>
        <v>20000</v>
      </c>
      <c r="LB17" s="22">
        <f>'MOMO,AIRTEL,CARDS'!LA8</f>
        <v>0</v>
      </c>
      <c r="LC17" s="22">
        <f>'MOMO,AIRTEL,CARDS'!LB8</f>
        <v>332200</v>
      </c>
      <c r="LD17" s="22">
        <f>'MOMO,AIRTEL,CARDS'!LC8</f>
        <v>0</v>
      </c>
      <c r="LE17" s="127">
        <f t="shared" si="60"/>
        <v>2759200</v>
      </c>
      <c r="LF17" s="22">
        <f>'MOMO,AIRTEL,CARDS'!LE8</f>
        <v>0</v>
      </c>
      <c r="LG17" s="22">
        <f>'MOMO,AIRTEL,CARDS'!LF8</f>
        <v>0</v>
      </c>
      <c r="LH17" s="22">
        <f>'MOMO,AIRTEL,CARDS'!LG8</f>
        <v>0</v>
      </c>
      <c r="LI17" s="22">
        <f>'MOMO,AIRTEL,CARDS'!LH8</f>
        <v>0</v>
      </c>
      <c r="LJ17" s="22">
        <f>'MOMO,AIRTEL,CARDS'!LI8</f>
        <v>0</v>
      </c>
      <c r="LK17" s="22">
        <f>'MOMO,AIRTEL,CARDS'!LJ8</f>
        <v>0</v>
      </c>
      <c r="LL17" s="22">
        <f>'MOMO,AIRTEL,CARDS'!LK8</f>
        <v>0</v>
      </c>
      <c r="LM17" s="22">
        <f>'MOMO,AIRTEL,CARDS'!LL8</f>
        <v>0</v>
      </c>
      <c r="LN17" s="22">
        <f>'MOMO,AIRTEL,CARDS'!LM8</f>
        <v>0</v>
      </c>
      <c r="LO17" s="22">
        <f>'MOMO,AIRTEL,CARDS'!LN8</f>
        <v>0</v>
      </c>
      <c r="LP17" s="22">
        <f>'MOMO,AIRTEL,CARDS'!LO8</f>
        <v>0</v>
      </c>
      <c r="LQ17" s="22">
        <f>'MOMO,AIRTEL,CARDS'!LP8</f>
        <v>0</v>
      </c>
      <c r="LR17" s="22">
        <f>'MOMO,AIRTEL,CARDS'!LQ8</f>
        <v>0</v>
      </c>
      <c r="LS17" s="22">
        <f>'MOMO,AIRTEL,CARDS'!LR8</f>
        <v>0</v>
      </c>
      <c r="LT17" s="22">
        <f>'MOMO,AIRTEL,CARDS'!LS8</f>
        <v>0</v>
      </c>
      <c r="LU17" s="22">
        <f>'MOMO,AIRTEL,CARDS'!LT8</f>
        <v>0</v>
      </c>
      <c r="LV17" s="22">
        <f>'MOMO,AIRTEL,CARDS'!LU8</f>
        <v>0</v>
      </c>
      <c r="LW17" s="22">
        <f>'MOMO,AIRTEL,CARDS'!LV8</f>
        <v>0</v>
      </c>
      <c r="LX17" s="22">
        <f>'MOMO,AIRTEL,CARDS'!LW8</f>
        <v>0</v>
      </c>
      <c r="LY17" s="22">
        <f>'MOMO,AIRTEL,CARDS'!LX8</f>
        <v>0</v>
      </c>
      <c r="LZ17" s="22">
        <f>'MOMO,AIRTEL,CARDS'!LY8</f>
        <v>0</v>
      </c>
      <c r="MA17" s="22">
        <f>'MOMO,AIRTEL,CARDS'!LZ8</f>
        <v>0</v>
      </c>
      <c r="MB17" s="22">
        <f>'MOMO,AIRTEL,CARDS'!MA8</f>
        <v>0</v>
      </c>
      <c r="MC17" s="22">
        <f>'MOMO,AIRTEL,CARDS'!MB8</f>
        <v>40000</v>
      </c>
      <c r="MD17" s="22">
        <f>'MOMO,AIRTEL,CARDS'!MC8</f>
        <v>0</v>
      </c>
      <c r="ME17" s="22">
        <f>'MOMO,AIRTEL,CARDS'!MD8</f>
        <v>0</v>
      </c>
      <c r="MF17" s="22">
        <f>'MOMO,AIRTEL,CARDS'!ME8</f>
        <v>0</v>
      </c>
      <c r="MG17" s="22">
        <f>'MOMO,AIRTEL,CARDS'!MF8</f>
        <v>0</v>
      </c>
      <c r="MH17" s="22">
        <f>'MOMO,AIRTEL,CARDS'!MG8</f>
        <v>0</v>
      </c>
      <c r="MI17" s="22">
        <f>'MOMO,AIRTEL,CARDS'!MH8</f>
        <v>0</v>
      </c>
      <c r="MJ17" s="127">
        <f t="shared" si="62"/>
        <v>40000</v>
      </c>
      <c r="MK17" s="22">
        <f>'MOMO,AIRTEL,CARDS'!MJ8</f>
        <v>0</v>
      </c>
      <c r="ML17" s="22">
        <f>'MOMO,AIRTEL,CARDS'!MK8</f>
        <v>0</v>
      </c>
      <c r="MM17" s="22">
        <f>'MOMO,AIRTEL,CARDS'!ML8</f>
        <v>0</v>
      </c>
      <c r="MN17" s="22">
        <f>'MOMO,AIRTEL,CARDS'!MM8</f>
        <v>0</v>
      </c>
      <c r="MO17" s="22">
        <f>'MOMO,AIRTEL,CARDS'!MN8</f>
        <v>0</v>
      </c>
      <c r="MP17" s="22">
        <f>'MOMO,AIRTEL,CARDS'!MO8</f>
        <v>0</v>
      </c>
      <c r="MQ17" s="22">
        <f>'MOMO,AIRTEL,CARDS'!MP8</f>
        <v>0</v>
      </c>
      <c r="MR17" s="22">
        <f>'MOMO,AIRTEL,CARDS'!MQ8</f>
        <v>0</v>
      </c>
      <c r="MS17" s="22">
        <f>'MOMO,AIRTEL,CARDS'!MR8</f>
        <v>0</v>
      </c>
      <c r="MT17" s="22">
        <f>'MOMO,AIRTEL,CARDS'!MS8</f>
        <v>0</v>
      </c>
      <c r="MU17" s="22">
        <f>'MOMO,AIRTEL,CARDS'!MT8</f>
        <v>0</v>
      </c>
      <c r="MV17" s="22">
        <f>'MOMO,AIRTEL,CARDS'!MU8</f>
        <v>0</v>
      </c>
      <c r="MW17" s="22">
        <f>'MOMO,AIRTEL,CARDS'!MV8</f>
        <v>0</v>
      </c>
      <c r="MX17" s="22">
        <f>'MOMO,AIRTEL,CARDS'!MW8</f>
        <v>0</v>
      </c>
      <c r="MY17" s="22">
        <f>'MOMO,AIRTEL,CARDS'!MX8</f>
        <v>0</v>
      </c>
      <c r="MZ17" s="22">
        <f>'MOMO,AIRTEL,CARDS'!MY8</f>
        <v>0</v>
      </c>
      <c r="NA17" s="22">
        <f>'MOMO,AIRTEL,CARDS'!MZ8</f>
        <v>0</v>
      </c>
      <c r="NB17" s="22">
        <f>'MOMO,AIRTEL,CARDS'!NA8</f>
        <v>0</v>
      </c>
      <c r="NC17" s="22">
        <f>'MOMO,AIRTEL,CARDS'!NB8</f>
        <v>0</v>
      </c>
      <c r="ND17" s="22">
        <f>'MOMO,AIRTEL,CARDS'!NC8</f>
        <v>0</v>
      </c>
      <c r="NE17" s="22">
        <f>'MOMO,AIRTEL,CARDS'!ND8</f>
        <v>0</v>
      </c>
      <c r="NF17" s="22">
        <f>'MOMO,AIRTEL,CARDS'!NE8</f>
        <v>0</v>
      </c>
      <c r="NG17" s="22">
        <f>'MOMO,AIRTEL,CARDS'!NF8</f>
        <v>0</v>
      </c>
      <c r="NH17" s="22">
        <f>'MOMO,AIRTEL,CARDS'!NG8</f>
        <v>0</v>
      </c>
      <c r="NI17" s="22">
        <f>'MOMO,AIRTEL,CARDS'!NH8</f>
        <v>0</v>
      </c>
      <c r="NJ17" s="22">
        <f>'MOMO,AIRTEL,CARDS'!NI8</f>
        <v>0</v>
      </c>
      <c r="NK17" s="22">
        <f>'MOMO,AIRTEL,CARDS'!NJ8</f>
        <v>0</v>
      </c>
      <c r="NL17" s="22">
        <f>'MOMO,AIRTEL,CARDS'!NK8</f>
        <v>0</v>
      </c>
      <c r="NM17" s="22">
        <f>'MOMO,AIRTEL,CARDS'!NL8</f>
        <v>0</v>
      </c>
      <c r="NN17" s="22">
        <f>'MOMO,AIRTEL,CARDS'!NM8</f>
        <v>0</v>
      </c>
      <c r="NO17" s="22">
        <f>'MOMO,AIRTEL,CARDS'!NN8</f>
        <v>0</v>
      </c>
      <c r="NP17" s="127">
        <f t="shared" si="64"/>
        <v>0</v>
      </c>
      <c r="NQ17" s="22">
        <f>'MOMO,AIRTEL,CARDS'!NP8</f>
        <v>0</v>
      </c>
      <c r="NR17" s="22">
        <f>'MOMO,AIRTEL,CARDS'!NQ8</f>
        <v>0</v>
      </c>
      <c r="NS17" s="22">
        <f>'MOMO,AIRTEL,CARDS'!NR8</f>
        <v>0</v>
      </c>
      <c r="NT17" s="22">
        <f>'MOMO,AIRTEL,CARDS'!NS8</f>
        <v>0</v>
      </c>
      <c r="NU17" s="22">
        <f>'MOMO,AIRTEL,CARDS'!NT8</f>
        <v>0</v>
      </c>
      <c r="NV17" s="22">
        <f>'MOMO,AIRTEL,CARDS'!NU8</f>
        <v>0</v>
      </c>
      <c r="NW17" s="22">
        <f>'MOMO,AIRTEL,CARDS'!NV8</f>
        <v>0</v>
      </c>
      <c r="NX17" s="22">
        <f>'MOMO,AIRTEL,CARDS'!NW8</f>
        <v>0</v>
      </c>
      <c r="NY17" s="22">
        <f>'MOMO,AIRTEL,CARDS'!NX8</f>
        <v>0</v>
      </c>
      <c r="NZ17" s="22">
        <f>'MOMO,AIRTEL,CARDS'!NY8</f>
        <v>0</v>
      </c>
      <c r="OA17" s="22">
        <f>'MOMO,AIRTEL,CARDS'!NZ8</f>
        <v>0</v>
      </c>
      <c r="OB17" s="22">
        <f>'MOMO,AIRTEL,CARDS'!OA8</f>
        <v>0</v>
      </c>
      <c r="OC17" s="22">
        <f>'MOMO,AIRTEL,CARDS'!OB8</f>
        <v>0</v>
      </c>
      <c r="OD17" s="22">
        <f>'MOMO,AIRTEL,CARDS'!OC8</f>
        <v>0</v>
      </c>
      <c r="OE17" s="22">
        <f>'MOMO,AIRTEL,CARDS'!OD8</f>
        <v>0</v>
      </c>
      <c r="OF17" s="22">
        <f>'MOMO,AIRTEL,CARDS'!OE8</f>
        <v>0</v>
      </c>
      <c r="OG17" s="22">
        <f>'MOMO,AIRTEL,CARDS'!OF8</f>
        <v>0</v>
      </c>
      <c r="OH17" s="22">
        <f>'MOMO,AIRTEL,CARDS'!OG8</f>
        <v>0</v>
      </c>
      <c r="OI17" s="22">
        <f>'MOMO,AIRTEL,CARDS'!OH8</f>
        <v>0</v>
      </c>
      <c r="OJ17" s="22">
        <f>'MOMO,AIRTEL,CARDS'!OI8</f>
        <v>0</v>
      </c>
      <c r="OK17" s="22">
        <f>'MOMO,AIRTEL,CARDS'!OJ8</f>
        <v>0</v>
      </c>
      <c r="OL17" s="22">
        <f>'MOMO,AIRTEL,CARDS'!OK8</f>
        <v>0</v>
      </c>
      <c r="OM17" s="22">
        <f>'MOMO,AIRTEL,CARDS'!OL8</f>
        <v>0</v>
      </c>
      <c r="ON17" s="22">
        <f>'MOMO,AIRTEL,CARDS'!OM8</f>
        <v>0</v>
      </c>
      <c r="OO17" s="22">
        <f>'MOMO,AIRTEL,CARDS'!ON8</f>
        <v>0</v>
      </c>
      <c r="OP17" s="22">
        <f>'MOMO,AIRTEL,CARDS'!OO8</f>
        <v>0</v>
      </c>
      <c r="OQ17" s="22">
        <f>'MOMO,AIRTEL,CARDS'!OP8</f>
        <v>0</v>
      </c>
      <c r="OR17" s="22">
        <f>'MOMO,AIRTEL,CARDS'!OQ8</f>
        <v>0</v>
      </c>
      <c r="OS17" s="22">
        <f>'MOMO,AIRTEL,CARDS'!OR8</f>
        <v>0</v>
      </c>
      <c r="OT17" s="22">
        <f>'MOMO,AIRTEL,CARDS'!OS8</f>
        <v>0</v>
      </c>
      <c r="OU17" s="22">
        <f>'MOMO,AIRTEL,CARDS'!OT8</f>
        <v>0</v>
      </c>
      <c r="OV17" s="127">
        <f t="shared" si="66"/>
        <v>0</v>
      </c>
      <c r="OW17" s="22">
        <f>'MOMO,AIRTEL,CARDS'!OV8</f>
        <v>0</v>
      </c>
      <c r="OX17" s="22">
        <f>'MOMO,AIRTEL,CARDS'!OW8</f>
        <v>0</v>
      </c>
      <c r="OY17" s="22">
        <f>'MOMO,AIRTEL,CARDS'!OX8</f>
        <v>0</v>
      </c>
      <c r="OZ17" s="22">
        <f>'MOMO,AIRTEL,CARDS'!OY8</f>
        <v>0</v>
      </c>
      <c r="PA17" s="22">
        <f>'MOMO,AIRTEL,CARDS'!OZ8</f>
        <v>0</v>
      </c>
      <c r="PB17" s="22">
        <f>'MOMO,AIRTEL,CARDS'!PA8</f>
        <v>0</v>
      </c>
      <c r="PC17" s="22">
        <f>'MOMO,AIRTEL,CARDS'!PB8</f>
        <v>0</v>
      </c>
      <c r="PD17" s="22">
        <f>'MOMO,AIRTEL,CARDS'!PC8</f>
        <v>0</v>
      </c>
      <c r="PE17" s="22">
        <f>'MOMO,AIRTEL,CARDS'!PD8</f>
        <v>0</v>
      </c>
      <c r="PF17" s="22">
        <f>'MOMO,AIRTEL,CARDS'!PE8</f>
        <v>0</v>
      </c>
      <c r="PG17" s="22">
        <f>'MOMO,AIRTEL,CARDS'!PF8</f>
        <v>0</v>
      </c>
      <c r="PH17" s="22">
        <f>'MOMO,AIRTEL,CARDS'!PG8</f>
        <v>0</v>
      </c>
      <c r="PI17" s="22">
        <f>'MOMO,AIRTEL,CARDS'!PH8</f>
        <v>0</v>
      </c>
      <c r="PJ17" s="22">
        <f>'MOMO,AIRTEL,CARDS'!PI8</f>
        <v>0</v>
      </c>
      <c r="PK17" s="22">
        <f>'MOMO,AIRTEL,CARDS'!PJ8</f>
        <v>0</v>
      </c>
      <c r="PL17" s="22">
        <f>'MOMO,AIRTEL,CARDS'!PK8</f>
        <v>0</v>
      </c>
      <c r="PM17" s="22">
        <f>'MOMO,AIRTEL,CARDS'!PL8</f>
        <v>0</v>
      </c>
      <c r="PN17" s="22">
        <f>'MOMO,AIRTEL,CARDS'!PM8</f>
        <v>0</v>
      </c>
      <c r="PO17" s="22">
        <f>'MOMO,AIRTEL,CARDS'!PN8</f>
        <v>0</v>
      </c>
      <c r="PP17" s="22">
        <f>'MOMO,AIRTEL,CARDS'!PO8</f>
        <v>0</v>
      </c>
      <c r="PQ17" s="22">
        <f>'MOMO,AIRTEL,CARDS'!PP8</f>
        <v>0</v>
      </c>
      <c r="PR17" s="22">
        <f>'MOMO,AIRTEL,CARDS'!PQ8</f>
        <v>0</v>
      </c>
      <c r="PS17" s="22">
        <f>'MOMO,AIRTEL,CARDS'!PR8</f>
        <v>0</v>
      </c>
      <c r="PT17" s="22">
        <f>'MOMO,AIRTEL,CARDS'!PS8</f>
        <v>0</v>
      </c>
      <c r="PU17" s="22">
        <f>'MOMO,AIRTEL,CARDS'!PT8</f>
        <v>0</v>
      </c>
      <c r="PV17" s="22">
        <f>'MOMO,AIRTEL,CARDS'!PU8</f>
        <v>0</v>
      </c>
      <c r="PW17" s="22">
        <f>'MOMO,AIRTEL,CARDS'!PV8</f>
        <v>0</v>
      </c>
      <c r="PX17" s="22">
        <f>'MOMO,AIRTEL,CARDS'!PW8</f>
        <v>0</v>
      </c>
      <c r="PY17" s="22">
        <f>'MOMO,AIRTEL,CARDS'!PX8</f>
        <v>0</v>
      </c>
      <c r="PZ17" s="22">
        <f>'MOMO,AIRTEL,CARDS'!PY8</f>
        <v>0</v>
      </c>
      <c r="QA17" s="127">
        <f t="shared" si="68"/>
        <v>0</v>
      </c>
      <c r="QB17" s="22">
        <f>'MOMO,AIRTEL,CARDS'!QA8</f>
        <v>0</v>
      </c>
      <c r="QC17" s="22">
        <f>'MOMO,AIRTEL,CARDS'!QB8</f>
        <v>0</v>
      </c>
      <c r="QD17" s="22">
        <f>'MOMO,AIRTEL,CARDS'!QC8</f>
        <v>0</v>
      </c>
      <c r="QE17" s="22">
        <f>'MOMO,AIRTEL,CARDS'!QD8</f>
        <v>0</v>
      </c>
      <c r="QF17" s="22">
        <f>'MOMO,AIRTEL,CARDS'!QE8</f>
        <v>0</v>
      </c>
      <c r="QG17" s="22">
        <f>'MOMO,AIRTEL,CARDS'!QF8</f>
        <v>0</v>
      </c>
      <c r="QH17" s="22">
        <f>'MOMO,AIRTEL,CARDS'!QG8</f>
        <v>0</v>
      </c>
      <c r="QI17" s="22">
        <f>'MOMO,AIRTEL,CARDS'!QH8</f>
        <v>0</v>
      </c>
      <c r="QJ17" s="22">
        <f>'MOMO,AIRTEL,CARDS'!QI8</f>
        <v>0</v>
      </c>
      <c r="QK17" s="22">
        <f>'MOMO,AIRTEL,CARDS'!QJ8</f>
        <v>0</v>
      </c>
      <c r="QL17" s="22">
        <f>'MOMO,AIRTEL,CARDS'!QK8</f>
        <v>0</v>
      </c>
      <c r="QM17" s="22">
        <f>'MOMO,AIRTEL,CARDS'!QL8</f>
        <v>0</v>
      </c>
      <c r="QN17" s="22">
        <f>'MOMO,AIRTEL,CARDS'!QM8</f>
        <v>0</v>
      </c>
      <c r="QO17" s="22">
        <f>'MOMO,AIRTEL,CARDS'!QN8</f>
        <v>0</v>
      </c>
      <c r="QP17" s="22">
        <f>'MOMO,AIRTEL,CARDS'!QO8</f>
        <v>0</v>
      </c>
      <c r="QQ17" s="22">
        <f>'MOMO,AIRTEL,CARDS'!QP8</f>
        <v>0</v>
      </c>
      <c r="QR17" s="22">
        <f>'MOMO,AIRTEL,CARDS'!QQ8</f>
        <v>0</v>
      </c>
      <c r="QS17" s="22">
        <f>'MOMO,AIRTEL,CARDS'!QR8</f>
        <v>0</v>
      </c>
      <c r="QT17" s="22">
        <f>'MOMO,AIRTEL,CARDS'!QS8</f>
        <v>0</v>
      </c>
      <c r="QU17" s="22">
        <f>'MOMO,AIRTEL,CARDS'!QT8</f>
        <v>0</v>
      </c>
      <c r="QV17" s="22">
        <f>'MOMO,AIRTEL,CARDS'!QU8</f>
        <v>0</v>
      </c>
      <c r="QW17" s="22">
        <f>'MOMO,AIRTEL,CARDS'!QV8</f>
        <v>0</v>
      </c>
      <c r="QX17" s="22">
        <f>'MOMO,AIRTEL,CARDS'!QW8</f>
        <v>0</v>
      </c>
      <c r="QY17" s="22">
        <f>'MOMO,AIRTEL,CARDS'!QX8</f>
        <v>0</v>
      </c>
      <c r="QZ17" s="22">
        <f>'MOMO,AIRTEL,CARDS'!QY8</f>
        <v>0</v>
      </c>
      <c r="RA17" s="22">
        <f>'MOMO,AIRTEL,CARDS'!QZ8</f>
        <v>0</v>
      </c>
      <c r="RB17" s="22">
        <f>'MOMO,AIRTEL,CARDS'!RA8</f>
        <v>0</v>
      </c>
      <c r="RC17" s="22">
        <f>'MOMO,AIRTEL,CARDS'!RB8</f>
        <v>0</v>
      </c>
      <c r="RD17" s="22">
        <f>'MOMO,AIRTEL,CARDS'!RC8</f>
        <v>0</v>
      </c>
      <c r="RE17" s="22">
        <f>'MOMO,AIRTEL,CARDS'!RD8</f>
        <v>0</v>
      </c>
      <c r="RF17" s="22">
        <f>'MOMO,AIRTEL,CARDS'!RE8</f>
        <v>0</v>
      </c>
      <c r="RG17" s="127">
        <f t="shared" si="147"/>
        <v>0</v>
      </c>
      <c r="RH17" s="22">
        <f>'MOMO,AIRTEL,CARDS'!RG8</f>
        <v>0</v>
      </c>
      <c r="RI17" s="22">
        <f>'MOMO,AIRTEL,CARDS'!RH8</f>
        <v>0</v>
      </c>
      <c r="RJ17" s="22">
        <f>'MOMO,AIRTEL,CARDS'!RI8</f>
        <v>0</v>
      </c>
      <c r="RK17" s="22">
        <f>'MOMO,AIRTEL,CARDS'!RJ8</f>
        <v>0</v>
      </c>
      <c r="RL17" s="22">
        <f>'MOMO,AIRTEL,CARDS'!RK8</f>
        <v>0</v>
      </c>
      <c r="RM17" s="22">
        <f>'MOMO,AIRTEL,CARDS'!RL8</f>
        <v>0</v>
      </c>
      <c r="RN17" s="22">
        <f>'MOMO,AIRTEL,CARDS'!RM8</f>
        <v>0</v>
      </c>
      <c r="RO17" s="22">
        <f>'MOMO,AIRTEL,CARDS'!RN8</f>
        <v>0</v>
      </c>
      <c r="RP17" s="22">
        <f>'MOMO,AIRTEL,CARDS'!RO8</f>
        <v>0</v>
      </c>
      <c r="RQ17" s="22">
        <f>'MOMO,AIRTEL,CARDS'!RP8</f>
        <v>0</v>
      </c>
      <c r="RR17" s="22">
        <f>'MOMO,AIRTEL,CARDS'!RQ8</f>
        <v>0</v>
      </c>
      <c r="RS17" s="22">
        <f>'MOMO,AIRTEL,CARDS'!RR8</f>
        <v>0</v>
      </c>
      <c r="RT17" s="22">
        <f>'MOMO,AIRTEL,CARDS'!RS8</f>
        <v>0</v>
      </c>
      <c r="RU17" s="22">
        <f>'MOMO,AIRTEL,CARDS'!RT8</f>
        <v>0</v>
      </c>
      <c r="RV17" s="22">
        <f>'MOMO,AIRTEL,CARDS'!RU8</f>
        <v>0</v>
      </c>
      <c r="RW17" s="22">
        <f>'MOMO,AIRTEL,CARDS'!RV8</f>
        <v>0</v>
      </c>
      <c r="RX17" s="22">
        <f>'MOMO,AIRTEL,CARDS'!RW8</f>
        <v>0</v>
      </c>
      <c r="RY17" s="22">
        <f>'MOMO,AIRTEL,CARDS'!RX8</f>
        <v>0</v>
      </c>
      <c r="RZ17" s="22">
        <f>'MOMO,AIRTEL,CARDS'!RY8</f>
        <v>0</v>
      </c>
      <c r="SA17" s="22">
        <f>'MOMO,AIRTEL,CARDS'!RZ8</f>
        <v>0</v>
      </c>
      <c r="SB17" s="22">
        <f>'MOMO,AIRTEL,CARDS'!SA8</f>
        <v>0</v>
      </c>
      <c r="SC17" s="22">
        <f>'MOMO,AIRTEL,CARDS'!SB8</f>
        <v>0</v>
      </c>
      <c r="SD17" s="22">
        <f>'MOMO,AIRTEL,CARDS'!SC8</f>
        <v>0</v>
      </c>
      <c r="SE17" s="22">
        <f>'MOMO,AIRTEL,CARDS'!SD8</f>
        <v>0</v>
      </c>
      <c r="SF17" s="22">
        <f>'MOMO,AIRTEL,CARDS'!SE8</f>
        <v>0</v>
      </c>
      <c r="SG17" s="22">
        <f>'MOMO,AIRTEL,CARDS'!SF8</f>
        <v>0</v>
      </c>
      <c r="SH17" s="22">
        <f>'MOMO,AIRTEL,CARDS'!SG8</f>
        <v>0</v>
      </c>
      <c r="SI17" s="22">
        <f>'MOMO,AIRTEL,CARDS'!SH8</f>
        <v>0</v>
      </c>
      <c r="SJ17" s="22">
        <f>'MOMO,AIRTEL,CARDS'!SI8</f>
        <v>0</v>
      </c>
      <c r="SK17" s="22">
        <f>'MOMO,AIRTEL,CARDS'!SJ8</f>
        <v>0</v>
      </c>
      <c r="SL17" s="127">
        <f t="shared" si="149"/>
        <v>0</v>
      </c>
      <c r="SM17" s="22">
        <f>'MOMO,AIRTEL,CARDS'!SL8</f>
        <v>0</v>
      </c>
      <c r="SN17" s="22">
        <f>'MOMO,AIRTEL,CARDS'!SM8</f>
        <v>0</v>
      </c>
      <c r="SO17" s="22">
        <f>'MOMO,AIRTEL,CARDS'!SN8</f>
        <v>0</v>
      </c>
      <c r="SP17" s="22">
        <f>'MOMO,AIRTEL,CARDS'!SO8</f>
        <v>0</v>
      </c>
      <c r="SQ17" s="22">
        <f>'MOMO,AIRTEL,CARDS'!SP8</f>
        <v>0</v>
      </c>
      <c r="SR17" s="22">
        <f>'MOMO,AIRTEL,CARDS'!SQ8</f>
        <v>0</v>
      </c>
      <c r="SS17" s="22">
        <f>'MOMO,AIRTEL,CARDS'!SR8</f>
        <v>0</v>
      </c>
      <c r="ST17" s="22">
        <f>'MOMO,AIRTEL,CARDS'!SS8</f>
        <v>0</v>
      </c>
      <c r="SU17" s="22">
        <f>'MOMO,AIRTEL,CARDS'!ST8</f>
        <v>0</v>
      </c>
      <c r="SV17" s="22">
        <f>'MOMO,AIRTEL,CARDS'!SU8</f>
        <v>0</v>
      </c>
      <c r="SW17" s="22">
        <f>'MOMO,AIRTEL,CARDS'!SV8</f>
        <v>0</v>
      </c>
      <c r="SX17" s="22">
        <f>'MOMO,AIRTEL,CARDS'!SW8</f>
        <v>0</v>
      </c>
      <c r="SY17" s="22">
        <f>'MOMO,AIRTEL,CARDS'!SX8</f>
        <v>0</v>
      </c>
      <c r="SZ17" s="22">
        <f>'MOMO,AIRTEL,CARDS'!SY8</f>
        <v>0</v>
      </c>
      <c r="TA17" s="22">
        <f>'MOMO,AIRTEL,CARDS'!SZ8</f>
        <v>0</v>
      </c>
      <c r="TB17" s="22">
        <f>'MOMO,AIRTEL,CARDS'!TA8</f>
        <v>0</v>
      </c>
      <c r="TC17" s="22">
        <f>'MOMO,AIRTEL,CARDS'!TB8</f>
        <v>0</v>
      </c>
      <c r="TD17" s="22">
        <f>'MOMO,AIRTEL,CARDS'!TC8</f>
        <v>0</v>
      </c>
      <c r="TE17" s="22">
        <f>'MOMO,AIRTEL,CARDS'!TD8</f>
        <v>0</v>
      </c>
      <c r="TF17" s="22">
        <f>'MOMO,AIRTEL,CARDS'!TE8</f>
        <v>0</v>
      </c>
      <c r="TG17" s="22">
        <f>'MOMO,AIRTEL,CARDS'!TF8</f>
        <v>0</v>
      </c>
      <c r="TH17" s="22">
        <f>'MOMO,AIRTEL,CARDS'!TG8</f>
        <v>0</v>
      </c>
      <c r="TI17" s="22">
        <f>'MOMO,AIRTEL,CARDS'!TH8</f>
        <v>0</v>
      </c>
      <c r="TJ17" s="22">
        <f>'MOMO,AIRTEL,CARDS'!TI8</f>
        <v>0</v>
      </c>
      <c r="TK17" s="22">
        <f>'MOMO,AIRTEL,CARDS'!TJ8</f>
        <v>0</v>
      </c>
      <c r="TL17" s="22">
        <f>'MOMO,AIRTEL,CARDS'!TK8</f>
        <v>0</v>
      </c>
      <c r="TM17" s="22">
        <f>'MOMO,AIRTEL,CARDS'!TL8</f>
        <v>0</v>
      </c>
      <c r="TN17" s="22">
        <f>'MOMO,AIRTEL,CARDS'!TM8</f>
        <v>0</v>
      </c>
      <c r="TO17" s="22">
        <f>'MOMO,AIRTEL,CARDS'!TN8</f>
        <v>0</v>
      </c>
      <c r="TP17" s="22">
        <f>'MOMO,AIRTEL,CARDS'!TO8</f>
        <v>0</v>
      </c>
      <c r="TQ17" s="22">
        <f>'MOMO,AIRTEL,CARDS'!TP8</f>
        <v>0</v>
      </c>
      <c r="TR17" s="127">
        <f t="shared" si="151"/>
        <v>0</v>
      </c>
      <c r="TS17" s="22">
        <f>'MOMO,AIRTEL,CARDS'!TR8</f>
        <v>0</v>
      </c>
      <c r="TT17" s="22">
        <f>'MOMO,AIRTEL,CARDS'!TS8</f>
        <v>0</v>
      </c>
      <c r="TU17" s="22">
        <f>'MOMO,AIRTEL,CARDS'!TT8</f>
        <v>0</v>
      </c>
      <c r="TV17" s="22">
        <f>'MOMO,AIRTEL,CARDS'!TU8</f>
        <v>0</v>
      </c>
      <c r="TW17" s="22">
        <f>'MOMO,AIRTEL,CARDS'!TV8</f>
        <v>0</v>
      </c>
      <c r="TX17" s="22">
        <f>'MOMO,AIRTEL,CARDS'!TW8</f>
        <v>0</v>
      </c>
      <c r="TY17" s="22">
        <f>'MOMO,AIRTEL,CARDS'!TX8</f>
        <v>0</v>
      </c>
      <c r="TZ17" s="22">
        <f>'MOMO,AIRTEL,CARDS'!TY8</f>
        <v>0</v>
      </c>
      <c r="UA17" s="22">
        <f>'MOMO,AIRTEL,CARDS'!TZ8</f>
        <v>0</v>
      </c>
      <c r="UB17" s="22">
        <f>'MOMO,AIRTEL,CARDS'!UA8</f>
        <v>0</v>
      </c>
      <c r="UC17" s="22">
        <f>'MOMO,AIRTEL,CARDS'!UB8</f>
        <v>0</v>
      </c>
      <c r="UD17" s="22">
        <f>'MOMO,AIRTEL,CARDS'!UC8</f>
        <v>0</v>
      </c>
      <c r="UE17" s="22">
        <f>'MOMO,AIRTEL,CARDS'!UD8</f>
        <v>0</v>
      </c>
      <c r="UF17" s="22">
        <f>'MOMO,AIRTEL,CARDS'!UE8</f>
        <v>0</v>
      </c>
      <c r="UG17" s="22">
        <f>'MOMO,AIRTEL,CARDS'!UF8</f>
        <v>0</v>
      </c>
      <c r="UH17" s="22">
        <f>'MOMO,AIRTEL,CARDS'!UG8</f>
        <v>0</v>
      </c>
      <c r="UI17" s="22">
        <f>'MOMO,AIRTEL,CARDS'!UH8</f>
        <v>0</v>
      </c>
      <c r="UJ17" s="22">
        <f>'MOMO,AIRTEL,CARDS'!UI8</f>
        <v>0</v>
      </c>
      <c r="UK17" s="22">
        <f>'MOMO,AIRTEL,CARDS'!UJ8</f>
        <v>0</v>
      </c>
      <c r="UL17" s="22">
        <f>'MOMO,AIRTEL,CARDS'!UK8</f>
        <v>0</v>
      </c>
      <c r="UM17" s="22">
        <f>'MOMO,AIRTEL,CARDS'!UL8</f>
        <v>0</v>
      </c>
      <c r="UN17" s="22">
        <f>'MOMO,AIRTEL,CARDS'!UM8</f>
        <v>0</v>
      </c>
      <c r="UO17" s="22">
        <f>'MOMO,AIRTEL,CARDS'!UN8</f>
        <v>0</v>
      </c>
      <c r="UP17" s="22">
        <f>'MOMO,AIRTEL,CARDS'!UO8</f>
        <v>0</v>
      </c>
      <c r="UQ17" s="22">
        <f>'MOMO,AIRTEL,CARDS'!UP8</f>
        <v>0</v>
      </c>
      <c r="UR17" s="22">
        <f>'MOMO,AIRTEL,CARDS'!UQ8</f>
        <v>0</v>
      </c>
      <c r="US17" s="22">
        <f>'MOMO,AIRTEL,CARDS'!UR8</f>
        <v>0</v>
      </c>
      <c r="UT17" s="22">
        <f>'MOMO,AIRTEL,CARDS'!US8</f>
        <v>0</v>
      </c>
      <c r="UU17" s="22">
        <f>'MOMO,AIRTEL,CARDS'!UT8</f>
        <v>0</v>
      </c>
      <c r="UV17" s="22">
        <f>'MOMO,AIRTEL,CARDS'!UU8</f>
        <v>0</v>
      </c>
      <c r="UW17" s="22">
        <f>'MOMO,AIRTEL,CARDS'!UV8</f>
        <v>0</v>
      </c>
      <c r="UX17" s="127">
        <f t="shared" si="153"/>
        <v>0</v>
      </c>
      <c r="UY17" s="22">
        <f>'MOMO,AIRTEL,CARDS'!UX8</f>
        <v>0</v>
      </c>
      <c r="UZ17" s="22">
        <f>'MOMO,AIRTEL,CARDS'!UY8</f>
        <v>0</v>
      </c>
      <c r="VA17" s="22">
        <f>'MOMO,AIRTEL,CARDS'!UZ8</f>
        <v>0</v>
      </c>
      <c r="VB17" s="22">
        <f>'MOMO,AIRTEL,CARDS'!VA8</f>
        <v>0</v>
      </c>
      <c r="VC17" s="22">
        <f>'MOMO,AIRTEL,CARDS'!VB8</f>
        <v>0</v>
      </c>
      <c r="VD17" s="22">
        <f>'MOMO,AIRTEL,CARDS'!VC8</f>
        <v>0</v>
      </c>
      <c r="VE17" s="22">
        <f>'MOMO,AIRTEL,CARDS'!VD8</f>
        <v>0</v>
      </c>
      <c r="VF17" s="22">
        <f>'MOMO,AIRTEL,CARDS'!VE8</f>
        <v>0</v>
      </c>
      <c r="VG17" s="22">
        <f>'MOMO,AIRTEL,CARDS'!VF8</f>
        <v>0</v>
      </c>
      <c r="VH17" s="22">
        <f>'MOMO,AIRTEL,CARDS'!VG8</f>
        <v>0</v>
      </c>
      <c r="VI17" s="22">
        <f>'MOMO,AIRTEL,CARDS'!VH8</f>
        <v>0</v>
      </c>
      <c r="VJ17" s="22">
        <f>'MOMO,AIRTEL,CARDS'!VI8</f>
        <v>0</v>
      </c>
      <c r="VK17" s="22">
        <f>'MOMO,AIRTEL,CARDS'!VJ8</f>
        <v>0</v>
      </c>
      <c r="VL17" s="22">
        <f>'MOMO,AIRTEL,CARDS'!VK8</f>
        <v>0</v>
      </c>
      <c r="VM17" s="22">
        <f>'MOMO,AIRTEL,CARDS'!VL8</f>
        <v>0</v>
      </c>
      <c r="VN17" s="22">
        <f>'MOMO,AIRTEL,CARDS'!VM8</f>
        <v>0</v>
      </c>
      <c r="VO17" s="22">
        <f>'MOMO,AIRTEL,CARDS'!VN8</f>
        <v>0</v>
      </c>
      <c r="VP17" s="22">
        <f>'MOMO,AIRTEL,CARDS'!VO8</f>
        <v>0</v>
      </c>
      <c r="VQ17" s="22">
        <f>'MOMO,AIRTEL,CARDS'!VP8</f>
        <v>0</v>
      </c>
      <c r="VR17" s="22">
        <f>'MOMO,AIRTEL,CARDS'!VQ8</f>
        <v>0</v>
      </c>
      <c r="VS17" s="22">
        <f>'MOMO,AIRTEL,CARDS'!VR8</f>
        <v>0</v>
      </c>
      <c r="VT17" s="22">
        <f>'MOMO,AIRTEL,CARDS'!VS8</f>
        <v>0</v>
      </c>
      <c r="VU17" s="22">
        <f>'MOMO,AIRTEL,CARDS'!VT8</f>
        <v>0</v>
      </c>
      <c r="VV17" s="22">
        <f>'MOMO,AIRTEL,CARDS'!VU8</f>
        <v>0</v>
      </c>
      <c r="VW17" s="22">
        <f>'MOMO,AIRTEL,CARDS'!VV8</f>
        <v>0</v>
      </c>
      <c r="VX17" s="22">
        <f>'MOMO,AIRTEL,CARDS'!VW8</f>
        <v>0</v>
      </c>
      <c r="VY17" s="22">
        <f>'MOMO,AIRTEL,CARDS'!VX8</f>
        <v>0</v>
      </c>
      <c r="VZ17" s="22">
        <f>'MOMO,AIRTEL,CARDS'!VY8</f>
        <v>0</v>
      </c>
      <c r="WA17" s="127">
        <f>SUM(UW17:VZ17)</f>
        <v>0</v>
      </c>
      <c r="WB17" s="22">
        <f>'MOMO,AIRTEL,CARDS'!WA8</f>
        <v>0</v>
      </c>
      <c r="WC17" s="22">
        <f>'MOMO,AIRTEL,CARDS'!WB8</f>
        <v>0</v>
      </c>
      <c r="WD17" s="22">
        <f>'MOMO,AIRTEL,CARDS'!WC8</f>
        <v>0</v>
      </c>
      <c r="WE17" s="22">
        <f>'MOMO,AIRTEL,CARDS'!WD8</f>
        <v>0</v>
      </c>
      <c r="WF17" s="22">
        <f>'MOMO,AIRTEL,CARDS'!WE8</f>
        <v>0</v>
      </c>
      <c r="WG17" s="22">
        <f>'MOMO,AIRTEL,CARDS'!WF8</f>
        <v>0</v>
      </c>
      <c r="WH17" s="22">
        <f>'MOMO,AIRTEL,CARDS'!WG8</f>
        <v>0</v>
      </c>
      <c r="WI17" s="22">
        <f>'MOMO,AIRTEL,CARDS'!WH8</f>
        <v>0</v>
      </c>
      <c r="WJ17" s="22">
        <f>'MOMO,AIRTEL,CARDS'!WI8</f>
        <v>0</v>
      </c>
      <c r="WK17" s="22">
        <f>'MOMO,AIRTEL,CARDS'!WJ8</f>
        <v>0</v>
      </c>
      <c r="WL17" s="22">
        <f>'MOMO,AIRTEL,CARDS'!WK8</f>
        <v>0</v>
      </c>
      <c r="WM17" s="22">
        <f>'MOMO,AIRTEL,CARDS'!WL8</f>
        <v>0</v>
      </c>
      <c r="WN17" s="22">
        <f>'MOMO,AIRTEL,CARDS'!WM8</f>
        <v>0</v>
      </c>
      <c r="WO17" s="22">
        <f>'MOMO,AIRTEL,CARDS'!WN8</f>
        <v>0</v>
      </c>
      <c r="WP17" s="22">
        <f>'MOMO,AIRTEL,CARDS'!WO8</f>
        <v>0</v>
      </c>
      <c r="WQ17" s="22">
        <f>'MOMO,AIRTEL,CARDS'!WP8</f>
        <v>0</v>
      </c>
      <c r="WR17" s="22">
        <f>'MOMO,AIRTEL,CARDS'!WQ8</f>
        <v>0</v>
      </c>
      <c r="WS17" s="22">
        <f>'MOMO,AIRTEL,CARDS'!WR8</f>
        <v>0</v>
      </c>
      <c r="WT17" s="22">
        <f>'MOMO,AIRTEL,CARDS'!WS8</f>
        <v>0</v>
      </c>
      <c r="WU17" s="22">
        <f>'MOMO,AIRTEL,CARDS'!WT8</f>
        <v>0</v>
      </c>
      <c r="WV17" s="22">
        <f>'MOMO,AIRTEL,CARDS'!WU8</f>
        <v>0</v>
      </c>
      <c r="WW17" s="22">
        <f>'MOMO,AIRTEL,CARDS'!WV8</f>
        <v>170000</v>
      </c>
      <c r="WX17" s="22">
        <f>'MOMO,AIRTEL,CARDS'!WW8</f>
        <v>0</v>
      </c>
      <c r="WY17" s="22">
        <f>'MOMO,AIRTEL,CARDS'!WX8</f>
        <v>0</v>
      </c>
      <c r="WZ17" s="22">
        <f>'MOMO,AIRTEL,CARDS'!WY8</f>
        <v>0</v>
      </c>
      <c r="XA17" s="22">
        <f>'MOMO,AIRTEL,CARDS'!WZ8</f>
        <v>0</v>
      </c>
      <c r="XB17" s="22">
        <f>'MOMO,AIRTEL,CARDS'!XA8</f>
        <v>0</v>
      </c>
      <c r="XC17" s="22">
        <f>'MOMO,AIRTEL,CARDS'!XB8</f>
        <v>0</v>
      </c>
      <c r="XD17" s="22">
        <f>'MOMO,AIRTEL,CARDS'!XC8</f>
        <v>0</v>
      </c>
      <c r="XE17" s="22">
        <f>'MOMO,AIRTEL,CARDS'!XD8</f>
        <v>0</v>
      </c>
      <c r="XF17" s="22">
        <f>'MOMO,AIRTEL,CARDS'!XE8</f>
        <v>0</v>
      </c>
      <c r="XG17" s="127">
        <f t="shared" si="156"/>
        <v>170000</v>
      </c>
      <c r="XH17" s="22">
        <f>'MOMO,AIRTEL,CARDS'!XG8</f>
        <v>0</v>
      </c>
      <c r="XI17" s="22">
        <f>'MOMO,AIRTEL,CARDS'!XH8</f>
        <v>0</v>
      </c>
      <c r="XJ17" s="22">
        <f>'MOMO,AIRTEL,CARDS'!XI8</f>
        <v>0</v>
      </c>
      <c r="XK17" s="22">
        <f>'MOMO,AIRTEL,CARDS'!XJ8</f>
        <v>0</v>
      </c>
      <c r="XL17" s="22">
        <f>'MOMO,AIRTEL,CARDS'!XK8</f>
        <v>6000</v>
      </c>
      <c r="XM17" s="22">
        <f>'MOMO,AIRTEL,CARDS'!XL8</f>
        <v>779000</v>
      </c>
      <c r="XN17" s="22">
        <f>'MOMO,AIRTEL,CARDS'!XM8</f>
        <v>0</v>
      </c>
      <c r="XO17" s="22">
        <f>'MOMO,AIRTEL,CARDS'!XN8</f>
        <v>680000</v>
      </c>
      <c r="XP17" s="22">
        <f>'MOMO,AIRTEL,CARDS'!XO8</f>
        <v>669000</v>
      </c>
      <c r="XQ17" s="22">
        <f>'MOMO,AIRTEL,CARDS'!XP8</f>
        <v>0</v>
      </c>
      <c r="XR17" s="22">
        <f>'MOMO,AIRTEL,CARDS'!XQ8</f>
        <v>240000</v>
      </c>
      <c r="XS17" s="22">
        <f>'MOMO,AIRTEL,CARDS'!XR8</f>
        <v>0</v>
      </c>
      <c r="XT17" s="22">
        <f>'MOMO,AIRTEL,CARDS'!XS8</f>
        <v>0</v>
      </c>
      <c r="XU17" s="22">
        <f>'MOMO,AIRTEL,CARDS'!XT8</f>
        <v>0</v>
      </c>
      <c r="XV17" s="22">
        <f>'MOMO,AIRTEL,CARDS'!XU8</f>
        <v>0</v>
      </c>
      <c r="XW17" s="22">
        <f>'MOMO,AIRTEL,CARDS'!XV8</f>
        <v>0</v>
      </c>
      <c r="XX17" s="22">
        <f>'MOMO,AIRTEL,CARDS'!XW8</f>
        <v>0</v>
      </c>
      <c r="XY17" s="22">
        <f>'MOMO,AIRTEL,CARDS'!XX8</f>
        <v>0</v>
      </c>
      <c r="XZ17" s="22">
        <f>'MOMO,AIRTEL,CARDS'!XY8</f>
        <v>0</v>
      </c>
      <c r="YA17" s="22">
        <f>'MOMO,AIRTEL,CARDS'!XZ8</f>
        <v>0</v>
      </c>
      <c r="YB17" s="22">
        <f>'MOMO,AIRTEL,CARDS'!YA8</f>
        <v>0</v>
      </c>
      <c r="YC17" s="22">
        <f>'MOMO,AIRTEL,CARDS'!YB8</f>
        <v>0</v>
      </c>
      <c r="YD17" s="22">
        <f>'MOMO,AIRTEL,CARDS'!YC8</f>
        <v>0</v>
      </c>
      <c r="YE17" s="22">
        <f>'MOMO,AIRTEL,CARDS'!YD8</f>
        <v>0</v>
      </c>
      <c r="YF17" s="22">
        <f>'MOMO,AIRTEL,CARDS'!YE8</f>
        <v>0</v>
      </c>
      <c r="YG17" s="22">
        <f>'MOMO,AIRTEL,CARDS'!YF8</f>
        <v>0</v>
      </c>
      <c r="YH17" s="22">
        <f>'MOMO,AIRTEL,CARDS'!YG8</f>
        <v>0</v>
      </c>
      <c r="YI17" s="22">
        <f>'MOMO,AIRTEL,CARDS'!YH8</f>
        <v>0</v>
      </c>
      <c r="YJ17" s="22">
        <f>'MOMO,AIRTEL,CARDS'!YI8</f>
        <v>0</v>
      </c>
      <c r="YK17" s="22">
        <f>'MOMO,AIRTEL,CARDS'!YJ8</f>
        <v>0</v>
      </c>
      <c r="YL17" s="127">
        <f t="shared" si="158"/>
        <v>2374000</v>
      </c>
      <c r="YM17" s="22">
        <f>'MOMO,AIRTEL,CARDS'!YL8</f>
        <v>0</v>
      </c>
      <c r="YN17" s="22">
        <f>'MOMO,AIRTEL,CARDS'!YM8</f>
        <v>0</v>
      </c>
      <c r="YO17" s="22">
        <f>'MOMO,AIRTEL,CARDS'!YN8</f>
        <v>1410000</v>
      </c>
      <c r="YP17" s="22">
        <f>'MOMO,AIRTEL,CARDS'!YO8</f>
        <v>0</v>
      </c>
      <c r="YQ17" s="22">
        <f>'MOMO,AIRTEL,CARDS'!YP8</f>
        <v>0</v>
      </c>
      <c r="YR17" s="22">
        <f>'MOMO,AIRTEL,CARDS'!YQ8</f>
        <v>0</v>
      </c>
      <c r="YS17" s="22">
        <f>'MOMO,AIRTEL,CARDS'!YR8</f>
        <v>0</v>
      </c>
      <c r="YT17" s="22">
        <f>'MOMO,AIRTEL,CARDS'!YS8</f>
        <v>0</v>
      </c>
      <c r="YU17" s="22">
        <f>'MOMO,AIRTEL,CARDS'!YT8</f>
        <v>0</v>
      </c>
      <c r="YV17" s="22">
        <f>'MOMO,AIRTEL,CARDS'!YU8</f>
        <v>0</v>
      </c>
      <c r="YW17" s="22">
        <f>'MOMO,AIRTEL,CARDS'!YV8</f>
        <v>0</v>
      </c>
      <c r="YX17" s="22">
        <f>'MOMO,AIRTEL,CARDS'!YW8</f>
        <v>0</v>
      </c>
      <c r="YY17" s="22">
        <f>'MOMO,AIRTEL,CARDS'!YX8</f>
        <v>0</v>
      </c>
      <c r="YZ17" s="22">
        <f>'MOMO,AIRTEL,CARDS'!YY8</f>
        <v>0</v>
      </c>
      <c r="ZA17" s="22">
        <f>'MOMO,AIRTEL,CARDS'!YZ8</f>
        <v>400000</v>
      </c>
      <c r="ZB17" s="22">
        <f>'MOMO,AIRTEL,CARDS'!ZA8</f>
        <v>0</v>
      </c>
      <c r="ZC17" s="22">
        <f>'MOMO,AIRTEL,CARDS'!ZB8</f>
        <v>0</v>
      </c>
      <c r="ZD17" s="22">
        <f>'MOMO,AIRTEL,CARDS'!ZC8</f>
        <v>0</v>
      </c>
      <c r="ZE17" s="22">
        <f>'MOMO,AIRTEL,CARDS'!ZD8</f>
        <v>0</v>
      </c>
      <c r="ZF17" s="22">
        <f>'MOMO,AIRTEL,CARDS'!ZE8</f>
        <v>0</v>
      </c>
      <c r="ZG17" s="22">
        <f>'MOMO,AIRTEL,CARDS'!ZF8</f>
        <v>0</v>
      </c>
      <c r="ZH17" s="22">
        <f>'MOMO,AIRTEL,CARDS'!ZG8</f>
        <v>0</v>
      </c>
      <c r="ZI17" s="22">
        <f>'MOMO,AIRTEL,CARDS'!ZH8</f>
        <v>0</v>
      </c>
      <c r="ZJ17" s="22">
        <f>'MOMO,AIRTEL,CARDS'!ZI8</f>
        <v>0</v>
      </c>
      <c r="ZK17" s="22">
        <f>'MOMO,AIRTEL,CARDS'!ZJ8</f>
        <v>0</v>
      </c>
      <c r="ZL17" s="22">
        <f>'MOMO,AIRTEL,CARDS'!ZK8</f>
        <v>0</v>
      </c>
      <c r="ZM17" s="22">
        <f>'MOMO,AIRTEL,CARDS'!ZL8</f>
        <v>0</v>
      </c>
      <c r="ZN17" s="22">
        <f>'MOMO,AIRTEL,CARDS'!ZM8</f>
        <v>0</v>
      </c>
      <c r="ZO17" s="22">
        <f>'MOMO,AIRTEL,CARDS'!ZN8</f>
        <v>0</v>
      </c>
      <c r="ZP17" s="22">
        <f>'MOMO,AIRTEL,CARDS'!ZO8</f>
        <v>0</v>
      </c>
      <c r="ZQ17" s="22">
        <f>'MOMO,AIRTEL,CARDS'!ZP8</f>
        <v>0</v>
      </c>
      <c r="ZR17" s="127">
        <f t="shared" si="113"/>
        <v>1810000</v>
      </c>
      <c r="ZS17" s="22">
        <f>'MOMO,AIRTEL,CARDS'!ZR8</f>
        <v>0</v>
      </c>
      <c r="ZT17" s="22">
        <f>'MOMO,AIRTEL,CARDS'!ZS8</f>
        <v>0</v>
      </c>
      <c r="ZU17" s="22">
        <f>'MOMO,AIRTEL,CARDS'!ZT8</f>
        <v>0</v>
      </c>
      <c r="ZV17" s="22">
        <f>'MOMO,AIRTEL,CARDS'!ZU8</f>
        <v>0</v>
      </c>
      <c r="ZW17" s="22">
        <f>'MOMO,AIRTEL,CARDS'!ZV8</f>
        <v>0</v>
      </c>
      <c r="ZX17" s="22">
        <f>'MOMO,AIRTEL,CARDS'!ZW8</f>
        <v>0</v>
      </c>
      <c r="ZY17" s="22">
        <f>'MOMO,AIRTEL,CARDS'!ZX8</f>
        <v>0</v>
      </c>
      <c r="ZZ17" s="22">
        <f>'MOMO,AIRTEL,CARDS'!ZY8</f>
        <v>0</v>
      </c>
      <c r="AAA17" s="22">
        <f>'MOMO,AIRTEL,CARDS'!ZZ8</f>
        <v>0</v>
      </c>
      <c r="AAB17" s="22">
        <f>'MOMO,AIRTEL,CARDS'!AAA8</f>
        <v>0</v>
      </c>
      <c r="AAC17" s="22">
        <f>'MOMO,AIRTEL,CARDS'!AAB8</f>
        <v>0</v>
      </c>
      <c r="AAD17" s="22">
        <f>'MOMO,AIRTEL,CARDS'!AAC8</f>
        <v>0</v>
      </c>
      <c r="AAE17" s="22">
        <f>'MOMO,AIRTEL,CARDS'!AAD8</f>
        <v>0</v>
      </c>
      <c r="AAF17" s="22">
        <f>'MOMO,AIRTEL,CARDS'!AAE8</f>
        <v>0</v>
      </c>
      <c r="AAG17" s="22">
        <f>'MOMO,AIRTEL,CARDS'!AAF8</f>
        <v>0</v>
      </c>
      <c r="AAH17" s="22">
        <f>'MOMO,AIRTEL,CARDS'!AAG8</f>
        <v>0</v>
      </c>
      <c r="AAI17" s="22">
        <f>'MOMO,AIRTEL,CARDS'!AAH8</f>
        <v>0</v>
      </c>
      <c r="AAJ17" s="22">
        <f>'MOMO,AIRTEL,CARDS'!AAI8</f>
        <v>0</v>
      </c>
      <c r="AAK17" s="22">
        <f>'MOMO,AIRTEL,CARDS'!AAJ8</f>
        <v>0</v>
      </c>
      <c r="AAL17" s="22">
        <f>'MOMO,AIRTEL,CARDS'!AAK8</f>
        <v>0</v>
      </c>
      <c r="AAM17" s="22">
        <f>'MOMO,AIRTEL,CARDS'!AAL8</f>
        <v>0</v>
      </c>
      <c r="AAN17" s="22">
        <f>'MOMO,AIRTEL,CARDS'!AAM8</f>
        <v>0</v>
      </c>
      <c r="AAO17" s="22">
        <f>'MOMO,AIRTEL,CARDS'!AAN8</f>
        <v>0</v>
      </c>
      <c r="AAP17" s="22">
        <f>'MOMO,AIRTEL,CARDS'!AAO8</f>
        <v>0</v>
      </c>
      <c r="AAQ17" s="22">
        <f>'MOMO,AIRTEL,CARDS'!AAP8</f>
        <v>0</v>
      </c>
      <c r="AAR17" s="22">
        <f>'MOMO,AIRTEL,CARDS'!AAQ8</f>
        <v>0</v>
      </c>
      <c r="AAS17" s="22">
        <f>'MOMO,AIRTEL,CARDS'!AAR8</f>
        <v>0</v>
      </c>
      <c r="AAT17" s="22">
        <f>'MOMO,AIRTEL,CARDS'!AAS8</f>
        <v>0</v>
      </c>
      <c r="AAU17" s="22">
        <f>'MOMO,AIRTEL,CARDS'!AAT8</f>
        <v>0</v>
      </c>
      <c r="AAV17" s="22">
        <f>'MOMO,AIRTEL,CARDS'!AAU8</f>
        <v>0</v>
      </c>
      <c r="AAW17" s="127">
        <f t="shared" si="115"/>
        <v>0</v>
      </c>
      <c r="AAX17" s="22">
        <f>'MOMO,AIRTEL,CARDS'!AAW8</f>
        <v>0</v>
      </c>
      <c r="AAY17" s="22">
        <f>'MOMO,AIRTEL,CARDS'!AAX8</f>
        <v>0</v>
      </c>
      <c r="AAZ17" s="22">
        <f>'MOMO,AIRTEL,CARDS'!AAY8</f>
        <v>0</v>
      </c>
      <c r="ABA17" s="22">
        <f>'MOMO,AIRTEL,CARDS'!AAZ8</f>
        <v>0</v>
      </c>
      <c r="ABB17" s="22">
        <f>'MOMO,AIRTEL,CARDS'!ABA8</f>
        <v>0</v>
      </c>
      <c r="ABC17" s="22">
        <f>'MOMO,AIRTEL,CARDS'!ABB8</f>
        <v>0</v>
      </c>
      <c r="ABD17" s="22">
        <f>'MOMO,AIRTEL,CARDS'!ABC8</f>
        <v>0</v>
      </c>
      <c r="ABE17" s="22">
        <f>'MOMO,AIRTEL,CARDS'!ABD8</f>
        <v>0</v>
      </c>
      <c r="ABF17" s="22">
        <f>'MOMO,AIRTEL,CARDS'!ABE8</f>
        <v>0</v>
      </c>
      <c r="ABG17" s="22">
        <f>'MOMO,AIRTEL,CARDS'!ABF8</f>
        <v>0</v>
      </c>
      <c r="ABH17" s="22">
        <f>'MOMO,AIRTEL,CARDS'!ABG8</f>
        <v>0</v>
      </c>
      <c r="ABI17" s="22">
        <f>'MOMO,AIRTEL,CARDS'!ABH8</f>
        <v>0</v>
      </c>
      <c r="ABJ17" s="22">
        <f>'MOMO,AIRTEL,CARDS'!ABI8</f>
        <v>0</v>
      </c>
      <c r="ABK17" s="22">
        <f>'MOMO,AIRTEL,CARDS'!ABJ8</f>
        <v>0</v>
      </c>
      <c r="ABL17" s="22">
        <f>'MOMO,AIRTEL,CARDS'!ABK8</f>
        <v>0</v>
      </c>
      <c r="ABM17" s="22">
        <f>'MOMO,AIRTEL,CARDS'!ABL8</f>
        <v>0</v>
      </c>
      <c r="ABN17" s="22">
        <f>'MOMO,AIRTEL,CARDS'!ABM8</f>
        <v>0</v>
      </c>
      <c r="ABO17" s="22">
        <f>'MOMO,AIRTEL,CARDS'!ABN8</f>
        <v>0</v>
      </c>
      <c r="ABP17" s="22">
        <f>'MOMO,AIRTEL,CARDS'!ABO8</f>
        <v>0</v>
      </c>
      <c r="ABQ17" s="22">
        <f>'MOMO,AIRTEL,CARDS'!ABP8</f>
        <v>0</v>
      </c>
      <c r="ABR17" s="22">
        <f>'MOMO,AIRTEL,CARDS'!ABQ8</f>
        <v>0</v>
      </c>
      <c r="ABS17" s="22">
        <f>'MOMO,AIRTEL,CARDS'!ABR8</f>
        <v>0</v>
      </c>
      <c r="ABT17" s="22">
        <f>'MOMO,AIRTEL,CARDS'!ABS8</f>
        <v>0</v>
      </c>
      <c r="ABU17" s="22">
        <f>'MOMO,AIRTEL,CARDS'!ABT8</f>
        <v>0</v>
      </c>
      <c r="ABV17" s="22">
        <f>'MOMO,AIRTEL,CARDS'!ABU8</f>
        <v>0</v>
      </c>
      <c r="ABW17" s="22">
        <f>'MOMO,AIRTEL,CARDS'!ABV8</f>
        <v>0</v>
      </c>
      <c r="ABX17" s="22">
        <f>'MOMO,AIRTEL,CARDS'!ABW8</f>
        <v>0</v>
      </c>
      <c r="ABY17" s="22">
        <f>'MOMO,AIRTEL,CARDS'!ABX8</f>
        <v>0</v>
      </c>
      <c r="ABZ17" s="22">
        <f>'MOMO,AIRTEL,CARDS'!ABY8</f>
        <v>0</v>
      </c>
      <c r="ACA17" s="22">
        <f>'MOMO,AIRTEL,CARDS'!ABZ8</f>
        <v>0</v>
      </c>
      <c r="ACB17" s="22">
        <f>'MOMO,AIRTEL,CARDS'!ACA8</f>
        <v>0</v>
      </c>
      <c r="ACC17" s="127">
        <f>SUM(AAY17:ACB17)</f>
        <v>0</v>
      </c>
      <c r="ACD17" s="22">
        <f>'MOMO,AIRTEL,CARDS'!ACC8</f>
        <v>0</v>
      </c>
      <c r="ACE17" s="22">
        <f>'MOMO,AIRTEL,CARDS'!ACD8</f>
        <v>0</v>
      </c>
      <c r="ACF17" s="22">
        <f>'MOMO,AIRTEL,CARDS'!ACE8</f>
        <v>0</v>
      </c>
      <c r="ACG17" s="22">
        <f>'MOMO,AIRTEL,CARDS'!ACF8</f>
        <v>0</v>
      </c>
      <c r="ACH17" s="22">
        <f>'MOMO,AIRTEL,CARDS'!ACG8</f>
        <v>0</v>
      </c>
      <c r="ACI17" s="22">
        <f>'MOMO,AIRTEL,CARDS'!ACH8</f>
        <v>0</v>
      </c>
      <c r="ACJ17" s="22">
        <f>'MOMO,AIRTEL,CARDS'!ACI8</f>
        <v>0</v>
      </c>
      <c r="ACK17" s="22">
        <f>'MOMO,AIRTEL,CARDS'!ACJ8</f>
        <v>0</v>
      </c>
      <c r="ACL17" s="22">
        <f>'MOMO,AIRTEL,CARDS'!ACK8</f>
        <v>0</v>
      </c>
      <c r="ACM17" s="22">
        <f>'MOMO,AIRTEL,CARDS'!ACL8</f>
        <v>0</v>
      </c>
      <c r="ACN17" s="22">
        <f>'MOMO,AIRTEL,CARDS'!ACM8</f>
        <v>0</v>
      </c>
      <c r="ACO17" s="22">
        <f>'MOMO,AIRTEL,CARDS'!ACN8</f>
        <v>0</v>
      </c>
      <c r="ACP17" s="22">
        <f>'MOMO,AIRTEL,CARDS'!ACO8</f>
        <v>0</v>
      </c>
      <c r="ACQ17" s="22">
        <f>'MOMO,AIRTEL,CARDS'!ACP8</f>
        <v>0</v>
      </c>
      <c r="ACR17" s="22">
        <f>'MOMO,AIRTEL,CARDS'!ACQ8</f>
        <v>0</v>
      </c>
      <c r="ACS17" s="22">
        <f>'MOMO,AIRTEL,CARDS'!ACR8</f>
        <v>0</v>
      </c>
      <c r="ACT17" s="22">
        <f>'MOMO,AIRTEL,CARDS'!ACS8</f>
        <v>0</v>
      </c>
      <c r="ACU17" s="22">
        <f>'MOMO,AIRTEL,CARDS'!ACT8</f>
        <v>0</v>
      </c>
      <c r="ACV17" s="22">
        <f>'MOMO,AIRTEL,CARDS'!ACU8</f>
        <v>0</v>
      </c>
      <c r="ACW17" s="22">
        <f>'MOMO,AIRTEL,CARDS'!ACV8</f>
        <v>0</v>
      </c>
      <c r="ACX17" s="22">
        <f>'MOMO,AIRTEL,CARDS'!ACW8</f>
        <v>0</v>
      </c>
      <c r="ACY17" s="22">
        <f>'MOMO,AIRTEL,CARDS'!ACX8</f>
        <v>0</v>
      </c>
      <c r="ACZ17" s="22">
        <f>'MOMO,AIRTEL,CARDS'!ACY8</f>
        <v>0</v>
      </c>
      <c r="ADA17" s="22">
        <f>'MOMO,AIRTEL,CARDS'!ACZ8</f>
        <v>0</v>
      </c>
      <c r="ADB17" s="22">
        <f>'MOMO,AIRTEL,CARDS'!ADA8</f>
        <v>0</v>
      </c>
      <c r="ADC17" s="22">
        <f>'MOMO,AIRTEL,CARDS'!ADB8</f>
        <v>0</v>
      </c>
      <c r="ADD17" s="22">
        <f>'MOMO,AIRTEL,CARDS'!ADC8</f>
        <v>0</v>
      </c>
      <c r="ADE17" s="22">
        <f>'MOMO,AIRTEL,CARDS'!ADD8</f>
        <v>0</v>
      </c>
      <c r="ADF17" s="22">
        <f>'MOMO,AIRTEL,CARDS'!ADE8</f>
        <v>0</v>
      </c>
      <c r="ADG17" s="22">
        <f>'MOMO,AIRTEL,CARDS'!ADF8</f>
        <v>0</v>
      </c>
      <c r="ADH17" s="22">
        <f>'MOMO,AIRTEL,CARDS'!ADG8</f>
        <v>0</v>
      </c>
      <c r="ADI17" s="127">
        <f>SUM(ACE17:ADH17)</f>
        <v>0</v>
      </c>
      <c r="ADJ17" s="22">
        <f>'MOMO,AIRTEL,CARDS'!ADI8</f>
        <v>0</v>
      </c>
      <c r="ADK17" s="22">
        <f>'MOMO,AIRTEL,CARDS'!ADJ8</f>
        <v>0</v>
      </c>
      <c r="ADL17" s="22">
        <f>'MOMO,AIRTEL,CARDS'!ADK8</f>
        <v>0</v>
      </c>
      <c r="ADM17" s="22">
        <f>'MOMO,AIRTEL,CARDS'!ADL8</f>
        <v>0</v>
      </c>
      <c r="ADN17" s="22">
        <f>'MOMO,AIRTEL,CARDS'!ADM8</f>
        <v>0</v>
      </c>
      <c r="ADO17" s="22">
        <f>'MOMO,AIRTEL,CARDS'!ADN8</f>
        <v>0</v>
      </c>
      <c r="ADP17" s="22">
        <f>'MOMO,AIRTEL,CARDS'!ADO8</f>
        <v>0</v>
      </c>
      <c r="ADQ17" s="22">
        <f>'MOMO,AIRTEL,CARDS'!ADP8</f>
        <v>0</v>
      </c>
      <c r="ADR17" s="22">
        <f>'MOMO,AIRTEL,CARDS'!ADQ8</f>
        <v>0</v>
      </c>
      <c r="ADS17" s="22">
        <f>'MOMO,AIRTEL,CARDS'!ADR8</f>
        <v>0</v>
      </c>
      <c r="ADT17" s="22">
        <f>'MOMO,AIRTEL,CARDS'!ADS8</f>
        <v>0</v>
      </c>
      <c r="ADU17" s="22">
        <f>'MOMO,AIRTEL,CARDS'!ADT8</f>
        <v>0</v>
      </c>
      <c r="ADV17" s="22">
        <f>'MOMO,AIRTEL,CARDS'!ADU8</f>
        <v>0</v>
      </c>
      <c r="ADW17" s="22">
        <f>'MOMO,AIRTEL,CARDS'!ADV8</f>
        <v>0</v>
      </c>
      <c r="ADX17" s="22">
        <f>'MOMO,AIRTEL,CARDS'!ADW8</f>
        <v>0</v>
      </c>
      <c r="ADY17" s="22">
        <f>'MOMO,AIRTEL,CARDS'!ADX8</f>
        <v>0</v>
      </c>
      <c r="ADZ17" s="22">
        <f>'MOMO,AIRTEL,CARDS'!ADY8</f>
        <v>0</v>
      </c>
      <c r="AEA17" s="22">
        <f>'MOMO,AIRTEL,CARDS'!ADZ8</f>
        <v>0</v>
      </c>
      <c r="AEB17" s="22">
        <f>'MOMO,AIRTEL,CARDS'!AEA8</f>
        <v>0</v>
      </c>
      <c r="AEC17" s="22">
        <f>'MOMO,AIRTEL,CARDS'!AEB8</f>
        <v>0</v>
      </c>
      <c r="AED17" s="22">
        <f>'MOMO,AIRTEL,CARDS'!AEC8</f>
        <v>0</v>
      </c>
      <c r="AEE17" s="22">
        <f>'MOMO,AIRTEL,CARDS'!AED8</f>
        <v>0</v>
      </c>
      <c r="AEF17" s="22">
        <f>'MOMO,AIRTEL,CARDS'!AEE8</f>
        <v>0</v>
      </c>
      <c r="AEG17" s="22">
        <f>'MOMO,AIRTEL,CARDS'!AEF8</f>
        <v>0</v>
      </c>
      <c r="AEH17" s="22">
        <f>'MOMO,AIRTEL,CARDS'!AEG8</f>
        <v>0</v>
      </c>
      <c r="AEI17" s="22">
        <f>'MOMO,AIRTEL,CARDS'!AEH8</f>
        <v>0</v>
      </c>
      <c r="AEJ17" s="22">
        <f>'MOMO,AIRTEL,CARDS'!AEI8</f>
        <v>0</v>
      </c>
      <c r="AEK17" s="22">
        <f>'MOMO,AIRTEL,CARDS'!AEJ8</f>
        <v>0</v>
      </c>
      <c r="AEL17" s="22">
        <f>'MOMO,AIRTEL,CARDS'!AEK8</f>
        <v>0</v>
      </c>
      <c r="AEM17" s="22">
        <f>'MOMO,AIRTEL,CARDS'!AEL8</f>
        <v>0</v>
      </c>
      <c r="AEN17" s="127">
        <f t="shared" si="121"/>
        <v>0</v>
      </c>
      <c r="AEO17" s="22">
        <f>'MOMO,AIRTEL,CARDS'!AEN8</f>
        <v>0</v>
      </c>
      <c r="AEP17" s="22">
        <f>'MOMO,AIRTEL,CARDS'!AEO8</f>
        <v>0</v>
      </c>
      <c r="AEQ17" s="22">
        <f>'MOMO,AIRTEL,CARDS'!AEP8</f>
        <v>0</v>
      </c>
      <c r="AER17" s="22">
        <f>'MOMO,AIRTEL,CARDS'!AEQ8</f>
        <v>0</v>
      </c>
      <c r="AES17" s="22">
        <f>'MOMO,AIRTEL,CARDS'!AER8</f>
        <v>0</v>
      </c>
      <c r="AET17" s="22">
        <f>'MOMO,AIRTEL,CARDS'!AES8</f>
        <v>0</v>
      </c>
      <c r="AEU17" s="22">
        <f>'MOMO,AIRTEL,CARDS'!AET8</f>
        <v>0</v>
      </c>
      <c r="AEV17" s="22">
        <f>'MOMO,AIRTEL,CARDS'!AEU8</f>
        <v>0</v>
      </c>
      <c r="AEW17" s="22">
        <f>'MOMO,AIRTEL,CARDS'!AEV8</f>
        <v>0</v>
      </c>
      <c r="AEX17" s="22">
        <f>'MOMO,AIRTEL,CARDS'!AEW8</f>
        <v>0</v>
      </c>
      <c r="AEY17" s="22">
        <f>'MOMO,AIRTEL,CARDS'!AEX8</f>
        <v>0</v>
      </c>
      <c r="AEZ17" s="22">
        <f>'MOMO,AIRTEL,CARDS'!AEY8</f>
        <v>0</v>
      </c>
      <c r="AFA17" s="22">
        <f>'MOMO,AIRTEL,CARDS'!AEZ8</f>
        <v>0</v>
      </c>
      <c r="AFB17" s="22">
        <f>'MOMO,AIRTEL,CARDS'!AFA8</f>
        <v>0</v>
      </c>
      <c r="AFC17" s="22">
        <f>'MOMO,AIRTEL,CARDS'!AFB8</f>
        <v>0</v>
      </c>
      <c r="AFD17" s="22">
        <f>'MOMO,AIRTEL,CARDS'!AFC8</f>
        <v>0</v>
      </c>
      <c r="AFE17" s="22">
        <f>'MOMO,AIRTEL,CARDS'!AFD8</f>
        <v>0</v>
      </c>
      <c r="AFF17" s="22">
        <f>'MOMO,AIRTEL,CARDS'!AFE8</f>
        <v>0</v>
      </c>
      <c r="AFG17" s="22">
        <f>'MOMO,AIRTEL,CARDS'!AFF8</f>
        <v>0</v>
      </c>
      <c r="AFH17" s="22">
        <f>'MOMO,AIRTEL,CARDS'!AFG8</f>
        <v>0</v>
      </c>
      <c r="AFI17" s="22">
        <f>'MOMO,AIRTEL,CARDS'!AFH8</f>
        <v>0</v>
      </c>
      <c r="AFJ17" s="22">
        <f>'MOMO,AIRTEL,CARDS'!AFI8</f>
        <v>0</v>
      </c>
      <c r="AFK17" s="22">
        <f>'MOMO,AIRTEL,CARDS'!AFJ8</f>
        <v>0</v>
      </c>
      <c r="AFL17" s="22">
        <f>'MOMO,AIRTEL,CARDS'!AFK8</f>
        <v>0</v>
      </c>
      <c r="AFM17" s="22">
        <f>'MOMO,AIRTEL,CARDS'!AFL8</f>
        <v>0</v>
      </c>
      <c r="AFN17" s="22">
        <f>'MOMO,AIRTEL,CARDS'!AFM8</f>
        <v>0</v>
      </c>
      <c r="AFO17" s="22">
        <f>'MOMO,AIRTEL,CARDS'!AFN8</f>
        <v>0</v>
      </c>
      <c r="AFP17" s="22">
        <f>'MOMO,AIRTEL,CARDS'!AFO8</f>
        <v>0</v>
      </c>
      <c r="AFQ17" s="22">
        <f>'MOMO,AIRTEL,CARDS'!AFP8</f>
        <v>0</v>
      </c>
      <c r="AFR17" s="22">
        <f>'MOMO,AIRTEL,CARDS'!AFQ8</f>
        <v>0</v>
      </c>
      <c r="AFS17" s="22">
        <f>'MOMO,AIRTEL,CARDS'!AFR8</f>
        <v>0</v>
      </c>
      <c r="AFT17" s="127">
        <f>SUM(AEP17:AFS17)</f>
        <v>0</v>
      </c>
      <c r="AFU17" s="22">
        <f>'MOMO,AIRTEL,CARDS'!AFT8</f>
        <v>0</v>
      </c>
      <c r="AFV17" s="22">
        <f>'MOMO,AIRTEL,CARDS'!AFU8</f>
        <v>0</v>
      </c>
      <c r="AFW17" s="22">
        <f>'MOMO,AIRTEL,CARDS'!AFV8</f>
        <v>0</v>
      </c>
      <c r="AFX17" s="22">
        <f>'MOMO,AIRTEL,CARDS'!AFW8</f>
        <v>0</v>
      </c>
      <c r="AFY17" s="22">
        <f>'MOMO,AIRTEL,CARDS'!AFX8</f>
        <v>0</v>
      </c>
      <c r="AFZ17" s="22">
        <f>'MOMO,AIRTEL,CARDS'!AFY8</f>
        <v>0</v>
      </c>
      <c r="AGA17" s="22">
        <f>'MOMO,AIRTEL,CARDS'!AFZ8</f>
        <v>0</v>
      </c>
      <c r="AGB17" s="22">
        <f>'MOMO,AIRTEL,CARDS'!AGA8</f>
        <v>0</v>
      </c>
      <c r="AGC17" s="22">
        <f>'MOMO,AIRTEL,CARDS'!AGB8</f>
        <v>0</v>
      </c>
      <c r="AGD17" s="22">
        <f>'MOMO,AIRTEL,CARDS'!AGC8</f>
        <v>0</v>
      </c>
      <c r="AGE17" s="22">
        <f>'MOMO,AIRTEL,CARDS'!AGD8</f>
        <v>0</v>
      </c>
      <c r="AGF17" s="22">
        <f>'MOMO,AIRTEL,CARDS'!AGE8</f>
        <v>0</v>
      </c>
      <c r="AGG17" s="22">
        <f>'MOMO,AIRTEL,CARDS'!AGF8</f>
        <v>0</v>
      </c>
      <c r="AGH17" s="22">
        <f>'MOMO,AIRTEL,CARDS'!AGG8</f>
        <v>0</v>
      </c>
      <c r="AGI17" s="22">
        <f>'MOMO,AIRTEL,CARDS'!AGH8</f>
        <v>0</v>
      </c>
      <c r="AGJ17" s="22">
        <f>'MOMO,AIRTEL,CARDS'!AGI8</f>
        <v>0</v>
      </c>
      <c r="AGK17" s="22">
        <f>'MOMO,AIRTEL,CARDS'!AGJ8</f>
        <v>0</v>
      </c>
      <c r="AGL17" s="22">
        <f>'MOMO,AIRTEL,CARDS'!AGK8</f>
        <v>0</v>
      </c>
      <c r="AGM17" s="22">
        <f>'MOMO,AIRTEL,CARDS'!AGL8</f>
        <v>0</v>
      </c>
      <c r="AGN17" s="22">
        <f>'MOMO,AIRTEL,CARDS'!AGM8</f>
        <v>0</v>
      </c>
      <c r="AGO17" s="22">
        <f>'MOMO,AIRTEL,CARDS'!AGN8</f>
        <v>0</v>
      </c>
      <c r="AGP17" s="22">
        <f>'MOMO,AIRTEL,CARDS'!AGO8</f>
        <v>0</v>
      </c>
      <c r="AGQ17" s="22">
        <f>'MOMO,AIRTEL,CARDS'!AGP8</f>
        <v>0</v>
      </c>
      <c r="AGR17" s="22">
        <f>'MOMO,AIRTEL,CARDS'!AGQ8</f>
        <v>0</v>
      </c>
      <c r="AGS17" s="22">
        <f>'MOMO,AIRTEL,CARDS'!AGR8</f>
        <v>0</v>
      </c>
      <c r="AGT17" s="22">
        <f>'MOMO,AIRTEL,CARDS'!AGS8</f>
        <v>0</v>
      </c>
      <c r="AGU17" s="22">
        <f>'MOMO,AIRTEL,CARDS'!AGT8</f>
        <v>0</v>
      </c>
      <c r="AGV17" s="22">
        <f>'MOMO,AIRTEL,CARDS'!AGU8</f>
        <v>0</v>
      </c>
      <c r="AGW17" s="22">
        <f>'MOMO,AIRTEL,CARDS'!AGV8</f>
        <v>0</v>
      </c>
      <c r="AGX17" s="22">
        <f>'MOMO,AIRTEL,CARDS'!AGW8</f>
        <v>0</v>
      </c>
      <c r="AGY17" s="127">
        <f t="shared" si="125"/>
        <v>0</v>
      </c>
      <c r="AGZ17" s="22">
        <f>'MOMO,AIRTEL,CARDS'!AGY8</f>
        <v>0</v>
      </c>
      <c r="AHA17" s="22">
        <f>'MOMO,AIRTEL,CARDS'!AGZ8</f>
        <v>0</v>
      </c>
      <c r="AHB17" s="22">
        <f>'MOMO,AIRTEL,CARDS'!AHA8</f>
        <v>0</v>
      </c>
      <c r="AHC17" s="22">
        <f>'MOMO,AIRTEL,CARDS'!AHB8</f>
        <v>0</v>
      </c>
      <c r="AHD17" s="22">
        <f>'MOMO,AIRTEL,CARDS'!AHC8</f>
        <v>0</v>
      </c>
      <c r="AHE17" s="22">
        <f>'MOMO,AIRTEL,CARDS'!AHD8</f>
        <v>0</v>
      </c>
      <c r="AHF17" s="22">
        <f>'MOMO,AIRTEL,CARDS'!AHE8</f>
        <v>0</v>
      </c>
      <c r="AHG17" s="22">
        <f>'MOMO,AIRTEL,CARDS'!AHF8</f>
        <v>0</v>
      </c>
      <c r="AHH17" s="22">
        <f>'MOMO,AIRTEL,CARDS'!AHG8</f>
        <v>0</v>
      </c>
      <c r="AHI17" s="22">
        <f>'MOMO,AIRTEL,CARDS'!AHH8</f>
        <v>0</v>
      </c>
      <c r="AHJ17" s="22">
        <f>'MOMO,AIRTEL,CARDS'!AHI8</f>
        <v>0</v>
      </c>
      <c r="AHK17" s="22">
        <f>'MOMO,AIRTEL,CARDS'!AHJ8</f>
        <v>0</v>
      </c>
      <c r="AHL17" s="22">
        <f>'MOMO,AIRTEL,CARDS'!AHK8</f>
        <v>0</v>
      </c>
      <c r="AHM17" s="22">
        <f>'MOMO,AIRTEL,CARDS'!AHL8</f>
        <v>0</v>
      </c>
      <c r="AHN17" s="22">
        <f>'MOMO,AIRTEL,CARDS'!AHM8</f>
        <v>0</v>
      </c>
      <c r="AHO17" s="22">
        <f>'MOMO,AIRTEL,CARDS'!AHN8</f>
        <v>0</v>
      </c>
      <c r="AHP17" s="22">
        <f>'MOMO,AIRTEL,CARDS'!AHO8</f>
        <v>0</v>
      </c>
      <c r="AHQ17" s="22">
        <f>'MOMO,AIRTEL,CARDS'!AHP8</f>
        <v>0</v>
      </c>
      <c r="AHR17" s="22">
        <f>'MOMO,AIRTEL,CARDS'!AHQ8</f>
        <v>0</v>
      </c>
      <c r="AHS17" s="22">
        <f>'MOMO,AIRTEL,CARDS'!AHR8</f>
        <v>0</v>
      </c>
      <c r="AHT17" s="22">
        <f>'MOMO,AIRTEL,CARDS'!AHS8</f>
        <v>0</v>
      </c>
      <c r="AHU17" s="22">
        <f>'MOMO,AIRTEL,CARDS'!AHT8</f>
        <v>0</v>
      </c>
      <c r="AHV17" s="22">
        <f>'MOMO,AIRTEL,CARDS'!AHU8</f>
        <v>0</v>
      </c>
      <c r="AHW17" s="22">
        <f>'MOMO,AIRTEL,CARDS'!AHV8</f>
        <v>0</v>
      </c>
      <c r="AHX17" s="22">
        <f>'MOMO,AIRTEL,CARDS'!AHW8</f>
        <v>0</v>
      </c>
      <c r="AHY17" s="22">
        <f>'MOMO,AIRTEL,CARDS'!AHX8</f>
        <v>0</v>
      </c>
      <c r="AHZ17" s="22">
        <f>'MOMO,AIRTEL,CARDS'!AHY8</f>
        <v>0</v>
      </c>
      <c r="AIA17" s="22">
        <f>'MOMO,AIRTEL,CARDS'!AHZ8</f>
        <v>0</v>
      </c>
      <c r="AIB17" s="22">
        <f>'MOMO,AIRTEL,CARDS'!AIA8</f>
        <v>0</v>
      </c>
      <c r="AIC17" s="22">
        <f>'MOMO,AIRTEL,CARDS'!AIB8</f>
        <v>0</v>
      </c>
      <c r="AID17" s="22">
        <f>'MOMO,AIRTEL,CARDS'!AIC8</f>
        <v>0</v>
      </c>
      <c r="AIE17" s="127">
        <f>SUM(AHA17:AID17)</f>
        <v>0</v>
      </c>
      <c r="AIF17" s="22">
        <f>'MOMO,AIRTEL,CARDS'!AIE8</f>
        <v>0</v>
      </c>
      <c r="AIG17" s="22">
        <f>'MOMO,AIRTEL,CARDS'!AIF8</f>
        <v>0</v>
      </c>
      <c r="AIH17" s="22">
        <f>'MOMO,AIRTEL,CARDS'!AIG8</f>
        <v>0</v>
      </c>
      <c r="AII17" s="22">
        <f>'MOMO,AIRTEL,CARDS'!AIH8</f>
        <v>0</v>
      </c>
      <c r="AIJ17" s="22">
        <f>'MOMO,AIRTEL,CARDS'!AII8</f>
        <v>0</v>
      </c>
      <c r="AIK17" s="22">
        <f>'MOMO,AIRTEL,CARDS'!AIJ8</f>
        <v>0</v>
      </c>
      <c r="AIL17" s="22">
        <f>'MOMO,AIRTEL,CARDS'!AIK8</f>
        <v>0</v>
      </c>
      <c r="AIM17" s="22">
        <f>'MOMO,AIRTEL,CARDS'!AIL8</f>
        <v>0</v>
      </c>
      <c r="AIN17" s="22">
        <f>'MOMO,AIRTEL,CARDS'!AIM8</f>
        <v>0</v>
      </c>
      <c r="AIO17" s="22">
        <f>'MOMO,AIRTEL,CARDS'!AIN8</f>
        <v>0</v>
      </c>
      <c r="AIP17" s="22">
        <f>'MOMO,AIRTEL,CARDS'!AIO8</f>
        <v>0</v>
      </c>
      <c r="AIQ17" s="22">
        <f>'MOMO,AIRTEL,CARDS'!AIP8</f>
        <v>0</v>
      </c>
      <c r="AIR17" s="22">
        <f>'MOMO,AIRTEL,CARDS'!AIQ8</f>
        <v>0</v>
      </c>
      <c r="AIS17" s="22">
        <f>'MOMO,AIRTEL,CARDS'!AIR8</f>
        <v>0</v>
      </c>
      <c r="AIT17" s="22">
        <f>'MOMO,AIRTEL,CARDS'!AIS8</f>
        <v>0</v>
      </c>
      <c r="AIU17" s="22">
        <f>'MOMO,AIRTEL,CARDS'!AIT8</f>
        <v>0</v>
      </c>
      <c r="AIV17" s="22">
        <f>'MOMO,AIRTEL,CARDS'!AIU8</f>
        <v>0</v>
      </c>
      <c r="AIW17" s="22">
        <f>'MOMO,AIRTEL,CARDS'!AIV8</f>
        <v>0</v>
      </c>
      <c r="AIX17" s="22">
        <f>'MOMO,AIRTEL,CARDS'!AIW8</f>
        <v>0</v>
      </c>
      <c r="AIY17" s="22">
        <f>'MOMO,AIRTEL,CARDS'!AIX8</f>
        <v>0</v>
      </c>
      <c r="AIZ17" s="22">
        <f>'MOMO,AIRTEL,CARDS'!AIY8</f>
        <v>0</v>
      </c>
      <c r="AJA17" s="22">
        <f>'MOMO,AIRTEL,CARDS'!AIZ8</f>
        <v>0</v>
      </c>
      <c r="AJB17" s="22">
        <f>'MOMO,AIRTEL,CARDS'!AJA8</f>
        <v>0</v>
      </c>
      <c r="AJC17" s="22">
        <f>'MOMO,AIRTEL,CARDS'!AJB8</f>
        <v>0</v>
      </c>
      <c r="AJD17" s="22">
        <f>'MOMO,AIRTEL,CARDS'!AJC8</f>
        <v>0</v>
      </c>
      <c r="AJE17" s="22">
        <f>'MOMO,AIRTEL,CARDS'!AJD8</f>
        <v>0</v>
      </c>
      <c r="AJF17" s="22">
        <f>'MOMO,AIRTEL,CARDS'!AJE8</f>
        <v>0</v>
      </c>
      <c r="AJG17" s="22">
        <f>'MOMO,AIRTEL,CARDS'!AJF8</f>
        <v>0</v>
      </c>
      <c r="AJH17" s="22">
        <f>'MOMO,AIRTEL,CARDS'!AJG8</f>
        <v>0</v>
      </c>
      <c r="AJI17" s="22">
        <f>'MOMO,AIRTEL,CARDS'!AJH8</f>
        <v>0</v>
      </c>
      <c r="AJJ17" s="22">
        <f>'MOMO,AIRTEL,CARDS'!AJI8</f>
        <v>0</v>
      </c>
      <c r="AJK17" s="127">
        <f>SUM(AIG17:AJJ17)</f>
        <v>0</v>
      </c>
      <c r="AJL17" s="22">
        <f>'MOMO,AIRTEL,CARDS'!AJK8</f>
        <v>0</v>
      </c>
      <c r="AJM17" s="22">
        <f>'MOMO,AIRTEL,CARDS'!AJL8</f>
        <v>0</v>
      </c>
      <c r="AJN17" s="22">
        <f>'MOMO,AIRTEL,CARDS'!AJM8</f>
        <v>0</v>
      </c>
      <c r="AJO17" s="22">
        <f>'MOMO,AIRTEL,CARDS'!AJN8</f>
        <v>0</v>
      </c>
      <c r="AJP17" s="22">
        <f>'MOMO,AIRTEL,CARDS'!AJO8</f>
        <v>0</v>
      </c>
      <c r="AJQ17" s="22">
        <f>'MOMO,AIRTEL,CARDS'!AJP8</f>
        <v>0</v>
      </c>
      <c r="AJR17" s="22">
        <f>'MOMO,AIRTEL,CARDS'!AJQ8</f>
        <v>0</v>
      </c>
      <c r="AJS17" s="22">
        <f>'MOMO,AIRTEL,CARDS'!AJR8</f>
        <v>0</v>
      </c>
      <c r="AJT17" s="22">
        <f>'MOMO,AIRTEL,CARDS'!AJS8</f>
        <v>0</v>
      </c>
      <c r="AJU17" s="22">
        <f>'MOMO,AIRTEL,CARDS'!AJT8</f>
        <v>0</v>
      </c>
      <c r="AJV17" s="22">
        <f>'MOMO,AIRTEL,CARDS'!AJU8</f>
        <v>0</v>
      </c>
      <c r="AJW17" s="22">
        <f>'MOMO,AIRTEL,CARDS'!AJV8</f>
        <v>0</v>
      </c>
      <c r="AJX17" s="22">
        <f>'MOMO,AIRTEL,CARDS'!AJW8</f>
        <v>0</v>
      </c>
      <c r="AJY17" s="22">
        <f>'MOMO,AIRTEL,CARDS'!AJX8</f>
        <v>0</v>
      </c>
      <c r="AJZ17" s="22">
        <f>'MOMO,AIRTEL,CARDS'!AJY8</f>
        <v>0</v>
      </c>
      <c r="AKA17" s="22">
        <f>'MOMO,AIRTEL,CARDS'!AJZ8</f>
        <v>0</v>
      </c>
      <c r="AKB17" s="22">
        <f>'MOMO,AIRTEL,CARDS'!AKA8</f>
        <v>0</v>
      </c>
      <c r="AKC17" s="22">
        <f>'MOMO,AIRTEL,CARDS'!AKB8</f>
        <v>0</v>
      </c>
      <c r="AKD17" s="22">
        <f>'MOMO,AIRTEL,CARDS'!AKC8</f>
        <v>0</v>
      </c>
      <c r="AKE17" s="22">
        <f>'MOMO,AIRTEL,CARDS'!AKD8</f>
        <v>0</v>
      </c>
      <c r="AKF17" s="22">
        <f>'MOMO,AIRTEL,CARDS'!AKE8</f>
        <v>0</v>
      </c>
      <c r="AKG17" s="22">
        <f>'MOMO,AIRTEL,CARDS'!AKF8</f>
        <v>0</v>
      </c>
      <c r="AKH17" s="22">
        <f>'MOMO,AIRTEL,CARDS'!AKG8</f>
        <v>0</v>
      </c>
      <c r="AKI17" s="22">
        <f>'MOMO,AIRTEL,CARDS'!AKH8</f>
        <v>0</v>
      </c>
      <c r="AKJ17" s="22">
        <f>'MOMO,AIRTEL,CARDS'!AKI8</f>
        <v>0</v>
      </c>
      <c r="AKK17" s="22">
        <f>'MOMO,AIRTEL,CARDS'!AKJ8</f>
        <v>0</v>
      </c>
      <c r="AKL17" s="22">
        <f>'MOMO,AIRTEL,CARDS'!AKK8</f>
        <v>0</v>
      </c>
      <c r="AKM17" s="22">
        <f>'MOMO,AIRTEL,CARDS'!AKL8</f>
        <v>0</v>
      </c>
      <c r="AKN17" s="127">
        <f t="shared" si="11"/>
        <v>0</v>
      </c>
      <c r="AKO17" s="22">
        <f>'MOMO,AIRTEL,CARDS'!AKN8</f>
        <v>0</v>
      </c>
      <c r="AKP17" s="22">
        <f>'MOMO,AIRTEL,CARDS'!AKO8</f>
        <v>0</v>
      </c>
      <c r="AKQ17" s="22">
        <f>'MOMO,AIRTEL,CARDS'!AKP8</f>
        <v>0</v>
      </c>
      <c r="AKR17" s="22">
        <f>'MOMO,AIRTEL,CARDS'!AKQ8</f>
        <v>0</v>
      </c>
      <c r="AKS17" s="22">
        <f>'MOMO,AIRTEL,CARDS'!AKR8</f>
        <v>0</v>
      </c>
      <c r="AKT17" s="22">
        <f>'MOMO,AIRTEL,CARDS'!AKS8</f>
        <v>0</v>
      </c>
      <c r="AKU17" s="22">
        <f>'MOMO,AIRTEL,CARDS'!AKT8</f>
        <v>0</v>
      </c>
      <c r="AKV17" s="22">
        <f>'MOMO,AIRTEL,CARDS'!AKU8</f>
        <v>0</v>
      </c>
      <c r="AKW17" s="22">
        <f>'MOMO,AIRTEL,CARDS'!AKV8</f>
        <v>0</v>
      </c>
      <c r="AKX17" s="22">
        <f>'MOMO,AIRTEL,CARDS'!AKW8</f>
        <v>0</v>
      </c>
      <c r="AKY17" s="22">
        <f>'MOMO,AIRTEL,CARDS'!AKX8</f>
        <v>0</v>
      </c>
      <c r="AKZ17" s="22">
        <f>'MOMO,AIRTEL,CARDS'!AKY8</f>
        <v>0</v>
      </c>
      <c r="ALA17" s="22">
        <f>'MOMO,AIRTEL,CARDS'!AKZ8</f>
        <v>0</v>
      </c>
      <c r="ALB17" s="22">
        <f>'MOMO,AIRTEL,CARDS'!ALA8</f>
        <v>0</v>
      </c>
      <c r="ALC17" s="22">
        <f>'MOMO,AIRTEL,CARDS'!ALB8</f>
        <v>0</v>
      </c>
      <c r="ALD17" s="22">
        <f>'MOMO,AIRTEL,CARDS'!ALC8</f>
        <v>0</v>
      </c>
      <c r="ALE17" s="22">
        <f>'MOMO,AIRTEL,CARDS'!ALD8</f>
        <v>0</v>
      </c>
      <c r="ALF17" s="22">
        <f>'MOMO,AIRTEL,CARDS'!ALE8</f>
        <v>0</v>
      </c>
      <c r="ALG17" s="22">
        <f>'MOMO,AIRTEL,CARDS'!ALF8</f>
        <v>0</v>
      </c>
      <c r="ALH17" s="22">
        <f>'MOMO,AIRTEL,CARDS'!ALG8</f>
        <v>0</v>
      </c>
      <c r="ALI17" s="22">
        <f>'MOMO,AIRTEL,CARDS'!ALH8</f>
        <v>0</v>
      </c>
      <c r="ALJ17" s="22">
        <f>'MOMO,AIRTEL,CARDS'!ALI8</f>
        <v>0</v>
      </c>
      <c r="ALK17" s="22">
        <f>'MOMO,AIRTEL,CARDS'!ALJ8</f>
        <v>0</v>
      </c>
      <c r="ALL17" s="22">
        <f>'MOMO,AIRTEL,CARDS'!ALK8</f>
        <v>0</v>
      </c>
      <c r="ALM17" s="22">
        <f>'MOMO,AIRTEL,CARDS'!ALL8</f>
        <v>0</v>
      </c>
      <c r="ALN17" s="22">
        <f>'MOMO,AIRTEL,CARDS'!ALM8</f>
        <v>0</v>
      </c>
      <c r="ALO17" s="22">
        <f>'MOMO,AIRTEL,CARDS'!ALN8</f>
        <v>0</v>
      </c>
      <c r="ALP17" s="22">
        <f>'MOMO,AIRTEL,CARDS'!ALO8</f>
        <v>0</v>
      </c>
      <c r="ALQ17" s="22">
        <f>'MOMO,AIRTEL,CARDS'!ALP8</f>
        <v>0</v>
      </c>
      <c r="ALR17" s="22">
        <f>'MOMO,AIRTEL,CARDS'!ALQ8</f>
        <v>0</v>
      </c>
      <c r="ALS17" s="22">
        <f>'MOMO,AIRTEL,CARDS'!ALR8</f>
        <v>0</v>
      </c>
      <c r="ALT17" s="127">
        <f t="shared" si="12"/>
        <v>0</v>
      </c>
      <c r="ALU17" s="22">
        <f>'MOMO,AIRTEL,CARDS'!ALT8</f>
        <v>0</v>
      </c>
      <c r="ALV17" s="22">
        <f>'MOMO,AIRTEL,CARDS'!ALU8</f>
        <v>0</v>
      </c>
      <c r="ALW17" s="22">
        <f>'MOMO,AIRTEL,CARDS'!ALV8</f>
        <v>0</v>
      </c>
      <c r="ALX17" s="22">
        <f>'MOMO,AIRTEL,CARDS'!ALW8</f>
        <v>0</v>
      </c>
      <c r="ALY17" s="22">
        <f>'MOMO,AIRTEL,CARDS'!ALX8</f>
        <v>0</v>
      </c>
      <c r="ALZ17" s="22">
        <f>'MOMO,AIRTEL,CARDS'!ALY8</f>
        <v>0</v>
      </c>
      <c r="AMA17" s="22">
        <f>'MOMO,AIRTEL,CARDS'!ALZ8</f>
        <v>0</v>
      </c>
      <c r="AMB17" s="22">
        <f>'MOMO,AIRTEL,CARDS'!AMA8</f>
        <v>0</v>
      </c>
      <c r="AMC17" s="22">
        <f>'MOMO,AIRTEL,CARDS'!AMB8</f>
        <v>0</v>
      </c>
      <c r="AMD17" s="22">
        <f>'MOMO,AIRTEL,CARDS'!AMC8</f>
        <v>0</v>
      </c>
      <c r="AME17" s="22">
        <f>'MOMO,AIRTEL,CARDS'!AMD8</f>
        <v>0</v>
      </c>
      <c r="AMF17" s="22">
        <f>'MOMO,AIRTEL,CARDS'!AME8</f>
        <v>0</v>
      </c>
      <c r="AMG17" s="22">
        <f>'MOMO,AIRTEL,CARDS'!AMF8</f>
        <v>0</v>
      </c>
      <c r="AMH17" s="22">
        <f>'MOMO,AIRTEL,CARDS'!AMG8</f>
        <v>0</v>
      </c>
      <c r="AMI17" s="22">
        <f>'MOMO,AIRTEL,CARDS'!AMH8</f>
        <v>0</v>
      </c>
      <c r="AMJ17" s="22">
        <f>'MOMO,AIRTEL,CARDS'!AMI8</f>
        <v>0</v>
      </c>
      <c r="AMK17" s="22">
        <f>'MOMO,AIRTEL,CARDS'!AMJ8</f>
        <v>0</v>
      </c>
      <c r="AML17" s="22">
        <f>'MOMO,AIRTEL,CARDS'!AMK8</f>
        <v>0</v>
      </c>
      <c r="AMM17" s="22">
        <f>'MOMO,AIRTEL,CARDS'!AML8</f>
        <v>0</v>
      </c>
      <c r="AMN17" s="22">
        <f>'MOMO,AIRTEL,CARDS'!AMM8</f>
        <v>0</v>
      </c>
      <c r="AMO17" s="22">
        <f>'MOMO,AIRTEL,CARDS'!AMN8</f>
        <v>0</v>
      </c>
      <c r="AMP17" s="22">
        <f>'MOMO,AIRTEL,CARDS'!AMO8</f>
        <v>0</v>
      </c>
      <c r="AMQ17" s="22">
        <f>'MOMO,AIRTEL,CARDS'!AMP8</f>
        <v>0</v>
      </c>
      <c r="AMR17" s="22">
        <f>'MOMO,AIRTEL,CARDS'!AMQ8</f>
        <v>0</v>
      </c>
      <c r="AMS17" s="22">
        <f>'MOMO,AIRTEL,CARDS'!AMR8</f>
        <v>0</v>
      </c>
      <c r="AMT17" s="22">
        <f>'MOMO,AIRTEL,CARDS'!AMS8</f>
        <v>0</v>
      </c>
      <c r="AMU17" s="22">
        <f>'MOMO,AIRTEL,CARDS'!AMT8</f>
        <v>0</v>
      </c>
      <c r="AMV17" s="22">
        <f>'MOMO,AIRTEL,CARDS'!AMU8</f>
        <v>0</v>
      </c>
      <c r="AMW17" s="22">
        <f>'MOMO,AIRTEL,CARDS'!AMV8</f>
        <v>0</v>
      </c>
      <c r="AMX17" s="22">
        <f>'MOMO,AIRTEL,CARDS'!AMW8</f>
        <v>0</v>
      </c>
      <c r="AMY17" s="127">
        <f t="shared" si="13"/>
        <v>0</v>
      </c>
      <c r="AMZ17" s="22">
        <f>'MOMO,AIRTEL,CARDS'!AMY8</f>
        <v>0</v>
      </c>
      <c r="ANA17" s="22">
        <f>'MOMO,AIRTEL,CARDS'!AMZ8</f>
        <v>0</v>
      </c>
      <c r="ANB17" s="22">
        <f>'MOMO,AIRTEL,CARDS'!ANA8</f>
        <v>0</v>
      </c>
      <c r="ANC17" s="22">
        <f>'MOMO,AIRTEL,CARDS'!ANB8</f>
        <v>0</v>
      </c>
      <c r="AND17" s="22">
        <f>'MOMO,AIRTEL,CARDS'!ANC8</f>
        <v>0</v>
      </c>
      <c r="ANE17" s="22">
        <f>'MOMO,AIRTEL,CARDS'!AND8</f>
        <v>0</v>
      </c>
      <c r="ANF17" s="22">
        <f>'MOMO,AIRTEL,CARDS'!ANE8</f>
        <v>0</v>
      </c>
      <c r="ANG17" s="22">
        <f>'MOMO,AIRTEL,CARDS'!ANF8</f>
        <v>0</v>
      </c>
      <c r="ANH17" s="22">
        <f>'MOMO,AIRTEL,CARDS'!ANG8</f>
        <v>0</v>
      </c>
      <c r="ANI17" s="22">
        <f>'MOMO,AIRTEL,CARDS'!ANH8</f>
        <v>0</v>
      </c>
      <c r="ANJ17" s="22">
        <f>'MOMO,AIRTEL,CARDS'!ANI8</f>
        <v>0</v>
      </c>
      <c r="ANK17" s="22">
        <f>'MOMO,AIRTEL,CARDS'!ANJ8</f>
        <v>0</v>
      </c>
      <c r="ANL17" s="22">
        <f>'MOMO,AIRTEL,CARDS'!ANK8</f>
        <v>0</v>
      </c>
      <c r="ANM17" s="22">
        <f>'MOMO,AIRTEL,CARDS'!ANL8</f>
        <v>0</v>
      </c>
      <c r="ANN17" s="22">
        <f>'MOMO,AIRTEL,CARDS'!ANM8</f>
        <v>0</v>
      </c>
      <c r="ANO17" s="22">
        <f>'MOMO,AIRTEL,CARDS'!ANN8</f>
        <v>0</v>
      </c>
      <c r="ANP17" s="22">
        <f>'MOMO,AIRTEL,CARDS'!ANO8</f>
        <v>0</v>
      </c>
      <c r="ANQ17" s="22">
        <f>'MOMO,AIRTEL,CARDS'!ANP8</f>
        <v>0</v>
      </c>
      <c r="ANR17" s="22">
        <f>'MOMO,AIRTEL,CARDS'!ANQ8</f>
        <v>0</v>
      </c>
      <c r="ANS17" s="22">
        <f>'MOMO,AIRTEL,CARDS'!ANR8</f>
        <v>0</v>
      </c>
      <c r="ANT17" s="22">
        <f>'MOMO,AIRTEL,CARDS'!ANS8</f>
        <v>0</v>
      </c>
      <c r="ANU17" s="22">
        <f>'MOMO,AIRTEL,CARDS'!ANT8</f>
        <v>0</v>
      </c>
      <c r="ANV17" s="22">
        <f>'MOMO,AIRTEL,CARDS'!ANU8</f>
        <v>0</v>
      </c>
      <c r="ANW17" s="22">
        <f>'MOMO,AIRTEL,CARDS'!ANV8</f>
        <v>0</v>
      </c>
      <c r="ANX17" s="22">
        <f>'MOMO,AIRTEL,CARDS'!ANW8</f>
        <v>0</v>
      </c>
      <c r="ANY17" s="22">
        <f>'MOMO,AIRTEL,CARDS'!ANX8</f>
        <v>0</v>
      </c>
      <c r="ANZ17" s="22">
        <f>'MOMO,AIRTEL,CARDS'!ANY8</f>
        <v>0</v>
      </c>
      <c r="AOA17" s="22">
        <f>'MOMO,AIRTEL,CARDS'!ANZ8</f>
        <v>0</v>
      </c>
      <c r="AOB17" s="22">
        <f>'MOMO,AIRTEL,CARDS'!AOA8</f>
        <v>0</v>
      </c>
      <c r="AOC17" s="22">
        <f>'MOMO,AIRTEL,CARDS'!AOB8</f>
        <v>0</v>
      </c>
    </row>
    <row r="18" spans="1:1069" x14ac:dyDescent="0.2">
      <c r="A18" s="160"/>
      <c r="B18" s="23" t="s">
        <v>1514</v>
      </c>
      <c r="C18" s="24">
        <f t="shared" ref="C18:AG18" si="172">SUM(C13:C17)</f>
        <v>5965658</v>
      </c>
      <c r="D18" s="24">
        <f t="shared" si="172"/>
        <v>4668335</v>
      </c>
      <c r="E18" s="24">
        <f t="shared" si="172"/>
        <v>4221750</v>
      </c>
      <c r="F18" s="24">
        <f t="shared" si="172"/>
        <v>4847151</v>
      </c>
      <c r="G18" s="24">
        <f t="shared" si="172"/>
        <v>4322940</v>
      </c>
      <c r="H18" s="24">
        <f t="shared" si="172"/>
        <v>5534268</v>
      </c>
      <c r="I18" s="24">
        <f t="shared" si="172"/>
        <v>3444505</v>
      </c>
      <c r="J18" s="24">
        <f t="shared" si="172"/>
        <v>3790750</v>
      </c>
      <c r="K18" s="24">
        <f t="shared" si="172"/>
        <v>5682000</v>
      </c>
      <c r="L18" s="24">
        <f t="shared" si="172"/>
        <v>3714500</v>
      </c>
      <c r="M18" s="24">
        <f t="shared" si="172"/>
        <v>5528601</v>
      </c>
      <c r="N18" s="24">
        <f t="shared" si="172"/>
        <v>3602700</v>
      </c>
      <c r="O18" s="24">
        <f t="shared" si="172"/>
        <v>3111895</v>
      </c>
      <c r="P18" s="24">
        <f t="shared" si="172"/>
        <v>2915370</v>
      </c>
      <c r="Q18" s="24">
        <f t="shared" si="172"/>
        <v>4100500</v>
      </c>
      <c r="R18" s="24">
        <f t="shared" si="172"/>
        <v>2330597</v>
      </c>
      <c r="S18" s="24">
        <f t="shared" si="172"/>
        <v>4983700</v>
      </c>
      <c r="T18" s="24">
        <f t="shared" si="172"/>
        <v>3113560</v>
      </c>
      <c r="U18" s="24">
        <f t="shared" si="172"/>
        <v>3191250</v>
      </c>
      <c r="V18" s="24">
        <f t="shared" si="172"/>
        <v>2333800</v>
      </c>
      <c r="W18" s="24">
        <f t="shared" si="172"/>
        <v>4122640</v>
      </c>
      <c r="X18" s="24">
        <f t="shared" si="172"/>
        <v>2478000</v>
      </c>
      <c r="Y18" s="24">
        <f t="shared" si="172"/>
        <v>5422381</v>
      </c>
      <c r="Z18" s="24">
        <f t="shared" si="172"/>
        <v>4338354</v>
      </c>
      <c r="AA18" s="24">
        <f t="shared" si="172"/>
        <v>4370435</v>
      </c>
      <c r="AB18" s="24">
        <f t="shared" si="172"/>
        <v>2989900</v>
      </c>
      <c r="AC18" s="24">
        <f t="shared" si="172"/>
        <v>3606717</v>
      </c>
      <c r="AD18" s="24">
        <f t="shared" si="172"/>
        <v>2641450</v>
      </c>
      <c r="AE18" s="24">
        <f t="shared" si="172"/>
        <v>4013520</v>
      </c>
      <c r="AF18" s="24">
        <f t="shared" si="172"/>
        <v>2828830</v>
      </c>
      <c r="AG18" s="24">
        <f t="shared" si="172"/>
        <v>3405987</v>
      </c>
      <c r="AH18" s="94">
        <f t="shared" si="90"/>
        <v>121622044</v>
      </c>
      <c r="AI18" s="24">
        <f t="shared" ref="AI18:BL18" si="173">SUM(AI13:AI17)</f>
        <v>3248524</v>
      </c>
      <c r="AJ18" s="24">
        <f t="shared" si="173"/>
        <v>2961628</v>
      </c>
      <c r="AK18" s="24">
        <f t="shared" si="173"/>
        <v>4018036</v>
      </c>
      <c r="AL18" s="24">
        <f t="shared" si="173"/>
        <v>4796541</v>
      </c>
      <c r="AM18" s="24">
        <f t="shared" si="173"/>
        <v>4218277</v>
      </c>
      <c r="AN18" s="24">
        <f t="shared" si="173"/>
        <v>2863350</v>
      </c>
      <c r="AO18" s="24">
        <f t="shared" si="173"/>
        <v>3823591</v>
      </c>
      <c r="AP18" s="24">
        <f t="shared" si="173"/>
        <v>4843010</v>
      </c>
      <c r="AQ18" s="24">
        <f t="shared" si="173"/>
        <v>3479600</v>
      </c>
      <c r="AR18" s="24">
        <f t="shared" si="173"/>
        <v>4317650</v>
      </c>
      <c r="AS18" s="24">
        <f t="shared" si="173"/>
        <v>2227322</v>
      </c>
      <c r="AT18" s="24">
        <f t="shared" si="173"/>
        <v>1946600</v>
      </c>
      <c r="AU18" s="24">
        <f t="shared" si="173"/>
        <v>2676900</v>
      </c>
      <c r="AV18" s="24">
        <f t="shared" si="173"/>
        <v>3471400</v>
      </c>
      <c r="AW18" s="24">
        <f t="shared" si="173"/>
        <v>3763300</v>
      </c>
      <c r="AX18" s="24">
        <f t="shared" si="173"/>
        <v>3063400</v>
      </c>
      <c r="AY18" s="24">
        <f t="shared" si="173"/>
        <v>2531000</v>
      </c>
      <c r="AZ18" s="24">
        <f t="shared" si="173"/>
        <v>3649130</v>
      </c>
      <c r="BA18" s="24">
        <f t="shared" si="173"/>
        <v>3367600</v>
      </c>
      <c r="BB18" s="24">
        <f t="shared" si="173"/>
        <v>2220300</v>
      </c>
      <c r="BC18" s="24">
        <f t="shared" si="173"/>
        <v>2540950</v>
      </c>
      <c r="BD18" s="24">
        <f t="shared" si="173"/>
        <v>3124040</v>
      </c>
      <c r="BE18" s="24">
        <f t="shared" si="173"/>
        <v>3339410</v>
      </c>
      <c r="BF18" s="24">
        <f t="shared" si="173"/>
        <v>2699742</v>
      </c>
      <c r="BG18" s="24">
        <f t="shared" si="173"/>
        <v>2837958</v>
      </c>
      <c r="BH18" s="24">
        <f t="shared" si="173"/>
        <v>3783700</v>
      </c>
      <c r="BI18" s="24">
        <f t="shared" si="173"/>
        <v>2793700</v>
      </c>
      <c r="BJ18" s="24">
        <f t="shared" si="173"/>
        <v>3443893</v>
      </c>
      <c r="BK18" s="24">
        <f t="shared" si="173"/>
        <v>3636463</v>
      </c>
      <c r="BL18" s="24">
        <f t="shared" si="173"/>
        <v>3143921</v>
      </c>
      <c r="BM18" s="97">
        <f t="shared" si="92"/>
        <v>98830936</v>
      </c>
      <c r="BN18" s="24">
        <f t="shared" ref="BN18:CR18" si="174">SUM(BN13:BN17)</f>
        <v>2172500</v>
      </c>
      <c r="BO18" s="24">
        <f t="shared" si="174"/>
        <v>3049000</v>
      </c>
      <c r="BP18" s="24">
        <f t="shared" si="174"/>
        <v>3486928</v>
      </c>
      <c r="BQ18" s="24">
        <f t="shared" si="174"/>
        <v>2819000</v>
      </c>
      <c r="BR18" s="24">
        <f t="shared" si="174"/>
        <v>4747223</v>
      </c>
      <c r="BS18" s="24">
        <f t="shared" si="174"/>
        <v>3578732</v>
      </c>
      <c r="BT18" s="24">
        <f t="shared" si="174"/>
        <v>3853190</v>
      </c>
      <c r="BU18" s="24">
        <f t="shared" si="174"/>
        <v>2619390</v>
      </c>
      <c r="BV18" s="24">
        <f t="shared" si="174"/>
        <v>5266900</v>
      </c>
      <c r="BW18" s="24">
        <f t="shared" si="174"/>
        <v>3116750</v>
      </c>
      <c r="BX18" s="24">
        <f t="shared" si="174"/>
        <v>2558830</v>
      </c>
      <c r="BY18" s="24">
        <f t="shared" si="174"/>
        <v>3760000</v>
      </c>
      <c r="BZ18" s="24">
        <f t="shared" si="174"/>
        <v>3866941</v>
      </c>
      <c r="CA18" s="24">
        <f t="shared" si="174"/>
        <v>4327852</v>
      </c>
      <c r="CB18" s="24">
        <f t="shared" si="174"/>
        <v>3035500</v>
      </c>
      <c r="CC18" s="24">
        <f t="shared" si="174"/>
        <v>2948500</v>
      </c>
      <c r="CD18" s="24">
        <f t="shared" si="174"/>
        <v>2952100</v>
      </c>
      <c r="CE18" s="24">
        <f t="shared" si="174"/>
        <v>3344905</v>
      </c>
      <c r="CF18" s="24">
        <f t="shared" si="174"/>
        <v>3092235</v>
      </c>
      <c r="CG18" s="24">
        <f t="shared" si="174"/>
        <v>2752824</v>
      </c>
      <c r="CH18" s="24">
        <f t="shared" si="174"/>
        <v>2675734</v>
      </c>
      <c r="CI18" s="24">
        <f t="shared" si="174"/>
        <v>2336000</v>
      </c>
      <c r="CJ18" s="24">
        <f t="shared" si="174"/>
        <v>1924500</v>
      </c>
      <c r="CK18" s="24">
        <f t="shared" si="174"/>
        <v>3114400</v>
      </c>
      <c r="CL18" s="24">
        <f t="shared" si="174"/>
        <v>3513650</v>
      </c>
      <c r="CM18" s="24">
        <f t="shared" si="174"/>
        <v>3723900</v>
      </c>
      <c r="CN18" s="24">
        <f t="shared" si="174"/>
        <v>3510150</v>
      </c>
      <c r="CO18" s="24">
        <f t="shared" si="174"/>
        <v>3441200</v>
      </c>
      <c r="CP18" s="24">
        <f t="shared" si="174"/>
        <v>2111502</v>
      </c>
      <c r="CQ18" s="24">
        <f t="shared" si="174"/>
        <v>3583121</v>
      </c>
      <c r="CR18" s="24">
        <f t="shared" si="174"/>
        <v>2562900</v>
      </c>
      <c r="CS18" s="111">
        <f t="shared" si="10"/>
        <v>99846357</v>
      </c>
      <c r="CT18" s="24">
        <f t="shared" ref="CT18:DW18" si="175">SUM(CT13:CT17)</f>
        <v>4079300</v>
      </c>
      <c r="CU18" s="24">
        <f t="shared" si="175"/>
        <v>3946902</v>
      </c>
      <c r="CV18" s="24">
        <f t="shared" si="175"/>
        <v>2956953</v>
      </c>
      <c r="CW18" s="24">
        <f t="shared" si="175"/>
        <v>3375088</v>
      </c>
      <c r="CX18" s="24">
        <f t="shared" si="175"/>
        <v>3427603</v>
      </c>
      <c r="CY18" s="24">
        <f t="shared" si="175"/>
        <v>4349996</v>
      </c>
      <c r="CZ18" s="24">
        <f t="shared" si="175"/>
        <v>4378901</v>
      </c>
      <c r="DA18" s="24">
        <f t="shared" si="175"/>
        <v>2105943</v>
      </c>
      <c r="DB18" s="24">
        <f t="shared" si="175"/>
        <v>3975945</v>
      </c>
      <c r="DC18" s="24">
        <f t="shared" si="175"/>
        <v>3362573</v>
      </c>
      <c r="DD18" s="24">
        <f t="shared" si="175"/>
        <v>3043170</v>
      </c>
      <c r="DE18" s="24">
        <f t="shared" si="175"/>
        <v>2371469</v>
      </c>
      <c r="DF18" s="24">
        <f t="shared" si="175"/>
        <v>3094938</v>
      </c>
      <c r="DG18" s="24">
        <f t="shared" si="175"/>
        <v>4205923</v>
      </c>
      <c r="DH18" s="24">
        <f t="shared" si="175"/>
        <v>3333300</v>
      </c>
      <c r="DI18" s="24">
        <f t="shared" si="175"/>
        <v>1977900</v>
      </c>
      <c r="DJ18" s="24">
        <f t="shared" si="175"/>
        <v>6783850</v>
      </c>
      <c r="DK18" s="24">
        <f t="shared" si="175"/>
        <v>2998553</v>
      </c>
      <c r="DL18" s="24">
        <f t="shared" si="175"/>
        <v>2899500</v>
      </c>
      <c r="DM18" s="24">
        <f t="shared" si="175"/>
        <v>5055278</v>
      </c>
      <c r="DN18" s="24">
        <f t="shared" si="175"/>
        <v>2985250</v>
      </c>
      <c r="DO18" s="24">
        <f t="shared" si="175"/>
        <v>4382282</v>
      </c>
      <c r="DP18" s="24">
        <f t="shared" si="175"/>
        <v>4202300</v>
      </c>
      <c r="DQ18" s="24">
        <f t="shared" si="175"/>
        <v>2234000</v>
      </c>
      <c r="DR18" s="24">
        <f t="shared" si="175"/>
        <v>4524800</v>
      </c>
      <c r="DS18" s="24">
        <f t="shared" si="175"/>
        <v>1988758</v>
      </c>
      <c r="DT18" s="24">
        <f t="shared" si="175"/>
        <v>7100500</v>
      </c>
      <c r="DU18" s="24">
        <f t="shared" si="175"/>
        <v>3682153</v>
      </c>
      <c r="DV18" s="24">
        <f t="shared" si="175"/>
        <v>1698650</v>
      </c>
      <c r="DW18" s="24">
        <f t="shared" si="175"/>
        <v>3028400</v>
      </c>
      <c r="DX18" s="119">
        <f t="shared" si="95"/>
        <v>107550178</v>
      </c>
      <c r="DY18" s="24">
        <f t="shared" ref="DY18:FC18" si="176">SUM(DY13:DY17)</f>
        <v>4533003</v>
      </c>
      <c r="DZ18" s="24">
        <f t="shared" si="176"/>
        <v>4375786</v>
      </c>
      <c r="EA18" s="24">
        <f t="shared" si="176"/>
        <v>1717900</v>
      </c>
      <c r="EB18" s="24">
        <f t="shared" si="176"/>
        <v>1651500</v>
      </c>
      <c r="EC18" s="24">
        <f t="shared" si="176"/>
        <v>2763500</v>
      </c>
      <c r="ED18" s="24">
        <f t="shared" si="176"/>
        <v>2539000</v>
      </c>
      <c r="EE18" s="24">
        <f t="shared" si="176"/>
        <v>2623400</v>
      </c>
      <c r="EF18" s="24">
        <f t="shared" si="176"/>
        <v>3229880</v>
      </c>
      <c r="EG18" s="24">
        <f t="shared" si="176"/>
        <v>3581850</v>
      </c>
      <c r="EH18" s="24">
        <f t="shared" si="176"/>
        <v>3683800</v>
      </c>
      <c r="EI18" s="24">
        <f t="shared" si="176"/>
        <v>4387013</v>
      </c>
      <c r="EJ18" s="24">
        <f t="shared" si="176"/>
        <v>5609219</v>
      </c>
      <c r="EK18" s="24">
        <f t="shared" si="176"/>
        <v>4431712</v>
      </c>
      <c r="EL18" s="24">
        <f t="shared" si="176"/>
        <v>3000850</v>
      </c>
      <c r="EM18" s="24">
        <f t="shared" si="176"/>
        <v>5391922</v>
      </c>
      <c r="EN18" s="24">
        <f t="shared" si="176"/>
        <v>4267159</v>
      </c>
      <c r="EO18" s="24">
        <f t="shared" si="176"/>
        <v>3274450</v>
      </c>
      <c r="EP18" s="24">
        <f t="shared" si="176"/>
        <v>4572900</v>
      </c>
      <c r="EQ18" s="24">
        <f t="shared" si="176"/>
        <v>2861349</v>
      </c>
      <c r="ER18" s="24">
        <f t="shared" si="176"/>
        <v>3406200</v>
      </c>
      <c r="ES18" s="24">
        <f t="shared" si="176"/>
        <v>7073300</v>
      </c>
      <c r="ET18" s="24">
        <f t="shared" si="176"/>
        <v>3538165</v>
      </c>
      <c r="EU18" s="24">
        <f t="shared" si="176"/>
        <v>4422042</v>
      </c>
      <c r="EV18" s="24">
        <f t="shared" si="176"/>
        <v>3041240</v>
      </c>
      <c r="EW18" s="24">
        <f t="shared" si="176"/>
        <v>4115749</v>
      </c>
      <c r="EX18" s="24">
        <f t="shared" si="176"/>
        <v>2542000</v>
      </c>
      <c r="EY18" s="24">
        <f t="shared" si="176"/>
        <v>2424705</v>
      </c>
      <c r="EZ18" s="24">
        <f t="shared" si="176"/>
        <v>4210278</v>
      </c>
      <c r="FA18" s="24">
        <f t="shared" si="176"/>
        <v>4574350</v>
      </c>
      <c r="FB18" s="24">
        <f t="shared" si="176"/>
        <v>4310521</v>
      </c>
      <c r="FC18" s="24">
        <f t="shared" si="176"/>
        <v>2810040</v>
      </c>
      <c r="FD18" s="128">
        <f t="shared" ref="FD18:FD24" si="177">SUM(DY18:FC18)</f>
        <v>114964783</v>
      </c>
      <c r="FE18" s="24">
        <f t="shared" ref="FE18:GI18" si="178">SUM(FE13:FE17)</f>
        <v>3287928</v>
      </c>
      <c r="FF18" s="24">
        <f t="shared" si="178"/>
        <v>3744500</v>
      </c>
      <c r="FG18" s="24">
        <f t="shared" si="178"/>
        <v>3956500</v>
      </c>
      <c r="FH18" s="24">
        <f t="shared" si="178"/>
        <v>2791961</v>
      </c>
      <c r="FI18" s="24">
        <f t="shared" si="178"/>
        <v>2578124</v>
      </c>
      <c r="FJ18" s="24">
        <f t="shared" si="178"/>
        <v>3013400</v>
      </c>
      <c r="FK18" s="24">
        <f t="shared" si="178"/>
        <v>3033200</v>
      </c>
      <c r="FL18" s="24">
        <f t="shared" si="178"/>
        <v>2864488</v>
      </c>
      <c r="FM18" s="24">
        <f t="shared" si="178"/>
        <v>3509362</v>
      </c>
      <c r="FN18" s="24">
        <f t="shared" si="178"/>
        <v>2186689</v>
      </c>
      <c r="FO18" s="24">
        <f t="shared" si="178"/>
        <v>2794600</v>
      </c>
      <c r="FP18" s="24">
        <f t="shared" si="178"/>
        <v>5027194</v>
      </c>
      <c r="FQ18" s="24">
        <f t="shared" si="178"/>
        <v>3170633</v>
      </c>
      <c r="FR18" s="24">
        <f t="shared" si="178"/>
        <v>3534400</v>
      </c>
      <c r="FS18" s="24">
        <f t="shared" si="178"/>
        <v>5135367</v>
      </c>
      <c r="FT18" s="24">
        <f t="shared" si="178"/>
        <v>1861500</v>
      </c>
      <c r="FU18" s="24">
        <f t="shared" si="178"/>
        <v>4096500</v>
      </c>
      <c r="FV18" s="24">
        <f t="shared" si="178"/>
        <v>3631750</v>
      </c>
      <c r="FW18" s="24">
        <f t="shared" si="178"/>
        <v>2683000</v>
      </c>
      <c r="FX18" s="24">
        <f t="shared" si="178"/>
        <v>2765500</v>
      </c>
      <c r="FY18" s="24">
        <f t="shared" si="178"/>
        <v>3384029</v>
      </c>
      <c r="FZ18" s="24">
        <f t="shared" si="178"/>
        <v>3512500</v>
      </c>
      <c r="GA18" s="24">
        <f t="shared" si="178"/>
        <v>5032549</v>
      </c>
      <c r="GB18" s="24">
        <f t="shared" si="178"/>
        <v>2639542</v>
      </c>
      <c r="GC18" s="24">
        <f t="shared" si="178"/>
        <v>3222000</v>
      </c>
      <c r="GD18" s="24">
        <f t="shared" si="178"/>
        <v>5198192</v>
      </c>
      <c r="GE18" s="24">
        <f t="shared" si="178"/>
        <v>4470880</v>
      </c>
      <c r="GF18" s="24">
        <f t="shared" si="178"/>
        <v>3978500</v>
      </c>
      <c r="GG18" s="24">
        <f t="shared" si="178"/>
        <v>3421179</v>
      </c>
      <c r="GH18" s="24">
        <f t="shared" si="178"/>
        <v>3531000</v>
      </c>
      <c r="GI18" s="24">
        <f t="shared" si="178"/>
        <v>4853000</v>
      </c>
      <c r="GJ18" s="127">
        <f t="shared" si="99"/>
        <v>108909967</v>
      </c>
      <c r="GK18" s="24">
        <f t="shared" ref="GK18:HM18" si="179">SUM(GK13:GK17)</f>
        <v>3947200</v>
      </c>
      <c r="GL18" s="24">
        <f t="shared" si="179"/>
        <v>4308530</v>
      </c>
      <c r="GM18" s="24">
        <f t="shared" si="179"/>
        <v>3255177</v>
      </c>
      <c r="GN18" s="24">
        <f t="shared" si="179"/>
        <v>2445946</v>
      </c>
      <c r="GO18" s="24">
        <f t="shared" si="179"/>
        <v>3569400</v>
      </c>
      <c r="GP18" s="24">
        <f t="shared" si="179"/>
        <v>4568830</v>
      </c>
      <c r="GQ18" s="24">
        <f t="shared" si="179"/>
        <v>5121700</v>
      </c>
      <c r="GR18" s="24">
        <f t="shared" si="179"/>
        <v>3709469</v>
      </c>
      <c r="GS18" s="24">
        <f t="shared" si="179"/>
        <v>3508307</v>
      </c>
      <c r="GT18" s="24">
        <f t="shared" si="179"/>
        <v>4976000</v>
      </c>
      <c r="GU18" s="24">
        <f t="shared" si="179"/>
        <v>2461912</v>
      </c>
      <c r="GV18" s="24">
        <f t="shared" si="179"/>
        <v>3254542</v>
      </c>
      <c r="GW18" s="24">
        <f t="shared" si="179"/>
        <v>3109222</v>
      </c>
      <c r="GX18" s="24">
        <f t="shared" si="179"/>
        <v>3592103</v>
      </c>
      <c r="GY18" s="24">
        <f t="shared" si="179"/>
        <v>2723808</v>
      </c>
      <c r="GZ18" s="24">
        <f t="shared" si="179"/>
        <v>2854972</v>
      </c>
      <c r="HA18" s="24">
        <f t="shared" si="179"/>
        <v>4554034</v>
      </c>
      <c r="HB18" s="24">
        <f t="shared" si="179"/>
        <v>2445961</v>
      </c>
      <c r="HC18" s="24">
        <f t="shared" si="179"/>
        <v>3696500</v>
      </c>
      <c r="HD18" s="24">
        <f t="shared" si="179"/>
        <v>3605740</v>
      </c>
      <c r="HE18" s="24">
        <f t="shared" si="179"/>
        <v>2750750</v>
      </c>
      <c r="HF18" s="24">
        <f t="shared" si="179"/>
        <v>1779000</v>
      </c>
      <c r="HG18" s="24">
        <f t="shared" si="179"/>
        <v>4713610</v>
      </c>
      <c r="HH18" s="24">
        <f t="shared" si="179"/>
        <v>4622500</v>
      </c>
      <c r="HI18" s="24">
        <f t="shared" si="179"/>
        <v>1810000</v>
      </c>
      <c r="HJ18" s="24">
        <f t="shared" si="179"/>
        <v>2975015</v>
      </c>
      <c r="HK18" s="24">
        <f t="shared" si="179"/>
        <v>2166000</v>
      </c>
      <c r="HL18" s="24">
        <f t="shared" si="179"/>
        <v>3611625</v>
      </c>
      <c r="HM18" s="24">
        <f t="shared" si="179"/>
        <v>3321446</v>
      </c>
      <c r="HN18" s="127">
        <f t="shared" si="101"/>
        <v>99459299</v>
      </c>
      <c r="HO18" s="24">
        <f t="shared" ref="HO18:IS18" si="180">SUM(HO13:HO17)</f>
        <v>4589689</v>
      </c>
      <c r="HP18" s="24">
        <f t="shared" si="180"/>
        <v>4270495</v>
      </c>
      <c r="HQ18" s="24">
        <f t="shared" si="180"/>
        <v>3509000</v>
      </c>
      <c r="HR18" s="24">
        <f t="shared" si="180"/>
        <v>6818558</v>
      </c>
      <c r="HS18" s="24">
        <f t="shared" si="180"/>
        <v>4620173</v>
      </c>
      <c r="HT18" s="24">
        <f t="shared" si="180"/>
        <v>3473800</v>
      </c>
      <c r="HU18" s="24">
        <f t="shared" si="180"/>
        <v>4285666</v>
      </c>
      <c r="HV18" s="24">
        <f t="shared" si="180"/>
        <v>4187924</v>
      </c>
      <c r="HW18" s="24">
        <f t="shared" si="180"/>
        <v>4994150</v>
      </c>
      <c r="HX18" s="24">
        <f t="shared" si="180"/>
        <v>2382000</v>
      </c>
      <c r="HY18" s="24">
        <f t="shared" si="180"/>
        <v>3756000</v>
      </c>
      <c r="HZ18" s="24">
        <f t="shared" si="180"/>
        <v>2443000</v>
      </c>
      <c r="IA18" s="24">
        <f t="shared" si="180"/>
        <v>3282432</v>
      </c>
      <c r="IB18" s="24">
        <f t="shared" si="180"/>
        <v>3592837</v>
      </c>
      <c r="IC18" s="24">
        <f t="shared" si="180"/>
        <v>4973650</v>
      </c>
      <c r="ID18" s="24">
        <f t="shared" si="180"/>
        <v>2956300</v>
      </c>
      <c r="IE18" s="24">
        <f t="shared" si="180"/>
        <v>2441350</v>
      </c>
      <c r="IF18" s="24">
        <f t="shared" si="180"/>
        <v>4186680</v>
      </c>
      <c r="IG18" s="24">
        <f t="shared" si="180"/>
        <v>3682400</v>
      </c>
      <c r="IH18" s="24">
        <f t="shared" si="180"/>
        <v>3043366</v>
      </c>
      <c r="II18" s="24">
        <f t="shared" si="180"/>
        <v>3882850</v>
      </c>
      <c r="IJ18" s="24">
        <f t="shared" si="180"/>
        <v>3855000</v>
      </c>
      <c r="IK18" s="24">
        <f t="shared" si="180"/>
        <v>3880981</v>
      </c>
      <c r="IL18" s="24">
        <f t="shared" si="180"/>
        <v>2414250</v>
      </c>
      <c r="IM18" s="24">
        <f t="shared" si="180"/>
        <v>5558400</v>
      </c>
      <c r="IN18" s="24">
        <f t="shared" si="180"/>
        <v>3146700</v>
      </c>
      <c r="IO18" s="24">
        <f t="shared" si="180"/>
        <v>2111517</v>
      </c>
      <c r="IP18" s="24">
        <f t="shared" si="180"/>
        <v>4299922</v>
      </c>
      <c r="IQ18" s="24">
        <f t="shared" si="180"/>
        <v>3902003</v>
      </c>
      <c r="IR18" s="24">
        <f t="shared" si="180"/>
        <v>3051500</v>
      </c>
      <c r="IS18" s="24">
        <f t="shared" si="180"/>
        <v>1495425</v>
      </c>
      <c r="IT18" s="127">
        <f t="shared" si="22"/>
        <v>115088018</v>
      </c>
      <c r="IU18" s="24">
        <f t="shared" ref="IU18:JX18" si="181">SUM(IU13:IU17)</f>
        <v>2721750</v>
      </c>
      <c r="IV18" s="24">
        <f t="shared" si="181"/>
        <v>6473159</v>
      </c>
      <c r="IW18" s="24">
        <f t="shared" si="181"/>
        <v>1561400</v>
      </c>
      <c r="IX18" s="24">
        <f t="shared" si="181"/>
        <v>3868307</v>
      </c>
      <c r="IY18" s="24">
        <f t="shared" si="181"/>
        <v>4526342</v>
      </c>
      <c r="IZ18" s="24">
        <f t="shared" si="181"/>
        <v>3308407</v>
      </c>
      <c r="JA18" s="24">
        <f t="shared" si="181"/>
        <v>3298000</v>
      </c>
      <c r="JB18" s="24">
        <f t="shared" si="181"/>
        <v>5867802</v>
      </c>
      <c r="JC18" s="24">
        <f t="shared" si="181"/>
        <v>2836351</v>
      </c>
      <c r="JD18" s="24">
        <f t="shared" si="181"/>
        <v>2583710</v>
      </c>
      <c r="JE18" s="24">
        <f t="shared" si="181"/>
        <v>4006051</v>
      </c>
      <c r="JF18" s="24">
        <f t="shared" si="181"/>
        <v>4025933</v>
      </c>
      <c r="JG18" s="24">
        <f t="shared" si="181"/>
        <v>6986465</v>
      </c>
      <c r="JH18" s="24">
        <f t="shared" si="181"/>
        <v>2687500</v>
      </c>
      <c r="JI18" s="24">
        <f t="shared" si="181"/>
        <v>3110000</v>
      </c>
      <c r="JJ18" s="24">
        <f t="shared" si="181"/>
        <v>2684780</v>
      </c>
      <c r="JK18" s="24">
        <f t="shared" si="181"/>
        <v>4099242</v>
      </c>
      <c r="JL18" s="24">
        <f t="shared" si="181"/>
        <v>2432400</v>
      </c>
      <c r="JM18" s="24">
        <f t="shared" si="181"/>
        <v>4604036</v>
      </c>
      <c r="JN18" s="24">
        <f t="shared" si="181"/>
        <v>2107500</v>
      </c>
      <c r="JO18" s="24">
        <f t="shared" si="181"/>
        <v>2427968</v>
      </c>
      <c r="JP18" s="24">
        <f t="shared" si="181"/>
        <v>7741500</v>
      </c>
      <c r="JQ18" s="24">
        <f t="shared" si="181"/>
        <v>2663530</v>
      </c>
      <c r="JR18" s="24">
        <f t="shared" si="181"/>
        <v>3126531</v>
      </c>
      <c r="JS18" s="24">
        <f t="shared" si="181"/>
        <v>2641950</v>
      </c>
      <c r="JT18" s="24">
        <f t="shared" si="181"/>
        <v>3392362</v>
      </c>
      <c r="JU18" s="24">
        <f t="shared" si="181"/>
        <v>5781291</v>
      </c>
      <c r="JV18" s="24">
        <f t="shared" si="181"/>
        <v>3513148</v>
      </c>
      <c r="JW18" s="24">
        <f t="shared" si="181"/>
        <v>5114750</v>
      </c>
      <c r="JX18" s="24">
        <f t="shared" si="181"/>
        <v>3002400</v>
      </c>
      <c r="JY18" s="127">
        <f t="shared" si="58"/>
        <v>113194565</v>
      </c>
      <c r="JZ18" s="24">
        <f t="shared" ref="JZ18:LD18" si="182">SUM(JZ13:JZ17)</f>
        <v>3646420</v>
      </c>
      <c r="KA18" s="24">
        <f t="shared" si="182"/>
        <v>3870900</v>
      </c>
      <c r="KB18" s="24">
        <f t="shared" si="182"/>
        <v>4666006</v>
      </c>
      <c r="KC18" s="24">
        <f t="shared" si="182"/>
        <v>3386116</v>
      </c>
      <c r="KD18" s="24">
        <f t="shared" si="182"/>
        <v>3083856</v>
      </c>
      <c r="KE18" s="24">
        <f t="shared" si="182"/>
        <v>4342289</v>
      </c>
      <c r="KF18" s="24">
        <f t="shared" si="182"/>
        <v>6110502</v>
      </c>
      <c r="KG18" s="24">
        <f t="shared" si="182"/>
        <v>3243430</v>
      </c>
      <c r="KH18" s="24">
        <f t="shared" si="182"/>
        <v>5030124</v>
      </c>
      <c r="KI18" s="24">
        <f t="shared" si="182"/>
        <v>4662408</v>
      </c>
      <c r="KJ18" s="24">
        <f t="shared" si="182"/>
        <v>4096230</v>
      </c>
      <c r="KK18" s="24">
        <f t="shared" si="182"/>
        <v>2349000</v>
      </c>
      <c r="KL18" s="24">
        <f t="shared" si="182"/>
        <v>11485750</v>
      </c>
      <c r="KM18" s="24">
        <f t="shared" si="182"/>
        <v>5196750</v>
      </c>
      <c r="KN18" s="24">
        <f t="shared" si="182"/>
        <v>3442307</v>
      </c>
      <c r="KO18" s="24">
        <f t="shared" si="182"/>
        <v>6382861</v>
      </c>
      <c r="KP18" s="24">
        <f t="shared" si="182"/>
        <v>3622616</v>
      </c>
      <c r="KQ18" s="24">
        <f t="shared" si="182"/>
        <v>4941800</v>
      </c>
      <c r="KR18" s="24">
        <f t="shared" si="182"/>
        <v>2641056</v>
      </c>
      <c r="KS18" s="24">
        <f t="shared" si="182"/>
        <v>4961947</v>
      </c>
      <c r="KT18" s="24">
        <f t="shared" si="182"/>
        <v>5763540</v>
      </c>
      <c r="KU18" s="24">
        <f t="shared" si="182"/>
        <v>5226670</v>
      </c>
      <c r="KV18" s="24">
        <f t="shared" si="182"/>
        <v>4232184</v>
      </c>
      <c r="KW18" s="24">
        <f t="shared" si="182"/>
        <v>4549070</v>
      </c>
      <c r="KX18" s="24">
        <f t="shared" si="182"/>
        <v>4245880</v>
      </c>
      <c r="KY18" s="24">
        <f t="shared" si="182"/>
        <v>3397358</v>
      </c>
      <c r="KZ18" s="24">
        <f t="shared" si="182"/>
        <v>5649900</v>
      </c>
      <c r="LA18" s="24">
        <f t="shared" si="182"/>
        <v>5559766</v>
      </c>
      <c r="LB18" s="24">
        <f t="shared" si="182"/>
        <v>4962289</v>
      </c>
      <c r="LC18" s="24">
        <f t="shared" si="182"/>
        <v>6799700</v>
      </c>
      <c r="LD18" s="24">
        <f t="shared" si="182"/>
        <v>5222300</v>
      </c>
      <c r="LE18" s="127">
        <f t="shared" si="60"/>
        <v>143124605</v>
      </c>
      <c r="LF18" s="24">
        <f t="shared" ref="LF18:MI18" si="183">SUM(LF13:LF17)</f>
        <v>7315074</v>
      </c>
      <c r="LG18" s="24">
        <f t="shared" si="183"/>
        <v>3674800</v>
      </c>
      <c r="LH18" s="24">
        <f t="shared" si="183"/>
        <v>4688064</v>
      </c>
      <c r="LI18" s="24">
        <f t="shared" si="183"/>
        <v>5993275</v>
      </c>
      <c r="LJ18" s="24">
        <f t="shared" si="183"/>
        <v>3748570</v>
      </c>
      <c r="LK18" s="24">
        <f t="shared" si="183"/>
        <v>3826150</v>
      </c>
      <c r="LL18" s="24">
        <f t="shared" si="183"/>
        <v>5904578</v>
      </c>
      <c r="LM18" s="24">
        <f t="shared" si="183"/>
        <v>5559823</v>
      </c>
      <c r="LN18" s="24">
        <f t="shared" si="183"/>
        <v>2134300</v>
      </c>
      <c r="LO18" s="24">
        <f t="shared" si="183"/>
        <v>4105050</v>
      </c>
      <c r="LP18" s="24">
        <f t="shared" si="183"/>
        <v>6612121</v>
      </c>
      <c r="LQ18" s="24">
        <f t="shared" si="183"/>
        <v>4352832</v>
      </c>
      <c r="LR18" s="24">
        <f t="shared" si="183"/>
        <v>3949997</v>
      </c>
      <c r="LS18" s="24">
        <f t="shared" si="183"/>
        <v>4433113</v>
      </c>
      <c r="LT18" s="24">
        <f t="shared" si="183"/>
        <v>5536093</v>
      </c>
      <c r="LU18" s="24">
        <f t="shared" si="183"/>
        <v>2744200</v>
      </c>
      <c r="LV18" s="24">
        <f t="shared" si="183"/>
        <v>4319947</v>
      </c>
      <c r="LW18" s="24">
        <f t="shared" si="183"/>
        <v>6190114</v>
      </c>
      <c r="LX18" s="24">
        <f t="shared" si="183"/>
        <v>5497509</v>
      </c>
      <c r="LY18" s="24">
        <f t="shared" si="183"/>
        <v>4596125</v>
      </c>
      <c r="LZ18" s="24">
        <f t="shared" si="183"/>
        <v>7168834</v>
      </c>
      <c r="MA18" s="24">
        <f t="shared" si="183"/>
        <v>3613250</v>
      </c>
      <c r="MB18" s="24">
        <f t="shared" si="183"/>
        <v>2393994</v>
      </c>
      <c r="MC18" s="24">
        <f t="shared" si="183"/>
        <v>4447350</v>
      </c>
      <c r="MD18" s="24">
        <f t="shared" si="183"/>
        <v>3003800</v>
      </c>
      <c r="ME18" s="24">
        <f t="shared" si="183"/>
        <v>4768677</v>
      </c>
      <c r="MF18" s="24">
        <f t="shared" si="183"/>
        <v>2119142</v>
      </c>
      <c r="MG18" s="24">
        <f t="shared" si="183"/>
        <v>6130836</v>
      </c>
      <c r="MH18" s="24">
        <f t="shared" si="183"/>
        <v>2772400</v>
      </c>
      <c r="MI18" s="24">
        <f t="shared" si="183"/>
        <v>4030205</v>
      </c>
      <c r="MJ18" s="127">
        <f t="shared" si="62"/>
        <v>135630223</v>
      </c>
      <c r="MK18" s="24">
        <f t="shared" ref="MK18:NO18" si="184">SUM(MK13:MK17)</f>
        <v>5374088</v>
      </c>
      <c r="ML18" s="24">
        <f t="shared" si="184"/>
        <v>4528050</v>
      </c>
      <c r="MM18" s="24">
        <f t="shared" si="184"/>
        <v>3410800</v>
      </c>
      <c r="MN18" s="24">
        <f t="shared" si="184"/>
        <v>3070900</v>
      </c>
      <c r="MO18" s="24">
        <f t="shared" si="184"/>
        <v>5402450</v>
      </c>
      <c r="MP18" s="24">
        <f t="shared" si="184"/>
        <v>3303867</v>
      </c>
      <c r="MQ18" s="24">
        <f t="shared" si="184"/>
        <v>4035182</v>
      </c>
      <c r="MR18" s="24">
        <f t="shared" si="184"/>
        <v>4959320</v>
      </c>
      <c r="MS18" s="24">
        <f t="shared" si="184"/>
        <v>3997501</v>
      </c>
      <c r="MT18" s="24">
        <f t="shared" si="184"/>
        <v>3649308</v>
      </c>
      <c r="MU18" s="24">
        <f t="shared" si="184"/>
        <v>5931468</v>
      </c>
      <c r="MV18" s="24">
        <f t="shared" si="184"/>
        <v>5602344</v>
      </c>
      <c r="MW18" s="24">
        <f t="shared" si="184"/>
        <v>5566603</v>
      </c>
      <c r="MX18" s="24">
        <f t="shared" si="184"/>
        <v>3050000</v>
      </c>
      <c r="MY18" s="24">
        <f t="shared" si="184"/>
        <v>4005100</v>
      </c>
      <c r="MZ18" s="24">
        <f t="shared" si="184"/>
        <v>4826950</v>
      </c>
      <c r="NA18" s="24">
        <f t="shared" si="184"/>
        <v>3135500</v>
      </c>
      <c r="NB18" s="24">
        <f t="shared" si="184"/>
        <v>4566768</v>
      </c>
      <c r="NC18" s="24">
        <f t="shared" si="184"/>
        <v>4309877</v>
      </c>
      <c r="ND18" s="24">
        <f t="shared" si="184"/>
        <v>2842000</v>
      </c>
      <c r="NE18" s="24">
        <f t="shared" si="184"/>
        <v>3603820</v>
      </c>
      <c r="NF18" s="24">
        <f t="shared" si="184"/>
        <v>4468310</v>
      </c>
      <c r="NG18" s="24">
        <f t="shared" si="184"/>
        <v>4140156</v>
      </c>
      <c r="NH18" s="24">
        <f t="shared" si="184"/>
        <v>3169000</v>
      </c>
      <c r="NI18" s="24">
        <f t="shared" si="184"/>
        <v>4181332</v>
      </c>
      <c r="NJ18" s="24">
        <f t="shared" si="184"/>
        <v>5388640</v>
      </c>
      <c r="NK18" s="24">
        <f t="shared" si="184"/>
        <v>3606604</v>
      </c>
      <c r="NL18" s="24">
        <f t="shared" si="184"/>
        <v>2383000</v>
      </c>
      <c r="NM18" s="24">
        <f t="shared" si="184"/>
        <v>3830842</v>
      </c>
      <c r="NN18" s="24">
        <f t="shared" si="184"/>
        <v>3954988</v>
      </c>
      <c r="NO18" s="24">
        <f t="shared" si="184"/>
        <v>3761338</v>
      </c>
      <c r="NP18" s="127">
        <f t="shared" si="64"/>
        <v>122682018</v>
      </c>
      <c r="NQ18" s="24">
        <f t="shared" ref="NQ18:OU18" si="185">SUM(NQ13:NQ17)</f>
        <v>3238500</v>
      </c>
      <c r="NR18" s="24">
        <f t="shared" si="185"/>
        <v>5490456</v>
      </c>
      <c r="NS18" s="24">
        <f t="shared" si="185"/>
        <v>5833396</v>
      </c>
      <c r="NT18" s="24">
        <f t="shared" si="185"/>
        <v>4106032</v>
      </c>
      <c r="NU18" s="24">
        <f t="shared" si="185"/>
        <v>4033300</v>
      </c>
      <c r="NV18" s="24">
        <f t="shared" si="185"/>
        <v>5113451</v>
      </c>
      <c r="NW18" s="24">
        <f t="shared" si="185"/>
        <v>4378900</v>
      </c>
      <c r="NX18" s="24">
        <f t="shared" si="185"/>
        <v>5350916</v>
      </c>
      <c r="NY18" s="24">
        <f t="shared" si="185"/>
        <v>4888882</v>
      </c>
      <c r="NZ18" s="24">
        <f t="shared" si="185"/>
        <v>3410700</v>
      </c>
      <c r="OA18" s="24">
        <f t="shared" si="185"/>
        <v>2669228</v>
      </c>
      <c r="OB18" s="24">
        <f t="shared" si="185"/>
        <v>3827000</v>
      </c>
      <c r="OC18" s="24">
        <f t="shared" si="185"/>
        <v>2934692</v>
      </c>
      <c r="OD18" s="24">
        <f t="shared" si="185"/>
        <v>4027900</v>
      </c>
      <c r="OE18" s="24">
        <f t="shared" si="185"/>
        <v>3075900</v>
      </c>
      <c r="OF18" s="24">
        <f t="shared" si="185"/>
        <v>5640815</v>
      </c>
      <c r="OG18" s="24">
        <f t="shared" si="185"/>
        <v>4227424</v>
      </c>
      <c r="OH18" s="24">
        <f t="shared" si="185"/>
        <v>2441822</v>
      </c>
      <c r="OI18" s="24">
        <f t="shared" si="185"/>
        <v>2337200</v>
      </c>
      <c r="OJ18" s="24">
        <f t="shared" si="185"/>
        <v>3200576</v>
      </c>
      <c r="OK18" s="24">
        <f t="shared" si="185"/>
        <v>3148761</v>
      </c>
      <c r="OL18" s="24">
        <f t="shared" si="185"/>
        <v>2922000</v>
      </c>
      <c r="OM18" s="24">
        <f t="shared" si="185"/>
        <v>2309783</v>
      </c>
      <c r="ON18" s="24">
        <f t="shared" si="185"/>
        <v>2920000</v>
      </c>
      <c r="OO18" s="24">
        <f t="shared" si="185"/>
        <v>964000</v>
      </c>
      <c r="OP18" s="24">
        <f t="shared" si="185"/>
        <v>4833844</v>
      </c>
      <c r="OQ18" s="24">
        <f t="shared" si="185"/>
        <v>4816439</v>
      </c>
      <c r="OR18" s="24">
        <f t="shared" si="185"/>
        <v>2464669</v>
      </c>
      <c r="OS18" s="24">
        <f t="shared" si="185"/>
        <v>3616658</v>
      </c>
      <c r="OT18" s="24">
        <f t="shared" si="185"/>
        <v>3242810</v>
      </c>
      <c r="OU18" s="24">
        <f t="shared" si="185"/>
        <v>6810436</v>
      </c>
      <c r="OV18" s="127">
        <f t="shared" si="66"/>
        <v>115037990</v>
      </c>
      <c r="OW18" s="24">
        <f t="shared" ref="OW18:PZ18" si="186">SUM(OW13:OW17)</f>
        <v>2678291</v>
      </c>
      <c r="OX18" s="24">
        <f t="shared" si="186"/>
        <v>5594658</v>
      </c>
      <c r="OY18" s="24">
        <f t="shared" si="186"/>
        <v>4062070</v>
      </c>
      <c r="OZ18" s="24">
        <f t="shared" si="186"/>
        <v>4422000</v>
      </c>
      <c r="PA18" s="24">
        <f t="shared" si="186"/>
        <v>4375999</v>
      </c>
      <c r="PB18" s="24">
        <f t="shared" si="186"/>
        <v>4968694</v>
      </c>
      <c r="PC18" s="24">
        <f t="shared" si="186"/>
        <v>3702250</v>
      </c>
      <c r="PD18" s="24">
        <f t="shared" si="186"/>
        <v>3674880</v>
      </c>
      <c r="PE18" s="24">
        <f t="shared" si="186"/>
        <v>3880599</v>
      </c>
      <c r="PF18" s="24">
        <f t="shared" si="186"/>
        <v>3903400</v>
      </c>
      <c r="PG18" s="24">
        <f t="shared" si="186"/>
        <v>4115555</v>
      </c>
      <c r="PH18" s="24">
        <f t="shared" si="186"/>
        <v>3296154</v>
      </c>
      <c r="PI18" s="24">
        <f t="shared" si="186"/>
        <v>5777618</v>
      </c>
      <c r="PJ18" s="24">
        <f t="shared" si="186"/>
        <v>1926400</v>
      </c>
      <c r="PK18" s="24">
        <f t="shared" si="186"/>
        <v>2959400</v>
      </c>
      <c r="PL18" s="24">
        <f t="shared" si="186"/>
        <v>3396897</v>
      </c>
      <c r="PM18" s="24">
        <f t="shared" si="186"/>
        <v>3039526</v>
      </c>
      <c r="PN18" s="24">
        <f t="shared" si="186"/>
        <v>4143662</v>
      </c>
      <c r="PO18" s="24">
        <f t="shared" si="186"/>
        <v>4244000</v>
      </c>
      <c r="PP18" s="24">
        <f t="shared" si="186"/>
        <v>5061094</v>
      </c>
      <c r="PQ18" s="24">
        <f t="shared" si="186"/>
        <v>2029450</v>
      </c>
      <c r="PR18" s="24">
        <f t="shared" si="186"/>
        <v>2705764</v>
      </c>
      <c r="PS18" s="24">
        <f t="shared" si="186"/>
        <v>2308500</v>
      </c>
      <c r="PT18" s="24">
        <f t="shared" si="186"/>
        <v>3103095</v>
      </c>
      <c r="PU18" s="24">
        <f t="shared" si="186"/>
        <v>2011980</v>
      </c>
      <c r="PV18" s="24">
        <f t="shared" si="186"/>
        <v>3002714</v>
      </c>
      <c r="PW18" s="24">
        <f t="shared" si="186"/>
        <v>2586178</v>
      </c>
      <c r="PX18" s="24">
        <f t="shared" si="186"/>
        <v>4180571</v>
      </c>
      <c r="PY18" s="24">
        <f t="shared" si="186"/>
        <v>2456475</v>
      </c>
      <c r="PZ18" s="24">
        <f t="shared" si="186"/>
        <v>4063031</v>
      </c>
      <c r="QA18" s="127">
        <f t="shared" si="68"/>
        <v>107670905</v>
      </c>
      <c r="QB18" s="24">
        <f t="shared" ref="QB18:RF18" si="187">SUM(QB13:QB17)</f>
        <v>2563000</v>
      </c>
      <c r="QC18" s="24">
        <f t="shared" si="187"/>
        <v>2225450</v>
      </c>
      <c r="QD18" s="24">
        <f t="shared" si="187"/>
        <v>3046060</v>
      </c>
      <c r="QE18" s="24">
        <f t="shared" si="187"/>
        <v>4748660</v>
      </c>
      <c r="QF18" s="24">
        <f t="shared" si="187"/>
        <v>3581150</v>
      </c>
      <c r="QG18" s="24">
        <f t="shared" si="187"/>
        <v>3103100</v>
      </c>
      <c r="QH18" s="24">
        <f t="shared" si="187"/>
        <v>4006450</v>
      </c>
      <c r="QI18" s="24">
        <f t="shared" si="187"/>
        <v>2679980</v>
      </c>
      <c r="QJ18" s="24">
        <f t="shared" si="187"/>
        <v>2753223</v>
      </c>
      <c r="QK18" s="24">
        <f t="shared" si="187"/>
        <v>2327170</v>
      </c>
      <c r="QL18" s="24">
        <f t="shared" si="187"/>
        <v>3927359</v>
      </c>
      <c r="QM18" s="24">
        <f t="shared" si="187"/>
        <v>3868677</v>
      </c>
      <c r="QN18" s="24">
        <f t="shared" si="187"/>
        <v>4536989</v>
      </c>
      <c r="QO18" s="24">
        <f t="shared" si="187"/>
        <v>6117939</v>
      </c>
      <c r="QP18" s="24">
        <f t="shared" si="187"/>
        <v>3466700</v>
      </c>
      <c r="QQ18" s="24">
        <f t="shared" si="187"/>
        <v>4496186</v>
      </c>
      <c r="QR18" s="24">
        <f t="shared" si="187"/>
        <v>3602087</v>
      </c>
      <c r="QS18" s="24">
        <f t="shared" si="187"/>
        <v>4509890</v>
      </c>
      <c r="QT18" s="24">
        <f t="shared" si="187"/>
        <v>6734900</v>
      </c>
      <c r="QU18" s="24">
        <f t="shared" si="187"/>
        <v>2559312</v>
      </c>
      <c r="QV18" s="24">
        <f t="shared" si="187"/>
        <v>2180048</v>
      </c>
      <c r="QW18" s="24">
        <f t="shared" si="187"/>
        <v>2623600</v>
      </c>
      <c r="QX18" s="24">
        <f t="shared" si="187"/>
        <v>2197465</v>
      </c>
      <c r="QY18" s="24">
        <f t="shared" si="187"/>
        <v>6704489</v>
      </c>
      <c r="QZ18" s="24">
        <f t="shared" si="187"/>
        <v>4964049</v>
      </c>
      <c r="RA18" s="24">
        <f t="shared" si="187"/>
        <v>3318000</v>
      </c>
      <c r="RB18" s="24">
        <f t="shared" si="187"/>
        <v>1934846</v>
      </c>
      <c r="RC18" s="24">
        <f t="shared" si="187"/>
        <v>4475519</v>
      </c>
      <c r="RD18" s="24">
        <f t="shared" si="187"/>
        <v>5010988</v>
      </c>
      <c r="RE18" s="24">
        <f t="shared" si="187"/>
        <v>3173346</v>
      </c>
      <c r="RF18" s="24">
        <f t="shared" si="187"/>
        <v>4142111</v>
      </c>
      <c r="RG18" s="127">
        <f t="shared" si="147"/>
        <v>113015743</v>
      </c>
      <c r="RH18" s="24">
        <f t="shared" ref="RH18:SM18" si="188">SUM(RH13:RH17)</f>
        <v>3119890</v>
      </c>
      <c r="RI18" s="24">
        <f t="shared" si="188"/>
        <v>1903648</v>
      </c>
      <c r="RJ18" s="24">
        <f t="shared" si="188"/>
        <v>3140945</v>
      </c>
      <c r="RK18" s="24">
        <f t="shared" si="188"/>
        <v>6080694</v>
      </c>
      <c r="RL18" s="24">
        <f t="shared" si="188"/>
        <v>1947770</v>
      </c>
      <c r="RM18" s="24">
        <f t="shared" si="188"/>
        <v>2870760</v>
      </c>
      <c r="RN18" s="24">
        <f t="shared" si="188"/>
        <v>3230148</v>
      </c>
      <c r="RO18" s="24">
        <f t="shared" si="188"/>
        <v>2794843</v>
      </c>
      <c r="RP18" s="24">
        <f t="shared" si="188"/>
        <v>3007295</v>
      </c>
      <c r="RQ18" s="24">
        <f t="shared" si="188"/>
        <v>2267632</v>
      </c>
      <c r="RR18" s="24">
        <f t="shared" si="188"/>
        <v>3712211</v>
      </c>
      <c r="RS18" s="24">
        <f t="shared" si="188"/>
        <v>4596585</v>
      </c>
      <c r="RT18" s="24">
        <f t="shared" si="188"/>
        <v>4251764</v>
      </c>
      <c r="RU18" s="24">
        <f t="shared" si="188"/>
        <v>3496790</v>
      </c>
      <c r="RV18" s="24">
        <f t="shared" si="188"/>
        <v>3618520</v>
      </c>
      <c r="RW18" s="24">
        <f t="shared" si="188"/>
        <v>4424467</v>
      </c>
      <c r="RX18" s="24">
        <f t="shared" si="188"/>
        <v>4050607</v>
      </c>
      <c r="RY18" s="24">
        <f t="shared" si="188"/>
        <v>4547545</v>
      </c>
      <c r="RZ18" s="24">
        <f t="shared" si="188"/>
        <v>5178528</v>
      </c>
      <c r="SA18" s="24">
        <f t="shared" si="188"/>
        <v>3298500</v>
      </c>
      <c r="SB18" s="24">
        <f t="shared" si="188"/>
        <v>2560002</v>
      </c>
      <c r="SC18" s="24">
        <f t="shared" si="188"/>
        <v>3027102</v>
      </c>
      <c r="SD18" s="24">
        <f t="shared" si="188"/>
        <v>2517100</v>
      </c>
      <c r="SE18" s="24">
        <f t="shared" si="188"/>
        <v>3169410</v>
      </c>
      <c r="SF18" s="24">
        <f t="shared" si="188"/>
        <v>5143900</v>
      </c>
      <c r="SG18" s="24">
        <f t="shared" si="188"/>
        <v>3488367</v>
      </c>
      <c r="SH18" s="24">
        <f t="shared" si="188"/>
        <v>3728300</v>
      </c>
      <c r="SI18" s="24">
        <f t="shared" si="188"/>
        <v>4264280</v>
      </c>
      <c r="SJ18" s="24">
        <f t="shared" si="188"/>
        <v>3115900</v>
      </c>
      <c r="SK18" s="24">
        <f t="shared" si="188"/>
        <v>3308309</v>
      </c>
      <c r="SL18" s="127">
        <f t="shared" si="188"/>
        <v>105861812</v>
      </c>
      <c r="SM18" s="24">
        <f t="shared" si="188"/>
        <v>2417400</v>
      </c>
      <c r="SN18" s="24">
        <f t="shared" ref="SN18:TS18" si="189">SUM(SN13:SN17)</f>
        <v>4551554</v>
      </c>
      <c r="SO18" s="24">
        <f t="shared" si="189"/>
        <v>3519968</v>
      </c>
      <c r="SP18" s="24">
        <f t="shared" si="189"/>
        <v>5016500</v>
      </c>
      <c r="SQ18" s="24">
        <f t="shared" si="189"/>
        <v>3909718</v>
      </c>
      <c r="SR18" s="24">
        <f t="shared" si="189"/>
        <v>2954500</v>
      </c>
      <c r="SS18" s="24">
        <f t="shared" si="189"/>
        <v>3750600</v>
      </c>
      <c r="ST18" s="24">
        <f t="shared" si="189"/>
        <v>2685752</v>
      </c>
      <c r="SU18" s="24">
        <f t="shared" si="189"/>
        <v>6799505</v>
      </c>
      <c r="SV18" s="24">
        <f t="shared" si="189"/>
        <v>3677478</v>
      </c>
      <c r="SW18" s="24">
        <f t="shared" si="189"/>
        <v>3877510</v>
      </c>
      <c r="SX18" s="24">
        <f t="shared" si="189"/>
        <v>3352800</v>
      </c>
      <c r="SY18" s="24">
        <f t="shared" si="189"/>
        <v>5998074</v>
      </c>
      <c r="SZ18" s="24">
        <f t="shared" si="189"/>
        <v>2925159</v>
      </c>
      <c r="TA18" s="24">
        <f t="shared" si="189"/>
        <v>4434740</v>
      </c>
      <c r="TB18" s="24">
        <f t="shared" si="189"/>
        <v>6120685</v>
      </c>
      <c r="TC18" s="24">
        <f t="shared" si="189"/>
        <v>4274510</v>
      </c>
      <c r="TD18" s="24">
        <f t="shared" si="189"/>
        <v>3556500</v>
      </c>
      <c r="TE18" s="24">
        <f t="shared" si="189"/>
        <v>5685025</v>
      </c>
      <c r="TF18" s="24">
        <f t="shared" si="189"/>
        <v>2681429</v>
      </c>
      <c r="TG18" s="24">
        <f t="shared" si="189"/>
        <v>3714500</v>
      </c>
      <c r="TH18" s="24">
        <f t="shared" si="189"/>
        <v>5464697</v>
      </c>
      <c r="TI18" s="24">
        <f t="shared" si="189"/>
        <v>3258355</v>
      </c>
      <c r="TJ18" s="24">
        <f t="shared" si="189"/>
        <v>3544440</v>
      </c>
      <c r="TK18" s="24">
        <f t="shared" si="189"/>
        <v>2476559</v>
      </c>
      <c r="TL18" s="24">
        <f t="shared" si="189"/>
        <v>1948000</v>
      </c>
      <c r="TM18" s="24">
        <f t="shared" si="189"/>
        <v>4043252</v>
      </c>
      <c r="TN18" s="24">
        <f t="shared" si="189"/>
        <v>3580400</v>
      </c>
      <c r="TO18" s="24">
        <f t="shared" si="189"/>
        <v>2944000</v>
      </c>
      <c r="TP18" s="24">
        <f t="shared" si="189"/>
        <v>1892500</v>
      </c>
      <c r="TQ18" s="24">
        <f t="shared" si="189"/>
        <v>3422910</v>
      </c>
      <c r="TR18" s="127">
        <f t="shared" si="189"/>
        <v>116061620</v>
      </c>
      <c r="TS18" s="24">
        <f t="shared" si="189"/>
        <v>2468509</v>
      </c>
      <c r="TT18" s="24">
        <f t="shared" ref="TT18:UY18" si="190">SUM(TT13:TT17)</f>
        <v>2124000</v>
      </c>
      <c r="TU18" s="24">
        <f t="shared" si="190"/>
        <v>2454500</v>
      </c>
      <c r="TV18" s="24">
        <f t="shared" si="190"/>
        <v>3098560</v>
      </c>
      <c r="TW18" s="24">
        <f t="shared" si="190"/>
        <v>3676250</v>
      </c>
      <c r="TX18" s="24">
        <f t="shared" si="190"/>
        <v>3279755</v>
      </c>
      <c r="TY18" s="24">
        <f t="shared" si="190"/>
        <v>3144371</v>
      </c>
      <c r="TZ18" s="24">
        <f t="shared" si="190"/>
        <v>5548428</v>
      </c>
      <c r="UA18" s="24">
        <f t="shared" si="190"/>
        <v>3188000</v>
      </c>
      <c r="UB18" s="24">
        <f t="shared" si="190"/>
        <v>5397790</v>
      </c>
      <c r="UC18" s="24">
        <f t="shared" si="190"/>
        <v>2911900</v>
      </c>
      <c r="UD18" s="24">
        <f t="shared" si="190"/>
        <v>2911520</v>
      </c>
      <c r="UE18" s="24">
        <f t="shared" si="190"/>
        <v>4739650</v>
      </c>
      <c r="UF18" s="24">
        <f t="shared" si="190"/>
        <v>4540622</v>
      </c>
      <c r="UG18" s="24">
        <f t="shared" si="190"/>
        <v>4371500</v>
      </c>
      <c r="UH18" s="24">
        <f t="shared" si="190"/>
        <v>3881334</v>
      </c>
      <c r="UI18" s="24">
        <f t="shared" si="190"/>
        <v>3902130</v>
      </c>
      <c r="UJ18" s="24">
        <f t="shared" si="190"/>
        <v>4570314</v>
      </c>
      <c r="UK18" s="24">
        <f t="shared" si="190"/>
        <v>3187950</v>
      </c>
      <c r="UL18" s="24">
        <f t="shared" si="190"/>
        <v>3475355</v>
      </c>
      <c r="UM18" s="24">
        <f t="shared" si="190"/>
        <v>3863587</v>
      </c>
      <c r="UN18" s="24">
        <f t="shared" si="190"/>
        <v>3829273</v>
      </c>
      <c r="UO18" s="24">
        <f t="shared" si="190"/>
        <v>3686400</v>
      </c>
      <c r="UP18" s="24">
        <f t="shared" si="190"/>
        <v>4618058</v>
      </c>
      <c r="UQ18" s="24">
        <f t="shared" si="190"/>
        <v>4192800</v>
      </c>
      <c r="UR18" s="24">
        <f t="shared" si="190"/>
        <v>4362500</v>
      </c>
      <c r="US18" s="24">
        <f t="shared" si="190"/>
        <v>5136375</v>
      </c>
      <c r="UT18" s="24">
        <f t="shared" si="190"/>
        <v>3841000</v>
      </c>
      <c r="UU18" s="24">
        <f t="shared" si="190"/>
        <v>1531000</v>
      </c>
      <c r="UV18" s="24">
        <f t="shared" si="190"/>
        <v>2616302</v>
      </c>
      <c r="UW18" s="24">
        <f t="shared" si="190"/>
        <v>2851241</v>
      </c>
      <c r="UX18" s="127">
        <f t="shared" si="190"/>
        <v>110932465</v>
      </c>
      <c r="UY18" s="24">
        <f t="shared" si="190"/>
        <v>4231225</v>
      </c>
      <c r="UZ18" s="24">
        <f t="shared" ref="UZ18:WE18" si="191">SUM(UZ13:UZ17)</f>
        <v>3489978</v>
      </c>
      <c r="VA18" s="24">
        <f t="shared" si="191"/>
        <v>6388463</v>
      </c>
      <c r="VB18" s="24">
        <f t="shared" si="191"/>
        <v>4750435</v>
      </c>
      <c r="VC18" s="24">
        <f t="shared" si="191"/>
        <v>3601506</v>
      </c>
      <c r="VD18" s="24">
        <f t="shared" si="191"/>
        <v>3304000</v>
      </c>
      <c r="VE18" s="24">
        <f t="shared" si="191"/>
        <v>3155162</v>
      </c>
      <c r="VF18" s="24">
        <f t="shared" si="191"/>
        <v>4950500</v>
      </c>
      <c r="VG18" s="24">
        <f t="shared" si="191"/>
        <v>2686563</v>
      </c>
      <c r="VH18" s="24">
        <f t="shared" si="191"/>
        <v>3663945</v>
      </c>
      <c r="VI18" s="24">
        <f t="shared" si="191"/>
        <v>6999610</v>
      </c>
      <c r="VJ18" s="24">
        <f t="shared" si="191"/>
        <v>2871620</v>
      </c>
      <c r="VK18" s="24">
        <f t="shared" si="191"/>
        <v>3447696</v>
      </c>
      <c r="VL18" s="24">
        <f t="shared" si="191"/>
        <v>3108910</v>
      </c>
      <c r="VM18" s="24">
        <f t="shared" si="191"/>
        <v>3170900</v>
      </c>
      <c r="VN18" s="24">
        <f t="shared" si="191"/>
        <v>4512520</v>
      </c>
      <c r="VO18" s="24">
        <f t="shared" si="191"/>
        <v>2385584</v>
      </c>
      <c r="VP18" s="24">
        <f t="shared" si="191"/>
        <v>2136435</v>
      </c>
      <c r="VQ18" s="24">
        <f t="shared" si="191"/>
        <v>3585970</v>
      </c>
      <c r="VR18" s="24">
        <f t="shared" si="191"/>
        <v>3690116</v>
      </c>
      <c r="VS18" s="24">
        <f t="shared" si="191"/>
        <v>4110500</v>
      </c>
      <c r="VT18" s="24">
        <f t="shared" si="191"/>
        <v>4216300</v>
      </c>
      <c r="VU18" s="24">
        <f t="shared" si="191"/>
        <v>3299296</v>
      </c>
      <c r="VV18" s="24">
        <f t="shared" si="191"/>
        <v>3192392</v>
      </c>
      <c r="VW18" s="24">
        <f t="shared" si="191"/>
        <v>6359906</v>
      </c>
      <c r="VX18" s="24">
        <f t="shared" si="191"/>
        <v>3552500</v>
      </c>
      <c r="VY18" s="24">
        <f t="shared" si="191"/>
        <v>5887710</v>
      </c>
      <c r="VZ18" s="24">
        <f t="shared" si="191"/>
        <v>3014000</v>
      </c>
      <c r="WA18" s="127">
        <f t="shared" si="191"/>
        <v>109763742</v>
      </c>
      <c r="WB18" s="24">
        <f t="shared" si="191"/>
        <v>4176652</v>
      </c>
      <c r="WC18" s="24">
        <f t="shared" si="191"/>
        <v>3209005</v>
      </c>
      <c r="WD18" s="24">
        <f t="shared" si="191"/>
        <v>5965329</v>
      </c>
      <c r="WE18" s="24">
        <f t="shared" si="191"/>
        <v>4779748</v>
      </c>
      <c r="WF18" s="24">
        <f t="shared" ref="WF18:XK18" si="192">SUM(WF13:WF17)</f>
        <v>3412160</v>
      </c>
      <c r="WG18" s="24">
        <f t="shared" si="192"/>
        <v>2350000</v>
      </c>
      <c r="WH18" s="24">
        <f t="shared" si="192"/>
        <v>3443492</v>
      </c>
      <c r="WI18" s="24">
        <f t="shared" si="192"/>
        <v>4159710</v>
      </c>
      <c r="WJ18" s="24">
        <f t="shared" si="192"/>
        <v>2367778</v>
      </c>
      <c r="WK18" s="24">
        <f t="shared" si="192"/>
        <v>3876000</v>
      </c>
      <c r="WL18" s="24">
        <f t="shared" si="192"/>
        <v>5794460</v>
      </c>
      <c r="WM18" s="24">
        <f t="shared" si="192"/>
        <v>2552000</v>
      </c>
      <c r="WN18" s="24">
        <f t="shared" si="192"/>
        <v>4049383</v>
      </c>
      <c r="WO18" s="24">
        <f t="shared" si="192"/>
        <v>3839000</v>
      </c>
      <c r="WP18" s="24">
        <f t="shared" si="192"/>
        <v>4858050</v>
      </c>
      <c r="WQ18" s="24">
        <f t="shared" si="192"/>
        <v>2892350</v>
      </c>
      <c r="WR18" s="24">
        <f t="shared" si="192"/>
        <v>2570700</v>
      </c>
      <c r="WS18" s="24">
        <f t="shared" si="192"/>
        <v>1168795</v>
      </c>
      <c r="WT18" s="24">
        <f t="shared" si="192"/>
        <v>2434175</v>
      </c>
      <c r="WU18" s="24">
        <f t="shared" si="192"/>
        <v>1834962</v>
      </c>
      <c r="WV18" s="24">
        <f t="shared" si="192"/>
        <v>4437570</v>
      </c>
      <c r="WW18" s="24">
        <f t="shared" si="192"/>
        <v>4578036</v>
      </c>
      <c r="WX18" s="24">
        <f t="shared" si="192"/>
        <v>4046248</v>
      </c>
      <c r="WY18" s="24">
        <f t="shared" si="192"/>
        <v>4912000</v>
      </c>
      <c r="WZ18" s="24">
        <f t="shared" si="192"/>
        <v>3702000</v>
      </c>
      <c r="XA18" s="24">
        <f t="shared" si="192"/>
        <v>2685000</v>
      </c>
      <c r="XB18" s="24">
        <f t="shared" si="192"/>
        <v>4850800</v>
      </c>
      <c r="XC18" s="24">
        <f t="shared" si="192"/>
        <v>3663337</v>
      </c>
      <c r="XD18" s="24">
        <f t="shared" si="192"/>
        <v>3064941</v>
      </c>
      <c r="XE18" s="24">
        <f t="shared" si="192"/>
        <v>3551000</v>
      </c>
      <c r="XF18" s="24">
        <f t="shared" si="192"/>
        <v>3982059</v>
      </c>
      <c r="XG18" s="127">
        <f t="shared" si="156"/>
        <v>113206740</v>
      </c>
      <c r="XH18" s="24">
        <f t="shared" ref="XH18:YK18" si="193">SUM(XH13:XH17)</f>
        <v>3250500</v>
      </c>
      <c r="XI18" s="24">
        <f t="shared" si="193"/>
        <v>2508890</v>
      </c>
      <c r="XJ18" s="24">
        <f t="shared" si="193"/>
        <v>4321400</v>
      </c>
      <c r="XK18" s="24">
        <f t="shared" si="193"/>
        <v>2898620</v>
      </c>
      <c r="XL18" s="24">
        <f t="shared" si="193"/>
        <v>2379585</v>
      </c>
      <c r="XM18" s="24">
        <f t="shared" si="193"/>
        <v>4364944</v>
      </c>
      <c r="XN18" s="24">
        <f t="shared" si="193"/>
        <v>3838014</v>
      </c>
      <c r="XO18" s="24">
        <f t="shared" si="193"/>
        <v>3125400</v>
      </c>
      <c r="XP18" s="24">
        <f t="shared" si="193"/>
        <v>2587390</v>
      </c>
      <c r="XQ18" s="24">
        <f t="shared" si="193"/>
        <v>2309800</v>
      </c>
      <c r="XR18" s="24">
        <f t="shared" si="193"/>
        <v>4583734</v>
      </c>
      <c r="XS18" s="24">
        <f t="shared" si="193"/>
        <v>4064007</v>
      </c>
      <c r="XT18" s="24">
        <f t="shared" si="193"/>
        <v>2550578</v>
      </c>
      <c r="XU18" s="24">
        <f t="shared" si="193"/>
        <v>3259850</v>
      </c>
      <c r="XV18" s="24">
        <f t="shared" si="193"/>
        <v>3876826</v>
      </c>
      <c r="XW18" s="24">
        <f t="shared" si="193"/>
        <v>2881550</v>
      </c>
      <c r="XX18" s="24">
        <f t="shared" si="193"/>
        <v>2942000</v>
      </c>
      <c r="XY18" s="24">
        <f t="shared" si="193"/>
        <v>3304900</v>
      </c>
      <c r="XZ18" s="24">
        <f t="shared" si="193"/>
        <v>3323480</v>
      </c>
      <c r="YA18" s="24">
        <f t="shared" si="193"/>
        <v>2783786</v>
      </c>
      <c r="YB18" s="24">
        <f t="shared" si="193"/>
        <v>3442000</v>
      </c>
      <c r="YC18" s="24">
        <f t="shared" si="193"/>
        <v>2384472</v>
      </c>
      <c r="YD18" s="24">
        <f t="shared" si="193"/>
        <v>3606422</v>
      </c>
      <c r="YE18" s="24">
        <f t="shared" si="193"/>
        <v>3608973</v>
      </c>
      <c r="YF18" s="24">
        <f t="shared" si="193"/>
        <v>4907207</v>
      </c>
      <c r="YG18" s="24">
        <f t="shared" si="193"/>
        <v>3633036</v>
      </c>
      <c r="YH18" s="24">
        <f t="shared" si="193"/>
        <v>2892000</v>
      </c>
      <c r="YI18" s="24">
        <f t="shared" si="193"/>
        <v>2134000</v>
      </c>
      <c r="YJ18" s="24">
        <f t="shared" si="193"/>
        <v>1927766</v>
      </c>
      <c r="YK18" s="24">
        <f t="shared" si="193"/>
        <v>2413000</v>
      </c>
      <c r="YL18" s="127">
        <f t="shared" si="158"/>
        <v>96104130</v>
      </c>
      <c r="YM18" s="24">
        <f t="shared" ref="YM18:ZQ18" si="194">SUM(YM13:YM17)</f>
        <v>6878500</v>
      </c>
      <c r="YN18" s="24">
        <f t="shared" si="194"/>
        <v>4218631</v>
      </c>
      <c r="YO18" s="24">
        <f t="shared" si="194"/>
        <v>3973000</v>
      </c>
      <c r="YP18" s="24">
        <f t="shared" si="194"/>
        <v>2935100</v>
      </c>
      <c r="YQ18" s="24">
        <f t="shared" si="194"/>
        <v>4423000</v>
      </c>
      <c r="YR18" s="24">
        <f t="shared" si="194"/>
        <v>3214412</v>
      </c>
      <c r="YS18" s="24">
        <f t="shared" si="194"/>
        <v>3700736</v>
      </c>
      <c r="YT18" s="24">
        <f t="shared" si="194"/>
        <v>1471500</v>
      </c>
      <c r="YU18" s="24">
        <f t="shared" si="194"/>
        <v>3949222</v>
      </c>
      <c r="YV18" s="24">
        <f t="shared" si="194"/>
        <v>4094032</v>
      </c>
      <c r="YW18" s="24">
        <f t="shared" si="194"/>
        <v>2956200</v>
      </c>
      <c r="YX18" s="24">
        <f t="shared" si="194"/>
        <v>3790438</v>
      </c>
      <c r="YY18" s="24">
        <f t="shared" si="194"/>
        <v>2978100</v>
      </c>
      <c r="YZ18" s="24">
        <f t="shared" si="194"/>
        <v>2362350</v>
      </c>
      <c r="ZA18" s="24">
        <f t="shared" si="194"/>
        <v>3370500</v>
      </c>
      <c r="ZB18" s="24">
        <f t="shared" si="194"/>
        <v>3681679</v>
      </c>
      <c r="ZC18" s="24">
        <f t="shared" si="194"/>
        <v>2944990</v>
      </c>
      <c r="ZD18" s="24">
        <f t="shared" si="194"/>
        <v>2895800</v>
      </c>
      <c r="ZE18" s="24">
        <f t="shared" si="194"/>
        <v>3620614</v>
      </c>
      <c r="ZF18" s="24">
        <f t="shared" si="194"/>
        <v>2790959</v>
      </c>
      <c r="ZG18" s="24">
        <f t="shared" si="194"/>
        <v>4472700</v>
      </c>
      <c r="ZH18" s="24">
        <f t="shared" si="194"/>
        <v>3256250</v>
      </c>
      <c r="ZI18" s="24">
        <f t="shared" si="194"/>
        <v>3088000</v>
      </c>
      <c r="ZJ18" s="24">
        <f t="shared" si="194"/>
        <v>4539086</v>
      </c>
      <c r="ZK18" s="24">
        <f t="shared" si="194"/>
        <v>2026000</v>
      </c>
      <c r="ZL18" s="24">
        <f t="shared" si="194"/>
        <v>4341469</v>
      </c>
      <c r="ZM18" s="24">
        <f t="shared" si="194"/>
        <v>4492000</v>
      </c>
      <c r="ZN18" s="24">
        <f t="shared" si="194"/>
        <v>3127500</v>
      </c>
      <c r="ZO18" s="24">
        <f t="shared" si="194"/>
        <v>4641596</v>
      </c>
      <c r="ZP18" s="24">
        <f t="shared" si="194"/>
        <v>3047768</v>
      </c>
      <c r="ZQ18" s="24">
        <f t="shared" si="194"/>
        <v>2729000</v>
      </c>
      <c r="ZR18" s="127">
        <f t="shared" si="113"/>
        <v>110011132</v>
      </c>
      <c r="ZS18" s="24">
        <f t="shared" ref="ZS18:AAV18" si="195">SUM(ZS13:ZS17)</f>
        <v>5971750</v>
      </c>
      <c r="ZT18" s="24">
        <f t="shared" si="195"/>
        <v>4709500</v>
      </c>
      <c r="ZU18" s="24">
        <f t="shared" si="195"/>
        <v>2939057</v>
      </c>
      <c r="ZV18" s="24">
        <f t="shared" si="195"/>
        <v>4310740</v>
      </c>
      <c r="ZW18" s="24">
        <f t="shared" si="195"/>
        <v>4093209</v>
      </c>
      <c r="ZX18" s="24">
        <f t="shared" si="195"/>
        <v>3704996</v>
      </c>
      <c r="ZY18" s="24">
        <f t="shared" si="195"/>
        <v>2717926</v>
      </c>
      <c r="ZZ18" s="24">
        <f t="shared" si="195"/>
        <v>2246000</v>
      </c>
      <c r="AAA18" s="24">
        <f t="shared" si="195"/>
        <v>2787000</v>
      </c>
      <c r="AAB18" s="24">
        <f t="shared" si="195"/>
        <v>5961250</v>
      </c>
      <c r="AAC18" s="24">
        <f t="shared" si="195"/>
        <v>3874214</v>
      </c>
      <c r="AAD18" s="24">
        <f t="shared" si="195"/>
        <v>3479000</v>
      </c>
      <c r="AAE18" s="24">
        <f t="shared" si="195"/>
        <v>3265474</v>
      </c>
      <c r="AAF18" s="24">
        <f t="shared" si="195"/>
        <v>5129316</v>
      </c>
      <c r="AAG18" s="24">
        <f t="shared" si="195"/>
        <v>4278618</v>
      </c>
      <c r="AAH18" s="24">
        <f t="shared" si="195"/>
        <v>2530853</v>
      </c>
      <c r="AAI18" s="24">
        <f t="shared" si="195"/>
        <v>2917000</v>
      </c>
      <c r="AAJ18" s="24">
        <f t="shared" si="195"/>
        <v>3613832</v>
      </c>
      <c r="AAK18" s="24">
        <f t="shared" si="195"/>
        <v>4500382</v>
      </c>
      <c r="AAL18" s="24">
        <f t="shared" si="195"/>
        <v>6438124</v>
      </c>
      <c r="AAM18" s="24">
        <f t="shared" si="195"/>
        <v>5031380</v>
      </c>
      <c r="AAN18" s="24">
        <f t="shared" si="195"/>
        <v>4229817</v>
      </c>
      <c r="AAO18" s="24">
        <f t="shared" si="195"/>
        <v>3119000</v>
      </c>
      <c r="AAP18" s="24">
        <f t="shared" si="195"/>
        <v>2830500</v>
      </c>
      <c r="AAQ18" s="24">
        <f t="shared" si="195"/>
        <v>3567959</v>
      </c>
      <c r="AAR18" s="24">
        <f t="shared" si="195"/>
        <v>4348000</v>
      </c>
      <c r="AAS18" s="24">
        <f t="shared" si="195"/>
        <v>3143260</v>
      </c>
      <c r="AAT18" s="24">
        <f t="shared" si="195"/>
        <v>5230142</v>
      </c>
      <c r="AAU18" s="24">
        <f t="shared" si="195"/>
        <v>2615595</v>
      </c>
      <c r="AAV18" s="24">
        <f t="shared" si="195"/>
        <v>3586500</v>
      </c>
      <c r="AAW18" s="127">
        <f t="shared" si="115"/>
        <v>117170394</v>
      </c>
      <c r="AAX18" s="24">
        <f t="shared" ref="AAX18:ACB18" si="196">SUM(AAX13:AAX17)</f>
        <v>4633500</v>
      </c>
      <c r="AAY18" s="24">
        <f t="shared" si="196"/>
        <v>3551000</v>
      </c>
      <c r="AAZ18" s="24">
        <f t="shared" si="196"/>
        <v>2517800</v>
      </c>
      <c r="ABA18" s="24">
        <f t="shared" si="196"/>
        <v>3816192</v>
      </c>
      <c r="ABB18" s="24">
        <f t="shared" si="196"/>
        <v>5083377</v>
      </c>
      <c r="ABC18" s="24">
        <f t="shared" si="196"/>
        <v>3895625</v>
      </c>
      <c r="ABD18" s="24">
        <f t="shared" si="196"/>
        <v>1348200</v>
      </c>
      <c r="ABE18" s="24">
        <f t="shared" si="196"/>
        <v>4928297</v>
      </c>
      <c r="ABF18" s="24">
        <f t="shared" si="196"/>
        <v>2376461</v>
      </c>
      <c r="ABG18" s="24">
        <f t="shared" si="196"/>
        <v>2130942</v>
      </c>
      <c r="ABH18" s="24">
        <f t="shared" si="196"/>
        <v>4973235</v>
      </c>
      <c r="ABI18" s="24">
        <f t="shared" si="196"/>
        <v>4612000</v>
      </c>
      <c r="ABJ18" s="24">
        <f t="shared" si="196"/>
        <v>5048500</v>
      </c>
      <c r="ABK18" s="24">
        <f t="shared" si="196"/>
        <v>3751831</v>
      </c>
      <c r="ABL18" s="24">
        <f t="shared" si="196"/>
        <v>3387051</v>
      </c>
      <c r="ABM18" s="24">
        <f t="shared" si="196"/>
        <v>2454552</v>
      </c>
      <c r="ABN18" s="24">
        <f t="shared" si="196"/>
        <v>3131500</v>
      </c>
      <c r="ABO18" s="24">
        <f t="shared" si="196"/>
        <v>4581202</v>
      </c>
      <c r="ABP18" s="24">
        <f t="shared" si="196"/>
        <v>4305977</v>
      </c>
      <c r="ABQ18" s="24">
        <f t="shared" si="196"/>
        <v>3495200</v>
      </c>
      <c r="ABR18" s="24">
        <f t="shared" si="196"/>
        <v>2999382</v>
      </c>
      <c r="ABS18" s="24">
        <f t="shared" si="196"/>
        <v>2972200</v>
      </c>
      <c r="ABT18" s="24">
        <f t="shared" si="196"/>
        <v>3245308</v>
      </c>
      <c r="ABU18" s="24">
        <f t="shared" si="196"/>
        <v>2428928</v>
      </c>
      <c r="ABV18" s="24">
        <f t="shared" si="196"/>
        <v>5150700</v>
      </c>
      <c r="ABW18" s="24">
        <f t="shared" si="196"/>
        <v>4884665</v>
      </c>
      <c r="ABX18" s="24">
        <f t="shared" si="196"/>
        <v>3556000</v>
      </c>
      <c r="ABY18" s="24">
        <f t="shared" si="196"/>
        <v>5681500</v>
      </c>
      <c r="ABZ18" s="24">
        <f t="shared" si="196"/>
        <v>3769055</v>
      </c>
      <c r="ACA18" s="24">
        <f t="shared" si="196"/>
        <v>2380427</v>
      </c>
      <c r="ACB18" s="24">
        <f t="shared" si="196"/>
        <v>3641622</v>
      </c>
      <c r="ACC18" s="127">
        <f>SUM(AAX18:ACB18)</f>
        <v>114732229</v>
      </c>
      <c r="ACD18" s="24">
        <f t="shared" ref="ACD18:ADH18" si="197">SUM(ACD13:ACD17)</f>
        <v>2384950</v>
      </c>
      <c r="ACE18" s="24">
        <f t="shared" si="197"/>
        <v>6218164</v>
      </c>
      <c r="ACF18" s="24">
        <f t="shared" si="197"/>
        <v>2686000</v>
      </c>
      <c r="ACG18" s="24">
        <f t="shared" si="197"/>
        <v>6348500</v>
      </c>
      <c r="ACH18" s="24">
        <f t="shared" si="197"/>
        <v>3380740</v>
      </c>
      <c r="ACI18" s="24">
        <f t="shared" si="197"/>
        <v>4543000</v>
      </c>
      <c r="ACJ18" s="24">
        <f t="shared" si="197"/>
        <v>4422307</v>
      </c>
      <c r="ACK18" s="24">
        <f t="shared" si="197"/>
        <v>4228985</v>
      </c>
      <c r="ACL18" s="24">
        <f t="shared" si="197"/>
        <v>3675000</v>
      </c>
      <c r="ACM18" s="24">
        <f t="shared" si="197"/>
        <v>2686669</v>
      </c>
      <c r="ACN18" s="24">
        <f t="shared" si="197"/>
        <v>4573510</v>
      </c>
      <c r="ACO18" s="24">
        <f t="shared" si="197"/>
        <v>3194600</v>
      </c>
      <c r="ACP18" s="24">
        <f t="shared" si="197"/>
        <v>3633981</v>
      </c>
      <c r="ACQ18" s="24">
        <f t="shared" si="197"/>
        <v>3554462</v>
      </c>
      <c r="ACR18" s="24">
        <f t="shared" si="197"/>
        <v>3285203</v>
      </c>
      <c r="ACS18" s="24">
        <f t="shared" si="197"/>
        <v>4483722</v>
      </c>
      <c r="ACT18" s="24">
        <f t="shared" si="197"/>
        <v>4624811</v>
      </c>
      <c r="ACU18" s="24">
        <f t="shared" si="197"/>
        <v>4094816</v>
      </c>
      <c r="ACV18" s="24">
        <f t="shared" si="197"/>
        <v>2283000</v>
      </c>
      <c r="ACW18" s="24">
        <f t="shared" si="197"/>
        <v>2191190</v>
      </c>
      <c r="ACX18" s="24">
        <f t="shared" si="197"/>
        <v>2783450</v>
      </c>
      <c r="ACY18" s="24">
        <f t="shared" si="197"/>
        <v>4670548</v>
      </c>
      <c r="ACZ18" s="24">
        <f t="shared" si="197"/>
        <v>3233673</v>
      </c>
      <c r="ADA18" s="24">
        <f t="shared" si="197"/>
        <v>3675000</v>
      </c>
      <c r="ADB18" s="24">
        <f t="shared" si="197"/>
        <v>3340131</v>
      </c>
      <c r="ADC18" s="24">
        <f t="shared" si="197"/>
        <v>2629250</v>
      </c>
      <c r="ADD18" s="24">
        <f t="shared" si="197"/>
        <v>2616939</v>
      </c>
      <c r="ADE18" s="24">
        <f t="shared" si="197"/>
        <v>2353828</v>
      </c>
      <c r="ADF18" s="24">
        <f t="shared" si="197"/>
        <v>4047047</v>
      </c>
      <c r="ADG18" s="24">
        <f t="shared" si="197"/>
        <v>3322000</v>
      </c>
      <c r="ADH18" s="24">
        <f t="shared" si="197"/>
        <v>3259994</v>
      </c>
      <c r="ADI18" s="127">
        <f>SUM(ACD18:ADH18)</f>
        <v>112425470</v>
      </c>
      <c r="ADJ18" s="24">
        <f t="shared" ref="ADJ18:AEM18" si="198">SUM(ADJ13:ADJ17)</f>
        <v>3417830</v>
      </c>
      <c r="ADK18" s="24">
        <f t="shared" si="198"/>
        <v>3720102</v>
      </c>
      <c r="ADL18" s="24">
        <f t="shared" si="198"/>
        <v>3465250</v>
      </c>
      <c r="ADM18" s="24">
        <f t="shared" si="198"/>
        <v>2848841</v>
      </c>
      <c r="ADN18" s="24">
        <f t="shared" si="198"/>
        <v>2921760</v>
      </c>
      <c r="ADO18" s="24">
        <f t="shared" si="198"/>
        <v>3678115</v>
      </c>
      <c r="ADP18" s="24">
        <f t="shared" si="198"/>
        <v>2996300</v>
      </c>
      <c r="ADQ18" s="24">
        <f t="shared" si="198"/>
        <v>3046751</v>
      </c>
      <c r="ADR18" s="24">
        <f t="shared" si="198"/>
        <v>3939858</v>
      </c>
      <c r="ADS18" s="24">
        <f t="shared" si="198"/>
        <v>3871830</v>
      </c>
      <c r="ADT18" s="24">
        <f t="shared" si="198"/>
        <v>3643895</v>
      </c>
      <c r="ADU18" s="24">
        <f t="shared" si="198"/>
        <v>5495570</v>
      </c>
      <c r="ADV18" s="24">
        <f t="shared" si="198"/>
        <v>3807000</v>
      </c>
      <c r="ADW18" s="24">
        <f t="shared" si="198"/>
        <v>2843095</v>
      </c>
      <c r="ADX18" s="24">
        <f t="shared" si="198"/>
        <v>3975541</v>
      </c>
      <c r="ADY18" s="24">
        <f t="shared" si="198"/>
        <v>2188281</v>
      </c>
      <c r="ADZ18" s="24">
        <f t="shared" si="198"/>
        <v>2832060</v>
      </c>
      <c r="AEA18" s="24">
        <f t="shared" si="198"/>
        <v>3289724</v>
      </c>
      <c r="AEB18" s="24">
        <f t="shared" si="198"/>
        <v>2745500</v>
      </c>
      <c r="AEC18" s="24">
        <f t="shared" si="198"/>
        <v>3235400</v>
      </c>
      <c r="AED18" s="24">
        <f t="shared" si="198"/>
        <v>3295300</v>
      </c>
      <c r="AEE18" s="24">
        <f t="shared" si="198"/>
        <v>3040828</v>
      </c>
      <c r="AEF18" s="24">
        <f t="shared" si="198"/>
        <v>2806298</v>
      </c>
      <c r="AEG18" s="24">
        <f t="shared" si="198"/>
        <v>2247000</v>
      </c>
      <c r="AEH18" s="24">
        <f t="shared" si="198"/>
        <v>2667000</v>
      </c>
      <c r="AEI18" s="24">
        <f t="shared" si="198"/>
        <v>2967000</v>
      </c>
      <c r="AEJ18" s="24">
        <f t="shared" si="198"/>
        <v>3693416</v>
      </c>
      <c r="AEK18" s="24">
        <f t="shared" si="198"/>
        <v>2055500</v>
      </c>
      <c r="AEL18" s="24">
        <f t="shared" si="198"/>
        <v>2821643</v>
      </c>
      <c r="AEM18" s="24">
        <f t="shared" si="198"/>
        <v>5162750</v>
      </c>
      <c r="AEN18" s="127">
        <f t="shared" si="121"/>
        <v>98719438</v>
      </c>
      <c r="AEO18" s="24">
        <f t="shared" ref="AEO18:AFS18" si="199">SUM(AEO13:AEO17)</f>
        <v>2922538</v>
      </c>
      <c r="AEP18" s="24">
        <f t="shared" si="199"/>
        <v>2355000</v>
      </c>
      <c r="AEQ18" s="24">
        <f t="shared" si="199"/>
        <v>2222040</v>
      </c>
      <c r="AER18" s="24">
        <f t="shared" si="199"/>
        <v>4165506</v>
      </c>
      <c r="AES18" s="24">
        <f t="shared" si="199"/>
        <v>3282636</v>
      </c>
      <c r="AET18" s="24">
        <f t="shared" si="199"/>
        <v>2259250</v>
      </c>
      <c r="AEU18" s="24">
        <f t="shared" si="199"/>
        <v>1671000</v>
      </c>
      <c r="AEV18" s="24">
        <f t="shared" si="199"/>
        <v>4507642</v>
      </c>
      <c r="AEW18" s="24">
        <f t="shared" si="199"/>
        <v>5418188</v>
      </c>
      <c r="AEX18" s="24">
        <f t="shared" si="199"/>
        <v>4660356</v>
      </c>
      <c r="AEY18" s="24">
        <f t="shared" si="199"/>
        <v>3566609</v>
      </c>
      <c r="AEZ18" s="24">
        <f t="shared" si="199"/>
        <v>3300420</v>
      </c>
      <c r="AFA18" s="24">
        <f t="shared" si="199"/>
        <v>4521984</v>
      </c>
      <c r="AFB18" s="24">
        <f t="shared" si="199"/>
        <v>2971010</v>
      </c>
      <c r="AFC18" s="24">
        <f t="shared" si="199"/>
        <v>2733622</v>
      </c>
      <c r="AFD18" s="24">
        <f t="shared" si="199"/>
        <v>2270000</v>
      </c>
      <c r="AFE18" s="24">
        <f t="shared" si="199"/>
        <v>2140524</v>
      </c>
      <c r="AFF18" s="24">
        <f t="shared" si="199"/>
        <v>3153887</v>
      </c>
      <c r="AFG18" s="24">
        <f t="shared" si="199"/>
        <v>2637000</v>
      </c>
      <c r="AFH18" s="24">
        <f t="shared" si="199"/>
        <v>2196000</v>
      </c>
      <c r="AFI18" s="24">
        <f t="shared" si="199"/>
        <v>2462000</v>
      </c>
      <c r="AFJ18" s="24">
        <f t="shared" si="199"/>
        <v>3078392</v>
      </c>
      <c r="AFK18" s="24">
        <f t="shared" si="199"/>
        <v>3225033</v>
      </c>
      <c r="AFL18" s="24">
        <f t="shared" si="199"/>
        <v>3736406</v>
      </c>
      <c r="AFM18" s="24">
        <f t="shared" si="199"/>
        <v>4100000</v>
      </c>
      <c r="AFN18" s="24">
        <f t="shared" si="199"/>
        <v>5020549</v>
      </c>
      <c r="AFO18" s="24">
        <f t="shared" si="199"/>
        <v>2256830</v>
      </c>
      <c r="AFP18" s="24">
        <f t="shared" si="199"/>
        <v>1475000</v>
      </c>
      <c r="AFQ18" s="24">
        <f t="shared" si="199"/>
        <v>3021225</v>
      </c>
      <c r="AFR18" s="24">
        <f t="shared" si="199"/>
        <v>5130800</v>
      </c>
      <c r="AFS18" s="24">
        <f t="shared" si="199"/>
        <v>3756000</v>
      </c>
      <c r="AFT18" s="127">
        <f>SUM(AEO18:AFS18)</f>
        <v>100217447</v>
      </c>
      <c r="AFU18" s="24">
        <f t="shared" ref="AFU18:AGX18" si="200">SUM(AFU13:AFU17)</f>
        <v>3488298</v>
      </c>
      <c r="AFV18" s="24">
        <f t="shared" si="200"/>
        <v>3892435</v>
      </c>
      <c r="AFW18" s="24">
        <f t="shared" si="200"/>
        <v>2765600</v>
      </c>
      <c r="AFX18" s="24">
        <f t="shared" si="200"/>
        <v>2987550</v>
      </c>
      <c r="AFY18" s="24">
        <f t="shared" si="200"/>
        <v>4469290</v>
      </c>
      <c r="AFZ18" s="24">
        <f t="shared" si="200"/>
        <v>3787255</v>
      </c>
      <c r="AGA18" s="24">
        <f t="shared" si="200"/>
        <v>1833750</v>
      </c>
      <c r="AGB18" s="24">
        <f t="shared" si="200"/>
        <v>175000</v>
      </c>
      <c r="AGC18" s="24">
        <f t="shared" si="200"/>
        <v>612899</v>
      </c>
      <c r="AGD18" s="24">
        <f t="shared" si="200"/>
        <v>484490</v>
      </c>
      <c r="AGE18" s="24">
        <f t="shared" si="200"/>
        <v>630000</v>
      </c>
      <c r="AGF18" s="24">
        <f t="shared" si="200"/>
        <v>585000</v>
      </c>
      <c r="AGG18" s="24">
        <f t="shared" si="200"/>
        <v>650000</v>
      </c>
      <c r="AGH18" s="24">
        <f t="shared" si="200"/>
        <v>507227</v>
      </c>
      <c r="AGI18" s="24">
        <f t="shared" si="200"/>
        <v>661538</v>
      </c>
      <c r="AGJ18" s="24">
        <f t="shared" si="200"/>
        <v>1484838</v>
      </c>
      <c r="AGK18" s="24">
        <f t="shared" si="200"/>
        <v>1064908</v>
      </c>
      <c r="AGL18" s="24">
        <f t="shared" si="200"/>
        <v>631000</v>
      </c>
      <c r="AGM18" s="24">
        <f t="shared" si="200"/>
        <v>241025</v>
      </c>
      <c r="AGN18" s="24">
        <f t="shared" si="200"/>
        <v>110000</v>
      </c>
      <c r="AGO18" s="24">
        <f t="shared" si="200"/>
        <v>1143000</v>
      </c>
      <c r="AGP18" s="24">
        <f t="shared" si="200"/>
        <v>912234</v>
      </c>
      <c r="AGQ18" s="24">
        <f t="shared" si="200"/>
        <v>785990</v>
      </c>
      <c r="AGR18" s="24">
        <f t="shared" si="200"/>
        <v>460917</v>
      </c>
      <c r="AGS18" s="24">
        <f t="shared" si="200"/>
        <v>824500</v>
      </c>
      <c r="AGT18" s="24">
        <f t="shared" si="200"/>
        <v>100000</v>
      </c>
      <c r="AGU18" s="24">
        <f t="shared" si="200"/>
        <v>203790</v>
      </c>
      <c r="AGV18" s="24">
        <f t="shared" si="200"/>
        <v>442000</v>
      </c>
      <c r="AGW18" s="24">
        <f t="shared" si="200"/>
        <v>746000</v>
      </c>
      <c r="AGX18" s="24">
        <f t="shared" si="200"/>
        <v>600000</v>
      </c>
      <c r="AGY18" s="127">
        <f t="shared" si="125"/>
        <v>37280534</v>
      </c>
      <c r="AGZ18" s="24">
        <f t="shared" ref="AGZ18:AID18" si="201">SUM(AGZ13:AGZ17)</f>
        <v>630000</v>
      </c>
      <c r="AHA18" s="24">
        <f t="shared" si="201"/>
        <v>634000</v>
      </c>
      <c r="AHB18" s="24">
        <f t="shared" si="201"/>
        <v>370033</v>
      </c>
      <c r="AHC18" s="24">
        <f t="shared" si="201"/>
        <v>445404</v>
      </c>
      <c r="AHD18" s="24">
        <f t="shared" si="201"/>
        <v>1062395</v>
      </c>
      <c r="AHE18" s="24">
        <f t="shared" si="201"/>
        <v>634976</v>
      </c>
      <c r="AHF18" s="24">
        <f t="shared" si="201"/>
        <v>1200120</v>
      </c>
      <c r="AHG18" s="24">
        <f t="shared" si="201"/>
        <v>0</v>
      </c>
      <c r="AHH18" s="24">
        <f t="shared" si="201"/>
        <v>225000</v>
      </c>
      <c r="AHI18" s="24">
        <f t="shared" si="201"/>
        <v>1642000</v>
      </c>
      <c r="AHJ18" s="24">
        <f t="shared" si="201"/>
        <v>555700</v>
      </c>
      <c r="AHK18" s="24">
        <f t="shared" si="201"/>
        <v>278478</v>
      </c>
      <c r="AHL18" s="24">
        <f t="shared" si="201"/>
        <v>415000</v>
      </c>
      <c r="AHM18" s="24">
        <f t="shared" si="201"/>
        <v>1343010</v>
      </c>
      <c r="AHN18" s="24">
        <f t="shared" si="201"/>
        <v>500000</v>
      </c>
      <c r="AHO18" s="24">
        <f t="shared" si="201"/>
        <v>100000</v>
      </c>
      <c r="AHP18" s="24">
        <f t="shared" si="201"/>
        <v>520109</v>
      </c>
      <c r="AHQ18" s="24">
        <f t="shared" si="201"/>
        <v>372945</v>
      </c>
      <c r="AHR18" s="24">
        <f t="shared" si="201"/>
        <v>889725</v>
      </c>
      <c r="AHS18" s="24">
        <f t="shared" si="201"/>
        <v>555000</v>
      </c>
      <c r="AHT18" s="24">
        <f t="shared" si="201"/>
        <v>929235</v>
      </c>
      <c r="AHU18" s="24">
        <f t="shared" si="201"/>
        <v>500000</v>
      </c>
      <c r="AHV18" s="24">
        <f t="shared" si="201"/>
        <v>120000</v>
      </c>
      <c r="AHW18" s="24">
        <f t="shared" si="201"/>
        <v>299490</v>
      </c>
      <c r="AHX18" s="24">
        <f t="shared" si="201"/>
        <v>664669</v>
      </c>
      <c r="AHY18" s="24">
        <f t="shared" si="201"/>
        <v>861797</v>
      </c>
      <c r="AHZ18" s="24">
        <f t="shared" si="201"/>
        <v>385000</v>
      </c>
      <c r="AIA18" s="24">
        <f t="shared" si="201"/>
        <v>547674</v>
      </c>
      <c r="AIB18" s="24">
        <f t="shared" si="201"/>
        <v>235000</v>
      </c>
      <c r="AIC18" s="24">
        <f t="shared" si="201"/>
        <v>632000</v>
      </c>
      <c r="AID18" s="24">
        <f t="shared" si="201"/>
        <v>170000</v>
      </c>
      <c r="AIE18" s="127">
        <f>SUM(AGZ18:AID18)</f>
        <v>17718760</v>
      </c>
      <c r="AIF18" s="24">
        <f t="shared" ref="AIF18:AJJ18" si="202">SUM(AIF13:AIF17)</f>
        <v>350000</v>
      </c>
      <c r="AIG18" s="24">
        <f t="shared" si="202"/>
        <v>805646</v>
      </c>
      <c r="AIH18" s="24">
        <f t="shared" si="202"/>
        <v>270000</v>
      </c>
      <c r="AII18" s="24">
        <f t="shared" si="202"/>
        <v>823539</v>
      </c>
      <c r="AIJ18" s="24">
        <f t="shared" si="202"/>
        <v>1413000</v>
      </c>
      <c r="AIK18" s="24">
        <f t="shared" si="202"/>
        <v>440989</v>
      </c>
      <c r="AIL18" s="24">
        <f t="shared" si="202"/>
        <v>1713666</v>
      </c>
      <c r="AIM18" s="24">
        <f t="shared" si="202"/>
        <v>1005000</v>
      </c>
      <c r="AIN18" s="24">
        <f t="shared" si="202"/>
        <v>1037774</v>
      </c>
      <c r="AIO18" s="24">
        <f t="shared" si="202"/>
        <v>2552655</v>
      </c>
      <c r="AIP18" s="24">
        <f t="shared" si="202"/>
        <v>476093</v>
      </c>
      <c r="AIQ18" s="24">
        <f t="shared" si="202"/>
        <v>1402112</v>
      </c>
      <c r="AIR18" s="24">
        <f t="shared" si="202"/>
        <v>160000</v>
      </c>
      <c r="AIS18" s="24">
        <f t="shared" si="202"/>
        <v>150000</v>
      </c>
      <c r="AIT18" s="24">
        <f t="shared" si="202"/>
        <v>55000</v>
      </c>
      <c r="AIU18" s="24">
        <f t="shared" si="202"/>
        <v>265000</v>
      </c>
      <c r="AIV18" s="24">
        <f t="shared" si="202"/>
        <v>130000</v>
      </c>
      <c r="AIW18" s="24">
        <f t="shared" si="202"/>
        <v>189000</v>
      </c>
      <c r="AIX18" s="24">
        <f t="shared" si="202"/>
        <v>795000</v>
      </c>
      <c r="AIY18" s="24">
        <f t="shared" si="202"/>
        <v>150000</v>
      </c>
      <c r="AIZ18" s="24">
        <f t="shared" si="202"/>
        <v>594147</v>
      </c>
      <c r="AJA18" s="24">
        <f t="shared" si="202"/>
        <v>755480</v>
      </c>
      <c r="AJB18" s="24">
        <f t="shared" si="202"/>
        <v>210000</v>
      </c>
      <c r="AJC18" s="24">
        <f t="shared" si="202"/>
        <v>524000</v>
      </c>
      <c r="AJD18" s="24">
        <f t="shared" si="202"/>
        <v>330000</v>
      </c>
      <c r="AJE18" s="24">
        <f t="shared" si="202"/>
        <v>170000</v>
      </c>
      <c r="AJF18" s="24">
        <f t="shared" si="202"/>
        <v>514000</v>
      </c>
      <c r="AJG18" s="24">
        <f t="shared" si="202"/>
        <v>1839650</v>
      </c>
      <c r="AJH18" s="24">
        <f t="shared" si="202"/>
        <v>410000</v>
      </c>
      <c r="AJI18" s="24">
        <f t="shared" si="202"/>
        <v>1175969</v>
      </c>
      <c r="AJJ18" s="24">
        <f t="shared" si="202"/>
        <v>464458</v>
      </c>
      <c r="AJK18" s="127">
        <f>SUM(AIF18:AJJ18)</f>
        <v>21172178</v>
      </c>
      <c r="AJL18" s="24">
        <f t="shared" ref="AJL18:AKM18" si="203">SUM(AJL13:AJL17)</f>
        <v>369400</v>
      </c>
      <c r="AJM18" s="24">
        <f t="shared" si="203"/>
        <v>621930</v>
      </c>
      <c r="AJN18" s="24">
        <f t="shared" si="203"/>
        <v>1310171</v>
      </c>
      <c r="AJO18" s="24">
        <f t="shared" si="203"/>
        <v>1557022</v>
      </c>
      <c r="AJP18" s="24">
        <f t="shared" si="203"/>
        <v>457616</v>
      </c>
      <c r="AJQ18" s="24">
        <f t="shared" si="203"/>
        <v>655000</v>
      </c>
      <c r="AJR18" s="24">
        <f t="shared" si="203"/>
        <v>656923</v>
      </c>
      <c r="AJS18" s="24">
        <f t="shared" si="203"/>
        <v>1505485</v>
      </c>
      <c r="AJT18" s="24">
        <f t="shared" si="203"/>
        <v>584910</v>
      </c>
      <c r="AJU18" s="24">
        <f t="shared" si="203"/>
        <v>179980</v>
      </c>
      <c r="AJV18" s="24">
        <f t="shared" si="203"/>
        <v>275389</v>
      </c>
      <c r="AJW18" s="24">
        <f t="shared" si="203"/>
        <v>280000</v>
      </c>
      <c r="AJX18" s="24">
        <f t="shared" si="203"/>
        <v>430000</v>
      </c>
      <c r="AJY18" s="24">
        <f t="shared" si="203"/>
        <v>515316</v>
      </c>
      <c r="AJZ18" s="24">
        <f t="shared" si="203"/>
        <v>488000</v>
      </c>
      <c r="AKA18" s="24">
        <f t="shared" si="203"/>
        <v>696953</v>
      </c>
      <c r="AKB18" s="24">
        <f t="shared" si="203"/>
        <v>190033</v>
      </c>
      <c r="AKC18" s="24">
        <f t="shared" si="203"/>
        <v>424916</v>
      </c>
      <c r="AKD18" s="24">
        <f t="shared" si="203"/>
        <v>551960</v>
      </c>
      <c r="AKE18" s="24">
        <f t="shared" si="203"/>
        <v>1186068</v>
      </c>
      <c r="AKF18" s="24">
        <f t="shared" si="203"/>
        <v>551571</v>
      </c>
      <c r="AKG18" s="24">
        <f t="shared" si="203"/>
        <v>703233</v>
      </c>
      <c r="AKH18" s="24">
        <f t="shared" si="203"/>
        <v>870000</v>
      </c>
      <c r="AKI18" s="24">
        <f t="shared" si="203"/>
        <v>986178</v>
      </c>
      <c r="AKJ18" s="24">
        <f t="shared" si="203"/>
        <v>765925</v>
      </c>
      <c r="AKK18" s="24">
        <f t="shared" si="203"/>
        <v>696000</v>
      </c>
      <c r="AKL18" s="24">
        <f t="shared" si="203"/>
        <v>830000</v>
      </c>
      <c r="AKM18" s="24">
        <f t="shared" si="203"/>
        <v>773000</v>
      </c>
      <c r="AKN18" s="127">
        <f t="shared" si="11"/>
        <v>19112979</v>
      </c>
      <c r="AKO18" s="24">
        <f t="shared" ref="AKO18:ALS18" si="204">SUM(AKO13:AKO17)</f>
        <v>1515971</v>
      </c>
      <c r="AKP18" s="24">
        <f t="shared" si="204"/>
        <v>388868</v>
      </c>
      <c r="AKQ18" s="24">
        <f t="shared" si="204"/>
        <v>1077755</v>
      </c>
      <c r="AKR18" s="24">
        <f t="shared" si="204"/>
        <v>489200</v>
      </c>
      <c r="AKS18" s="24">
        <f t="shared" si="204"/>
        <v>296154</v>
      </c>
      <c r="AKT18" s="24">
        <f t="shared" si="204"/>
        <v>939000</v>
      </c>
      <c r="AKU18" s="24">
        <f t="shared" si="204"/>
        <v>3008704</v>
      </c>
      <c r="AKV18" s="24">
        <f t="shared" si="204"/>
        <v>255000</v>
      </c>
      <c r="AKW18" s="24">
        <f t="shared" si="204"/>
        <v>1936074</v>
      </c>
      <c r="AKX18" s="24">
        <f t="shared" si="204"/>
        <v>1136314</v>
      </c>
      <c r="AKY18" s="24">
        <f t="shared" si="204"/>
        <v>819103</v>
      </c>
      <c r="AKZ18" s="24">
        <f t="shared" si="204"/>
        <v>711000</v>
      </c>
      <c r="ALA18" s="24">
        <f t="shared" si="204"/>
        <v>370000</v>
      </c>
      <c r="ALB18" s="24">
        <f t="shared" si="204"/>
        <v>796980</v>
      </c>
      <c r="ALC18" s="24">
        <f t="shared" si="204"/>
        <v>380000</v>
      </c>
      <c r="ALD18" s="24">
        <f t="shared" si="204"/>
        <v>1798061</v>
      </c>
      <c r="ALE18" s="24">
        <f t="shared" si="204"/>
        <v>532994</v>
      </c>
      <c r="ALF18" s="24">
        <f t="shared" si="204"/>
        <v>50000</v>
      </c>
      <c r="ALG18" s="24">
        <f t="shared" si="204"/>
        <v>1400000</v>
      </c>
      <c r="ALH18" s="24">
        <f t="shared" si="204"/>
        <v>865000</v>
      </c>
      <c r="ALI18" s="24">
        <f t="shared" si="204"/>
        <v>230000</v>
      </c>
      <c r="ALJ18" s="24">
        <f t="shared" si="204"/>
        <v>200000</v>
      </c>
      <c r="ALK18" s="24">
        <f t="shared" si="204"/>
        <v>356490</v>
      </c>
      <c r="ALL18" s="24">
        <f t="shared" si="204"/>
        <v>912000</v>
      </c>
      <c r="ALM18" s="24">
        <f t="shared" si="204"/>
        <v>635000</v>
      </c>
      <c r="ALN18" s="24">
        <f t="shared" si="204"/>
        <v>500000</v>
      </c>
      <c r="ALO18" s="24">
        <f t="shared" si="204"/>
        <v>533000</v>
      </c>
      <c r="ALP18" s="24">
        <f t="shared" si="204"/>
        <v>1009486</v>
      </c>
      <c r="ALQ18" s="24">
        <f t="shared" si="204"/>
        <v>1306086</v>
      </c>
      <c r="ALR18" s="24">
        <f t="shared" si="204"/>
        <v>932000</v>
      </c>
      <c r="ALS18" s="24">
        <f t="shared" si="204"/>
        <v>654905</v>
      </c>
      <c r="ALT18" s="127">
        <f t="shared" si="12"/>
        <v>26035145</v>
      </c>
      <c r="ALU18" s="24">
        <f t="shared" ref="ALU18:AMX18" si="205">SUM(ALU13:ALU17)</f>
        <v>1222000</v>
      </c>
      <c r="ALV18" s="24">
        <f t="shared" si="205"/>
        <v>340000</v>
      </c>
      <c r="ALW18" s="24">
        <f t="shared" si="205"/>
        <v>626351</v>
      </c>
      <c r="ALX18" s="24">
        <f t="shared" si="205"/>
        <v>286768</v>
      </c>
      <c r="ALY18" s="24">
        <f t="shared" si="205"/>
        <v>288000</v>
      </c>
      <c r="ALZ18" s="24">
        <f t="shared" si="205"/>
        <v>1090748</v>
      </c>
      <c r="AMA18" s="24">
        <f t="shared" si="205"/>
        <v>802515</v>
      </c>
      <c r="AMB18" s="24">
        <f t="shared" si="205"/>
        <v>1340278</v>
      </c>
      <c r="AMC18" s="24">
        <f t="shared" si="205"/>
        <v>1769362</v>
      </c>
      <c r="AMD18" s="24">
        <f t="shared" si="205"/>
        <v>1171200</v>
      </c>
      <c r="AME18" s="24">
        <f t="shared" si="205"/>
        <v>680000</v>
      </c>
      <c r="AMF18" s="24">
        <f t="shared" si="205"/>
        <v>439188</v>
      </c>
      <c r="AMG18" s="24">
        <f t="shared" si="205"/>
        <v>1508740</v>
      </c>
      <c r="AMH18" s="24">
        <f t="shared" si="205"/>
        <v>579000</v>
      </c>
      <c r="AMI18" s="24">
        <f t="shared" si="205"/>
        <v>1158891</v>
      </c>
      <c r="AMJ18" s="24">
        <f t="shared" si="205"/>
        <v>580050</v>
      </c>
      <c r="AMK18" s="24">
        <f t="shared" si="205"/>
        <v>495000</v>
      </c>
      <c r="AML18" s="24">
        <f t="shared" si="205"/>
        <v>600000</v>
      </c>
      <c r="AMM18" s="24">
        <f t="shared" si="205"/>
        <v>705000</v>
      </c>
      <c r="AMN18" s="24">
        <f t="shared" si="205"/>
        <v>686945</v>
      </c>
      <c r="AMO18" s="24">
        <f t="shared" si="205"/>
        <v>1060000</v>
      </c>
      <c r="AMP18" s="24">
        <f t="shared" si="205"/>
        <v>2239700</v>
      </c>
      <c r="AMQ18" s="24">
        <f t="shared" si="205"/>
        <v>803534</v>
      </c>
      <c r="AMR18" s="24">
        <f t="shared" si="205"/>
        <v>1671899</v>
      </c>
      <c r="AMS18" s="24">
        <f t="shared" si="205"/>
        <v>625000</v>
      </c>
      <c r="AMT18" s="24">
        <f t="shared" si="205"/>
        <v>1075000</v>
      </c>
      <c r="AMU18" s="24">
        <f t="shared" si="205"/>
        <v>1026983</v>
      </c>
      <c r="AMV18" s="24">
        <f t="shared" si="205"/>
        <v>460500</v>
      </c>
      <c r="AMW18" s="24">
        <f t="shared" si="205"/>
        <v>873000</v>
      </c>
      <c r="AMX18" s="24">
        <f t="shared" si="205"/>
        <v>314173</v>
      </c>
      <c r="AMY18" s="127">
        <f t="shared" si="13"/>
        <v>26519825</v>
      </c>
      <c r="AMZ18" s="24">
        <f t="shared" ref="AMZ18:AOC18" si="206">SUM(AMZ13:AMZ17)</f>
        <v>968818</v>
      </c>
      <c r="ANA18" s="24">
        <f t="shared" si="206"/>
        <v>1880729</v>
      </c>
      <c r="ANB18" s="24">
        <f t="shared" si="206"/>
        <v>315027</v>
      </c>
      <c r="ANC18" s="24">
        <f t="shared" si="206"/>
        <v>887136</v>
      </c>
      <c r="AND18" s="24">
        <f t="shared" si="206"/>
        <v>1244859</v>
      </c>
      <c r="ANE18" s="24">
        <f t="shared" si="206"/>
        <v>1638020</v>
      </c>
      <c r="ANF18" s="24">
        <f t="shared" si="206"/>
        <v>2755990</v>
      </c>
      <c r="ANG18" s="24">
        <f t="shared" si="206"/>
        <v>600000</v>
      </c>
      <c r="ANH18" s="24">
        <f t="shared" si="206"/>
        <v>1091816</v>
      </c>
      <c r="ANI18" s="24">
        <f t="shared" si="206"/>
        <v>1273830</v>
      </c>
      <c r="ANJ18" s="24">
        <f t="shared" si="206"/>
        <v>1342310</v>
      </c>
      <c r="ANK18" s="24">
        <f t="shared" si="206"/>
        <v>1019848</v>
      </c>
      <c r="ANL18" s="24">
        <f t="shared" si="206"/>
        <v>650000</v>
      </c>
      <c r="ANM18" s="24">
        <f t="shared" si="206"/>
        <v>728414</v>
      </c>
      <c r="ANN18" s="24">
        <f t="shared" si="206"/>
        <v>1022000</v>
      </c>
      <c r="ANO18" s="24">
        <f t="shared" si="206"/>
        <v>532500</v>
      </c>
      <c r="ANP18" s="24">
        <f t="shared" si="206"/>
        <v>659000</v>
      </c>
      <c r="ANQ18" s="24">
        <f t="shared" si="206"/>
        <v>300000</v>
      </c>
      <c r="ANR18" s="24">
        <f t="shared" si="206"/>
        <v>1077000</v>
      </c>
      <c r="ANS18" s="24">
        <f t="shared" si="206"/>
        <v>1242207</v>
      </c>
      <c r="ANT18" s="24">
        <f t="shared" si="206"/>
        <v>534000</v>
      </c>
      <c r="ANU18" s="24">
        <f t="shared" si="206"/>
        <v>1991147</v>
      </c>
      <c r="ANV18" s="24">
        <f t="shared" si="206"/>
        <v>2259689</v>
      </c>
      <c r="ANW18" s="24">
        <f t="shared" si="206"/>
        <v>1283948</v>
      </c>
      <c r="ANX18" s="24">
        <f t="shared" si="206"/>
        <v>3976975</v>
      </c>
      <c r="ANY18" s="24">
        <f t="shared" si="206"/>
        <v>3934095</v>
      </c>
      <c r="ANZ18" s="24">
        <f t="shared" si="206"/>
        <v>1432422</v>
      </c>
      <c r="AOA18" s="24">
        <f t="shared" si="206"/>
        <v>2086250</v>
      </c>
      <c r="AOB18" s="24">
        <f t="shared" si="206"/>
        <v>2613687</v>
      </c>
      <c r="AOC18" s="24">
        <f t="shared" si="206"/>
        <v>2988084</v>
      </c>
    </row>
    <row r="19" spans="1:1069" ht="15" customHeight="1" x14ac:dyDescent="0.2">
      <c r="A19" s="169" t="s">
        <v>1515</v>
      </c>
      <c r="B19" s="5" t="s">
        <v>1516</v>
      </c>
      <c r="C19" s="22">
        <v>99000</v>
      </c>
      <c r="D19" s="22">
        <v>0</v>
      </c>
      <c r="E19" s="22">
        <f>160000+22000+12000+20000</f>
        <v>214000</v>
      </c>
      <c r="F19" s="22">
        <v>80000</v>
      </c>
      <c r="G19" s="22">
        <f>320000+44000+10000</f>
        <v>374000</v>
      </c>
      <c r="H19" s="22">
        <v>24000</v>
      </c>
      <c r="I19" s="22">
        <v>0</v>
      </c>
      <c r="J19" s="22">
        <f>160000+36000</f>
        <v>196000</v>
      </c>
      <c r="K19" s="22">
        <f>80000+22000+9500</f>
        <v>111500</v>
      </c>
      <c r="L19" s="22">
        <f>22000+11000</f>
        <v>33000</v>
      </c>
      <c r="M19" s="22">
        <f>22000+80000+90000+300000</f>
        <v>492000</v>
      </c>
      <c r="N19" s="22">
        <f>72000+27500</f>
        <v>99500</v>
      </c>
      <c r="O19" s="22">
        <f>144000+26000</f>
        <v>170000</v>
      </c>
      <c r="P19" s="22">
        <f>18000+10000</f>
        <v>28000</v>
      </c>
      <c r="Q19" s="22">
        <f>72000+200000+88000+48000</f>
        <v>408000</v>
      </c>
      <c r="R19" s="22">
        <f>18000+80000+11000+9500</f>
        <v>118500</v>
      </c>
      <c r="S19" s="22">
        <v>72000</v>
      </c>
      <c r="T19" s="22">
        <f>36000+100000+44000+9500+27500</f>
        <v>217000</v>
      </c>
      <c r="U19" s="22">
        <f>18000+27500</f>
        <v>45500</v>
      </c>
      <c r="V19" s="22">
        <f>80000+100000+27500</f>
        <v>207500</v>
      </c>
      <c r="W19" s="22">
        <f>80000+100000+20000+9500</f>
        <v>209500</v>
      </c>
      <c r="X19" s="22">
        <v>10000</v>
      </c>
      <c r="Y19" s="22">
        <f>20000+36000+72000</f>
        <v>128000</v>
      </c>
      <c r="Z19" s="22">
        <f>100000+44000+11000</f>
        <v>155000</v>
      </c>
      <c r="AA19" s="22">
        <f>10000+19000</f>
        <v>29000</v>
      </c>
      <c r="AB19" s="22">
        <f>100000+88000+36000+19000+8000</f>
        <v>251000</v>
      </c>
      <c r="AC19" s="22">
        <f>72000+9500</f>
        <v>81500</v>
      </c>
      <c r="AD19" s="22">
        <v>254000</v>
      </c>
      <c r="AE19" s="22">
        <v>10000</v>
      </c>
      <c r="AF19" s="22">
        <f>72000+18000+22000+22000+24000+80000</f>
        <v>238000</v>
      </c>
      <c r="AG19" s="22">
        <f>160000+10000+10000+9500</f>
        <v>189500</v>
      </c>
      <c r="AH19" s="94">
        <f t="shared" si="90"/>
        <v>4545000</v>
      </c>
      <c r="AI19">
        <f>160000+11000+72000+39000</f>
        <v>282000</v>
      </c>
      <c r="AJ19">
        <f>72000+12000+9500</f>
        <v>93500</v>
      </c>
      <c r="AK19">
        <f>144000+12000</f>
        <v>156000</v>
      </c>
      <c r="AL19">
        <f>18000+12000</f>
        <v>30000</v>
      </c>
      <c r="AM19">
        <f>36000+9500</f>
        <v>45500</v>
      </c>
      <c r="AN19">
        <v>72000</v>
      </c>
      <c r="AO19">
        <v>0</v>
      </c>
      <c r="AP19">
        <f>72000+20000</f>
        <v>92000</v>
      </c>
      <c r="AQ19">
        <f>72000+84000+9500+36000+22000+58500</f>
        <v>282000</v>
      </c>
      <c r="AR19">
        <f>100000+44000+9500+27500</f>
        <v>181000</v>
      </c>
      <c r="AS19">
        <f>80000+72000+36000</f>
        <v>188000</v>
      </c>
      <c r="AT19">
        <f>80000+11000+18000+216000+18000+95000+39000</f>
        <v>477000</v>
      </c>
      <c r="AU19">
        <f>95000+78000+100000+44000+9500+27500</f>
        <v>354000</v>
      </c>
      <c r="AV19">
        <f>18000+144000</f>
        <v>162000</v>
      </c>
      <c r="AW19">
        <f>95000+39000+12000+11000</f>
        <v>157000</v>
      </c>
      <c r="AX19">
        <f>100000+22000+110000+11000</f>
        <v>243000</v>
      </c>
      <c r="AY19">
        <f>39000+72000+36000+19000+10000</f>
        <v>176000</v>
      </c>
      <c r="AZ19">
        <f>72000+22000</f>
        <v>94000</v>
      </c>
      <c r="BA19">
        <f>54000+10000+95000+58500+80000+100000+44000</f>
        <v>441500</v>
      </c>
      <c r="BB19">
        <f>12000+95000+144000+18000</f>
        <v>269000</v>
      </c>
      <c r="BC19">
        <f>24000+80000+44000</f>
        <v>148000</v>
      </c>
      <c r="BD19">
        <v>0</v>
      </c>
      <c r="BE19">
        <f>95000+58500+216000+18000+10000+9500+36000</f>
        <v>443000</v>
      </c>
      <c r="BF19">
        <v>0</v>
      </c>
      <c r="BG19">
        <f>108000+20000+80000+11000</f>
        <v>219000</v>
      </c>
      <c r="BH19">
        <f>36000+95000+19500+144000+160000+11000</f>
        <v>465500</v>
      </c>
      <c r="BI19">
        <f>100000+44000+190000+58500+36000+24000</f>
        <v>452500</v>
      </c>
      <c r="BJ19">
        <f>54000+20000+18000+60000</f>
        <v>152000</v>
      </c>
      <c r="BK19">
        <f>18000+30000+18000+120000+11000</f>
        <v>197000</v>
      </c>
      <c r="BL19">
        <f>44000+30000+19000+400000+22000</f>
        <v>515000</v>
      </c>
      <c r="BM19" s="97">
        <f t="shared" si="92"/>
        <v>6387500</v>
      </c>
      <c r="BN19">
        <f>80000+20000+9500</f>
        <v>109500</v>
      </c>
      <c r="BO19">
        <f>11000+70000</f>
        <v>81000</v>
      </c>
      <c r="BP19">
        <f>80000+19000</f>
        <v>99000</v>
      </c>
      <c r="BQ19">
        <f>285000+19500+18000+10000+160000+11000+24000</f>
        <v>527500</v>
      </c>
      <c r="BR19">
        <f>80000+10000+18000+10000</f>
        <v>118000</v>
      </c>
      <c r="BS19">
        <f>80000+10000+18000+9500+12000</f>
        <v>129500</v>
      </c>
      <c r="BT19">
        <f>132000+80000+12000+22000+80000</f>
        <v>326000</v>
      </c>
      <c r="BU19">
        <f>110000+11000+120000+10000</f>
        <v>251000</v>
      </c>
      <c r="BV19">
        <v>19000</v>
      </c>
      <c r="BW19">
        <f>154000+18000+39000+22000</f>
        <v>233000</v>
      </c>
      <c r="BX19">
        <f>77000+36000</f>
        <v>113000</v>
      </c>
      <c r="BY19">
        <f>80000+22000+176000+190000+156000</f>
        <v>624000</v>
      </c>
      <c r="BZ19">
        <v>58500</v>
      </c>
      <c r="CA19">
        <f>72000+76000</f>
        <v>148000</v>
      </c>
      <c r="CB19">
        <f>12000+20000+72000+18000</f>
        <v>122000</v>
      </c>
      <c r="CC19">
        <v>46000</v>
      </c>
      <c r="CD19">
        <f>448000+92000+24000+76000+10000</f>
        <v>650000</v>
      </c>
      <c r="CF19">
        <f>120000+36000+24000+10000</f>
        <v>190000</v>
      </c>
      <c r="CG19">
        <f>20000+48000</f>
        <v>68000</v>
      </c>
      <c r="CH19">
        <f>380000+20000+107000+44000</f>
        <v>551000</v>
      </c>
      <c r="CI19">
        <f>76000+10000+72000+56000</f>
        <v>214000</v>
      </c>
      <c r="CJ19">
        <f>76000+30000+200000</f>
        <v>306000</v>
      </c>
      <c r="CK19">
        <f>76000+30000+12000+112000+46000</f>
        <v>276000</v>
      </c>
      <c r="CL19">
        <f>56000+40000+160000</f>
        <v>256000</v>
      </c>
      <c r="CM19">
        <v>56000</v>
      </c>
      <c r="CN19">
        <f>152000+30000+48000</f>
        <v>230000</v>
      </c>
      <c r="CO19">
        <f>20000+144000+45000</f>
        <v>209000</v>
      </c>
      <c r="CP19">
        <f>152000+50000+72000+27500+10000</f>
        <v>311500</v>
      </c>
      <c r="CQ19">
        <f>20000+20000+200000+40000+190000</f>
        <v>470000</v>
      </c>
      <c r="CR19">
        <f>152000+20000+50000+20000+10000+72000</f>
        <v>324000</v>
      </c>
      <c r="CS19" s="111">
        <f t="shared" si="10"/>
        <v>7116500</v>
      </c>
      <c r="CT19">
        <f>36000+896000+56000+92000+12000+10000+76000</f>
        <v>1178000</v>
      </c>
      <c r="CU19">
        <f>200000+150000</f>
        <v>350000</v>
      </c>
      <c r="CV19">
        <f>10000+12000+70000+76000+72000+350000</f>
        <v>590000</v>
      </c>
      <c r="CW19">
        <f>280000+684000+672000+100000+400000+40000+72000+12000</f>
        <v>2260000</v>
      </c>
      <c r="CX19">
        <f>200000+50000+112000+69000+24000+40000+76000+224000+112000</f>
        <v>907000</v>
      </c>
      <c r="CY19">
        <f>152000+20000+112000+24000+92000+10000</f>
        <v>410000</v>
      </c>
      <c r="CZ19">
        <f>40000+60000+10000</f>
        <v>110000</v>
      </c>
      <c r="DA19">
        <f>20000+76000+20000+20000+112000+22000+448000</f>
        <v>718000</v>
      </c>
      <c r="DB19">
        <f>100000+76000+216000+20000+40000+36000+10000+24000</f>
        <v>522000</v>
      </c>
      <c r="DC19">
        <f>72000+130000+160000+20000+18000+20000</f>
        <v>420000</v>
      </c>
      <c r="DD19">
        <f>12000+40000+80000+18000</f>
        <v>150000</v>
      </c>
      <c r="DE19">
        <f>12000+160000+160000+95000+20000+224000+224000+144000+10000+200000+27500+20000</f>
        <v>1296500</v>
      </c>
      <c r="DF19">
        <f>30000+80000+72000</f>
        <v>182000</v>
      </c>
      <c r="DG19">
        <f>120000+224000+56000+160000+40000+18000+200000</f>
        <v>818000</v>
      </c>
      <c r="DH19">
        <f>80000+72000+224000+56000+10000+20000</f>
        <v>462000</v>
      </c>
      <c r="DI19">
        <f>100000+10000+12000</f>
        <v>122000</v>
      </c>
      <c r="DJ19">
        <f>112000+220000+10000+18000+320000+40000</f>
        <v>720000</v>
      </c>
      <c r="DK19">
        <f>214000+36000+80000+200000+150000+69000</f>
        <v>749000</v>
      </c>
      <c r="DL19">
        <f>160000+18000+50000+10000</f>
        <v>238000</v>
      </c>
      <c r="DM19">
        <f>60000+72000+200000+20000+190000</f>
        <v>542000</v>
      </c>
      <c r="DN19">
        <f>72000+115000+224000+56000+160000+20000</f>
        <v>647000</v>
      </c>
      <c r="DO19">
        <f>72000+224000+224000</f>
        <v>520000</v>
      </c>
      <c r="DP19">
        <f>144000+120000+160000</f>
        <v>424000</v>
      </c>
      <c r="DQ19">
        <f>144000+46000+112000</f>
        <v>302000</v>
      </c>
      <c r="DR19">
        <f>480000+40000+60000+95000+105000+44000+72000</f>
        <v>896000</v>
      </c>
      <c r="DS19">
        <f>72000+20000+36000</f>
        <v>128000</v>
      </c>
      <c r="DT19">
        <f>288000+66000+10000</f>
        <v>364000</v>
      </c>
      <c r="DU19">
        <f>144000+160000+40000+22000</f>
        <v>366000</v>
      </c>
      <c r="DV19">
        <f>72000+54000+40000+475000+80000</f>
        <v>721000</v>
      </c>
      <c r="DW19">
        <f>216000+18000+50000</f>
        <v>284000</v>
      </c>
      <c r="DX19" s="119">
        <f t="shared" si="95"/>
        <v>17396500</v>
      </c>
      <c r="DY19">
        <f>80000+160000+22000</f>
        <v>262000</v>
      </c>
      <c r="DZ19">
        <f>40000+95000+10000+50000</f>
        <v>195000</v>
      </c>
      <c r="EA19">
        <f>10000+95000+40000+144000+22000+80000</f>
        <v>391000</v>
      </c>
      <c r="EB19">
        <f>20000+20000+150000+72000+160000+12000</f>
        <v>434000</v>
      </c>
      <c r="EC19">
        <f>144000+107000+44000+22000</f>
        <v>317000</v>
      </c>
      <c r="ED19">
        <f>144000+22000+20000+36000+80000+100000+95000</f>
        <v>497000</v>
      </c>
      <c r="EE19">
        <f>66000+107000+400000+50000+320000+40000</f>
        <v>983000</v>
      </c>
      <c r="EF19">
        <f>432000+40000+200000+200000+285000+36000+10000+11000</f>
        <v>1214000</v>
      </c>
      <c r="EG19">
        <f>30000+72000+200000+12000</f>
        <v>314000</v>
      </c>
      <c r="EH19">
        <f>18000+72000+22000</f>
        <v>112000</v>
      </c>
      <c r="EI19">
        <v>36000</v>
      </c>
      <c r="EJ19">
        <f>144000+60000+320000+20000+56000+224000</f>
        <v>824000</v>
      </c>
      <c r="EK19">
        <f>144000+240000+22000+10000+36000</f>
        <v>452000</v>
      </c>
      <c r="EL19">
        <f>90000+200000+240000</f>
        <v>530000</v>
      </c>
      <c r="EM19">
        <f>18000+144000+95000+60000</f>
        <v>317000</v>
      </c>
      <c r="EN19">
        <f>10000+115000+46000+22000+72000+50000</f>
        <v>315000</v>
      </c>
      <c r="EO19">
        <f>112000+224000+200000+120000</f>
        <v>656000</v>
      </c>
      <c r="EP19">
        <f>216000+18000+12000+22000+150000+200000+56000+224000</f>
        <v>898000</v>
      </c>
      <c r="EQ19">
        <f>10000+12000+144000+300000+107000+44000</f>
        <v>617000</v>
      </c>
      <c r="ER19">
        <f>216000+400000+23000+112000</f>
        <v>751000</v>
      </c>
      <c r="ES19">
        <f>72000+50000+336000+224000+112000+10000+152000+22000</f>
        <v>978000</v>
      </c>
      <c r="ET19">
        <f>214000+110000+250000+56000+20000+152000+100000+95000</f>
        <v>997000</v>
      </c>
      <c r="EU19">
        <f>110000+76000+108000+224000+20000+24000+10000</f>
        <v>572000</v>
      </c>
      <c r="EV19">
        <f>304000+80000+44000+18000+44000</f>
        <v>490000</v>
      </c>
      <c r="EW19">
        <f>20000+56000</f>
        <v>76000</v>
      </c>
      <c r="EX19">
        <f>90000+152000+40000+500000</f>
        <v>782000</v>
      </c>
      <c r="EY19">
        <f>70000+76000+36000+56000+132000+22000</f>
        <v>392000</v>
      </c>
      <c r="EZ19">
        <f>80000+152000+168000+224000+22000+24000+50000</f>
        <v>720000</v>
      </c>
      <c r="FA19">
        <f>80000+56000+40000+160000+10000+22000+107000+44000+18000</f>
        <v>537000</v>
      </c>
      <c r="FB19">
        <f>90000+152000+20000+160000+107000</f>
        <v>529000</v>
      </c>
      <c r="FC19">
        <v>100000</v>
      </c>
      <c r="FD19" s="128">
        <f t="shared" si="177"/>
        <v>16288000</v>
      </c>
      <c r="FE19">
        <f>70000+46000+112000+36000+285000+224000+56000</f>
        <v>829000</v>
      </c>
      <c r="FF19">
        <f>20000+95000</f>
        <v>115000</v>
      </c>
      <c r="FG19">
        <f>54000+10000+20000+56000</f>
        <v>140000</v>
      </c>
      <c r="FH19">
        <f>72000+160000+20000+20000</f>
        <v>272000</v>
      </c>
      <c r="FI19">
        <f>180000+320000+22000+200000+285000+22000+10000</f>
        <v>1039000</v>
      </c>
      <c r="FJ19">
        <f>168000+20000+10000+36000+112000+115000+22000</f>
        <v>483000</v>
      </c>
      <c r="FK19">
        <f>18000+160000+96000</f>
        <v>274000</v>
      </c>
      <c r="FL19">
        <v>0</v>
      </c>
      <c r="FM19">
        <f>12000+56000+160000+112000+23000+22000</f>
        <v>385000</v>
      </c>
      <c r="FN19">
        <f>36000+76000+20000+11000</f>
        <v>143000</v>
      </c>
      <c r="FO19">
        <f>76000+10000+24000</f>
        <v>110000</v>
      </c>
      <c r="FP19">
        <f>76000+10000+18000+92000+112000</f>
        <v>308000</v>
      </c>
      <c r="FQ19">
        <f>168000+80000+10000+72000</f>
        <v>330000</v>
      </c>
      <c r="FR19">
        <f>23000+112000+152000+60000+18000+20000</f>
        <v>385000</v>
      </c>
      <c r="FS19">
        <f>228000+10000+190000+80000+10000+672000+112000</f>
        <v>1302000</v>
      </c>
      <c r="FT19">
        <f>76000+224000+56000+18000+107000</f>
        <v>481000</v>
      </c>
      <c r="FU19">
        <f>152000+20000+30000+23000+10000</f>
        <v>235000</v>
      </c>
      <c r="FV19">
        <f>10000+22000+190000+100000+44000+107000</f>
        <v>473000</v>
      </c>
      <c r="FW19">
        <f>304000+50000+95000+20000+44000+107000+18000</f>
        <v>638000</v>
      </c>
      <c r="FX19">
        <f>152000+30000+160000+20000+24000</f>
        <v>386000</v>
      </c>
      <c r="FY19">
        <f>20000+151000</f>
        <v>171000</v>
      </c>
      <c r="FZ19">
        <f>95000+60000+22000+320000+54000+10000</f>
        <v>561000</v>
      </c>
      <c r="GA19">
        <f>36000+76000+20000</f>
        <v>132000</v>
      </c>
      <c r="GB19">
        <f>95000+20000+10000</f>
        <v>125000</v>
      </c>
      <c r="GC19">
        <f>160000+40000+10000+76000+20000+11000</f>
        <v>317000</v>
      </c>
      <c r="GD19">
        <f>214000+22000+20000+76000+18000+150000+285000+250000</f>
        <v>1035000</v>
      </c>
      <c r="GE19">
        <f>684000+20000+480000+56000+224000+24000+22000</f>
        <v>1510000</v>
      </c>
      <c r="GF19">
        <f>70000+27500</f>
        <v>97500</v>
      </c>
      <c r="GG19">
        <f>120000+10000+160000</f>
        <v>290000</v>
      </c>
      <c r="GH19">
        <v>20000</v>
      </c>
      <c r="GI19">
        <f>40000+76000+107000+44000+40000+95000</f>
        <v>402000</v>
      </c>
      <c r="GJ19" s="127">
        <f t="shared" si="99"/>
        <v>12988500</v>
      </c>
      <c r="GK19">
        <f>20000+76000+120000+18000</f>
        <v>234000</v>
      </c>
      <c r="GL19">
        <f>20000+228000+22000+56000+18000+160000+120000+10000</f>
        <v>634000</v>
      </c>
      <c r="GM19">
        <f>228000+30000+107000+44000</f>
        <v>409000</v>
      </c>
      <c r="GN19">
        <v>76000</v>
      </c>
      <c r="GO19">
        <f>76000+70000+72000+22000</f>
        <v>240000</v>
      </c>
      <c r="GP19">
        <f>76000+30000+18000+95000+160000+40000</f>
        <v>419000</v>
      </c>
      <c r="GQ19">
        <f>160000+18000+95000+60000+10000</f>
        <v>343000</v>
      </c>
      <c r="GR19">
        <v>80000</v>
      </c>
      <c r="GS19">
        <f>50000+160000+80000+112000</f>
        <v>402000</v>
      </c>
      <c r="GT19">
        <f>100000+280000</f>
        <v>380000</v>
      </c>
      <c r="GU19">
        <f>50000+320000+18000</f>
        <v>388000</v>
      </c>
      <c r="GV19">
        <f>60000+76000+380000+1280000+10000</f>
        <v>1806000</v>
      </c>
      <c r="GW19">
        <f>60000+76000+95000+60000+22000+448000</f>
        <v>761000</v>
      </c>
      <c r="GX19">
        <f>161000+12000+40000</f>
        <v>213000</v>
      </c>
      <c r="GY19">
        <f>40000+36000+36000</f>
        <v>112000</v>
      </c>
      <c r="GZ19">
        <f>105000+30000+30000+161000+90000+120000+160000+224000+112000</f>
        <v>1032000</v>
      </c>
      <c r="HA19">
        <f>95000+40000+600000+200000+240000+228000+100000+36000</f>
        <v>1539000</v>
      </c>
      <c r="HB19">
        <f>70000+76000+160000+161000+12000</f>
        <v>479000</v>
      </c>
      <c r="HC19">
        <f>10000+10000+95000+224000</f>
        <v>339000</v>
      </c>
      <c r="HD19">
        <f>60000+228000+18000</f>
        <v>306000</v>
      </c>
      <c r="HE19">
        <f>12000+18000+10000+100000+224000</f>
        <v>364000</v>
      </c>
      <c r="HF19">
        <f>76000+30000+40000+320000+24000</f>
        <v>490000</v>
      </c>
      <c r="HG19">
        <f>200000+200000+18000+112000+224000+112000+46000</f>
        <v>912000</v>
      </c>
      <c r="HH19">
        <f>160000+160000+200000+112000+224000</f>
        <v>856000</v>
      </c>
      <c r="HI19">
        <f>100000+200000+152000+10000+23000+10000+18000</f>
        <v>513000</v>
      </c>
      <c r="HJ19">
        <f>250000+600000+50000+40000+76000</f>
        <v>1016000</v>
      </c>
      <c r="HK19">
        <f>23000+18000+40000+76000+50000+200000</f>
        <v>407000</v>
      </c>
      <c r="HL19">
        <f>20000+304000+24000+50000+200000</f>
        <v>598000</v>
      </c>
      <c r="HM19">
        <f>80000+95000+250000</f>
        <v>425000</v>
      </c>
      <c r="HN19" s="127">
        <f t="shared" si="101"/>
        <v>15773000</v>
      </c>
      <c r="HO19">
        <f>30000+152000+20000+10000+44000+40000+18000+400000</f>
        <v>714000</v>
      </c>
      <c r="HP19">
        <f>69000+112000+10000+10000+18000+44000</f>
        <v>263000</v>
      </c>
      <c r="HQ19">
        <f>320000+10000+112000+69000+200000+100000+80000+160000+95000+40000+224000+69000</f>
        <v>1479000</v>
      </c>
      <c r="HR19">
        <f>40000+36000+40000+10000+20000</f>
        <v>146000</v>
      </c>
      <c r="HS19">
        <f>76000+60000+190000</f>
        <v>326000</v>
      </c>
      <c r="HT19">
        <f>76000+640000+22000+20000</f>
        <v>758000</v>
      </c>
      <c r="HU19">
        <v>228000</v>
      </c>
      <c r="HV19">
        <f>228000+50000+224000+56000+200000+100000+20000+10000+18000</f>
        <v>906000</v>
      </c>
      <c r="HW19">
        <f>69000+112000+10000+228000</f>
        <v>419000</v>
      </c>
      <c r="HX19">
        <f>10000+76000</f>
        <v>86000</v>
      </c>
      <c r="HY19">
        <f>152000+80000+160000+40000+24000+36000+105000+44000+46000+112000+107000+88000</f>
        <v>994000</v>
      </c>
      <c r="HZ19">
        <f>160000+40000+448000+168000</f>
        <v>816000</v>
      </c>
      <c r="IA19">
        <f>112000+224000+10000+76000+44000+107000+10000</f>
        <v>583000</v>
      </c>
      <c r="IB19">
        <f>100000+200000+12000+10000+66000+40000+95000</f>
        <v>523000</v>
      </c>
      <c r="IC19">
        <f>240000+76000+20000+54000+24000</f>
        <v>414000</v>
      </c>
      <c r="ID19">
        <f>70000+18000+112000+224000+160000+40000</f>
        <v>624000</v>
      </c>
      <c r="IE19">
        <f>36000+24000+10000+20000+100000+200000</f>
        <v>390000</v>
      </c>
      <c r="IF19">
        <f>160000+120000+400000+112000+46000+22000+228000</f>
        <v>1088000</v>
      </c>
      <c r="IH19">
        <f>80000+190000+160000+40000+10000</f>
        <v>480000</v>
      </c>
      <c r="II19">
        <f>20000+95000+160000+40000+56000+224000</f>
        <v>595000</v>
      </c>
      <c r="IJ19">
        <f>60000+95000+46000+112000+214000+10000</f>
        <v>537000</v>
      </c>
      <c r="IK19">
        <f>50000+66000+30000+320000+22000+60000+190000+76000</f>
        <v>814000</v>
      </c>
      <c r="IL19">
        <f>70000+152000+12000+10000+100000</f>
        <v>344000</v>
      </c>
      <c r="IM19">
        <f>40000+76000+18000+50000+112000+95000</f>
        <v>391000</v>
      </c>
      <c r="IN19">
        <f>152000+50000+80000+160000+60000+95000+10000</f>
        <v>607000</v>
      </c>
      <c r="IO19">
        <f>80000+228000</f>
        <v>308000</v>
      </c>
      <c r="IP19">
        <f>76000+56000+448000+46000+112000+54000+20000</f>
        <v>812000</v>
      </c>
      <c r="IQ19">
        <f>228000+40000+100000+400000+10000+40000</f>
        <v>818000</v>
      </c>
      <c r="IR19">
        <f>30000+20000</f>
        <v>50000</v>
      </c>
      <c r="IS19">
        <f>20000+12000+69000+112000</f>
        <v>213000</v>
      </c>
      <c r="IT19" s="127">
        <f t="shared" si="22"/>
        <v>16726000</v>
      </c>
      <c r="IU19">
        <f>107000+22000+50000+18000+200000+50000+10000+40000+95000</f>
        <v>592000</v>
      </c>
      <c r="IV19">
        <f>448000+80000+190000+18000+10000</f>
        <v>746000</v>
      </c>
      <c r="IW19">
        <f>20000+95000+40000+250000+160000+80000+108000+200000+50000+20000+76000</f>
        <v>1099000</v>
      </c>
      <c r="IX19">
        <f>60000+76000+50000+400000+20000+23000+10000</f>
        <v>639000</v>
      </c>
      <c r="IY19">
        <f>50000+76000+200000+400000+285000</f>
        <v>1011000</v>
      </c>
      <c r="IZ19">
        <f>40000+76000+50000+600000+56000</f>
        <v>822000</v>
      </c>
      <c r="JA19">
        <f>10000+76000+224000+56000+200000+10000+140000+22000</f>
        <v>738000</v>
      </c>
      <c r="JB19">
        <f>90000+20000+46000+112000+448000+56000</f>
        <v>772000</v>
      </c>
      <c r="JC19">
        <f>110000+76000+107000+44000</f>
        <v>337000</v>
      </c>
      <c r="JD19">
        <f>150000+152000+80000+50000</f>
        <v>432000</v>
      </c>
      <c r="JE19">
        <f>48000+160000+22000+200000+50000+112000+224000</f>
        <v>816000</v>
      </c>
      <c r="JF19">
        <f>228000+224000+18000</f>
        <v>470000</v>
      </c>
      <c r="JG19">
        <f>95000+60000+336000+46000+22000+18000</f>
        <v>577000</v>
      </c>
      <c r="JH19">
        <f>10000+76000+12000+27500</f>
        <v>125500</v>
      </c>
      <c r="JI19">
        <f>50000+152000+56000+100000+80000+18000</f>
        <v>456000</v>
      </c>
      <c r="JJ19">
        <f>20000+76000+50000+160000+12000</f>
        <v>318000</v>
      </c>
      <c r="JK19">
        <f>30000+304000+160000+10000+20000+95000+22000+44000</f>
        <v>685000</v>
      </c>
      <c r="JL19">
        <f>10000+12000</f>
        <v>22000</v>
      </c>
      <c r="JM19">
        <f>76000+44000+40000+320000+224000+92000</f>
        <v>796000</v>
      </c>
      <c r="JN19">
        <f>200000+50000+10000+304000+40000+224000+56000</f>
        <v>884000</v>
      </c>
      <c r="JO19">
        <f>224000+112000</f>
        <v>336000</v>
      </c>
      <c r="JP19">
        <f>10000+12000+40000+56000</f>
        <v>118000</v>
      </c>
      <c r="JQ19">
        <f>152000+10000+80000+36000+100000+12000</f>
        <v>390000</v>
      </c>
      <c r="JR19">
        <f>76000+50000+10000+160000</f>
        <v>296000</v>
      </c>
      <c r="JS19">
        <f>30000+48000+36000</f>
        <v>114000</v>
      </c>
      <c r="JT19">
        <f>152000+48000+20000</f>
        <v>220000</v>
      </c>
      <c r="JU19">
        <f>152000+50000+200000+50000+18000+250000</f>
        <v>720000</v>
      </c>
      <c r="JV19">
        <f>50000+304000+50000+12000+45000</f>
        <v>461000</v>
      </c>
      <c r="JW19">
        <f>40000+228000+50000+40000</f>
        <v>358000</v>
      </c>
      <c r="JX19">
        <f>20000+76000+320000+40000+12000+95000+18000</f>
        <v>581000</v>
      </c>
      <c r="JY19" s="127">
        <f t="shared" si="58"/>
        <v>15931500</v>
      </c>
      <c r="JZ19">
        <f>40000+22000+480000+120000+10000+36000</f>
        <v>708000</v>
      </c>
      <c r="KA19">
        <f>76000+20000+160000+40000</f>
        <v>296000</v>
      </c>
      <c r="KB19">
        <f>100000+152000+224000+200000+50000+95000+44000+336000+40000</f>
        <v>1241000</v>
      </c>
      <c r="KC19">
        <f>107000+88000+152000+60000+224000+12000</f>
        <v>643000</v>
      </c>
      <c r="KD19">
        <f>76000+10000+11000+112000+40000</f>
        <v>249000</v>
      </c>
      <c r="KE19">
        <f>76000+224000+56000+50000+190000+760000</f>
        <v>1356000</v>
      </c>
      <c r="KF19">
        <v>10000</v>
      </c>
      <c r="KG19">
        <f>22000+95000*8</f>
        <v>782000</v>
      </c>
      <c r="KH19">
        <f>448000+48000+228000+22000+36000+100000</f>
        <v>882000</v>
      </c>
      <c r="KI19">
        <f>304000+80000+224000+112000+120000+72000+50000+200000+20000+106000+1086000</f>
        <v>2374000</v>
      </c>
      <c r="KJ19">
        <f>200000+152000+20000+320000+120000+18000</f>
        <v>830000</v>
      </c>
      <c r="KK19">
        <f>228000+10000+36000+10000+112000+46000</f>
        <v>442000</v>
      </c>
      <c r="KL19">
        <f>76000+40000+36000</f>
        <v>152000</v>
      </c>
      <c r="KM19">
        <f>40000+18000+112000+44000+224000+56000+76000+30000</f>
        <v>600000</v>
      </c>
      <c r="KN19">
        <f>76000+18000+160000+40000+10000+224000+50000+181000</f>
        <v>759000</v>
      </c>
      <c r="KO19">
        <f>152000+60000+80000+12000</f>
        <v>304000</v>
      </c>
      <c r="KP19">
        <f>228000+110000+80000+320000+190000+48000+20000+807000+45000+30000+45000</f>
        <v>1923000</v>
      </c>
      <c r="KQ19">
        <f>304000+80000</f>
        <v>384000</v>
      </c>
      <c r="KR19">
        <f>152000+40000+10000+22000+100000+200000</f>
        <v>524000</v>
      </c>
      <c r="KS19">
        <f>76000+30000+46000+50000+200000+12000+190000</f>
        <v>604000</v>
      </c>
      <c r="KT19">
        <f>152000+10000+112000+69000</f>
        <v>343000</v>
      </c>
      <c r="KU19">
        <f>76000+60000+224000+112000+12000+54000+10000</f>
        <v>548000</v>
      </c>
      <c r="KV19">
        <f>10000+24000+18000+320000+112000+46000</f>
        <v>530000</v>
      </c>
      <c r="KW19">
        <f>40000+20000+22000+40000+160000+50000+200000</f>
        <v>532000</v>
      </c>
      <c r="KX19">
        <f>80000+76000+36000+112000+46000+20000+10000+69000+224000</f>
        <v>673000</v>
      </c>
      <c r="KY19">
        <f>160000+72000+107000+88000+45000</f>
        <v>472000</v>
      </c>
      <c r="KZ19">
        <f>30000+228000+320000+18000+20000+84000</f>
        <v>700000</v>
      </c>
      <c r="LA19">
        <f>76000+160000+22000+30000+50000+112000+224000</f>
        <v>674000</v>
      </c>
      <c r="LB19">
        <f>56000+228000+22000+160000+80000</f>
        <v>546000</v>
      </c>
      <c r="LC19">
        <f>130000+152000+10000+72000+100000+190000+224000+56000+112000+69000+18000+10000+321000+105000+66000</f>
        <v>1635000</v>
      </c>
      <c r="LD19">
        <f>60000+76000+50000+200000+30000+72000</f>
        <v>488000</v>
      </c>
      <c r="LE19" s="127">
        <f t="shared" si="60"/>
        <v>21496000</v>
      </c>
      <c r="LF19">
        <f>480000+40000+22000+200000+150000+224000+448000+152000+80000+18000+23000</f>
        <v>1837000</v>
      </c>
      <c r="LG19">
        <v>0</v>
      </c>
      <c r="LH19">
        <f>20000+24000+10000+100000+200000+76000</f>
        <v>430000</v>
      </c>
      <c r="LI19">
        <f>152000+108000+107000+44000+200000+108000</f>
        <v>719000</v>
      </c>
      <c r="LJ19">
        <f>152000+40000+160000+95000+22000+12000+88000+107000+107000+44000</f>
        <v>827000</v>
      </c>
      <c r="LK19">
        <f>56000+224000+18000+44000</f>
        <v>342000</v>
      </c>
      <c r="LL19">
        <v>36000</v>
      </c>
      <c r="LM19">
        <f>60000+22000+200000+50000</f>
        <v>332000</v>
      </c>
      <c r="LN19">
        <v>18000</v>
      </c>
      <c r="LO19">
        <f>214000+22000+200000+80000+30000+20000+76000</f>
        <v>642000</v>
      </c>
      <c r="LP19">
        <f>107000+44000+12000+80000+160000+76000</f>
        <v>479000</v>
      </c>
      <c r="LQ19">
        <f>40000+22000+100000+200000+46000+112000+72000+228000+44000</f>
        <v>864000</v>
      </c>
      <c r="LR19">
        <f>76000+24000+112000+10000</f>
        <v>222000</v>
      </c>
      <c r="LS19">
        <f>20000+50000+11000+44000+24000+210000+330000+535000</f>
        <v>1224000</v>
      </c>
      <c r="LT19">
        <f>30000+200000+100000+160000</f>
        <v>490000</v>
      </c>
      <c r="LU19">
        <f>10000+40000</f>
        <v>50000</v>
      </c>
      <c r="LV19">
        <f>20000+304000+336000+36000</f>
        <v>696000</v>
      </c>
      <c r="LW19">
        <f>20000+76000</f>
        <v>96000</v>
      </c>
      <c r="LX19">
        <f>40000+152000+24000+66000+56000+100000+200000</f>
        <v>638000</v>
      </c>
      <c r="LY19">
        <f>76000+112000+44000+112000+69000</f>
        <v>413000</v>
      </c>
      <c r="LZ19">
        <f>20000+200000+400000+129000</f>
        <v>749000</v>
      </c>
      <c r="MA19">
        <f>480000+40000+200000+100000+36000+20000+18000</f>
        <v>894000</v>
      </c>
      <c r="MB19">
        <f>152000+40000+160000+40000+22000+224000</f>
        <v>638000</v>
      </c>
      <c r="MC19">
        <f>214000+320000+76000</f>
        <v>610000</v>
      </c>
      <c r="MD19">
        <f>40000+152000+320000+112000+46000</f>
        <v>670000</v>
      </c>
      <c r="ME19">
        <f>100000+228000+44000+107000+80000+160000+50000+112000+224000</f>
        <v>1105000</v>
      </c>
      <c r="MF19">
        <f>80000+76000+46000+112000+300000+400000+10000</f>
        <v>1024000</v>
      </c>
      <c r="MG19">
        <f>76000+22000+107000+18000+100000+160000</f>
        <v>483000</v>
      </c>
      <c r="MH19">
        <f>304000+22000+40000+224000+112000+112000+23000+24000+10000+107000+44000</f>
        <v>1022000</v>
      </c>
      <c r="MI19">
        <f>228000+12000</f>
        <v>240000</v>
      </c>
      <c r="MJ19" s="127">
        <f t="shared" si="62"/>
        <v>17790000</v>
      </c>
      <c r="MK19">
        <f>228000+20000+22000+107000+856000+210000</f>
        <v>1443000</v>
      </c>
      <c r="ML19">
        <f>76000+40000+54000+50000</f>
        <v>220000</v>
      </c>
      <c r="MM19">
        <f>40000+36000+214000</f>
        <v>290000</v>
      </c>
      <c r="MN19">
        <f>80000+228000+18000+50000+320000</f>
        <v>696000</v>
      </c>
      <c r="MO19">
        <f>304000+80000+30000+23000+18000</f>
        <v>455000</v>
      </c>
      <c r="MP19">
        <f>214000+88000+160000+60000+23000+76000+18000</f>
        <v>639000</v>
      </c>
      <c r="MQ19">
        <f>152000+20000+30000+10000+36000+112000+224000+46000+320000+80000+560000</f>
        <v>1590000</v>
      </c>
      <c r="MR19">
        <f>60000+152000+15000+54000+66000+107000</f>
        <v>454000</v>
      </c>
      <c r="MS19">
        <f>20000+228000+10000+90000+40000+480000</f>
        <v>868000</v>
      </c>
      <c r="MT19">
        <f>80000+76000+18000+46000+50000+200000</f>
        <v>470000</v>
      </c>
      <c r="MU19">
        <f>120000+76000+18000+90000+105000</f>
        <v>409000</v>
      </c>
      <c r="MV19">
        <f>40000+304000+40000+160000+44000+107000</f>
        <v>695000</v>
      </c>
      <c r="MW19">
        <f>140000+152000+56000</f>
        <v>348000</v>
      </c>
      <c r="MX19">
        <f>20000+152000+80000+160000+112000+224000+10000</f>
        <v>758000</v>
      </c>
      <c r="MY19">
        <f>40000+76000</f>
        <v>116000</v>
      </c>
      <c r="MZ19">
        <f>76000+54000+336000+23000</f>
        <v>489000</v>
      </c>
      <c r="NA19">
        <f>228000+88000+856000+420000</f>
        <v>1592000</v>
      </c>
      <c r="NB19">
        <f>20000+152000+66000+107000+30000+46000+456000+56000+224000</f>
        <v>1157000</v>
      </c>
      <c r="NC19">
        <f>120000+152000+88000+107000+10000+40000+50000+200000</f>
        <v>767000</v>
      </c>
      <c r="ND19">
        <f>140000+228000+214000+22000</f>
        <v>604000</v>
      </c>
      <c r="NE19">
        <f>40000+228000+36000</f>
        <v>304000</v>
      </c>
      <c r="NF19">
        <f>80000+321000+88000</f>
        <v>489000</v>
      </c>
      <c r="NG19">
        <f>100000+76000+120000+10000+46000</f>
        <v>352000</v>
      </c>
      <c r="NH19">
        <f>40000+152000+320000+36000+11000+15000</f>
        <v>574000</v>
      </c>
      <c r="NI19">
        <f>152000+50000+22000+10000</f>
        <v>234000</v>
      </c>
      <c r="NJ19">
        <f>228000+40000+15000</f>
        <v>283000</v>
      </c>
      <c r="NK19">
        <f>160000+400000+18000</f>
        <v>578000</v>
      </c>
      <c r="NL19">
        <f>160000+224000+224000+80000+20000+36000+20000+23000+107000+44000</f>
        <v>938000</v>
      </c>
      <c r="NM19">
        <f>224000+30000+22000+11000</f>
        <v>287000</v>
      </c>
      <c r="NN19">
        <f>224000+46000+90000+76000+20000+15000+856000+210000+15000+20000</f>
        <v>1572000</v>
      </c>
      <c r="NO19">
        <f>40000+152000+80000+160000+50000+200000+18000</f>
        <v>700000</v>
      </c>
      <c r="NP19" s="127">
        <f t="shared" si="64"/>
        <v>18928000</v>
      </c>
      <c r="NQ19">
        <f>20000+50000+200000</f>
        <v>270000</v>
      </c>
      <c r="NR19">
        <f>160000+107000+44000+22000+112000+23000+18000+120000+45000</f>
        <v>651000</v>
      </c>
      <c r="NS19">
        <f>304000+22000+10000</f>
        <v>336000</v>
      </c>
      <c r="NT19">
        <f>152000+60000</f>
        <v>212000</v>
      </c>
      <c r="NU19">
        <f>152000+320000+30000+200000</f>
        <v>702000</v>
      </c>
      <c r="NV19">
        <f>228000+20000+15000+23000+44000+20000</f>
        <v>350000</v>
      </c>
      <c r="NW19">
        <f>60000+228000+36000+15000+80000</f>
        <v>419000</v>
      </c>
      <c r="NX19">
        <f>20000+320000+30000+224000+56000</f>
        <v>650000</v>
      </c>
      <c r="NY19">
        <f>100000+10000+380000</f>
        <v>490000</v>
      </c>
      <c r="NZ19">
        <f>228000+20000+228000+23000+18000+17000</f>
        <v>534000</v>
      </c>
      <c r="OA19">
        <f>80000+152000+10000</f>
        <v>242000</v>
      </c>
      <c r="OB19">
        <f>76000+160000+80000</f>
        <v>316000</v>
      </c>
      <c r="OC19">
        <f>220000+380000+448000</f>
        <v>1048000</v>
      </c>
      <c r="OD19">
        <f>160000+76000+44000+214000</f>
        <v>494000</v>
      </c>
      <c r="OE19">
        <f>60000+22000+214000+15000+100000+10000</f>
        <v>421000</v>
      </c>
      <c r="OF19">
        <f>40000+152000+136000+428000+23000+112000</f>
        <v>891000</v>
      </c>
      <c r="OG19">
        <f>380000+22000</f>
        <v>402000</v>
      </c>
      <c r="OH19">
        <f>76000+40000+107000</f>
        <v>223000</v>
      </c>
      <c r="OI19">
        <f>40000+152000+18000+30000+30000+112000+69000</f>
        <v>451000</v>
      </c>
      <c r="OJ19">
        <f>60000+228000+228000+60000+120000+160000+92000+224000</f>
        <v>1172000</v>
      </c>
      <c r="OK19">
        <f>60000+228000</f>
        <v>288000</v>
      </c>
      <c r="OL19">
        <f>220000+76000+44000+214000+46000+112000+18000+30000</f>
        <v>760000</v>
      </c>
      <c r="OM19">
        <f>220000+152000+22000+18000+55000+214000+66000+105000</f>
        <v>852000</v>
      </c>
      <c r="ON19">
        <f>160000+228000+200000+18000</f>
        <v>606000</v>
      </c>
      <c r="OO19">
        <f>60000+304000+69000+112000+110000+18000</f>
        <v>673000</v>
      </c>
      <c r="OP19">
        <f>100000+46000+112000</f>
        <v>258000</v>
      </c>
      <c r="OQ19">
        <f>200000+10000+22000+535000+856000</f>
        <v>1623000</v>
      </c>
      <c r="OR19">
        <f>20000+120000</f>
        <v>140000</v>
      </c>
      <c r="OS19">
        <f>80000+304000+138000+224000+66000+107000</f>
        <v>919000</v>
      </c>
      <c r="OT19">
        <f>120000+380000+40000+66000+214000+220000+642000</f>
        <v>1682000</v>
      </c>
      <c r="OU19">
        <f>40000+380000+480000+308000+112000+224000+10000+112000+46000+18000+44000+100000+120000</f>
        <v>1994000</v>
      </c>
      <c r="OV19" s="127">
        <f t="shared" si="66"/>
        <v>19799000</v>
      </c>
      <c r="OW19">
        <f>40000+152000+56000+214000+88000+112000+46000+72000+33000+10000</f>
        <v>823000</v>
      </c>
      <c r="OX19">
        <f>40000+304000+15000+112000+23000+448000+214000</f>
        <v>1156000</v>
      </c>
      <c r="OY19">
        <f>80000+152000+10000</f>
        <v>242000</v>
      </c>
      <c r="OZ19">
        <f>60000+228000+23000+50000+200000+320000</f>
        <v>881000</v>
      </c>
      <c r="PA19">
        <f>60000+152000+23000+150000+320000+30000+228000</f>
        <v>963000</v>
      </c>
      <c r="PB19">
        <f>120000+76000+40000+480000+46000+112000+72000+856000+105000+220000</f>
        <v>2127000</v>
      </c>
      <c r="PC19">
        <f>40000+304000+54000+30000+23000+30000+56000</f>
        <v>537000</v>
      </c>
      <c r="PD19">
        <f>140000+152000+46000+112000+88000+160000+40000+107000+44000</f>
        <v>889000</v>
      </c>
      <c r="PE19">
        <f>100000+228000+200000+107000+321000</f>
        <v>956000</v>
      </c>
      <c r="PF19">
        <f>76000+18000+856000</f>
        <v>950000</v>
      </c>
      <c r="PG19">
        <f>140000+304000+120000+56000</f>
        <v>620000</v>
      </c>
      <c r="PH19">
        <f>60000+76000+18000+224000+15000+40000</f>
        <v>433000</v>
      </c>
      <c r="PI19">
        <f>20000+228000+30000+22000</f>
        <v>300000</v>
      </c>
      <c r="PJ19">
        <f>100000+380000+15000+160000+80000</f>
        <v>735000</v>
      </c>
      <c r="PK19">
        <f>40000+76000+160000+10000+15000</f>
        <v>301000</v>
      </c>
      <c r="PL19">
        <f>20000+152000+80000+160000+23000</f>
        <v>435000</v>
      </c>
      <c r="PM19">
        <v>80000</v>
      </c>
      <c r="PN19">
        <f>10000+20000+152000+400000+132000+18000</f>
        <v>732000</v>
      </c>
      <c r="PO19">
        <f>80000+152000+100000+40000+209000+15000+66000+107000</f>
        <v>769000</v>
      </c>
      <c r="PP19">
        <f>20000+40000+228000+56000+112000+15000</f>
        <v>471000</v>
      </c>
      <c r="PQ19">
        <f>56000+76000+112000</f>
        <v>244000</v>
      </c>
      <c r="PR19">
        <f>40000+152000+20000</f>
        <v>212000</v>
      </c>
      <c r="PS19">
        <f>40000+60000+228000+40000+320000+69000+112000+88000+44000</f>
        <v>1001000</v>
      </c>
      <c r="PT19">
        <f>36000+200000</f>
        <v>236000</v>
      </c>
      <c r="PU19">
        <f>46000+112000+20000+160000+66000</f>
        <v>404000</v>
      </c>
      <c r="PV19">
        <f>152000+107000+44000</f>
        <v>303000</v>
      </c>
      <c r="PW19">
        <f>54000+20000+60000+152000+56000+224000</f>
        <v>566000</v>
      </c>
      <c r="PX19">
        <f>380000+40000+320000+80000+50000</f>
        <v>870000</v>
      </c>
      <c r="PY19">
        <f>10000+60000+228000+56000+224000+15000+50000</f>
        <v>643000</v>
      </c>
      <c r="PZ19">
        <f>80000+112000</f>
        <v>192000</v>
      </c>
      <c r="QA19" s="127">
        <f t="shared" si="68"/>
        <v>19071000</v>
      </c>
      <c r="QB19">
        <f>20000+480000+76000+54000+112000+224000+132000+321000</f>
        <v>1419000</v>
      </c>
      <c r="QC19">
        <f>60000+80000+120000+160000+23000</f>
        <v>443000</v>
      </c>
      <c r="QD19">
        <f>120000+80000</f>
        <v>200000</v>
      </c>
      <c r="QE19">
        <f>120000+17000</f>
        <v>137000</v>
      </c>
      <c r="QF19">
        <f>160000+23000+18000</f>
        <v>201000</v>
      </c>
      <c r="QG19">
        <f>60000+23000+112000+135000</f>
        <v>330000</v>
      </c>
      <c r="QH19">
        <f>180000+23000</f>
        <v>203000</v>
      </c>
      <c r="QI19">
        <f>10000+140000+228000+320000+30000+46000+112000</f>
        <v>886000</v>
      </c>
      <c r="QJ19">
        <f>10000+40000+76000+76000+400000+69000+112000+66000</f>
        <v>849000</v>
      </c>
      <c r="QK19">
        <f>100000+380000+56000+54000</f>
        <v>590000</v>
      </c>
      <c r="QL19">
        <f>100000+532000+120000+160000</f>
        <v>912000</v>
      </c>
      <c r="QM19">
        <f>40000+228000+224000+168000+36000+120000+44000</f>
        <v>860000</v>
      </c>
      <c r="QN19">
        <f>10000+60000+152000+168000</f>
        <v>390000</v>
      </c>
      <c r="QO19">
        <f>20000+100000+23000+15000+80000+160000+66000+535000</f>
        <v>999000</v>
      </c>
      <c r="QP19">
        <f>152000+896000+112000+18000+10000</f>
        <v>1188000</v>
      </c>
      <c r="QQ19">
        <v>152000</v>
      </c>
      <c r="QR19">
        <f>110000+120000+456000+18000+200000+11000+30000</f>
        <v>945000</v>
      </c>
      <c r="QS19">
        <f>20000+152000+23000</f>
        <v>195000</v>
      </c>
      <c r="QT19">
        <f>140000+76000+56000+600000+100000+160000+120000+44000+107000</f>
        <v>1403000</v>
      </c>
      <c r="QU19">
        <f>40000+224000+238000</f>
        <v>502000</v>
      </c>
      <c r="QV19">
        <f>30000+100000+152000+22000</f>
        <v>304000</v>
      </c>
      <c r="QW19">
        <f>10000+20000+250000+400000+23000</f>
        <v>703000</v>
      </c>
      <c r="QX19">
        <f>20000+20000+76000+18000+10000+66000+214000+69000+224000</f>
        <v>717000</v>
      </c>
      <c r="QY19">
        <f>20000+60000+304000+100000+200000+22000+23000+160000+80000</f>
        <v>969000</v>
      </c>
      <c r="QZ19">
        <f>10000+20000+152000+200000+400000+280000+69000+112000</f>
        <v>1243000</v>
      </c>
      <c r="RA19">
        <f>20000+152000+18000+15000+11000+30000+112000+46000</f>
        <v>404000</v>
      </c>
      <c r="RB19">
        <f>40000+152000+10000+214000+66000+10000+400000</f>
        <v>892000</v>
      </c>
      <c r="RC19">
        <f>10000+60000+152000+30000</f>
        <v>252000</v>
      </c>
      <c r="RD19">
        <f>10000+80000+304000+15000+150000+40000+160000</f>
        <v>759000</v>
      </c>
      <c r="RE19">
        <f>20000+20000+380000+450000+22000</f>
        <v>892000</v>
      </c>
      <c r="RF19">
        <f>80000+76000+80000+480000</f>
        <v>716000</v>
      </c>
      <c r="RG19" s="127">
        <f t="shared" si="147"/>
        <v>19236000</v>
      </c>
      <c r="RH19">
        <f>20000+550000+36000+15000+20000</f>
        <v>641000</v>
      </c>
      <c r="RI19">
        <f>60000+76000+10000+40000+18000+22000+23000</f>
        <v>249000</v>
      </c>
      <c r="RJ19">
        <f>60000+152000+66000+107000+250000+44000+107000</f>
        <v>786000</v>
      </c>
      <c r="RK19">
        <v>10000</v>
      </c>
      <c r="RL19">
        <f>50000+18000+23000+112000+10000+60000+76000</f>
        <v>349000</v>
      </c>
      <c r="RM19">
        <f>20000+76000+30000</f>
        <v>126000</v>
      </c>
      <c r="RN19">
        <f>30000+60000+76000+10000+18000+23000+44000+168000+224000</f>
        <v>653000</v>
      </c>
      <c r="RO19">
        <f>10000+40000+228000+30000+23000</f>
        <v>331000</v>
      </c>
      <c r="RP19">
        <f>100000+228000+10000+50000+15000+214000+88000</f>
        <v>705000</v>
      </c>
      <c r="RQ19">
        <f>40000+20000+228000+200000</f>
        <v>488000</v>
      </c>
      <c r="RR19">
        <f>10000+20000+152000+88000+22000+10000+18000</f>
        <v>320000</v>
      </c>
      <c r="RS19">
        <f>10000+60000+15000+66000+214000</f>
        <v>365000</v>
      </c>
      <c r="RT19">
        <f>60000+152000+22000+160000+36000+44000+650000+224000</f>
        <v>1348000</v>
      </c>
      <c r="RU19">
        <f>30000+120000+380000+108000</f>
        <v>638000</v>
      </c>
      <c r="RV19">
        <f>40000+152000+50000+448000</f>
        <v>690000</v>
      </c>
      <c r="RW19">
        <f>336000+46000+22000+152000+60000+10000+15000+224000+18000</f>
        <v>883000</v>
      </c>
      <c r="RX19">
        <f>250000+152000+180000</f>
        <v>582000</v>
      </c>
      <c r="RY19">
        <f>20000+420000+50000+224000+72000</f>
        <v>786000</v>
      </c>
      <c r="RZ19">
        <f>70000+180000+76000+160000+40000</f>
        <v>526000</v>
      </c>
      <c r="SA19">
        <f>20000+80000+214000+22000+250000</f>
        <v>586000</v>
      </c>
      <c r="SB19">
        <f>140000+224000+46000+112000+120000+160000+10000</f>
        <v>812000</v>
      </c>
      <c r="SC19">
        <f>20000+300000+15000+54000</f>
        <v>389000</v>
      </c>
      <c r="SD19">
        <f>532000+60000</f>
        <v>592000</v>
      </c>
      <c r="SE19">
        <f>152000+20000+321000+36000</f>
        <v>529000</v>
      </c>
      <c r="SF19">
        <f>10000+80000+76000+80000+160000+66000+214000</f>
        <v>686000</v>
      </c>
      <c r="SG19">
        <f>40000+140000+154000+40000+160000+22000+110000+321000+46000+112000</f>
        <v>1145000</v>
      </c>
      <c r="SH19">
        <f>30000+60000+304000+50000+107000</f>
        <v>551000</v>
      </c>
      <c r="SI19">
        <f>60000+380000+320000+80000+209000+45000</f>
        <v>1094000</v>
      </c>
      <c r="SJ19">
        <f>70000+154000+120000+23000</f>
        <v>367000</v>
      </c>
      <c r="SK19">
        <f>304000+20000+112000+46000+22000</f>
        <v>504000</v>
      </c>
      <c r="SL19" s="127">
        <f t="shared" ref="SL19:SL34" si="207">SUM(RH19:SK19)</f>
        <v>17731000</v>
      </c>
      <c r="SM19">
        <f>100000+76000+36000</f>
        <v>212000</v>
      </c>
      <c r="SN19">
        <f>40000+22000+107000</f>
        <v>169000</v>
      </c>
      <c r="SO19">
        <f>152000+92000+112000+18000</f>
        <v>374000</v>
      </c>
      <c r="SP19">
        <f>180000+228000+80000+160000+69000+224000</f>
        <v>941000</v>
      </c>
      <c r="SQ19">
        <f>100000+160000+54000</f>
        <v>314000</v>
      </c>
      <c r="SR19">
        <f>100000+228000+110000+321000+115000+112000+18000</f>
        <v>1004000</v>
      </c>
      <c r="SS19">
        <f>304000+120000+72000+20000+40000</f>
        <v>556000</v>
      </c>
      <c r="ST19">
        <f>80000+228000+44000+160000</f>
        <v>512000</v>
      </c>
      <c r="SU19">
        <f>60000+304000+20000+40000+54000+224000+50000</f>
        <v>752000</v>
      </c>
      <c r="SV19">
        <f>20000+60000+228000+10000+46000+112000</f>
        <v>476000</v>
      </c>
      <c r="SW19">
        <f>10000+76000+54000</f>
        <v>140000</v>
      </c>
      <c r="SX19">
        <f>20000+60000+76000+40000</f>
        <v>196000</v>
      </c>
      <c r="SY19">
        <f>40000+20000+380000+40000+20000+44000</f>
        <v>544000</v>
      </c>
      <c r="SZ19">
        <f>304000+100000+20000+108000+214000+66000+40000+160000</f>
        <v>1012000</v>
      </c>
      <c r="TA19">
        <f>76000+160000+30000+10000</f>
        <v>276000</v>
      </c>
      <c r="TB19">
        <f>20000+40000+76000+23000</f>
        <v>159000</v>
      </c>
      <c r="TC19">
        <f>120000+20000</f>
        <v>140000</v>
      </c>
      <c r="TD19">
        <f>214000+66000+228000+180000+10000+10000+15000</f>
        <v>723000</v>
      </c>
      <c r="TE19">
        <f>220000+228000+46000+112000</f>
        <v>606000</v>
      </c>
      <c r="TF19">
        <f>228000+10000+10000+160000+40000+23000</f>
        <v>471000</v>
      </c>
      <c r="TG19">
        <f>684000+30000+260000+160000+40000+22000+18000+10000</f>
        <v>1224000</v>
      </c>
      <c r="TH19">
        <f>10000+180000+380000+22000+107000+90000+160000+480000+44000+15000</f>
        <v>1488000</v>
      </c>
      <c r="TI19">
        <f>30000+220000+152000+11000+18000+160000+160000+10000</f>
        <v>761000</v>
      </c>
      <c r="TJ19">
        <f>240000+100000+36000</f>
        <v>376000</v>
      </c>
      <c r="TK19">
        <f>50000+30000+88000+15000</f>
        <v>183000</v>
      </c>
      <c r="TL19">
        <f>470000+80000+160000+44000+107000</f>
        <v>861000</v>
      </c>
      <c r="TM19">
        <f>60000+76000+40000+640000+23000</f>
        <v>839000</v>
      </c>
      <c r="TN19">
        <f>320000+76000+80000+10000</f>
        <v>486000</v>
      </c>
      <c r="TO19">
        <f>160000+40000+228000+20000+69000+112000</f>
        <v>629000</v>
      </c>
      <c r="TP19">
        <f>100000+152000+40000+44000+107000+22000+10000</f>
        <v>475000</v>
      </c>
      <c r="TQ19">
        <f>76000+40000+10000</f>
        <v>126000</v>
      </c>
      <c r="TR19" s="127">
        <f>SUM(SM19:TQ19)</f>
        <v>17025000</v>
      </c>
      <c r="TS19">
        <f>80000+40000+76000+92000+224000+18000</f>
        <v>530000</v>
      </c>
      <c r="TT19">
        <f>45000+10000+152000+18000+320000+23000+112000</f>
        <v>680000</v>
      </c>
      <c r="TU19">
        <f>20000+20000+152000+30000+20000+80000+46000+112000</f>
        <v>480000</v>
      </c>
      <c r="TV19">
        <f>304000+80000+46000+336000+22000+80000+54000+10000</f>
        <v>932000</v>
      </c>
      <c r="TW19">
        <f>152000+40000+46000+112000+40000</f>
        <v>390000</v>
      </c>
      <c r="TX19">
        <f>80000+228000+69000+112000</f>
        <v>489000</v>
      </c>
      <c r="TY19">
        <f>60000+76000+160000+36000+15000</f>
        <v>347000</v>
      </c>
      <c r="TZ19">
        <f>20000+76000+40000+36000</f>
        <v>172000</v>
      </c>
      <c r="UA19">
        <f>20000+36000+105000+214000+66000</f>
        <v>441000</v>
      </c>
      <c r="UB19">
        <f>100000+18000+20000+304000+46000+40000+160000</f>
        <v>688000</v>
      </c>
      <c r="UC19">
        <f>10000+80000+380000+10000+46000+15000</f>
        <v>541000</v>
      </c>
      <c r="UD19">
        <f>40000+152000+18000</f>
        <v>210000</v>
      </c>
      <c r="UE19">
        <f>10000+120000+228000+10000+321000</f>
        <v>689000</v>
      </c>
      <c r="UF19">
        <f>20000+20000+152000+10000+120000+160000+112000+44000+107000</f>
        <v>745000</v>
      </c>
      <c r="UG19">
        <f>20000+152000+40000</f>
        <v>212000</v>
      </c>
      <c r="UH19">
        <f>60000+18000+44000+107000</f>
        <v>229000</v>
      </c>
      <c r="UI19">
        <f>40000+180000+228000+44000+107000</f>
        <v>599000</v>
      </c>
      <c r="UJ19">
        <f>152000+40000+10000+15000</f>
        <v>217000</v>
      </c>
      <c r="UK19">
        <f>100000+152000+40000+160000+150000+36000+105000</f>
        <v>743000</v>
      </c>
      <c r="UL19">
        <f>30000+80000+76000+80000+160000+69000+112000</f>
        <v>607000</v>
      </c>
      <c r="UM19">
        <f>10000+40000+304000+40000+480000+46000+112000+44000+107000+30000</f>
        <v>1213000</v>
      </c>
      <c r="UN19">
        <f>10000+80000+152000+40000+160000+92000+112000+15000</f>
        <v>661000</v>
      </c>
      <c r="UO19">
        <f>170000+152000</f>
        <v>322000</v>
      </c>
      <c r="UP19">
        <f>80000+120000+320000+30000+44000+107000+23000+218000</f>
        <v>942000</v>
      </c>
      <c r="UQ19">
        <f>304000+80000+40000+107000+44000+20000</f>
        <v>595000</v>
      </c>
      <c r="UR19">
        <f>304000+60000</f>
        <v>364000</v>
      </c>
      <c r="US19">
        <f>40000+76000+22000</f>
        <v>138000</v>
      </c>
      <c r="UT19">
        <f>40000+76000+336000+50000+18000</f>
        <v>520000</v>
      </c>
      <c r="UU19">
        <f>20000+140000+380000+112000+46000+18000</f>
        <v>716000</v>
      </c>
      <c r="UV19">
        <f>20000+60000+228000+110000</f>
        <v>418000</v>
      </c>
      <c r="UW19">
        <f>76000+66000+749000+40000+10000+22000</f>
        <v>963000</v>
      </c>
      <c r="UX19" s="127">
        <f>SUM(TS19:UW19)</f>
        <v>16793000</v>
      </c>
      <c r="UY19">
        <f>76000+20000+36000+56000+160000+15000</f>
        <v>363000</v>
      </c>
      <c r="UZ19">
        <f>152000+60000+20000+120000+132000</f>
        <v>484000</v>
      </c>
      <c r="VA19">
        <f>20000+160000+380000+154000+105000+15000</f>
        <v>834000</v>
      </c>
      <c r="VB19">
        <f>30000+40000+304000+154000+108000+10000+160000</f>
        <v>806000</v>
      </c>
      <c r="VC19">
        <f>40000+152000+154000+224000+92000+11000</f>
        <v>673000</v>
      </c>
      <c r="VD19">
        <f>20000+76000+264000+46000+112000+56000+200000</f>
        <v>774000</v>
      </c>
      <c r="VE19">
        <f>160000+380000+184000+112000</f>
        <v>836000</v>
      </c>
      <c r="VF19">
        <f>456000+120000+160000+126000+10000</f>
        <v>872000</v>
      </c>
      <c r="VG19">
        <f>304000+60000+40000+112000+69000</f>
        <v>585000</v>
      </c>
      <c r="VH19">
        <f>160000+40000+112000+46000+44000+20000+10000+36000</f>
        <v>468000</v>
      </c>
      <c r="VI19">
        <f>10000+228000+22000+69000+112000</f>
        <v>441000</v>
      </c>
      <c r="VJ19">
        <f>20000+152000+80000+160000+56000+50000+200000+10000</f>
        <v>728000</v>
      </c>
      <c r="VK19">
        <f>60000+380000+40000+160000+36000+10000</f>
        <v>686000</v>
      </c>
      <c r="VL19">
        <f>100000+20000+152000+23000+112000+36000+40000+30000+23000+107000</f>
        <v>643000</v>
      </c>
      <c r="VM19">
        <f>18000+112000+69000+304000+40000+60000+107000+22000+22000</f>
        <v>754000</v>
      </c>
      <c r="VN19">
        <f>10000+80000+304000+22000+107000+11000+40000</f>
        <v>574000</v>
      </c>
      <c r="VO19">
        <f>50000+76000+56000+10000</f>
        <v>192000</v>
      </c>
      <c r="VP19">
        <f>20000+76000+66000+107000+112000+10000</f>
        <v>391000</v>
      </c>
      <c r="VQ19">
        <f>40000+214000+100000+200000+69000+112000</f>
        <v>735000</v>
      </c>
      <c r="VR19">
        <f>40000+152000+150000+200000+54000</f>
        <v>596000</v>
      </c>
      <c r="VS19">
        <f>30000+160000+380000+50000+36000+40000+23000</f>
        <v>719000</v>
      </c>
      <c r="VT19">
        <f>22000+140000+76000+112000+46000+15000+40000</f>
        <v>451000</v>
      </c>
      <c r="VU19">
        <f>200000+100000+152000+20000+66000+18000+44000</f>
        <v>600000</v>
      </c>
      <c r="VV19">
        <f>50000+100000+228000+22000+90000</f>
        <v>490000</v>
      </c>
      <c r="VW19">
        <f>10000+40000+152000+40000+160000+30000+18000</f>
        <v>450000</v>
      </c>
      <c r="VX19">
        <f>10000+80000+228000+20000+50000+112000+224000+112000+46000</f>
        <v>882000</v>
      </c>
      <c r="VY19">
        <f>50000+60000+76000+66000</f>
        <v>252000</v>
      </c>
      <c r="WA19" s="127">
        <f>SUM(UY19:VZ19)</f>
        <v>16279000</v>
      </c>
      <c r="WB19">
        <f>224000+112000+304000+140000+107000+22000+54000+23000+160000+40000</f>
        <v>1186000</v>
      </c>
      <c r="WC19">
        <f>400000+100000+304000+70000+40000+18000</f>
        <v>932000</v>
      </c>
      <c r="WD19">
        <f>70000+40000+160000+160000+15000+18000</f>
        <v>463000</v>
      </c>
      <c r="WE19">
        <f>20000+76000+40000+160000+15000+108000+10000+112000+44000+107000</f>
        <v>692000</v>
      </c>
      <c r="WF19">
        <f>80000+20000+456000+50000+200000</f>
        <v>806000</v>
      </c>
      <c r="WG19">
        <f>160000+456000+160000+22000</f>
        <v>798000</v>
      </c>
      <c r="WH19">
        <f>76000+66000+214000+77000+10000</f>
        <v>443000</v>
      </c>
      <c r="WI19">
        <f>532000+130000+20000+160000+40000+214000+88000+20000+33000+54000</f>
        <v>1291000</v>
      </c>
      <c r="WJ19">
        <v>228000</v>
      </c>
      <c r="WK19">
        <f>152000+50000+10000</f>
        <v>212000</v>
      </c>
      <c r="WL19">
        <f>304000+40000+10000</f>
        <v>354000</v>
      </c>
      <c r="WM19">
        <f>228000+160000+160000+88000+214000+23000</f>
        <v>873000</v>
      </c>
      <c r="WN19">
        <f>228000+535000+66000+112000+46000+72000+56000</f>
        <v>1115000</v>
      </c>
      <c r="WO19">
        <f>228000+20000</f>
        <v>248000</v>
      </c>
      <c r="WP19">
        <f>380000+140000+40000+200000+150000+15000</f>
        <v>925000</v>
      </c>
      <c r="WQ19">
        <f>50000+20000</f>
        <v>70000</v>
      </c>
      <c r="WR19">
        <f>400000+22000+107000</f>
        <v>529000</v>
      </c>
      <c r="WS19">
        <f>180000+40000+160000+23000+112000+18000+11000+10000+56000</f>
        <v>610000</v>
      </c>
      <c r="WT19">
        <f>360000+224000+112000</f>
        <v>696000</v>
      </c>
      <c r="WU19">
        <f>40000+152000+214000+44000+105000+22000</f>
        <v>577000</v>
      </c>
      <c r="WW19">
        <f>380000+20000+50000+80000+112000+30000+22000</f>
        <v>694000</v>
      </c>
      <c r="WX19">
        <f>152000+20000+107000+44000+200000+200000+160000+36000+10000</f>
        <v>929000</v>
      </c>
      <c r="WY19">
        <f>60000+152000+56000+22000+107000+15000</f>
        <v>412000</v>
      </c>
      <c r="WZ19">
        <f>30000+40000+152000+45000+600000+72000+10000+88000+214000</f>
        <v>1251000</v>
      </c>
      <c r="XA19">
        <f>304000+40000+160000+400000+22000+107000+23000</f>
        <v>1056000</v>
      </c>
      <c r="XB19">
        <f>90000+456000+80000+50000+200000+23000</f>
        <v>899000</v>
      </c>
      <c r="XC19">
        <f>110000+456000+46000+112000+20000+15000</f>
        <v>759000</v>
      </c>
      <c r="XD19">
        <f>380000+20000+100000+214000+88000+26000+24000</f>
        <v>852000</v>
      </c>
      <c r="XE19">
        <f>152000+20000+112000+16000+224000</f>
        <v>524000</v>
      </c>
      <c r="XF19">
        <f>76000+80000+160000+80000+112000+23000+22000+150000</f>
        <v>703000</v>
      </c>
      <c r="XG19" s="127">
        <f t="shared" si="156"/>
        <v>21127000</v>
      </c>
      <c r="XH19">
        <f>40000+532000+44000+107000+18000</f>
        <v>741000</v>
      </c>
      <c r="XI19">
        <f>140000+304000+600000+100000+46000+30000+10000</f>
        <v>1230000</v>
      </c>
      <c r="XJ19">
        <f>60000+152000+107000+44000</f>
        <v>363000</v>
      </c>
      <c r="XK19">
        <f>100000+152000+40000+44000+138000+112000</f>
        <v>586000</v>
      </c>
      <c r="XL19">
        <f>228000+100000+44000+10000</f>
        <v>382000</v>
      </c>
      <c r="XM19">
        <f>304000+60000+10000</f>
        <v>374000</v>
      </c>
      <c r="XN19">
        <f>20000+20000+228000+400000+110000+107000+23000+54000</f>
        <v>962000</v>
      </c>
      <c r="XO19">
        <f>60000+304000+23000+50000</f>
        <v>437000</v>
      </c>
      <c r="XP19">
        <f>10000+20000+66000+214000+23000+105000+46000</f>
        <v>484000</v>
      </c>
      <c r="XQ19">
        <f>80000+228000+22000+120000</f>
        <v>450000</v>
      </c>
      <c r="XR19">
        <f>20000+80000+228000+40000+160000+214000+22000+10000</f>
        <v>774000</v>
      </c>
      <c r="XS19">
        <f>60000+152000+23000+214000+72000+15000+10000</f>
        <v>546000</v>
      </c>
      <c r="XT19">
        <f>60000+304000+20000+224000+46000+160000+10000</f>
        <v>824000</v>
      </c>
      <c r="XU19">
        <f>40000+200000+152000+80000+160000+214000+66000+23000</f>
        <v>935000</v>
      </c>
      <c r="XV19">
        <f>20000+80000+228000+22000+336000+69000+56000+20000+18000</f>
        <v>849000</v>
      </c>
      <c r="XW19">
        <f>20000+100000+228000+18000</f>
        <v>366000</v>
      </c>
      <c r="XX19">
        <f>10000+60000+152000+66000</f>
        <v>288000</v>
      </c>
      <c r="XY19">
        <f>10000+160000+304000+112000+23000+105000+18000+15000</f>
        <v>747000</v>
      </c>
      <c r="XZ19">
        <f>40000+304000+40000+112000+69000+36000+10000</f>
        <v>611000</v>
      </c>
      <c r="YA19">
        <f>22000+112000+46000+160000+40000</f>
        <v>380000</v>
      </c>
      <c r="YB19">
        <f>140000+380000+15000+105000+22000+20000</f>
        <v>682000</v>
      </c>
      <c r="YC19">
        <f>10000+120000+36000+22000+107000</f>
        <v>295000</v>
      </c>
      <c r="YD19">
        <f>20000+100000+152000+10000</f>
        <v>282000</v>
      </c>
      <c r="YE19">
        <f>76000+10000+50000+400000+45000</f>
        <v>581000</v>
      </c>
      <c r="YF19">
        <f>80000+152000+50000</f>
        <v>282000</v>
      </c>
      <c r="YG19">
        <f>152000+20000+400000+100000+22000+15000+105000+18000+46000</f>
        <v>878000</v>
      </c>
      <c r="YH19">
        <f>92000+224000+380000+120000+50000+18000</f>
        <v>884000</v>
      </c>
      <c r="YI19">
        <f>224000+69000+10000+22000</f>
        <v>325000</v>
      </c>
      <c r="YJ19">
        <f>140000+152000+46000</f>
        <v>338000</v>
      </c>
      <c r="YK19">
        <f>10000+20000+152000+56000+224000+54000+46000+66000</f>
        <v>628000</v>
      </c>
      <c r="YL19" s="127">
        <f t="shared" si="158"/>
        <v>17504000</v>
      </c>
      <c r="YM19">
        <f>40000+152000+56000+224000+400000+44000+46000+112000+40000</f>
        <v>1114000</v>
      </c>
      <c r="YN19">
        <f>92000+224000+228000+280000+30000+22000+44000+15000</f>
        <v>935000</v>
      </c>
      <c r="YO19">
        <f>112000+92000+304000+120000+10000+44000+107000+160000+20000</f>
        <v>969000</v>
      </c>
      <c r="YP19">
        <f>18000+60000+228000+20000+214000+44000</f>
        <v>584000</v>
      </c>
      <c r="YQ19">
        <f>456000+100000+23000</f>
        <v>579000</v>
      </c>
      <c r="YR19">
        <f>228000+120000+18000</f>
        <v>366000</v>
      </c>
      <c r="YS19">
        <f>76000+60000+100000+10000</f>
        <v>246000</v>
      </c>
      <c r="YT19">
        <f>200000+150000+120000+76000+20000+224000+56000</f>
        <v>846000</v>
      </c>
      <c r="YU19">
        <f>321000+110000+224000+56000+304000+180000+10000+55000</f>
        <v>1260000</v>
      </c>
      <c r="YV19">
        <f>44000+161000+380000+140000+350000+18000</f>
        <v>1093000</v>
      </c>
      <c r="YW19">
        <f>228000+40000+112000+92000</f>
        <v>472000</v>
      </c>
      <c r="YX19">
        <f>76000+20000+448000+92000</f>
        <v>636000</v>
      </c>
      <c r="YY19">
        <f>228000+90000+200000+50000+320000+36000</f>
        <v>924000</v>
      </c>
      <c r="YZ19">
        <f>152000+110000+224000+56000+50000+160000+162000+23000+321000+22000</f>
        <v>1280000</v>
      </c>
      <c r="ZA19">
        <f>90000+152000+168000+224000+15000+107000+44000+90000</f>
        <v>890000</v>
      </c>
      <c r="ZB19">
        <f>80000+228000+22000+107000+105000+400000+112000+23000</f>
        <v>1077000</v>
      </c>
      <c r="ZC19">
        <f>76000+60000+321000+44000+160000+40000+108000</f>
        <v>809000</v>
      </c>
      <c r="ZD19">
        <f>304000+60000+20000+23000</f>
        <v>407000</v>
      </c>
      <c r="ZE19">
        <f>114000+144000+180000+190000+55000+33000+125000</f>
        <v>841000</v>
      </c>
      <c r="ZF19">
        <f>76000+360000+20000+55000</f>
        <v>511000</v>
      </c>
      <c r="ZG19">
        <f>38000+144000+46000+110000+15000</f>
        <v>353000</v>
      </c>
      <c r="ZH19">
        <f>20000+57000+216000+220000</f>
        <v>513000</v>
      </c>
      <c r="ZI19">
        <f>171000+144000+36000+33000+40000+95000</f>
        <v>519000</v>
      </c>
      <c r="ZJ19">
        <f>144000+95000+40000+95000+46000+110000</f>
        <v>530000</v>
      </c>
      <c r="ZK19">
        <f>144000+38000+40000+95000</f>
        <v>317000</v>
      </c>
      <c r="ZL19">
        <f>57000+144000+40000</f>
        <v>241000</v>
      </c>
      <c r="ZM19">
        <f>133000+216000+100000+950000+55000+215000+350000+110000+95000</f>
        <v>2224000</v>
      </c>
      <c r="ZN19">
        <f>57000+360000+80000+95000+23000+115000</f>
        <v>730000</v>
      </c>
      <c r="ZO19">
        <f>10000+57000+72000+60000+95000+66000+125000+100000+190000+36000+15000</f>
        <v>826000</v>
      </c>
      <c r="ZP19">
        <f>95000+144000+33000+125000+23000</f>
        <v>420000</v>
      </c>
      <c r="ZQ19">
        <f>144000+38000+60000+20000+110000+69000+190000+50000+250000+54000</f>
        <v>985000</v>
      </c>
      <c r="ZR19" s="127">
        <f t="shared" si="113"/>
        <v>23497000</v>
      </c>
      <c r="ZS19">
        <f>288000+133000+110000+42000+95000+23000+125000+66000</f>
        <v>882000</v>
      </c>
      <c r="ZT19">
        <f>10000+175000+216000+50000</f>
        <v>451000</v>
      </c>
      <c r="ZU19">
        <f>10000+95000+144000+18000+15000+23000+110000</f>
        <v>415000</v>
      </c>
      <c r="ZV19">
        <f>20000+133000+432000+140000+380000</f>
        <v>1105000</v>
      </c>
      <c r="ZW19">
        <f>144000+76000+95000+40000</f>
        <v>355000</v>
      </c>
      <c r="ZX19">
        <f>360000+57000+10000+48000+50000</f>
        <v>525000</v>
      </c>
      <c r="ZY19">
        <f>432000+228000+55000+18000+45000</f>
        <v>778000</v>
      </c>
      <c r="ZZ19">
        <f>360000+57000+190000+90000+95000+40000</f>
        <v>832000</v>
      </c>
      <c r="AAA19">
        <f>76000+144000+60000+190000+18000+30000</f>
        <v>518000</v>
      </c>
      <c r="AAB19">
        <f>76000+72000+125000</f>
        <v>273000</v>
      </c>
      <c r="AAC19">
        <f>38000+72000+55000+66000</f>
        <v>231000</v>
      </c>
      <c r="AAD19">
        <f>38000+216000+69000+220000</f>
        <v>543000</v>
      </c>
      <c r="AAE19">
        <f>10000+38000+144000+120000+190000+33000+36000+55000</f>
        <v>626000</v>
      </c>
      <c r="AAF19">
        <f>144000+95000+10000+50000+95000+20000+10000</f>
        <v>424000</v>
      </c>
      <c r="AAG19">
        <f>72000+57000+10000</f>
        <v>139000</v>
      </c>
      <c r="AAH19">
        <f>360000+20000+100000+18000</f>
        <v>498000</v>
      </c>
      <c r="AAI19">
        <f>38000+33000+250000+40000+95000+15000</f>
        <v>471000</v>
      </c>
      <c r="AAJ19">
        <f>19000+144000+125000+560000+60000+95000+18000</f>
        <v>1021000</v>
      </c>
      <c r="AAK19">
        <f>57000+288000+110000+40000+10000</f>
        <v>505000</v>
      </c>
      <c r="AAL19">
        <f>19000+144000+100000+40000+95000+10000</f>
        <v>408000</v>
      </c>
      <c r="AAM19">
        <f>216000+19000+215000+55000+190000+100000+380000+60000+99000+125000+69000+110000+10000</f>
        <v>1648000</v>
      </c>
      <c r="AAN19">
        <f>72000+57000+36000+210000</f>
        <v>375000</v>
      </c>
      <c r="AAO19">
        <f>57000+72000+54000</f>
        <v>183000</v>
      </c>
      <c r="AAP19">
        <f>19000+72000+18000+210000+15000</f>
        <v>334000</v>
      </c>
      <c r="AAQ19">
        <f>10000+152000+432000+215000+55000+125000+190000+50000</f>
        <v>1229000</v>
      </c>
      <c r="AAR19">
        <f>30000+361000+648000</f>
        <v>1039000</v>
      </c>
      <c r="AAS19">
        <f>190000+15000+18000+40000</f>
        <v>263000</v>
      </c>
      <c r="AAT19">
        <f>513000+20000+95000+40000+15000+10000</f>
        <v>693000</v>
      </c>
      <c r="AAU19">
        <f>38000+144000+95000+20000+15000+10000</f>
        <v>322000</v>
      </c>
      <c r="AAV19">
        <f>20000+76000+504000+10000+60000+285000+215000+50000</f>
        <v>1220000</v>
      </c>
      <c r="AAW19" s="127">
        <f t="shared" si="115"/>
        <v>18306000</v>
      </c>
      <c r="AAX19">
        <f>10000+152000+216000+125000+69000+220000+90000</f>
        <v>882000</v>
      </c>
      <c r="AAY19">
        <f>125000+33000+60000+48000+216000+19000</f>
        <v>501000</v>
      </c>
      <c r="AAZ19">
        <f>10000+114000+216000+55000+40000+95000</f>
        <v>530000</v>
      </c>
      <c r="ABA19">
        <f>57000+216000+40000+95000+15000+10000</f>
        <v>433000</v>
      </c>
      <c r="ABB19">
        <f>250000+38000+15000+23000</f>
        <v>326000</v>
      </c>
      <c r="ABC19">
        <f>144000+171000+10000+95000+40000+18000+10000</f>
        <v>488000</v>
      </c>
      <c r="ABD19">
        <f>19000+125000+69000+110000</f>
        <v>323000</v>
      </c>
      <c r="ABE19">
        <f>133000+144000+55000+215000+46000+110000+10000</f>
        <v>713000</v>
      </c>
      <c r="ABF19">
        <f>152000+144000+33000+15000</f>
        <v>344000</v>
      </c>
      <c r="ABG19">
        <f>76000+216000+250000+50000+55000+60000+95000+72000</f>
        <v>874000</v>
      </c>
      <c r="ABH19">
        <f>76000+288000+66000+125000+20000+190000+54000</f>
        <v>819000</v>
      </c>
      <c r="ABI19">
        <f>576000+133000+105000+190000+40000+36000+92000+30000</f>
        <v>1202000</v>
      </c>
      <c r="ABJ19">
        <f>504000+209000+95000+40000+33000</f>
        <v>881000</v>
      </c>
      <c r="ABK19">
        <f>38000+216000+33000+125000+215000+15000</f>
        <v>642000</v>
      </c>
      <c r="ABL19">
        <f>10000+114000+216000+50000+55000+215000+46000+110000+60000+95000</f>
        <v>971000</v>
      </c>
      <c r="ABM19">
        <f>10000+114000+144000+570000+48000</f>
        <v>886000</v>
      </c>
      <c r="ABN19">
        <f>10000+19000+216000+50000+190000+36000</f>
        <v>521000</v>
      </c>
      <c r="ABO19">
        <f>57000+288000+46000+20000</f>
        <v>411000</v>
      </c>
      <c r="ABP19">
        <f>288000+19000+190000+23000+20000</f>
        <v>540000</v>
      </c>
      <c r="ABQ19">
        <f>144000+114000+10000+100000+55000+70000+125000+33000+20000+95000+10000</f>
        <v>776000</v>
      </c>
      <c r="ABR19">
        <f>10000+95000+144000+150000+190000+125000+15000+20000+215000</f>
        <v>964000</v>
      </c>
      <c r="ABS19">
        <f>19000+72000+100000+190000</f>
        <v>381000</v>
      </c>
      <c r="ABT19">
        <f>19000+72000+18000+60000+10000</f>
        <v>179000</v>
      </c>
      <c r="ABU19">
        <f>209000+216000+18000+150000+190000+20000+30000+220000</f>
        <v>1053000</v>
      </c>
      <c r="ABV19">
        <f>76000+190000+288000+55000+40000+95000</f>
        <v>744000</v>
      </c>
      <c r="ABW19">
        <f>72000+95000+10000+770000+95000+20000+20000+15000+99000</f>
        <v>1196000</v>
      </c>
      <c r="ABX19">
        <f>216000+209000+30000+380000+150000+110000+23000+36000+95000+40000</f>
        <v>1289000</v>
      </c>
      <c r="ABY19">
        <f>72000+55000+215000+10000+46000+110000</f>
        <v>508000</v>
      </c>
      <c r="ABZ19">
        <f>40000+114000+72000+18000+15000+33000</f>
        <v>292000</v>
      </c>
      <c r="ACA19">
        <f>60000+19000+72000+190000+10000+95000</f>
        <v>446000</v>
      </c>
      <c r="ACB19">
        <f>19000+216000+95000+69000+110000</f>
        <v>509000</v>
      </c>
      <c r="ACC19" s="127">
        <f>SUM(AAX19:ACB19)</f>
        <v>20624000</v>
      </c>
      <c r="ACD19">
        <f>20000+144000+20000</f>
        <v>184000</v>
      </c>
      <c r="ACE19">
        <f>576000+96000+30000+30000+99000+36000</f>
        <v>867000</v>
      </c>
      <c r="ACF19">
        <f>72000+76000+10000+125000+33000+215000+55000+10000</f>
        <v>596000</v>
      </c>
      <c r="ACG19">
        <f>76000+144000+90000+33000+125000</f>
        <v>468000</v>
      </c>
      <c r="ACH19">
        <f>10000+57000+216000+33000+250000+36000+110000+46000</f>
        <v>758000</v>
      </c>
      <c r="ACI19">
        <f>30000+95000+360000+33000+125000+15000+84000+20000+138000+220000</f>
        <v>1120000</v>
      </c>
      <c r="ACJ19">
        <f>133000+216000+380000+30000+100000+285000</f>
        <v>1144000</v>
      </c>
      <c r="ACK19">
        <f>144000+19000+125000+144000+215000+10000</f>
        <v>657000</v>
      </c>
      <c r="ACL19">
        <f>216000+152000+125000+645000+55000+95000+40000+48000+30000</f>
        <v>1406000</v>
      </c>
      <c r="ACM19">
        <f>504000+38000+215000+55000+70000+144000</f>
        <v>1026000</v>
      </c>
      <c r="ACN19">
        <f>432000+95000+215000+55000+190000+100000+105000+23000+250000+40000+40000</f>
        <v>1545000</v>
      </c>
      <c r="ACO19">
        <f>216000+114000+430000+165000+108000+24000</f>
        <v>1057000</v>
      </c>
      <c r="ACP19">
        <f>20000+76000+72000+50000</f>
        <v>218000</v>
      </c>
      <c r="ACQ19">
        <f>152000+576000+72000+20000+10000</f>
        <v>830000</v>
      </c>
      <c r="ACR19">
        <f>10000+57000+432000+40000+95000+10000+23000</f>
        <v>667000</v>
      </c>
      <c r="ACS19">
        <f>288000+95000+215000</f>
        <v>598000</v>
      </c>
      <c r="ACT19">
        <f>216000+76000+18000+95000+20000+20000</f>
        <v>445000</v>
      </c>
      <c r="ACU19">
        <f>20000+76000+288000+20000+95000+10000+54000+110000</f>
        <v>673000</v>
      </c>
      <c r="ACV19">
        <f>19000+72000+54000+110000+215000</f>
        <v>470000</v>
      </c>
      <c r="ACW19">
        <f>20000+114000+360000+120000+190000+30000+55000+215000</f>
        <v>1104000</v>
      </c>
      <c r="ACX19">
        <f>38000+72000+50000+110000</f>
        <v>270000</v>
      </c>
      <c r="ACY19">
        <f>10000+76000+288000+215000+150000+190000+33000+125000+60000+95000+36000+10000</f>
        <v>1288000</v>
      </c>
      <c r="ACZ19">
        <f>432000+133000+50000</f>
        <v>615000</v>
      </c>
      <c r="ADA19">
        <f>288000+152000+215000+125000+10000+110000</f>
        <v>900000</v>
      </c>
      <c r="ADB19">
        <f>19000+144000+33000+125000+69000+110000+18000+10000+40000+95000</f>
        <v>663000</v>
      </c>
      <c r="ADC19">
        <f>38000+360000+55000+215000</f>
        <v>668000</v>
      </c>
      <c r="ADD19">
        <f>10000+76000+360000+220000</f>
        <v>666000</v>
      </c>
      <c r="ADE19">
        <f>10000+76000+288000+40000+285000+125000+15000</f>
        <v>839000</v>
      </c>
      <c r="ADF19">
        <f>10000+38000+288000+60000+100000+54000</f>
        <v>550000</v>
      </c>
      <c r="ADG19">
        <f>216000+57000+190000+100000+18000+48000</f>
        <v>629000</v>
      </c>
      <c r="ADH19">
        <f>72000+95000+10000+350000+24000</f>
        <v>551000</v>
      </c>
      <c r="ADI19" s="127">
        <f>SUM(ACD19:ADH19)</f>
        <v>23472000</v>
      </c>
      <c r="ADJ19">
        <f>10000+144000+18000</f>
        <v>172000</v>
      </c>
      <c r="ADK19">
        <f>10000+209000+216000+20000+33000</f>
        <v>488000</v>
      </c>
      <c r="ADL19">
        <f>20000+114000+216000+60000+285000+33000+125000+110000</f>
        <v>963000</v>
      </c>
      <c r="ADM19">
        <f>57000+432000+40000+380000+380000+90000+46000+110000</f>
        <v>1535000</v>
      </c>
      <c r="ADN19">
        <f>30000+133000+288000+100000+380000+120000+46000+110000</f>
        <v>1207000</v>
      </c>
      <c r="ADO19">
        <f>216000+114000+10000+120000+200000+36000</f>
        <v>696000</v>
      </c>
      <c r="ADP19">
        <f>288000+38000+125000+190000+20000+110000</f>
        <v>771000</v>
      </c>
      <c r="ADQ19">
        <f>171000+288000+72000</f>
        <v>531000</v>
      </c>
      <c r="ADR19">
        <f>38000+288000+55000+36000+46000+110000+50000</f>
        <v>623000</v>
      </c>
      <c r="ADS19">
        <f>10000+209000+72000+220000+380000+125000+10000</f>
        <v>1026000</v>
      </c>
      <c r="ADT19">
        <f>38000+288000+18000+15000</f>
        <v>359000</v>
      </c>
      <c r="ADU19">
        <f>38000+432000+125000+66000+110000+100000+285000+69000+110000+12000+10000</f>
        <v>1357000</v>
      </c>
      <c r="ADV19">
        <f>360000+95000+190000+100000+55000+18000+95000+20000+110000+46000</f>
        <v>1089000</v>
      </c>
      <c r="ADW19">
        <f>144000+57000+20000+72000+24000+20000</f>
        <v>337000</v>
      </c>
      <c r="ADX19">
        <f>10000+19000+110000+350000+40000+95000</f>
        <v>624000</v>
      </c>
      <c r="ADY19">
        <f>209000+288000+50000+190000+36000+375000</f>
        <v>1148000</v>
      </c>
      <c r="ADZ19">
        <f>20000+38000+432000+50000+30000+60000+95000+110000</f>
        <v>835000</v>
      </c>
      <c r="AEA19">
        <f>57000+144000+46000+110000+55000</f>
        <v>412000</v>
      </c>
      <c r="AEB19">
        <f>95000+144000+66000+125000+54000</f>
        <v>484000</v>
      </c>
      <c r="AEC19">
        <f>144000+95000+80000+95000+120000+190000+50000+12000</f>
        <v>786000</v>
      </c>
      <c r="AED19">
        <f>216000+76000+10000+125000+18000+15000</f>
        <v>460000</v>
      </c>
      <c r="AEE19">
        <f>288000+57000+40000+95000+40000+50000</f>
        <v>570000</v>
      </c>
      <c r="AEF19">
        <f>10000+76000+144000+38000+110000+10000</f>
        <v>388000</v>
      </c>
      <c r="AEG19">
        <f>20000+38000+20000+23000</f>
        <v>101000</v>
      </c>
      <c r="AEH19">
        <f>10000+76000+360000+100000+190000+20000+36000+10000</f>
        <v>802000</v>
      </c>
      <c r="AEI19">
        <f>10000+76000+216000+50000+36000</f>
        <v>388000</v>
      </c>
      <c r="AEJ19">
        <f>432000+152000+10000+95000+20000+36000+110000+125000+429000</f>
        <v>1409000</v>
      </c>
      <c r="AEK19">
        <f>72000+76000+95000+40000+18000</f>
        <v>301000</v>
      </c>
      <c r="AEL19">
        <f>10000+57000+144000+15000+60000+95000+18000</f>
        <v>399000</v>
      </c>
      <c r="AEM19">
        <f>240000+40000+46000+105000+275000+10000+18000+125000</f>
        <v>859000</v>
      </c>
      <c r="AEN19" s="127">
        <f t="shared" si="121"/>
        <v>21120000</v>
      </c>
      <c r="AEO19">
        <f>95000+360000+66000+250000+50000+190000+385000+120000+285000</f>
        <v>1801000</v>
      </c>
      <c r="AEP19">
        <f>10000+19000+115000+220000+15000</f>
        <v>379000</v>
      </c>
      <c r="AEQ19">
        <f>10000+57000+144000+92000+770000+45000+60000+190000+18000</f>
        <v>1386000</v>
      </c>
      <c r="AER19">
        <f>360000+171000+700000+216000+46000+110000+20000+120000+10000</f>
        <v>1753000</v>
      </c>
      <c r="AES19">
        <f>144000+38000+190000+100000+125000+18000</f>
        <v>615000</v>
      </c>
      <c r="AET19">
        <f>10000+38000+216000+125000+10000</f>
        <v>399000</v>
      </c>
      <c r="AEU19">
        <f>10000+38000+288000+46000+110000+80000+95000+105000+12000+60000</f>
        <v>844000</v>
      </c>
      <c r="AEV19">
        <f>10000+38000+288000+100000+18000+69000+110000</f>
        <v>633000</v>
      </c>
      <c r="AEW19">
        <f>10000+76000+144000+20000+250000+330000+54000</f>
        <v>884000</v>
      </c>
      <c r="AEX19">
        <f>350000+40000+95000+30000+19000+72000</f>
        <v>606000</v>
      </c>
      <c r="AEY19">
        <f>288000+57000+54000+33000+15000+110000+46000</f>
        <v>603000</v>
      </c>
      <c r="AEZ19">
        <f>144000+76000+215000+55000+105000+125000+100000</f>
        <v>820000</v>
      </c>
      <c r="AFA19">
        <f>76000+216000+10000+60000+285000+33000+125000</f>
        <v>805000</v>
      </c>
      <c r="AFB19">
        <f>95000+216000+60000+110000</f>
        <v>481000</v>
      </c>
      <c r="AFC19">
        <f>10000+38000+144000+33000</f>
        <v>225000</v>
      </c>
      <c r="AFD19">
        <f>10000+95000+288000+125000+55000+215000+50000+60000+95000+72000</f>
        <v>1065000</v>
      </c>
      <c r="AFE19">
        <f>10000+76000+432000+72000</f>
        <v>590000</v>
      </c>
      <c r="AFF19">
        <f>144000+95000+10000+23000+55000+16000+10000</f>
        <v>353000</v>
      </c>
      <c r="AFG19">
        <f>216000+57000+95000+60000</f>
        <v>428000</v>
      </c>
      <c r="AFH19">
        <f>10000+38000+144000+100000+190000</f>
        <v>482000</v>
      </c>
      <c r="AFI19">
        <f>95000+288000+220000+215000+380000+46000+125000+32000+10000</f>
        <v>1411000</v>
      </c>
      <c r="AFJ19">
        <f>57000+144000+18000+46000+110000+100000</f>
        <v>475000</v>
      </c>
      <c r="AFK19">
        <f>20000+72000+36000+55000+95000</f>
        <v>278000</v>
      </c>
      <c r="AFL19">
        <f>76000+72000+220000+215000+95000+15000</f>
        <v>693000</v>
      </c>
      <c r="AFM19">
        <f>288000+38000+125000+220000+50000</f>
        <v>721000</v>
      </c>
      <c r="AFN19">
        <f>72000+152000+125000+66000+80000+95000+350000+36000</f>
        <v>976000</v>
      </c>
      <c r="AFO19">
        <f>580000+66000+125000+46000+110000+16000+10000</f>
        <v>953000</v>
      </c>
      <c r="AFP19">
        <f>99000+24000+11000</f>
        <v>134000</v>
      </c>
      <c r="AFQ19">
        <f>250000+66000+215000+55000+190000+150000+80000+10000</f>
        <v>1016000</v>
      </c>
      <c r="AFR19">
        <f>190000+200000+220000+46000+19000+72000+10000+350000</f>
        <v>1107000</v>
      </c>
      <c r="AFS19">
        <f>360000+38000+125000+99000+215000+110000+46000+120000</f>
        <v>1113000</v>
      </c>
      <c r="AFT19" s="127">
        <f>SUM(AEO19:AFS19)</f>
        <v>24029000</v>
      </c>
      <c r="AFU19">
        <f>432000+114000+330000+46000+95000+40000</f>
        <v>1057000</v>
      </c>
      <c r="AFV19">
        <f>576000+95000+125000+33000+380000+100000+50000+40000+10000+15000</f>
        <v>1424000</v>
      </c>
      <c r="AFW19">
        <f>216000+38000+48000+40000</f>
        <v>342000</v>
      </c>
      <c r="AFX19">
        <f>110000+215000+23000+110000+250000+40000+95000+72000+57000+70000+18000</f>
        <v>1060000</v>
      </c>
      <c r="AFY19">
        <f>144000+38000+480000+10000+33000+110000+215000</f>
        <v>1030000</v>
      </c>
      <c r="AFZ19">
        <f>144000+133000+215000+100000+24000+60000+70000+40000+45000+10000+95000+18000</f>
        <v>954000</v>
      </c>
      <c r="AGA19">
        <f>76000+288000+32000+115000+105000+69000+110000+55000</f>
        <v>850000</v>
      </c>
      <c r="AGB19">
        <f>288000+57000+860000+190000+45000+760000</f>
        <v>2200000</v>
      </c>
      <c r="AGC19">
        <f>72000+10000+32000+125000</f>
        <v>239000</v>
      </c>
      <c r="AGD19">
        <f>114000+360000+10000+18000</f>
        <v>502000</v>
      </c>
      <c r="AGE19">
        <f>10000+76000+432000+90000+69000+110000</f>
        <v>787000</v>
      </c>
      <c r="AGF19">
        <f>133000+216000+108000+20000+125000</f>
        <v>602000</v>
      </c>
      <c r="AGG19">
        <f>10000+152000+432000+190000</f>
        <v>784000</v>
      </c>
      <c r="AGH19">
        <f>50000+144000+40000+95000+16000+60000</f>
        <v>405000</v>
      </c>
      <c r="AGI19">
        <f>432000+100000+32000+380000</f>
        <v>944000</v>
      </c>
      <c r="AGJ19">
        <f>144000+130000+16000+15000</f>
        <v>305000</v>
      </c>
      <c r="AGK19">
        <f>90000+432000+20000+250000</f>
        <v>792000</v>
      </c>
      <c r="AGL19">
        <f>144000+72000+69000+110000+36000+10000+32000</f>
        <v>473000</v>
      </c>
      <c r="AGM19">
        <f>144000+250000+55000+215000+350000+69000+110000+18000</f>
        <v>1211000</v>
      </c>
      <c r="AGN19">
        <f>38000+288000+30000</f>
        <v>356000</v>
      </c>
      <c r="AGO19">
        <f>144000+133000+10000+55000+215000+32000+20000+250000</f>
        <v>859000</v>
      </c>
      <c r="AGP19">
        <f>360000+209000+30000+375000+33000+110000+92000+16000+50000+18000+20000</f>
        <v>1313000</v>
      </c>
      <c r="AGQ19">
        <f>72000+114000+48000+48000</f>
        <v>282000</v>
      </c>
      <c r="AGR19">
        <f>38000+288000+36000+16000+50000+23000</f>
        <v>451000</v>
      </c>
      <c r="AGS19">
        <f>10000+38000+144000+16000+20000+190000+46000+110000</f>
        <v>574000</v>
      </c>
      <c r="AGT19">
        <f>10000+57000+504000+10000+20000+95000+330000+150000+190000+375000+33000</f>
        <v>1774000</v>
      </c>
      <c r="AGU19">
        <f>10000+114000+144000+140000+95000+220000+36000</f>
        <v>759000</v>
      </c>
      <c r="AGV19">
        <f>95000+720000+90000+110000+72000+10000+99000</f>
        <v>1196000</v>
      </c>
      <c r="AGW19">
        <f>216000+95000+20000+132000+95000+60000</f>
        <v>618000</v>
      </c>
      <c r="AGX19">
        <f>360000+57000+330000+161000+16000+72000+20000</f>
        <v>1016000</v>
      </c>
      <c r="AGY19" s="127">
        <f t="shared" si="125"/>
        <v>25159000</v>
      </c>
      <c r="AGZ19">
        <f>10000+19000+288000+36000+16000+240000</f>
        <v>609000</v>
      </c>
      <c r="AHA19">
        <f>76000+72000+48000+300000+16000+210000+18000+30000</f>
        <v>770000</v>
      </c>
      <c r="AHB19">
        <f>504000+76000+30000+48000+360000+110000+30000+20000+50000</f>
        <v>1228000</v>
      </c>
      <c r="AHC19">
        <f>57000+216000+380000</f>
        <v>653000</v>
      </c>
      <c r="AHD19">
        <f>360000+95000+350000+16000</f>
        <v>821000</v>
      </c>
      <c r="AHE19">
        <f>216000+19000+50000+36000</f>
        <v>321000</v>
      </c>
      <c r="AHF19">
        <f>216000+190000+10000+55000+125000+220000+18000+16000</f>
        <v>850000</v>
      </c>
      <c r="AHG19">
        <f>240000+57000+110000+18000+48000+20000+10000+33000+125000</f>
        <v>661000</v>
      </c>
      <c r="AHH19">
        <f>250000+32000+10000+23000</f>
        <v>315000</v>
      </c>
      <c r="AHI19">
        <f>10000+152000+432000+55000+215000+16000</f>
        <v>880000</v>
      </c>
      <c r="AHJ19">
        <f>10000+171000+288000+70000+33000+135000+24000+140000+95000</f>
        <v>966000</v>
      </c>
      <c r="AHK19">
        <f>144000+19000+54000+430000+125000+20000+105000</f>
        <v>897000</v>
      </c>
      <c r="AHL19">
        <f>216000+19000+54000+95000</f>
        <v>384000</v>
      </c>
      <c r="AHM19">
        <f>72000+76000+10000+54000+100000+95000+190000+32000+20000</f>
        <v>649000</v>
      </c>
      <c r="AHN19">
        <f>19000+216000+80000+95000+46000+16000+10000</f>
        <v>482000</v>
      </c>
      <c r="AHO19">
        <f>20000+38000+216000+15000+40000+95000+105000+16000</f>
        <v>545000</v>
      </c>
      <c r="AHP19">
        <f>76000+432000+33000+20000+100000+380000+110000+430000+24000+16000+110000</f>
        <v>1731000</v>
      </c>
      <c r="AHQ19">
        <f>228000+432000+50000+18000+15000+20000+190000+16000</f>
        <v>969000</v>
      </c>
      <c r="AHR19">
        <f>57000+216000+100000+190000+330000+215000+18000+16000+10000+115000+110000+33000+350000+60000+95000+72000+105000</f>
        <v>2092000</v>
      </c>
      <c r="AHS19">
        <f>144000+38000+270000+220000+69000+125000+33000+48000+55000+9000+190000+20000</f>
        <v>1221000</v>
      </c>
      <c r="AHT19">
        <f>216000+114000+10000+23000+125000+33000+48000+95000+20000+10000+54000</f>
        <v>748000</v>
      </c>
      <c r="AHU19">
        <f>19000+288000+105000+110000+92000+40000+190000+36000</f>
        <v>880000</v>
      </c>
      <c r="AHV19">
        <f>30000+209000+288000+380000+99000+30000+100000+140000+16000+10000</f>
        <v>1302000</v>
      </c>
      <c r="AHW19">
        <f>20000+133000+432000+50000+15000+55000+430000+66000+125000+69000+110000+36000+48000+20000</f>
        <v>1609000</v>
      </c>
      <c r="AHX19">
        <f>288000+76000+190000+80000+125000+46000+110000+16000+18000+15000</f>
        <v>964000</v>
      </c>
      <c r="AHY19">
        <f>114000+34000+16000+360000+23000+40000+150000+190000</f>
        <v>927000</v>
      </c>
      <c r="AHZ19">
        <f>360000+38000+10000+110000+46000+15000+120000</f>
        <v>699000</v>
      </c>
      <c r="AIA19">
        <f>216000+80000+215000+55000+33000</f>
        <v>599000</v>
      </c>
      <c r="AIB19">
        <f>10000+152000+288000+45000+66000+250000+10000+55000+215000+50000+190000</f>
        <v>1331000</v>
      </c>
      <c r="AIC19">
        <f>76000+432000+50000+190000+20000</f>
        <v>768000</v>
      </c>
      <c r="AID19">
        <f>57000+288000+132000+125000+40000+95000+10000</f>
        <v>747000</v>
      </c>
      <c r="AIE19" s="127">
        <f>SUM(AGZ19:AID19)</f>
        <v>27618000</v>
      </c>
      <c r="AIF19">
        <f>216000+66000+240000+95000+19000</f>
        <v>636000</v>
      </c>
      <c r="AIG19">
        <f>133000+144000+50000+16000+72000+250000+55000+215000</f>
        <v>935000</v>
      </c>
      <c r="AIH19">
        <f>432000+10000+125000+33000+40000+50000+10000</f>
        <v>700000</v>
      </c>
      <c r="AII19">
        <v>72000</v>
      </c>
      <c r="AIJ19">
        <f>125000+165000+40000+54000</f>
        <v>384000</v>
      </c>
      <c r="AIK19">
        <f>38000+144000+16000+285000+10000+36000</f>
        <v>529000</v>
      </c>
      <c r="AIL19">
        <f>10000+72000+18000</f>
        <v>100000</v>
      </c>
      <c r="AIM19">
        <f>10000+152000+144000+20000+32000+18000+50000+190000+33000+100000+190000+15000</f>
        <v>954000</v>
      </c>
      <c r="AIN19">
        <f>19000+144000+36000+80000+95000+100000+380000+33000+125000</f>
        <v>1012000</v>
      </c>
      <c r="AIO19">
        <f>360000+38000+10000+250000+33000+70000+190000+50000+18000</f>
        <v>1019000</v>
      </c>
      <c r="AIP19">
        <f>216000+19000+50000+16000+770000</f>
        <v>1071000</v>
      </c>
      <c r="AIQ19">
        <f>19000+216000+30000</f>
        <v>265000</v>
      </c>
      <c r="AIR19">
        <f>19000+144000+125000+50000+55000+215000+18000+32000</f>
        <v>658000</v>
      </c>
      <c r="AIS19">
        <f>57000+144000+54000+16000+125000+55000+50000+380000</f>
        <v>881000</v>
      </c>
      <c r="AIT19">
        <f>10000+19000+144000+50000+16000+18000</f>
        <v>257000</v>
      </c>
      <c r="AIU19">
        <v>10000</v>
      </c>
      <c r="AIV19">
        <f>76000+72000</f>
        <v>148000</v>
      </c>
      <c r="AIW19">
        <f>32000+150000+190000+120000</f>
        <v>492000</v>
      </c>
      <c r="AIX19">
        <f>216000+40000+95000+50000</f>
        <v>401000</v>
      </c>
      <c r="AIY19">
        <f>10000+95000+288000+200000+190000+32000+10000+125000</f>
        <v>950000</v>
      </c>
      <c r="AIZ19">
        <f>10000+133000+144000+50000+16000+60000+95000</f>
        <v>508000</v>
      </c>
      <c r="AJA19">
        <f>10000+114000+360000+32000+10000+18000+40000+95000+69000+110000</f>
        <v>858000</v>
      </c>
      <c r="AJB19">
        <f>250000+76000+72000+30000+50000+190000+36000</f>
        <v>704000</v>
      </c>
      <c r="AJC19">
        <f>144000+57000+10000+110000+95000+40000+18000+33000</f>
        <v>507000</v>
      </c>
      <c r="AJD19">
        <f>360000+95000+32000+15000+125000</f>
        <v>627000</v>
      </c>
      <c r="AJE19">
        <f>100000+190000</f>
        <v>290000</v>
      </c>
      <c r="AJF19">
        <f>152000+360000+66000+125000+18000+16000</f>
        <v>737000</v>
      </c>
      <c r="AJG19">
        <f>57000+72000+55000+18000</f>
        <v>202000</v>
      </c>
      <c r="AJH19">
        <f>114000+216000+215000+48000+10000+20000+190000+66000+110000</f>
        <v>989000</v>
      </c>
      <c r="AJI19">
        <f>20000+76000+72000+55000+40000+95000</f>
        <v>358000</v>
      </c>
      <c r="AJJ19">
        <f>76000+360000+150000+190000+120000+92000+110000+36000+10000+15000+32000</f>
        <v>1191000</v>
      </c>
      <c r="AJK19" s="127">
        <f>SUM(AIF19:AJJ19)</f>
        <v>18445000</v>
      </c>
      <c r="AJL19">
        <f>20000+133000+144000+110000+215000+18000</f>
        <v>640000</v>
      </c>
      <c r="AJM19">
        <f>10000+171000+144000+32000+10000+220000+250000+66000+60000+95000+150000+190000</f>
        <v>1398000</v>
      </c>
      <c r="AJN19">
        <f>114000+72000+48000+100000+190000+55000</f>
        <v>579000</v>
      </c>
      <c r="AJO19">
        <f>20000+76000+360000+350000+92000+220000+40000+95000+16000+33000+125000+55000+430000+20000</f>
        <v>1932000</v>
      </c>
      <c r="AJP19">
        <f>20000+38000+288000+72000+48000+33000+250000+50000+55000+220000+15000+10000</f>
        <v>1099000</v>
      </c>
      <c r="AJQ19">
        <f>20000+576000+40000+95000+20000+48000</f>
        <v>799000</v>
      </c>
      <c r="AJR19">
        <f>60000+360000+125000+40000+95000+72000+10000</f>
        <v>762000</v>
      </c>
      <c r="AJS19">
        <f>30000+216000+46000+18000+20000+16000</f>
        <v>346000</v>
      </c>
      <c r="AJT19">
        <f>70000+288000+32000+20000+23000+110000+33000+125000+36000</f>
        <v>737000</v>
      </c>
      <c r="AJU19">
        <f>288000+150000+380000+110000+860000+190000+100000+92000+220000+125000+54000+15000+10000</f>
        <v>2594000</v>
      </c>
      <c r="AJV19">
        <f>288000+125000+20000+95000+220000+12000+16000+260000</f>
        <v>1036000</v>
      </c>
      <c r="AJW19">
        <f>10000+76000+360000+55000+215000+54000+760000+46000+110000+20000</f>
        <v>1706000</v>
      </c>
      <c r="AJX19">
        <f>20000+144000+18000+40000+95000+660000+350000+190000+60000</f>
        <v>1577000</v>
      </c>
      <c r="AJY19">
        <f>20000+38000+72000+66000+125000+190000+16000</f>
        <v>527000</v>
      </c>
      <c r="AJZ19">
        <f>20000+76000+216000+33000+55000+54000+32000</f>
        <v>486000</v>
      </c>
      <c r="AKA19">
        <f>19000+432000+99000+250000+80000+190000+36000+40000</f>
        <v>1146000</v>
      </c>
      <c r="AKB19">
        <f>95000+360000+66000+60000+95000+69000+110000+20000+15000</f>
        <v>890000</v>
      </c>
      <c r="AKC19">
        <f>10000+114000+216000+350000+20000+15000</f>
        <v>725000</v>
      </c>
      <c r="AKD19">
        <f>20000+95000+360000+125000+46000+110000+50000+18000+16000</f>
        <v>840000</v>
      </c>
      <c r="AKE19">
        <f>10000+152000+144000+95000+66000+125000+16000</f>
        <v>608000</v>
      </c>
      <c r="AKF19">
        <f>30000+171000+144000+99000+125000+46000+110000+10000+15000+36000+55000+215000</f>
        <v>1056000</v>
      </c>
      <c r="AKG19">
        <f>20000+133000+432000+50000+190000+125000+46000+18000+24000+16000+20000</f>
        <v>1074000</v>
      </c>
      <c r="AKH19">
        <f>38000+288000+66000+125000+165000+645000+80000+190000+92000+220000+16000</f>
        <v>1925000</v>
      </c>
      <c r="AKI19">
        <f>10000+57000+216000+33000+50000+40000+95000+110000+12000+120000+20000+48000</f>
        <v>811000</v>
      </c>
      <c r="AKJ19">
        <f>19000+288000+50000+190000+110000+215000+69000+220000+50000+16000</f>
        <v>1227000</v>
      </c>
      <c r="AKK19">
        <f>20000+57000+216000+66000+125000+60000+95000+46000+110000+16000</f>
        <v>811000</v>
      </c>
      <c r="AKL19">
        <f>100000+432000+40000+95000+16000+380000+50000+215000+250000+10000+48000</f>
        <v>1636000</v>
      </c>
      <c r="AKM19">
        <f>40000+231000+375000+380000+150000+40000+95000+16000</f>
        <v>1327000</v>
      </c>
      <c r="AKN19" s="127">
        <f t="shared" si="11"/>
        <v>30294000</v>
      </c>
      <c r="AKO19">
        <f>33000+125000+55000+126000+16000</f>
        <v>355000</v>
      </c>
      <c r="AKP19">
        <f>20000+19000+360000+20000+215000+96000</f>
        <v>730000</v>
      </c>
      <c r="AKQ19">
        <f>10000+216000+100000+190000+36000+30000+10000</f>
        <v>592000</v>
      </c>
      <c r="AKR19">
        <f>20000+95000+360000+20000+95000+15000+96000</f>
        <v>701000</v>
      </c>
      <c r="AKS19">
        <f>10000+57000+360000+54000+16000</f>
        <v>497000</v>
      </c>
      <c r="AKT19">
        <f>38000+288000+33000+18000+215000+55000</f>
        <v>647000</v>
      </c>
      <c r="AKU19">
        <f>247000+432000+50000+190000+16000+23000</f>
        <v>958000</v>
      </c>
      <c r="AKV19">
        <f>20000+76000+432000+198000+250000+55000+50000+10000+48000</f>
        <v>1139000</v>
      </c>
      <c r="AKW19">
        <f>171000+288000+125000+55000+215000+69000+110000+90000+16000</f>
        <v>1139000</v>
      </c>
      <c r="AKX19">
        <f>95000+288000+120000+95000+76000</f>
        <v>674000</v>
      </c>
      <c r="AKY19">
        <f>76000+288000+40000+95000+36000+200000+55000+270000+33000+32000</f>
        <v>1125000</v>
      </c>
      <c r="AKZ19">
        <f>20000+95000+432000+20000+36000+30000+20000</f>
        <v>653000</v>
      </c>
      <c r="ALA19">
        <f>10000+133000+288000+150000+380000+55000+215000+80000+95000+30000+16000</f>
        <v>1452000</v>
      </c>
      <c r="ALB19">
        <f>57000+288000+100000+60000+190000+18000+15000+9000+32000</f>
        <v>769000</v>
      </c>
      <c r="ALC19">
        <f>10000+19000+72000+20000+46000+110000+12000+20000</f>
        <v>309000</v>
      </c>
      <c r="ALD19">
        <f>20000+209000+216000+46000+110000+125000+18000+55000+350000+50000+16000</f>
        <v>1215000</v>
      </c>
      <c r="ALE19">
        <f>76000+288000+250000+18000+105000+60000+20000+64000</f>
        <v>881000</v>
      </c>
      <c r="ALF19">
        <f>57000+288000+20000+75000+110000+36000+110000+32000+285000+10000</f>
        <v>1023000</v>
      </c>
      <c r="ALG19">
        <f>20000+19000+144000+250000+46000+110000+110000+215000+300000+20000</f>
        <v>1234000</v>
      </c>
      <c r="ALH19">
        <f>72000+125000+92000+110000+32000</f>
        <v>431000</v>
      </c>
      <c r="ALI19">
        <f>20000+95000+288000+50000+40000+18000+10000+15000+9000</f>
        <v>545000</v>
      </c>
      <c r="ALJ19">
        <f>10000+76000+216000+40000+138000+440000+360000+10000</f>
        <v>1290000</v>
      </c>
      <c r="ALK19">
        <f>10000+114000+576000+190000+80000+46000+110000+18000+10000+16000</f>
        <v>1170000</v>
      </c>
      <c r="ALL19">
        <f>76000+144000+215000+250000+20000+95000+220000+12000+72000+20000</f>
        <v>1124000</v>
      </c>
      <c r="ALM19">
        <f>20000+38000+216000+100000+190000+110000+16000</f>
        <v>690000</v>
      </c>
      <c r="ALN19">
        <f>10000+190000+432000+33000+125000+60000+285000+110000+16000</f>
        <v>1261000</v>
      </c>
      <c r="ALO19">
        <f>10000+19000+216099+215000+132000+100000+285000+30000+10000</f>
        <v>1017099</v>
      </c>
      <c r="ALP19">
        <f>114000+432000+50000+220000+215000+90000+100000+95000+16000</f>
        <v>1332000</v>
      </c>
      <c r="ALQ19">
        <f>20000+38000+288000+50000+190000+55000+30000+220000+20000+16000+30000</f>
        <v>957000</v>
      </c>
      <c r="ALR19">
        <f>10000+152000+216000+40000+95000+110000+10000</f>
        <v>633000</v>
      </c>
      <c r="ALS19">
        <f>19000+360000+150000+40000+161000+330000+240000+36000+30000+32000</f>
        <v>1398000</v>
      </c>
      <c r="ALT19" s="127">
        <f t="shared" si="12"/>
        <v>27941099</v>
      </c>
      <c r="ALU19">
        <f>10000+95000+288000+125000+50000+10000+36000+32000</f>
        <v>646000</v>
      </c>
      <c r="ALV19">
        <f>10000+152000+360000+125000+40000+95000+110000+36000+20000</f>
        <v>948000</v>
      </c>
      <c r="ALW19">
        <f>10000+114000+432000+33000+50000+190000+40000+46000+110000+36000+110000+20000</f>
        <v>1191000</v>
      </c>
      <c r="ALX19">
        <f>20000+38000+360000+80000+95000+36000+33000+48000</f>
        <v>710000</v>
      </c>
      <c r="ALY19">
        <f>152000+432000+165000+46000+110000+18000+30000</f>
        <v>953000</v>
      </c>
      <c r="ALZ19">
        <f>95000+360000+33000+55000+20000+75000+18000</f>
        <v>656000</v>
      </c>
      <c r="AMA19">
        <f>19000+216000+72000</f>
        <v>307000</v>
      </c>
      <c r="AMB19">
        <f>95000+360000+18000+110000+80000+190000+46000+110000+15000+30000+32000</f>
        <v>1086000</v>
      </c>
      <c r="AMC19">
        <f>20000+76000+432000+33000+125000+60000+95000+32000+30000</f>
        <v>903000</v>
      </c>
      <c r="AMD19">
        <f>57000+288000+33000+125000+50000+190000+240000+18000+16000+10000</f>
        <v>1027000</v>
      </c>
      <c r="AME19">
        <f>10000+76000+432000+108000+48000+110000+215000+23000+110000+180000+10000+30000+48000</f>
        <v>1400000</v>
      </c>
      <c r="AMF19">
        <f>10000+19000+216000+33000+24000+10000</f>
        <v>312000</v>
      </c>
      <c r="AMG19">
        <f>10000+38000+72000+37000+46000+110000+40000+55000+18000+20000+16000</f>
        <v>462000</v>
      </c>
      <c r="AMH19">
        <f>38000+288000+200000+190000+46000+220000</f>
        <v>982000</v>
      </c>
      <c r="AMI19">
        <f>144000+190000+33000+125000+190000+15000+10000+60000+180000+16000</f>
        <v>963000</v>
      </c>
      <c r="AMJ19">
        <f>10000+38000+432000+46000+15000</f>
        <v>541000</v>
      </c>
      <c r="AMK19">
        <f>10000+114000+288000+69000+220000+125000+18000+20000</f>
        <v>864000</v>
      </c>
      <c r="AML19">
        <f>10000+133000+46000+220000+36000+10000+50000+60000+95000+144000</f>
        <v>804000</v>
      </c>
      <c r="AMM19">
        <f>10000+190000+360000+125000+40000+95000+16000</f>
        <v>836000</v>
      </c>
      <c r="AMN19">
        <f>10000+95000+216000+23000+110000+55000+215000+40000+95000+18000+20000+16000</f>
        <v>913000</v>
      </c>
      <c r="AMO19">
        <f>10000+152000+360000+23000+220000+18000+16000+20000+30000</f>
        <v>849000</v>
      </c>
      <c r="AMP19">
        <f>288000+69000+330000+36000+16000+55000+215000+10000</f>
        <v>1019000</v>
      </c>
      <c r="AMQ19">
        <f>10000+190000+144000+16000+55000+430000+23000+110000+18000+30000+45000</f>
        <v>1071000</v>
      </c>
      <c r="AMR19">
        <f>10000+551000+144000+50000+190000+55000+215000+66000+250000+20000+95000+15000+110000+16000</f>
        <v>1787000</v>
      </c>
      <c r="AMS19">
        <f>20000+114000+216000+150000+380000+60000+95000+32000+30000</f>
        <v>1097000</v>
      </c>
      <c r="AMT19">
        <f>57000+144000+100000+190000+55000+33000+125000+161000+330000+105000+110000</f>
        <v>1410000</v>
      </c>
      <c r="AMU19">
        <f>190000+288000+33000+46000+105000+80000+190000+18000+16000</f>
        <v>966000</v>
      </c>
      <c r="AMV19">
        <f>95000+288000+55000+50000+190000+48000+12000+95000+20000+64000+10000</f>
        <v>927000</v>
      </c>
      <c r="AMW19">
        <f>133000+144000+110000+215000+40000+46000+110000+15000</f>
        <v>813000</v>
      </c>
      <c r="AMX19">
        <f>10000+190000+432000+95000+69000+110000+50000+190000+18000+20000+16000</f>
        <v>1200000</v>
      </c>
      <c r="AMY19" s="127">
        <f t="shared" si="13"/>
        <v>27643000</v>
      </c>
      <c r="AMZ19">
        <f>10000+95000+288000+50000+92000+220000+18000</f>
        <v>773000</v>
      </c>
      <c r="ANA19">
        <f>10000+95000+360000+100000+110000+16000+15000</f>
        <v>706000</v>
      </c>
      <c r="ANB19">
        <f>95000+144000+80000+48000+10000+18000+30000</f>
        <v>425000</v>
      </c>
      <c r="ANC19">
        <f>30000+114000+288000+55000+215000+200000+380000+69000+24000+32000+36000</f>
        <v>1443000</v>
      </c>
      <c r="AND19">
        <f>76000+504000+55000+215000+100000+190000+190000+100000+72000+120000</f>
        <v>1622000</v>
      </c>
      <c r="ANE19">
        <f>171000+288000+33000+55000+215000+190000+60000+16000</f>
        <v>1028000</v>
      </c>
      <c r="ANF19">
        <f>10000+19000+144000+40000+190000+16000+18000</f>
        <v>437000</v>
      </c>
      <c r="ANG19">
        <f>10000+152000+288000+66000+250000+50000+190000+110000+215000+60000+23000+110000+36000+45000+10000+32000</f>
        <v>1647000</v>
      </c>
      <c r="ANH19">
        <f>114000+144000+110000+430000+190000+140000+110000+48000+20000+36000</f>
        <v>1342000</v>
      </c>
      <c r="ANI19">
        <f>10000+114000+432000+125000+100000+380000+15000+10000</f>
        <v>1186000</v>
      </c>
      <c r="ANJ19">
        <f>10000+114000+360000+125000+69000+110000+95000+18000+15000+10000</f>
        <v>926000</v>
      </c>
      <c r="ANK19">
        <f>76000+216000+20000+92000+110000+110000</f>
        <v>624000</v>
      </c>
      <c r="ANL19">
        <f>152000+360000+20000+95000+46000+110000+144000+15000+20000+16000</f>
        <v>978000</v>
      </c>
      <c r="ANM19">
        <f>38000+144000+125000+330000+215000+20000+18000+20000</f>
        <v>910000</v>
      </c>
      <c r="ANN19">
        <f>10000+95000+504000+125000+110000+215000+60000+570000+23000</f>
        <v>1712000</v>
      </c>
      <c r="ANO19">
        <f>20000+38000+216000+33000+125000+55000+100000+190000+30000+110000+10000</f>
        <v>927000</v>
      </c>
      <c r="ANP19">
        <f>10000+114000+216000+190000+60000+190000+46000+110000+30000</f>
        <v>966000</v>
      </c>
      <c r="ANQ19">
        <f>10000+38000+288000+50000+40000+110000+32000</f>
        <v>568000</v>
      </c>
      <c r="ANR19">
        <f>20000+133000+576000+33000+125000+50000+144000</f>
        <v>1081000</v>
      </c>
      <c r="ANS19">
        <f>10000+95000+144000+99000+250000+20000+23000+220000+20000+48000</f>
        <v>929000</v>
      </c>
      <c r="ANT19">
        <f>10000+19000+216000+50000+165000+40000+95000+36000</f>
        <v>631000</v>
      </c>
      <c r="ANU19">
        <f>10000+57000+216000+99000+125000+50000+190000+140000+285000+92000+220000+16000</f>
        <v>1500000</v>
      </c>
      <c r="ANV19">
        <f>20000+57000+504000+33000+60000+665000+110000+48000+36000+45000</f>
        <v>1578000</v>
      </c>
      <c r="ANW19">
        <f>10000+76000+216000+110000+215000+50000+32000+54000+200000+380000+15000</f>
        <v>1358000</v>
      </c>
      <c r="ANX19">
        <f>30000+133000+360000+55000+215000+50000+380000+560000+48000+144000+110000+30000</f>
        <v>2115000</v>
      </c>
      <c r="ANY19">
        <f>57000+216000+110000+100000+110000+92000+10000+32000+16000+15000</f>
        <v>758000</v>
      </c>
      <c r="ANZ19">
        <f>30000+19000+360000+95000+54000+15000</f>
        <v>573000</v>
      </c>
      <c r="AOA19">
        <f>209000+360000+99000+250000</f>
        <v>918000</v>
      </c>
      <c r="AOB19">
        <f>10000+57000+288000+95000+161000+110000+18000+30000+10000</f>
        <v>779000</v>
      </c>
      <c r="AOC19">
        <f>38000+144000+100000+33000+125000+69000+110000+54000+60000+240000+16000</f>
        <v>989000</v>
      </c>
    </row>
    <row r="20" spans="1:1069" ht="15" customHeight="1" x14ac:dyDescent="0.2">
      <c r="A20" s="160"/>
      <c r="B20" s="5" t="s">
        <v>1517</v>
      </c>
      <c r="C20" s="22"/>
      <c r="D20" s="22">
        <v>225000</v>
      </c>
      <c r="E20" s="22"/>
      <c r="F20" s="22">
        <v>10000</v>
      </c>
      <c r="G20" s="22">
        <f>10000+8000</f>
        <v>18000</v>
      </c>
      <c r="H20" s="22"/>
      <c r="I20" s="87">
        <v>235218</v>
      </c>
      <c r="J20" s="22">
        <v>8000</v>
      </c>
      <c r="K20" s="22"/>
      <c r="L20" s="22"/>
      <c r="M20" s="22">
        <v>8000</v>
      </c>
      <c r="N20" s="22">
        <v>8000</v>
      </c>
      <c r="O20" s="22">
        <v>8000</v>
      </c>
      <c r="P20" s="22"/>
      <c r="Q20" s="22"/>
      <c r="R20" s="22"/>
      <c r="S20" s="22">
        <f>210000+8000</f>
        <v>218000</v>
      </c>
      <c r="T20" s="22">
        <f>1155.347*40</f>
        <v>46213.88</v>
      </c>
      <c r="U20" s="22"/>
      <c r="V20" s="22"/>
      <c r="W20" s="22">
        <v>8000</v>
      </c>
      <c r="X20" s="22">
        <v>42506</v>
      </c>
      <c r="Y20" s="22"/>
      <c r="Z20" s="22"/>
      <c r="AA20" s="22"/>
      <c r="AB20" s="22"/>
      <c r="AC20" s="22">
        <v>8000</v>
      </c>
      <c r="AD20" s="22">
        <v>528000</v>
      </c>
      <c r="AE20" s="22">
        <v>142888</v>
      </c>
      <c r="AF20" s="22">
        <v>10000</v>
      </c>
      <c r="AG20" s="22"/>
      <c r="AH20" s="94"/>
      <c r="AI20" s="22">
        <v>0</v>
      </c>
      <c r="AK20">
        <v>16000</v>
      </c>
      <c r="AL20">
        <v>114096</v>
      </c>
      <c r="AN20">
        <v>8000</v>
      </c>
      <c r="AP20">
        <v>284069</v>
      </c>
      <c r="AQ20">
        <v>8000</v>
      </c>
      <c r="AS20">
        <v>64538</v>
      </c>
      <c r="AT20">
        <v>16000</v>
      </c>
      <c r="AU20">
        <v>20035</v>
      </c>
      <c r="AV20">
        <v>10000</v>
      </c>
      <c r="AW20">
        <v>0</v>
      </c>
      <c r="AZ20">
        <v>8000</v>
      </c>
      <c r="BA20">
        <v>8000</v>
      </c>
      <c r="BE20">
        <v>8000</v>
      </c>
      <c r="BF20">
        <v>45000</v>
      </c>
      <c r="BG20">
        <f>8000+39085</f>
        <v>47085</v>
      </c>
      <c r="BH20">
        <v>16000</v>
      </c>
      <c r="BM20" s="97"/>
      <c r="BO20">
        <v>8000</v>
      </c>
      <c r="BP20">
        <v>0</v>
      </c>
      <c r="BQ20">
        <v>60000</v>
      </c>
      <c r="BR20">
        <v>100000</v>
      </c>
      <c r="BT20">
        <v>8000</v>
      </c>
      <c r="BU20">
        <f>20000+8000</f>
        <v>28000</v>
      </c>
      <c r="BW20">
        <v>100000</v>
      </c>
      <c r="BX20">
        <v>16000</v>
      </c>
      <c r="BY20">
        <v>16000</v>
      </c>
      <c r="CA20">
        <v>10000</v>
      </c>
      <c r="CB20">
        <v>8000</v>
      </c>
      <c r="CD20">
        <v>8000</v>
      </c>
      <c r="CH20">
        <v>20000</v>
      </c>
      <c r="CI20">
        <v>0</v>
      </c>
      <c r="CQ20">
        <v>100000</v>
      </c>
      <c r="CS20" s="111">
        <f t="shared" si="10"/>
        <v>482000</v>
      </c>
      <c r="CV20">
        <v>100000</v>
      </c>
      <c r="CY20">
        <v>120000</v>
      </c>
      <c r="DU20">
        <v>100000</v>
      </c>
      <c r="DX20" s="119">
        <f t="shared" si="95"/>
        <v>320000</v>
      </c>
      <c r="EB20">
        <v>100000</v>
      </c>
      <c r="EG20">
        <v>227000</v>
      </c>
      <c r="EK20">
        <v>10000</v>
      </c>
      <c r="EL20">
        <v>372350</v>
      </c>
      <c r="EU20">
        <v>450000</v>
      </c>
      <c r="FB20">
        <v>397000</v>
      </c>
      <c r="FD20" s="128">
        <f t="shared" si="177"/>
        <v>1556350</v>
      </c>
      <c r="FI20">
        <v>238000</v>
      </c>
      <c r="FJ20">
        <v>100000</v>
      </c>
      <c r="FQ20">
        <v>224000</v>
      </c>
      <c r="FW20">
        <v>789739</v>
      </c>
      <c r="GH20">
        <v>600000</v>
      </c>
      <c r="GJ20" s="127">
        <f t="shared" si="99"/>
        <v>1951739</v>
      </c>
      <c r="GQ20">
        <v>100000</v>
      </c>
      <c r="GZ20">
        <v>600000</v>
      </c>
      <c r="HG20">
        <v>440000</v>
      </c>
      <c r="HN20" s="127">
        <f t="shared" si="101"/>
        <v>1140000</v>
      </c>
      <c r="HQ20">
        <v>183000</v>
      </c>
      <c r="HR20">
        <f>500300+152900</f>
        <v>653200</v>
      </c>
      <c r="HY20">
        <v>105000</v>
      </c>
      <c r="IB20">
        <v>100000</v>
      </c>
      <c r="IJ20">
        <v>250000</v>
      </c>
      <c r="IM20">
        <v>150000</v>
      </c>
      <c r="IN20">
        <v>34000</v>
      </c>
      <c r="IT20" s="127">
        <f t="shared" si="22"/>
        <v>1475200</v>
      </c>
      <c r="IV20">
        <v>500000</v>
      </c>
      <c r="JG20">
        <v>450000</v>
      </c>
      <c r="JJ20">
        <v>100000</v>
      </c>
      <c r="JY20" s="127">
        <f t="shared" si="58"/>
        <v>1050000</v>
      </c>
      <c r="KB20">
        <f>26750+40000</f>
        <v>66750</v>
      </c>
      <c r="KF20">
        <v>600000</v>
      </c>
      <c r="KL20">
        <f>350000+100000</f>
        <v>450000</v>
      </c>
      <c r="KT20">
        <f>695000+96000</f>
        <v>791000</v>
      </c>
      <c r="LB20">
        <v>0</v>
      </c>
      <c r="LE20" s="127">
        <f t="shared" si="60"/>
        <v>1907750</v>
      </c>
      <c r="LS20">
        <v>700000</v>
      </c>
      <c r="LV20">
        <v>400000</v>
      </c>
      <c r="LY20">
        <v>350000</v>
      </c>
      <c r="MD20">
        <v>350000</v>
      </c>
      <c r="MG20">
        <v>400000</v>
      </c>
      <c r="MJ20" s="127">
        <f t="shared" si="62"/>
        <v>2200000</v>
      </c>
      <c r="MU20">
        <v>400000</v>
      </c>
      <c r="NB20">
        <v>400000</v>
      </c>
      <c r="NP20" s="127">
        <f t="shared" si="64"/>
        <v>800000</v>
      </c>
      <c r="NX20">
        <v>500000</v>
      </c>
      <c r="OH20">
        <v>500000</v>
      </c>
      <c r="OV20" s="127">
        <f t="shared" si="66"/>
        <v>1000000</v>
      </c>
      <c r="OX20">
        <f>506495+57500</f>
        <v>563995</v>
      </c>
      <c r="OY20">
        <v>430000</v>
      </c>
      <c r="PO20">
        <v>2000000</v>
      </c>
      <c r="PS20">
        <v>900000</v>
      </c>
      <c r="QA20" s="127">
        <f t="shared" si="68"/>
        <v>3893995</v>
      </c>
      <c r="QO20">
        <v>500000</v>
      </c>
      <c r="QS20">
        <v>2000000</v>
      </c>
      <c r="RD20">
        <v>300000</v>
      </c>
      <c r="RE20">
        <v>450000</v>
      </c>
      <c r="RG20" s="127">
        <f t="shared" si="147"/>
        <v>3250000</v>
      </c>
      <c r="SL20" s="127">
        <f t="shared" si="207"/>
        <v>0</v>
      </c>
      <c r="SO20">
        <v>100000</v>
      </c>
      <c r="TA20">
        <v>0</v>
      </c>
      <c r="TR20" s="127">
        <f>SUM(SN20:TQ20)</f>
        <v>100000</v>
      </c>
      <c r="UG20">
        <v>700000</v>
      </c>
      <c r="UX20" s="127">
        <f>SUM(TT20:UW20)</f>
        <v>700000</v>
      </c>
      <c r="WA20" s="127">
        <f>SUM(UY20:VZ20)</f>
        <v>0</v>
      </c>
      <c r="XB20">
        <v>600000</v>
      </c>
      <c r="XG20" s="127">
        <f t="shared" si="156"/>
        <v>600000</v>
      </c>
      <c r="XX20">
        <v>14655</v>
      </c>
      <c r="YL20" s="127">
        <f t="shared" si="158"/>
        <v>14655</v>
      </c>
      <c r="YS20">
        <v>96000</v>
      </c>
      <c r="ZH20">
        <v>200000</v>
      </c>
      <c r="ZR20" s="127">
        <f t="shared" si="113"/>
        <v>296000</v>
      </c>
      <c r="ZS20">
        <v>10000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406000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 s="127">
        <f t="shared" si="115"/>
        <v>416000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 s="127">
        <f>SUM(AAY20:ACB20)</f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26000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600000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280000</v>
      </c>
      <c r="ADG20">
        <v>0</v>
      </c>
      <c r="ADH20">
        <v>0</v>
      </c>
      <c r="ADI20" s="127">
        <f>SUM(ACE20:ADH20)</f>
        <v>906000</v>
      </c>
      <c r="ADJ20">
        <v>0</v>
      </c>
      <c r="ADK20">
        <v>0</v>
      </c>
      <c r="ADL20">
        <v>200000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180000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 s="127">
        <f t="shared" si="121"/>
        <v>380000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 s="127">
        <f>SUM(AEP20:AFS20)</f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100000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222700</v>
      </c>
      <c r="AGU20">
        <v>0</v>
      </c>
      <c r="AGV20">
        <v>0</v>
      </c>
      <c r="AGW20">
        <v>0</v>
      </c>
      <c r="AGX20">
        <v>16000</v>
      </c>
      <c r="AGY20" s="127">
        <f t="shared" si="125"/>
        <v>338700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320000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 s="127">
        <f>SUM(AGZ20:AID20)</f>
        <v>320000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48000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6500</v>
      </c>
      <c r="AJH20">
        <v>0</v>
      </c>
      <c r="AJI20">
        <v>0</v>
      </c>
      <c r="AJJ20">
        <v>0</v>
      </c>
      <c r="AJK20" s="127">
        <f>SUM(AIF20:AJJ20)</f>
        <v>54500</v>
      </c>
      <c r="AJL20">
        <v>0</v>
      </c>
      <c r="AJM20">
        <v>0</v>
      </c>
      <c r="AJN20">
        <v>0</v>
      </c>
      <c r="AJO20">
        <v>95000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 s="127">
        <f t="shared" si="11"/>
        <v>95000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400000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 s="127">
        <f t="shared" si="12"/>
        <v>400000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53000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200000</v>
      </c>
      <c r="AMX20">
        <v>0</v>
      </c>
      <c r="AMY20" s="127">
        <f t="shared" si="13"/>
        <v>253000</v>
      </c>
      <c r="AMZ20">
        <v>148000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452303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179542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118527</v>
      </c>
      <c r="AOB20">
        <v>63000</v>
      </c>
      <c r="AOC20">
        <v>0</v>
      </c>
    </row>
    <row r="21" spans="1:1069" ht="17.75" customHeight="1" x14ac:dyDescent="0.2">
      <c r="A21" s="160"/>
      <c r="B21" s="5" t="s">
        <v>1518</v>
      </c>
      <c r="C21" s="22"/>
      <c r="D21" s="22"/>
      <c r="E21" s="22"/>
      <c r="F21" s="22"/>
      <c r="G21" s="22"/>
      <c r="H21" s="22"/>
      <c r="I21" s="87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94"/>
      <c r="AI21" s="22"/>
      <c r="BM21" s="97"/>
      <c r="CS21" s="111"/>
      <c r="DA21">
        <v>570000</v>
      </c>
      <c r="DD21">
        <v>210000</v>
      </c>
      <c r="DX21" s="119">
        <f t="shared" si="95"/>
        <v>780000</v>
      </c>
      <c r="EN21">
        <v>150000</v>
      </c>
      <c r="FD21" s="128">
        <f t="shared" si="177"/>
        <v>150000</v>
      </c>
      <c r="GJ21" s="127">
        <f t="shared" si="99"/>
        <v>0</v>
      </c>
      <c r="GQ21">
        <v>200000</v>
      </c>
      <c r="HA21">
        <v>200000</v>
      </c>
      <c r="HM21">
        <v>500000</v>
      </c>
      <c r="HN21" s="127">
        <f t="shared" si="101"/>
        <v>900000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270000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150000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150000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 s="127">
        <f t="shared" si="22"/>
        <v>570000</v>
      </c>
      <c r="IU21">
        <v>0</v>
      </c>
      <c r="IV21">
        <v>500000</v>
      </c>
      <c r="JY21" s="127">
        <f t="shared" si="58"/>
        <v>500000</v>
      </c>
      <c r="KG21">
        <v>500000</v>
      </c>
      <c r="LB21">
        <v>46000</v>
      </c>
      <c r="LE21" s="127">
        <f t="shared" si="60"/>
        <v>546000</v>
      </c>
      <c r="MJ21" s="127">
        <f t="shared" si="62"/>
        <v>0</v>
      </c>
      <c r="NP21" s="127">
        <f t="shared" si="64"/>
        <v>0</v>
      </c>
      <c r="OJ21">
        <v>31360</v>
      </c>
      <c r="OV21" s="127">
        <f t="shared" si="66"/>
        <v>31360</v>
      </c>
      <c r="QA21" s="127">
        <f t="shared" si="68"/>
        <v>0</v>
      </c>
      <c r="RG21" s="127">
        <f t="shared" si="147"/>
        <v>0</v>
      </c>
      <c r="SL21" s="127">
        <f t="shared" si="207"/>
        <v>0</v>
      </c>
      <c r="TR21" s="127">
        <f>SUM(SN21:TQ21)</f>
        <v>0</v>
      </c>
      <c r="UX21" s="127">
        <f>SUM(TT21:UW21)</f>
        <v>0</v>
      </c>
      <c r="WA21" s="127">
        <f>SUM(UW21:VZ21)</f>
        <v>0</v>
      </c>
      <c r="XG21" s="127">
        <f>SUM(WC21:XF21)</f>
        <v>0</v>
      </c>
      <c r="YL21" s="127">
        <f>SUM(XI21:YK21)</f>
        <v>0</v>
      </c>
      <c r="YP21">
        <v>877000</v>
      </c>
      <c r="YS21">
        <v>878000</v>
      </c>
      <c r="YV21">
        <v>987000</v>
      </c>
      <c r="YX21">
        <v>876400</v>
      </c>
      <c r="ZR21" s="127">
        <f t="shared" si="113"/>
        <v>3618400</v>
      </c>
      <c r="AAW21" s="127">
        <f t="shared" si="115"/>
        <v>0</v>
      </c>
      <c r="ACC21" s="127">
        <f>SUM(AAY21:ACB21)</f>
        <v>0</v>
      </c>
      <c r="ADI21" s="127">
        <f>SUM(ACE21:ADH21)</f>
        <v>0</v>
      </c>
      <c r="AEN21" s="127">
        <f t="shared" si="121"/>
        <v>0</v>
      </c>
      <c r="AFT21" s="127">
        <f>SUM(AEP21:AFS21)</f>
        <v>0</v>
      </c>
      <c r="AGY21" s="127">
        <f t="shared" si="125"/>
        <v>0</v>
      </c>
      <c r="AIE21" s="127">
        <f>SUM(AHA21:AID21)</f>
        <v>0</v>
      </c>
      <c r="AJK21" s="127">
        <f>SUM(AIG21:AJJ21)</f>
        <v>0</v>
      </c>
      <c r="AKN21" s="127">
        <f t="shared" si="11"/>
        <v>0</v>
      </c>
      <c r="ALT21" s="127">
        <f t="shared" si="12"/>
        <v>0</v>
      </c>
      <c r="AMY21" s="127">
        <f t="shared" si="13"/>
        <v>0</v>
      </c>
    </row>
    <row r="22" spans="1:1069" ht="20.75" customHeight="1" x14ac:dyDescent="0.2">
      <c r="A22" s="160"/>
      <c r="B22" s="5" t="s">
        <v>1519</v>
      </c>
      <c r="C22" s="22"/>
      <c r="D22" s="22"/>
      <c r="E22" s="22"/>
      <c r="F22" s="22"/>
      <c r="G22" s="22"/>
      <c r="H22" s="22"/>
      <c r="I22" s="87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94"/>
      <c r="AI22" s="22"/>
      <c r="BM22" s="97"/>
      <c r="CI22">
        <v>20000</v>
      </c>
      <c r="CK22">
        <v>10000</v>
      </c>
      <c r="CO22">
        <v>10000</v>
      </c>
      <c r="CR22">
        <v>20000</v>
      </c>
      <c r="CS22" s="111">
        <f t="shared" ref="CS22:CS48" si="208">SUM(BN22:CR22)</f>
        <v>60000</v>
      </c>
      <c r="CT22">
        <v>10000</v>
      </c>
      <c r="CV22">
        <v>10000</v>
      </c>
      <c r="CW22">
        <v>30000</v>
      </c>
      <c r="DC22">
        <v>10000</v>
      </c>
      <c r="DD22">
        <v>10000</v>
      </c>
      <c r="DN22">
        <f>20000+10000+10000</f>
        <v>40000</v>
      </c>
      <c r="DP22">
        <v>10000</v>
      </c>
      <c r="DQ22">
        <v>0</v>
      </c>
      <c r="DV22">
        <v>10000</v>
      </c>
      <c r="DX22" s="119">
        <f t="shared" si="95"/>
        <v>130000</v>
      </c>
      <c r="DZ22">
        <v>12000</v>
      </c>
      <c r="EC22">
        <v>10000</v>
      </c>
      <c r="EK22">
        <v>10000</v>
      </c>
      <c r="EP22">
        <v>10000</v>
      </c>
      <c r="ES22">
        <v>10000</v>
      </c>
      <c r="ET22">
        <v>20000</v>
      </c>
      <c r="FD22" s="128">
        <f t="shared" si="177"/>
        <v>72000</v>
      </c>
      <c r="FS22">
        <v>10000</v>
      </c>
      <c r="GJ22" s="127">
        <f t="shared" si="99"/>
        <v>10000</v>
      </c>
      <c r="GO22">
        <f>10000+20000</f>
        <v>30000</v>
      </c>
      <c r="GR22">
        <v>10000</v>
      </c>
      <c r="GT22">
        <v>10000</v>
      </c>
      <c r="GW22">
        <v>30000</v>
      </c>
      <c r="HF22">
        <v>10000</v>
      </c>
      <c r="HH22">
        <v>8000</v>
      </c>
      <c r="HJ22">
        <v>8000</v>
      </c>
      <c r="HL22">
        <v>8000</v>
      </c>
      <c r="HN22" s="127">
        <f t="shared" si="101"/>
        <v>114000</v>
      </c>
      <c r="HV22">
        <v>8000</v>
      </c>
      <c r="HW22">
        <v>16000</v>
      </c>
      <c r="HZ22">
        <v>27500</v>
      </c>
      <c r="IC22">
        <v>8000</v>
      </c>
      <c r="IL22">
        <v>8000</v>
      </c>
      <c r="IM22">
        <v>8000</v>
      </c>
      <c r="IN22">
        <v>8000</v>
      </c>
      <c r="IO22">
        <v>16000</v>
      </c>
      <c r="IR22">
        <v>0</v>
      </c>
      <c r="IT22" s="127">
        <f t="shared" si="22"/>
        <v>99500</v>
      </c>
      <c r="IX22">
        <v>12000</v>
      </c>
      <c r="IY22">
        <v>12000</v>
      </c>
      <c r="JK22">
        <f>24000+20000</f>
        <v>44000</v>
      </c>
      <c r="JM22">
        <v>12000</v>
      </c>
      <c r="JN22">
        <v>8000</v>
      </c>
      <c r="JQ22">
        <v>8000</v>
      </c>
      <c r="JW22">
        <v>8000</v>
      </c>
      <c r="JY22" s="127">
        <f t="shared" si="58"/>
        <v>104000</v>
      </c>
      <c r="KA22">
        <v>8000</v>
      </c>
      <c r="KB22">
        <v>8000</v>
      </c>
      <c r="KC22">
        <v>8000</v>
      </c>
      <c r="KI22">
        <v>16000</v>
      </c>
      <c r="KJ22">
        <v>16000</v>
      </c>
      <c r="KK22">
        <v>8000</v>
      </c>
      <c r="KL22">
        <v>8000</v>
      </c>
      <c r="KS22">
        <v>8000</v>
      </c>
      <c r="KT22">
        <v>8000</v>
      </c>
      <c r="KZ22">
        <v>24000</v>
      </c>
      <c r="LE22" s="127">
        <f t="shared" si="60"/>
        <v>112000</v>
      </c>
      <c r="LF22">
        <v>8000</v>
      </c>
      <c r="LG22">
        <v>8000</v>
      </c>
      <c r="LH22">
        <v>0</v>
      </c>
      <c r="LI22">
        <v>8000</v>
      </c>
      <c r="LJ22">
        <v>8000</v>
      </c>
      <c r="LK22">
        <v>0</v>
      </c>
      <c r="LL22">
        <v>0</v>
      </c>
      <c r="LM22">
        <v>0</v>
      </c>
      <c r="LN22">
        <v>0</v>
      </c>
      <c r="LO22">
        <v>8000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8000</v>
      </c>
      <c r="LY22">
        <v>0</v>
      </c>
      <c r="LZ22">
        <v>0</v>
      </c>
      <c r="MA22">
        <v>0</v>
      </c>
      <c r="MB22">
        <v>8000</v>
      </c>
      <c r="MC22">
        <v>0</v>
      </c>
      <c r="MD22">
        <v>8000</v>
      </c>
      <c r="ME22">
        <v>8000</v>
      </c>
      <c r="MF22">
        <v>0</v>
      </c>
      <c r="MG22">
        <v>0</v>
      </c>
      <c r="MH22">
        <v>0</v>
      </c>
      <c r="MI22">
        <v>0</v>
      </c>
      <c r="MJ22" s="127">
        <f t="shared" si="62"/>
        <v>72000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20000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 s="127">
        <f t="shared" si="64"/>
        <v>20000</v>
      </c>
      <c r="NQ22">
        <v>0</v>
      </c>
      <c r="NR22">
        <v>10000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 s="117">
        <v>20000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20000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8000</v>
      </c>
      <c r="OU22">
        <v>0</v>
      </c>
      <c r="OV22" s="127">
        <f t="shared" si="66"/>
        <v>58000</v>
      </c>
      <c r="OW22">
        <v>0</v>
      </c>
      <c r="OX22">
        <v>8000</v>
      </c>
      <c r="OY22">
        <v>0</v>
      </c>
      <c r="OZ22">
        <v>8000</v>
      </c>
      <c r="PA22">
        <v>0</v>
      </c>
      <c r="PB22">
        <v>0</v>
      </c>
      <c r="PC22">
        <v>16000</v>
      </c>
      <c r="PD22">
        <v>8000</v>
      </c>
      <c r="PE22">
        <v>0</v>
      </c>
      <c r="PF22">
        <v>0</v>
      </c>
      <c r="PG22">
        <v>8000</v>
      </c>
      <c r="PH22">
        <v>0</v>
      </c>
      <c r="PI22">
        <v>0</v>
      </c>
      <c r="PJ22">
        <v>0</v>
      </c>
      <c r="PK22">
        <v>0</v>
      </c>
      <c r="PL22">
        <v>8000</v>
      </c>
      <c r="PM22">
        <v>20000</v>
      </c>
      <c r="PN22">
        <v>0</v>
      </c>
      <c r="PO22">
        <f>8000+20000</f>
        <v>28000</v>
      </c>
      <c r="PP22">
        <f>8000+40000</f>
        <v>48000</v>
      </c>
      <c r="PQ22">
        <v>0</v>
      </c>
      <c r="PR22">
        <v>8000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8000</v>
      </c>
      <c r="PY22">
        <v>0</v>
      </c>
      <c r="PZ22">
        <v>0</v>
      </c>
      <c r="QA22" s="127">
        <f t="shared" si="68"/>
        <v>168000</v>
      </c>
      <c r="QB22">
        <v>8000</v>
      </c>
      <c r="QC22">
        <f>8000+20000</f>
        <v>28000</v>
      </c>
      <c r="QD22">
        <v>8000</v>
      </c>
      <c r="QE22">
        <v>0</v>
      </c>
      <c r="QF22">
        <v>16000</v>
      </c>
      <c r="QG22">
        <v>0</v>
      </c>
      <c r="QH22">
        <v>0</v>
      </c>
      <c r="QI22">
        <v>0</v>
      </c>
      <c r="QJ22">
        <v>0</v>
      </c>
      <c r="QK22">
        <v>8000</v>
      </c>
      <c r="QL22">
        <v>0</v>
      </c>
      <c r="QM22">
        <v>8000</v>
      </c>
      <c r="QN22">
        <v>0</v>
      </c>
      <c r="QO22">
        <v>8000</v>
      </c>
      <c r="QQ22">
        <v>8000</v>
      </c>
      <c r="QR22">
        <v>0</v>
      </c>
      <c r="QS22">
        <v>8000</v>
      </c>
      <c r="QT22">
        <v>0</v>
      </c>
      <c r="QV22">
        <v>0</v>
      </c>
      <c r="QW22">
        <v>0</v>
      </c>
      <c r="QX22">
        <v>0</v>
      </c>
      <c r="QY22">
        <v>16000</v>
      </c>
      <c r="QZ22">
        <v>0</v>
      </c>
      <c r="RA22">
        <v>16000</v>
      </c>
      <c r="RB22">
        <v>0</v>
      </c>
      <c r="RC22">
        <v>8000</v>
      </c>
      <c r="RD22">
        <v>16000</v>
      </c>
      <c r="RE22">
        <v>8000</v>
      </c>
      <c r="RF22">
        <v>0</v>
      </c>
      <c r="RG22" s="127">
        <f t="shared" si="147"/>
        <v>156000</v>
      </c>
      <c r="RH22">
        <v>0</v>
      </c>
      <c r="RI22">
        <v>8000</v>
      </c>
      <c r="RJ22">
        <v>8000</v>
      </c>
      <c r="RK22">
        <v>0</v>
      </c>
      <c r="RL22">
        <v>0</v>
      </c>
      <c r="RM22">
        <v>0</v>
      </c>
      <c r="RN22">
        <v>8000</v>
      </c>
      <c r="RO22">
        <v>16000</v>
      </c>
      <c r="RP22">
        <v>0</v>
      </c>
      <c r="RQ22">
        <v>16000</v>
      </c>
      <c r="RR22">
        <v>0</v>
      </c>
      <c r="RS22">
        <v>0</v>
      </c>
      <c r="RT22">
        <v>8000</v>
      </c>
      <c r="RU22">
        <v>16000</v>
      </c>
      <c r="RV22">
        <v>0</v>
      </c>
      <c r="RW22">
        <v>8000</v>
      </c>
      <c r="RX22">
        <v>16000</v>
      </c>
      <c r="RY22">
        <v>16000</v>
      </c>
      <c r="RZ22">
        <v>8000</v>
      </c>
      <c r="SA22">
        <v>8000</v>
      </c>
      <c r="SB22">
        <f>20000+8000</f>
        <v>28000</v>
      </c>
      <c r="SC22">
        <v>0</v>
      </c>
      <c r="SD22">
        <f>16000+20000</f>
        <v>36000</v>
      </c>
      <c r="SE22">
        <v>0</v>
      </c>
      <c r="SF22">
        <v>0</v>
      </c>
      <c r="SG22">
        <v>0</v>
      </c>
      <c r="SH22">
        <v>8000</v>
      </c>
      <c r="SI22">
        <f>40000+16000</f>
        <v>56000</v>
      </c>
      <c r="SJ22">
        <v>0</v>
      </c>
      <c r="SK22">
        <f>24000+20000</f>
        <v>44000</v>
      </c>
      <c r="SL22" s="127">
        <f t="shared" si="207"/>
        <v>308000</v>
      </c>
      <c r="SM22">
        <v>0</v>
      </c>
      <c r="SN22">
        <v>0</v>
      </c>
      <c r="SO22">
        <v>8000</v>
      </c>
      <c r="SP22">
        <v>0</v>
      </c>
      <c r="SQ22">
        <v>0</v>
      </c>
      <c r="SR22">
        <f>8000+20000</f>
        <v>28000</v>
      </c>
      <c r="SS22">
        <v>15000</v>
      </c>
      <c r="ST22">
        <f>8000+15000</f>
        <v>23000</v>
      </c>
      <c r="SU22">
        <v>16000</v>
      </c>
      <c r="SV22">
        <v>15000</v>
      </c>
      <c r="SW22">
        <v>0</v>
      </c>
      <c r="SX22">
        <v>0</v>
      </c>
      <c r="SY22">
        <v>15000</v>
      </c>
      <c r="SZ22">
        <v>8000</v>
      </c>
      <c r="TA22">
        <v>8000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f>8000+30000</f>
        <v>38000</v>
      </c>
      <c r="TH22">
        <v>16000</v>
      </c>
      <c r="TI22">
        <v>16000</v>
      </c>
      <c r="TJ22">
        <v>16000</v>
      </c>
      <c r="TK22">
        <v>0</v>
      </c>
      <c r="TL22">
        <v>16000</v>
      </c>
      <c r="TM22">
        <v>8000</v>
      </c>
      <c r="TN22">
        <v>0</v>
      </c>
      <c r="TO22">
        <v>0</v>
      </c>
      <c r="TP22">
        <v>15000</v>
      </c>
      <c r="TQ22">
        <v>0</v>
      </c>
      <c r="TR22" s="127">
        <f>SUM(SN22:TQ22)</f>
        <v>261000</v>
      </c>
      <c r="TS22">
        <v>8000</v>
      </c>
      <c r="TT22">
        <v>0</v>
      </c>
      <c r="TU22">
        <v>0</v>
      </c>
      <c r="TV22">
        <v>8000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10000</v>
      </c>
      <c r="UC22">
        <v>20000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8000</v>
      </c>
      <c r="UK22">
        <v>0</v>
      </c>
      <c r="UL22">
        <v>0</v>
      </c>
      <c r="UM22">
        <f>8000+8000</f>
        <v>16000</v>
      </c>
      <c r="UN22">
        <v>0</v>
      </c>
      <c r="UO22">
        <v>0</v>
      </c>
      <c r="UP22">
        <v>0</v>
      </c>
      <c r="UQ22">
        <v>30000</v>
      </c>
      <c r="UR22">
        <v>16000</v>
      </c>
      <c r="US22">
        <v>0</v>
      </c>
      <c r="UT22">
        <v>0</v>
      </c>
      <c r="UU22">
        <v>0</v>
      </c>
      <c r="UV22">
        <v>0</v>
      </c>
      <c r="UW22">
        <v>0</v>
      </c>
      <c r="UX22" s="127">
        <f>SUM(TT22:UW22)</f>
        <v>108000</v>
      </c>
      <c r="UY22">
        <v>0</v>
      </c>
      <c r="UZ22">
        <v>0</v>
      </c>
      <c r="VA22">
        <v>0</v>
      </c>
      <c r="VB22">
        <v>8000</v>
      </c>
      <c r="VC22">
        <v>0</v>
      </c>
      <c r="VD22">
        <v>0</v>
      </c>
      <c r="VE22">
        <v>16000</v>
      </c>
      <c r="VF22">
        <v>8000</v>
      </c>
      <c r="VG22">
        <v>8000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8000</v>
      </c>
      <c r="VN22">
        <v>0</v>
      </c>
      <c r="VO22">
        <v>8000</v>
      </c>
      <c r="VP22">
        <v>8000</v>
      </c>
      <c r="VQ22">
        <v>0</v>
      </c>
      <c r="VR22">
        <v>8000</v>
      </c>
      <c r="VS22">
        <v>0</v>
      </c>
      <c r="VT22">
        <v>16000</v>
      </c>
      <c r="VU22">
        <v>8000</v>
      </c>
      <c r="VV22">
        <v>0</v>
      </c>
      <c r="VW22">
        <v>0</v>
      </c>
      <c r="VX22">
        <v>0</v>
      </c>
      <c r="VY22">
        <v>0</v>
      </c>
      <c r="VZ22">
        <v>0</v>
      </c>
      <c r="WA22" s="127">
        <f>SUM(UY22:VZ22)</f>
        <v>96000</v>
      </c>
      <c r="WB22">
        <v>8000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16000</v>
      </c>
      <c r="WX22">
        <v>8000</v>
      </c>
      <c r="WY22">
        <v>0</v>
      </c>
      <c r="WZ22">
        <v>8000</v>
      </c>
      <c r="XA22">
        <v>8000</v>
      </c>
      <c r="XB22">
        <v>8000</v>
      </c>
      <c r="XC22">
        <v>0</v>
      </c>
      <c r="XD22">
        <v>24000</v>
      </c>
      <c r="XE22">
        <v>16000</v>
      </c>
      <c r="XF22">
        <v>0</v>
      </c>
      <c r="XG22" s="127">
        <f>SUM(WB22:XF22)</f>
        <v>96000</v>
      </c>
      <c r="XH22">
        <v>0</v>
      </c>
      <c r="XI22">
        <v>16000</v>
      </c>
      <c r="XJ22">
        <v>0</v>
      </c>
      <c r="XK22">
        <v>8000</v>
      </c>
      <c r="XL22">
        <v>0</v>
      </c>
      <c r="XM22">
        <v>8000</v>
      </c>
      <c r="XN22">
        <v>0</v>
      </c>
      <c r="XO22">
        <v>0</v>
      </c>
      <c r="XP22">
        <v>0</v>
      </c>
      <c r="XQ22">
        <v>0</v>
      </c>
      <c r="XR22">
        <v>8000</v>
      </c>
      <c r="XS22">
        <v>0</v>
      </c>
      <c r="XT22">
        <v>8000</v>
      </c>
      <c r="XU22">
        <v>8000</v>
      </c>
      <c r="XV22">
        <v>8000</v>
      </c>
      <c r="XW22">
        <v>0</v>
      </c>
      <c r="XX22">
        <v>0</v>
      </c>
      <c r="XY22">
        <v>8000</v>
      </c>
      <c r="XZ22">
        <v>0</v>
      </c>
      <c r="YA22">
        <v>8000</v>
      </c>
      <c r="YB22">
        <v>0</v>
      </c>
      <c r="YC22">
        <v>0</v>
      </c>
      <c r="YD22">
        <v>0</v>
      </c>
      <c r="YE22">
        <v>8000</v>
      </c>
      <c r="YF22">
        <v>0</v>
      </c>
      <c r="YG22">
        <v>16000</v>
      </c>
      <c r="YH22">
        <v>8000</v>
      </c>
      <c r="YI22">
        <v>0</v>
      </c>
      <c r="YJ22">
        <v>0</v>
      </c>
      <c r="YK22">
        <v>0</v>
      </c>
      <c r="YL22" s="127">
        <f>SUM(XH22:YK22)</f>
        <v>112000</v>
      </c>
      <c r="YM22">
        <v>0</v>
      </c>
      <c r="YN22">
        <v>0</v>
      </c>
      <c r="YO22">
        <v>8000</v>
      </c>
      <c r="YP22">
        <v>0</v>
      </c>
      <c r="YQ22">
        <v>0</v>
      </c>
      <c r="YR22">
        <v>8000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8000</v>
      </c>
      <c r="ZA22">
        <v>16000</v>
      </c>
      <c r="ZB22">
        <v>0</v>
      </c>
      <c r="ZC22">
        <v>8000</v>
      </c>
      <c r="ZD22">
        <v>8000</v>
      </c>
      <c r="ZE22">
        <v>8000</v>
      </c>
      <c r="ZF22">
        <v>8000</v>
      </c>
      <c r="ZG22">
        <v>0</v>
      </c>
      <c r="ZH22">
        <v>0</v>
      </c>
      <c r="ZI22">
        <v>8000</v>
      </c>
      <c r="ZJ22">
        <v>8000</v>
      </c>
      <c r="ZK22">
        <v>0</v>
      </c>
      <c r="ZL22">
        <v>0</v>
      </c>
      <c r="ZM22">
        <v>0</v>
      </c>
      <c r="ZN22">
        <v>8000</v>
      </c>
      <c r="ZO22">
        <v>0</v>
      </c>
      <c r="ZP22">
        <v>8000</v>
      </c>
      <c r="ZQ22">
        <v>0</v>
      </c>
      <c r="ZR22" s="127">
        <f t="shared" si="113"/>
        <v>104000</v>
      </c>
      <c r="ZS22">
        <v>8000</v>
      </c>
      <c r="ZT22">
        <v>16000</v>
      </c>
      <c r="ZU22">
        <v>0</v>
      </c>
      <c r="ZV22">
        <v>24000</v>
      </c>
      <c r="ZW22">
        <v>0</v>
      </c>
      <c r="ZX22">
        <v>8000</v>
      </c>
      <c r="ZZ22">
        <v>0</v>
      </c>
      <c r="AAA22">
        <v>8000</v>
      </c>
      <c r="AAB22">
        <v>8000</v>
      </c>
      <c r="AAC22">
        <v>8000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f>20000+8000</f>
        <v>28000</v>
      </c>
      <c r="AAM22">
        <v>8000</v>
      </c>
      <c r="AAN22">
        <v>0</v>
      </c>
      <c r="AAO22">
        <v>0</v>
      </c>
      <c r="AAQ22">
        <v>8000</v>
      </c>
      <c r="AAR22">
        <v>0</v>
      </c>
      <c r="AAS22">
        <v>0</v>
      </c>
      <c r="AAU22">
        <v>0</v>
      </c>
      <c r="AAV22">
        <v>0</v>
      </c>
      <c r="AAW22" s="127">
        <f t="shared" si="115"/>
        <v>124000</v>
      </c>
      <c r="AAX22">
        <v>8000</v>
      </c>
      <c r="AAY22">
        <v>8000</v>
      </c>
      <c r="AAZ22">
        <v>0</v>
      </c>
      <c r="ABA22">
        <v>24000</v>
      </c>
      <c r="ABB22">
        <v>20000</v>
      </c>
      <c r="ABC22">
        <v>8000</v>
      </c>
      <c r="ABD22">
        <f>8000+20000</f>
        <v>28000</v>
      </c>
      <c r="ABE22">
        <v>0</v>
      </c>
      <c r="ABF22">
        <v>0</v>
      </c>
      <c r="ABG22">
        <f>8000+20000</f>
        <v>28000</v>
      </c>
      <c r="ABH22">
        <v>8000</v>
      </c>
      <c r="ABI22">
        <v>8000</v>
      </c>
      <c r="ABJ22">
        <v>24000</v>
      </c>
      <c r="ABK22">
        <v>8000</v>
      </c>
      <c r="ABL22">
        <v>8000</v>
      </c>
      <c r="ABM22">
        <v>0</v>
      </c>
      <c r="ABN22">
        <v>0</v>
      </c>
      <c r="ABO22">
        <v>8000</v>
      </c>
      <c r="ABP22">
        <v>8000</v>
      </c>
      <c r="ABQ22">
        <v>0</v>
      </c>
      <c r="ABR22">
        <v>0</v>
      </c>
      <c r="ABS22">
        <v>0</v>
      </c>
      <c r="ABT22">
        <v>0</v>
      </c>
      <c r="ABU22">
        <v>8000</v>
      </c>
      <c r="ABV22">
        <v>16000</v>
      </c>
      <c r="ABW22">
        <v>8000</v>
      </c>
      <c r="ABX22">
        <v>8000</v>
      </c>
      <c r="ABY22">
        <v>0</v>
      </c>
      <c r="ABZ22">
        <v>0</v>
      </c>
      <c r="ACA22">
        <v>0</v>
      </c>
      <c r="ACB22">
        <v>16000</v>
      </c>
      <c r="ACC22" s="127">
        <f>SUM(AAX22:ACB22)</f>
        <v>252000</v>
      </c>
      <c r="ACD22">
        <v>8000</v>
      </c>
      <c r="ACE22">
        <v>24000</v>
      </c>
      <c r="ACF22">
        <v>0</v>
      </c>
      <c r="ACG22">
        <v>0</v>
      </c>
      <c r="ACH22">
        <f>8000+20000</f>
        <v>28000</v>
      </c>
      <c r="ACI22">
        <v>0</v>
      </c>
      <c r="ACJ22">
        <v>8000</v>
      </c>
      <c r="ACK22">
        <v>0</v>
      </c>
      <c r="ACL22">
        <v>8000</v>
      </c>
      <c r="ACM22">
        <v>0</v>
      </c>
      <c r="ACN22">
        <v>8000</v>
      </c>
      <c r="ACO22">
        <v>0</v>
      </c>
      <c r="ACP22">
        <v>0</v>
      </c>
      <c r="ACQ22">
        <v>16000</v>
      </c>
      <c r="ACR22">
        <v>0</v>
      </c>
      <c r="ACS22">
        <v>8000</v>
      </c>
      <c r="ACT22">
        <v>0</v>
      </c>
      <c r="ACU22">
        <v>8000</v>
      </c>
      <c r="ACV22">
        <v>0</v>
      </c>
      <c r="ACW22">
        <v>0</v>
      </c>
      <c r="ACX22">
        <v>0</v>
      </c>
      <c r="ACY22">
        <v>8000</v>
      </c>
      <c r="ACZ22">
        <v>0</v>
      </c>
      <c r="ADA22">
        <v>0</v>
      </c>
      <c r="ADB22">
        <v>0</v>
      </c>
      <c r="ADC22">
        <v>8000</v>
      </c>
      <c r="ADD22">
        <v>0</v>
      </c>
      <c r="ADE22">
        <v>0</v>
      </c>
      <c r="ADF22">
        <v>28000</v>
      </c>
      <c r="ADG22">
        <f>16000+20000</f>
        <v>36000</v>
      </c>
      <c r="ADH22">
        <v>0</v>
      </c>
      <c r="ADI22" s="127">
        <f>SUM(ACD22:ADH22)</f>
        <v>196000</v>
      </c>
      <c r="ADJ22">
        <v>8000</v>
      </c>
      <c r="ADK22">
        <v>0</v>
      </c>
      <c r="ADL22">
        <v>0</v>
      </c>
      <c r="ADM22">
        <v>16000</v>
      </c>
      <c r="ADN22">
        <v>8000</v>
      </c>
      <c r="ADO22">
        <v>8000</v>
      </c>
      <c r="ADP22">
        <v>16000</v>
      </c>
      <c r="ADQ22">
        <v>8000</v>
      </c>
      <c r="ADR22">
        <v>0</v>
      </c>
      <c r="ADS22">
        <v>0</v>
      </c>
      <c r="ADT22">
        <v>0</v>
      </c>
      <c r="ADU22">
        <v>0</v>
      </c>
      <c r="ADV22">
        <v>8000</v>
      </c>
      <c r="ADW22">
        <v>8000</v>
      </c>
      <c r="ADX22">
        <v>0</v>
      </c>
      <c r="ADY22">
        <v>0</v>
      </c>
      <c r="ADZ22">
        <v>10000</v>
      </c>
      <c r="AEA22">
        <v>0</v>
      </c>
      <c r="AEB22">
        <v>8000</v>
      </c>
      <c r="AEC22">
        <v>0</v>
      </c>
      <c r="AED22">
        <v>24000</v>
      </c>
      <c r="AEE22">
        <v>0</v>
      </c>
      <c r="AEF22">
        <v>10000</v>
      </c>
      <c r="AEG22">
        <v>20000</v>
      </c>
      <c r="AEH22">
        <v>24000</v>
      </c>
      <c r="AEI22">
        <v>8000</v>
      </c>
      <c r="AEJ22">
        <v>0</v>
      </c>
      <c r="AEK22">
        <v>0</v>
      </c>
      <c r="AEL22">
        <v>8000</v>
      </c>
      <c r="AEM22">
        <v>0</v>
      </c>
      <c r="AEN22" s="127">
        <f t="shared" si="121"/>
        <v>192000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8000</v>
      </c>
      <c r="AEZ22">
        <v>16000</v>
      </c>
      <c r="AFA22">
        <v>0</v>
      </c>
      <c r="AFB22">
        <v>0</v>
      </c>
      <c r="AFC22">
        <v>0</v>
      </c>
      <c r="AFD22">
        <v>20000</v>
      </c>
      <c r="AFE22">
        <v>8000</v>
      </c>
      <c r="AFF22">
        <v>8000</v>
      </c>
      <c r="AFG22">
        <v>0</v>
      </c>
      <c r="AFH22">
        <v>0</v>
      </c>
      <c r="AFI22">
        <v>0</v>
      </c>
      <c r="AFJ22">
        <v>16000</v>
      </c>
      <c r="AFK22">
        <v>8000</v>
      </c>
      <c r="AFL22">
        <v>8000</v>
      </c>
      <c r="AFM22">
        <v>0</v>
      </c>
      <c r="AFN22">
        <v>0</v>
      </c>
      <c r="AFO22">
        <v>8000</v>
      </c>
      <c r="AFP22">
        <v>0</v>
      </c>
      <c r="AFQ22">
        <v>0</v>
      </c>
      <c r="AFR22">
        <v>0</v>
      </c>
      <c r="AFS22">
        <v>8000</v>
      </c>
      <c r="AFT22" s="127">
        <f>SUM(AEO22:AFS22)</f>
        <v>108000</v>
      </c>
      <c r="AFU22">
        <v>0</v>
      </c>
      <c r="AFV22">
        <v>16000</v>
      </c>
      <c r="AFW22">
        <v>8000</v>
      </c>
      <c r="AFX22">
        <v>0</v>
      </c>
      <c r="AFY22">
        <v>0</v>
      </c>
      <c r="AFZ22">
        <v>0</v>
      </c>
      <c r="AGA22" s="130">
        <v>8000</v>
      </c>
      <c r="AGB22">
        <v>0</v>
      </c>
      <c r="AGC22">
        <v>8000</v>
      </c>
      <c r="AGD22">
        <v>8000</v>
      </c>
      <c r="AGE22">
        <v>8000</v>
      </c>
      <c r="AGF22">
        <v>8000</v>
      </c>
      <c r="AGG22">
        <v>8000</v>
      </c>
      <c r="AGH22">
        <v>0</v>
      </c>
      <c r="AGI22">
        <v>0</v>
      </c>
      <c r="AGJ22">
        <v>0</v>
      </c>
      <c r="AGK22">
        <v>8000</v>
      </c>
      <c r="AGL22">
        <v>0</v>
      </c>
      <c r="AGM22">
        <v>8000</v>
      </c>
      <c r="AGN22">
        <v>0</v>
      </c>
      <c r="AGO22">
        <v>0</v>
      </c>
      <c r="AGP22">
        <v>16000</v>
      </c>
      <c r="AGQ22">
        <v>8000</v>
      </c>
      <c r="AGR22">
        <v>8000</v>
      </c>
      <c r="AGS22">
        <v>0</v>
      </c>
      <c r="AGT22">
        <v>24000</v>
      </c>
      <c r="AGU22">
        <v>0</v>
      </c>
      <c r="AGV22">
        <v>32000</v>
      </c>
      <c r="AGW22">
        <v>8000</v>
      </c>
      <c r="AGX22">
        <v>0</v>
      </c>
      <c r="AGY22" s="127">
        <f t="shared" si="125"/>
        <v>184000</v>
      </c>
      <c r="AGZ22">
        <v>0</v>
      </c>
      <c r="AHA22">
        <v>0</v>
      </c>
      <c r="AHB22">
        <v>20000</v>
      </c>
      <c r="AHC22">
        <v>8000</v>
      </c>
      <c r="AHD22">
        <v>8000</v>
      </c>
      <c r="AHE22">
        <v>0</v>
      </c>
      <c r="AHF22">
        <v>16000</v>
      </c>
      <c r="AHG22">
        <v>8000</v>
      </c>
      <c r="AHH22">
        <v>0</v>
      </c>
      <c r="AHI22">
        <v>0</v>
      </c>
      <c r="AHJ22">
        <v>0</v>
      </c>
      <c r="AHK22">
        <v>8000</v>
      </c>
      <c r="AHL22">
        <v>0</v>
      </c>
      <c r="AHM22">
        <v>0</v>
      </c>
      <c r="AHN22">
        <v>40000</v>
      </c>
      <c r="AHO22">
        <v>0</v>
      </c>
      <c r="AHP22">
        <v>0</v>
      </c>
      <c r="AHQ22">
        <v>8000</v>
      </c>
      <c r="AHR22">
        <v>20000</v>
      </c>
      <c r="AHS22">
        <v>0</v>
      </c>
      <c r="AHT22">
        <v>0</v>
      </c>
      <c r="AHU22">
        <v>8000</v>
      </c>
      <c r="AHV22">
        <f>8000+20000</f>
        <v>28000</v>
      </c>
      <c r="AHW22">
        <v>8000</v>
      </c>
      <c r="AHX22">
        <v>8000</v>
      </c>
      <c r="AHY22">
        <v>0</v>
      </c>
      <c r="AHZ22">
        <v>0</v>
      </c>
      <c r="AIA22">
        <v>8000</v>
      </c>
      <c r="AIB22">
        <v>8000</v>
      </c>
      <c r="AIC22">
        <v>8000</v>
      </c>
      <c r="AID22">
        <v>16000</v>
      </c>
      <c r="AIE22" s="127">
        <f>SUM(AGZ22:AID22)</f>
        <v>228000</v>
      </c>
      <c r="AIF22">
        <v>0</v>
      </c>
      <c r="AIG22">
        <v>0</v>
      </c>
      <c r="AIH22">
        <v>0</v>
      </c>
      <c r="AII22">
        <v>0</v>
      </c>
      <c r="AIJ22">
        <v>16000</v>
      </c>
      <c r="AIK22">
        <v>0</v>
      </c>
      <c r="AIL22">
        <v>8000</v>
      </c>
      <c r="AIM22">
        <v>16000</v>
      </c>
      <c r="AIN22">
        <v>0</v>
      </c>
      <c r="AIO22">
        <v>8000</v>
      </c>
      <c r="AIP22">
        <v>0</v>
      </c>
      <c r="AIQ22">
        <v>0</v>
      </c>
      <c r="AIR22">
        <v>0</v>
      </c>
      <c r="AIS22">
        <v>16000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f>20000+16000</f>
        <v>36000</v>
      </c>
      <c r="AJC22">
        <v>8000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8000</v>
      </c>
      <c r="AJK22" s="127">
        <f>SUM(AIF22:AJJ22)</f>
        <v>116000</v>
      </c>
      <c r="AJL22">
        <v>8000</v>
      </c>
      <c r="AJM22">
        <v>0</v>
      </c>
      <c r="AJN22">
        <v>0</v>
      </c>
      <c r="AJO22">
        <v>8000</v>
      </c>
      <c r="AJP22">
        <v>8000</v>
      </c>
      <c r="AJQ22">
        <v>8000</v>
      </c>
      <c r="AJR22">
        <v>8000</v>
      </c>
      <c r="AJS22">
        <v>0</v>
      </c>
      <c r="AJT22">
        <v>0</v>
      </c>
      <c r="AJU22">
        <v>0</v>
      </c>
      <c r="AJV22">
        <v>0</v>
      </c>
      <c r="AJW22">
        <v>20000</v>
      </c>
      <c r="AJX22">
        <v>0</v>
      </c>
      <c r="AJY22">
        <v>0</v>
      </c>
      <c r="AJZ22">
        <v>0</v>
      </c>
      <c r="AKA22">
        <v>16000</v>
      </c>
      <c r="AKB22">
        <v>0</v>
      </c>
      <c r="AKC22">
        <v>0</v>
      </c>
      <c r="AKD22">
        <v>16000</v>
      </c>
      <c r="AKE22">
        <v>0</v>
      </c>
      <c r="AKF22">
        <v>8000</v>
      </c>
      <c r="AKG22">
        <v>0</v>
      </c>
      <c r="AKH22">
        <v>0</v>
      </c>
      <c r="AKI22">
        <v>20000</v>
      </c>
      <c r="AKJ22">
        <v>8000</v>
      </c>
      <c r="AKK22">
        <v>0</v>
      </c>
      <c r="AKL22">
        <v>0</v>
      </c>
      <c r="AKM22">
        <v>0</v>
      </c>
      <c r="AKN22" s="127">
        <f t="shared" si="11"/>
        <v>128000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16000</v>
      </c>
      <c r="AKU22">
        <v>0</v>
      </c>
      <c r="AKV22">
        <v>8000</v>
      </c>
      <c r="AKW22">
        <v>0</v>
      </c>
      <c r="AKX22">
        <v>8000</v>
      </c>
      <c r="AKY22">
        <v>0</v>
      </c>
      <c r="AKZ22">
        <v>0</v>
      </c>
      <c r="ALA22">
        <v>0</v>
      </c>
      <c r="ALB22">
        <v>8000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16000</v>
      </c>
      <c r="ALS22">
        <v>20000</v>
      </c>
      <c r="ALT22" s="127">
        <f t="shared" si="12"/>
        <v>76000</v>
      </c>
      <c r="ALU22">
        <v>0</v>
      </c>
      <c r="ALV22">
        <v>0</v>
      </c>
      <c r="ALW22">
        <f>12000+20000</f>
        <v>32000</v>
      </c>
      <c r="ALX22">
        <v>8000</v>
      </c>
      <c r="ALY22">
        <f>16000+20000</f>
        <v>36000</v>
      </c>
      <c r="ALZ22">
        <v>0</v>
      </c>
      <c r="AMA22">
        <v>8000</v>
      </c>
      <c r="AMB22">
        <v>0</v>
      </c>
      <c r="AMC22">
        <v>0</v>
      </c>
      <c r="AMD22">
        <v>0</v>
      </c>
      <c r="AME22">
        <v>20000</v>
      </c>
      <c r="AMF22">
        <v>0</v>
      </c>
      <c r="AMG22">
        <v>12000</v>
      </c>
      <c r="AMH22">
        <f>8000+12000</f>
        <v>20000</v>
      </c>
      <c r="AMI22">
        <v>0</v>
      </c>
      <c r="AMJ22">
        <v>20000</v>
      </c>
      <c r="AMK22">
        <v>0</v>
      </c>
      <c r="AML22">
        <v>0</v>
      </c>
      <c r="AMM22">
        <f>8000+12000</f>
        <v>20000</v>
      </c>
      <c r="AMN22">
        <v>0</v>
      </c>
      <c r="AMO22">
        <v>16000</v>
      </c>
      <c r="AMP22">
        <v>0</v>
      </c>
      <c r="AMQ22">
        <v>8000</v>
      </c>
      <c r="AMR22">
        <v>0</v>
      </c>
      <c r="AMS22">
        <v>8000</v>
      </c>
      <c r="AMT22">
        <v>8000</v>
      </c>
      <c r="AMU22">
        <v>16000</v>
      </c>
      <c r="AMV22">
        <v>20000</v>
      </c>
      <c r="AMW22">
        <v>0</v>
      </c>
      <c r="AMX22">
        <v>16000</v>
      </c>
      <c r="AMY22" s="127">
        <f t="shared" si="13"/>
        <v>268000</v>
      </c>
      <c r="AMZ22">
        <v>8000</v>
      </c>
      <c r="ANA22">
        <v>8000</v>
      </c>
      <c r="ANB22">
        <v>0</v>
      </c>
      <c r="ANC22">
        <v>0</v>
      </c>
      <c r="AND22">
        <v>8000</v>
      </c>
      <c r="ANE22">
        <v>0</v>
      </c>
      <c r="ANF22">
        <v>8000</v>
      </c>
      <c r="ANG22">
        <v>8000</v>
      </c>
      <c r="ANH22">
        <v>0</v>
      </c>
      <c r="ANI22">
        <v>16000</v>
      </c>
      <c r="ANJ22">
        <v>0</v>
      </c>
      <c r="ANK22">
        <v>0</v>
      </c>
      <c r="ANL22">
        <v>16000</v>
      </c>
      <c r="ANM22">
        <v>0</v>
      </c>
      <c r="ANN22">
        <v>0</v>
      </c>
      <c r="ANO22">
        <v>8000</v>
      </c>
      <c r="ANP22">
        <v>0</v>
      </c>
      <c r="ANQ22">
        <v>8000</v>
      </c>
      <c r="ANR22">
        <v>8000</v>
      </c>
      <c r="ANS22">
        <v>0</v>
      </c>
      <c r="ANT22">
        <v>0</v>
      </c>
      <c r="ANU22">
        <v>0</v>
      </c>
      <c r="ANV22">
        <f>24000+20000</f>
        <v>44000</v>
      </c>
      <c r="ANW22">
        <v>0</v>
      </c>
      <c r="ANX22">
        <v>8000</v>
      </c>
      <c r="ANY22">
        <v>0</v>
      </c>
      <c r="ANZ22">
        <v>24000</v>
      </c>
      <c r="AOA22">
        <v>8000</v>
      </c>
      <c r="AOB22">
        <v>8000</v>
      </c>
      <c r="AOC22">
        <v>0</v>
      </c>
    </row>
    <row r="23" spans="1:1069" ht="18" customHeight="1" x14ac:dyDescent="0.2">
      <c r="A23" s="160"/>
      <c r="B23" s="5" t="s">
        <v>1520</v>
      </c>
      <c r="C23" s="22">
        <v>0</v>
      </c>
      <c r="D23" s="22">
        <v>0</v>
      </c>
      <c r="E23" s="22">
        <f>105000+55000</f>
        <v>160000</v>
      </c>
      <c r="F23" s="22">
        <v>0</v>
      </c>
      <c r="G23" s="22">
        <f>165000+105000</f>
        <v>270000</v>
      </c>
      <c r="H23" s="22">
        <f>110000+175000</f>
        <v>285000</v>
      </c>
      <c r="I23" s="22">
        <f>165000+105000</f>
        <v>270000</v>
      </c>
      <c r="J23" s="22"/>
      <c r="K23" s="22">
        <v>55000</v>
      </c>
      <c r="L23" s="22">
        <f>55000+175000</f>
        <v>230000</v>
      </c>
      <c r="M23" s="22"/>
      <c r="N23" s="22">
        <v>55000</v>
      </c>
      <c r="O23" s="22">
        <v>210000</v>
      </c>
      <c r="P23" s="22">
        <v>55000</v>
      </c>
      <c r="Q23" s="22">
        <v>110000</v>
      </c>
      <c r="R23" s="22">
        <v>55000</v>
      </c>
      <c r="S23" s="22">
        <v>55000</v>
      </c>
      <c r="T23" s="22">
        <v>110000</v>
      </c>
      <c r="U23" s="22">
        <v>110000</v>
      </c>
      <c r="V23" s="22">
        <v>175000</v>
      </c>
      <c r="W23" s="22">
        <f>175000+202500</f>
        <v>377500</v>
      </c>
      <c r="X23" s="22">
        <v>55000</v>
      </c>
      <c r="Y23" s="22">
        <f>55000+105000</f>
        <v>160000</v>
      </c>
      <c r="Z23" s="22">
        <v>165000</v>
      </c>
      <c r="AA23" s="22">
        <v>0</v>
      </c>
      <c r="AB23" s="22">
        <v>175000</v>
      </c>
      <c r="AC23" s="22"/>
      <c r="AD23" s="22">
        <v>320000</v>
      </c>
      <c r="AE23" s="22">
        <v>55000</v>
      </c>
      <c r="AF23" s="22">
        <v>55000</v>
      </c>
      <c r="AG23" s="22">
        <f>110000+175000</f>
        <v>285000</v>
      </c>
      <c r="AH23" s="94">
        <f>SUM(C23:AG23)</f>
        <v>3852500</v>
      </c>
      <c r="AI23" s="22">
        <v>105000</v>
      </c>
      <c r="AJ23" s="22">
        <v>110000</v>
      </c>
      <c r="AK23" s="22">
        <v>55000</v>
      </c>
      <c r="AL23" s="22">
        <v>105000</v>
      </c>
      <c r="AN23" s="22">
        <v>110000</v>
      </c>
      <c r="AO23">
        <f>55000+313000+175000</f>
        <v>543000</v>
      </c>
      <c r="AP23" s="22">
        <f>55000+8000</f>
        <v>63000</v>
      </c>
      <c r="AQ23">
        <v>55000</v>
      </c>
      <c r="AR23">
        <v>220000</v>
      </c>
      <c r="AS23">
        <v>105000</v>
      </c>
      <c r="AT23">
        <v>55000</v>
      </c>
      <c r="AU23">
        <f>55000+175000</f>
        <v>230000</v>
      </c>
      <c r="AV23">
        <f>210000+55000</f>
        <v>265000</v>
      </c>
      <c r="AW23">
        <v>0</v>
      </c>
      <c r="AX23">
        <v>55000</v>
      </c>
      <c r="AY23">
        <v>0</v>
      </c>
      <c r="AZ23">
        <v>55000</v>
      </c>
      <c r="BB23">
        <v>55000</v>
      </c>
      <c r="BC23">
        <v>110000</v>
      </c>
      <c r="BD23">
        <v>210000</v>
      </c>
      <c r="BE23">
        <v>55000</v>
      </c>
      <c r="BF23">
        <f>105000+55000</f>
        <v>160000</v>
      </c>
      <c r="BG23">
        <v>210000</v>
      </c>
      <c r="BH23">
        <v>55000</v>
      </c>
      <c r="BI23">
        <v>110000</v>
      </c>
      <c r="BJ23">
        <f>105000+55000</f>
        <v>160000</v>
      </c>
      <c r="BK23">
        <v>55000</v>
      </c>
      <c r="BL23">
        <f>55000*5</f>
        <v>275000</v>
      </c>
      <c r="BM23" s="97">
        <f>SUM(AI23:BL23)</f>
        <v>3586000</v>
      </c>
      <c r="BN23" s="97">
        <v>55000</v>
      </c>
      <c r="BO23" s="97">
        <f>210000+175000</f>
        <v>385000</v>
      </c>
      <c r="BP23" s="97">
        <v>110000</v>
      </c>
      <c r="BQ23" s="97">
        <f>110000+155000+175000</f>
        <v>440000</v>
      </c>
      <c r="BR23" s="97">
        <v>110000</v>
      </c>
      <c r="BS23" s="97">
        <v>175000</v>
      </c>
      <c r="BT23" s="97">
        <f>55000+210000</f>
        <v>265000</v>
      </c>
      <c r="BU23" s="97"/>
      <c r="BV23" s="97"/>
      <c r="BW23" s="97"/>
      <c r="BX23" s="97"/>
      <c r="BY23" s="97">
        <v>165000</v>
      </c>
      <c r="BZ23" s="97">
        <v>55000</v>
      </c>
      <c r="CA23" s="97">
        <v>110000</v>
      </c>
      <c r="CB23" s="97">
        <v>105000</v>
      </c>
      <c r="CC23" s="97">
        <v>175000</v>
      </c>
      <c r="CD23" s="97">
        <v>55000</v>
      </c>
      <c r="CE23" s="97"/>
      <c r="CF23" s="97">
        <f>55000+105000</f>
        <v>160000</v>
      </c>
      <c r="CG23" s="97">
        <f>110000+105000</f>
        <v>215000</v>
      </c>
      <c r="CH23" s="97">
        <v>110000</v>
      </c>
      <c r="CI23" s="97">
        <v>165000</v>
      </c>
      <c r="CJ23" s="97">
        <v>55000</v>
      </c>
      <c r="CK23" s="97">
        <v>105000</v>
      </c>
      <c r="CL23" s="97">
        <f>105000+55000</f>
        <v>160000</v>
      </c>
      <c r="CM23" s="97">
        <v>110000</v>
      </c>
      <c r="CN23" s="97">
        <v>27500</v>
      </c>
      <c r="CO23" s="97">
        <v>210000</v>
      </c>
      <c r="CP23" s="97">
        <f>210000+110000</f>
        <v>320000</v>
      </c>
      <c r="CQ23" s="97">
        <f>105000+55000</f>
        <v>160000</v>
      </c>
      <c r="CR23" s="97">
        <v>105000</v>
      </c>
      <c r="CS23" s="111">
        <f t="shared" si="208"/>
        <v>4107500</v>
      </c>
      <c r="CT23" s="97">
        <f>105000+110000</f>
        <v>215000</v>
      </c>
      <c r="CU23" s="97">
        <v>105000</v>
      </c>
      <c r="CV23" s="97">
        <v>105000</v>
      </c>
      <c r="CW23" s="97">
        <f>105000+110000</f>
        <v>215000</v>
      </c>
      <c r="CX23" s="97">
        <v>110000</v>
      </c>
      <c r="CY23" s="97"/>
      <c r="CZ23" s="97">
        <f>55000+210000+175000+55000+20000</f>
        <v>515000</v>
      </c>
      <c r="DA23" s="97">
        <v>110000</v>
      </c>
      <c r="DB23" s="97">
        <f>110000+175000</f>
        <v>285000</v>
      </c>
      <c r="DC23" s="97">
        <v>105000</v>
      </c>
      <c r="DD23" s="97">
        <v>210000</v>
      </c>
      <c r="DE23" s="97"/>
      <c r="DF23" s="97"/>
      <c r="DG23" s="97">
        <f>105000+110000</f>
        <v>215000</v>
      </c>
      <c r="DH23" s="97">
        <f>210000+55000</f>
        <v>265000</v>
      </c>
      <c r="DI23" s="97"/>
      <c r="DJ23" s="97">
        <f>105000+55000</f>
        <v>160000</v>
      </c>
      <c r="DK23" s="97">
        <f>55000+210000</f>
        <v>265000</v>
      </c>
      <c r="DL23" s="97">
        <f>105000+55000</f>
        <v>160000</v>
      </c>
      <c r="DM23" s="97">
        <f>210000+55000</f>
        <v>265000</v>
      </c>
      <c r="DN23" s="97"/>
      <c r="DO23" s="97">
        <v>55000</v>
      </c>
      <c r="DP23" s="97">
        <v>55000</v>
      </c>
      <c r="DQ23" s="97">
        <v>110000</v>
      </c>
      <c r="DR23" s="97">
        <v>110000</v>
      </c>
      <c r="DS23" s="97"/>
      <c r="DT23" s="97">
        <f>110000+105000</f>
        <v>215000</v>
      </c>
      <c r="DU23" s="97">
        <v>210000</v>
      </c>
      <c r="DV23" s="97">
        <v>55000</v>
      </c>
      <c r="DW23" s="97">
        <v>275000</v>
      </c>
      <c r="DX23" s="119">
        <f t="shared" si="95"/>
        <v>4390000</v>
      </c>
      <c r="DY23" s="121">
        <f>165000+202500</f>
        <v>367500</v>
      </c>
      <c r="DZ23" s="121">
        <v>55000</v>
      </c>
      <c r="EA23" s="121">
        <v>165000</v>
      </c>
      <c r="EB23" s="121">
        <v>110000</v>
      </c>
      <c r="EC23" s="121">
        <f>55000+105000</f>
        <v>160000</v>
      </c>
      <c r="ED23" s="121">
        <v>55000</v>
      </c>
      <c r="EE23" s="121">
        <v>210000</v>
      </c>
      <c r="EF23" s="121">
        <f>175000+55000</f>
        <v>230000</v>
      </c>
      <c r="EG23" s="121">
        <f>55000+105000</f>
        <v>160000</v>
      </c>
      <c r="EH23" s="121">
        <v>105000</v>
      </c>
      <c r="EI23" s="121">
        <v>165000</v>
      </c>
      <c r="EJ23" s="121">
        <f>55000+105000</f>
        <v>160000</v>
      </c>
      <c r="EK23">
        <v>105000</v>
      </c>
      <c r="EN23">
        <f>210000+110000</f>
        <v>320000</v>
      </c>
      <c r="EO23">
        <v>55000</v>
      </c>
      <c r="EQ23">
        <v>55000</v>
      </c>
      <c r="ER23">
        <f>110000+105000</f>
        <v>215000</v>
      </c>
      <c r="ES23">
        <f>330000+105000+27500</f>
        <v>462500</v>
      </c>
      <c r="ET23">
        <f>55000+105000</f>
        <v>160000</v>
      </c>
      <c r="EU23">
        <f>275000+105000+175000</f>
        <v>555000</v>
      </c>
      <c r="EV23">
        <v>210000</v>
      </c>
      <c r="EW23">
        <f>165000+105000</f>
        <v>270000</v>
      </c>
      <c r="EY23">
        <v>105000</v>
      </c>
      <c r="EZ23">
        <v>55000</v>
      </c>
      <c r="FA23">
        <f>55000+210000+245000</f>
        <v>510000</v>
      </c>
      <c r="FB23">
        <f>110000+105000</f>
        <v>215000</v>
      </c>
      <c r="FC23">
        <v>110000</v>
      </c>
      <c r="FD23" s="128">
        <f t="shared" si="177"/>
        <v>5345000</v>
      </c>
      <c r="FE23">
        <v>110000</v>
      </c>
      <c r="FF23">
        <f>165000+210000</f>
        <v>375000</v>
      </c>
      <c r="FG23">
        <v>55000</v>
      </c>
      <c r="FH23">
        <f>165000+210000+175000</f>
        <v>550000</v>
      </c>
      <c r="FI23">
        <v>55000</v>
      </c>
      <c r="FJ23">
        <f>110000+105000+45000+27500</f>
        <v>287500</v>
      </c>
      <c r="FK23">
        <v>110000</v>
      </c>
      <c r="FL23">
        <f>165000+105000</f>
        <v>270000</v>
      </c>
      <c r="FM23">
        <f>165000+105000</f>
        <v>270000</v>
      </c>
      <c r="FN23">
        <v>105000</v>
      </c>
      <c r="FO23">
        <v>0</v>
      </c>
      <c r="FP23">
        <f>55000+105000+27500</f>
        <v>187500</v>
      </c>
      <c r="FQ23">
        <v>165000</v>
      </c>
      <c r="FR23">
        <v>175000</v>
      </c>
      <c r="FS23">
        <v>110000</v>
      </c>
      <c r="FT23">
        <v>210000</v>
      </c>
      <c r="FU23">
        <v>55000</v>
      </c>
      <c r="FW23">
        <v>105000</v>
      </c>
      <c r="FX23">
        <f>110000+175000</f>
        <v>285000</v>
      </c>
      <c r="FY23">
        <f>55000+105000+175000+398000+45000+26000</f>
        <v>804000</v>
      </c>
      <c r="FZ23">
        <v>55000</v>
      </c>
      <c r="GA23">
        <v>105000</v>
      </c>
      <c r="GB23">
        <f>105000+55000</f>
        <v>160000</v>
      </c>
      <c r="GC23">
        <v>55000</v>
      </c>
      <c r="GD23">
        <v>210000</v>
      </c>
      <c r="GE23">
        <v>105000</v>
      </c>
      <c r="GF23">
        <v>165000</v>
      </c>
      <c r="GG23">
        <v>165000</v>
      </c>
      <c r="GI23">
        <v>175000</v>
      </c>
      <c r="GJ23" s="127">
        <f t="shared" si="99"/>
        <v>5479000</v>
      </c>
      <c r="GK23">
        <f>175000+105000</f>
        <v>280000</v>
      </c>
      <c r="GL23">
        <v>27500</v>
      </c>
      <c r="GM23">
        <f>110000+105000+175000</f>
        <v>390000</v>
      </c>
      <c r="GN23">
        <f>110000+210000+27500</f>
        <v>347500</v>
      </c>
      <c r="GO23">
        <f>55000+175000+27500</f>
        <v>257500</v>
      </c>
      <c r="GP23">
        <f>55000+210000</f>
        <v>265000</v>
      </c>
      <c r="GQ23">
        <v>55000</v>
      </c>
      <c r="GS23">
        <f>55000+105000</f>
        <v>160000</v>
      </c>
      <c r="GT23">
        <f>55000+105000</f>
        <v>160000</v>
      </c>
      <c r="GU23">
        <v>110000</v>
      </c>
      <c r="GW23">
        <v>220000</v>
      </c>
      <c r="GY23">
        <f>55000+175000</f>
        <v>230000</v>
      </c>
      <c r="GZ23">
        <v>110000</v>
      </c>
      <c r="HA23">
        <f>175000+105000</f>
        <v>280000</v>
      </c>
      <c r="HB23">
        <f>220000+105000</f>
        <v>325000</v>
      </c>
      <c r="HD23">
        <v>55000</v>
      </c>
      <c r="HE23">
        <f>110000+105000</f>
        <v>215000</v>
      </c>
      <c r="HF23">
        <f>55000+105000</f>
        <v>160000</v>
      </c>
      <c r="HG23">
        <f>110000+105000</f>
        <v>215000</v>
      </c>
      <c r="HH23">
        <f>55000+105000</f>
        <v>160000</v>
      </c>
      <c r="HI23">
        <v>110000</v>
      </c>
      <c r="HJ23">
        <f>55000+245000</f>
        <v>300000</v>
      </c>
      <c r="HK23">
        <f>55000+105000</f>
        <v>160000</v>
      </c>
      <c r="HM23">
        <v>110000</v>
      </c>
      <c r="HN23" s="127">
        <f t="shared" si="101"/>
        <v>4702500</v>
      </c>
      <c r="HO23">
        <v>105000</v>
      </c>
      <c r="HP23">
        <v>0</v>
      </c>
      <c r="HQ23">
        <f>315000+110000</f>
        <v>425000</v>
      </c>
      <c r="HR23">
        <v>0</v>
      </c>
      <c r="HS23">
        <f>105000+55000</f>
        <v>160000</v>
      </c>
      <c r="HT23">
        <v>0</v>
      </c>
      <c r="HU23">
        <v>0</v>
      </c>
      <c r="HV23">
        <f>55000+105000+175000</f>
        <v>335000</v>
      </c>
      <c r="HW23">
        <v>110000</v>
      </c>
      <c r="HX23">
        <v>0</v>
      </c>
      <c r="HY23">
        <f>55000+105000</f>
        <v>160000</v>
      </c>
      <c r="HZ23">
        <v>110000</v>
      </c>
      <c r="IA23">
        <v>0</v>
      </c>
      <c r="IB23">
        <f>147500+55000+105000</f>
        <v>307500</v>
      </c>
      <c r="IC23">
        <f>110000+105000</f>
        <v>215000</v>
      </c>
      <c r="ID23">
        <v>105000</v>
      </c>
      <c r="IE23">
        <f>55000+105000</f>
        <v>160000</v>
      </c>
      <c r="IF23">
        <v>55000</v>
      </c>
      <c r="IG23">
        <v>105000</v>
      </c>
      <c r="IH23">
        <v>175000</v>
      </c>
      <c r="II23">
        <f>105000+55000</f>
        <v>160000</v>
      </c>
      <c r="IJ23">
        <v>105000</v>
      </c>
      <c r="IK23">
        <f>55000+202500+105000+175000</f>
        <v>537500</v>
      </c>
      <c r="IL23">
        <f>105000+55000</f>
        <v>160000</v>
      </c>
      <c r="IM23">
        <f>175000+202500</f>
        <v>377500</v>
      </c>
      <c r="IN23">
        <v>0</v>
      </c>
      <c r="IO23">
        <v>0</v>
      </c>
      <c r="IP23">
        <v>175000</v>
      </c>
      <c r="IQ23">
        <f>175000+55000</f>
        <v>230000</v>
      </c>
      <c r="IR23">
        <f>55000+45000</f>
        <v>100000</v>
      </c>
      <c r="IS23">
        <v>0</v>
      </c>
      <c r="IT23" s="127">
        <f t="shared" si="22"/>
        <v>4372500</v>
      </c>
      <c r="IU23">
        <v>55000</v>
      </c>
      <c r="IV23">
        <v>165000</v>
      </c>
      <c r="IW23">
        <v>55000</v>
      </c>
      <c r="IX23">
        <v>165000</v>
      </c>
      <c r="JA23">
        <v>175000</v>
      </c>
      <c r="JB23">
        <v>110000</v>
      </c>
      <c r="JC23">
        <v>55000</v>
      </c>
      <c r="JD23">
        <f>55000+242000+105000</f>
        <v>402000</v>
      </c>
      <c r="JE23">
        <f>55000+210000</f>
        <v>265000</v>
      </c>
      <c r="JF23">
        <v>0</v>
      </c>
      <c r="JG23">
        <f>105000+55000</f>
        <v>160000</v>
      </c>
      <c r="JH23">
        <f>55000+210000</f>
        <v>265000</v>
      </c>
      <c r="JI23">
        <f>55000+482000</f>
        <v>537000</v>
      </c>
      <c r="JL23">
        <v>220000</v>
      </c>
      <c r="JM23">
        <f>55000+105000</f>
        <v>160000</v>
      </c>
      <c r="JN23">
        <f>105000+245000</f>
        <v>350000</v>
      </c>
      <c r="JO23">
        <f>55000+105000</f>
        <v>160000</v>
      </c>
      <c r="JP23">
        <v>110000</v>
      </c>
      <c r="JQ23">
        <f>55000+105000</f>
        <v>160000</v>
      </c>
      <c r="JR23">
        <f>55000+105000+175000</f>
        <v>335000</v>
      </c>
      <c r="JS23">
        <f>165000+175000</f>
        <v>340000</v>
      </c>
      <c r="JT23">
        <v>105000</v>
      </c>
      <c r="JU23">
        <v>105000</v>
      </c>
      <c r="JV23">
        <f>210000+175000</f>
        <v>385000</v>
      </c>
      <c r="JW23">
        <v>110000</v>
      </c>
      <c r="JY23" s="127">
        <f t="shared" si="58"/>
        <v>4949000</v>
      </c>
      <c r="JZ23">
        <f>105000+55000</f>
        <v>160000</v>
      </c>
      <c r="KA23">
        <f>210000+220000</f>
        <v>430000</v>
      </c>
      <c r="KB23">
        <f>105000+110000</f>
        <v>215000</v>
      </c>
      <c r="KC23">
        <v>0</v>
      </c>
      <c r="KD23">
        <v>105000</v>
      </c>
      <c r="KE23">
        <v>0</v>
      </c>
      <c r="KF23">
        <f>105000+110000</f>
        <v>215000</v>
      </c>
      <c r="KG23">
        <v>0</v>
      </c>
      <c r="KH23">
        <v>165000</v>
      </c>
      <c r="KI23">
        <v>105000</v>
      </c>
      <c r="KJ23">
        <v>55000</v>
      </c>
      <c r="KK23">
        <v>110000</v>
      </c>
      <c r="KL23">
        <f>55000+242000</f>
        <v>297000</v>
      </c>
      <c r="KM23">
        <v>0</v>
      </c>
      <c r="KN23">
        <f>105000+55000</f>
        <v>160000</v>
      </c>
      <c r="KO23">
        <v>110000</v>
      </c>
      <c r="KP23">
        <v>105000</v>
      </c>
      <c r="KQ23">
        <f>55000+105000</f>
        <v>160000</v>
      </c>
      <c r="KR23">
        <v>0</v>
      </c>
      <c r="KS23">
        <v>0</v>
      </c>
      <c r="KT23">
        <v>105000</v>
      </c>
      <c r="KU23">
        <f>105000+55000</f>
        <v>160000</v>
      </c>
      <c r="KV23">
        <v>0</v>
      </c>
      <c r="KW23">
        <v>0</v>
      </c>
      <c r="KX23">
        <f>55000+105000</f>
        <v>160000</v>
      </c>
      <c r="KY23">
        <f>55000+105000</f>
        <v>160000</v>
      </c>
      <c r="KZ23">
        <f>105000+55000</f>
        <v>160000</v>
      </c>
      <c r="LA23">
        <v>55000</v>
      </c>
      <c r="LB23">
        <v>55000</v>
      </c>
      <c r="LC23">
        <f>110000+210000</f>
        <v>320000</v>
      </c>
      <c r="LD23">
        <v>210000</v>
      </c>
      <c r="LE23" s="127">
        <f t="shared" si="60"/>
        <v>3617000</v>
      </c>
      <c r="LF23">
        <f>55000+105000</f>
        <v>160000</v>
      </c>
      <c r="LG23">
        <v>0</v>
      </c>
      <c r="LH23">
        <f>55000+105000</f>
        <v>160000</v>
      </c>
      <c r="LI23">
        <v>0</v>
      </c>
      <c r="LJ23">
        <v>0</v>
      </c>
      <c r="LK23">
        <v>0</v>
      </c>
      <c r="LL23">
        <v>0</v>
      </c>
      <c r="LM23">
        <v>105000</v>
      </c>
      <c r="LN23">
        <f>110000+105000+175000</f>
        <v>390000</v>
      </c>
      <c r="LO23">
        <v>175000</v>
      </c>
      <c r="LP23">
        <v>165000</v>
      </c>
      <c r="LQ23">
        <v>0</v>
      </c>
      <c r="LR23">
        <v>55000</v>
      </c>
      <c r="LS23">
        <f>53000+102000+175000</f>
        <v>330000</v>
      </c>
      <c r="LT23">
        <f>53000+102000</f>
        <v>155000</v>
      </c>
      <c r="LU23">
        <f>106000+204000</f>
        <v>310000</v>
      </c>
      <c r="LV23">
        <f>106000</f>
        <v>106000</v>
      </c>
      <c r="LW23">
        <v>102000</v>
      </c>
      <c r="LX23">
        <v>175000</v>
      </c>
      <c r="LY23">
        <v>175000</v>
      </c>
      <c r="LZ23">
        <v>102000</v>
      </c>
      <c r="MA23">
        <v>0</v>
      </c>
      <c r="MB23">
        <v>0</v>
      </c>
      <c r="MC23">
        <v>53000</v>
      </c>
      <c r="MD23">
        <v>0</v>
      </c>
      <c r="ME23">
        <v>0</v>
      </c>
      <c r="MF23">
        <v>53000</v>
      </c>
      <c r="MG23">
        <f>53000+102000</f>
        <v>155000</v>
      </c>
      <c r="MH23">
        <v>53000</v>
      </c>
      <c r="MI23">
        <f>53000+102000+175000</f>
        <v>330000</v>
      </c>
      <c r="MJ23" s="127">
        <f t="shared" si="62"/>
        <v>3309000</v>
      </c>
      <c r="MK23">
        <v>102000</v>
      </c>
      <c r="ML23">
        <v>53000</v>
      </c>
      <c r="MM23">
        <f>102000+53000</f>
        <v>155000</v>
      </c>
      <c r="MN23">
        <v>153000</v>
      </c>
      <c r="MO23">
        <f>53000+102000</f>
        <v>155000</v>
      </c>
      <c r="MP23">
        <v>0</v>
      </c>
      <c r="MQ23">
        <f>106000+102000+36000+17000+15000</f>
        <v>276000</v>
      </c>
      <c r="MR23">
        <f>53000+102000</f>
        <v>155000</v>
      </c>
      <c r="MS23">
        <f>185000+102000</f>
        <v>287000</v>
      </c>
      <c r="MT23">
        <v>0</v>
      </c>
      <c r="MU23">
        <f>53000+102000</f>
        <v>155000</v>
      </c>
      <c r="MV23">
        <f>53000+204000</f>
        <v>257000</v>
      </c>
      <c r="MW23">
        <f>106000+102000+17000</f>
        <v>225000</v>
      </c>
      <c r="MX23">
        <v>106000</v>
      </c>
      <c r="MY23">
        <v>159000</v>
      </c>
      <c r="MZ23">
        <v>53000</v>
      </c>
      <c r="NA23">
        <v>0</v>
      </c>
      <c r="NB23">
        <v>170000</v>
      </c>
      <c r="NC23">
        <v>106000</v>
      </c>
      <c r="ND23">
        <v>0</v>
      </c>
      <c r="NE23">
        <f>53000+204000+175000</f>
        <v>432000</v>
      </c>
      <c r="NF23">
        <v>53000</v>
      </c>
      <c r="NG23">
        <f>106000+17000</f>
        <v>123000</v>
      </c>
      <c r="NH23">
        <f>106000+102000</f>
        <v>208000</v>
      </c>
      <c r="NI23">
        <v>204000</v>
      </c>
      <c r="NJ23">
        <v>0</v>
      </c>
      <c r="NK23">
        <v>106000</v>
      </c>
      <c r="NL23">
        <v>106000</v>
      </c>
      <c r="NM23">
        <v>0</v>
      </c>
      <c r="NN23">
        <v>0</v>
      </c>
      <c r="NO23">
        <f>106000+102000+175000</f>
        <v>383000</v>
      </c>
      <c r="NP23" s="127">
        <f t="shared" si="64"/>
        <v>4080000</v>
      </c>
      <c r="NQ23">
        <f>53000+204000</f>
        <v>257000</v>
      </c>
      <c r="NR23">
        <v>0</v>
      </c>
      <c r="NS23">
        <v>0</v>
      </c>
      <c r="NT23">
        <v>0</v>
      </c>
      <c r="NU23">
        <f>106000+36000+16000</f>
        <v>158000</v>
      </c>
      <c r="NV23">
        <v>53000</v>
      </c>
      <c r="NW23">
        <f>170000+159000</f>
        <v>329000</v>
      </c>
      <c r="NX23">
        <v>204000</v>
      </c>
      <c r="NY23">
        <v>53000</v>
      </c>
      <c r="NZ23">
        <v>102000</v>
      </c>
      <c r="OA23">
        <v>17000</v>
      </c>
      <c r="OB23">
        <v>17000</v>
      </c>
      <c r="OC23">
        <v>106000</v>
      </c>
      <c r="OD23">
        <v>106000</v>
      </c>
      <c r="OE23">
        <v>0</v>
      </c>
      <c r="OF23">
        <v>106000</v>
      </c>
      <c r="OG23">
        <v>159000</v>
      </c>
      <c r="OH23">
        <v>159000</v>
      </c>
      <c r="OI23">
        <f>170000+53000+540000</f>
        <v>763000</v>
      </c>
      <c r="OJ23">
        <v>53000</v>
      </c>
      <c r="OK23">
        <f>102000+53000</f>
        <v>155000</v>
      </c>
      <c r="OL23">
        <f>53000+102000</f>
        <v>155000</v>
      </c>
      <c r="OM23">
        <v>306000</v>
      </c>
      <c r="ON23">
        <v>53000</v>
      </c>
      <c r="OO23">
        <f>204000+53000</f>
        <v>257000</v>
      </c>
      <c r="OP23">
        <v>245000</v>
      </c>
      <c r="OQ23">
        <f>159000+102000</f>
        <v>261000</v>
      </c>
      <c r="OR23">
        <v>53000</v>
      </c>
      <c r="OS23">
        <v>0</v>
      </c>
      <c r="OT23">
        <f>53000+175000</f>
        <v>228000</v>
      </c>
      <c r="OU23">
        <v>0</v>
      </c>
      <c r="OV23" s="127">
        <f t="shared" si="66"/>
        <v>4098000</v>
      </c>
      <c r="OW23">
        <f>53000+102000+175000</f>
        <v>330000</v>
      </c>
      <c r="OX23">
        <f>106000+306000+17000</f>
        <v>429000</v>
      </c>
      <c r="OY23">
        <v>53000</v>
      </c>
      <c r="OZ23">
        <f>159000+102000+17000</f>
        <v>278000</v>
      </c>
      <c r="PA23">
        <v>0</v>
      </c>
      <c r="PB23">
        <v>53000</v>
      </c>
      <c r="PC23">
        <v>106000</v>
      </c>
      <c r="PD23">
        <v>0</v>
      </c>
      <c r="PE23">
        <v>102000</v>
      </c>
      <c r="PF23">
        <f>102000+106000</f>
        <v>208000</v>
      </c>
      <c r="PG23">
        <v>0</v>
      </c>
      <c r="PH23">
        <v>159000</v>
      </c>
      <c r="PI23">
        <f>53000+102000</f>
        <v>155000</v>
      </c>
      <c r="PJ23">
        <v>0</v>
      </c>
      <c r="PK23">
        <f>53000+175000</f>
        <v>228000</v>
      </c>
      <c r="PL23">
        <v>204000</v>
      </c>
      <c r="PM23">
        <v>53000</v>
      </c>
      <c r="PN23">
        <f>53000+102000</f>
        <v>155000</v>
      </c>
      <c r="PO23">
        <f>106000+102000</f>
        <v>208000</v>
      </c>
      <c r="PP23">
        <v>204000</v>
      </c>
      <c r="PQ23">
        <v>53000</v>
      </c>
      <c r="PR23">
        <f>53000+102000</f>
        <v>155000</v>
      </c>
      <c r="PS23">
        <v>53000</v>
      </c>
      <c r="PT23">
        <v>0</v>
      </c>
      <c r="PU23">
        <f>53000+239000+102000</f>
        <v>394000</v>
      </c>
      <c r="PV23">
        <v>53000</v>
      </c>
      <c r="PW23">
        <v>0</v>
      </c>
      <c r="PX23">
        <f>53000+102000+102000</f>
        <v>257000</v>
      </c>
      <c r="PY23">
        <v>53000</v>
      </c>
      <c r="PZ23">
        <v>175000</v>
      </c>
      <c r="QA23" s="127">
        <f t="shared" si="68"/>
        <v>4118000</v>
      </c>
      <c r="QB23">
        <v>53000</v>
      </c>
      <c r="QC23">
        <f>53000+204000+175000</f>
        <v>432000</v>
      </c>
      <c r="QD23">
        <v>53000</v>
      </c>
      <c r="QE23">
        <v>53000</v>
      </c>
      <c r="QF23">
        <v>53000</v>
      </c>
      <c r="QG23">
        <v>0</v>
      </c>
      <c r="QH23">
        <v>102000</v>
      </c>
      <c r="QI23">
        <v>102000</v>
      </c>
      <c r="QJ23">
        <v>102000</v>
      </c>
      <c r="QK23">
        <v>102000</v>
      </c>
      <c r="QL23">
        <f>53000+17000+36000</f>
        <v>106000</v>
      </c>
      <c r="QM23">
        <v>102000</v>
      </c>
      <c r="QN23">
        <v>212000</v>
      </c>
      <c r="QO23">
        <f>53000+102000</f>
        <v>155000</v>
      </c>
      <c r="QP23">
        <f>153000+102000</f>
        <v>255000</v>
      </c>
      <c r="QQ23">
        <v>0</v>
      </c>
      <c r="QR23">
        <v>102000</v>
      </c>
      <c r="QS23">
        <f>306000+106000</f>
        <v>412000</v>
      </c>
      <c r="QT23">
        <v>102000</v>
      </c>
      <c r="QU23">
        <f>102000+106000</f>
        <v>208000</v>
      </c>
      <c r="QV23">
        <v>212000</v>
      </c>
      <c r="QW23">
        <v>53000</v>
      </c>
      <c r="QX23">
        <v>0</v>
      </c>
      <c r="QY23">
        <v>0</v>
      </c>
      <c r="QZ23">
        <v>102000</v>
      </c>
      <c r="RA23">
        <f>102000+159000</f>
        <v>261000</v>
      </c>
      <c r="RB23">
        <f>102000+53000</f>
        <v>155000</v>
      </c>
      <c r="RC23">
        <v>0</v>
      </c>
      <c r="RD23">
        <f>53000+102000</f>
        <v>155000</v>
      </c>
      <c r="RE23">
        <v>53000</v>
      </c>
      <c r="RF23">
        <v>53000</v>
      </c>
      <c r="RG23" s="127">
        <f t="shared" si="147"/>
        <v>3697000</v>
      </c>
      <c r="RH23">
        <f>53000+102000</f>
        <v>155000</v>
      </c>
      <c r="RI23">
        <f>102000+159000+175000</f>
        <v>436000</v>
      </c>
      <c r="RJ23">
        <v>102000</v>
      </c>
      <c r="RK23">
        <f>106000+17000</f>
        <v>123000</v>
      </c>
      <c r="RL23">
        <f>53000+102000+36000+16000</f>
        <v>207000</v>
      </c>
      <c r="RM23">
        <v>102000</v>
      </c>
      <c r="RN23">
        <f>204000+106000+17000</f>
        <v>327000</v>
      </c>
      <c r="RO23">
        <v>0</v>
      </c>
      <c r="RP23">
        <v>0</v>
      </c>
      <c r="RQ23">
        <f>53000+102000+175000</f>
        <v>330000</v>
      </c>
      <c r="RR23">
        <v>0</v>
      </c>
      <c r="RS23">
        <f>53000+245000</f>
        <v>298000</v>
      </c>
      <c r="RT23">
        <v>53000</v>
      </c>
      <c r="RU23">
        <f>53000+53000</f>
        <v>106000</v>
      </c>
      <c r="RV23">
        <f>53000+204000</f>
        <v>257000</v>
      </c>
      <c r="RW23">
        <f>53000+17000</f>
        <v>70000</v>
      </c>
      <c r="RX23">
        <v>159000</v>
      </c>
      <c r="RY23">
        <v>0</v>
      </c>
      <c r="RZ23">
        <f>53000+17000</f>
        <v>70000</v>
      </c>
      <c r="SA23">
        <v>102000</v>
      </c>
      <c r="SB23">
        <f>102000+53000</f>
        <v>155000</v>
      </c>
      <c r="SC23">
        <f>102000+53000</f>
        <v>155000</v>
      </c>
      <c r="SD23">
        <v>204000</v>
      </c>
      <c r="SE23">
        <v>102000</v>
      </c>
      <c r="SF23">
        <f>102000+53000</f>
        <v>155000</v>
      </c>
      <c r="SG23">
        <v>53000</v>
      </c>
      <c r="SH23">
        <f>53000+36000</f>
        <v>89000</v>
      </c>
      <c r="SI23">
        <f>53000+175000</f>
        <v>228000</v>
      </c>
      <c r="SJ23">
        <f>185000+102000</f>
        <v>287000</v>
      </c>
      <c r="SK23">
        <v>0</v>
      </c>
      <c r="SL23" s="127">
        <f t="shared" si="207"/>
        <v>4325000</v>
      </c>
      <c r="SM23">
        <v>159000</v>
      </c>
      <c r="SN23">
        <v>53000</v>
      </c>
      <c r="SO23">
        <f>106000+102000</f>
        <v>208000</v>
      </c>
      <c r="SP23">
        <v>53000</v>
      </c>
      <c r="SQ23">
        <v>106000</v>
      </c>
      <c r="SR23">
        <v>106000</v>
      </c>
      <c r="SS23">
        <v>102000</v>
      </c>
      <c r="ST23">
        <f>159000+102000+175000</f>
        <v>436000</v>
      </c>
      <c r="SU23">
        <f>159000+102000+175000</f>
        <v>436000</v>
      </c>
      <c r="SV23">
        <f>106000+102000</f>
        <v>208000</v>
      </c>
      <c r="SW23">
        <v>102000</v>
      </c>
      <c r="SX23">
        <v>102000</v>
      </c>
      <c r="SY23">
        <v>102000</v>
      </c>
      <c r="SZ23">
        <v>106000</v>
      </c>
      <c r="TA23">
        <f>53000+17000</f>
        <v>70000</v>
      </c>
      <c r="TB23">
        <f>106000+199000+175000</f>
        <v>480000</v>
      </c>
      <c r="TC23">
        <v>204000</v>
      </c>
      <c r="TD23">
        <v>102000</v>
      </c>
      <c r="TE23">
        <v>53000</v>
      </c>
      <c r="TF23">
        <f>53000+204000</f>
        <v>257000</v>
      </c>
      <c r="TG23">
        <v>150000</v>
      </c>
      <c r="TH23">
        <f>53000+204000</f>
        <v>257000</v>
      </c>
      <c r="TI23">
        <v>53000</v>
      </c>
      <c r="TJ23">
        <f>53000+102000+175000+34000</f>
        <v>364000</v>
      </c>
      <c r="TK23">
        <f>106000+102000+175000</f>
        <v>383000</v>
      </c>
      <c r="TL23">
        <f>53000+306000+175000</f>
        <v>534000</v>
      </c>
      <c r="TM23">
        <f>106000+204000</f>
        <v>310000</v>
      </c>
      <c r="TN23">
        <v>0</v>
      </c>
      <c r="TO23">
        <f>53000+17000</f>
        <v>70000</v>
      </c>
      <c r="TP23">
        <v>0</v>
      </c>
      <c r="TQ23">
        <v>106000</v>
      </c>
      <c r="TR23" s="127">
        <f>SUM(SM23:TQ23)</f>
        <v>5672000</v>
      </c>
      <c r="TS23">
        <v>53000</v>
      </c>
      <c r="TT23">
        <v>0</v>
      </c>
      <c r="TU23">
        <f>53000+102000</f>
        <v>155000</v>
      </c>
      <c r="TV23">
        <v>0</v>
      </c>
      <c r="TW23">
        <f>106000+204000+17000</f>
        <v>327000</v>
      </c>
      <c r="TX23">
        <f>159000+102000</f>
        <v>261000</v>
      </c>
      <c r="TY23">
        <f>212000+17000</f>
        <v>229000</v>
      </c>
      <c r="TZ23">
        <v>0</v>
      </c>
      <c r="UA23">
        <f>175000+17000</f>
        <v>192000</v>
      </c>
      <c r="UB23">
        <v>204000</v>
      </c>
      <c r="UC23">
        <v>0</v>
      </c>
      <c r="UD23">
        <f>212000+204000+175000</f>
        <v>591000</v>
      </c>
      <c r="UE23">
        <f>53000+102000+175000</f>
        <v>330000</v>
      </c>
      <c r="UF23">
        <v>102000</v>
      </c>
      <c r="UG23">
        <f>53000+102000</f>
        <v>155000</v>
      </c>
      <c r="UH23">
        <f>53000+102000</f>
        <v>155000</v>
      </c>
      <c r="UI23">
        <f>159000+539000</f>
        <v>698000</v>
      </c>
      <c r="UJ23">
        <f>53000+102000</f>
        <v>155000</v>
      </c>
      <c r="UK23">
        <f>53000+102000</f>
        <v>155000</v>
      </c>
      <c r="UL23">
        <v>0</v>
      </c>
      <c r="UM23">
        <v>102000</v>
      </c>
      <c r="UN23">
        <v>159000</v>
      </c>
      <c r="UO23">
        <v>0</v>
      </c>
      <c r="UP23">
        <v>53000</v>
      </c>
      <c r="UQ23">
        <v>53000</v>
      </c>
      <c r="UR23">
        <v>106000</v>
      </c>
      <c r="US23">
        <v>102000</v>
      </c>
      <c r="UT23">
        <v>175000</v>
      </c>
      <c r="UU23">
        <v>0</v>
      </c>
      <c r="UV23">
        <v>53000</v>
      </c>
      <c r="UW23">
        <v>53000</v>
      </c>
      <c r="UX23" s="127">
        <f>SUM(TS23:UW23)</f>
        <v>4618000</v>
      </c>
      <c r="UY23">
        <f>53000+306000</f>
        <v>359000</v>
      </c>
      <c r="UZ23">
        <f>106000+204000</f>
        <v>310000</v>
      </c>
      <c r="VA23">
        <v>102000</v>
      </c>
      <c r="VB23">
        <v>102000</v>
      </c>
      <c r="VC23">
        <v>53000</v>
      </c>
      <c r="VD23">
        <v>53000</v>
      </c>
      <c r="VE23">
        <v>0</v>
      </c>
      <c r="VF23">
        <f>106000+204000</f>
        <v>310000</v>
      </c>
      <c r="VG23">
        <v>106000</v>
      </c>
      <c r="VH23">
        <f>106000+240000</f>
        <v>346000</v>
      </c>
      <c r="VI23">
        <f>17000+53000</f>
        <v>70000</v>
      </c>
      <c r="VJ23">
        <f>53000+102000+270000</f>
        <v>425000</v>
      </c>
      <c r="VK23">
        <f>53000+175000</f>
        <v>228000</v>
      </c>
      <c r="VL23">
        <v>0</v>
      </c>
      <c r="VM23">
        <f>53000+204000+175000</f>
        <v>432000</v>
      </c>
      <c r="VN23">
        <v>53000</v>
      </c>
      <c r="VO23">
        <v>175000</v>
      </c>
      <c r="VP23">
        <v>36000</v>
      </c>
      <c r="VQ23">
        <v>53000</v>
      </c>
      <c r="VR23">
        <v>106000</v>
      </c>
      <c r="VS23">
        <v>306000</v>
      </c>
      <c r="VT23">
        <f>53000+150000+30000+102000</f>
        <v>335000</v>
      </c>
      <c r="VU23">
        <v>204000</v>
      </c>
      <c r="VV23">
        <v>159000</v>
      </c>
      <c r="VW23">
        <v>0</v>
      </c>
      <c r="VX23">
        <v>0</v>
      </c>
      <c r="VY23">
        <v>30000</v>
      </c>
      <c r="VZ23">
        <f>159000+204000</f>
        <v>363000</v>
      </c>
      <c r="WA23" s="127">
        <f>SUM(UY23:VZ23)</f>
        <v>4716000</v>
      </c>
      <c r="WB23">
        <f>102000+106000</f>
        <v>208000</v>
      </c>
      <c r="WC23">
        <f>102000+159000+175000+17000</f>
        <v>453000</v>
      </c>
      <c r="WD23">
        <f>53000+175000</f>
        <v>228000</v>
      </c>
      <c r="WE23">
        <f>106000+102000+175000</f>
        <v>383000</v>
      </c>
      <c r="WF23">
        <v>102000</v>
      </c>
      <c r="WG23">
        <v>159000</v>
      </c>
      <c r="WH23">
        <v>175000</v>
      </c>
      <c r="WI23">
        <f>102000+53000</f>
        <v>155000</v>
      </c>
      <c r="WJ23">
        <v>0</v>
      </c>
      <c r="WK23">
        <v>53000</v>
      </c>
      <c r="WL23">
        <v>106000</v>
      </c>
      <c r="WM23">
        <v>106000</v>
      </c>
      <c r="WN23">
        <f>159000+17000</f>
        <v>176000</v>
      </c>
      <c r="WO23">
        <f>106000+204000+17000+53000</f>
        <v>380000</v>
      </c>
      <c r="WP23">
        <v>0</v>
      </c>
      <c r="WQ23">
        <v>150000</v>
      </c>
      <c r="WR23">
        <f>53000+175000</f>
        <v>228000</v>
      </c>
      <c r="WS23">
        <v>17000</v>
      </c>
      <c r="WT23">
        <v>0</v>
      </c>
      <c r="WU23">
        <v>0</v>
      </c>
      <c r="WV23">
        <v>106000</v>
      </c>
      <c r="WW23">
        <v>53000</v>
      </c>
      <c r="WX23">
        <v>106000</v>
      </c>
      <c r="WY23">
        <v>0</v>
      </c>
      <c r="WZ23">
        <v>0</v>
      </c>
      <c r="XA23">
        <f>106000+204000</f>
        <v>310000</v>
      </c>
      <c r="XB23">
        <v>102000</v>
      </c>
      <c r="XC23">
        <f>53000+175000+53000</f>
        <v>281000</v>
      </c>
      <c r="XD23">
        <v>102000</v>
      </c>
      <c r="XE23">
        <f>204000+240000+53000</f>
        <v>497000</v>
      </c>
      <c r="XF23">
        <v>53000</v>
      </c>
      <c r="XG23" s="127">
        <f>SUM(WB23:XF23)</f>
        <v>4689000</v>
      </c>
      <c r="XH23">
        <v>0</v>
      </c>
      <c r="XI23">
        <f>53000+102000+240000</f>
        <v>395000</v>
      </c>
      <c r="XJ23">
        <v>204000</v>
      </c>
      <c r="XK23">
        <v>0</v>
      </c>
      <c r="XL23">
        <v>0</v>
      </c>
      <c r="XM23">
        <f>106000+53000+612000</f>
        <v>771000</v>
      </c>
      <c r="XN23">
        <v>53000</v>
      </c>
      <c r="XO23">
        <v>0</v>
      </c>
      <c r="XP23">
        <v>53000</v>
      </c>
      <c r="XQ23">
        <f>106000+102000+160000</f>
        <v>368000</v>
      </c>
      <c r="XR23">
        <v>0</v>
      </c>
      <c r="XS23">
        <f>106000+102000</f>
        <v>208000</v>
      </c>
      <c r="XT23">
        <v>106000</v>
      </c>
      <c r="XU23">
        <f>102000+160000</f>
        <v>262000</v>
      </c>
      <c r="XV23">
        <v>102000</v>
      </c>
      <c r="XW23">
        <f>102000+53000</f>
        <v>155000</v>
      </c>
      <c r="XX23">
        <v>53000</v>
      </c>
      <c r="XY23">
        <f>53000+102000</f>
        <v>155000</v>
      </c>
      <c r="XZ23">
        <v>102000</v>
      </c>
      <c r="YA23">
        <v>0</v>
      </c>
      <c r="YB23">
        <v>0</v>
      </c>
      <c r="YC23">
        <v>0</v>
      </c>
      <c r="YD23">
        <v>0</v>
      </c>
      <c r="YE23">
        <v>159000</v>
      </c>
      <c r="YF23">
        <v>53000</v>
      </c>
      <c r="YG23">
        <v>0</v>
      </c>
      <c r="YH23">
        <v>0</v>
      </c>
      <c r="YI23">
        <v>200000</v>
      </c>
      <c r="YJ23">
        <f>53000+204000</f>
        <v>257000</v>
      </c>
      <c r="YK23">
        <v>160000</v>
      </c>
      <c r="YL23" s="127">
        <f>SUM(XH23:YK23)</f>
        <v>3816000</v>
      </c>
      <c r="YM23">
        <f>53000+17000</f>
        <v>70000</v>
      </c>
      <c r="YN23">
        <v>106000</v>
      </c>
      <c r="YO23">
        <v>0</v>
      </c>
      <c r="YP23">
        <v>0</v>
      </c>
      <c r="YQ23">
        <v>102000</v>
      </c>
      <c r="YR23">
        <v>0</v>
      </c>
      <c r="YS23">
        <v>106000</v>
      </c>
      <c r="YT23">
        <f>178000+102000</f>
        <v>280000</v>
      </c>
      <c r="YU23">
        <v>53000</v>
      </c>
      <c r="YV23">
        <f>53000+30000</f>
        <v>83000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f>102000+159000</f>
        <v>261000</v>
      </c>
      <c r="ZD23">
        <v>159000</v>
      </c>
      <c r="ZE23">
        <v>53000</v>
      </c>
      <c r="ZF23">
        <f>102000+160000</f>
        <v>262000</v>
      </c>
      <c r="ZG23">
        <v>102000</v>
      </c>
      <c r="ZH23">
        <f>53000+102000</f>
        <v>155000</v>
      </c>
      <c r="ZI23">
        <f>53000+306000</f>
        <v>359000</v>
      </c>
      <c r="ZJ23">
        <f>106000+30000</f>
        <v>136000</v>
      </c>
      <c r="ZK23">
        <v>53000</v>
      </c>
      <c r="ZL23">
        <v>106000</v>
      </c>
      <c r="ZM23">
        <f>53000+160000</f>
        <v>213000</v>
      </c>
      <c r="ZN23">
        <f>106000+102000+17000</f>
        <v>225000</v>
      </c>
      <c r="ZO23">
        <f>178000+102000</f>
        <v>280000</v>
      </c>
      <c r="ZP23">
        <f>53000+102000</f>
        <v>155000</v>
      </c>
      <c r="ZQ23">
        <v>102000</v>
      </c>
      <c r="ZR23" s="127">
        <f t="shared" si="113"/>
        <v>3421000</v>
      </c>
      <c r="ZS23">
        <f>102000+53000</f>
        <v>155000</v>
      </c>
      <c r="ZT23">
        <v>102000</v>
      </c>
      <c r="ZU23">
        <f>159000+204000</f>
        <v>363000</v>
      </c>
      <c r="ZV23">
        <v>102000</v>
      </c>
      <c r="ZW23">
        <v>53000</v>
      </c>
      <c r="ZX23">
        <f>102000+160000</f>
        <v>262000</v>
      </c>
      <c r="ZY23">
        <f>102000+53000</f>
        <v>155000</v>
      </c>
      <c r="ZZ23">
        <f>102000+53000</f>
        <v>155000</v>
      </c>
      <c r="AAA23">
        <v>200000</v>
      </c>
      <c r="AAB23">
        <v>212000</v>
      </c>
      <c r="AAC23">
        <f>53000+102000</f>
        <v>155000</v>
      </c>
      <c r="AAD23">
        <v>53000</v>
      </c>
      <c r="AAE23">
        <v>160000</v>
      </c>
      <c r="AAF23">
        <v>53000</v>
      </c>
      <c r="AAG23">
        <f>102000+53000</f>
        <v>155000</v>
      </c>
      <c r="AAH23">
        <v>53000</v>
      </c>
      <c r="AAI23">
        <v>102000</v>
      </c>
      <c r="AAJ23">
        <f>159000+102000</f>
        <v>261000</v>
      </c>
      <c r="AAK23">
        <v>102000</v>
      </c>
      <c r="AAL23">
        <v>17000</v>
      </c>
      <c r="AAM23">
        <v>0</v>
      </c>
      <c r="AAN23">
        <v>53000</v>
      </c>
      <c r="AAO23">
        <v>102000</v>
      </c>
      <c r="AAP23">
        <v>0</v>
      </c>
      <c r="AAQ23">
        <v>102000</v>
      </c>
      <c r="AAR23">
        <v>102000</v>
      </c>
      <c r="AAS23">
        <f>102000+53000</f>
        <v>155000</v>
      </c>
      <c r="AAT23">
        <v>36000</v>
      </c>
      <c r="AAU23">
        <v>53000</v>
      </c>
      <c r="AAV23">
        <v>53000</v>
      </c>
      <c r="AAW23" s="127">
        <f t="shared" si="115"/>
        <v>3526000</v>
      </c>
      <c r="AAX23">
        <v>0</v>
      </c>
      <c r="AAY23">
        <v>53000</v>
      </c>
      <c r="AAZ23">
        <f>53000+178000+16000</f>
        <v>247000</v>
      </c>
      <c r="ABA23">
        <v>17000</v>
      </c>
      <c r="ABB23">
        <f>53000+102000</f>
        <v>155000</v>
      </c>
      <c r="ABC23">
        <v>0</v>
      </c>
      <c r="ABD23">
        <f>53000+204000</f>
        <v>257000</v>
      </c>
      <c r="ABE23">
        <f>204000+160000</f>
        <v>364000</v>
      </c>
      <c r="ABF23">
        <v>106000</v>
      </c>
      <c r="ABG23">
        <f>53000+102000</f>
        <v>155000</v>
      </c>
      <c r="ABH23">
        <f>53000+102000</f>
        <v>155000</v>
      </c>
      <c r="ABI23">
        <v>53000</v>
      </c>
      <c r="ABJ23">
        <f>159000+102000+36000</f>
        <v>297000</v>
      </c>
      <c r="ABK23">
        <v>102000</v>
      </c>
      <c r="ABL23">
        <v>53000</v>
      </c>
      <c r="ABM23">
        <v>106000</v>
      </c>
      <c r="ABN23">
        <f>34000+15000</f>
        <v>49000</v>
      </c>
      <c r="ABO23">
        <v>15000</v>
      </c>
      <c r="ABP23">
        <v>53000</v>
      </c>
      <c r="ABQ23">
        <v>204000</v>
      </c>
      <c r="ABR23">
        <v>204000</v>
      </c>
      <c r="ABS23">
        <v>106000</v>
      </c>
      <c r="ABT23">
        <f>106000+204000+36000</f>
        <v>346000</v>
      </c>
      <c r="ABU23">
        <v>53000</v>
      </c>
      <c r="ABV23">
        <f>106000+200000</f>
        <v>306000</v>
      </c>
      <c r="ABW23">
        <v>0</v>
      </c>
      <c r="ABX23">
        <v>53000</v>
      </c>
      <c r="ABY23">
        <v>106000</v>
      </c>
      <c r="ABZ23">
        <f>102000+160000</f>
        <v>262000</v>
      </c>
      <c r="ACA23">
        <v>53000</v>
      </c>
      <c r="ACB23">
        <v>102000</v>
      </c>
      <c r="ACC23" s="127">
        <f>SUM(AAX23:ACB23)</f>
        <v>4032000</v>
      </c>
      <c r="ACD23">
        <f>106000+204000</f>
        <v>310000</v>
      </c>
      <c r="ACE23">
        <v>0</v>
      </c>
      <c r="ACF23">
        <v>30000</v>
      </c>
      <c r="ACG23">
        <v>30000</v>
      </c>
      <c r="ACH23">
        <v>0</v>
      </c>
      <c r="ACI23">
        <v>159000</v>
      </c>
      <c r="ACJ23">
        <v>53000</v>
      </c>
      <c r="ACK23">
        <v>53000</v>
      </c>
      <c r="ACL23">
        <f>160000+17000</f>
        <v>177000</v>
      </c>
      <c r="ACM23">
        <v>0</v>
      </c>
      <c r="ACN23">
        <v>160000</v>
      </c>
      <c r="ACO23">
        <f>102000+53000</f>
        <v>155000</v>
      </c>
      <c r="ACP23">
        <v>102000</v>
      </c>
      <c r="ACQ23">
        <v>0</v>
      </c>
      <c r="ACR23">
        <v>17000</v>
      </c>
      <c r="ACS23">
        <v>17000</v>
      </c>
      <c r="ACT23">
        <v>53000</v>
      </c>
      <c r="ACU23">
        <v>106000</v>
      </c>
      <c r="ACV23">
        <v>53000</v>
      </c>
      <c r="ACW23">
        <v>0</v>
      </c>
      <c r="ACX23">
        <v>204000</v>
      </c>
      <c r="ACY23">
        <v>0</v>
      </c>
      <c r="ACZ23">
        <v>0</v>
      </c>
      <c r="ADA23">
        <f>106000+102000</f>
        <v>208000</v>
      </c>
      <c r="ADB23">
        <v>53000</v>
      </c>
      <c r="ADC23">
        <f>106000+204000</f>
        <v>310000</v>
      </c>
      <c r="ADD23">
        <f>106000+160000</f>
        <v>266000</v>
      </c>
      <c r="ADE23">
        <v>53000</v>
      </c>
      <c r="ADF23">
        <v>160000</v>
      </c>
      <c r="ADG23">
        <v>53000</v>
      </c>
      <c r="ADH23">
        <f>53000+102000</f>
        <v>155000</v>
      </c>
      <c r="ADI23" s="127">
        <f>SUM(ACD23:ADH23)</f>
        <v>2937000</v>
      </c>
      <c r="ADJ23">
        <v>53000</v>
      </c>
      <c r="ADK23">
        <v>53000</v>
      </c>
      <c r="ADL23">
        <v>102000</v>
      </c>
      <c r="ADM23">
        <v>0</v>
      </c>
      <c r="ADN23">
        <v>102000</v>
      </c>
      <c r="ADO23">
        <f>53000+102000+17000</f>
        <v>172000</v>
      </c>
      <c r="ADP23">
        <f>53000+30000</f>
        <v>83000</v>
      </c>
      <c r="ADQ23">
        <f>159000+34000</f>
        <v>193000</v>
      </c>
      <c r="ADR23">
        <v>0</v>
      </c>
      <c r="ADS23">
        <f>53000+17000</f>
        <v>70000</v>
      </c>
      <c r="ADT23">
        <v>0</v>
      </c>
      <c r="ADU23">
        <f>106000+17000+15000</f>
        <v>138000</v>
      </c>
      <c r="ADV23">
        <v>106000</v>
      </c>
      <c r="ADW23">
        <v>53000</v>
      </c>
      <c r="ADX23">
        <f>53000+160000</f>
        <v>213000</v>
      </c>
      <c r="ADY23">
        <f>53000+102000</f>
        <v>155000</v>
      </c>
      <c r="ADZ23">
        <f>159000+17000</f>
        <v>176000</v>
      </c>
      <c r="AEA23">
        <v>53000</v>
      </c>
      <c r="AEB23">
        <v>34000</v>
      </c>
      <c r="AEC23">
        <f>53000+200000</f>
        <v>253000</v>
      </c>
      <c r="AED23">
        <v>0</v>
      </c>
      <c r="AEE23">
        <v>53000</v>
      </c>
      <c r="AEF23">
        <v>53000</v>
      </c>
      <c r="AEG23">
        <v>0</v>
      </c>
      <c r="AEH23">
        <v>0</v>
      </c>
      <c r="AEI23">
        <v>102000</v>
      </c>
      <c r="AEJ23">
        <v>106000</v>
      </c>
      <c r="AEK23">
        <f>53000+102000</f>
        <v>155000</v>
      </c>
      <c r="AEL23">
        <v>102000</v>
      </c>
      <c r="AEM23">
        <f>53000+102000</f>
        <v>155000</v>
      </c>
      <c r="AEN23" s="127">
        <f t="shared" si="121"/>
        <v>2735000</v>
      </c>
      <c r="AEO23">
        <f>53000+102000</f>
        <v>155000</v>
      </c>
      <c r="AEP23">
        <v>0</v>
      </c>
      <c r="AEQ23">
        <v>0</v>
      </c>
      <c r="AER23">
        <v>53000</v>
      </c>
      <c r="AES23">
        <f>178000+102000</f>
        <v>280000</v>
      </c>
      <c r="AET23">
        <v>53000</v>
      </c>
      <c r="AEU23">
        <v>0</v>
      </c>
      <c r="AEV23">
        <v>102000</v>
      </c>
      <c r="AEW23">
        <f>53000+102000</f>
        <v>155000</v>
      </c>
      <c r="AEX23">
        <v>0</v>
      </c>
      <c r="AEY23">
        <v>0</v>
      </c>
      <c r="AEZ23">
        <v>106000</v>
      </c>
      <c r="AFA23">
        <v>53000</v>
      </c>
      <c r="AFB23">
        <f>53000+102000</f>
        <v>155000</v>
      </c>
      <c r="AFC23">
        <f>53000+160000</f>
        <v>213000</v>
      </c>
      <c r="AFD23">
        <v>0</v>
      </c>
      <c r="AFE23">
        <v>159000</v>
      </c>
      <c r="AFF23">
        <v>0</v>
      </c>
      <c r="AFG23">
        <v>102000</v>
      </c>
      <c r="AFH23">
        <v>106000</v>
      </c>
      <c r="AFI23">
        <v>102000</v>
      </c>
      <c r="AFJ23">
        <v>102000</v>
      </c>
      <c r="AFK23">
        <v>0</v>
      </c>
      <c r="AFL23">
        <v>0</v>
      </c>
      <c r="AFM23">
        <v>0</v>
      </c>
      <c r="AFN23">
        <v>106000</v>
      </c>
      <c r="AFO23">
        <f>106000+102000</f>
        <v>208000</v>
      </c>
      <c r="AFP23">
        <v>102000</v>
      </c>
      <c r="AFQ23">
        <f>53000+102000</f>
        <v>155000</v>
      </c>
      <c r="AFR23">
        <v>16000</v>
      </c>
      <c r="AFS23">
        <f>17000+212000+102000</f>
        <v>331000</v>
      </c>
      <c r="AFT23" s="127">
        <f>SUM(AEO23:AFS23)</f>
        <v>2814000</v>
      </c>
      <c r="AFU23">
        <v>102000</v>
      </c>
      <c r="AFV23">
        <v>53000</v>
      </c>
      <c r="AFW23">
        <f>102000+53000</f>
        <v>155000</v>
      </c>
      <c r="AFX23">
        <v>53000</v>
      </c>
      <c r="AFY23">
        <v>53000</v>
      </c>
      <c r="AFZ23">
        <v>53000</v>
      </c>
      <c r="AGA23">
        <v>0</v>
      </c>
      <c r="AGB23">
        <v>53000</v>
      </c>
      <c r="AGC23">
        <f>53000+102000</f>
        <v>155000</v>
      </c>
      <c r="AGD23">
        <v>53000</v>
      </c>
      <c r="AGE23">
        <v>0</v>
      </c>
      <c r="AGF23">
        <v>0</v>
      </c>
      <c r="AGG23">
        <f>53000+204000</f>
        <v>257000</v>
      </c>
      <c r="AGH23">
        <v>0</v>
      </c>
      <c r="AGI23">
        <v>0</v>
      </c>
      <c r="AGJ23">
        <v>0</v>
      </c>
      <c r="AGK23">
        <v>53000</v>
      </c>
      <c r="AGL23">
        <v>0</v>
      </c>
      <c r="AGM23">
        <v>0</v>
      </c>
      <c r="AGN23">
        <v>106000</v>
      </c>
      <c r="AGO23">
        <v>102000</v>
      </c>
      <c r="AGP23">
        <v>106000</v>
      </c>
      <c r="AGQ23">
        <f>53000+102000</f>
        <v>155000</v>
      </c>
      <c r="AGR23">
        <v>0</v>
      </c>
      <c r="AGS23">
        <v>102000</v>
      </c>
      <c r="AGT23">
        <f>102000+17000</f>
        <v>119000</v>
      </c>
      <c r="AGU23">
        <v>53000</v>
      </c>
      <c r="AGV23">
        <f>159000+306000+200000</f>
        <v>665000</v>
      </c>
      <c r="AGW23">
        <f>106000+160000</f>
        <v>266000</v>
      </c>
      <c r="AGX23">
        <v>53000</v>
      </c>
      <c r="AGY23" s="127">
        <f t="shared" si="125"/>
        <v>2767000</v>
      </c>
      <c r="AGZ23">
        <v>0</v>
      </c>
      <c r="AHA23">
        <f>106000+204000</f>
        <v>310000</v>
      </c>
      <c r="AHB23">
        <v>0</v>
      </c>
      <c r="AHC23">
        <f>53000+102000</f>
        <v>155000</v>
      </c>
      <c r="AHD23">
        <v>0</v>
      </c>
      <c r="AHE23" s="147">
        <v>45000</v>
      </c>
      <c r="AHF23">
        <v>45000</v>
      </c>
      <c r="AHH23">
        <v>0</v>
      </c>
      <c r="AHI23">
        <v>285000</v>
      </c>
      <c r="AHJ23">
        <v>0</v>
      </c>
      <c r="AHK23">
        <v>45000</v>
      </c>
      <c r="AHL23">
        <v>0</v>
      </c>
      <c r="AHM23">
        <v>180000</v>
      </c>
      <c r="AHN23">
        <v>45000</v>
      </c>
      <c r="AHO23">
        <v>0</v>
      </c>
      <c r="AHP23">
        <v>135000</v>
      </c>
      <c r="AHQ23">
        <v>0</v>
      </c>
      <c r="AHR23">
        <f>45000+150000</f>
        <v>195000</v>
      </c>
      <c r="AHS23">
        <f>135000+95000</f>
        <v>230000</v>
      </c>
      <c r="AHT23">
        <v>190000</v>
      </c>
      <c r="AHU23">
        <v>90000</v>
      </c>
      <c r="AHV23">
        <f>45000+280000+95000</f>
        <v>420000</v>
      </c>
      <c r="AHW23">
        <f>135000+170000+17000</f>
        <v>322000</v>
      </c>
      <c r="AHX23">
        <f>45000+95000</f>
        <v>140000</v>
      </c>
      <c r="AHY23">
        <v>0</v>
      </c>
      <c r="AHZ23">
        <v>45000</v>
      </c>
      <c r="AIA23">
        <v>90000</v>
      </c>
      <c r="AIB23">
        <v>45000</v>
      </c>
      <c r="AIC23">
        <f>45000+95000</f>
        <v>140000</v>
      </c>
      <c r="AID23">
        <v>0</v>
      </c>
      <c r="AIE23" s="127">
        <f>SUM(AGZ23:AID23)</f>
        <v>3152000</v>
      </c>
      <c r="AIF23">
        <v>90000</v>
      </c>
      <c r="AIG23">
        <v>45000</v>
      </c>
      <c r="AIH23">
        <f>45000+17000</f>
        <v>62000</v>
      </c>
      <c r="AII23">
        <v>0</v>
      </c>
      <c r="AIJ23">
        <f>90000+190000</f>
        <v>280000</v>
      </c>
      <c r="AIK23">
        <f>45000+150000</f>
        <v>195000</v>
      </c>
      <c r="AIL23">
        <v>0</v>
      </c>
      <c r="AIM23">
        <v>0</v>
      </c>
      <c r="AIN23">
        <v>90000</v>
      </c>
      <c r="AIO23">
        <v>45000</v>
      </c>
      <c r="AIP23">
        <v>45000</v>
      </c>
      <c r="AIQ23">
        <v>45000</v>
      </c>
      <c r="AIR23">
        <f>190000+150000</f>
        <v>340000</v>
      </c>
      <c r="AIS23">
        <v>95000</v>
      </c>
      <c r="AIT23">
        <v>90000</v>
      </c>
      <c r="AIU23">
        <v>0</v>
      </c>
      <c r="AIV23">
        <f>45000+185000</f>
        <v>230000</v>
      </c>
      <c r="AIW23">
        <v>90000</v>
      </c>
      <c r="AIX23">
        <v>95000</v>
      </c>
      <c r="AIY23">
        <f>150000+45000</f>
        <v>195000</v>
      </c>
      <c r="AIZ23">
        <f>135000+17000</f>
        <v>152000</v>
      </c>
      <c r="AJA23">
        <v>0</v>
      </c>
      <c r="AJB23">
        <v>0</v>
      </c>
      <c r="AJC23">
        <v>95000</v>
      </c>
      <c r="AJD23">
        <v>90000</v>
      </c>
      <c r="AJE23">
        <v>0</v>
      </c>
      <c r="AJF23">
        <v>45000</v>
      </c>
      <c r="AJG23">
        <f>45000+190000+17000</f>
        <v>252000</v>
      </c>
      <c r="AJH23">
        <v>90000</v>
      </c>
      <c r="AJI23">
        <v>45000</v>
      </c>
      <c r="AJJ23">
        <v>90000</v>
      </c>
      <c r="AJK23" s="127">
        <f>SUM(AIF23:AJJ23)</f>
        <v>2891000</v>
      </c>
      <c r="AJL23">
        <f>53000+204000</f>
        <v>257000</v>
      </c>
      <c r="AJM23">
        <v>106000</v>
      </c>
      <c r="AJN23">
        <v>53000</v>
      </c>
      <c r="AJO23">
        <f>53000+160000</f>
        <v>213000</v>
      </c>
      <c r="AJP23">
        <v>0</v>
      </c>
      <c r="AJQ23">
        <v>102000</v>
      </c>
      <c r="AJR23">
        <v>106000</v>
      </c>
      <c r="AJS23">
        <f>106000+102000</f>
        <v>208000</v>
      </c>
      <c r="AJT23">
        <v>53000</v>
      </c>
      <c r="AJU23">
        <v>106000</v>
      </c>
      <c r="AJV23">
        <v>0</v>
      </c>
      <c r="AJW23">
        <f>53000+102000</f>
        <v>155000</v>
      </c>
      <c r="AJX23">
        <v>106000</v>
      </c>
      <c r="AJY23">
        <f>106000+204000</f>
        <v>310000</v>
      </c>
      <c r="AJZ23">
        <v>0</v>
      </c>
      <c r="AKA23">
        <f>102000+160000</f>
        <v>262000</v>
      </c>
      <c r="AKB23">
        <v>53000</v>
      </c>
      <c r="AKC23">
        <v>102000</v>
      </c>
      <c r="AKD23">
        <f>53000+102000</f>
        <v>155000</v>
      </c>
      <c r="AKE23">
        <v>0</v>
      </c>
      <c r="AKF23">
        <v>53000</v>
      </c>
      <c r="AKG23">
        <v>106000</v>
      </c>
      <c r="AKH23">
        <f>102000+160000</f>
        <v>262000</v>
      </c>
      <c r="AKI23">
        <v>0</v>
      </c>
      <c r="AKJ23">
        <v>102000</v>
      </c>
      <c r="AKK23">
        <v>0</v>
      </c>
      <c r="AKL23">
        <f>106000+17000</f>
        <v>123000</v>
      </c>
      <c r="AKM23">
        <v>53000</v>
      </c>
      <c r="AKN23" s="127">
        <f t="shared" si="11"/>
        <v>3046000</v>
      </c>
      <c r="AKO23">
        <v>0</v>
      </c>
      <c r="AKP23">
        <v>24000</v>
      </c>
      <c r="AKQ23">
        <v>0</v>
      </c>
      <c r="AKR23">
        <v>53000</v>
      </c>
      <c r="AKS23">
        <v>106000</v>
      </c>
      <c r="AKT23">
        <v>53000</v>
      </c>
      <c r="AKU23">
        <f>53000+102000</f>
        <v>155000</v>
      </c>
      <c r="AKV23">
        <f>53000+102000</f>
        <v>155000</v>
      </c>
      <c r="AKW23">
        <v>0</v>
      </c>
      <c r="AKX23">
        <v>106000</v>
      </c>
      <c r="AKY23">
        <f>53000+200000</f>
        <v>253000</v>
      </c>
      <c r="AKZ23">
        <v>53000</v>
      </c>
      <c r="ALA23">
        <v>53000</v>
      </c>
      <c r="ALB23">
        <v>102000</v>
      </c>
      <c r="ALC23">
        <v>160000</v>
      </c>
      <c r="ALD23">
        <v>0</v>
      </c>
      <c r="ALE23">
        <v>102000</v>
      </c>
      <c r="ALF23">
        <v>8000</v>
      </c>
      <c r="ALG23">
        <v>102000</v>
      </c>
      <c r="ALH23">
        <f>159000+17000</f>
        <v>176000</v>
      </c>
      <c r="ALI23">
        <v>102000</v>
      </c>
      <c r="ALJ23">
        <v>53000</v>
      </c>
      <c r="ALK23">
        <v>53000</v>
      </c>
      <c r="ALL23">
        <v>102000</v>
      </c>
      <c r="ALM23">
        <v>106000</v>
      </c>
      <c r="ALN23">
        <v>34000</v>
      </c>
      <c r="ALO23">
        <v>102000</v>
      </c>
      <c r="ALP23">
        <v>106000</v>
      </c>
      <c r="ALQ23">
        <f>106000+102000</f>
        <v>208000</v>
      </c>
      <c r="ALR23">
        <v>0</v>
      </c>
      <c r="ALS23">
        <v>102000</v>
      </c>
      <c r="ALT23" s="127">
        <f t="shared" si="12"/>
        <v>2629000</v>
      </c>
      <c r="ALU23">
        <v>53000</v>
      </c>
      <c r="ALV23">
        <v>0</v>
      </c>
      <c r="ALW23">
        <v>0</v>
      </c>
      <c r="ALX23">
        <f>106000+102000+160000</f>
        <v>368000</v>
      </c>
      <c r="ALY23">
        <f>106000+204000</f>
        <v>310000</v>
      </c>
      <c r="ALZ23">
        <f>106000+204000+160000</f>
        <v>470000</v>
      </c>
      <c r="AMA23">
        <v>106000</v>
      </c>
      <c r="AMB23">
        <f>95000+200000</f>
        <v>295000</v>
      </c>
      <c r="AMC23">
        <v>0</v>
      </c>
      <c r="AMD23">
        <v>0</v>
      </c>
      <c r="AME23">
        <v>53000</v>
      </c>
      <c r="AMF23">
        <v>0</v>
      </c>
      <c r="AMG23">
        <v>106000</v>
      </c>
      <c r="AMH23">
        <f>106000+102000</f>
        <v>208000</v>
      </c>
      <c r="AMI23">
        <v>112000</v>
      </c>
      <c r="AMJ23">
        <f>60000+95000+224000</f>
        <v>379000</v>
      </c>
      <c r="AMK23">
        <v>0</v>
      </c>
      <c r="AML23">
        <v>112000</v>
      </c>
      <c r="AMM23">
        <v>224000</v>
      </c>
      <c r="AMN23">
        <v>60000</v>
      </c>
      <c r="AMO23">
        <f>120000+30000+17000</f>
        <v>167000</v>
      </c>
      <c r="AMP23">
        <f>180000+112000</f>
        <v>292000</v>
      </c>
      <c r="AMQ23">
        <f>112000+60000</f>
        <v>172000</v>
      </c>
      <c r="AMR23">
        <v>60000</v>
      </c>
      <c r="AMS23">
        <v>0</v>
      </c>
      <c r="AMT23">
        <v>0</v>
      </c>
      <c r="AMU23">
        <v>0</v>
      </c>
      <c r="AMV23">
        <v>0</v>
      </c>
      <c r="AMW23">
        <v>180000</v>
      </c>
      <c r="AMX23">
        <f>120000+112000</f>
        <v>232000</v>
      </c>
      <c r="AMY23" s="127">
        <f t="shared" si="13"/>
        <v>3959000</v>
      </c>
      <c r="AMZ23">
        <v>0</v>
      </c>
      <c r="ANA23">
        <v>120000</v>
      </c>
      <c r="ANB23">
        <v>112000</v>
      </c>
      <c r="ANC23">
        <v>60000</v>
      </c>
      <c r="AND23">
        <v>112000</v>
      </c>
      <c r="ANE23">
        <v>240000</v>
      </c>
      <c r="ANF23">
        <v>0</v>
      </c>
      <c r="ANG23">
        <v>0</v>
      </c>
      <c r="ANH23">
        <v>17000</v>
      </c>
      <c r="ANI23">
        <v>180000</v>
      </c>
      <c r="ANJ23">
        <f>60000+17000</f>
        <v>77000</v>
      </c>
      <c r="ANK23">
        <v>0</v>
      </c>
      <c r="ANL23">
        <v>225000</v>
      </c>
      <c r="ANM23">
        <v>448000</v>
      </c>
      <c r="ANN23">
        <v>112000</v>
      </c>
      <c r="ANO23">
        <v>60000</v>
      </c>
      <c r="ANP23">
        <v>60000</v>
      </c>
      <c r="ANQ23">
        <v>60000</v>
      </c>
      <c r="ANR23">
        <v>0</v>
      </c>
      <c r="ANS23">
        <v>0</v>
      </c>
      <c r="ANT23">
        <v>0</v>
      </c>
      <c r="ANU23">
        <v>0</v>
      </c>
      <c r="ANV23">
        <v>112000</v>
      </c>
      <c r="ANW23">
        <v>60000</v>
      </c>
      <c r="ANX23">
        <f>60000+17000</f>
        <v>77000</v>
      </c>
      <c r="ANY23">
        <v>360000</v>
      </c>
      <c r="ANZ23">
        <f>60000+224000</f>
        <v>284000</v>
      </c>
      <c r="AOA23">
        <v>224000</v>
      </c>
      <c r="AOB23">
        <v>0</v>
      </c>
      <c r="AOC23">
        <v>0</v>
      </c>
    </row>
    <row r="24" spans="1:1069" x14ac:dyDescent="0.2">
      <c r="A24" s="160"/>
      <c r="B24" s="25" t="s">
        <v>1521</v>
      </c>
      <c r="C24" s="26">
        <f t="shared" ref="C24:AG24" si="209">SUM(C19:C23)</f>
        <v>99000</v>
      </c>
      <c r="D24" s="26">
        <f t="shared" si="209"/>
        <v>225000</v>
      </c>
      <c r="E24" s="26">
        <f t="shared" si="209"/>
        <v>374000</v>
      </c>
      <c r="F24" s="26">
        <f t="shared" si="209"/>
        <v>90000</v>
      </c>
      <c r="G24" s="26">
        <f t="shared" si="209"/>
        <v>662000</v>
      </c>
      <c r="H24" s="26">
        <f t="shared" si="209"/>
        <v>309000</v>
      </c>
      <c r="I24" s="26">
        <f t="shared" si="209"/>
        <v>505218</v>
      </c>
      <c r="J24" s="26">
        <f t="shared" si="209"/>
        <v>204000</v>
      </c>
      <c r="K24" s="26">
        <f t="shared" si="209"/>
        <v>166500</v>
      </c>
      <c r="L24" s="26">
        <f t="shared" si="209"/>
        <v>263000</v>
      </c>
      <c r="M24" s="26">
        <f t="shared" si="209"/>
        <v>500000</v>
      </c>
      <c r="N24" s="26">
        <f t="shared" si="209"/>
        <v>162500</v>
      </c>
      <c r="O24" s="26">
        <f t="shared" si="209"/>
        <v>388000</v>
      </c>
      <c r="P24" s="26">
        <f t="shared" si="209"/>
        <v>83000</v>
      </c>
      <c r="Q24" s="26">
        <f t="shared" si="209"/>
        <v>518000</v>
      </c>
      <c r="R24" s="26">
        <f t="shared" si="209"/>
        <v>173500</v>
      </c>
      <c r="S24" s="26">
        <f t="shared" si="209"/>
        <v>345000</v>
      </c>
      <c r="T24" s="26">
        <f t="shared" si="209"/>
        <v>373213.88</v>
      </c>
      <c r="U24" s="26">
        <f t="shared" si="209"/>
        <v>155500</v>
      </c>
      <c r="V24" s="26">
        <f t="shared" si="209"/>
        <v>382500</v>
      </c>
      <c r="W24" s="26">
        <f t="shared" si="209"/>
        <v>595000</v>
      </c>
      <c r="X24" s="26">
        <f t="shared" si="209"/>
        <v>107506</v>
      </c>
      <c r="Y24" s="26">
        <f t="shared" si="209"/>
        <v>288000</v>
      </c>
      <c r="Z24" s="26">
        <f t="shared" si="209"/>
        <v>320000</v>
      </c>
      <c r="AA24" s="26">
        <f t="shared" si="209"/>
        <v>29000</v>
      </c>
      <c r="AB24" s="26">
        <f t="shared" si="209"/>
        <v>426000</v>
      </c>
      <c r="AC24" s="26">
        <f t="shared" si="209"/>
        <v>89500</v>
      </c>
      <c r="AD24" s="26">
        <f t="shared" si="209"/>
        <v>1102000</v>
      </c>
      <c r="AE24" s="26">
        <f t="shared" si="209"/>
        <v>207888</v>
      </c>
      <c r="AF24" s="26">
        <f t="shared" si="209"/>
        <v>303000</v>
      </c>
      <c r="AG24" s="26">
        <f t="shared" si="209"/>
        <v>474500</v>
      </c>
      <c r="AH24" s="94">
        <f>SUM(C24:AG24)</f>
        <v>9921325.879999999</v>
      </c>
      <c r="AI24" s="26">
        <f t="shared" ref="AI24:BL24" si="210">SUM(AI19:AI23)</f>
        <v>387000</v>
      </c>
      <c r="AJ24" s="26">
        <f t="shared" si="210"/>
        <v>203500</v>
      </c>
      <c r="AK24" s="26">
        <f t="shared" si="210"/>
        <v>227000</v>
      </c>
      <c r="AL24" s="26">
        <f t="shared" si="210"/>
        <v>249096</v>
      </c>
      <c r="AM24" s="26">
        <f t="shared" si="210"/>
        <v>45500</v>
      </c>
      <c r="AN24" s="26">
        <f t="shared" si="210"/>
        <v>190000</v>
      </c>
      <c r="AO24" s="26">
        <f t="shared" si="210"/>
        <v>543000</v>
      </c>
      <c r="AP24" s="26">
        <f t="shared" si="210"/>
        <v>439069</v>
      </c>
      <c r="AQ24" s="26">
        <f t="shared" si="210"/>
        <v>345000</v>
      </c>
      <c r="AR24" s="26">
        <f t="shared" si="210"/>
        <v>401000</v>
      </c>
      <c r="AS24" s="26">
        <f t="shared" si="210"/>
        <v>357538</v>
      </c>
      <c r="AT24" s="26">
        <f t="shared" si="210"/>
        <v>548000</v>
      </c>
      <c r="AU24" s="26">
        <f t="shared" si="210"/>
        <v>604035</v>
      </c>
      <c r="AV24" s="26">
        <f t="shared" si="210"/>
        <v>437000</v>
      </c>
      <c r="AW24" s="26">
        <f t="shared" si="210"/>
        <v>157000</v>
      </c>
      <c r="AX24" s="26">
        <f t="shared" si="210"/>
        <v>298000</v>
      </c>
      <c r="AY24" s="26">
        <f t="shared" si="210"/>
        <v>176000</v>
      </c>
      <c r="AZ24" s="26">
        <f t="shared" si="210"/>
        <v>157000</v>
      </c>
      <c r="BA24" s="26">
        <f t="shared" si="210"/>
        <v>449500</v>
      </c>
      <c r="BB24" s="26">
        <f t="shared" si="210"/>
        <v>324000</v>
      </c>
      <c r="BC24" s="26">
        <f t="shared" si="210"/>
        <v>258000</v>
      </c>
      <c r="BD24" s="26">
        <f t="shared" si="210"/>
        <v>210000</v>
      </c>
      <c r="BE24" s="26">
        <f t="shared" si="210"/>
        <v>506000</v>
      </c>
      <c r="BF24" s="26">
        <f t="shared" si="210"/>
        <v>205000</v>
      </c>
      <c r="BG24" s="26">
        <f t="shared" si="210"/>
        <v>476085</v>
      </c>
      <c r="BH24" s="26">
        <f t="shared" si="210"/>
        <v>536500</v>
      </c>
      <c r="BI24" s="26">
        <f t="shared" si="210"/>
        <v>562500</v>
      </c>
      <c r="BJ24" s="26">
        <f t="shared" si="210"/>
        <v>312000</v>
      </c>
      <c r="BK24" s="26">
        <f t="shared" si="210"/>
        <v>252000</v>
      </c>
      <c r="BL24" s="26">
        <f t="shared" si="210"/>
        <v>790000</v>
      </c>
      <c r="BM24" s="97">
        <f>SUM(AI24:BL24)</f>
        <v>10646323</v>
      </c>
      <c r="BN24" s="26">
        <f t="shared" ref="BN24:CR24" si="211">SUM(BN19:BN23)</f>
        <v>164500</v>
      </c>
      <c r="BO24" s="26">
        <f t="shared" si="211"/>
        <v>474000</v>
      </c>
      <c r="BP24" s="26">
        <f t="shared" si="211"/>
        <v>209000</v>
      </c>
      <c r="BQ24" s="26">
        <f t="shared" si="211"/>
        <v>1027500</v>
      </c>
      <c r="BR24" s="26">
        <f t="shared" si="211"/>
        <v>328000</v>
      </c>
      <c r="BS24" s="26">
        <f t="shared" si="211"/>
        <v>304500</v>
      </c>
      <c r="BT24" s="26">
        <f t="shared" si="211"/>
        <v>599000</v>
      </c>
      <c r="BU24" s="26">
        <f t="shared" si="211"/>
        <v>279000</v>
      </c>
      <c r="BV24" s="26">
        <f t="shared" si="211"/>
        <v>19000</v>
      </c>
      <c r="BW24" s="26">
        <f t="shared" si="211"/>
        <v>333000</v>
      </c>
      <c r="BX24" s="26">
        <f t="shared" si="211"/>
        <v>129000</v>
      </c>
      <c r="BY24" s="26">
        <f t="shared" si="211"/>
        <v>805000</v>
      </c>
      <c r="BZ24" s="26">
        <f t="shared" si="211"/>
        <v>113500</v>
      </c>
      <c r="CA24" s="26">
        <f t="shared" si="211"/>
        <v>268000</v>
      </c>
      <c r="CB24" s="26">
        <f t="shared" si="211"/>
        <v>235000</v>
      </c>
      <c r="CC24" s="26">
        <f t="shared" si="211"/>
        <v>221000</v>
      </c>
      <c r="CD24" s="26">
        <f t="shared" si="211"/>
        <v>713000</v>
      </c>
      <c r="CE24" s="26">
        <f t="shared" si="211"/>
        <v>0</v>
      </c>
      <c r="CF24" s="26">
        <f t="shared" si="211"/>
        <v>350000</v>
      </c>
      <c r="CG24" s="26">
        <f t="shared" si="211"/>
        <v>283000</v>
      </c>
      <c r="CH24" s="26">
        <f t="shared" si="211"/>
        <v>681000</v>
      </c>
      <c r="CI24" s="26">
        <f t="shared" si="211"/>
        <v>399000</v>
      </c>
      <c r="CJ24" s="26">
        <f t="shared" si="211"/>
        <v>361000</v>
      </c>
      <c r="CK24" s="26">
        <f t="shared" si="211"/>
        <v>391000</v>
      </c>
      <c r="CL24" s="26">
        <f t="shared" si="211"/>
        <v>416000</v>
      </c>
      <c r="CM24" s="26">
        <f t="shared" si="211"/>
        <v>166000</v>
      </c>
      <c r="CN24" s="26">
        <f t="shared" si="211"/>
        <v>257500</v>
      </c>
      <c r="CO24" s="26">
        <f t="shared" si="211"/>
        <v>429000</v>
      </c>
      <c r="CP24" s="26">
        <f t="shared" si="211"/>
        <v>631500</v>
      </c>
      <c r="CQ24" s="26">
        <f t="shared" si="211"/>
        <v>730000</v>
      </c>
      <c r="CR24" s="26">
        <f t="shared" si="211"/>
        <v>449000</v>
      </c>
      <c r="CS24" s="111">
        <f t="shared" si="208"/>
        <v>11766000</v>
      </c>
      <c r="CT24" s="26">
        <f t="shared" ref="CT24:DW24" si="212">SUM(CT19:CT23)</f>
        <v>1403000</v>
      </c>
      <c r="CU24" s="26">
        <f t="shared" si="212"/>
        <v>455000</v>
      </c>
      <c r="CV24" s="26">
        <f t="shared" si="212"/>
        <v>805000</v>
      </c>
      <c r="CW24" s="26">
        <f t="shared" si="212"/>
        <v>2505000</v>
      </c>
      <c r="CX24" s="26">
        <f t="shared" si="212"/>
        <v>1017000</v>
      </c>
      <c r="CY24" s="26">
        <f t="shared" si="212"/>
        <v>530000</v>
      </c>
      <c r="CZ24" s="26">
        <f t="shared" si="212"/>
        <v>625000</v>
      </c>
      <c r="DA24" s="26">
        <f t="shared" si="212"/>
        <v>1398000</v>
      </c>
      <c r="DB24" s="26">
        <f t="shared" si="212"/>
        <v>807000</v>
      </c>
      <c r="DC24" s="26">
        <f t="shared" si="212"/>
        <v>535000</v>
      </c>
      <c r="DD24" s="26">
        <f t="shared" si="212"/>
        <v>580000</v>
      </c>
      <c r="DE24" s="26">
        <f t="shared" si="212"/>
        <v>1296500</v>
      </c>
      <c r="DF24" s="26">
        <f t="shared" si="212"/>
        <v>182000</v>
      </c>
      <c r="DG24" s="26">
        <f t="shared" si="212"/>
        <v>1033000</v>
      </c>
      <c r="DH24" s="26">
        <f t="shared" si="212"/>
        <v>727000</v>
      </c>
      <c r="DI24" s="26">
        <f t="shared" si="212"/>
        <v>122000</v>
      </c>
      <c r="DJ24" s="26">
        <f t="shared" si="212"/>
        <v>880000</v>
      </c>
      <c r="DK24" s="26">
        <f t="shared" si="212"/>
        <v>1014000</v>
      </c>
      <c r="DL24" s="26">
        <f t="shared" si="212"/>
        <v>398000</v>
      </c>
      <c r="DM24" s="26">
        <f t="shared" si="212"/>
        <v>807000</v>
      </c>
      <c r="DN24" s="26">
        <f t="shared" si="212"/>
        <v>687000</v>
      </c>
      <c r="DO24" s="26">
        <f t="shared" si="212"/>
        <v>575000</v>
      </c>
      <c r="DP24" s="26">
        <f t="shared" si="212"/>
        <v>489000</v>
      </c>
      <c r="DQ24" s="26">
        <f t="shared" si="212"/>
        <v>412000</v>
      </c>
      <c r="DR24" s="26">
        <f t="shared" si="212"/>
        <v>1006000</v>
      </c>
      <c r="DS24" s="26">
        <f t="shared" si="212"/>
        <v>128000</v>
      </c>
      <c r="DT24" s="26">
        <f t="shared" si="212"/>
        <v>579000</v>
      </c>
      <c r="DU24" s="26">
        <f t="shared" si="212"/>
        <v>676000</v>
      </c>
      <c r="DV24" s="26">
        <f t="shared" si="212"/>
        <v>786000</v>
      </c>
      <c r="DW24" s="26">
        <f t="shared" si="212"/>
        <v>559000</v>
      </c>
      <c r="DX24" s="119">
        <f t="shared" si="95"/>
        <v>23016500</v>
      </c>
      <c r="DY24" s="26">
        <f t="shared" ref="DY24:FC24" si="213">SUM(DY19:DY23)</f>
        <v>629500</v>
      </c>
      <c r="DZ24" s="26">
        <f t="shared" si="213"/>
        <v>262000</v>
      </c>
      <c r="EA24" s="26">
        <f t="shared" si="213"/>
        <v>556000</v>
      </c>
      <c r="EB24" s="26">
        <f t="shared" si="213"/>
        <v>644000</v>
      </c>
      <c r="EC24" s="26">
        <f t="shared" si="213"/>
        <v>487000</v>
      </c>
      <c r="ED24" s="26">
        <f t="shared" si="213"/>
        <v>552000</v>
      </c>
      <c r="EE24" s="26">
        <f t="shared" si="213"/>
        <v>1193000</v>
      </c>
      <c r="EF24" s="26">
        <f t="shared" si="213"/>
        <v>1444000</v>
      </c>
      <c r="EG24" s="26">
        <f t="shared" si="213"/>
        <v>701000</v>
      </c>
      <c r="EH24" s="26">
        <f t="shared" si="213"/>
        <v>217000</v>
      </c>
      <c r="EI24" s="26">
        <f t="shared" si="213"/>
        <v>201000</v>
      </c>
      <c r="EJ24" s="26">
        <f t="shared" si="213"/>
        <v>984000</v>
      </c>
      <c r="EK24" s="26">
        <f t="shared" si="213"/>
        <v>577000</v>
      </c>
      <c r="EL24" s="26">
        <f t="shared" si="213"/>
        <v>902350</v>
      </c>
      <c r="EM24" s="26">
        <f t="shared" si="213"/>
        <v>317000</v>
      </c>
      <c r="EN24" s="26">
        <f t="shared" si="213"/>
        <v>785000</v>
      </c>
      <c r="EO24" s="26">
        <f t="shared" si="213"/>
        <v>711000</v>
      </c>
      <c r="EP24" s="26">
        <f t="shared" si="213"/>
        <v>908000</v>
      </c>
      <c r="EQ24" s="26">
        <f t="shared" si="213"/>
        <v>672000</v>
      </c>
      <c r="ER24" s="26">
        <f t="shared" si="213"/>
        <v>966000</v>
      </c>
      <c r="ES24" s="26">
        <f t="shared" si="213"/>
        <v>1450500</v>
      </c>
      <c r="ET24" s="26">
        <f t="shared" si="213"/>
        <v>1177000</v>
      </c>
      <c r="EU24" s="26">
        <f t="shared" si="213"/>
        <v>1577000</v>
      </c>
      <c r="EV24" s="26">
        <f t="shared" si="213"/>
        <v>700000</v>
      </c>
      <c r="EW24" s="26">
        <f t="shared" si="213"/>
        <v>346000</v>
      </c>
      <c r="EX24" s="26">
        <f t="shared" si="213"/>
        <v>782000</v>
      </c>
      <c r="EY24" s="26">
        <f t="shared" si="213"/>
        <v>497000</v>
      </c>
      <c r="EZ24" s="26">
        <f t="shared" si="213"/>
        <v>775000</v>
      </c>
      <c r="FA24" s="26">
        <f t="shared" si="213"/>
        <v>1047000</v>
      </c>
      <c r="FB24" s="26">
        <f t="shared" si="213"/>
        <v>1141000</v>
      </c>
      <c r="FC24" s="26">
        <f t="shared" si="213"/>
        <v>210000</v>
      </c>
      <c r="FD24" s="128">
        <f t="shared" si="177"/>
        <v>23411350</v>
      </c>
      <c r="FE24" s="26">
        <f t="shared" ref="FE24:GI24" si="214">SUM(FE19:FE23)</f>
        <v>939000</v>
      </c>
      <c r="FF24" s="26">
        <f t="shared" si="214"/>
        <v>490000</v>
      </c>
      <c r="FG24" s="26">
        <f t="shared" si="214"/>
        <v>195000</v>
      </c>
      <c r="FH24" s="26">
        <f t="shared" si="214"/>
        <v>822000</v>
      </c>
      <c r="FI24" s="26">
        <f t="shared" si="214"/>
        <v>1332000</v>
      </c>
      <c r="FJ24" s="26">
        <f t="shared" si="214"/>
        <v>870500</v>
      </c>
      <c r="FK24" s="26">
        <f t="shared" si="214"/>
        <v>384000</v>
      </c>
      <c r="FL24" s="26">
        <f t="shared" si="214"/>
        <v>270000</v>
      </c>
      <c r="FM24" s="26">
        <f t="shared" si="214"/>
        <v>655000</v>
      </c>
      <c r="FN24" s="26">
        <f t="shared" si="214"/>
        <v>248000</v>
      </c>
      <c r="FO24" s="26">
        <f t="shared" si="214"/>
        <v>110000</v>
      </c>
      <c r="FP24" s="26">
        <f t="shared" si="214"/>
        <v>495500</v>
      </c>
      <c r="FQ24" s="26">
        <f t="shared" si="214"/>
        <v>719000</v>
      </c>
      <c r="FR24" s="26">
        <f t="shared" si="214"/>
        <v>560000</v>
      </c>
      <c r="FS24" s="26">
        <f t="shared" si="214"/>
        <v>1422000</v>
      </c>
      <c r="FT24" s="26">
        <f t="shared" si="214"/>
        <v>691000</v>
      </c>
      <c r="FU24" s="26">
        <f t="shared" si="214"/>
        <v>290000</v>
      </c>
      <c r="FV24" s="26">
        <f t="shared" si="214"/>
        <v>473000</v>
      </c>
      <c r="FW24" s="26">
        <f t="shared" si="214"/>
        <v>1532739</v>
      </c>
      <c r="FX24" s="26">
        <f t="shared" si="214"/>
        <v>671000</v>
      </c>
      <c r="FY24" s="26">
        <f t="shared" si="214"/>
        <v>975000</v>
      </c>
      <c r="FZ24" s="26">
        <f t="shared" si="214"/>
        <v>616000</v>
      </c>
      <c r="GA24" s="26">
        <f t="shared" si="214"/>
        <v>237000</v>
      </c>
      <c r="GB24" s="26">
        <f t="shared" si="214"/>
        <v>285000</v>
      </c>
      <c r="GC24" s="26">
        <f t="shared" si="214"/>
        <v>372000</v>
      </c>
      <c r="GD24" s="26">
        <f t="shared" si="214"/>
        <v>1245000</v>
      </c>
      <c r="GE24" s="26">
        <f t="shared" si="214"/>
        <v>1615000</v>
      </c>
      <c r="GF24" s="26">
        <f t="shared" si="214"/>
        <v>262500</v>
      </c>
      <c r="GG24" s="26">
        <f t="shared" si="214"/>
        <v>455000</v>
      </c>
      <c r="GH24" s="26">
        <f t="shared" si="214"/>
        <v>620000</v>
      </c>
      <c r="GI24" s="26">
        <f t="shared" si="214"/>
        <v>577000</v>
      </c>
      <c r="GJ24" s="127">
        <f t="shared" si="99"/>
        <v>20429239</v>
      </c>
      <c r="GK24" s="26">
        <f t="shared" ref="GK24:HM24" si="215">SUM(GK19:GK23)</f>
        <v>514000</v>
      </c>
      <c r="GL24" s="26">
        <f t="shared" si="215"/>
        <v>661500</v>
      </c>
      <c r="GM24" s="26">
        <f t="shared" si="215"/>
        <v>799000</v>
      </c>
      <c r="GN24" s="26">
        <f t="shared" si="215"/>
        <v>423500</v>
      </c>
      <c r="GO24" s="26">
        <f t="shared" si="215"/>
        <v>527500</v>
      </c>
      <c r="GP24" s="26">
        <f t="shared" si="215"/>
        <v>684000</v>
      </c>
      <c r="GQ24" s="26">
        <f t="shared" si="215"/>
        <v>698000</v>
      </c>
      <c r="GR24" s="26">
        <f t="shared" si="215"/>
        <v>90000</v>
      </c>
      <c r="GS24" s="26">
        <f t="shared" si="215"/>
        <v>562000</v>
      </c>
      <c r="GT24" s="26">
        <f t="shared" si="215"/>
        <v>550000</v>
      </c>
      <c r="GU24" s="26">
        <f t="shared" si="215"/>
        <v>498000</v>
      </c>
      <c r="GV24" s="26">
        <f t="shared" si="215"/>
        <v>1806000</v>
      </c>
      <c r="GW24" s="26">
        <f t="shared" si="215"/>
        <v>1011000</v>
      </c>
      <c r="GX24" s="26">
        <f t="shared" si="215"/>
        <v>213000</v>
      </c>
      <c r="GY24" s="26">
        <f t="shared" si="215"/>
        <v>342000</v>
      </c>
      <c r="GZ24" s="26">
        <f t="shared" si="215"/>
        <v>1742000</v>
      </c>
      <c r="HA24" s="26">
        <f t="shared" si="215"/>
        <v>2019000</v>
      </c>
      <c r="HB24" s="26">
        <f t="shared" si="215"/>
        <v>804000</v>
      </c>
      <c r="HC24" s="26">
        <f t="shared" si="215"/>
        <v>339000</v>
      </c>
      <c r="HD24" s="26">
        <f t="shared" si="215"/>
        <v>361000</v>
      </c>
      <c r="HE24" s="26">
        <f t="shared" si="215"/>
        <v>579000</v>
      </c>
      <c r="HF24" s="26">
        <f t="shared" si="215"/>
        <v>660000</v>
      </c>
      <c r="HG24" s="26">
        <f t="shared" si="215"/>
        <v>1567000</v>
      </c>
      <c r="HH24" s="26">
        <f t="shared" si="215"/>
        <v>1024000</v>
      </c>
      <c r="HI24" s="26">
        <f t="shared" si="215"/>
        <v>623000</v>
      </c>
      <c r="HJ24" s="26">
        <f t="shared" si="215"/>
        <v>1324000</v>
      </c>
      <c r="HK24" s="26">
        <f t="shared" si="215"/>
        <v>567000</v>
      </c>
      <c r="HL24" s="26">
        <f t="shared" si="215"/>
        <v>606000</v>
      </c>
      <c r="HM24" s="26">
        <f t="shared" si="215"/>
        <v>1035000</v>
      </c>
      <c r="HN24" s="127">
        <f t="shared" si="101"/>
        <v>22629500</v>
      </c>
      <c r="HO24" s="26">
        <f t="shared" ref="HO24:IS24" si="216">SUM(HO19:HO23)</f>
        <v>819000</v>
      </c>
      <c r="HP24" s="26">
        <f t="shared" si="216"/>
        <v>263000</v>
      </c>
      <c r="HQ24" s="26">
        <f t="shared" si="216"/>
        <v>2087000</v>
      </c>
      <c r="HR24" s="26">
        <f t="shared" si="216"/>
        <v>799200</v>
      </c>
      <c r="HS24" s="26">
        <f t="shared" si="216"/>
        <v>486000</v>
      </c>
      <c r="HT24" s="26">
        <f t="shared" si="216"/>
        <v>758000</v>
      </c>
      <c r="HU24" s="26">
        <f t="shared" si="216"/>
        <v>228000</v>
      </c>
      <c r="HV24" s="26">
        <f t="shared" si="216"/>
        <v>1519000</v>
      </c>
      <c r="HW24" s="26">
        <f t="shared" si="216"/>
        <v>545000</v>
      </c>
      <c r="HX24" s="26">
        <f t="shared" si="216"/>
        <v>86000</v>
      </c>
      <c r="HY24" s="26">
        <f t="shared" si="216"/>
        <v>1259000</v>
      </c>
      <c r="HZ24" s="26">
        <f t="shared" si="216"/>
        <v>953500</v>
      </c>
      <c r="IA24" s="26">
        <f t="shared" si="216"/>
        <v>583000</v>
      </c>
      <c r="IB24" s="26">
        <f t="shared" si="216"/>
        <v>1080500</v>
      </c>
      <c r="IC24" s="26">
        <f t="shared" si="216"/>
        <v>637000</v>
      </c>
      <c r="ID24" s="26">
        <f t="shared" si="216"/>
        <v>729000</v>
      </c>
      <c r="IE24" s="26">
        <f t="shared" si="216"/>
        <v>550000</v>
      </c>
      <c r="IF24" s="26">
        <f t="shared" si="216"/>
        <v>1143000</v>
      </c>
      <c r="IG24" s="26">
        <f t="shared" si="216"/>
        <v>105000</v>
      </c>
      <c r="IH24" s="26">
        <f t="shared" si="216"/>
        <v>655000</v>
      </c>
      <c r="II24" s="26">
        <f t="shared" si="216"/>
        <v>755000</v>
      </c>
      <c r="IJ24" s="26">
        <f t="shared" si="216"/>
        <v>892000</v>
      </c>
      <c r="IK24" s="26">
        <f t="shared" si="216"/>
        <v>1351500</v>
      </c>
      <c r="IL24" s="26">
        <f t="shared" si="216"/>
        <v>512000</v>
      </c>
      <c r="IM24" s="26">
        <f t="shared" si="216"/>
        <v>1076500</v>
      </c>
      <c r="IN24" s="26">
        <f t="shared" si="216"/>
        <v>649000</v>
      </c>
      <c r="IO24" s="26">
        <f t="shared" si="216"/>
        <v>324000</v>
      </c>
      <c r="IP24" s="26">
        <f t="shared" si="216"/>
        <v>987000</v>
      </c>
      <c r="IQ24" s="26">
        <f t="shared" si="216"/>
        <v>1048000</v>
      </c>
      <c r="IR24" s="26">
        <f t="shared" si="216"/>
        <v>150000</v>
      </c>
      <c r="IS24" s="26">
        <f t="shared" si="216"/>
        <v>213000</v>
      </c>
      <c r="IT24" s="127">
        <f t="shared" si="22"/>
        <v>23243200</v>
      </c>
      <c r="IU24" s="26">
        <f t="shared" ref="IU24:JX24" si="217">SUM(IU19:IU23)</f>
        <v>647000</v>
      </c>
      <c r="IV24" s="26">
        <f t="shared" si="217"/>
        <v>1911000</v>
      </c>
      <c r="IW24" s="26">
        <f t="shared" si="217"/>
        <v>1154000</v>
      </c>
      <c r="IX24" s="26">
        <f t="shared" si="217"/>
        <v>816000</v>
      </c>
      <c r="IY24" s="26">
        <f t="shared" si="217"/>
        <v>1023000</v>
      </c>
      <c r="IZ24" s="26">
        <f t="shared" si="217"/>
        <v>822000</v>
      </c>
      <c r="JA24" s="26">
        <f t="shared" si="217"/>
        <v>913000</v>
      </c>
      <c r="JB24" s="26">
        <f t="shared" si="217"/>
        <v>882000</v>
      </c>
      <c r="JC24" s="26">
        <f t="shared" si="217"/>
        <v>392000</v>
      </c>
      <c r="JD24" s="26">
        <f t="shared" si="217"/>
        <v>834000</v>
      </c>
      <c r="JE24" s="26">
        <f t="shared" si="217"/>
        <v>1081000</v>
      </c>
      <c r="JF24" s="26">
        <f t="shared" si="217"/>
        <v>470000</v>
      </c>
      <c r="JG24" s="26">
        <f t="shared" si="217"/>
        <v>1187000</v>
      </c>
      <c r="JH24" s="26">
        <f t="shared" si="217"/>
        <v>390500</v>
      </c>
      <c r="JI24" s="26">
        <f t="shared" si="217"/>
        <v>993000</v>
      </c>
      <c r="JJ24" s="26">
        <f t="shared" si="217"/>
        <v>418000</v>
      </c>
      <c r="JK24" s="26">
        <f t="shared" si="217"/>
        <v>729000</v>
      </c>
      <c r="JL24" s="26">
        <f t="shared" si="217"/>
        <v>242000</v>
      </c>
      <c r="JM24" s="26">
        <f t="shared" si="217"/>
        <v>968000</v>
      </c>
      <c r="JN24" s="26">
        <f t="shared" si="217"/>
        <v>1242000</v>
      </c>
      <c r="JO24" s="26">
        <f t="shared" si="217"/>
        <v>496000</v>
      </c>
      <c r="JP24" s="26">
        <f t="shared" si="217"/>
        <v>228000</v>
      </c>
      <c r="JQ24" s="26">
        <f t="shared" si="217"/>
        <v>558000</v>
      </c>
      <c r="JR24" s="26">
        <f t="shared" si="217"/>
        <v>631000</v>
      </c>
      <c r="JS24" s="26">
        <f t="shared" si="217"/>
        <v>454000</v>
      </c>
      <c r="JT24" s="26">
        <f t="shared" si="217"/>
        <v>325000</v>
      </c>
      <c r="JU24" s="26">
        <f t="shared" si="217"/>
        <v>825000</v>
      </c>
      <c r="JV24" s="26">
        <f t="shared" si="217"/>
        <v>846000</v>
      </c>
      <c r="JW24" s="26">
        <f t="shared" si="217"/>
        <v>476000</v>
      </c>
      <c r="JX24" s="26">
        <f t="shared" si="217"/>
        <v>581000</v>
      </c>
      <c r="JY24" s="127">
        <f t="shared" si="58"/>
        <v>22534500</v>
      </c>
      <c r="JZ24" s="26">
        <f t="shared" ref="JZ24:LD24" si="218">SUM(JZ19:JZ23)</f>
        <v>868000</v>
      </c>
      <c r="KA24" s="26">
        <f t="shared" si="218"/>
        <v>734000</v>
      </c>
      <c r="KB24" s="26">
        <f t="shared" si="218"/>
        <v>1530750</v>
      </c>
      <c r="KC24" s="26">
        <f t="shared" si="218"/>
        <v>651000</v>
      </c>
      <c r="KD24" s="26">
        <f t="shared" si="218"/>
        <v>354000</v>
      </c>
      <c r="KE24" s="26">
        <f t="shared" si="218"/>
        <v>1356000</v>
      </c>
      <c r="KF24" s="26">
        <f t="shared" si="218"/>
        <v>825000</v>
      </c>
      <c r="KG24" s="26">
        <f t="shared" si="218"/>
        <v>1282000</v>
      </c>
      <c r="KH24" s="26">
        <f t="shared" si="218"/>
        <v>1047000</v>
      </c>
      <c r="KI24" s="26">
        <f t="shared" si="218"/>
        <v>2495000</v>
      </c>
      <c r="KJ24" s="26">
        <f t="shared" si="218"/>
        <v>901000</v>
      </c>
      <c r="KK24" s="26">
        <f t="shared" si="218"/>
        <v>560000</v>
      </c>
      <c r="KL24" s="26">
        <f t="shared" si="218"/>
        <v>907000</v>
      </c>
      <c r="KM24" s="26">
        <f t="shared" si="218"/>
        <v>600000</v>
      </c>
      <c r="KN24" s="26">
        <f t="shared" si="218"/>
        <v>919000</v>
      </c>
      <c r="KO24" s="26">
        <f t="shared" si="218"/>
        <v>414000</v>
      </c>
      <c r="KP24" s="26">
        <f t="shared" si="218"/>
        <v>2028000</v>
      </c>
      <c r="KQ24" s="26">
        <f t="shared" si="218"/>
        <v>544000</v>
      </c>
      <c r="KR24" s="26">
        <f t="shared" si="218"/>
        <v>524000</v>
      </c>
      <c r="KS24" s="26">
        <f t="shared" si="218"/>
        <v>612000</v>
      </c>
      <c r="KT24" s="26">
        <f t="shared" si="218"/>
        <v>1247000</v>
      </c>
      <c r="KU24" s="26">
        <f t="shared" si="218"/>
        <v>708000</v>
      </c>
      <c r="KV24" s="26">
        <f t="shared" si="218"/>
        <v>530000</v>
      </c>
      <c r="KW24" s="26">
        <f t="shared" si="218"/>
        <v>532000</v>
      </c>
      <c r="KX24" s="26">
        <f t="shared" si="218"/>
        <v>833000</v>
      </c>
      <c r="KY24" s="26">
        <f t="shared" si="218"/>
        <v>632000</v>
      </c>
      <c r="KZ24" s="26">
        <f t="shared" si="218"/>
        <v>884000</v>
      </c>
      <c r="LA24" s="26">
        <f t="shared" si="218"/>
        <v>729000</v>
      </c>
      <c r="LB24" s="26">
        <f t="shared" si="218"/>
        <v>647000</v>
      </c>
      <c r="LC24" s="26">
        <f t="shared" si="218"/>
        <v>1955000</v>
      </c>
      <c r="LD24" s="26">
        <f t="shared" si="218"/>
        <v>698000</v>
      </c>
      <c r="LE24" s="127">
        <f t="shared" si="60"/>
        <v>27678750</v>
      </c>
      <c r="LF24" s="26">
        <f t="shared" ref="LF24:MI24" si="219">SUM(LF19:LF23)</f>
        <v>2005000</v>
      </c>
      <c r="LG24" s="26">
        <f t="shared" si="219"/>
        <v>8000</v>
      </c>
      <c r="LH24" s="26">
        <f t="shared" si="219"/>
        <v>590000</v>
      </c>
      <c r="LI24" s="26">
        <f t="shared" si="219"/>
        <v>727000</v>
      </c>
      <c r="LJ24" s="26">
        <f t="shared" si="219"/>
        <v>835000</v>
      </c>
      <c r="LK24" s="26">
        <f t="shared" si="219"/>
        <v>342000</v>
      </c>
      <c r="LL24" s="26">
        <f t="shared" si="219"/>
        <v>36000</v>
      </c>
      <c r="LM24" s="26">
        <f t="shared" si="219"/>
        <v>437000</v>
      </c>
      <c r="LN24" s="26">
        <f t="shared" si="219"/>
        <v>408000</v>
      </c>
      <c r="LO24" s="26">
        <f t="shared" si="219"/>
        <v>825000</v>
      </c>
      <c r="LP24" s="26">
        <f t="shared" si="219"/>
        <v>644000</v>
      </c>
      <c r="LQ24" s="26">
        <f t="shared" si="219"/>
        <v>864000</v>
      </c>
      <c r="LR24" s="26">
        <f t="shared" si="219"/>
        <v>277000</v>
      </c>
      <c r="LS24" s="26">
        <f t="shared" si="219"/>
        <v>2254000</v>
      </c>
      <c r="LT24" s="26">
        <f t="shared" si="219"/>
        <v>645000</v>
      </c>
      <c r="LU24" s="26">
        <f t="shared" si="219"/>
        <v>360000</v>
      </c>
      <c r="LV24" s="26">
        <f t="shared" si="219"/>
        <v>1202000</v>
      </c>
      <c r="LW24" s="26">
        <f t="shared" si="219"/>
        <v>198000</v>
      </c>
      <c r="LX24" s="26">
        <f t="shared" si="219"/>
        <v>821000</v>
      </c>
      <c r="LY24" s="26">
        <f t="shared" si="219"/>
        <v>938000</v>
      </c>
      <c r="LZ24" s="26">
        <f t="shared" si="219"/>
        <v>851000</v>
      </c>
      <c r="MA24" s="26">
        <f t="shared" si="219"/>
        <v>894000</v>
      </c>
      <c r="MB24" s="26">
        <f t="shared" si="219"/>
        <v>646000</v>
      </c>
      <c r="MC24" s="26">
        <f t="shared" si="219"/>
        <v>663000</v>
      </c>
      <c r="MD24" s="26">
        <f t="shared" si="219"/>
        <v>1028000</v>
      </c>
      <c r="ME24" s="26">
        <f t="shared" si="219"/>
        <v>1113000</v>
      </c>
      <c r="MF24" s="26">
        <f t="shared" si="219"/>
        <v>1077000</v>
      </c>
      <c r="MG24" s="26">
        <f t="shared" si="219"/>
        <v>1038000</v>
      </c>
      <c r="MH24" s="26">
        <f t="shared" si="219"/>
        <v>1075000</v>
      </c>
      <c r="MI24" s="26">
        <f t="shared" si="219"/>
        <v>570000</v>
      </c>
      <c r="MJ24" s="127">
        <f t="shared" si="62"/>
        <v>23371000</v>
      </c>
      <c r="MK24" s="26">
        <f t="shared" ref="MK24:NO24" si="220">SUM(MK19:MK23)</f>
        <v>1545000</v>
      </c>
      <c r="ML24" s="26">
        <f t="shared" si="220"/>
        <v>273000</v>
      </c>
      <c r="MM24" s="26">
        <f t="shared" si="220"/>
        <v>445000</v>
      </c>
      <c r="MN24" s="26">
        <f t="shared" si="220"/>
        <v>849000</v>
      </c>
      <c r="MO24" s="26">
        <f t="shared" si="220"/>
        <v>610000</v>
      </c>
      <c r="MP24" s="26">
        <f t="shared" si="220"/>
        <v>639000</v>
      </c>
      <c r="MQ24" s="26">
        <f t="shared" si="220"/>
        <v>1866000</v>
      </c>
      <c r="MR24" s="26">
        <f t="shared" si="220"/>
        <v>609000</v>
      </c>
      <c r="MS24" s="26">
        <f t="shared" si="220"/>
        <v>1155000</v>
      </c>
      <c r="MT24" s="26">
        <f t="shared" si="220"/>
        <v>470000</v>
      </c>
      <c r="MU24" s="26">
        <f t="shared" si="220"/>
        <v>964000</v>
      </c>
      <c r="MV24" s="26">
        <f t="shared" si="220"/>
        <v>952000</v>
      </c>
      <c r="MW24" s="26">
        <f t="shared" si="220"/>
        <v>573000</v>
      </c>
      <c r="MX24" s="26">
        <f t="shared" si="220"/>
        <v>864000</v>
      </c>
      <c r="MY24" s="26">
        <f t="shared" si="220"/>
        <v>275000</v>
      </c>
      <c r="MZ24" s="26">
        <f t="shared" si="220"/>
        <v>542000</v>
      </c>
      <c r="NA24" s="26">
        <f t="shared" si="220"/>
        <v>1592000</v>
      </c>
      <c r="NB24" s="26">
        <f t="shared" si="220"/>
        <v>1727000</v>
      </c>
      <c r="NC24" s="26">
        <f t="shared" si="220"/>
        <v>873000</v>
      </c>
      <c r="ND24" s="26">
        <f t="shared" si="220"/>
        <v>604000</v>
      </c>
      <c r="NE24" s="26">
        <f t="shared" si="220"/>
        <v>736000</v>
      </c>
      <c r="NF24" s="26">
        <f t="shared" si="220"/>
        <v>542000</v>
      </c>
      <c r="NG24" s="26">
        <f t="shared" si="220"/>
        <v>495000</v>
      </c>
      <c r="NH24" s="26">
        <f t="shared" si="220"/>
        <v>782000</v>
      </c>
      <c r="NI24" s="26">
        <f t="shared" si="220"/>
        <v>438000</v>
      </c>
      <c r="NJ24" s="26">
        <f t="shared" si="220"/>
        <v>283000</v>
      </c>
      <c r="NK24" s="26">
        <f t="shared" si="220"/>
        <v>684000</v>
      </c>
      <c r="NL24" s="26">
        <f t="shared" si="220"/>
        <v>1044000</v>
      </c>
      <c r="NM24" s="26">
        <f t="shared" si="220"/>
        <v>287000</v>
      </c>
      <c r="NN24" s="26">
        <f t="shared" si="220"/>
        <v>1572000</v>
      </c>
      <c r="NO24" s="26">
        <f t="shared" si="220"/>
        <v>1083000</v>
      </c>
      <c r="NP24" s="127">
        <f t="shared" si="64"/>
        <v>23828000</v>
      </c>
      <c r="NQ24" s="26">
        <f t="shared" ref="NQ24:OU24" si="221">SUM(NQ19:NQ23)</f>
        <v>527000</v>
      </c>
      <c r="NR24" s="26">
        <f t="shared" si="221"/>
        <v>661000</v>
      </c>
      <c r="NS24" s="26">
        <f t="shared" si="221"/>
        <v>336000</v>
      </c>
      <c r="NT24" s="26">
        <f t="shared" si="221"/>
        <v>212000</v>
      </c>
      <c r="NU24" s="26">
        <f t="shared" si="221"/>
        <v>860000</v>
      </c>
      <c r="NV24" s="26">
        <f t="shared" si="221"/>
        <v>403000</v>
      </c>
      <c r="NW24" s="26">
        <f t="shared" si="221"/>
        <v>748000</v>
      </c>
      <c r="NX24" s="26">
        <f t="shared" si="221"/>
        <v>1354000</v>
      </c>
      <c r="NY24" s="26">
        <f t="shared" si="221"/>
        <v>543000</v>
      </c>
      <c r="NZ24" s="26">
        <f t="shared" si="221"/>
        <v>656000</v>
      </c>
      <c r="OA24" s="26">
        <f t="shared" si="221"/>
        <v>259000</v>
      </c>
      <c r="OB24" s="26">
        <f t="shared" si="221"/>
        <v>333000</v>
      </c>
      <c r="OC24" s="26">
        <f t="shared" si="221"/>
        <v>1154000</v>
      </c>
      <c r="OD24" s="26">
        <f t="shared" si="221"/>
        <v>600000</v>
      </c>
      <c r="OE24" s="26">
        <f t="shared" si="221"/>
        <v>421000</v>
      </c>
      <c r="OF24" s="26">
        <f t="shared" si="221"/>
        <v>997000</v>
      </c>
      <c r="OG24" s="26">
        <f t="shared" si="221"/>
        <v>561000</v>
      </c>
      <c r="OH24" s="26">
        <f t="shared" si="221"/>
        <v>882000</v>
      </c>
      <c r="OI24" s="26">
        <f t="shared" si="221"/>
        <v>1214000</v>
      </c>
      <c r="OJ24" s="26">
        <f t="shared" si="221"/>
        <v>1256360</v>
      </c>
      <c r="OK24" s="26">
        <f t="shared" si="221"/>
        <v>443000</v>
      </c>
      <c r="OL24" s="26">
        <f t="shared" si="221"/>
        <v>915000</v>
      </c>
      <c r="OM24" s="26">
        <f t="shared" si="221"/>
        <v>1178000</v>
      </c>
      <c r="ON24" s="26">
        <f t="shared" si="221"/>
        <v>659000</v>
      </c>
      <c r="OO24" s="26">
        <f t="shared" si="221"/>
        <v>930000</v>
      </c>
      <c r="OP24" s="26">
        <f t="shared" si="221"/>
        <v>503000</v>
      </c>
      <c r="OQ24" s="26">
        <f t="shared" si="221"/>
        <v>1884000</v>
      </c>
      <c r="OR24" s="26">
        <f t="shared" si="221"/>
        <v>193000</v>
      </c>
      <c r="OS24" s="26">
        <f t="shared" si="221"/>
        <v>919000</v>
      </c>
      <c r="OT24" s="26">
        <f t="shared" si="221"/>
        <v>1918000</v>
      </c>
      <c r="OU24" s="26">
        <f t="shared" si="221"/>
        <v>1994000</v>
      </c>
      <c r="OV24" s="127">
        <f t="shared" si="66"/>
        <v>24986360</v>
      </c>
      <c r="OW24" s="26">
        <f t="shared" ref="OW24:PZ24" si="222">SUM(OW19:OW23)</f>
        <v>1153000</v>
      </c>
      <c r="OX24" s="26">
        <f t="shared" si="222"/>
        <v>2156995</v>
      </c>
      <c r="OY24" s="26">
        <f t="shared" si="222"/>
        <v>725000</v>
      </c>
      <c r="OZ24" s="26">
        <f t="shared" si="222"/>
        <v>1167000</v>
      </c>
      <c r="PA24" s="26">
        <f t="shared" si="222"/>
        <v>963000</v>
      </c>
      <c r="PB24" s="26">
        <f t="shared" si="222"/>
        <v>2180000</v>
      </c>
      <c r="PC24" s="26">
        <f t="shared" si="222"/>
        <v>659000</v>
      </c>
      <c r="PD24" s="26">
        <f t="shared" si="222"/>
        <v>897000</v>
      </c>
      <c r="PE24" s="26">
        <f t="shared" si="222"/>
        <v>1058000</v>
      </c>
      <c r="PF24" s="26">
        <f t="shared" si="222"/>
        <v>1158000</v>
      </c>
      <c r="PG24" s="26">
        <f t="shared" si="222"/>
        <v>628000</v>
      </c>
      <c r="PH24" s="26">
        <f t="shared" si="222"/>
        <v>592000</v>
      </c>
      <c r="PI24" s="26">
        <f t="shared" si="222"/>
        <v>455000</v>
      </c>
      <c r="PJ24" s="26">
        <f t="shared" si="222"/>
        <v>735000</v>
      </c>
      <c r="PK24" s="26">
        <f t="shared" si="222"/>
        <v>529000</v>
      </c>
      <c r="PL24" s="26">
        <f t="shared" si="222"/>
        <v>647000</v>
      </c>
      <c r="PM24" s="26">
        <f t="shared" si="222"/>
        <v>153000</v>
      </c>
      <c r="PN24" s="26">
        <f t="shared" si="222"/>
        <v>887000</v>
      </c>
      <c r="PO24" s="26">
        <f t="shared" si="222"/>
        <v>3005000</v>
      </c>
      <c r="PP24" s="26">
        <f t="shared" si="222"/>
        <v>723000</v>
      </c>
      <c r="PQ24" s="26">
        <f t="shared" si="222"/>
        <v>297000</v>
      </c>
      <c r="PR24" s="26">
        <f t="shared" si="222"/>
        <v>375000</v>
      </c>
      <c r="PS24" s="26">
        <f t="shared" si="222"/>
        <v>1954000</v>
      </c>
      <c r="PT24" s="26">
        <f t="shared" si="222"/>
        <v>236000</v>
      </c>
      <c r="PU24" s="26">
        <f t="shared" si="222"/>
        <v>798000</v>
      </c>
      <c r="PV24" s="26">
        <f t="shared" si="222"/>
        <v>356000</v>
      </c>
      <c r="PW24" s="26">
        <f t="shared" si="222"/>
        <v>566000</v>
      </c>
      <c r="PX24" s="26">
        <f t="shared" si="222"/>
        <v>1135000</v>
      </c>
      <c r="PY24" s="26">
        <f t="shared" si="222"/>
        <v>696000</v>
      </c>
      <c r="PZ24" s="26">
        <f t="shared" si="222"/>
        <v>367000</v>
      </c>
      <c r="QA24" s="127">
        <f t="shared" si="68"/>
        <v>27250995</v>
      </c>
      <c r="QB24" s="26">
        <f t="shared" ref="QB24:RF24" si="223">SUM(QB19:QB23)</f>
        <v>1480000</v>
      </c>
      <c r="QC24" s="26">
        <f t="shared" si="223"/>
        <v>903000</v>
      </c>
      <c r="QD24" s="26">
        <f t="shared" si="223"/>
        <v>261000</v>
      </c>
      <c r="QE24" s="26">
        <f t="shared" si="223"/>
        <v>190000</v>
      </c>
      <c r="QF24" s="26">
        <f t="shared" si="223"/>
        <v>270000</v>
      </c>
      <c r="QG24" s="26">
        <f t="shared" si="223"/>
        <v>330000</v>
      </c>
      <c r="QH24" s="26">
        <f t="shared" si="223"/>
        <v>305000</v>
      </c>
      <c r="QI24" s="26">
        <f t="shared" si="223"/>
        <v>988000</v>
      </c>
      <c r="QJ24" s="26">
        <f t="shared" si="223"/>
        <v>951000</v>
      </c>
      <c r="QK24" s="26">
        <f t="shared" si="223"/>
        <v>700000</v>
      </c>
      <c r="QL24" s="26">
        <f t="shared" si="223"/>
        <v>1018000</v>
      </c>
      <c r="QM24" s="26">
        <f t="shared" si="223"/>
        <v>970000</v>
      </c>
      <c r="QN24" s="26">
        <f t="shared" si="223"/>
        <v>602000</v>
      </c>
      <c r="QO24" s="26">
        <f t="shared" si="223"/>
        <v>1662000</v>
      </c>
      <c r="QP24" s="26">
        <f t="shared" si="223"/>
        <v>1443000</v>
      </c>
      <c r="QQ24" s="26">
        <f t="shared" si="223"/>
        <v>160000</v>
      </c>
      <c r="QR24" s="26">
        <f t="shared" si="223"/>
        <v>1047000</v>
      </c>
      <c r="QS24" s="26">
        <f t="shared" si="223"/>
        <v>2615000</v>
      </c>
      <c r="QT24" s="26">
        <f t="shared" si="223"/>
        <v>1505000</v>
      </c>
      <c r="QU24" s="26">
        <f t="shared" si="223"/>
        <v>710000</v>
      </c>
      <c r="QV24" s="26">
        <f t="shared" si="223"/>
        <v>516000</v>
      </c>
      <c r="QW24" s="26">
        <f t="shared" si="223"/>
        <v>756000</v>
      </c>
      <c r="QX24" s="26">
        <f t="shared" si="223"/>
        <v>717000</v>
      </c>
      <c r="QY24" s="26">
        <f t="shared" si="223"/>
        <v>985000</v>
      </c>
      <c r="QZ24" s="26">
        <f t="shared" si="223"/>
        <v>1345000</v>
      </c>
      <c r="RA24" s="26">
        <f t="shared" si="223"/>
        <v>681000</v>
      </c>
      <c r="RB24" s="26">
        <f t="shared" si="223"/>
        <v>1047000</v>
      </c>
      <c r="RC24" s="26">
        <f t="shared" si="223"/>
        <v>260000</v>
      </c>
      <c r="RD24" s="26">
        <f t="shared" si="223"/>
        <v>1230000</v>
      </c>
      <c r="RE24" s="26">
        <f t="shared" si="223"/>
        <v>1403000</v>
      </c>
      <c r="RF24" s="26">
        <f t="shared" si="223"/>
        <v>769000</v>
      </c>
      <c r="RG24" s="127">
        <f t="shared" si="147"/>
        <v>26339000</v>
      </c>
      <c r="RH24" s="26">
        <f t="shared" ref="RH24:SK24" si="224">SUM(RH19:RH23)</f>
        <v>796000</v>
      </c>
      <c r="RI24" s="26">
        <f t="shared" si="224"/>
        <v>693000</v>
      </c>
      <c r="RJ24" s="26">
        <f t="shared" si="224"/>
        <v>896000</v>
      </c>
      <c r="RK24" s="26">
        <f t="shared" si="224"/>
        <v>133000</v>
      </c>
      <c r="RL24" s="26">
        <f t="shared" si="224"/>
        <v>556000</v>
      </c>
      <c r="RM24" s="26">
        <f t="shared" si="224"/>
        <v>228000</v>
      </c>
      <c r="RN24" s="26">
        <f t="shared" si="224"/>
        <v>988000</v>
      </c>
      <c r="RO24" s="26">
        <f t="shared" si="224"/>
        <v>347000</v>
      </c>
      <c r="RP24" s="26">
        <f t="shared" si="224"/>
        <v>705000</v>
      </c>
      <c r="RQ24" s="26">
        <f t="shared" si="224"/>
        <v>834000</v>
      </c>
      <c r="RR24" s="26">
        <f t="shared" si="224"/>
        <v>320000</v>
      </c>
      <c r="RS24" s="26">
        <f t="shared" si="224"/>
        <v>663000</v>
      </c>
      <c r="RT24" s="26">
        <f t="shared" si="224"/>
        <v>1409000</v>
      </c>
      <c r="RU24" s="26">
        <f t="shared" si="224"/>
        <v>760000</v>
      </c>
      <c r="RV24" s="26">
        <f t="shared" si="224"/>
        <v>947000</v>
      </c>
      <c r="RW24" s="26">
        <f t="shared" si="224"/>
        <v>961000</v>
      </c>
      <c r="RX24" s="26">
        <f t="shared" si="224"/>
        <v>757000</v>
      </c>
      <c r="RY24" s="26">
        <f t="shared" si="224"/>
        <v>802000</v>
      </c>
      <c r="RZ24" s="26">
        <f t="shared" si="224"/>
        <v>604000</v>
      </c>
      <c r="SA24" s="26">
        <f t="shared" si="224"/>
        <v>696000</v>
      </c>
      <c r="SB24" s="26">
        <f t="shared" si="224"/>
        <v>995000</v>
      </c>
      <c r="SC24" s="26">
        <f t="shared" si="224"/>
        <v>544000</v>
      </c>
      <c r="SD24" s="26">
        <f t="shared" si="224"/>
        <v>832000</v>
      </c>
      <c r="SE24" s="26">
        <f t="shared" si="224"/>
        <v>631000</v>
      </c>
      <c r="SF24" s="26">
        <f t="shared" si="224"/>
        <v>841000</v>
      </c>
      <c r="SG24" s="26">
        <f t="shared" si="224"/>
        <v>1198000</v>
      </c>
      <c r="SH24" s="26">
        <f t="shared" si="224"/>
        <v>648000</v>
      </c>
      <c r="SI24" s="26">
        <f t="shared" si="224"/>
        <v>1378000</v>
      </c>
      <c r="SJ24" s="26">
        <f t="shared" si="224"/>
        <v>654000</v>
      </c>
      <c r="SK24" s="26">
        <f t="shared" si="224"/>
        <v>548000</v>
      </c>
      <c r="SL24" s="127">
        <f t="shared" si="207"/>
        <v>22364000</v>
      </c>
      <c r="SM24" s="26">
        <f t="shared" ref="SM24:TQ24" si="225">SUM(SM19:SM23)</f>
        <v>371000</v>
      </c>
      <c r="SN24" s="26">
        <f t="shared" si="225"/>
        <v>222000</v>
      </c>
      <c r="SO24" s="26">
        <f t="shared" si="225"/>
        <v>690000</v>
      </c>
      <c r="SP24" s="26">
        <f t="shared" si="225"/>
        <v>994000</v>
      </c>
      <c r="SQ24" s="26">
        <f t="shared" si="225"/>
        <v>420000</v>
      </c>
      <c r="SR24" s="26">
        <f t="shared" si="225"/>
        <v>1138000</v>
      </c>
      <c r="SS24" s="26">
        <f t="shared" si="225"/>
        <v>673000</v>
      </c>
      <c r="ST24" s="26">
        <f t="shared" si="225"/>
        <v>971000</v>
      </c>
      <c r="SU24" s="26">
        <f t="shared" si="225"/>
        <v>1204000</v>
      </c>
      <c r="SV24" s="26">
        <f t="shared" si="225"/>
        <v>699000</v>
      </c>
      <c r="SW24" s="26">
        <f t="shared" si="225"/>
        <v>242000</v>
      </c>
      <c r="SX24" s="26">
        <f t="shared" si="225"/>
        <v>298000</v>
      </c>
      <c r="SY24" s="26">
        <f t="shared" si="225"/>
        <v>661000</v>
      </c>
      <c r="SZ24" s="26">
        <f t="shared" si="225"/>
        <v>1126000</v>
      </c>
      <c r="TA24" s="26">
        <f t="shared" si="225"/>
        <v>354000</v>
      </c>
      <c r="TB24" s="26">
        <f t="shared" si="225"/>
        <v>639000</v>
      </c>
      <c r="TC24" s="26">
        <f t="shared" si="225"/>
        <v>344000</v>
      </c>
      <c r="TD24" s="26">
        <f t="shared" si="225"/>
        <v>825000</v>
      </c>
      <c r="TE24" s="26">
        <f t="shared" si="225"/>
        <v>659000</v>
      </c>
      <c r="TF24" s="26">
        <f t="shared" si="225"/>
        <v>728000</v>
      </c>
      <c r="TG24" s="26">
        <f t="shared" si="225"/>
        <v>1412000</v>
      </c>
      <c r="TH24" s="26">
        <f t="shared" si="225"/>
        <v>1761000</v>
      </c>
      <c r="TI24" s="26">
        <f t="shared" si="225"/>
        <v>830000</v>
      </c>
      <c r="TJ24" s="26">
        <f t="shared" si="225"/>
        <v>756000</v>
      </c>
      <c r="TK24" s="26">
        <f t="shared" si="225"/>
        <v>566000</v>
      </c>
      <c r="TL24" s="26">
        <f t="shared" si="225"/>
        <v>1411000</v>
      </c>
      <c r="TM24" s="26">
        <f t="shared" si="225"/>
        <v>1157000</v>
      </c>
      <c r="TN24" s="26">
        <f t="shared" si="225"/>
        <v>486000</v>
      </c>
      <c r="TO24" s="26">
        <f t="shared" si="225"/>
        <v>699000</v>
      </c>
      <c r="TP24" s="26">
        <f t="shared" si="225"/>
        <v>490000</v>
      </c>
      <c r="TQ24" s="26">
        <f t="shared" si="225"/>
        <v>232000</v>
      </c>
      <c r="TR24" s="127">
        <f t="shared" ref="TR24:TR34" si="226">SUM(SN24:TQ24)</f>
        <v>22687000</v>
      </c>
      <c r="TS24" s="26">
        <f t="shared" ref="TS24:UW24" si="227">SUM(TS19:TS23)</f>
        <v>591000</v>
      </c>
      <c r="TT24" s="26">
        <f t="shared" si="227"/>
        <v>680000</v>
      </c>
      <c r="TU24" s="26">
        <f t="shared" si="227"/>
        <v>635000</v>
      </c>
      <c r="TV24" s="26">
        <f t="shared" si="227"/>
        <v>940000</v>
      </c>
      <c r="TW24" s="26">
        <f t="shared" si="227"/>
        <v>717000</v>
      </c>
      <c r="TX24" s="26">
        <f t="shared" si="227"/>
        <v>750000</v>
      </c>
      <c r="TY24" s="26">
        <f t="shared" si="227"/>
        <v>576000</v>
      </c>
      <c r="TZ24" s="26">
        <f t="shared" si="227"/>
        <v>172000</v>
      </c>
      <c r="UA24" s="26">
        <f t="shared" si="227"/>
        <v>633000</v>
      </c>
      <c r="UB24" s="26">
        <f t="shared" si="227"/>
        <v>902000</v>
      </c>
      <c r="UC24" s="26">
        <f t="shared" si="227"/>
        <v>561000</v>
      </c>
      <c r="UD24" s="26">
        <f t="shared" si="227"/>
        <v>801000</v>
      </c>
      <c r="UE24" s="26">
        <f t="shared" si="227"/>
        <v>1019000</v>
      </c>
      <c r="UF24" s="26">
        <f t="shared" si="227"/>
        <v>847000</v>
      </c>
      <c r="UG24" s="26">
        <f t="shared" si="227"/>
        <v>1067000</v>
      </c>
      <c r="UH24" s="26">
        <f t="shared" si="227"/>
        <v>384000</v>
      </c>
      <c r="UI24" s="26">
        <f t="shared" si="227"/>
        <v>1297000</v>
      </c>
      <c r="UJ24" s="26">
        <f t="shared" si="227"/>
        <v>380000</v>
      </c>
      <c r="UK24" s="26">
        <f t="shared" si="227"/>
        <v>898000</v>
      </c>
      <c r="UL24" s="26">
        <f t="shared" si="227"/>
        <v>607000</v>
      </c>
      <c r="UM24" s="26">
        <f t="shared" si="227"/>
        <v>1331000</v>
      </c>
      <c r="UN24" s="26">
        <f t="shared" si="227"/>
        <v>820000</v>
      </c>
      <c r="UO24" s="26">
        <f t="shared" si="227"/>
        <v>322000</v>
      </c>
      <c r="UP24" s="26">
        <f t="shared" si="227"/>
        <v>995000</v>
      </c>
      <c r="UQ24" s="26">
        <f t="shared" si="227"/>
        <v>678000</v>
      </c>
      <c r="UR24" s="26">
        <f t="shared" si="227"/>
        <v>486000</v>
      </c>
      <c r="US24" s="26">
        <f t="shared" si="227"/>
        <v>240000</v>
      </c>
      <c r="UT24" s="26">
        <f t="shared" si="227"/>
        <v>695000</v>
      </c>
      <c r="UU24" s="26">
        <f t="shared" si="227"/>
        <v>716000</v>
      </c>
      <c r="UV24" s="26">
        <f t="shared" si="227"/>
        <v>471000</v>
      </c>
      <c r="UW24" s="26">
        <f t="shared" si="227"/>
        <v>1016000</v>
      </c>
      <c r="UX24" s="127">
        <f t="shared" ref="UX24:UX34" si="228">SUM(TT24:UW24)</f>
        <v>21636000</v>
      </c>
      <c r="UY24" s="26">
        <f t="shared" ref="UY24:VZ24" si="229">SUM(UY19:UY23)</f>
        <v>722000</v>
      </c>
      <c r="UZ24" s="26">
        <f t="shared" si="229"/>
        <v>794000</v>
      </c>
      <c r="VA24" s="26">
        <f t="shared" si="229"/>
        <v>936000</v>
      </c>
      <c r="VB24" s="26">
        <f t="shared" si="229"/>
        <v>916000</v>
      </c>
      <c r="VC24" s="26">
        <f t="shared" si="229"/>
        <v>726000</v>
      </c>
      <c r="VD24" s="26">
        <f t="shared" si="229"/>
        <v>827000</v>
      </c>
      <c r="VE24" s="26">
        <f t="shared" si="229"/>
        <v>852000</v>
      </c>
      <c r="VF24" s="26">
        <f t="shared" si="229"/>
        <v>1190000</v>
      </c>
      <c r="VG24" s="26">
        <f t="shared" si="229"/>
        <v>699000</v>
      </c>
      <c r="VH24" s="26">
        <f t="shared" si="229"/>
        <v>814000</v>
      </c>
      <c r="VI24" s="26">
        <f t="shared" si="229"/>
        <v>511000</v>
      </c>
      <c r="VJ24" s="26">
        <f t="shared" si="229"/>
        <v>1153000</v>
      </c>
      <c r="VK24" s="26">
        <f t="shared" si="229"/>
        <v>914000</v>
      </c>
      <c r="VL24" s="26">
        <f t="shared" si="229"/>
        <v>643000</v>
      </c>
      <c r="VM24" s="26">
        <f t="shared" si="229"/>
        <v>1194000</v>
      </c>
      <c r="VN24" s="26">
        <f t="shared" si="229"/>
        <v>627000</v>
      </c>
      <c r="VO24" s="26">
        <f t="shared" si="229"/>
        <v>375000</v>
      </c>
      <c r="VP24" s="26">
        <f t="shared" si="229"/>
        <v>435000</v>
      </c>
      <c r="VQ24" s="26">
        <f t="shared" si="229"/>
        <v>788000</v>
      </c>
      <c r="VR24" s="26">
        <f t="shared" si="229"/>
        <v>710000</v>
      </c>
      <c r="VS24" s="26">
        <f t="shared" si="229"/>
        <v>1025000</v>
      </c>
      <c r="VT24" s="26">
        <f t="shared" si="229"/>
        <v>802000</v>
      </c>
      <c r="VU24" s="26">
        <f t="shared" si="229"/>
        <v>812000</v>
      </c>
      <c r="VV24" s="26">
        <f t="shared" si="229"/>
        <v>649000</v>
      </c>
      <c r="VW24" s="26">
        <f t="shared" si="229"/>
        <v>450000</v>
      </c>
      <c r="VX24" s="26">
        <f t="shared" si="229"/>
        <v>882000</v>
      </c>
      <c r="VY24" s="26">
        <f t="shared" si="229"/>
        <v>282000</v>
      </c>
      <c r="VZ24" s="26">
        <f t="shared" si="229"/>
        <v>363000</v>
      </c>
      <c r="WA24" s="127">
        <f>SUM(UW24:VZ24)</f>
        <v>43743000</v>
      </c>
      <c r="WB24" s="26">
        <f t="shared" ref="WB24:XF24" si="230">SUM(WB19:WB23)</f>
        <v>1402000</v>
      </c>
      <c r="WC24" s="26">
        <f t="shared" si="230"/>
        <v>1385000</v>
      </c>
      <c r="WD24" s="26">
        <f t="shared" si="230"/>
        <v>691000</v>
      </c>
      <c r="WE24" s="26">
        <f t="shared" si="230"/>
        <v>1075000</v>
      </c>
      <c r="WF24" s="26">
        <f t="shared" si="230"/>
        <v>908000</v>
      </c>
      <c r="WG24" s="26">
        <f t="shared" si="230"/>
        <v>957000</v>
      </c>
      <c r="WH24" s="26">
        <f t="shared" si="230"/>
        <v>618000</v>
      </c>
      <c r="WI24" s="26">
        <f t="shared" si="230"/>
        <v>1446000</v>
      </c>
      <c r="WJ24" s="26">
        <f t="shared" si="230"/>
        <v>228000</v>
      </c>
      <c r="WK24" s="26">
        <f t="shared" si="230"/>
        <v>265000</v>
      </c>
      <c r="WL24" s="26">
        <f t="shared" si="230"/>
        <v>460000</v>
      </c>
      <c r="WM24" s="26">
        <f t="shared" si="230"/>
        <v>979000</v>
      </c>
      <c r="WN24" s="26">
        <f t="shared" si="230"/>
        <v>1291000</v>
      </c>
      <c r="WO24" s="26">
        <f t="shared" si="230"/>
        <v>628000</v>
      </c>
      <c r="WP24" s="26">
        <f t="shared" si="230"/>
        <v>925000</v>
      </c>
      <c r="WQ24" s="26">
        <f t="shared" si="230"/>
        <v>220000</v>
      </c>
      <c r="WR24" s="26">
        <f t="shared" si="230"/>
        <v>757000</v>
      </c>
      <c r="WS24" s="26">
        <f t="shared" si="230"/>
        <v>627000</v>
      </c>
      <c r="WT24" s="26">
        <f t="shared" si="230"/>
        <v>696000</v>
      </c>
      <c r="WU24" s="26">
        <f t="shared" si="230"/>
        <v>577000</v>
      </c>
      <c r="WV24" s="26">
        <f t="shared" si="230"/>
        <v>106000</v>
      </c>
      <c r="WW24" s="26">
        <f t="shared" si="230"/>
        <v>763000</v>
      </c>
      <c r="WX24" s="26">
        <f t="shared" si="230"/>
        <v>1043000</v>
      </c>
      <c r="WY24" s="26">
        <f t="shared" si="230"/>
        <v>412000</v>
      </c>
      <c r="WZ24" s="26">
        <f t="shared" si="230"/>
        <v>1259000</v>
      </c>
      <c r="XA24" s="26">
        <f t="shared" si="230"/>
        <v>1374000</v>
      </c>
      <c r="XB24" s="26">
        <f t="shared" si="230"/>
        <v>1609000</v>
      </c>
      <c r="XC24" s="26">
        <f t="shared" si="230"/>
        <v>1040000</v>
      </c>
      <c r="XD24" s="26">
        <f t="shared" si="230"/>
        <v>978000</v>
      </c>
      <c r="XE24" s="26">
        <f t="shared" si="230"/>
        <v>1037000</v>
      </c>
      <c r="XF24" s="26">
        <f t="shared" si="230"/>
        <v>756000</v>
      </c>
      <c r="XG24" s="127">
        <f>SUM(WB24:XF24)</f>
        <v>26512000</v>
      </c>
      <c r="XH24" s="26">
        <f t="shared" ref="XH24:YK24" si="231">SUM(XH19:XH23)</f>
        <v>741000</v>
      </c>
      <c r="XI24" s="26">
        <f t="shared" si="231"/>
        <v>1641000</v>
      </c>
      <c r="XJ24" s="26">
        <f t="shared" si="231"/>
        <v>567000</v>
      </c>
      <c r="XK24" s="26">
        <f t="shared" si="231"/>
        <v>594000</v>
      </c>
      <c r="XL24" s="26">
        <f t="shared" si="231"/>
        <v>382000</v>
      </c>
      <c r="XM24" s="26">
        <f t="shared" si="231"/>
        <v>1153000</v>
      </c>
      <c r="XN24" s="26">
        <f t="shared" si="231"/>
        <v>1015000</v>
      </c>
      <c r="XO24" s="26">
        <f t="shared" si="231"/>
        <v>437000</v>
      </c>
      <c r="XP24" s="26">
        <f t="shared" si="231"/>
        <v>537000</v>
      </c>
      <c r="XQ24" s="26">
        <f t="shared" si="231"/>
        <v>818000</v>
      </c>
      <c r="XR24" s="26">
        <f t="shared" si="231"/>
        <v>782000</v>
      </c>
      <c r="XS24" s="26">
        <f t="shared" si="231"/>
        <v>754000</v>
      </c>
      <c r="XT24" s="26">
        <f t="shared" si="231"/>
        <v>938000</v>
      </c>
      <c r="XU24" s="26">
        <f t="shared" si="231"/>
        <v>1205000</v>
      </c>
      <c r="XV24" s="26">
        <f t="shared" si="231"/>
        <v>959000</v>
      </c>
      <c r="XW24" s="26">
        <f t="shared" si="231"/>
        <v>521000</v>
      </c>
      <c r="XX24" s="26">
        <f t="shared" si="231"/>
        <v>355655</v>
      </c>
      <c r="XY24" s="26">
        <f t="shared" si="231"/>
        <v>910000</v>
      </c>
      <c r="XZ24" s="26">
        <f t="shared" si="231"/>
        <v>713000</v>
      </c>
      <c r="YA24" s="26">
        <f t="shared" si="231"/>
        <v>388000</v>
      </c>
      <c r="YB24" s="26">
        <f t="shared" si="231"/>
        <v>682000</v>
      </c>
      <c r="YC24" s="26">
        <f t="shared" si="231"/>
        <v>295000</v>
      </c>
      <c r="YD24" s="26">
        <f t="shared" si="231"/>
        <v>282000</v>
      </c>
      <c r="YE24" s="26">
        <f t="shared" si="231"/>
        <v>748000</v>
      </c>
      <c r="YF24" s="26">
        <f t="shared" si="231"/>
        <v>335000</v>
      </c>
      <c r="YG24" s="26">
        <f t="shared" si="231"/>
        <v>894000</v>
      </c>
      <c r="YH24" s="26">
        <f t="shared" si="231"/>
        <v>892000</v>
      </c>
      <c r="YI24" s="26">
        <f t="shared" si="231"/>
        <v>525000</v>
      </c>
      <c r="YJ24" s="26">
        <f t="shared" si="231"/>
        <v>595000</v>
      </c>
      <c r="YK24" s="26">
        <f t="shared" si="231"/>
        <v>788000</v>
      </c>
      <c r="YL24" s="127">
        <f>SUM(XH24:YK24)</f>
        <v>21446655</v>
      </c>
      <c r="YM24" s="26">
        <f t="shared" ref="YM24:ZQ24" si="232">SUM(YM19:YM23)</f>
        <v>1184000</v>
      </c>
      <c r="YN24" s="26">
        <f t="shared" si="232"/>
        <v>1041000</v>
      </c>
      <c r="YO24" s="26">
        <f t="shared" si="232"/>
        <v>977000</v>
      </c>
      <c r="YP24" s="26">
        <f t="shared" si="232"/>
        <v>1461000</v>
      </c>
      <c r="YQ24" s="26">
        <f t="shared" si="232"/>
        <v>681000</v>
      </c>
      <c r="YR24" s="26">
        <f t="shared" si="232"/>
        <v>374000</v>
      </c>
      <c r="YS24" s="26">
        <f t="shared" si="232"/>
        <v>1326000</v>
      </c>
      <c r="YT24" s="26">
        <f t="shared" si="232"/>
        <v>1126000</v>
      </c>
      <c r="YU24" s="26">
        <f t="shared" si="232"/>
        <v>1313000</v>
      </c>
      <c r="YV24" s="26">
        <f t="shared" si="232"/>
        <v>2163000</v>
      </c>
      <c r="YW24" s="26">
        <f t="shared" si="232"/>
        <v>472000</v>
      </c>
      <c r="YX24" s="26">
        <f t="shared" si="232"/>
        <v>1512400</v>
      </c>
      <c r="YY24" s="26">
        <f t="shared" si="232"/>
        <v>924000</v>
      </c>
      <c r="YZ24" s="26">
        <f t="shared" si="232"/>
        <v>1288000</v>
      </c>
      <c r="ZA24" s="26">
        <f t="shared" si="232"/>
        <v>906000</v>
      </c>
      <c r="ZB24" s="26">
        <f t="shared" si="232"/>
        <v>1077000</v>
      </c>
      <c r="ZC24" s="26">
        <f t="shared" si="232"/>
        <v>1078000</v>
      </c>
      <c r="ZD24" s="26">
        <f t="shared" si="232"/>
        <v>574000</v>
      </c>
      <c r="ZE24" s="26">
        <f t="shared" si="232"/>
        <v>902000</v>
      </c>
      <c r="ZF24" s="26">
        <f t="shared" si="232"/>
        <v>781000</v>
      </c>
      <c r="ZG24" s="26">
        <f t="shared" si="232"/>
        <v>455000</v>
      </c>
      <c r="ZH24" s="26">
        <f t="shared" si="232"/>
        <v>868000</v>
      </c>
      <c r="ZI24" s="26">
        <f t="shared" si="232"/>
        <v>886000</v>
      </c>
      <c r="ZJ24" s="26">
        <f t="shared" si="232"/>
        <v>674000</v>
      </c>
      <c r="ZK24" s="26">
        <f t="shared" si="232"/>
        <v>370000</v>
      </c>
      <c r="ZL24" s="26">
        <f t="shared" si="232"/>
        <v>347000</v>
      </c>
      <c r="ZM24" s="26">
        <f t="shared" si="232"/>
        <v>2437000</v>
      </c>
      <c r="ZN24" s="26">
        <f t="shared" si="232"/>
        <v>963000</v>
      </c>
      <c r="ZO24" s="26">
        <f t="shared" si="232"/>
        <v>1106000</v>
      </c>
      <c r="ZP24" s="26">
        <f t="shared" si="232"/>
        <v>583000</v>
      </c>
      <c r="ZQ24" s="26">
        <f t="shared" si="232"/>
        <v>1087000</v>
      </c>
      <c r="ZR24" s="127">
        <f t="shared" si="113"/>
        <v>30936400</v>
      </c>
      <c r="ZS24" s="26">
        <f t="shared" ref="ZS24:AAV24" si="233">SUM(ZS19:ZS23)</f>
        <v>1055000</v>
      </c>
      <c r="ZT24" s="26">
        <f t="shared" si="233"/>
        <v>569000</v>
      </c>
      <c r="ZU24" s="26">
        <f t="shared" si="233"/>
        <v>778000</v>
      </c>
      <c r="ZV24" s="26">
        <f t="shared" si="233"/>
        <v>1231000</v>
      </c>
      <c r="ZW24" s="26">
        <f t="shared" si="233"/>
        <v>408000</v>
      </c>
      <c r="ZX24" s="26">
        <f t="shared" si="233"/>
        <v>795000</v>
      </c>
      <c r="ZY24" s="26">
        <f t="shared" si="233"/>
        <v>933000</v>
      </c>
      <c r="ZZ24" s="26">
        <f t="shared" si="233"/>
        <v>987000</v>
      </c>
      <c r="AAA24" s="26">
        <f t="shared" si="233"/>
        <v>726000</v>
      </c>
      <c r="AAB24" s="26">
        <f t="shared" si="233"/>
        <v>493000</v>
      </c>
      <c r="AAC24" s="26">
        <f t="shared" si="233"/>
        <v>394000</v>
      </c>
      <c r="AAD24" s="26">
        <f t="shared" si="233"/>
        <v>596000</v>
      </c>
      <c r="AAE24" s="26">
        <f t="shared" si="233"/>
        <v>786000</v>
      </c>
      <c r="AAF24" s="26">
        <f t="shared" si="233"/>
        <v>477000</v>
      </c>
      <c r="AAG24" s="26">
        <f t="shared" si="233"/>
        <v>294000</v>
      </c>
      <c r="AAH24" s="26">
        <f t="shared" si="233"/>
        <v>551000</v>
      </c>
      <c r="AAI24" s="26">
        <f t="shared" si="233"/>
        <v>573000</v>
      </c>
      <c r="AAJ24" s="26">
        <f t="shared" si="233"/>
        <v>1282000</v>
      </c>
      <c r="AAK24" s="26">
        <f t="shared" si="233"/>
        <v>607000</v>
      </c>
      <c r="AAL24" s="26">
        <f t="shared" si="233"/>
        <v>453000</v>
      </c>
      <c r="AAM24" s="26">
        <f t="shared" si="233"/>
        <v>1656000</v>
      </c>
      <c r="AAN24" s="26">
        <f t="shared" si="233"/>
        <v>428000</v>
      </c>
      <c r="AAO24" s="26">
        <f t="shared" si="233"/>
        <v>285000</v>
      </c>
      <c r="AAP24" s="26">
        <f t="shared" si="233"/>
        <v>740000</v>
      </c>
      <c r="AAQ24" s="26">
        <f t="shared" si="233"/>
        <v>1339000</v>
      </c>
      <c r="AAR24" s="26">
        <f t="shared" si="233"/>
        <v>1141000</v>
      </c>
      <c r="AAS24" s="26">
        <f t="shared" si="233"/>
        <v>418000</v>
      </c>
      <c r="AAT24" s="26">
        <f t="shared" si="233"/>
        <v>729000</v>
      </c>
      <c r="AAU24" s="26">
        <f t="shared" si="233"/>
        <v>375000</v>
      </c>
      <c r="AAV24" s="26">
        <f t="shared" si="233"/>
        <v>1273000</v>
      </c>
      <c r="AAW24" s="127">
        <f t="shared" si="115"/>
        <v>22372000</v>
      </c>
      <c r="AAX24" s="26">
        <f t="shared" ref="AAX24:ACB24" si="234">SUM(AAX19:AAX23)</f>
        <v>890000</v>
      </c>
      <c r="AAY24" s="26">
        <f t="shared" si="234"/>
        <v>562000</v>
      </c>
      <c r="AAZ24" s="26">
        <f t="shared" si="234"/>
        <v>777000</v>
      </c>
      <c r="ABA24" s="26">
        <f t="shared" si="234"/>
        <v>474000</v>
      </c>
      <c r="ABB24" s="26">
        <f t="shared" si="234"/>
        <v>501000</v>
      </c>
      <c r="ABC24" s="26">
        <f t="shared" si="234"/>
        <v>496000</v>
      </c>
      <c r="ABD24" s="26">
        <f t="shared" si="234"/>
        <v>608000</v>
      </c>
      <c r="ABE24" s="26">
        <f t="shared" si="234"/>
        <v>1077000</v>
      </c>
      <c r="ABF24" s="26">
        <f t="shared" si="234"/>
        <v>450000</v>
      </c>
      <c r="ABG24" s="26">
        <f t="shared" si="234"/>
        <v>1057000</v>
      </c>
      <c r="ABH24" s="26">
        <f t="shared" si="234"/>
        <v>982000</v>
      </c>
      <c r="ABI24" s="26">
        <f t="shared" si="234"/>
        <v>1263000</v>
      </c>
      <c r="ABJ24" s="26">
        <f t="shared" si="234"/>
        <v>1202000</v>
      </c>
      <c r="ABK24" s="26">
        <f t="shared" si="234"/>
        <v>752000</v>
      </c>
      <c r="ABL24" s="26">
        <f t="shared" si="234"/>
        <v>1032000</v>
      </c>
      <c r="ABM24" s="26">
        <f t="shared" si="234"/>
        <v>992000</v>
      </c>
      <c r="ABN24" s="26">
        <f t="shared" si="234"/>
        <v>570000</v>
      </c>
      <c r="ABO24" s="26">
        <f t="shared" si="234"/>
        <v>434000</v>
      </c>
      <c r="ABP24" s="26">
        <f t="shared" si="234"/>
        <v>601000</v>
      </c>
      <c r="ABQ24" s="26">
        <f t="shared" si="234"/>
        <v>980000</v>
      </c>
      <c r="ABR24" s="26">
        <f t="shared" si="234"/>
        <v>1168000</v>
      </c>
      <c r="ABS24" s="26">
        <f t="shared" si="234"/>
        <v>487000</v>
      </c>
      <c r="ABT24" s="26">
        <f t="shared" si="234"/>
        <v>525000</v>
      </c>
      <c r="ABU24" s="26">
        <f t="shared" si="234"/>
        <v>1114000</v>
      </c>
      <c r="ABV24" s="26">
        <f t="shared" si="234"/>
        <v>1066000</v>
      </c>
      <c r="ABW24" s="26">
        <f t="shared" si="234"/>
        <v>1204000</v>
      </c>
      <c r="ABX24" s="26">
        <f t="shared" si="234"/>
        <v>1350000</v>
      </c>
      <c r="ABY24" s="26">
        <f t="shared" si="234"/>
        <v>614000</v>
      </c>
      <c r="ABZ24" s="26">
        <f t="shared" si="234"/>
        <v>554000</v>
      </c>
      <c r="ACA24" s="26">
        <f t="shared" si="234"/>
        <v>499000</v>
      </c>
      <c r="ACB24" s="26">
        <f t="shared" si="234"/>
        <v>627000</v>
      </c>
      <c r="ACC24" s="127">
        <f>SUM(AAX24:ACB24)</f>
        <v>24908000</v>
      </c>
      <c r="ACD24" s="26">
        <f t="shared" ref="ACD24:ADH24" si="235">SUM(ACD19:ACD23)</f>
        <v>502000</v>
      </c>
      <c r="ACE24" s="26">
        <f t="shared" si="235"/>
        <v>891000</v>
      </c>
      <c r="ACF24" s="26">
        <f t="shared" si="235"/>
        <v>626000</v>
      </c>
      <c r="ACG24" s="26">
        <f t="shared" si="235"/>
        <v>498000</v>
      </c>
      <c r="ACH24" s="26">
        <f t="shared" si="235"/>
        <v>786000</v>
      </c>
      <c r="ACI24" s="26">
        <f t="shared" si="235"/>
        <v>1305000</v>
      </c>
      <c r="ACJ24" s="26">
        <f t="shared" si="235"/>
        <v>1205000</v>
      </c>
      <c r="ACK24" s="26">
        <f t="shared" si="235"/>
        <v>710000</v>
      </c>
      <c r="ACL24" s="26">
        <f t="shared" si="235"/>
        <v>1591000</v>
      </c>
      <c r="ACM24" s="26">
        <f t="shared" si="235"/>
        <v>1026000</v>
      </c>
      <c r="ACN24" s="26">
        <f t="shared" si="235"/>
        <v>1713000</v>
      </c>
      <c r="ACO24" s="26">
        <f t="shared" si="235"/>
        <v>1212000</v>
      </c>
      <c r="ACP24" s="26">
        <f t="shared" si="235"/>
        <v>320000</v>
      </c>
      <c r="ACQ24" s="26">
        <f t="shared" si="235"/>
        <v>846000</v>
      </c>
      <c r="ACR24" s="26">
        <f t="shared" si="235"/>
        <v>684000</v>
      </c>
      <c r="ACS24" s="26">
        <f t="shared" si="235"/>
        <v>623000</v>
      </c>
      <c r="ACT24" s="26">
        <f t="shared" si="235"/>
        <v>498000</v>
      </c>
      <c r="ACU24" s="26">
        <f t="shared" si="235"/>
        <v>787000</v>
      </c>
      <c r="ACV24" s="26">
        <f t="shared" si="235"/>
        <v>523000</v>
      </c>
      <c r="ACW24" s="26">
        <f t="shared" si="235"/>
        <v>1704000</v>
      </c>
      <c r="ACX24" s="26">
        <f t="shared" si="235"/>
        <v>474000</v>
      </c>
      <c r="ACY24" s="26">
        <f t="shared" si="235"/>
        <v>1296000</v>
      </c>
      <c r="ACZ24" s="26">
        <f t="shared" si="235"/>
        <v>615000</v>
      </c>
      <c r="ADA24" s="26">
        <f t="shared" si="235"/>
        <v>1108000</v>
      </c>
      <c r="ADB24" s="26">
        <f t="shared" si="235"/>
        <v>716000</v>
      </c>
      <c r="ADC24" s="26">
        <f t="shared" si="235"/>
        <v>986000</v>
      </c>
      <c r="ADD24" s="26">
        <f t="shared" si="235"/>
        <v>932000</v>
      </c>
      <c r="ADE24" s="26">
        <f t="shared" si="235"/>
        <v>892000</v>
      </c>
      <c r="ADF24" s="26">
        <f t="shared" si="235"/>
        <v>1018000</v>
      </c>
      <c r="ADG24" s="26">
        <f t="shared" si="235"/>
        <v>718000</v>
      </c>
      <c r="ADH24" s="26">
        <f t="shared" si="235"/>
        <v>706000</v>
      </c>
      <c r="ADI24" s="127">
        <f>SUM(ACD24:ADH24)</f>
        <v>27511000</v>
      </c>
      <c r="ADJ24" s="26">
        <f t="shared" ref="ADJ24:AEM24" si="236">SUM(ADJ19:ADJ23)</f>
        <v>233000</v>
      </c>
      <c r="ADK24" s="26">
        <f t="shared" si="236"/>
        <v>541000</v>
      </c>
      <c r="ADL24" s="26">
        <f t="shared" si="236"/>
        <v>1265000</v>
      </c>
      <c r="ADM24" s="26">
        <f t="shared" si="236"/>
        <v>1551000</v>
      </c>
      <c r="ADN24" s="26">
        <f t="shared" si="236"/>
        <v>1317000</v>
      </c>
      <c r="ADO24" s="26">
        <f t="shared" si="236"/>
        <v>876000</v>
      </c>
      <c r="ADP24" s="26">
        <f t="shared" si="236"/>
        <v>870000</v>
      </c>
      <c r="ADQ24" s="26">
        <f t="shared" si="236"/>
        <v>732000</v>
      </c>
      <c r="ADR24" s="26">
        <f t="shared" si="236"/>
        <v>803000</v>
      </c>
      <c r="ADS24" s="26">
        <f t="shared" si="236"/>
        <v>1096000</v>
      </c>
      <c r="ADT24" s="26">
        <f t="shared" si="236"/>
        <v>359000</v>
      </c>
      <c r="ADU24" s="26">
        <f t="shared" si="236"/>
        <v>1495000</v>
      </c>
      <c r="ADV24" s="26">
        <f t="shared" si="236"/>
        <v>1203000</v>
      </c>
      <c r="ADW24" s="26">
        <f t="shared" si="236"/>
        <v>398000</v>
      </c>
      <c r="ADX24" s="26">
        <f t="shared" si="236"/>
        <v>837000</v>
      </c>
      <c r="ADY24" s="26">
        <f t="shared" si="236"/>
        <v>1303000</v>
      </c>
      <c r="ADZ24" s="26">
        <f t="shared" si="236"/>
        <v>1021000</v>
      </c>
      <c r="AEA24" s="26">
        <f t="shared" si="236"/>
        <v>465000</v>
      </c>
      <c r="AEB24" s="26">
        <f t="shared" si="236"/>
        <v>526000</v>
      </c>
      <c r="AEC24" s="26">
        <f t="shared" si="236"/>
        <v>1039000</v>
      </c>
      <c r="AED24" s="26">
        <f t="shared" si="236"/>
        <v>484000</v>
      </c>
      <c r="AEE24" s="26">
        <f t="shared" si="236"/>
        <v>623000</v>
      </c>
      <c r="AEF24" s="26">
        <f t="shared" si="236"/>
        <v>451000</v>
      </c>
      <c r="AEG24" s="26">
        <f t="shared" si="236"/>
        <v>121000</v>
      </c>
      <c r="AEH24" s="26">
        <f t="shared" si="236"/>
        <v>826000</v>
      </c>
      <c r="AEI24" s="26">
        <f t="shared" si="236"/>
        <v>498000</v>
      </c>
      <c r="AEJ24" s="26">
        <f t="shared" si="236"/>
        <v>1515000</v>
      </c>
      <c r="AEK24" s="26">
        <f t="shared" si="236"/>
        <v>456000</v>
      </c>
      <c r="AEL24" s="26">
        <f t="shared" si="236"/>
        <v>509000</v>
      </c>
      <c r="AEM24" s="26">
        <f t="shared" si="236"/>
        <v>1014000</v>
      </c>
      <c r="AEN24" s="127">
        <f t="shared" si="121"/>
        <v>24427000</v>
      </c>
      <c r="AEO24" s="26">
        <f t="shared" ref="AEO24:AFS24" si="237">SUM(AEO19:AEO23)</f>
        <v>1956000</v>
      </c>
      <c r="AEP24" s="26">
        <f t="shared" si="237"/>
        <v>379000</v>
      </c>
      <c r="AEQ24" s="26">
        <f t="shared" si="237"/>
        <v>1386000</v>
      </c>
      <c r="AER24" s="26">
        <f t="shared" si="237"/>
        <v>1806000</v>
      </c>
      <c r="AES24" s="26">
        <f t="shared" si="237"/>
        <v>895000</v>
      </c>
      <c r="AET24" s="26">
        <f t="shared" si="237"/>
        <v>452000</v>
      </c>
      <c r="AEU24" s="26">
        <f t="shared" si="237"/>
        <v>844000</v>
      </c>
      <c r="AEV24" s="26">
        <f t="shared" si="237"/>
        <v>735000</v>
      </c>
      <c r="AEW24" s="26">
        <f t="shared" si="237"/>
        <v>1039000</v>
      </c>
      <c r="AEX24" s="26">
        <f t="shared" si="237"/>
        <v>606000</v>
      </c>
      <c r="AEY24" s="26">
        <f t="shared" si="237"/>
        <v>611000</v>
      </c>
      <c r="AEZ24" s="26">
        <f t="shared" si="237"/>
        <v>942000</v>
      </c>
      <c r="AFA24" s="26">
        <f t="shared" si="237"/>
        <v>858000</v>
      </c>
      <c r="AFB24" s="26">
        <f t="shared" si="237"/>
        <v>636000</v>
      </c>
      <c r="AFC24" s="26">
        <f t="shared" si="237"/>
        <v>438000</v>
      </c>
      <c r="AFD24" s="26">
        <f t="shared" si="237"/>
        <v>1085000</v>
      </c>
      <c r="AFE24" s="26">
        <f t="shared" si="237"/>
        <v>757000</v>
      </c>
      <c r="AFF24" s="26">
        <f t="shared" si="237"/>
        <v>361000</v>
      </c>
      <c r="AFG24" s="26">
        <f t="shared" si="237"/>
        <v>530000</v>
      </c>
      <c r="AFH24" s="26">
        <f t="shared" si="237"/>
        <v>588000</v>
      </c>
      <c r="AFI24" s="26">
        <f t="shared" si="237"/>
        <v>1513000</v>
      </c>
      <c r="AFJ24" s="26">
        <f t="shared" si="237"/>
        <v>593000</v>
      </c>
      <c r="AFK24" s="26">
        <f t="shared" si="237"/>
        <v>286000</v>
      </c>
      <c r="AFL24" s="26">
        <f t="shared" si="237"/>
        <v>701000</v>
      </c>
      <c r="AFM24" s="26">
        <f t="shared" si="237"/>
        <v>721000</v>
      </c>
      <c r="AFN24" s="26">
        <f t="shared" si="237"/>
        <v>1082000</v>
      </c>
      <c r="AFO24" s="26">
        <f t="shared" si="237"/>
        <v>1169000</v>
      </c>
      <c r="AFP24" s="26">
        <f t="shared" si="237"/>
        <v>236000</v>
      </c>
      <c r="AFQ24" s="26">
        <f t="shared" si="237"/>
        <v>1171000</v>
      </c>
      <c r="AFR24" s="26">
        <f t="shared" si="237"/>
        <v>1123000</v>
      </c>
      <c r="AFS24" s="26">
        <f t="shared" si="237"/>
        <v>1452000</v>
      </c>
      <c r="AFT24" s="127">
        <f>SUM(AEO24:AFS24)</f>
        <v>26951000</v>
      </c>
      <c r="AFU24" s="26">
        <f t="shared" ref="AFU24:AGX24" si="238">SUM(AFU19:AFU23)</f>
        <v>1159000</v>
      </c>
      <c r="AFV24" s="26">
        <f t="shared" si="238"/>
        <v>1493000</v>
      </c>
      <c r="AFW24" s="26">
        <f t="shared" si="238"/>
        <v>505000</v>
      </c>
      <c r="AFX24" s="26">
        <f t="shared" si="238"/>
        <v>1113000</v>
      </c>
      <c r="AFY24" s="26">
        <f t="shared" si="238"/>
        <v>1083000</v>
      </c>
      <c r="AFZ24" s="26">
        <f t="shared" si="238"/>
        <v>1007000</v>
      </c>
      <c r="AGA24" s="26">
        <f t="shared" si="238"/>
        <v>858000</v>
      </c>
      <c r="AGB24" s="26">
        <f t="shared" si="238"/>
        <v>2253000</v>
      </c>
      <c r="AGC24" s="26">
        <f t="shared" si="238"/>
        <v>402000</v>
      </c>
      <c r="AGD24" s="26">
        <f t="shared" si="238"/>
        <v>563000</v>
      </c>
      <c r="AGE24" s="26">
        <f t="shared" si="238"/>
        <v>795000</v>
      </c>
      <c r="AGF24" s="26">
        <f t="shared" si="238"/>
        <v>610000</v>
      </c>
      <c r="AGG24" s="26">
        <f t="shared" si="238"/>
        <v>1049000</v>
      </c>
      <c r="AGH24" s="26">
        <f t="shared" si="238"/>
        <v>405000</v>
      </c>
      <c r="AGI24" s="26">
        <f t="shared" si="238"/>
        <v>944000</v>
      </c>
      <c r="AGJ24" s="26">
        <f t="shared" si="238"/>
        <v>305000</v>
      </c>
      <c r="AGK24" s="26">
        <f t="shared" si="238"/>
        <v>853000</v>
      </c>
      <c r="AGL24" s="26">
        <f t="shared" si="238"/>
        <v>473000</v>
      </c>
      <c r="AGM24" s="26">
        <f t="shared" si="238"/>
        <v>1219000</v>
      </c>
      <c r="AGN24" s="26">
        <f t="shared" si="238"/>
        <v>562000</v>
      </c>
      <c r="AGO24" s="26">
        <f t="shared" si="238"/>
        <v>961000</v>
      </c>
      <c r="AGP24" s="26">
        <f t="shared" si="238"/>
        <v>1435000</v>
      </c>
      <c r="AGQ24" s="26">
        <f t="shared" si="238"/>
        <v>445000</v>
      </c>
      <c r="AGR24" s="26">
        <f t="shared" si="238"/>
        <v>459000</v>
      </c>
      <c r="AGS24" s="26">
        <f t="shared" si="238"/>
        <v>676000</v>
      </c>
      <c r="AGT24" s="26">
        <f t="shared" si="238"/>
        <v>2139700</v>
      </c>
      <c r="AGU24" s="26">
        <f t="shared" si="238"/>
        <v>812000</v>
      </c>
      <c r="AGV24" s="26">
        <f t="shared" si="238"/>
        <v>1893000</v>
      </c>
      <c r="AGW24" s="26">
        <f t="shared" si="238"/>
        <v>892000</v>
      </c>
      <c r="AGX24" s="26">
        <f t="shared" si="238"/>
        <v>1085000</v>
      </c>
      <c r="AGY24" s="127">
        <f t="shared" si="125"/>
        <v>28448700</v>
      </c>
      <c r="AGZ24" s="26">
        <f t="shared" ref="AGZ24:AID24" si="239">SUM(AGZ19:AGZ23)</f>
        <v>609000</v>
      </c>
      <c r="AHA24" s="26">
        <f t="shared" si="239"/>
        <v>1080000</v>
      </c>
      <c r="AHB24" s="26">
        <f t="shared" si="239"/>
        <v>1248000</v>
      </c>
      <c r="AHC24" s="26">
        <f t="shared" si="239"/>
        <v>816000</v>
      </c>
      <c r="AHD24" s="26">
        <f t="shared" si="239"/>
        <v>829000</v>
      </c>
      <c r="AHE24" s="26">
        <f t="shared" si="239"/>
        <v>366000</v>
      </c>
      <c r="AHF24" s="26">
        <f t="shared" si="239"/>
        <v>911000</v>
      </c>
      <c r="AHG24" s="26">
        <f t="shared" si="239"/>
        <v>669000</v>
      </c>
      <c r="AHH24" s="26">
        <f t="shared" si="239"/>
        <v>315000</v>
      </c>
      <c r="AHI24" s="26">
        <f t="shared" si="239"/>
        <v>1165000</v>
      </c>
      <c r="AHJ24" s="26">
        <f t="shared" si="239"/>
        <v>966000</v>
      </c>
      <c r="AHK24" s="26">
        <f t="shared" si="239"/>
        <v>950000</v>
      </c>
      <c r="AHL24" s="26">
        <f t="shared" si="239"/>
        <v>384000</v>
      </c>
      <c r="AHM24" s="26">
        <f t="shared" si="239"/>
        <v>829000</v>
      </c>
      <c r="AHN24" s="26">
        <f t="shared" si="239"/>
        <v>567000</v>
      </c>
      <c r="AHO24" s="26">
        <f t="shared" si="239"/>
        <v>545000</v>
      </c>
      <c r="AHP24" s="26">
        <f t="shared" si="239"/>
        <v>1866000</v>
      </c>
      <c r="AHQ24" s="26">
        <f t="shared" si="239"/>
        <v>1297000</v>
      </c>
      <c r="AHR24" s="26">
        <f t="shared" si="239"/>
        <v>2307000</v>
      </c>
      <c r="AHS24" s="26">
        <f t="shared" si="239"/>
        <v>1451000</v>
      </c>
      <c r="AHT24" s="26">
        <f t="shared" si="239"/>
        <v>938000</v>
      </c>
      <c r="AHU24" s="26">
        <f t="shared" si="239"/>
        <v>978000</v>
      </c>
      <c r="AHV24" s="26">
        <f t="shared" si="239"/>
        <v>1750000</v>
      </c>
      <c r="AHW24" s="26">
        <f t="shared" si="239"/>
        <v>1939000</v>
      </c>
      <c r="AHX24" s="26">
        <f t="shared" si="239"/>
        <v>1112000</v>
      </c>
      <c r="AHY24" s="26">
        <f t="shared" si="239"/>
        <v>927000</v>
      </c>
      <c r="AHZ24" s="26">
        <f t="shared" si="239"/>
        <v>744000</v>
      </c>
      <c r="AIA24" s="26">
        <f t="shared" si="239"/>
        <v>697000</v>
      </c>
      <c r="AIB24" s="26">
        <f t="shared" si="239"/>
        <v>1384000</v>
      </c>
      <c r="AIC24" s="26">
        <f t="shared" si="239"/>
        <v>916000</v>
      </c>
      <c r="AID24" s="26">
        <f t="shared" si="239"/>
        <v>763000</v>
      </c>
      <c r="AIE24" s="127">
        <f>SUM(AGZ24:AID24)</f>
        <v>31318000</v>
      </c>
      <c r="AIF24" s="26">
        <f t="shared" ref="AIF24:AJJ24" si="240">SUM(AIF19:AIF23)</f>
        <v>726000</v>
      </c>
      <c r="AIG24" s="26">
        <f t="shared" si="240"/>
        <v>980000</v>
      </c>
      <c r="AIH24" s="26">
        <f t="shared" si="240"/>
        <v>762000</v>
      </c>
      <c r="AII24" s="26">
        <f t="shared" si="240"/>
        <v>72000</v>
      </c>
      <c r="AIJ24" s="26">
        <f t="shared" si="240"/>
        <v>680000</v>
      </c>
      <c r="AIK24" s="26">
        <f t="shared" si="240"/>
        <v>724000</v>
      </c>
      <c r="AIL24" s="26">
        <f t="shared" si="240"/>
        <v>108000</v>
      </c>
      <c r="AIM24" s="26">
        <f t="shared" si="240"/>
        <v>970000</v>
      </c>
      <c r="AIN24" s="26">
        <f t="shared" si="240"/>
        <v>1102000</v>
      </c>
      <c r="AIO24" s="26">
        <f t="shared" si="240"/>
        <v>1072000</v>
      </c>
      <c r="AIP24" s="26">
        <f t="shared" si="240"/>
        <v>1116000</v>
      </c>
      <c r="AIQ24" s="26">
        <f t="shared" si="240"/>
        <v>310000</v>
      </c>
      <c r="AIR24" s="26">
        <f t="shared" si="240"/>
        <v>1046000</v>
      </c>
      <c r="AIS24" s="26">
        <f t="shared" si="240"/>
        <v>992000</v>
      </c>
      <c r="AIT24" s="26">
        <f t="shared" si="240"/>
        <v>347000</v>
      </c>
      <c r="AIU24" s="26">
        <f t="shared" si="240"/>
        <v>10000</v>
      </c>
      <c r="AIV24" s="26">
        <f t="shared" si="240"/>
        <v>378000</v>
      </c>
      <c r="AIW24" s="26">
        <f t="shared" si="240"/>
        <v>582000</v>
      </c>
      <c r="AIX24" s="26">
        <f t="shared" si="240"/>
        <v>496000</v>
      </c>
      <c r="AIY24" s="26">
        <f t="shared" si="240"/>
        <v>1145000</v>
      </c>
      <c r="AIZ24" s="26">
        <f t="shared" si="240"/>
        <v>660000</v>
      </c>
      <c r="AJA24" s="26">
        <f t="shared" si="240"/>
        <v>858000</v>
      </c>
      <c r="AJB24" s="26">
        <f t="shared" si="240"/>
        <v>740000</v>
      </c>
      <c r="AJC24" s="26">
        <f t="shared" si="240"/>
        <v>610000</v>
      </c>
      <c r="AJD24" s="26">
        <f t="shared" si="240"/>
        <v>717000</v>
      </c>
      <c r="AJE24" s="26">
        <f t="shared" si="240"/>
        <v>290000</v>
      </c>
      <c r="AJF24" s="26">
        <f t="shared" si="240"/>
        <v>782000</v>
      </c>
      <c r="AJG24" s="26">
        <f t="shared" si="240"/>
        <v>460500</v>
      </c>
      <c r="AJH24" s="26">
        <f t="shared" si="240"/>
        <v>1079000</v>
      </c>
      <c r="AJI24" s="26">
        <f t="shared" si="240"/>
        <v>403000</v>
      </c>
      <c r="AJJ24" s="26">
        <f t="shared" si="240"/>
        <v>1289000</v>
      </c>
      <c r="AJK24" s="127">
        <f>SUM(AIF24:AJJ24)</f>
        <v>21506500</v>
      </c>
      <c r="AJL24" s="26">
        <f t="shared" ref="AJL24:AKM24" si="241">SUM(AJL19:AJL23)</f>
        <v>905000</v>
      </c>
      <c r="AJM24" s="26">
        <f t="shared" si="241"/>
        <v>1504000</v>
      </c>
      <c r="AJN24" s="26">
        <f t="shared" si="241"/>
        <v>632000</v>
      </c>
      <c r="AJO24" s="26">
        <f t="shared" si="241"/>
        <v>2248000</v>
      </c>
      <c r="AJP24" s="26">
        <f t="shared" si="241"/>
        <v>1107000</v>
      </c>
      <c r="AJQ24" s="26">
        <f t="shared" si="241"/>
        <v>909000</v>
      </c>
      <c r="AJR24" s="26">
        <f t="shared" si="241"/>
        <v>876000</v>
      </c>
      <c r="AJS24" s="26">
        <f t="shared" si="241"/>
        <v>554000</v>
      </c>
      <c r="AJT24" s="26">
        <f t="shared" si="241"/>
        <v>790000</v>
      </c>
      <c r="AJU24" s="26">
        <f t="shared" si="241"/>
        <v>2700000</v>
      </c>
      <c r="AJV24" s="26">
        <f t="shared" si="241"/>
        <v>1036000</v>
      </c>
      <c r="AJW24" s="26">
        <f t="shared" si="241"/>
        <v>1881000</v>
      </c>
      <c r="AJX24" s="26">
        <f t="shared" si="241"/>
        <v>1683000</v>
      </c>
      <c r="AJY24" s="26">
        <f t="shared" si="241"/>
        <v>837000</v>
      </c>
      <c r="AJZ24" s="26">
        <f t="shared" si="241"/>
        <v>486000</v>
      </c>
      <c r="AKA24" s="26">
        <f t="shared" si="241"/>
        <v>1424000</v>
      </c>
      <c r="AKB24" s="26">
        <f t="shared" si="241"/>
        <v>943000</v>
      </c>
      <c r="AKC24" s="26">
        <f t="shared" si="241"/>
        <v>827000</v>
      </c>
      <c r="AKD24" s="26">
        <f t="shared" si="241"/>
        <v>1011000</v>
      </c>
      <c r="AKE24" s="26">
        <f t="shared" si="241"/>
        <v>608000</v>
      </c>
      <c r="AKF24" s="26">
        <f t="shared" si="241"/>
        <v>1117000</v>
      </c>
      <c r="AKG24" s="26">
        <f t="shared" si="241"/>
        <v>1180000</v>
      </c>
      <c r="AKH24" s="26">
        <f t="shared" si="241"/>
        <v>2187000</v>
      </c>
      <c r="AKI24" s="26">
        <f t="shared" si="241"/>
        <v>831000</v>
      </c>
      <c r="AKJ24" s="26">
        <f t="shared" si="241"/>
        <v>1337000</v>
      </c>
      <c r="AKK24" s="26">
        <f t="shared" si="241"/>
        <v>811000</v>
      </c>
      <c r="AKL24" s="26">
        <f t="shared" si="241"/>
        <v>1759000</v>
      </c>
      <c r="AKM24" s="26">
        <f t="shared" si="241"/>
        <v>1380000</v>
      </c>
      <c r="AKN24" s="127">
        <f t="shared" si="11"/>
        <v>33563000</v>
      </c>
      <c r="AKO24" s="26">
        <f t="shared" ref="AKO24:ALS24" si="242">SUM(AKO19:AKO23)</f>
        <v>355000</v>
      </c>
      <c r="AKP24" s="26">
        <f t="shared" si="242"/>
        <v>754000</v>
      </c>
      <c r="AKQ24" s="26">
        <f t="shared" si="242"/>
        <v>592000</v>
      </c>
      <c r="AKR24" s="26">
        <f t="shared" si="242"/>
        <v>754000</v>
      </c>
      <c r="AKS24" s="26">
        <f t="shared" si="242"/>
        <v>603000</v>
      </c>
      <c r="AKT24" s="26">
        <f t="shared" si="242"/>
        <v>716000</v>
      </c>
      <c r="AKU24" s="26">
        <f t="shared" si="242"/>
        <v>1113000</v>
      </c>
      <c r="AKV24" s="26">
        <f t="shared" si="242"/>
        <v>1302000</v>
      </c>
      <c r="AKW24" s="26">
        <f t="shared" si="242"/>
        <v>1139000</v>
      </c>
      <c r="AKX24" s="26">
        <f t="shared" si="242"/>
        <v>788000</v>
      </c>
      <c r="AKY24" s="26">
        <f t="shared" si="242"/>
        <v>1378000</v>
      </c>
      <c r="AKZ24" s="26">
        <f t="shared" si="242"/>
        <v>706000</v>
      </c>
      <c r="ALA24" s="26">
        <f t="shared" si="242"/>
        <v>1505000</v>
      </c>
      <c r="ALB24" s="26">
        <f t="shared" si="242"/>
        <v>879000</v>
      </c>
      <c r="ALC24" s="26">
        <f t="shared" si="242"/>
        <v>469000</v>
      </c>
      <c r="ALD24" s="26">
        <f t="shared" si="242"/>
        <v>1215000</v>
      </c>
      <c r="ALE24" s="26">
        <f t="shared" si="242"/>
        <v>983000</v>
      </c>
      <c r="ALF24" s="26">
        <f t="shared" si="242"/>
        <v>1431000</v>
      </c>
      <c r="ALG24" s="26">
        <f t="shared" si="242"/>
        <v>1336000</v>
      </c>
      <c r="ALH24" s="26">
        <f t="shared" si="242"/>
        <v>607000</v>
      </c>
      <c r="ALI24" s="26">
        <f t="shared" si="242"/>
        <v>647000</v>
      </c>
      <c r="ALJ24" s="26">
        <f t="shared" si="242"/>
        <v>1343000</v>
      </c>
      <c r="ALK24" s="26">
        <f t="shared" si="242"/>
        <v>1223000</v>
      </c>
      <c r="ALL24" s="26">
        <f t="shared" si="242"/>
        <v>1226000</v>
      </c>
      <c r="ALM24" s="26">
        <f t="shared" si="242"/>
        <v>796000</v>
      </c>
      <c r="ALN24" s="26">
        <f t="shared" si="242"/>
        <v>1295000</v>
      </c>
      <c r="ALO24" s="26">
        <f t="shared" si="242"/>
        <v>1119099</v>
      </c>
      <c r="ALP24" s="26">
        <f t="shared" si="242"/>
        <v>1438000</v>
      </c>
      <c r="ALQ24" s="26">
        <f t="shared" si="242"/>
        <v>1165000</v>
      </c>
      <c r="ALR24" s="26">
        <f t="shared" si="242"/>
        <v>649000</v>
      </c>
      <c r="ALS24" s="26">
        <f t="shared" si="242"/>
        <v>1520000</v>
      </c>
      <c r="ALT24" s="127">
        <f t="shared" si="12"/>
        <v>31046099</v>
      </c>
      <c r="ALU24" s="26">
        <f t="shared" ref="ALU24:AMX24" si="243">SUM(ALU19:ALU23)</f>
        <v>699000</v>
      </c>
      <c r="ALV24" s="26">
        <f t="shared" si="243"/>
        <v>948000</v>
      </c>
      <c r="ALW24" s="26">
        <f t="shared" si="243"/>
        <v>1223000</v>
      </c>
      <c r="ALX24" s="26">
        <f t="shared" si="243"/>
        <v>1086000</v>
      </c>
      <c r="ALY24" s="26">
        <f t="shared" si="243"/>
        <v>1299000</v>
      </c>
      <c r="ALZ24" s="26">
        <f t="shared" si="243"/>
        <v>1126000</v>
      </c>
      <c r="AMA24" s="26">
        <f t="shared" si="243"/>
        <v>421000</v>
      </c>
      <c r="AMB24" s="26">
        <f t="shared" si="243"/>
        <v>1434000</v>
      </c>
      <c r="AMC24" s="26">
        <f t="shared" si="243"/>
        <v>903000</v>
      </c>
      <c r="AMD24" s="26">
        <f t="shared" si="243"/>
        <v>1027000</v>
      </c>
      <c r="AME24" s="26">
        <f t="shared" si="243"/>
        <v>1473000</v>
      </c>
      <c r="AMF24" s="26">
        <f t="shared" si="243"/>
        <v>312000</v>
      </c>
      <c r="AMG24" s="26">
        <f t="shared" si="243"/>
        <v>580000</v>
      </c>
      <c r="AMH24" s="26">
        <f t="shared" si="243"/>
        <v>1210000</v>
      </c>
      <c r="AMI24" s="26">
        <f t="shared" si="243"/>
        <v>1075000</v>
      </c>
      <c r="AMJ24" s="26">
        <f t="shared" si="243"/>
        <v>940000</v>
      </c>
      <c r="AMK24" s="26">
        <f t="shared" si="243"/>
        <v>864000</v>
      </c>
      <c r="AML24" s="26">
        <f t="shared" si="243"/>
        <v>916000</v>
      </c>
      <c r="AMM24" s="26">
        <f t="shared" si="243"/>
        <v>1080000</v>
      </c>
      <c r="AMN24" s="26">
        <f t="shared" si="243"/>
        <v>973000</v>
      </c>
      <c r="AMO24" s="26">
        <f t="shared" si="243"/>
        <v>1032000</v>
      </c>
      <c r="AMP24" s="26">
        <f t="shared" si="243"/>
        <v>1311000</v>
      </c>
      <c r="AMQ24" s="26">
        <f t="shared" si="243"/>
        <v>1251000</v>
      </c>
      <c r="AMR24" s="26">
        <f t="shared" si="243"/>
        <v>1847000</v>
      </c>
      <c r="AMS24" s="26">
        <f t="shared" si="243"/>
        <v>1105000</v>
      </c>
      <c r="AMT24" s="26">
        <f t="shared" si="243"/>
        <v>1418000</v>
      </c>
      <c r="AMU24" s="26">
        <f t="shared" si="243"/>
        <v>982000</v>
      </c>
      <c r="AMV24" s="26">
        <f t="shared" si="243"/>
        <v>947000</v>
      </c>
      <c r="AMW24" s="26">
        <f t="shared" si="243"/>
        <v>1193000</v>
      </c>
      <c r="AMX24" s="26">
        <f t="shared" si="243"/>
        <v>1448000</v>
      </c>
      <c r="AMY24" s="127">
        <f t="shared" si="13"/>
        <v>32123000</v>
      </c>
      <c r="AMZ24" s="26">
        <f t="shared" ref="AMZ24:AOC24" si="244">SUM(AMZ19:AMZ23)</f>
        <v>929000</v>
      </c>
      <c r="ANA24" s="26">
        <f t="shared" si="244"/>
        <v>834000</v>
      </c>
      <c r="ANB24" s="26">
        <f t="shared" si="244"/>
        <v>537000</v>
      </c>
      <c r="ANC24" s="26">
        <f t="shared" si="244"/>
        <v>1503000</v>
      </c>
      <c r="AND24" s="26">
        <f t="shared" si="244"/>
        <v>1742000</v>
      </c>
      <c r="ANE24" s="26">
        <f t="shared" si="244"/>
        <v>1268000</v>
      </c>
      <c r="ANF24" s="26">
        <f t="shared" si="244"/>
        <v>445000</v>
      </c>
      <c r="ANG24" s="26">
        <f t="shared" si="244"/>
        <v>1655000</v>
      </c>
      <c r="ANH24" s="26">
        <f t="shared" si="244"/>
        <v>1359000</v>
      </c>
      <c r="ANI24" s="26">
        <f t="shared" si="244"/>
        <v>1382000</v>
      </c>
      <c r="ANJ24" s="26">
        <f t="shared" si="244"/>
        <v>1003000</v>
      </c>
      <c r="ANK24" s="26">
        <f t="shared" si="244"/>
        <v>624000</v>
      </c>
      <c r="ANL24" s="26">
        <f t="shared" si="244"/>
        <v>1219000</v>
      </c>
      <c r="ANM24" s="26">
        <f t="shared" si="244"/>
        <v>1358000</v>
      </c>
      <c r="ANN24" s="26">
        <f t="shared" si="244"/>
        <v>1824000</v>
      </c>
      <c r="ANO24" s="26">
        <f t="shared" si="244"/>
        <v>1447303</v>
      </c>
      <c r="ANP24" s="26">
        <f t="shared" si="244"/>
        <v>1026000</v>
      </c>
      <c r="ANQ24" s="26">
        <f t="shared" si="244"/>
        <v>636000</v>
      </c>
      <c r="ANR24" s="26">
        <f t="shared" si="244"/>
        <v>1089000</v>
      </c>
      <c r="ANS24" s="26">
        <f t="shared" si="244"/>
        <v>929000</v>
      </c>
      <c r="ANT24" s="26">
        <f t="shared" si="244"/>
        <v>631000</v>
      </c>
      <c r="ANU24" s="26">
        <f t="shared" si="244"/>
        <v>1679542</v>
      </c>
      <c r="ANV24" s="26">
        <f t="shared" si="244"/>
        <v>1734000</v>
      </c>
      <c r="ANW24" s="26">
        <f t="shared" si="244"/>
        <v>1418000</v>
      </c>
      <c r="ANX24" s="26">
        <f t="shared" si="244"/>
        <v>2200000</v>
      </c>
      <c r="ANY24" s="26">
        <f t="shared" si="244"/>
        <v>1118000</v>
      </c>
      <c r="ANZ24" s="26">
        <f t="shared" si="244"/>
        <v>881000</v>
      </c>
      <c r="AOA24" s="26">
        <f t="shared" si="244"/>
        <v>1268527</v>
      </c>
      <c r="AOB24" s="26">
        <f t="shared" si="244"/>
        <v>850000</v>
      </c>
      <c r="AOC24" s="26">
        <f t="shared" si="244"/>
        <v>989000</v>
      </c>
    </row>
    <row r="25" spans="1:1069" x14ac:dyDescent="0.2">
      <c r="A25" s="76"/>
      <c r="B25" s="1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95"/>
      <c r="BM25" s="97"/>
      <c r="CS25" s="111">
        <f t="shared" si="208"/>
        <v>0</v>
      </c>
      <c r="DX25" s="117"/>
      <c r="FD25" s="128"/>
      <c r="GJ25" s="127">
        <f t="shared" si="99"/>
        <v>0</v>
      </c>
      <c r="HN25" s="127">
        <f t="shared" si="101"/>
        <v>0</v>
      </c>
      <c r="IT25" s="127">
        <f t="shared" si="22"/>
        <v>0</v>
      </c>
      <c r="JY25" s="127">
        <f t="shared" si="58"/>
        <v>0</v>
      </c>
      <c r="LE25" s="127">
        <f t="shared" si="60"/>
        <v>0</v>
      </c>
      <c r="MJ25" s="127">
        <f t="shared" si="62"/>
        <v>0</v>
      </c>
      <c r="NP25" s="127">
        <f t="shared" si="64"/>
        <v>0</v>
      </c>
      <c r="OV25" s="127">
        <f t="shared" si="66"/>
        <v>0</v>
      </c>
      <c r="QA25" s="127">
        <f t="shared" si="68"/>
        <v>0</v>
      </c>
      <c r="RG25" s="127">
        <f t="shared" si="147"/>
        <v>0</v>
      </c>
      <c r="SL25" s="127">
        <f t="shared" si="207"/>
        <v>0</v>
      </c>
      <c r="TR25" s="127">
        <f t="shared" si="226"/>
        <v>0</v>
      </c>
      <c r="UX25" s="127">
        <f t="shared" si="228"/>
        <v>0</v>
      </c>
      <c r="WA25" s="127">
        <f>SUM(UW25:VZ25)</f>
        <v>0</v>
      </c>
      <c r="XG25" s="127">
        <f>SUM(WC25:XF25)</f>
        <v>0</v>
      </c>
      <c r="YL25" s="127">
        <f>SUM(XI25:YK25)</f>
        <v>0</v>
      </c>
      <c r="ZR25" s="127">
        <f>SUM(YO25:ZQ25)</f>
        <v>0</v>
      </c>
      <c r="AAW25" s="127">
        <f>SUM(ZT25:AAV25)</f>
        <v>0</v>
      </c>
      <c r="ACC25" s="127">
        <f>SUM(AAZ25:ACB25)</f>
        <v>0</v>
      </c>
      <c r="ADI25" s="127">
        <f>SUM(ACF25:ADH25)</f>
        <v>0</v>
      </c>
      <c r="AEN25" s="127">
        <f>SUM(ADK25:AEM25)</f>
        <v>0</v>
      </c>
      <c r="AFT25" s="127">
        <f>SUM(AEQ25:AFS25)</f>
        <v>0</v>
      </c>
      <c r="AGY25" s="127">
        <f>SUM(AFV25:AGX25)</f>
        <v>0</v>
      </c>
      <c r="AIE25" s="127">
        <f>SUM(AHB25:AID25)</f>
        <v>0</v>
      </c>
      <c r="AJK25" s="127">
        <f>SUM(AIH25:AJJ25)</f>
        <v>0</v>
      </c>
      <c r="AKN25" s="127">
        <f t="shared" si="11"/>
        <v>0</v>
      </c>
      <c r="ALT25" s="127">
        <f t="shared" si="12"/>
        <v>0</v>
      </c>
      <c r="AMY25" s="127">
        <f t="shared" si="13"/>
        <v>0</v>
      </c>
    </row>
    <row r="26" spans="1:1069" x14ac:dyDescent="0.2">
      <c r="A26" s="164" t="s">
        <v>1371</v>
      </c>
      <c r="B26" s="160"/>
      <c r="C26" s="28">
        <f>EXPENSES!C32</f>
        <v>120000</v>
      </c>
      <c r="D26" s="28">
        <f>EXPENSES!D32</f>
        <v>2308000</v>
      </c>
      <c r="E26" s="28">
        <f>EXPENSES!E32</f>
        <v>136016</v>
      </c>
      <c r="F26" s="28">
        <f>EXPENSES!F32</f>
        <v>0</v>
      </c>
      <c r="G26" s="28">
        <f>EXPENSES!G32</f>
        <v>1315000</v>
      </c>
      <c r="H26" s="28">
        <f>EXPENSES!H32</f>
        <v>0</v>
      </c>
      <c r="I26" s="28">
        <f>EXPENSES!I32</f>
        <v>113000</v>
      </c>
      <c r="J26" s="28">
        <f>EXPENSES!J32</f>
        <v>55000</v>
      </c>
      <c r="K26" s="28">
        <f>EXPENSES!K32</f>
        <v>0</v>
      </c>
      <c r="L26" s="28">
        <f>EXPENSES!L32</f>
        <v>240000</v>
      </c>
      <c r="M26" s="28">
        <f>EXPENSES!M32</f>
        <v>14000</v>
      </c>
      <c r="N26" s="28">
        <f>EXPENSES!N32</f>
        <v>271000</v>
      </c>
      <c r="O26" s="28">
        <f>EXPENSES!O32</f>
        <v>0</v>
      </c>
      <c r="P26" s="28">
        <f>EXPENSES!P32</f>
        <v>102000</v>
      </c>
      <c r="Q26" s="28">
        <f>EXPENSES!Q32</f>
        <v>14000</v>
      </c>
      <c r="R26" s="28">
        <f>EXPENSES!R32</f>
        <v>20000</v>
      </c>
      <c r="S26" s="28">
        <f>EXPENSES!S32</f>
        <v>402000</v>
      </c>
      <c r="T26" s="28">
        <f>EXPENSES!T32</f>
        <v>0</v>
      </c>
      <c r="U26" s="28">
        <f>EXPENSES!U32</f>
        <v>22000</v>
      </c>
      <c r="V26" s="28">
        <f>EXPENSES!V32</f>
        <v>53000</v>
      </c>
      <c r="W26" s="28">
        <f>EXPENSES!W32</f>
        <v>41000</v>
      </c>
      <c r="X26" s="28">
        <f>EXPENSES!X32</f>
        <v>138000</v>
      </c>
      <c r="Y26" s="28">
        <f>EXPENSES!Y32</f>
        <v>106000</v>
      </c>
      <c r="Z26" s="28">
        <f>EXPENSES!Z32</f>
        <v>19000</v>
      </c>
      <c r="AA26" s="28">
        <f>EXPENSES!AA32</f>
        <v>187000</v>
      </c>
      <c r="AB26" s="28">
        <f>EXPENSES!AB32</f>
        <v>12000</v>
      </c>
      <c r="AC26" s="28">
        <f>EXPENSES!AC32</f>
        <v>1931000</v>
      </c>
      <c r="AD26" s="28">
        <f>EXPENSES!AD32</f>
        <v>8000</v>
      </c>
      <c r="AE26" s="28">
        <f>EXPENSES!AE32</f>
        <v>158000</v>
      </c>
      <c r="AF26" s="28">
        <f>EXPENSES!AF32</f>
        <v>0</v>
      </c>
      <c r="AG26" s="28">
        <f>EXPENSES!AG32</f>
        <v>152000</v>
      </c>
      <c r="AH26" s="94">
        <f>SUM(C26:AG26)</f>
        <v>7937016</v>
      </c>
      <c r="AI26" s="28">
        <f>EXPENSES!AI32</f>
        <v>200000</v>
      </c>
      <c r="AJ26" s="28">
        <f>EXPENSES!AJ32</f>
        <v>23500</v>
      </c>
      <c r="AK26" s="28">
        <f>EXPENSES!AK32</f>
        <v>2000</v>
      </c>
      <c r="AL26" s="28">
        <f>EXPENSES!AL32</f>
        <v>2695200</v>
      </c>
      <c r="AM26" s="28">
        <f>EXPENSES!AM32</f>
        <v>5000</v>
      </c>
      <c r="AN26" s="28">
        <f>EXPENSES!AN32</f>
        <v>6855576</v>
      </c>
      <c r="AO26" s="28">
        <f>EXPENSES!AO32</f>
        <v>52243000</v>
      </c>
      <c r="AP26" s="28">
        <f>EXPENSES!AP32</f>
        <v>400500</v>
      </c>
      <c r="AQ26" s="28">
        <f>EXPENSES!AQ32</f>
        <v>0</v>
      </c>
      <c r="AR26" s="28">
        <f>EXPENSES!AR32</f>
        <v>7000</v>
      </c>
      <c r="AS26" s="28">
        <f>EXPENSES!AS32</f>
        <v>218000</v>
      </c>
      <c r="AT26" s="28">
        <f>EXPENSES!AT32</f>
        <v>33000</v>
      </c>
      <c r="AU26" s="28">
        <f>EXPENSES!AU32</f>
        <v>53620000</v>
      </c>
      <c r="AV26" s="28">
        <f>EXPENSES!AV32</f>
        <v>18000</v>
      </c>
      <c r="AW26" s="28">
        <f>EXPENSES!AW32</f>
        <v>30000</v>
      </c>
      <c r="AX26" s="28">
        <f>EXPENSES!AX32</f>
        <v>503000</v>
      </c>
      <c r="AY26" s="28">
        <f>EXPENSES!AY32</f>
        <v>100000</v>
      </c>
      <c r="AZ26" s="28">
        <f>EXPENSES!AZ32</f>
        <v>100000</v>
      </c>
      <c r="BA26" s="28">
        <f>EXPENSES!BA32</f>
        <v>0</v>
      </c>
      <c r="BB26" s="28">
        <f>EXPENSES!BB32</f>
        <v>8000</v>
      </c>
      <c r="BC26" s="28">
        <f>EXPENSES!BC32</f>
        <v>116000</v>
      </c>
      <c r="BD26" s="28">
        <f>EXPENSES!BD32</f>
        <v>49000</v>
      </c>
      <c r="BE26" s="28">
        <f>EXPENSES!BE32</f>
        <v>327000</v>
      </c>
      <c r="BF26" s="28">
        <f>EXPENSES!BF32</f>
        <v>6000</v>
      </c>
      <c r="BG26" s="28">
        <f>EXPENSES!BG32</f>
        <v>37000</v>
      </c>
      <c r="BH26" s="28">
        <f>EXPENSES!BH32</f>
        <v>104000</v>
      </c>
      <c r="BI26" s="28">
        <f>EXPENSES!BI32</f>
        <v>0</v>
      </c>
      <c r="BJ26" s="28">
        <f>EXPENSES!BJ32</f>
        <v>2000</v>
      </c>
      <c r="BK26" s="28">
        <f>EXPENSES!BK32</f>
        <v>205000</v>
      </c>
      <c r="BL26" s="28">
        <f>EXPENSES!BL32</f>
        <v>79000</v>
      </c>
      <c r="BM26" s="97">
        <f>SUM(AI26:BL26)</f>
        <v>117986776</v>
      </c>
      <c r="BN26" s="28">
        <f>EXPENSES!BN32</f>
        <v>99000</v>
      </c>
      <c r="BO26" s="28">
        <f>EXPENSES!BO32</f>
        <v>4000</v>
      </c>
      <c r="BP26" s="28">
        <f>EXPENSES!BP32</f>
        <v>3927000</v>
      </c>
      <c r="BQ26" s="28">
        <f>EXPENSES!BQ32</f>
        <v>42000</v>
      </c>
      <c r="BR26" s="28">
        <f>EXPENSES!BR32</f>
        <v>100000</v>
      </c>
      <c r="BS26" s="28">
        <f>EXPENSES!BS32</f>
        <v>183200</v>
      </c>
      <c r="BT26" s="28">
        <f>EXPENSES!BT32</f>
        <v>1000</v>
      </c>
      <c r="BU26" s="28">
        <f>EXPENSES!BU32</f>
        <v>0</v>
      </c>
      <c r="BV26" s="28">
        <f>EXPENSES!BV32</f>
        <v>12000</v>
      </c>
      <c r="BW26" s="28">
        <f>EXPENSES!BW32</f>
        <v>400000</v>
      </c>
      <c r="BX26" s="28">
        <f>EXPENSES!BX32</f>
        <v>202000</v>
      </c>
      <c r="BY26" s="28">
        <f>EXPENSES!BY32</f>
        <v>2000</v>
      </c>
      <c r="BZ26" s="28">
        <f>EXPENSES!BZ32</f>
        <v>300</v>
      </c>
      <c r="CA26" s="28">
        <f>EXPENSES!CA32</f>
        <v>117000</v>
      </c>
      <c r="CB26" s="28">
        <f>EXPENSES!CB32</f>
        <v>2000</v>
      </c>
      <c r="CC26" s="28">
        <f>EXPENSES!CC32</f>
        <v>99000</v>
      </c>
      <c r="CD26" s="28">
        <f>EXPENSES!CD32</f>
        <v>50000</v>
      </c>
      <c r="CE26" s="28">
        <f>EXPENSES!CE32</f>
        <v>242000</v>
      </c>
      <c r="CF26" s="28">
        <f>EXPENSES!CF32</f>
        <v>0</v>
      </c>
      <c r="CG26" s="28">
        <f>EXPENSES!CG32</f>
        <v>21000</v>
      </c>
      <c r="CH26" s="28">
        <f>EXPENSES!CH32</f>
        <v>0</v>
      </c>
      <c r="CI26" s="28">
        <f>EXPENSES!CI32</f>
        <v>100000</v>
      </c>
      <c r="CJ26" s="28">
        <f>EXPENSES!CJ32</f>
        <v>72000</v>
      </c>
      <c r="CK26" s="28">
        <f>EXPENSES!CK33</f>
        <v>21000</v>
      </c>
      <c r="CL26" s="28">
        <f>EXPENSES!CL32</f>
        <v>433000</v>
      </c>
      <c r="CM26" s="28">
        <f>EXPENSES!CM32</f>
        <v>101000</v>
      </c>
      <c r="CN26" s="28">
        <f>EXPENSES!CN32</f>
        <v>101000</v>
      </c>
      <c r="CO26" s="28">
        <f>EXPENSES!CO32</f>
        <v>15000</v>
      </c>
      <c r="CP26" s="28">
        <f>EXPENSES!CP32</f>
        <v>60000</v>
      </c>
      <c r="CQ26" s="28">
        <f>EXPENSES!CQ32</f>
        <v>359000</v>
      </c>
      <c r="CR26" s="28">
        <f>EXPENSES!CR32</f>
        <v>128846</v>
      </c>
      <c r="CS26" s="111">
        <f t="shared" si="208"/>
        <v>6894346</v>
      </c>
      <c r="CT26" s="28">
        <f>EXPENSES!CT32</f>
        <v>20000</v>
      </c>
      <c r="CU26" s="28">
        <f>EXPENSES!CU32</f>
        <v>100000</v>
      </c>
      <c r="CV26" s="28">
        <f>EXPENSES!CV32</f>
        <v>2682000</v>
      </c>
      <c r="CW26" s="28">
        <f>EXPENSES!CW32</f>
        <v>290000</v>
      </c>
      <c r="CX26" s="28">
        <f>EXPENSES!CX32</f>
        <v>0</v>
      </c>
      <c r="CY26" s="28">
        <f>EXPENSES!CY32</f>
        <v>319000</v>
      </c>
      <c r="CZ26" s="28">
        <f>EXPENSES!CZ32</f>
        <v>363000</v>
      </c>
      <c r="DA26" s="28">
        <f>EXPENSES!DA32</f>
        <v>20000</v>
      </c>
      <c r="DB26" s="28">
        <f>EXPENSES!DB32</f>
        <v>1300000</v>
      </c>
      <c r="DC26" s="28">
        <f>EXPENSES!DC32</f>
        <v>0</v>
      </c>
      <c r="DD26" s="28">
        <f>EXPENSES!DD32</f>
        <v>100000</v>
      </c>
      <c r="DE26" s="28">
        <f>EXPENSES!DE32</f>
        <v>174500</v>
      </c>
      <c r="DF26" s="28">
        <f>EXPENSES!DF32</f>
        <v>97500</v>
      </c>
      <c r="DG26" s="28">
        <f>EXPENSES!DG32</f>
        <v>3000</v>
      </c>
      <c r="DH26" s="28">
        <f>EXPENSES!DH32</f>
        <v>132440</v>
      </c>
      <c r="DI26" s="28">
        <f>EXPENSES!DI32</f>
        <v>8000</v>
      </c>
      <c r="DJ26" s="28">
        <f>EXPENSES!DJ32</f>
        <v>199800</v>
      </c>
      <c r="DK26" s="28">
        <f>EXPENSES!DK32</f>
        <v>15000</v>
      </c>
      <c r="DL26" s="28">
        <f>EXPENSES!DL32</f>
        <v>4000</v>
      </c>
      <c r="DM26" s="28">
        <f>EXPENSES!DM32</f>
        <v>122000</v>
      </c>
      <c r="DN26" s="28">
        <f>EXPENSES!DN32</f>
        <v>106000</v>
      </c>
      <c r="DO26" s="28">
        <f>EXPENSES!DO32</f>
        <v>8000</v>
      </c>
      <c r="DP26" s="28">
        <f>EXPENSES!DP32</f>
        <v>125000</v>
      </c>
      <c r="DQ26" s="28">
        <f>EXPENSES!DQ32</f>
        <v>0</v>
      </c>
      <c r="DR26" s="28">
        <f>EXPENSES!DR32</f>
        <v>0</v>
      </c>
      <c r="DS26" s="28">
        <f>EXPENSES!DS32</f>
        <v>99800</v>
      </c>
      <c r="DT26" s="28">
        <f>EXPENSES!DT32</f>
        <v>411400</v>
      </c>
      <c r="DU26" s="28">
        <f>EXPENSES!DU32</f>
        <v>511600</v>
      </c>
      <c r="DV26" s="28">
        <f>EXPENSES!DV32</f>
        <v>103500</v>
      </c>
      <c r="DW26" s="28">
        <f>EXPENSES!DW32</f>
        <v>2000</v>
      </c>
      <c r="DX26" s="119">
        <f>SUM(CT26:DW26)</f>
        <v>7317540</v>
      </c>
      <c r="DY26" s="28">
        <f>EXPENSES!DY32</f>
        <v>150000</v>
      </c>
      <c r="DZ26" s="28">
        <f>EXPENSES!DZ32</f>
        <v>20000</v>
      </c>
      <c r="EA26" s="28">
        <f>EXPENSES!EA32</f>
        <v>110000</v>
      </c>
      <c r="EB26" s="28">
        <f>EXPENSES!EB32</f>
        <v>2540000</v>
      </c>
      <c r="EC26" s="28">
        <f>EXPENSES!EC32</f>
        <v>1201000</v>
      </c>
      <c r="ED26" s="28">
        <f>EXPENSES!ED32</f>
        <v>49900</v>
      </c>
      <c r="EE26" s="28">
        <f>EXPENSES!EE32</f>
        <v>160000</v>
      </c>
      <c r="EF26" s="28">
        <f>EXPENSES!EF32</f>
        <v>131800</v>
      </c>
      <c r="EG26" s="28">
        <f>EXPENSES!EG32</f>
        <v>522234</v>
      </c>
      <c r="EH26" s="28">
        <f>EXPENSES!EH32</f>
        <v>266750</v>
      </c>
      <c r="EI26" s="28">
        <f>EXPENSES!EI32</f>
        <v>141000</v>
      </c>
      <c r="EJ26" s="28">
        <f>EXPENSES!EJ32</f>
        <v>448667</v>
      </c>
      <c r="EK26" s="28">
        <f>EXPENSES!EK32</f>
        <v>12500</v>
      </c>
      <c r="EL26" s="28">
        <f>EXPENSES!EL32</f>
        <v>269235</v>
      </c>
      <c r="EM26" s="28">
        <f>EXPENSES!EM32</f>
        <v>0</v>
      </c>
      <c r="EN26" s="28">
        <f>EXPENSES!EN32</f>
        <v>22000</v>
      </c>
      <c r="EO26" s="28">
        <f>EXPENSES!EO32</f>
        <v>0</v>
      </c>
      <c r="EP26" s="28">
        <f>EXPENSES!EP32</f>
        <v>182942</v>
      </c>
      <c r="EQ26" s="28">
        <f>EXPENSES!EQ32</f>
        <v>2000</v>
      </c>
      <c r="ER26" s="28">
        <f>EXPENSES!ER32</f>
        <v>0</v>
      </c>
      <c r="ES26" s="28">
        <f>EXPENSES!ES32</f>
        <v>6000</v>
      </c>
      <c r="ET26" s="28">
        <f>EXPENSES!ET32</f>
        <v>0</v>
      </c>
      <c r="EU26" s="28">
        <f>EXPENSES!EU32</f>
        <v>412021</v>
      </c>
      <c r="EV26" s="28">
        <f>EXPENSES!EV32</f>
        <v>0</v>
      </c>
      <c r="EW26" s="28">
        <f>EXPENSES!EW32</f>
        <v>48500</v>
      </c>
      <c r="EX26" s="28">
        <f>EXPENSES!EX32</f>
        <v>2000</v>
      </c>
      <c r="EY26" s="28">
        <f>EXPENSES!EY32</f>
        <v>0</v>
      </c>
      <c r="EZ26" s="28">
        <f>EXPENSES!EZ32</f>
        <v>102000</v>
      </c>
      <c r="FA26" s="28">
        <f>EXPENSES!FA32</f>
        <v>170800</v>
      </c>
      <c r="FB26" s="28">
        <f>EXPENSES!FB32</f>
        <v>17300</v>
      </c>
      <c r="FC26" s="28">
        <f>EXPENSES!FC32</f>
        <v>338572</v>
      </c>
      <c r="FD26" s="128">
        <f>SUM(DY26:FC26)</f>
        <v>7327221</v>
      </c>
      <c r="FE26" s="28">
        <f>EXPENSES!FE32</f>
        <v>129000</v>
      </c>
      <c r="FF26" s="28">
        <f>EXPENSES!FF32</f>
        <v>0</v>
      </c>
      <c r="FG26" s="28">
        <f>EXPENSES!FG32</f>
        <v>0</v>
      </c>
      <c r="FH26" s="28">
        <f>EXPENSES!FH32</f>
        <v>2507000</v>
      </c>
      <c r="FI26" s="28">
        <f>EXPENSES!FI32</f>
        <v>200000</v>
      </c>
      <c r="FJ26" s="28">
        <f>EXPENSES!FJ32</f>
        <v>433265</v>
      </c>
      <c r="FK26" s="28">
        <f>EXPENSES!FK32</f>
        <v>2000</v>
      </c>
      <c r="FL26" s="28">
        <f>EXPENSES!FL32</f>
        <v>0</v>
      </c>
      <c r="FM26" s="28">
        <f>EXPENSES!FM32</f>
        <v>0</v>
      </c>
      <c r="FN26" s="28">
        <f>EXPENSES!FN32</f>
        <v>1448000</v>
      </c>
      <c r="FO26" s="28">
        <f>EXPENSES!FO32</f>
        <v>27000</v>
      </c>
      <c r="FP26" s="28">
        <f>EXPENSES!FP32</f>
        <v>224000</v>
      </c>
      <c r="FQ26" s="28">
        <f>EXPENSES!FQ32</f>
        <v>20000</v>
      </c>
      <c r="FR26" s="28">
        <f>EXPENSES!FR32</f>
        <v>0</v>
      </c>
      <c r="FS26" s="28">
        <f>EXPENSES!FS32</f>
        <v>59000</v>
      </c>
      <c r="FT26" s="28">
        <f>EXPENSES!FT32</f>
        <v>15000</v>
      </c>
      <c r="FU26" s="28">
        <f>EXPENSES!FU32</f>
        <v>402000</v>
      </c>
      <c r="FV26" s="28">
        <f>EXPENSES!FV32</f>
        <v>325474</v>
      </c>
      <c r="FW26" s="28">
        <f>EXPENSES!FW32</f>
        <v>82000</v>
      </c>
      <c r="FX26" s="28">
        <f>EXPENSES!FX32</f>
        <v>0</v>
      </c>
      <c r="FY26" s="28">
        <f>EXPENSES!FY32</f>
        <v>153000</v>
      </c>
      <c r="FZ26" s="28">
        <f>EXPENSES!FZ32</f>
        <v>301000</v>
      </c>
      <c r="GA26" s="28">
        <f>EXPENSES!GA32</f>
        <v>237000</v>
      </c>
      <c r="GB26" s="28">
        <f>EXPENSES!GB32</f>
        <v>63000</v>
      </c>
      <c r="GC26" s="28">
        <f>EXPENSES!GC32</f>
        <v>190500</v>
      </c>
      <c r="GD26" s="28">
        <f>EXPENSES!GD32</f>
        <v>252000</v>
      </c>
      <c r="GE26" s="28">
        <f>EXPENSES!GE32</f>
        <v>140000</v>
      </c>
      <c r="GF26" s="28">
        <f>EXPENSES!GF32</f>
        <v>22000</v>
      </c>
      <c r="GG26" s="28">
        <f>EXPENSES!GG32</f>
        <v>605000</v>
      </c>
      <c r="GH26" s="28">
        <f>EXPENSES!GH32</f>
        <v>101000</v>
      </c>
      <c r="GI26" s="28">
        <f>EXPENSES!GI32</f>
        <v>22000</v>
      </c>
      <c r="GJ26" s="127">
        <f t="shared" si="99"/>
        <v>7960239</v>
      </c>
      <c r="GK26" s="28">
        <f>EXPENSES!GK32</f>
        <v>202000</v>
      </c>
      <c r="GL26" s="28">
        <f>EXPENSES!GL32</f>
        <v>102000</v>
      </c>
      <c r="GM26" s="28">
        <f>EXPENSES!GM32</f>
        <v>105000</v>
      </c>
      <c r="GN26" s="28">
        <f>EXPENSES!GN32</f>
        <v>2000</v>
      </c>
      <c r="GO26" s="28">
        <f>EXPENSES!GO32</f>
        <v>2618500</v>
      </c>
      <c r="GP26" s="28">
        <f>EXPENSES!GP32</f>
        <v>44000</v>
      </c>
      <c r="GQ26" s="28">
        <f>EXPENSES!GQ32</f>
        <v>75000</v>
      </c>
      <c r="GR26" s="28">
        <f>EXPENSES!GR32</f>
        <v>626000</v>
      </c>
      <c r="GS26" s="28">
        <f>EXPENSES!GS32</f>
        <v>2000</v>
      </c>
      <c r="GT26" s="28">
        <f>EXPENSES!GT32</f>
        <v>8500</v>
      </c>
      <c r="GU26" s="28">
        <f>EXPENSES!GU32</f>
        <v>1200000</v>
      </c>
      <c r="GV26" s="28">
        <f>EXPENSES!GV32</f>
        <v>2000</v>
      </c>
      <c r="GW26" s="28">
        <f>EXPENSES!GW32</f>
        <v>4000</v>
      </c>
      <c r="GX26" s="28">
        <f>EXPENSES!GX32</f>
        <v>304000</v>
      </c>
      <c r="GY26" s="28">
        <f>EXPENSES!GY32</f>
        <v>0</v>
      </c>
      <c r="GZ26" s="28">
        <f>EXPENSES!GZ32</f>
        <v>244000</v>
      </c>
      <c r="HA26" s="28">
        <f>EXPENSES!HA32</f>
        <v>6000</v>
      </c>
      <c r="HB26" s="28">
        <f>EXPENSES!HB32</f>
        <v>22000</v>
      </c>
      <c r="HC26" s="28">
        <f>EXPENSES!HC32</f>
        <v>200000</v>
      </c>
      <c r="HD26" s="28">
        <f>EXPENSES!HD32</f>
        <v>11206026</v>
      </c>
      <c r="HE26" s="28">
        <f>EXPENSES!HE32</f>
        <v>523300</v>
      </c>
      <c r="HF26" s="28">
        <f>EXPENSES!HF32</f>
        <v>14000</v>
      </c>
      <c r="HG26" s="28">
        <f>EXPENSES!HG32</f>
        <v>440291</v>
      </c>
      <c r="HH26" s="28">
        <f>EXPENSES!HH32</f>
        <v>504000</v>
      </c>
      <c r="HI26" s="28">
        <f>EXPENSES!HI32</f>
        <v>0</v>
      </c>
      <c r="HJ26" s="28">
        <f>EXPENSES!HJ32</f>
        <v>350500</v>
      </c>
      <c r="HK26" s="28">
        <f>EXPENSES!HK32</f>
        <v>161500</v>
      </c>
      <c r="HL26" s="28">
        <f>EXPENSES!HL32</f>
        <v>453650</v>
      </c>
      <c r="HM26" s="28">
        <f>EXPENSES!HM32</f>
        <v>528110</v>
      </c>
      <c r="HN26" s="127">
        <f t="shared" si="101"/>
        <v>19948377</v>
      </c>
      <c r="HO26" s="28">
        <f>EXPENSES!HO32</f>
        <v>508000</v>
      </c>
      <c r="HP26" s="28">
        <f>EXPENSES!HP32</f>
        <v>226100</v>
      </c>
      <c r="HQ26" s="28">
        <f>EXPENSES!HQ32</f>
        <v>297000</v>
      </c>
      <c r="HR26" s="28">
        <f>EXPENSES!HR32</f>
        <v>2651000</v>
      </c>
      <c r="HS26" s="28">
        <f>EXPENSES!HS32</f>
        <v>630327</v>
      </c>
      <c r="HT26" s="28">
        <f>EXPENSES!HT32</f>
        <v>299000</v>
      </c>
      <c r="HU26" s="28">
        <f>EXPENSES!HU32</f>
        <v>244500</v>
      </c>
      <c r="HV26" s="28">
        <f>EXPENSES!HV32</f>
        <v>1202000</v>
      </c>
      <c r="HW26" s="28">
        <f>EXPENSES!HW32</f>
        <v>250050</v>
      </c>
      <c r="HX26" s="28">
        <f>EXPENSES!HX32</f>
        <v>110000</v>
      </c>
      <c r="HY26" s="28">
        <f>EXPENSES!HY32</f>
        <v>354500</v>
      </c>
      <c r="HZ26" s="28">
        <f>EXPENSES!HZ32</f>
        <v>202000</v>
      </c>
      <c r="IA26" s="28">
        <f>EXPENSES!IA32</f>
        <v>3000</v>
      </c>
      <c r="IB26" s="28">
        <f>EXPENSES!IB32</f>
        <v>697000</v>
      </c>
      <c r="IC26" s="28">
        <f>EXPENSES!IC32</f>
        <v>2000</v>
      </c>
      <c r="ID26" s="28">
        <f>EXPENSES!ID32</f>
        <v>400000</v>
      </c>
      <c r="IE26" s="28">
        <f>EXPENSES!IE32</f>
        <v>101000</v>
      </c>
      <c r="IF26" s="28">
        <f>EXPENSES!IF32</f>
        <v>2000</v>
      </c>
      <c r="IG26" s="28">
        <f>EXPENSES!IG32</f>
        <v>198000</v>
      </c>
      <c r="IH26" s="28">
        <f>EXPENSES!IH32</f>
        <v>217000</v>
      </c>
      <c r="II26" s="28">
        <f>EXPENSES!II32</f>
        <v>102000</v>
      </c>
      <c r="IJ26" s="28">
        <f>EXPENSES!IJ32</f>
        <v>218500</v>
      </c>
      <c r="IK26" s="28">
        <f>EXPENSES!IK32</f>
        <v>148500</v>
      </c>
      <c r="IL26" s="28">
        <f>EXPENSES!IL32</f>
        <v>2000</v>
      </c>
      <c r="IM26" s="28">
        <f>EXPENSES!IM32</f>
        <v>458500</v>
      </c>
      <c r="IN26" s="28">
        <f>EXPENSES!IN32</f>
        <v>0</v>
      </c>
      <c r="IO26" s="28">
        <f>EXPENSES!IO32</f>
        <v>241620</v>
      </c>
      <c r="IP26" s="28">
        <f>EXPENSES!IP32</f>
        <v>0</v>
      </c>
      <c r="IQ26" s="28">
        <f>EXPENSES!IQ32</f>
        <v>642000</v>
      </c>
      <c r="IR26" s="28">
        <f>EXPENSES!IR32</f>
        <v>14000</v>
      </c>
      <c r="IS26" s="28">
        <f>EXPENSES!IS32</f>
        <v>22000</v>
      </c>
      <c r="IT26" s="127">
        <f t="shared" si="22"/>
        <v>10443597</v>
      </c>
      <c r="IU26" s="28">
        <f>EXPENSES!IU32</f>
        <v>140000</v>
      </c>
      <c r="IV26" s="28">
        <f>EXPENSES!IV32</f>
        <v>418052</v>
      </c>
      <c r="IW26" s="28">
        <f>EXPENSES!IW32</f>
        <v>2334500</v>
      </c>
      <c r="IX26" s="28">
        <f>EXPENSES!IX32</f>
        <v>351500</v>
      </c>
      <c r="IY26" s="28">
        <f>EXPENSES!IY32</f>
        <v>172000</v>
      </c>
      <c r="IZ26" s="28">
        <f>EXPENSES!IZ32</f>
        <v>1202000</v>
      </c>
      <c r="JA26" s="28">
        <f>EXPENSES!JA32</f>
        <v>263800</v>
      </c>
      <c r="JB26" s="28">
        <f>EXPENSES!JB32</f>
        <v>304000</v>
      </c>
      <c r="JC26" s="28">
        <f>EXPENSES!JC32</f>
        <v>460000</v>
      </c>
      <c r="JD26" s="28">
        <f>EXPENSES!JD32</f>
        <v>0</v>
      </c>
      <c r="JE26" s="28">
        <f>EXPENSES!JE32</f>
        <v>245582</v>
      </c>
      <c r="JF26" s="28">
        <f>EXPENSES!JF32</f>
        <v>0</v>
      </c>
      <c r="JG26" s="28">
        <f>EXPENSES!JG32</f>
        <v>300000</v>
      </c>
      <c r="JH26" s="28">
        <f>EXPENSES!JH32</f>
        <v>0</v>
      </c>
      <c r="JI26" s="28">
        <f>EXPENSES!JI32</f>
        <v>254000</v>
      </c>
      <c r="JJ26" s="28">
        <f>EXPENSES!JJ32</f>
        <v>320000</v>
      </c>
      <c r="JK26" s="28">
        <f>EXPENSES!JK32</f>
        <v>4000</v>
      </c>
      <c r="JL26" s="28">
        <f>EXPENSES!JL32</f>
        <v>50000</v>
      </c>
      <c r="JM26" s="28">
        <f>EXPENSES!JM32</f>
        <v>270000</v>
      </c>
      <c r="JN26" s="28">
        <f>EXPENSES!JN32</f>
        <v>101800</v>
      </c>
      <c r="JO26" s="28">
        <f>EXPENSES!JO32</f>
        <v>8000</v>
      </c>
      <c r="JP26" s="28">
        <f>EXPENSES!JP32</f>
        <v>687000</v>
      </c>
      <c r="JQ26" s="28">
        <f>EXPENSES!JQ32</f>
        <v>102000</v>
      </c>
      <c r="JR26" s="28">
        <f>EXPENSES!JR32</f>
        <v>0</v>
      </c>
      <c r="JS26" s="28">
        <f>EXPENSES!JS32</f>
        <v>907600</v>
      </c>
      <c r="JT26" s="28">
        <f>EXPENSES!JT32</f>
        <v>247000</v>
      </c>
      <c r="JU26" s="28">
        <f>EXPENSES!JU32</f>
        <v>100000</v>
      </c>
      <c r="JV26" s="28">
        <f>EXPENSES!JV32</f>
        <v>2000</v>
      </c>
      <c r="JW26" s="28">
        <f>EXPENSES!JW32</f>
        <v>209000</v>
      </c>
      <c r="JX26" s="28">
        <f>EXPENSES!JX32</f>
        <v>147750</v>
      </c>
      <c r="JY26" s="127">
        <f t="shared" si="58"/>
        <v>9601584</v>
      </c>
      <c r="JZ26" s="28">
        <f>EXPENSES!JZ32</f>
        <v>4000</v>
      </c>
      <c r="KA26" s="28">
        <f>EXPENSES!KA32</f>
        <v>0</v>
      </c>
      <c r="KB26" s="28">
        <f>EXPENSES!KB32</f>
        <v>2244200</v>
      </c>
      <c r="KC26" s="28">
        <f>EXPENSES!KC32</f>
        <v>200000</v>
      </c>
      <c r="KD26" s="28">
        <f>EXPENSES!KD32</f>
        <v>3000</v>
      </c>
      <c r="KE26" s="28">
        <f>EXPENSES!KE32</f>
        <v>822000</v>
      </c>
      <c r="KF26" s="28">
        <f>EXPENSES!KF32</f>
        <v>2050136</v>
      </c>
      <c r="KG26" s="28">
        <f>EXPENSES!KG32</f>
        <v>1317000</v>
      </c>
      <c r="KH26" s="28">
        <f>EXPENSES!KH32</f>
        <v>100800</v>
      </c>
      <c r="KI26" s="28">
        <f>EXPENSES!KI32</f>
        <v>1483000</v>
      </c>
      <c r="KJ26" s="28">
        <f>EXPENSES!KJ32</f>
        <v>50000</v>
      </c>
      <c r="KK26" s="28">
        <f>EXPENSES!KK32</f>
        <v>2000</v>
      </c>
      <c r="KL26" s="28">
        <f>EXPENSES!KL32</f>
        <v>0</v>
      </c>
      <c r="KM26" s="28">
        <f>EXPENSES!KM32</f>
        <v>665654</v>
      </c>
      <c r="KN26" s="28">
        <f>EXPENSES!KN32</f>
        <v>340000</v>
      </c>
      <c r="KO26" s="28">
        <f>EXPENSES!KO32</f>
        <v>5080000</v>
      </c>
      <c r="KP26" s="28">
        <f>EXPENSES!KP32</f>
        <v>817000</v>
      </c>
      <c r="KQ26" s="28">
        <f>EXPENSES!KQ32</f>
        <v>601800</v>
      </c>
      <c r="KR26" s="28">
        <f>EXPENSES!KR32</f>
        <v>204000</v>
      </c>
      <c r="KS26" s="28">
        <f>EXPENSES!KS32</f>
        <v>102000</v>
      </c>
      <c r="KT26" s="28">
        <f>EXPENSES!KT32</f>
        <v>2251170</v>
      </c>
      <c r="KU26" s="28">
        <f>EXPENSES!KU32</f>
        <v>2037218</v>
      </c>
      <c r="KV26" s="28">
        <f>EXPENSES!KV32</f>
        <v>4890000</v>
      </c>
      <c r="KW26" s="28">
        <f>EXPENSES!KW32</f>
        <v>487000</v>
      </c>
      <c r="KX26" s="28">
        <f>EXPENSES!KX32</f>
        <v>390800</v>
      </c>
      <c r="KY26" s="28">
        <f>EXPENSES!KY32</f>
        <v>97800</v>
      </c>
      <c r="KZ26" s="28">
        <f>EXPENSES!KZ32</f>
        <v>301800</v>
      </c>
      <c r="LA26" s="28">
        <f>EXPENSES!LA32</f>
        <v>185000</v>
      </c>
      <c r="LB26" s="28">
        <f>EXPENSES!LB32</f>
        <v>240000</v>
      </c>
      <c r="LC26" s="28">
        <f>EXPENSES!LC32</f>
        <v>492000</v>
      </c>
      <c r="LD26" s="28">
        <f>EXPENSES!LD32</f>
        <v>4000</v>
      </c>
      <c r="LE26" s="127">
        <f t="shared" si="60"/>
        <v>27459378</v>
      </c>
      <c r="LF26" s="28">
        <f>EXPENSES!LF32</f>
        <v>143000</v>
      </c>
      <c r="LG26" s="28">
        <f>EXPENSES!LG32</f>
        <v>0</v>
      </c>
      <c r="LH26" s="28">
        <f>EXPENSES!LH32</f>
        <v>2490800</v>
      </c>
      <c r="LI26" s="28">
        <f>EXPENSES!LI32</f>
        <v>1200000</v>
      </c>
      <c r="LJ26" s="28">
        <f>EXPENSES!LJ32</f>
        <v>155000</v>
      </c>
      <c r="LK26" s="28">
        <f>EXPENSES!LK32</f>
        <v>103000</v>
      </c>
      <c r="LL26" s="28">
        <f>EXPENSES!LL32</f>
        <v>227500</v>
      </c>
      <c r="LM26" s="28">
        <f>EXPENSES!LM32</f>
        <v>200000</v>
      </c>
      <c r="LN26" s="28">
        <f>EXPENSES!LN32</f>
        <v>0</v>
      </c>
      <c r="LO26" s="28">
        <f>EXPENSES!LO32</f>
        <v>54000</v>
      </c>
      <c r="LP26" s="28">
        <f>EXPENSES!LP32</f>
        <v>99000</v>
      </c>
      <c r="LQ26" s="28">
        <f>EXPENSES!LQ32</f>
        <v>4000</v>
      </c>
      <c r="LR26" s="28">
        <f>EXPENSES!LR32</f>
        <v>9400</v>
      </c>
      <c r="LS26" s="28">
        <f>EXPENSES!LS32</f>
        <v>1689000</v>
      </c>
      <c r="LT26" s="28">
        <f>EXPENSES!LT32</f>
        <v>150000</v>
      </c>
      <c r="LU26" s="28">
        <f>EXPENSES!LU32</f>
        <v>260000</v>
      </c>
      <c r="LV26" s="28">
        <f>EXPENSES!LV32</f>
        <v>616014</v>
      </c>
      <c r="LW26" s="28">
        <f>EXPENSES!LW32</f>
        <v>194000</v>
      </c>
      <c r="LX26" s="28">
        <f>EXPENSES!LX32</f>
        <v>174500</v>
      </c>
      <c r="LY26" s="28">
        <f>EXPENSES!LY32</f>
        <v>420000</v>
      </c>
      <c r="LZ26" s="28">
        <f>EXPENSES!LZ32</f>
        <v>233000</v>
      </c>
      <c r="MA26" s="28">
        <f>EXPENSES!MA32</f>
        <v>0</v>
      </c>
      <c r="MB26" s="28">
        <f>EXPENSES!MB32</f>
        <v>100000</v>
      </c>
      <c r="MC26" s="28">
        <f>EXPENSES!MC32</f>
        <v>7000</v>
      </c>
      <c r="MD26" s="28">
        <f>EXPENSES!MD32</f>
        <v>0</v>
      </c>
      <c r="ME26" s="28">
        <f>EXPENSES!ME32</f>
        <v>796793</v>
      </c>
      <c r="MF26" s="28">
        <f>EXPENSES!MF32</f>
        <v>0</v>
      </c>
      <c r="MG26" s="28">
        <f>EXPENSES!MG32</f>
        <v>259000</v>
      </c>
      <c r="MH26" s="28">
        <f>EXPENSES!MH32</f>
        <v>151000</v>
      </c>
      <c r="MI26" s="28">
        <f>EXPENSES!MI32</f>
        <v>0</v>
      </c>
      <c r="MJ26" s="127">
        <f t="shared" si="62"/>
        <v>9736007</v>
      </c>
      <c r="MK26" s="28">
        <f>EXPENSES!MK32</f>
        <v>1093000</v>
      </c>
      <c r="ML26" s="28">
        <f>EXPENSES!ML32</f>
        <v>1200000</v>
      </c>
      <c r="MM26" s="28">
        <f>EXPENSES!MM32</f>
        <v>2239000</v>
      </c>
      <c r="MN26" s="28">
        <f>EXPENSES!MN32</f>
        <v>1000</v>
      </c>
      <c r="MO26" s="28">
        <f>EXPENSES!MO32</f>
        <v>101000</v>
      </c>
      <c r="MP26" s="28">
        <f>EXPENSES!MP32</f>
        <v>101000</v>
      </c>
      <c r="MQ26" s="28">
        <f>EXPENSES!MQ32</f>
        <v>50000</v>
      </c>
      <c r="MR26" s="28">
        <f>EXPENSES!MR32</f>
        <v>8000</v>
      </c>
      <c r="MS26" s="28">
        <f>EXPENSES!MS32</f>
        <v>194800</v>
      </c>
      <c r="MT26" s="28">
        <f>EXPENSES!MT32</f>
        <v>4000</v>
      </c>
      <c r="MU26" s="28">
        <f>EXPENSES!MU32</f>
        <v>323626</v>
      </c>
      <c r="MV26" s="28">
        <f>EXPENSES!MV32</f>
        <v>91000</v>
      </c>
      <c r="MW26" s="28">
        <f>EXPENSES!MW32</f>
        <v>50000</v>
      </c>
      <c r="MX26" s="28">
        <f>EXPENSES!MX32</f>
        <v>70000</v>
      </c>
      <c r="MY26" s="28">
        <f>EXPENSES!MY32</f>
        <v>0</v>
      </c>
      <c r="MZ26" s="28">
        <f>EXPENSES!MZ32</f>
        <v>100000</v>
      </c>
      <c r="NA26" s="28">
        <f>EXPENSES!NA32</f>
        <v>1283000</v>
      </c>
      <c r="NB26" s="28">
        <f>EXPENSES!NB32</f>
        <v>305504</v>
      </c>
      <c r="NC26" s="28">
        <f>EXPENSES!NC32</f>
        <v>51990</v>
      </c>
      <c r="ND26" s="28">
        <f>EXPENSES!ND32</f>
        <v>50000</v>
      </c>
      <c r="NE26" s="28">
        <f>EXPENSES!NE32</f>
        <v>0</v>
      </c>
      <c r="NF26" s="28">
        <f>EXPENSES!NF32</f>
        <v>239980</v>
      </c>
      <c r="NG26" s="28">
        <f>EXPENSES!NG32</f>
        <v>0</v>
      </c>
      <c r="NH26" s="28">
        <f>EXPENSES!NH32</f>
        <v>105000</v>
      </c>
      <c r="NI26" s="28">
        <f>EXPENSES!NI32</f>
        <v>52000</v>
      </c>
      <c r="NJ26" s="28">
        <f>EXPENSES!NJ32</f>
        <v>259000</v>
      </c>
      <c r="NK26" s="28">
        <f>EXPENSES!NK32</f>
        <v>191960</v>
      </c>
      <c r="NL26" s="28">
        <f>EXPENSES!NL32</f>
        <v>151000</v>
      </c>
      <c r="NM26" s="28">
        <f>EXPENSES!NM32</f>
        <v>4000</v>
      </c>
      <c r="NN26" s="28">
        <f>EXPENSES!NN32</f>
        <v>1121000</v>
      </c>
      <c r="NO26" s="28">
        <f>EXPENSES!NO32</f>
        <v>105000</v>
      </c>
      <c r="NP26" s="127">
        <f t="shared" si="64"/>
        <v>8452860</v>
      </c>
      <c r="NQ26" s="28">
        <f>EXPENSES!NQ32</f>
        <v>0</v>
      </c>
      <c r="NR26" s="28">
        <f>EXPENSES!NR32</f>
        <v>2366000</v>
      </c>
      <c r="NS26" s="28">
        <f>EXPENSES!NS32</f>
        <v>1200000</v>
      </c>
      <c r="NT26" s="28">
        <f>EXPENSES!NT32</f>
        <v>0</v>
      </c>
      <c r="NU26" s="28">
        <f>EXPENSES!NU32</f>
        <v>346000</v>
      </c>
      <c r="NV26" s="28">
        <f>EXPENSES!NV32</f>
        <v>302000</v>
      </c>
      <c r="NW26" s="28">
        <f>EXPENSES!NW32</f>
        <v>2000</v>
      </c>
      <c r="NX26" s="28">
        <f>EXPENSES!NX32</f>
        <v>294980</v>
      </c>
      <c r="NY26" s="28">
        <f>EXPENSES!NY32</f>
        <v>644000</v>
      </c>
      <c r="NZ26" s="28">
        <f>EXPENSES!NZ32</f>
        <v>5000</v>
      </c>
      <c r="OA26" s="28">
        <f>EXPENSES!OA32</f>
        <v>376263</v>
      </c>
      <c r="OB26" s="28">
        <f>EXPENSES!OB32</f>
        <v>4000</v>
      </c>
      <c r="OC26" s="28">
        <f>EXPENSES!OC32</f>
        <v>298600</v>
      </c>
      <c r="OD26" s="28">
        <f>EXPENSES!OD32</f>
        <v>279000</v>
      </c>
      <c r="OE26" s="28">
        <f>EXPENSES!OE32</f>
        <v>138000</v>
      </c>
      <c r="OF26" s="28">
        <f>EXPENSES!OF32</f>
        <v>151490</v>
      </c>
      <c r="OG26" s="28">
        <f>EXPENSES!OG32</f>
        <v>74000</v>
      </c>
      <c r="OH26" s="28">
        <f>EXPENSES!OH32</f>
        <v>0</v>
      </c>
      <c r="OI26" s="28">
        <f>EXPENSES!OI32</f>
        <v>677516</v>
      </c>
      <c r="OJ26" s="28">
        <f>EXPENSES!OJ32</f>
        <v>0</v>
      </c>
      <c r="OK26" s="28">
        <f>EXPENSES!OK32</f>
        <v>10000</v>
      </c>
      <c r="OL26" s="28">
        <f>EXPENSES!OL32</f>
        <v>200000</v>
      </c>
      <c r="OM26" s="28">
        <f>EXPENSES!OM32</f>
        <v>393000</v>
      </c>
      <c r="ON26" s="28">
        <f>EXPENSES!ON32</f>
        <v>0</v>
      </c>
      <c r="OO26" s="28">
        <f>EXPENSES!OO32</f>
        <v>0</v>
      </c>
      <c r="OP26" s="28">
        <f>EXPENSES!OP32</f>
        <v>195000</v>
      </c>
      <c r="OQ26" s="28">
        <f>EXPENSES!OQ32</f>
        <v>862000</v>
      </c>
      <c r="OR26" s="28">
        <f>EXPENSES!OR32</f>
        <v>151490</v>
      </c>
      <c r="OS26" s="28">
        <f>EXPENSES!OS32</f>
        <v>94980</v>
      </c>
      <c r="OT26" s="28">
        <f>EXPENSES!OT32</f>
        <v>1050000</v>
      </c>
      <c r="OU26" s="28">
        <f>EXPENSES!OU32</f>
        <v>40000</v>
      </c>
      <c r="OV26" s="127">
        <f t="shared" si="66"/>
        <v>10155319</v>
      </c>
      <c r="OW26" s="28">
        <f>EXPENSES!OW32</f>
        <v>200000</v>
      </c>
      <c r="OX26" s="28">
        <f>EXPENSES!OX32</f>
        <v>2931000</v>
      </c>
      <c r="OY26" s="28">
        <f>EXPENSES!OY32</f>
        <v>417800</v>
      </c>
      <c r="OZ26" s="28">
        <f>EXPENSES!OZ32</f>
        <v>303117</v>
      </c>
      <c r="PA26" s="28">
        <f>EXPENSES!PA32</f>
        <v>200000</v>
      </c>
      <c r="PB26" s="28">
        <f>EXPENSES!PB32</f>
        <v>1193000</v>
      </c>
      <c r="PC26" s="28">
        <f>EXPENSES!PC32</f>
        <v>100000</v>
      </c>
      <c r="PD26" s="28">
        <f>EXPENSES!PD32</f>
        <v>276000</v>
      </c>
      <c r="PE26" s="28">
        <f>EXPENSES!PE32</f>
        <v>1624480</v>
      </c>
      <c r="PF26" s="28">
        <f>EXPENSES!PF32</f>
        <v>1352000</v>
      </c>
      <c r="PG26" s="28">
        <f>EXPENSES!PG32</f>
        <v>349960</v>
      </c>
      <c r="PH26" s="28">
        <f>EXPENSES!PH32</f>
        <v>94980</v>
      </c>
      <c r="PI26" s="28">
        <f>EXPENSES!PI32</f>
        <v>4000</v>
      </c>
      <c r="PJ26" s="28">
        <f>EXPENSES!PJ32</f>
        <v>6000</v>
      </c>
      <c r="PK26" s="28">
        <f>EXPENSES!PK32</f>
        <v>120000</v>
      </c>
      <c r="PL26" s="28">
        <f>EXPENSES!PL32</f>
        <v>174000</v>
      </c>
      <c r="PM26" s="28">
        <f>EXPENSES!PM32</f>
        <v>0</v>
      </c>
      <c r="PN26" s="28">
        <f>EXPENSES!PN32</f>
        <v>97000</v>
      </c>
      <c r="PO26" s="28">
        <f>EXPENSES!PO32</f>
        <v>982500</v>
      </c>
      <c r="PP26" s="28">
        <f>EXPENSES!PP32</f>
        <v>12800</v>
      </c>
      <c r="PQ26" s="28">
        <f>EXPENSES!PQ32</f>
        <v>166000</v>
      </c>
      <c r="PR26" s="28">
        <f>EXPENSES!PR32</f>
        <v>0</v>
      </c>
      <c r="PS26" s="28">
        <f>EXPENSES!PS32</f>
        <v>75235</v>
      </c>
      <c r="PT26" s="28">
        <f>EXPENSES!PT32</f>
        <v>544400</v>
      </c>
      <c r="PU26" s="28">
        <f>EXPENSES!PU32</f>
        <v>115000</v>
      </c>
      <c r="PV26" s="28">
        <f>EXPENSES!PV32</f>
        <v>251000</v>
      </c>
      <c r="PW26" s="28">
        <f>EXPENSES!PW32</f>
        <v>51490</v>
      </c>
      <c r="PX26" s="28">
        <f>EXPENSES!PX32</f>
        <v>199648</v>
      </c>
      <c r="PY26" s="28">
        <f>EXPENSES!PY32</f>
        <v>0</v>
      </c>
      <c r="PZ26" s="28">
        <f>EXPENSES!PZ32</f>
        <v>470980</v>
      </c>
      <c r="QA26" s="127">
        <f t="shared" si="68"/>
        <v>12312390</v>
      </c>
      <c r="QB26" s="28">
        <f>EXPENSES!QB32</f>
        <v>20000</v>
      </c>
      <c r="QC26" s="28">
        <f>EXPENSES!QC32</f>
        <v>2519470</v>
      </c>
      <c r="QD26" s="28">
        <f>EXPENSES!QD32</f>
        <v>1200000</v>
      </c>
      <c r="QE26" s="28">
        <f>EXPENSES!QE32</f>
        <v>4000</v>
      </c>
      <c r="QF26" s="28">
        <f>EXPENSES!QF32</f>
        <v>0</v>
      </c>
      <c r="QG26" s="28">
        <f>EXPENSES!QG32</f>
        <v>0</v>
      </c>
      <c r="QH26" s="28">
        <f>EXPENSES!QH32</f>
        <v>10000</v>
      </c>
      <c r="QI26" s="28">
        <f>EXPENSES!QI32</f>
        <v>0</v>
      </c>
      <c r="QJ26" s="28">
        <f>EXPENSES!QJ32</f>
        <v>198980</v>
      </c>
      <c r="QK26" s="28">
        <f>EXPENSES!QK32</f>
        <v>20000</v>
      </c>
      <c r="QL26" s="28">
        <f>EXPENSES!QL32</f>
        <v>104000</v>
      </c>
      <c r="QM26" s="28">
        <f>EXPENSES!QM32</f>
        <v>20000</v>
      </c>
      <c r="QN26" s="28">
        <f>EXPENSES!QN32</f>
        <v>201000</v>
      </c>
      <c r="QO26" s="28">
        <f>EXPENSES!QO32</f>
        <v>104000</v>
      </c>
      <c r="QP26" s="28">
        <f>EXPENSES!QP32</f>
        <v>0</v>
      </c>
      <c r="QQ26" s="28">
        <f>EXPENSES!QQ32</f>
        <v>173000</v>
      </c>
      <c r="QR26" s="28">
        <f>EXPENSES!QR32</f>
        <v>100000</v>
      </c>
      <c r="QS26" s="28">
        <f>EXPENSES!QS32</f>
        <v>4000</v>
      </c>
      <c r="QT26" s="28">
        <f>EXPENSES!QT32</f>
        <v>90000</v>
      </c>
      <c r="QU26" s="28">
        <f>EXPENSES!QU32</f>
        <v>191980</v>
      </c>
      <c r="QV26" s="28">
        <f>EXPENSES!QV32</f>
        <v>208000</v>
      </c>
      <c r="QW26" s="28">
        <f>EXPENSES!QW32</f>
        <v>45990</v>
      </c>
      <c r="QX26" s="28">
        <f>EXPENSES!QX32</f>
        <v>8000</v>
      </c>
      <c r="QY26" s="28">
        <f>EXPENSES!QY32</f>
        <v>7000</v>
      </c>
      <c r="QZ26" s="28">
        <f>EXPENSES!QZ32</f>
        <v>1815980</v>
      </c>
      <c r="RA26" s="28">
        <f>EXPENSES!RA32</f>
        <v>277800</v>
      </c>
      <c r="RB26" s="28">
        <f>EXPENSES!RB32</f>
        <v>200000</v>
      </c>
      <c r="RC26" s="28">
        <f>EXPENSES!RC32</f>
        <v>95980</v>
      </c>
      <c r="RD26" s="28">
        <f>EXPENSES!RD32</f>
        <v>0</v>
      </c>
      <c r="RE26" s="28">
        <f>EXPENSES!RE32</f>
        <v>688811</v>
      </c>
      <c r="RF26" s="28">
        <f>EXPENSES!RF32</f>
        <v>85000</v>
      </c>
      <c r="RG26" s="127">
        <f t="shared" si="147"/>
        <v>8372991</v>
      </c>
      <c r="RH26" s="28">
        <f>EXPENSES!RH32</f>
        <v>9000</v>
      </c>
      <c r="RI26" s="28">
        <f>EXPENSES!RI32</f>
        <v>2479000</v>
      </c>
      <c r="RJ26" s="28">
        <f>EXPENSES!RJ32</f>
        <v>323000</v>
      </c>
      <c r="RK26" s="28">
        <f>EXPENSES!RK32</f>
        <v>244000</v>
      </c>
      <c r="RL26" s="28">
        <f>EXPENSES!RL32</f>
        <v>336141</v>
      </c>
      <c r="RM26" s="28">
        <f>EXPENSES!RM32</f>
        <v>62000</v>
      </c>
      <c r="RN26" s="28">
        <f>EXPENSES!RN32</f>
        <v>1291980</v>
      </c>
      <c r="RO26" s="28">
        <f>EXPENSES!RO32</f>
        <v>4000</v>
      </c>
      <c r="RP26" s="28">
        <f>EXPENSES!RP32</f>
        <v>200000</v>
      </c>
      <c r="RQ26" s="28">
        <f>EXPENSES!RQ32</f>
        <v>0</v>
      </c>
      <c r="RR26" s="28">
        <f>EXPENSES!RR32</f>
        <v>96400</v>
      </c>
      <c r="RS26" s="28">
        <f>EXPENSES!RS32</f>
        <v>44700</v>
      </c>
      <c r="RT26" s="28">
        <f>EXPENSES!RT32</f>
        <v>198700</v>
      </c>
      <c r="RU26" s="28">
        <f>EXPENSES!RU32</f>
        <v>0</v>
      </c>
      <c r="RV26" s="28">
        <f>EXPENSES!RV32</f>
        <v>374000</v>
      </c>
      <c r="RW26" s="28">
        <f>EXPENSES!RW32</f>
        <v>213800</v>
      </c>
      <c r="RX26" s="28">
        <f>EXPENSES!RX32</f>
        <v>0</v>
      </c>
      <c r="RY26" s="28">
        <f>EXPENSES!RY32</f>
        <v>4000</v>
      </c>
      <c r="RZ26" s="28">
        <f>EXPENSES!RZ32</f>
        <v>412900</v>
      </c>
      <c r="SA26" s="28">
        <f>EXPENSES!SA32</f>
        <v>2212900</v>
      </c>
      <c r="SB26" s="28">
        <f>EXPENSES!SB32</f>
        <v>1407300</v>
      </c>
      <c r="SC26" s="28">
        <f>EXPENSES!SC32</f>
        <v>4000</v>
      </c>
      <c r="SD26" s="28">
        <f>EXPENSES!SD32</f>
        <v>0</v>
      </c>
      <c r="SE26" s="28">
        <f>EXPENSES!SE32</f>
        <v>0</v>
      </c>
      <c r="SF26" s="28">
        <f>EXPENSES!SF32</f>
        <v>1460540</v>
      </c>
      <c r="SG26" s="28">
        <f>EXPENSES!SG32</f>
        <v>4000</v>
      </c>
      <c r="SH26" s="28">
        <f>EXPENSES!SH32</f>
        <v>113000</v>
      </c>
      <c r="SI26" s="28">
        <f>EXPENSES!SI32</f>
        <v>101000</v>
      </c>
      <c r="SJ26" s="28">
        <f>EXPENSES!SJ32</f>
        <v>2000</v>
      </c>
      <c r="SK26" s="28">
        <f>EXPENSES!SK32</f>
        <v>20000</v>
      </c>
      <c r="SL26" s="127">
        <f t="shared" si="207"/>
        <v>11618361</v>
      </c>
      <c r="SM26" s="28">
        <f>EXPENSES!SN32</f>
        <v>6000</v>
      </c>
      <c r="SN26" s="28">
        <f>EXPENSES!SO32</f>
        <v>993900</v>
      </c>
      <c r="SO26" s="28">
        <f>EXPENSES!SP32</f>
        <v>9104900</v>
      </c>
      <c r="SP26" s="28">
        <f>EXPENSES!SQ32</f>
        <v>2332500</v>
      </c>
      <c r="SQ26" s="28">
        <f>EXPENSES!SR32</f>
        <v>113000</v>
      </c>
      <c r="SR26" s="28">
        <f>EXPENSES!SS32</f>
        <v>1246700</v>
      </c>
      <c r="SS26" s="28">
        <f>EXPENSES!ST32</f>
        <v>0</v>
      </c>
      <c r="ST26" s="28">
        <f>EXPENSES!SU32</f>
        <v>100000</v>
      </c>
      <c r="SU26" s="28">
        <f>EXPENSES!SV32</f>
        <v>4000</v>
      </c>
      <c r="SV26" s="28">
        <f>EXPENSES!SW32</f>
        <v>100000</v>
      </c>
      <c r="SW26" s="28">
        <f>EXPENSES!SX32</f>
        <v>13000</v>
      </c>
      <c r="SX26" s="28">
        <f>EXPENSES!SY32</f>
        <v>100000</v>
      </c>
      <c r="SY26" s="28">
        <f>EXPENSES!SZ32</f>
        <v>113400</v>
      </c>
      <c r="SZ26" s="28">
        <f>EXPENSES!TA32</f>
        <v>0</v>
      </c>
      <c r="TA26" s="28">
        <f>EXPENSES!TB32</f>
        <v>0</v>
      </c>
      <c r="TB26" s="28">
        <f>EXPENSES!TC32</f>
        <v>6000</v>
      </c>
      <c r="TC26" s="28">
        <f>EXPENSES!TD32</f>
        <v>3500</v>
      </c>
      <c r="TD26" s="28">
        <f>EXPENSES!TE32</f>
        <v>84000</v>
      </c>
      <c r="TE26" s="28">
        <f>EXPENSES!TF32</f>
        <v>992900</v>
      </c>
      <c r="TF26" s="28">
        <f>EXPENSES!TG32</f>
        <v>0</v>
      </c>
      <c r="TG26" s="28">
        <f>EXPENSES!TH32</f>
        <v>54000</v>
      </c>
      <c r="TH26" s="28">
        <f>EXPENSES!TI32</f>
        <v>189400</v>
      </c>
      <c r="TI26" s="28">
        <f>EXPENSES!TJ32</f>
        <v>8000</v>
      </c>
      <c r="TJ26" s="28">
        <f>EXPENSES!TK32</f>
        <v>250000</v>
      </c>
      <c r="TK26" s="28">
        <f>EXPENSES!TL32</f>
        <v>4000</v>
      </c>
      <c r="TL26" s="28">
        <f>EXPENSES!TM32</f>
        <v>0</v>
      </c>
      <c r="TM26" s="28">
        <f>EXPENSES!TN32</f>
        <v>0</v>
      </c>
      <c r="TN26" s="28">
        <f>EXPENSES!TO32</f>
        <v>1000</v>
      </c>
      <c r="TO26" s="28">
        <f>EXPENSES!TP32</f>
        <v>139400</v>
      </c>
      <c r="TP26" s="28">
        <f>EXPENSES!TQ32</f>
        <v>124000</v>
      </c>
      <c r="TQ26" s="28">
        <f>EXPENSES!TR32</f>
        <v>1600000</v>
      </c>
      <c r="TR26" s="127">
        <f t="shared" si="226"/>
        <v>17677600</v>
      </c>
      <c r="TS26" s="28">
        <f>EXPENSES!TT32</f>
        <v>5009000</v>
      </c>
      <c r="TT26" s="28">
        <f>EXPENSES!TU32</f>
        <v>224500</v>
      </c>
      <c r="TU26" s="28">
        <f>EXPENSES!TV32</f>
        <v>2080600</v>
      </c>
      <c r="TV26" s="28">
        <f>EXPENSES!TW32</f>
        <v>50000</v>
      </c>
      <c r="TW26" s="28">
        <f>EXPENSES!TX32</f>
        <v>0</v>
      </c>
      <c r="TX26" s="28">
        <f>EXPENSES!TY32</f>
        <v>104000</v>
      </c>
      <c r="TY26" s="28">
        <f>EXPENSES!TZ32</f>
        <v>44700</v>
      </c>
      <c r="TZ26" s="28">
        <f>EXPENSES!UA32</f>
        <v>117000</v>
      </c>
      <c r="UA26" s="28">
        <f>EXPENSES!UB32</f>
        <v>1000</v>
      </c>
      <c r="UB26" s="28">
        <f>EXPENSES!UC32</f>
        <v>4000</v>
      </c>
      <c r="UC26" s="28">
        <f>EXPENSES!UD32</f>
        <v>101500</v>
      </c>
      <c r="UD26" s="28">
        <f>EXPENSES!UE32</f>
        <v>189400</v>
      </c>
      <c r="UE26" s="28">
        <f>EXPENSES!UF32</f>
        <v>6000</v>
      </c>
      <c r="UF26" s="28">
        <f>EXPENSES!UG32</f>
        <v>1308000</v>
      </c>
      <c r="UG26" s="28">
        <f>EXPENSES!UH32</f>
        <v>220000</v>
      </c>
      <c r="UH26" s="28">
        <f>EXPENSES!UI32</f>
        <v>120000</v>
      </c>
      <c r="UI26" s="28">
        <f>EXPENSES!UJ32</f>
        <v>4000</v>
      </c>
      <c r="UJ26" s="28">
        <f>EXPENSES!UK32</f>
        <v>0</v>
      </c>
      <c r="UK26" s="28">
        <f>EXPENSES!UL32</f>
        <v>44900</v>
      </c>
      <c r="UL26" s="28">
        <f>EXPENSES!UM32</f>
        <v>221000</v>
      </c>
      <c r="UM26" s="28">
        <f>EXPENSES!UN32</f>
        <v>304000</v>
      </c>
      <c r="UN26" s="28">
        <f>EXPENSES!UO32</f>
        <v>23000</v>
      </c>
      <c r="UO26" s="28">
        <f>EXPENSES!UP32</f>
        <v>117500</v>
      </c>
      <c r="UP26" s="28">
        <f>EXPENSES!UQ32</f>
        <v>93800</v>
      </c>
      <c r="UQ26" s="28">
        <f>EXPENSES!UR32</f>
        <v>114000</v>
      </c>
      <c r="UR26" s="28">
        <f>EXPENSES!US32</f>
        <v>0</v>
      </c>
      <c r="US26" s="28">
        <f>EXPENSES!UT32</f>
        <v>224000</v>
      </c>
      <c r="UT26" s="28">
        <f>EXPENSES!UU32</f>
        <v>25000</v>
      </c>
      <c r="UU26" s="28">
        <f>EXPENSES!UV32</f>
        <v>15000</v>
      </c>
      <c r="UV26" s="28">
        <f>EXPENSES!UW32</f>
        <v>156000</v>
      </c>
      <c r="UW26" s="28">
        <f>EXPENSES!UX32</f>
        <v>4000</v>
      </c>
      <c r="UX26" s="127">
        <f t="shared" si="228"/>
        <v>5916900</v>
      </c>
      <c r="UY26" s="28">
        <f>EXPENSES!UZ32</f>
        <v>0</v>
      </c>
      <c r="UZ26" s="28">
        <f>EXPENSES!VA32</f>
        <v>3000</v>
      </c>
      <c r="VA26" s="28">
        <f>EXPENSES!VB32</f>
        <v>2333000</v>
      </c>
      <c r="VB26" s="28">
        <f>EXPENSES!VC32</f>
        <v>1205000</v>
      </c>
      <c r="VC26" s="28">
        <f>EXPENSES!VD32</f>
        <v>178100</v>
      </c>
      <c r="VD26" s="28">
        <f>EXPENSES!VE32</f>
        <v>12000</v>
      </c>
      <c r="VE26" s="28">
        <f>EXPENSES!VF32</f>
        <v>164000</v>
      </c>
      <c r="VF26" s="28">
        <f>EXPENSES!VG32</f>
        <v>225000</v>
      </c>
      <c r="VG26" s="28">
        <f>EXPENSES!VH32</f>
        <v>10000</v>
      </c>
      <c r="VH26" s="28">
        <f>EXPENSES!VI32</f>
        <v>2000</v>
      </c>
      <c r="VI26" s="28">
        <f>EXPENSES!VJ32</f>
        <v>103000</v>
      </c>
      <c r="VJ26" s="28">
        <f>EXPENSES!VK32</f>
        <v>5000</v>
      </c>
      <c r="VK26" s="28">
        <f>EXPENSES!VL32</f>
        <v>0</v>
      </c>
      <c r="VL26" s="28">
        <f>EXPENSES!VM32</f>
        <v>117800</v>
      </c>
      <c r="VM26" s="28">
        <f>EXPENSES!VN32</f>
        <v>0</v>
      </c>
      <c r="VN26" s="28">
        <f>EXPENSES!VO32</f>
        <v>0</v>
      </c>
      <c r="VO26" s="28">
        <f>EXPENSES!VP32</f>
        <v>52000</v>
      </c>
      <c r="VP26" s="28">
        <f>EXPENSES!VQ32</f>
        <v>53000</v>
      </c>
      <c r="VQ26" s="28">
        <f>EXPENSES!VR32</f>
        <v>334500</v>
      </c>
      <c r="VR26" s="28">
        <f>EXPENSES!VS32</f>
        <v>145500</v>
      </c>
      <c r="VS26" s="28">
        <f>EXPENSES!VT32</f>
        <v>4000</v>
      </c>
      <c r="VT26" s="28">
        <f>EXPENSES!VU32</f>
        <v>0</v>
      </c>
      <c r="VU26" s="28">
        <f>EXPENSES!VV32</f>
        <v>0</v>
      </c>
      <c r="VV26" s="28">
        <f>EXPENSES!VW32</f>
        <v>149500</v>
      </c>
      <c r="VW26" s="28">
        <f>EXPENSES!VX32</f>
        <v>196000</v>
      </c>
      <c r="VX26" s="28">
        <f>EXPENSES!VY32</f>
        <v>451778</v>
      </c>
      <c r="VY26" s="28">
        <f>EXPENSES!VZ32</f>
        <v>135000</v>
      </c>
      <c r="VZ26" s="28">
        <f>EXPENSES!WA32</f>
        <v>129000</v>
      </c>
      <c r="WA26" s="127">
        <f>SUM(UY26:VZ26)</f>
        <v>6008178</v>
      </c>
      <c r="WB26" s="28">
        <f>EXPENSES!WC32</f>
        <v>105000</v>
      </c>
      <c r="WC26" s="28">
        <f>EXPENSES!WD32</f>
        <v>20000</v>
      </c>
      <c r="WD26" s="28">
        <f>EXPENSES!WE32</f>
        <v>2279000</v>
      </c>
      <c r="WE26" s="28">
        <f>EXPENSES!WF32</f>
        <v>1400000</v>
      </c>
      <c r="WF26" s="28">
        <f>EXPENSES!WG32</f>
        <v>328900</v>
      </c>
      <c r="WG26" s="28">
        <f>EXPENSES!WH32</f>
        <v>208500</v>
      </c>
      <c r="WH26" s="28">
        <f>EXPENSES!WI32</f>
        <v>231290.90000000002</v>
      </c>
      <c r="WI26" s="28">
        <f>EXPENSES!WJ32</f>
        <v>418000</v>
      </c>
      <c r="WJ26" s="28">
        <f>EXPENSES!WK32</f>
        <v>445000</v>
      </c>
      <c r="WK26" s="28">
        <f>EXPENSES!WL32</f>
        <v>259250</v>
      </c>
      <c r="WL26" s="28">
        <f>EXPENSES!WM32</f>
        <v>0</v>
      </c>
      <c r="WM26" s="28">
        <f>EXPENSES!WN32</f>
        <v>536000</v>
      </c>
      <c r="WN26" s="28">
        <f>EXPENSES!WO32</f>
        <v>0</v>
      </c>
      <c r="WO26" s="28">
        <f>EXPENSES!WP32</f>
        <v>55000</v>
      </c>
      <c r="WP26" s="28">
        <f>EXPENSES!WQ32</f>
        <v>10000</v>
      </c>
      <c r="WQ26" s="28">
        <f>EXPENSES!WR32</f>
        <v>101000</v>
      </c>
      <c r="WR26" s="28">
        <f>EXPENSES!WS32</f>
        <v>29000</v>
      </c>
      <c r="WS26" s="28">
        <f>EXPENSES!WT32</f>
        <v>10000</v>
      </c>
      <c r="WT26" s="28">
        <f>EXPENSES!WU32</f>
        <v>532221</v>
      </c>
      <c r="WU26" s="28">
        <f>EXPENSES!WV32</f>
        <v>200000</v>
      </c>
      <c r="WV26" s="28">
        <f>EXPENSES!WW32</f>
        <v>63000</v>
      </c>
      <c r="WW26" s="28">
        <f>EXPENSES!WX32</f>
        <v>374000</v>
      </c>
      <c r="WX26" s="28">
        <f>EXPENSES!WY32</f>
        <v>0</v>
      </c>
      <c r="WY26" s="28">
        <f>EXPENSES!WZ32</f>
        <v>104000</v>
      </c>
      <c r="WZ26" s="28">
        <f>EXPENSES!XA32</f>
        <v>1081507</v>
      </c>
      <c r="XA26" s="28">
        <f>EXPENSES!XB32</f>
        <v>579800</v>
      </c>
      <c r="XB26" s="28">
        <f>EXPENSES!XC32</f>
        <v>0</v>
      </c>
      <c r="XC26" s="28">
        <f>EXPENSES!XD32</f>
        <v>200800</v>
      </c>
      <c r="XD26" s="28">
        <f>EXPENSES!XE32</f>
        <v>440000</v>
      </c>
      <c r="XE26" s="28">
        <f>EXPENSES!XF32</f>
        <v>50000</v>
      </c>
      <c r="XF26" s="28">
        <f>EXPENSES!XG32</f>
        <v>91800</v>
      </c>
      <c r="XG26" s="127">
        <f>SUM(WB26:XF26)</f>
        <v>10153068.9</v>
      </c>
      <c r="XH26" s="28">
        <f>EXPENSES!XI32</f>
        <v>331800</v>
      </c>
      <c r="XI26" s="28">
        <f>EXPENSES!XJ32</f>
        <v>1480500</v>
      </c>
      <c r="XJ26" s="28">
        <f>EXPENSES!XK32</f>
        <v>0</v>
      </c>
      <c r="XK26" s="28">
        <f>EXPENSES!XL32</f>
        <v>2105500</v>
      </c>
      <c r="XL26" s="28">
        <f>EXPENSES!XM32</f>
        <v>114360</v>
      </c>
      <c r="XM26" s="28">
        <f>EXPENSES!XN32</f>
        <v>283600</v>
      </c>
      <c r="XN26" s="28">
        <f>EXPENSES!XO32</f>
        <v>14000</v>
      </c>
      <c r="XO26" s="28">
        <f>EXPENSES!XP32</f>
        <v>0</v>
      </c>
      <c r="XP26" s="28">
        <f>EXPENSES!XQ32</f>
        <v>37000</v>
      </c>
      <c r="XQ26" s="28">
        <f>EXPENSES!XR32</f>
        <v>17000</v>
      </c>
      <c r="XR26" s="28">
        <f>EXPENSES!XS32</f>
        <v>38000</v>
      </c>
      <c r="XS26" s="28">
        <f>EXPENSES!XT32</f>
        <v>350000</v>
      </c>
      <c r="XT26" s="28">
        <f>EXPENSES!XU32</f>
        <v>0</v>
      </c>
      <c r="XU26" s="28">
        <f>EXPENSES!XV32</f>
        <v>49000</v>
      </c>
      <c r="XV26" s="28">
        <f>EXPENSES!XW32</f>
        <v>2000</v>
      </c>
      <c r="XW26" s="28">
        <f>EXPENSES!XX32</f>
        <v>17000</v>
      </c>
      <c r="XX26" s="28">
        <f>EXPENSES!XY32</f>
        <v>193000</v>
      </c>
      <c r="XY26" s="28">
        <f>EXPENSES!XZ32</f>
        <v>104000</v>
      </c>
      <c r="XZ26" s="28">
        <f>EXPENSES!YA32</f>
        <v>120000</v>
      </c>
      <c r="YA26" s="28">
        <f>EXPENSES!YB32</f>
        <v>4000</v>
      </c>
      <c r="YB26" s="28">
        <f>EXPENSES!YC32</f>
        <v>0</v>
      </c>
      <c r="YC26" s="28">
        <f>EXPENSES!YD32</f>
        <v>120000</v>
      </c>
      <c r="YD26" s="28">
        <f>EXPENSES!YE32</f>
        <v>608000</v>
      </c>
      <c r="YE26" s="28">
        <f>EXPENSES!YF32</f>
        <v>80000</v>
      </c>
      <c r="YF26" s="28">
        <f>EXPENSES!YG32</f>
        <v>4000</v>
      </c>
      <c r="YG26" s="28">
        <f>EXPENSES!YH32</f>
        <v>0</v>
      </c>
      <c r="YH26" s="28">
        <f>EXPENSES!YI32</f>
        <v>660000</v>
      </c>
      <c r="YI26" s="28">
        <f>EXPENSES!YJ32</f>
        <v>107000</v>
      </c>
      <c r="YJ26" s="28">
        <f>EXPENSES!YK32</f>
        <v>93000</v>
      </c>
      <c r="YK26" s="28">
        <f>EXPENSES!YL32</f>
        <v>236000</v>
      </c>
      <c r="YL26" s="127">
        <f>SUM(XH26:YK26)</f>
        <v>7168760</v>
      </c>
      <c r="YM26" s="28">
        <f>EXPENSES!YN32</f>
        <v>0</v>
      </c>
      <c r="YN26" s="28">
        <f>EXPENSES!YO32</f>
        <v>2237400</v>
      </c>
      <c r="YO26" s="28">
        <f>EXPENSES!YP32</f>
        <v>993000</v>
      </c>
      <c r="YP26" s="28">
        <f>EXPENSES!YQ32</f>
        <v>5000</v>
      </c>
      <c r="YQ26" s="28">
        <f>EXPENSES!YR32</f>
        <v>205000</v>
      </c>
      <c r="YR26" s="28">
        <f>EXPENSES!YS32</f>
        <v>1219000</v>
      </c>
      <c r="YS26" s="28">
        <f>EXPENSES!YT32</f>
        <v>101000</v>
      </c>
      <c r="YT26" s="28">
        <f>EXPENSES!YU32</f>
        <v>4000</v>
      </c>
      <c r="YU26" s="28">
        <f>EXPENSES!YV32</f>
        <v>458000</v>
      </c>
      <c r="YV26" s="28">
        <f>EXPENSES!YW32</f>
        <v>32000</v>
      </c>
      <c r="YW26" s="28">
        <f>EXPENSES!YX32</f>
        <v>0</v>
      </c>
      <c r="YX26" s="28">
        <f>EXPENSES!YY32</f>
        <v>10000</v>
      </c>
      <c r="YY26" s="28">
        <f>EXPENSES!YZ32</f>
        <v>213500</v>
      </c>
      <c r="YZ26" s="28">
        <f>EXPENSES!ZA32</f>
        <v>286000</v>
      </c>
      <c r="ZA26" s="28">
        <f>EXPENSES!ZB32</f>
        <v>162000</v>
      </c>
      <c r="ZB26" s="28">
        <f>EXPENSES!ZC32</f>
        <v>20000</v>
      </c>
      <c r="ZC26" s="28">
        <f>EXPENSES!ZD32</f>
        <v>128000</v>
      </c>
      <c r="ZD26" s="28">
        <f>EXPENSES!ZE32</f>
        <v>0</v>
      </c>
      <c r="ZE26" s="28">
        <f>EXPENSES!ZF32</f>
        <v>103000</v>
      </c>
      <c r="ZF26" s="28">
        <f>EXPENSES!ZG32</f>
        <v>0</v>
      </c>
      <c r="ZG26" s="28">
        <f>EXPENSES!ZH32</f>
        <v>167000</v>
      </c>
      <c r="ZH26" s="28">
        <f>EXPENSES!ZI32</f>
        <v>7000</v>
      </c>
      <c r="ZI26" s="28">
        <f>EXPENSES!ZJ32</f>
        <v>364000</v>
      </c>
      <c r="ZJ26" s="28">
        <f>EXPENSES!ZK32</f>
        <v>200000</v>
      </c>
      <c r="ZK26" s="28">
        <f>EXPENSES!ZL32</f>
        <v>10000</v>
      </c>
      <c r="ZL26" s="28">
        <f>EXPENSES!ZM32</f>
        <v>104000</v>
      </c>
      <c r="ZM26" s="28">
        <f>EXPENSES!ZN32</f>
        <v>0</v>
      </c>
      <c r="ZN26" s="28">
        <f>EXPENSES!ZO32</f>
        <v>24000</v>
      </c>
      <c r="ZO26" s="28">
        <f>EXPENSES!ZP32</f>
        <v>7000</v>
      </c>
      <c r="ZP26" s="28">
        <f>EXPENSES!ZQ32</f>
        <v>441000</v>
      </c>
      <c r="ZQ26" s="28">
        <f>EXPENSES!ZR32</f>
        <v>90000</v>
      </c>
      <c r="ZR26" s="127">
        <f>SUM(YM26:ZQ26)</f>
        <v>7590900</v>
      </c>
      <c r="ZS26" s="28">
        <f>EXPENSES!ZT32</f>
        <v>4000</v>
      </c>
      <c r="ZT26" s="28">
        <f>EXPENSES!ZU32</f>
        <v>8000</v>
      </c>
      <c r="ZU26" s="28">
        <f>EXPENSES!ZV32</f>
        <v>2290000</v>
      </c>
      <c r="ZV26" s="28">
        <f>EXPENSES!ZW32</f>
        <v>1259000</v>
      </c>
      <c r="ZW26" s="28">
        <f>EXPENSES!ZX32</f>
        <v>96000</v>
      </c>
      <c r="ZX26" s="28">
        <f>EXPENSES!ZY32</f>
        <v>394000</v>
      </c>
      <c r="ZY26" s="28">
        <f>EXPENSES!ZZ32</f>
        <v>0</v>
      </c>
      <c r="ZZ26" s="28">
        <f>EXPENSES!AAA32</f>
        <v>286000</v>
      </c>
      <c r="AAA26" s="28">
        <f>EXPENSES!AAB32</f>
        <v>29000</v>
      </c>
      <c r="AAB26" s="28">
        <f>EXPENSES!AAC32</f>
        <v>1304000</v>
      </c>
      <c r="AAC26" s="28">
        <f>EXPENSES!AAD32</f>
        <v>186000</v>
      </c>
      <c r="AAD26" s="28">
        <f>EXPENSES!AAE32</f>
        <v>7000</v>
      </c>
      <c r="AAE26" s="28">
        <f>EXPENSES!AAF32</f>
        <v>44000</v>
      </c>
      <c r="AAF26" s="28">
        <f>EXPENSES!AAG32</f>
        <v>46500</v>
      </c>
      <c r="AAG26" s="28">
        <f>EXPENSES!AAH32</f>
        <v>265920</v>
      </c>
      <c r="AAH26" s="28">
        <f>EXPENSES!AAI32</f>
        <v>4000</v>
      </c>
      <c r="AAI26" s="28">
        <f>EXPENSES!AAJ32</f>
        <v>100000</v>
      </c>
      <c r="AAJ26" s="28">
        <f>EXPENSES!AAK32</f>
        <v>113000</v>
      </c>
      <c r="AAK26" s="28">
        <f>EXPENSES!AAL32</f>
        <v>720000</v>
      </c>
      <c r="AAL26" s="28">
        <f>EXPENSES!AAM32</f>
        <v>4000</v>
      </c>
      <c r="AAM26" s="28">
        <f>EXPENSES!AAN32</f>
        <v>100000</v>
      </c>
      <c r="AAN26" s="28">
        <f>EXPENSES!AAO32</f>
        <v>0</v>
      </c>
      <c r="AAO26" s="28">
        <f>EXPENSES!AAP32</f>
        <v>8000</v>
      </c>
      <c r="AAP26" s="28">
        <f>EXPENSES!AAQ32</f>
        <v>0</v>
      </c>
      <c r="AAQ26" s="28">
        <f>EXPENSES!AAR32</f>
        <v>4000</v>
      </c>
      <c r="AAR26" s="28">
        <f>EXPENSES!AAS32</f>
        <v>100000</v>
      </c>
      <c r="AAS26" s="28">
        <f>EXPENSES!AAT32</f>
        <v>28000</v>
      </c>
      <c r="AAT26" s="28">
        <f>EXPENSES!AAU32</f>
        <v>0</v>
      </c>
      <c r="AAU26" s="28">
        <f>EXPENSES!AAV32</f>
        <v>10000</v>
      </c>
      <c r="AAV26" s="28">
        <f>EXPENSES!AAW32</f>
        <v>435000</v>
      </c>
      <c r="AAW26" s="127">
        <f>SUM(ZS26:AAV26)</f>
        <v>7845420</v>
      </c>
      <c r="AAX26" s="28">
        <f>EXPENSES!AAY32</f>
        <v>1245000</v>
      </c>
      <c r="AAY26" s="28">
        <f>EXPENSES!AAZ32</f>
        <v>2166000</v>
      </c>
      <c r="AAZ26" s="28">
        <f>EXPENSES!ABA32</f>
        <v>93000</v>
      </c>
      <c r="ABA26" s="28">
        <f>EXPENSES!ABB32</f>
        <v>6000</v>
      </c>
      <c r="ABB26" s="28">
        <f>EXPENSES!ABC32</f>
        <v>2000</v>
      </c>
      <c r="ABC26" s="28">
        <f>EXPENSES!ABD32</f>
        <v>100000</v>
      </c>
      <c r="ABD26" s="28">
        <f>EXPENSES!ABE32</f>
        <v>6000</v>
      </c>
      <c r="ABE26" s="28">
        <f>EXPENSES!ABF32</f>
        <v>288000</v>
      </c>
      <c r="ABF26" s="28">
        <f>EXPENSES!ABG32</f>
        <v>20500</v>
      </c>
      <c r="ABG26" s="28">
        <f>EXPENSES!ABH32</f>
        <v>100000</v>
      </c>
      <c r="ABH26" s="28">
        <f>EXPENSES!ABI32</f>
        <v>14600</v>
      </c>
      <c r="ABI26" s="28">
        <f>EXPENSES!ABJ32</f>
        <v>0</v>
      </c>
      <c r="ABJ26" s="28">
        <f>EXPENSES!ABK32</f>
        <v>0</v>
      </c>
      <c r="ABK26" s="28">
        <f>EXPENSES!ABL32</f>
        <v>24000</v>
      </c>
      <c r="ABL26" s="28">
        <f>EXPENSES!ABM32</f>
        <v>132000</v>
      </c>
      <c r="ABM26" s="28">
        <f>EXPENSES!ABN32</f>
        <v>112000</v>
      </c>
      <c r="ABN26" s="28">
        <f>EXPENSES!ABO32</f>
        <v>186000</v>
      </c>
      <c r="ABO26" s="28">
        <f>EXPENSES!ABP32</f>
        <v>213000</v>
      </c>
      <c r="ABP26" s="28">
        <f>EXPENSES!ABQ32</f>
        <v>2000</v>
      </c>
      <c r="ABQ26" s="28">
        <f>EXPENSES!ABR32</f>
        <v>25000</v>
      </c>
      <c r="ABR26" s="28">
        <f>EXPENSES!ABS32</f>
        <v>163000</v>
      </c>
      <c r="ABS26" s="28">
        <f>EXPENSES!ABT32</f>
        <v>422490</v>
      </c>
      <c r="ABT26" s="28">
        <f>EXPENSES!ABU32</f>
        <v>10000</v>
      </c>
      <c r="ABU26" s="28">
        <f>EXPENSES!ABV32</f>
        <v>2000</v>
      </c>
      <c r="ABV26" s="28">
        <f>EXPENSES!ABW32</f>
        <v>6000</v>
      </c>
      <c r="ABW26" s="28">
        <f>EXPENSES!ABX32</f>
        <v>2000</v>
      </c>
      <c r="ABX26" s="28">
        <f>EXPENSES!ABY32</f>
        <v>0</v>
      </c>
      <c r="ABY26" s="28">
        <f>EXPENSES!ABZ32</f>
        <v>104000</v>
      </c>
      <c r="ABZ26" s="28">
        <f>EXPENSES!ACA32</f>
        <v>2000</v>
      </c>
      <c r="ACA26" s="28">
        <f>EXPENSES!ACB32</f>
        <v>398000</v>
      </c>
      <c r="ACB26" s="28">
        <f>EXPENSES!ACC32</f>
        <v>2000</v>
      </c>
      <c r="ACC26" s="127">
        <f>SUM(AAX26:ACB26)</f>
        <v>5846590</v>
      </c>
      <c r="ACD26" s="28">
        <f>EXPENSES!ACE32</f>
        <v>6000</v>
      </c>
      <c r="ACE26" s="28">
        <f>EXPENSES!ACF32</f>
        <v>22000</v>
      </c>
      <c r="ACF26" s="28">
        <f>EXPENSES!ACG32</f>
        <v>41000</v>
      </c>
      <c r="ACG26" s="28">
        <f>EXPENSES!ACH32</f>
        <v>2153000</v>
      </c>
      <c r="ACH26" s="28">
        <f>EXPENSES!ACI32</f>
        <v>2000</v>
      </c>
      <c r="ACI26" s="28">
        <f>EXPENSES!ACJ32</f>
        <v>306000</v>
      </c>
      <c r="ACJ26" s="28">
        <f>EXPENSES!ACK32</f>
        <v>190500</v>
      </c>
      <c r="ACK26" s="28">
        <f>EXPENSES!ACL32</f>
        <v>484000</v>
      </c>
      <c r="ACL26" s="28">
        <f>EXPENSES!ACM32</f>
        <v>97000</v>
      </c>
      <c r="ACM26" s="28">
        <f>EXPENSES!ACN32</f>
        <v>0</v>
      </c>
      <c r="ACN26" s="28">
        <f>EXPENSES!ACO32</f>
        <v>0</v>
      </c>
      <c r="ACO26" s="28">
        <f>EXPENSES!ACP32</f>
        <v>150000</v>
      </c>
      <c r="ACP26" s="28">
        <f>EXPENSES!ACQ32</f>
        <v>2000</v>
      </c>
      <c r="ACQ26" s="28">
        <f>EXPENSES!ACR32</f>
        <v>2000</v>
      </c>
      <c r="ACR26" s="28">
        <f>EXPENSES!ACS32</f>
        <v>6000</v>
      </c>
      <c r="ACS26" s="28">
        <f>EXPENSES!ACT32</f>
        <v>39000</v>
      </c>
      <c r="ACT26" s="28">
        <f>EXPENSES!ACU32</f>
        <v>0</v>
      </c>
      <c r="ACU26" s="28">
        <f>EXPENSES!ACV32</f>
        <v>108000</v>
      </c>
      <c r="ACV26" s="28">
        <f>EXPENSES!ACW32</f>
        <v>2000</v>
      </c>
      <c r="ACW26" s="28">
        <f>EXPENSES!ACX32</f>
        <v>36000</v>
      </c>
      <c r="ACX26" s="28">
        <f>EXPENSES!ACY32</f>
        <v>12000</v>
      </c>
      <c r="ACY26" s="28">
        <f>EXPENSES!ACZ32</f>
        <v>6000</v>
      </c>
      <c r="ACZ26" s="28">
        <f>EXPENSES!ADA32</f>
        <v>2000</v>
      </c>
      <c r="ADA26" s="28">
        <f>EXPENSES!ADB32</f>
        <v>139500</v>
      </c>
      <c r="ADB26" s="28">
        <f>EXPENSES!ADC32</f>
        <v>388000</v>
      </c>
      <c r="ADC26" s="28">
        <f>EXPENSES!ADD32</f>
        <v>234500</v>
      </c>
      <c r="ADD26" s="28">
        <f>EXPENSES!ADE32</f>
        <v>26000</v>
      </c>
      <c r="ADE26" s="28">
        <f>EXPENSES!ADF32</f>
        <v>97000</v>
      </c>
      <c r="ADF26" s="28">
        <f>EXPENSES!ADG32</f>
        <v>6000</v>
      </c>
      <c r="ADG26" s="28">
        <f>EXPENSES!ADH32</f>
        <v>2000</v>
      </c>
      <c r="ADH26" s="28">
        <f>EXPENSES!ADI32</f>
        <v>0</v>
      </c>
      <c r="ADI26" s="127">
        <f>SUM(ACD26:ADH26)</f>
        <v>4559500</v>
      </c>
      <c r="ADJ26" s="28">
        <f>EXPENSES!ADK32</f>
        <v>28000</v>
      </c>
      <c r="ADK26" s="28">
        <f>EXPENSES!ADL32</f>
        <v>6000</v>
      </c>
      <c r="ADL26" s="28">
        <f>EXPENSES!ADM32</f>
        <v>2607900</v>
      </c>
      <c r="ADM26" s="28">
        <f>EXPENSES!ADN32</f>
        <v>325000</v>
      </c>
      <c r="ADN26" s="28">
        <f>EXPENSES!ADO32</f>
        <v>6000</v>
      </c>
      <c r="ADO26" s="28">
        <f>EXPENSES!ADP32</f>
        <v>2000</v>
      </c>
      <c r="ADP26" s="28">
        <f>EXPENSES!ADQ32</f>
        <v>0</v>
      </c>
      <c r="ADQ26" s="28">
        <f>EXPENSES!ADR32</f>
        <v>18000</v>
      </c>
      <c r="ADR26" s="28">
        <f>EXPENSES!ADS32</f>
        <v>1000</v>
      </c>
      <c r="ADS26" s="28">
        <f>EXPENSES!ADT32</f>
        <v>6000</v>
      </c>
      <c r="ADT26" s="28">
        <f>EXPENSES!ADU32</f>
        <v>0</v>
      </c>
      <c r="ADU26" s="28">
        <f>EXPENSES!ADV32</f>
        <v>6000</v>
      </c>
      <c r="ADV26" s="28">
        <f>EXPENSES!ADW32</f>
        <v>152000</v>
      </c>
      <c r="ADW26" s="28">
        <f>EXPENSES!ADX32</f>
        <v>293000</v>
      </c>
      <c r="ADX26" s="28">
        <f>EXPENSES!ADY32</f>
        <v>11000</v>
      </c>
      <c r="ADY26" s="28">
        <f>EXPENSES!ADZ32</f>
        <v>139000</v>
      </c>
      <c r="ADZ26" s="28">
        <f>EXPENSES!AEA32</f>
        <v>321000</v>
      </c>
      <c r="AEA26" s="28">
        <f>EXPENSES!AEB32</f>
        <v>166500</v>
      </c>
      <c r="AEB26" s="28">
        <f>EXPENSES!AEC32</f>
        <v>249000</v>
      </c>
      <c r="AEC26" s="28">
        <f>EXPENSES!AED32</f>
        <v>150000</v>
      </c>
      <c r="AED26" s="28">
        <f>EXPENSES!AEE32</f>
        <v>0</v>
      </c>
      <c r="AEE26" s="28">
        <f>EXPENSES!AEF32</f>
        <v>105000</v>
      </c>
      <c r="AEF26" s="28">
        <f>EXPENSES!AEG32</f>
        <v>0</v>
      </c>
      <c r="AEG26" s="28">
        <f>EXPENSES!AEH32</f>
        <v>66000</v>
      </c>
      <c r="AEH26" s="28">
        <f>EXPENSES!AEI32</f>
        <v>1210000</v>
      </c>
      <c r="AEI26" s="28">
        <f>EXPENSES!AEJ32</f>
        <v>6000</v>
      </c>
      <c r="AEJ26" s="28">
        <f>EXPENSES!AEK32</f>
        <v>17000</v>
      </c>
      <c r="AEK26" s="28">
        <f>EXPENSES!AEL32</f>
        <v>0</v>
      </c>
      <c r="AEL26" s="28">
        <f>EXPENSES!AEM32</f>
        <v>206000</v>
      </c>
      <c r="AEM26" s="28">
        <f>EXPENSES!AEN32</f>
        <v>210000</v>
      </c>
      <c r="AEN26" s="127">
        <f>SUM(ADJ26:AEM26)</f>
        <v>6307400</v>
      </c>
      <c r="AEO26" s="28">
        <f>EXPENSES!AEP32</f>
        <v>226600</v>
      </c>
      <c r="AEP26" s="28">
        <f>EXPENSES!AEQ32</f>
        <v>7000</v>
      </c>
      <c r="AEQ26" s="28">
        <f>EXPENSES!AER32</f>
        <v>40000</v>
      </c>
      <c r="AER26" s="28">
        <f>EXPENSES!AES32</f>
        <v>2242000</v>
      </c>
      <c r="AES26" s="28">
        <f>EXPENSES!AET32</f>
        <v>193000</v>
      </c>
      <c r="AET26" s="28">
        <f>EXPENSES!AEU32</f>
        <v>15000</v>
      </c>
      <c r="AEU26" s="28">
        <f>EXPENSES!AEV32</f>
        <v>2000</v>
      </c>
      <c r="AEV26" s="28">
        <f>EXPENSES!AEW32</f>
        <v>195000</v>
      </c>
      <c r="AEW26" s="28">
        <f>EXPENSES!AEX32</f>
        <v>202000</v>
      </c>
      <c r="AEX26" s="28">
        <f>EXPENSES!AEY32</f>
        <v>10000</v>
      </c>
      <c r="AEY26" s="28">
        <f>EXPENSES!AEZ32</f>
        <v>2000</v>
      </c>
      <c r="AEZ26" s="28">
        <f>EXPENSES!AFA32</f>
        <v>0</v>
      </c>
      <c r="AFA26" s="28">
        <f>EXPENSES!AFB32</f>
        <v>106000</v>
      </c>
      <c r="AFB26" s="28">
        <f>EXPENSES!AFC32</f>
        <v>6000</v>
      </c>
      <c r="AFC26" s="28">
        <f>EXPENSES!AFD32</f>
        <v>2000</v>
      </c>
      <c r="AFD26" s="28">
        <f>EXPENSES!AFE32</f>
        <v>36000</v>
      </c>
      <c r="AFE26" s="28">
        <f>EXPENSES!AFF32</f>
        <v>2000</v>
      </c>
      <c r="AFF26" s="28">
        <f>EXPENSES!AFG32</f>
        <v>95000</v>
      </c>
      <c r="AFG26" s="28">
        <f>EXPENSES!AFH32</f>
        <v>200000</v>
      </c>
      <c r="AFH26" s="28">
        <f>EXPENSES!AFI32</f>
        <v>238000</v>
      </c>
      <c r="AFI26" s="28">
        <f>EXPENSES!AFJ32</f>
        <v>2000</v>
      </c>
      <c r="AFJ26" s="28">
        <f>EXPENSES!AFK32</f>
        <v>114000</v>
      </c>
      <c r="AFK26" s="28">
        <f>EXPENSES!AFL32</f>
        <v>88000</v>
      </c>
      <c r="AFL26" s="28">
        <f>EXPENSES!AFM32</f>
        <v>6000</v>
      </c>
      <c r="AFM26" s="28">
        <f>EXPENSES!AFN32</f>
        <v>2000</v>
      </c>
      <c r="AFN26" s="28">
        <f>EXPENSES!AFO32</f>
        <v>102500</v>
      </c>
      <c r="AFO26" s="28">
        <f>EXPENSES!AFP32</f>
        <v>156000</v>
      </c>
      <c r="AFP26" s="28">
        <f>EXPENSES!AFQ32</f>
        <v>238000</v>
      </c>
      <c r="AFQ26" s="28">
        <f>EXPENSES!AFR32</f>
        <v>95000</v>
      </c>
      <c r="AFR26" s="28">
        <f>EXPENSES!AFS32</f>
        <v>2000</v>
      </c>
      <c r="AFS26" s="28">
        <f>EXPENSES!AFT32</f>
        <v>104000</v>
      </c>
      <c r="AFT26" s="127">
        <f>SUM(AEO26:AFS26)</f>
        <v>4729100</v>
      </c>
      <c r="AFU26" s="28">
        <f>EXPENSES!AFV32</f>
        <v>2324432</v>
      </c>
      <c r="AFV26" s="28">
        <f>EXPENSES!AFW32</f>
        <v>77000</v>
      </c>
      <c r="AFW26" s="28">
        <f>EXPENSES!AFX32</f>
        <v>0</v>
      </c>
      <c r="AFX26" s="28">
        <f>EXPENSES!AFY32</f>
        <v>97000</v>
      </c>
      <c r="AFY26" s="28">
        <f>EXPENSES!AFZ32</f>
        <v>2277800</v>
      </c>
      <c r="AFZ26" s="28">
        <f>EXPENSES!AGA32</f>
        <v>2000</v>
      </c>
      <c r="AGA26" s="28">
        <f>EXPENSES!AGB32</f>
        <v>2000</v>
      </c>
      <c r="AGB26" s="28">
        <f>EXPENSES!AGC32</f>
        <v>262000</v>
      </c>
      <c r="AGC26" s="28">
        <f>EXPENSES!AGD32</f>
        <v>118500</v>
      </c>
      <c r="AGD26" s="28">
        <f>EXPENSES!AGE32</f>
        <v>204000</v>
      </c>
      <c r="AGE26" s="28">
        <f>EXPENSES!AGF32</f>
        <v>102000</v>
      </c>
      <c r="AGF26" s="28">
        <f>EXPENSES!AGG32</f>
        <v>32000</v>
      </c>
      <c r="AGG26" s="28">
        <f>EXPENSES!AGH32</f>
        <v>116000</v>
      </c>
      <c r="AGH26" s="28">
        <f>EXPENSES!AGI32</f>
        <v>6000</v>
      </c>
      <c r="AGI26" s="28">
        <f>EXPENSES!AGJ32</f>
        <v>92000</v>
      </c>
      <c r="AGJ26" s="28">
        <f>EXPENSES!AGK32</f>
        <v>0</v>
      </c>
      <c r="AGK26" s="28">
        <f>EXPENSES!AGL32</f>
        <v>137000</v>
      </c>
      <c r="AGL26" s="28">
        <f>EXPENSES!AGM32</f>
        <v>2000</v>
      </c>
      <c r="AGM26" s="28">
        <f>EXPENSES!AGN32</f>
        <v>102000</v>
      </c>
      <c r="AGN26" s="28">
        <f>EXPENSES!AGO32</f>
        <v>129000</v>
      </c>
      <c r="AGO26" s="28">
        <f>EXPENSES!AGP32</f>
        <v>130000</v>
      </c>
      <c r="AGP26" s="28">
        <f>EXPENSES!AGQ32</f>
        <v>125000</v>
      </c>
      <c r="AGQ26" s="28">
        <f>EXPENSES!AGR32</f>
        <v>163500</v>
      </c>
      <c r="AGR26" s="28">
        <f>EXPENSES!AGS32</f>
        <v>50000</v>
      </c>
      <c r="AGS26" s="28">
        <f>EXPENSES!AGT32</f>
        <v>106000</v>
      </c>
      <c r="AGT26" s="28">
        <f>EXPENSES!AGU32</f>
        <v>102000</v>
      </c>
      <c r="AGU26" s="28">
        <f>EXPENSES!AGV32</f>
        <v>224000</v>
      </c>
      <c r="AGV26" s="28">
        <f>EXPENSES!AGW32</f>
        <v>196980</v>
      </c>
      <c r="AGW26" s="28">
        <f>EXPENSES!AGX32</f>
        <v>12000</v>
      </c>
      <c r="AGX26" s="28">
        <f>EXPENSES!AGY32</f>
        <v>0</v>
      </c>
      <c r="AGY26" s="127">
        <f>SUM(AFU26:AGX26)</f>
        <v>7192212</v>
      </c>
      <c r="AGZ26" s="28">
        <f>EXPENSES!AHA32</f>
        <v>126000</v>
      </c>
      <c r="AHA26" s="28">
        <f>EXPENSES!AHB32</f>
        <v>2000</v>
      </c>
      <c r="AHB26" s="28">
        <f>EXPENSES!AHC32</f>
        <v>2232000</v>
      </c>
      <c r="AHC26" s="28">
        <f>EXPENSES!AHD32</f>
        <v>12000</v>
      </c>
      <c r="AHD26" s="28">
        <f>EXPENSES!AHE32</f>
        <v>106000</v>
      </c>
      <c r="AHE26" s="28">
        <f>EXPENSES!AHF32</f>
        <v>456439</v>
      </c>
      <c r="AHF26" s="28">
        <f>EXPENSES!AHG32</f>
        <v>118000</v>
      </c>
      <c r="AHG26" s="28">
        <f>EXPENSES!AHH32</f>
        <v>20000</v>
      </c>
      <c r="AHH26" s="28">
        <f>EXPENSES!AHI32</f>
        <v>2000</v>
      </c>
      <c r="AHI26" s="28">
        <f>EXPENSES!AHJ32</f>
        <v>6000</v>
      </c>
      <c r="AHJ26" s="28">
        <f>EXPENSES!AHK32</f>
        <v>106000</v>
      </c>
      <c r="AHK26" s="28">
        <f>EXPENSES!AHL32</f>
        <v>143780</v>
      </c>
      <c r="AHL26" s="28">
        <f>EXPENSES!AHM32</f>
        <v>22000</v>
      </c>
      <c r="AHM26" s="28">
        <f>EXPENSES!AHN32</f>
        <v>0</v>
      </c>
      <c r="AHN26" s="28">
        <f>EXPENSES!AHO32</f>
        <v>6000</v>
      </c>
      <c r="AHO26" s="28">
        <f>EXPENSES!AHP32</f>
        <v>2000</v>
      </c>
      <c r="AHP26" s="28">
        <f>EXPENSES!AHQ32</f>
        <v>200000</v>
      </c>
      <c r="AHQ26" s="28">
        <f>EXPENSES!AHR32</f>
        <v>222000</v>
      </c>
      <c r="AHR26" s="28">
        <f>EXPENSES!AHS32</f>
        <v>11500</v>
      </c>
      <c r="AHS26" s="28">
        <f>EXPENSES!AHT32</f>
        <v>204000</v>
      </c>
      <c r="AHT26" s="28">
        <f>EXPENSES!AHU32</f>
        <v>220000</v>
      </c>
      <c r="AHU26" s="28">
        <f>EXPENSES!AHV32</f>
        <v>158000</v>
      </c>
      <c r="AHV26" s="28">
        <f>EXPENSES!AHW32</f>
        <v>103780</v>
      </c>
      <c r="AHW26" s="28">
        <f>EXPENSES!AHX32</f>
        <v>6000</v>
      </c>
      <c r="AHX26" s="28">
        <f>EXPENSES!AHY32</f>
        <v>0</v>
      </c>
      <c r="AHY26" s="28">
        <f>EXPENSES!AHZ32</f>
        <v>126000</v>
      </c>
      <c r="AHZ26" s="28">
        <f>EXPENSES!AIA32</f>
        <v>17000</v>
      </c>
      <c r="AIA26" s="28">
        <f>EXPENSES!AIB32</f>
        <v>50000</v>
      </c>
      <c r="AIB26" s="28">
        <f>EXPENSES!AIC32</f>
        <v>10000</v>
      </c>
      <c r="AIC26" s="28">
        <f>EXPENSES!AID32</f>
        <v>222000</v>
      </c>
      <c r="AID26" s="28">
        <f>EXPENSES!AIE32</f>
        <v>6000</v>
      </c>
      <c r="AIE26" s="127">
        <f>SUM(AHA26:AID26)</f>
        <v>4790499</v>
      </c>
      <c r="AIF26" s="28">
        <f>EXPENSES!AIG32</f>
        <v>0</v>
      </c>
      <c r="AIG26" s="28">
        <f>EXPENSES!AIH32</f>
        <v>0</v>
      </c>
      <c r="AIH26" s="28">
        <f>EXPENSES!AII32</f>
        <v>2000</v>
      </c>
      <c r="AII26" s="28">
        <f>EXPENSES!AIJ32</f>
        <v>234000</v>
      </c>
      <c r="AIJ26" s="28">
        <f>EXPENSES!AIK32</f>
        <v>20000</v>
      </c>
      <c r="AIK26" s="28">
        <f>EXPENSES!AIL32</f>
        <v>12000</v>
      </c>
      <c r="AIL26" s="28">
        <f>EXPENSES!AIM32</f>
        <v>2521560</v>
      </c>
      <c r="AIM26" s="28">
        <f>EXPENSES!AIN32</f>
        <v>3602000</v>
      </c>
      <c r="AIN26" s="28">
        <f>EXPENSES!AIO32</f>
        <v>106000</v>
      </c>
      <c r="AIO26" s="28">
        <f>EXPENSES!AIP32</f>
        <v>0</v>
      </c>
      <c r="AIP26" s="28">
        <f>EXPENSES!AIQ32</f>
        <v>191780</v>
      </c>
      <c r="AIQ26" s="28">
        <f>EXPENSES!AIR32</f>
        <v>6000</v>
      </c>
      <c r="AIR26" s="28">
        <f>EXPENSES!AIS32</f>
        <v>6707000</v>
      </c>
      <c r="AIS26" s="28">
        <f>EXPENSES!AIT32</f>
        <v>2000</v>
      </c>
      <c r="AIT26" s="28">
        <f>EXPENSES!AIU32</f>
        <v>0</v>
      </c>
      <c r="AIU26" s="28">
        <f>EXPENSES!AIV32</f>
        <v>2000</v>
      </c>
      <c r="AIV26" s="28">
        <f>EXPENSES!AIW32</f>
        <v>30000</v>
      </c>
      <c r="AIW26" s="28">
        <f>EXPENSES!AIX32</f>
        <v>540000</v>
      </c>
      <c r="AIX26" s="28">
        <f>EXPENSES!AIY32</f>
        <v>54000</v>
      </c>
      <c r="AIY26" s="28">
        <f>EXPENSES!AIZ32</f>
        <v>56000</v>
      </c>
      <c r="AIZ26" s="28">
        <f>EXPENSES!AJA32</f>
        <v>23000</v>
      </c>
      <c r="AJA26" s="28">
        <f>EXPENSES!AJB32</f>
        <v>70000</v>
      </c>
      <c r="AJB26" s="28">
        <f>EXPENSES!AJC32</f>
        <v>12000</v>
      </c>
      <c r="AJC26" s="28">
        <f>EXPENSES!AJD32</f>
        <v>22000</v>
      </c>
      <c r="AJD26" s="28">
        <f>EXPENSES!AJE32</f>
        <v>100000</v>
      </c>
      <c r="AJE26" s="28">
        <f>EXPENSES!AJF32</f>
        <v>104000</v>
      </c>
      <c r="AJF26" s="28">
        <f>EXPENSES!AJG32</f>
        <v>148000</v>
      </c>
      <c r="AJG26" s="28">
        <f>EXPENSES!AJH32</f>
        <v>6000</v>
      </c>
      <c r="AJH26" s="28">
        <f>EXPENSES!AJI32</f>
        <v>7000</v>
      </c>
      <c r="AJI26" s="28">
        <f>EXPENSES!AJJ32</f>
        <v>102980</v>
      </c>
      <c r="AJJ26" s="28">
        <f>EXPENSES!AJK32</f>
        <v>10000</v>
      </c>
      <c r="AJK26" s="127">
        <f>SUM(AIG26:AJJ26)</f>
        <v>14691320</v>
      </c>
      <c r="AJL26" s="28">
        <f>EXPENSES!AJM32</f>
        <v>100000</v>
      </c>
      <c r="AJM26" s="28">
        <f>EXPENSES!AJN32</f>
        <v>6000</v>
      </c>
      <c r="AJN26" s="28">
        <f>EXPENSES!AJO32</f>
        <v>15500</v>
      </c>
      <c r="AJO26" s="28">
        <f>EXPENSES!AJP32</f>
        <v>2381500</v>
      </c>
      <c r="AJP26" s="28">
        <f>EXPENSES!AJQ32</f>
        <v>26000</v>
      </c>
      <c r="AJQ26" s="28">
        <f>EXPENSES!AJR32</f>
        <v>6000</v>
      </c>
      <c r="AJR26" s="28">
        <f>EXPENSES!AJS32</f>
        <v>10000</v>
      </c>
      <c r="AJS26" s="28">
        <f>EXPENSES!AJT32</f>
        <v>0</v>
      </c>
      <c r="AJT26" s="28">
        <f>EXPENSES!AJU32</f>
        <v>2000</v>
      </c>
      <c r="AJU26" s="28">
        <f>EXPENSES!AJV32</f>
        <v>127480</v>
      </c>
      <c r="AJV26" s="28">
        <f>EXPENSES!AJW32</f>
        <v>6000</v>
      </c>
      <c r="AJW26" s="28">
        <f>EXPENSES!AJX32</f>
        <v>2000</v>
      </c>
      <c r="AJX26" s="28">
        <f>EXPENSES!AJY32</f>
        <v>106000</v>
      </c>
      <c r="AJY26" s="28">
        <f>EXPENSES!AJZ32</f>
        <v>10000</v>
      </c>
      <c r="AJZ26" s="28">
        <f>EXPENSES!AKA32</f>
        <v>191980</v>
      </c>
      <c r="AKA26" s="28">
        <f>EXPENSES!AKB32</f>
        <v>6000</v>
      </c>
      <c r="AKB26" s="28">
        <f>EXPENSES!AKC32</f>
        <v>2000</v>
      </c>
      <c r="AKC26" s="28">
        <f>EXPENSES!AKD32</f>
        <v>6000</v>
      </c>
      <c r="AKD26" s="28">
        <f>EXPENSES!AKE32</f>
        <v>152000</v>
      </c>
      <c r="AKE26" s="28">
        <f>EXPENSES!AKF32</f>
        <v>12000</v>
      </c>
      <c r="AKF26" s="28">
        <f>EXPENSES!AKG32</f>
        <v>160000</v>
      </c>
      <c r="AKG26" s="28">
        <f>EXPENSES!AKH32</f>
        <v>100000</v>
      </c>
      <c r="AKH26" s="28">
        <f>EXPENSES!AKI32</f>
        <v>164600</v>
      </c>
      <c r="AKI26" s="28">
        <f>EXPENSES!AKJ32</f>
        <v>2000</v>
      </c>
      <c r="AKJ26" s="28">
        <f>EXPENSES!AKK32</f>
        <v>12500</v>
      </c>
      <c r="AKK26" s="28">
        <f>EXPENSES!AKL32</f>
        <v>22000</v>
      </c>
      <c r="AKL26" s="28">
        <f>EXPENSES!AKM32</f>
        <v>311000</v>
      </c>
      <c r="AKM26" s="28">
        <f>EXPENSES!AKN32</f>
        <v>108000</v>
      </c>
      <c r="AKN26" s="127">
        <f t="shared" si="11"/>
        <v>4048560</v>
      </c>
      <c r="AKO26" s="28">
        <f>EXPENSES!AKP32</f>
        <v>5050000</v>
      </c>
      <c r="AKP26" s="28">
        <f>EXPENSES!AKQ32</f>
        <v>106000</v>
      </c>
      <c r="AKQ26" s="28">
        <f>EXPENSES!AKR32</f>
        <v>25000</v>
      </c>
      <c r="AKR26" s="28">
        <f>EXPENSES!AKS32</f>
        <v>2841800</v>
      </c>
      <c r="AKS26" s="28">
        <f>EXPENSES!AKT32</f>
        <v>2000</v>
      </c>
      <c r="AKT26" s="28">
        <f>EXPENSES!AKU32</f>
        <v>96000</v>
      </c>
      <c r="AKU26" s="28">
        <f>EXPENSES!AKV32</f>
        <v>174000</v>
      </c>
      <c r="AKV26" s="28">
        <f>EXPENSES!AKW32</f>
        <v>0</v>
      </c>
      <c r="AKW26" s="28">
        <f>EXPENSES!AKX32</f>
        <v>6000</v>
      </c>
      <c r="AKX26" s="28">
        <f>EXPENSES!AKY32</f>
        <v>52990</v>
      </c>
      <c r="AKY26" s="28">
        <f>EXPENSES!AKZ32</f>
        <v>106000</v>
      </c>
      <c r="AKZ26" s="28">
        <f>EXPENSES!ALA32</f>
        <v>2000</v>
      </c>
      <c r="ALA26" s="28">
        <f>EXPENSES!ALB32</f>
        <v>12000</v>
      </c>
      <c r="ALB26" s="28">
        <f>EXPENSES!ALC32</f>
        <v>378940</v>
      </c>
      <c r="ALC26" s="28">
        <f>EXPENSES!ALD32</f>
        <v>471920</v>
      </c>
      <c r="ALD26" s="28">
        <f>EXPENSES!ALE32</f>
        <v>592960</v>
      </c>
      <c r="ALE26" s="28">
        <f>EXPENSES!ALF32</f>
        <v>52000</v>
      </c>
      <c r="ALF26" s="28">
        <f>EXPENSES!ALG32</f>
        <v>392970</v>
      </c>
      <c r="ALG26" s="28">
        <f>EXPENSES!ALH32</f>
        <v>412000</v>
      </c>
      <c r="ALH26" s="28">
        <f>EXPENSES!ALI32</f>
        <v>0</v>
      </c>
      <c r="ALI26" s="28">
        <f>EXPENSES!ALJ32</f>
        <v>50000</v>
      </c>
      <c r="ALJ26" s="28">
        <f>EXPENSES!ALK32</f>
        <v>0</v>
      </c>
      <c r="ALK26" s="28">
        <f>EXPENSES!ALL32</f>
        <v>22000</v>
      </c>
      <c r="ALL26" s="28">
        <f>EXPENSES!ALM32</f>
        <v>141000</v>
      </c>
      <c r="ALM26" s="28">
        <f>EXPENSES!ALN32</f>
        <v>74000</v>
      </c>
      <c r="ALN26" s="28">
        <f>EXPENSES!ALO32</f>
        <v>100000</v>
      </c>
      <c r="ALO26" s="28">
        <f>EXPENSES!ALP32</f>
        <v>389000</v>
      </c>
      <c r="ALP26" s="28">
        <f>EXPENSES!ALQ32</f>
        <v>587500</v>
      </c>
      <c r="ALQ26" s="28">
        <f>EXPENSES!ALR32</f>
        <v>350000</v>
      </c>
      <c r="ALR26" s="28">
        <f>EXPENSES!ALS32</f>
        <v>316000</v>
      </c>
      <c r="ALS26" s="28">
        <f>EXPENSES!ALT32</f>
        <v>2000</v>
      </c>
      <c r="ALT26" s="127">
        <f t="shared" si="12"/>
        <v>12806080</v>
      </c>
      <c r="ALU26" s="28">
        <f>EXPENSES!ALV32</f>
        <v>6000</v>
      </c>
      <c r="ALV26" s="28">
        <f>EXPENSES!ALW32</f>
        <v>21000</v>
      </c>
      <c r="ALW26" s="28">
        <f>EXPENSES!ALX32</f>
        <v>2257000</v>
      </c>
      <c r="ALX26" s="28">
        <f>EXPENSES!ALY32</f>
        <v>4000</v>
      </c>
      <c r="ALY26" s="28">
        <f>EXPENSES!ALZ32</f>
        <v>120000</v>
      </c>
      <c r="ALZ26" s="28">
        <f>EXPENSES!AMA32</f>
        <v>36000</v>
      </c>
      <c r="AMA26" s="28">
        <f>EXPENSES!AMB32</f>
        <v>2000</v>
      </c>
      <c r="AMB26" s="28">
        <f>EXPENSES!AMC32</f>
        <v>147000</v>
      </c>
      <c r="AMC26" s="28">
        <f>EXPENSES!AMD32</f>
        <v>70000</v>
      </c>
      <c r="AMD26" s="28">
        <f>EXPENSES!AME32</f>
        <v>6000</v>
      </c>
      <c r="AME26" s="28">
        <f>EXPENSES!AMF32</f>
        <v>4000</v>
      </c>
      <c r="AMF26" s="28">
        <f>EXPENSES!AMG32</f>
        <v>102000</v>
      </c>
      <c r="AMG26" s="28">
        <f>EXPENSES!AMH32</f>
        <v>895300</v>
      </c>
      <c r="AMH26" s="28">
        <f>EXPENSES!AMI32</f>
        <v>313940</v>
      </c>
      <c r="AMI26" s="28">
        <f>EXPENSES!AMJ32</f>
        <v>6000</v>
      </c>
      <c r="AMJ26" s="28">
        <f>EXPENSES!AMK32</f>
        <v>2000</v>
      </c>
      <c r="AMK26" s="28">
        <f>EXPENSES!AML32</f>
        <v>383450</v>
      </c>
      <c r="AML26" s="28">
        <f>EXPENSES!AMM32</f>
        <v>367430</v>
      </c>
      <c r="AMM26" s="28">
        <f>EXPENSES!AMN32</f>
        <v>393675</v>
      </c>
      <c r="AMN26" s="28">
        <f>EXPENSES!AMO32</f>
        <v>569940</v>
      </c>
      <c r="AMO26" s="28">
        <f>EXPENSES!AMP32</f>
        <v>81000</v>
      </c>
      <c r="AMP26" s="28">
        <f>EXPENSES!AMQ32</f>
        <v>22000</v>
      </c>
      <c r="AMQ26" s="28">
        <f>EXPENSES!AMR32</f>
        <v>265470</v>
      </c>
      <c r="AMR26" s="28">
        <f>EXPENSES!AMS32</f>
        <v>2000</v>
      </c>
      <c r="AMS26" s="28">
        <f>EXPENSES!AMT32</f>
        <v>183000</v>
      </c>
      <c r="AMT26" s="28">
        <f>EXPENSES!AMU32</f>
        <v>117000</v>
      </c>
      <c r="AMU26" s="28">
        <f>EXPENSES!AMV32</f>
        <v>202000</v>
      </c>
      <c r="AMV26" s="28">
        <f>EXPENSES!AMW32</f>
        <v>241499</v>
      </c>
      <c r="AMW26" s="28">
        <f>EXPENSES!AMX32</f>
        <v>102000</v>
      </c>
      <c r="AMX26" s="28">
        <f>EXPENSES!AMY32</f>
        <v>100000</v>
      </c>
      <c r="AMY26" s="127">
        <f t="shared" si="13"/>
        <v>7022704</v>
      </c>
      <c r="AMZ26" s="28">
        <f>EXPENSES!ANA32</f>
        <v>102000</v>
      </c>
      <c r="ANA26" s="28">
        <f>EXPENSES!ANB32</f>
        <v>83000</v>
      </c>
      <c r="ANB26" s="28">
        <f>EXPENSES!ANC32</f>
        <v>2000</v>
      </c>
      <c r="ANC26" s="28">
        <f>EXPENSES!AND32</f>
        <v>2622505</v>
      </c>
      <c r="AND26" s="28">
        <f>EXPENSES!ANE32</f>
        <v>681450</v>
      </c>
      <c r="ANE26" s="28">
        <f>EXPENSES!ANF32</f>
        <v>32000</v>
      </c>
      <c r="ANF26" s="28">
        <f>EXPENSES!ANG32</f>
        <v>402000</v>
      </c>
      <c r="ANG26" s="28">
        <f>EXPENSES!ANH32</f>
        <v>106000</v>
      </c>
      <c r="ANH26" s="28">
        <f>EXPENSES!ANI32</f>
        <v>174000</v>
      </c>
      <c r="ANI26" s="28">
        <f>EXPENSES!ANJ32</f>
        <v>112580</v>
      </c>
      <c r="ANJ26" s="28">
        <f>EXPENSES!ANK32</f>
        <v>28000</v>
      </c>
      <c r="ANK26" s="28">
        <f>EXPENSES!ANL32</f>
        <v>2000</v>
      </c>
      <c r="ANL26" s="28">
        <f>EXPENSES!ANM32</f>
        <v>136000</v>
      </c>
      <c r="ANM26" s="28">
        <f>EXPENSES!ANN32</f>
        <v>22000</v>
      </c>
      <c r="ANN26" s="28">
        <f>EXPENSES!ANO32</f>
        <v>82290</v>
      </c>
      <c r="ANO26" s="28">
        <f>EXPENSES!ANP32</f>
        <v>461000</v>
      </c>
      <c r="ANP26" s="28">
        <f>EXPENSES!ANQ32</f>
        <v>218000</v>
      </c>
      <c r="ANQ26" s="28">
        <f>EXPENSES!ANR32</f>
        <v>31000</v>
      </c>
      <c r="ANR26" s="28">
        <f>EXPENSES!ANS32</f>
        <v>288000</v>
      </c>
      <c r="ANS26" s="28">
        <f>EXPENSES!ANT32</f>
        <v>548375</v>
      </c>
      <c r="ANT26" s="28">
        <f>EXPENSES!ANU32</f>
        <v>26000</v>
      </c>
      <c r="ANU26" s="28">
        <f>EXPENSES!ANV32</f>
        <v>18000</v>
      </c>
      <c r="ANV26" s="28">
        <f>EXPENSES!ANW32</f>
        <v>438980</v>
      </c>
      <c r="ANW26" s="28">
        <f>EXPENSES!ANX32</f>
        <v>530980</v>
      </c>
      <c r="ANX26" s="28">
        <f>EXPENSES!ANY32</f>
        <v>57000</v>
      </c>
      <c r="ANY26" s="28">
        <f>EXPENSES!ANZ32</f>
        <v>334980</v>
      </c>
      <c r="ANZ26" s="28">
        <f>EXPENSES!AOA32</f>
        <v>0</v>
      </c>
      <c r="AOA26" s="28">
        <f>EXPENSES!AOB32</f>
        <v>206000</v>
      </c>
      <c r="AOB26" s="28">
        <f>EXPENSES!AOC32</f>
        <v>4000</v>
      </c>
      <c r="AOC26" s="28">
        <f>EXPENSES!AOD32</f>
        <v>0</v>
      </c>
    </row>
    <row r="27" spans="1:1069" x14ac:dyDescent="0.2">
      <c r="A27" s="4"/>
      <c r="B27" s="5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94"/>
      <c r="BM27" s="97"/>
      <c r="CS27" s="111">
        <f t="shared" si="208"/>
        <v>0</v>
      </c>
      <c r="DX27" s="117"/>
      <c r="FD27" s="128"/>
      <c r="GJ27" s="127">
        <f t="shared" si="99"/>
        <v>0</v>
      </c>
      <c r="HN27" s="127">
        <f>SUM(GI27:HM27)</f>
        <v>0</v>
      </c>
      <c r="IT27" s="127">
        <f t="shared" si="22"/>
        <v>0</v>
      </c>
      <c r="JY27" s="127">
        <f t="shared" si="58"/>
        <v>0</v>
      </c>
      <c r="LE27" s="127">
        <f t="shared" si="60"/>
        <v>0</v>
      </c>
      <c r="MJ27" s="127">
        <f t="shared" si="62"/>
        <v>0</v>
      </c>
      <c r="NP27" s="127">
        <f t="shared" si="64"/>
        <v>0</v>
      </c>
      <c r="OV27" s="127">
        <f t="shared" si="66"/>
        <v>0</v>
      </c>
      <c r="QA27" s="127">
        <f t="shared" si="68"/>
        <v>0</v>
      </c>
      <c r="RG27" s="127">
        <f t="shared" si="147"/>
        <v>0</v>
      </c>
      <c r="SL27" s="127">
        <f t="shared" si="207"/>
        <v>0</v>
      </c>
      <c r="TR27" s="127">
        <f t="shared" si="226"/>
        <v>0</v>
      </c>
      <c r="UX27" s="127">
        <f t="shared" si="228"/>
        <v>0</v>
      </c>
      <c r="WA27" s="127">
        <f>SUM(UW27:VZ27)</f>
        <v>0</v>
      </c>
      <c r="XG27" s="127">
        <f>SUM(WC27:XF27)</f>
        <v>0</v>
      </c>
      <c r="YL27" s="127">
        <f>SUM(XI27:YK27)</f>
        <v>0</v>
      </c>
      <c r="ZR27" s="127">
        <f>SUM(YO27:ZQ27)</f>
        <v>0</v>
      </c>
      <c r="AAW27" s="127">
        <f>SUM(ZT27:AAV27)</f>
        <v>0</v>
      </c>
      <c r="ACC27" s="127">
        <f>SUM(AAZ27:ACB27)</f>
        <v>0</v>
      </c>
      <c r="ADI27" s="127">
        <f>SUM(ACF27:ADH27)</f>
        <v>0</v>
      </c>
      <c r="AEN27" s="127">
        <f>SUM(ADK27:AEM27)</f>
        <v>0</v>
      </c>
      <c r="AFT27" s="127">
        <f>SUM(AEQ27:AFS27)</f>
        <v>0</v>
      </c>
      <c r="AGY27" s="127">
        <f>SUM(AFV27:AGX27)</f>
        <v>0</v>
      </c>
      <c r="AIE27" s="127">
        <f>SUM(AHB27:AID27)</f>
        <v>0</v>
      </c>
      <c r="AJK27" s="127">
        <f>SUM(AIH27:AJJ27)</f>
        <v>0</v>
      </c>
      <c r="AKN27" s="127">
        <f t="shared" si="11"/>
        <v>0</v>
      </c>
      <c r="ALT27" s="127">
        <f t="shared" si="12"/>
        <v>0</v>
      </c>
      <c r="AMY27" s="127">
        <f t="shared" si="13"/>
        <v>0</v>
      </c>
    </row>
    <row r="28" spans="1:1069" x14ac:dyDescent="0.2">
      <c r="A28" s="167" t="s">
        <v>1522</v>
      </c>
      <c r="B28" s="160"/>
      <c r="C28" s="30">
        <f t="shared" ref="C28:AG28" si="245">C12+C24-C18-C26</f>
        <v>11583602.320000097</v>
      </c>
      <c r="D28" s="30">
        <f t="shared" si="245"/>
        <v>10218071.000000291</v>
      </c>
      <c r="E28" s="30">
        <f t="shared" si="245"/>
        <v>10915670.799999762</v>
      </c>
      <c r="F28" s="30">
        <f t="shared" si="245"/>
        <v>12593761.18000029</v>
      </c>
      <c r="G28" s="30">
        <f t="shared" si="245"/>
        <v>14177535.769999895</v>
      </c>
      <c r="H28" s="30">
        <f t="shared" si="245"/>
        <v>12440736.819999818</v>
      </c>
      <c r="I28" s="30">
        <f t="shared" si="245"/>
        <v>13890216.290000338</v>
      </c>
      <c r="J28" s="30">
        <f t="shared" si="245"/>
        <v>10969846.389999993</v>
      </c>
      <c r="K28" s="30">
        <f t="shared" si="245"/>
        <v>8865351.9000000916</v>
      </c>
      <c r="L28" s="30">
        <f t="shared" si="245"/>
        <v>12139440.839999951</v>
      </c>
      <c r="M28" s="30">
        <f t="shared" si="245"/>
        <v>11308143.629999556</v>
      </c>
      <c r="N28" s="30">
        <f t="shared" si="245"/>
        <v>12997486.930000771</v>
      </c>
      <c r="O28" s="30">
        <f t="shared" si="245"/>
        <v>12787491.240000006</v>
      </c>
      <c r="P28" s="30">
        <f t="shared" si="245"/>
        <v>14044032.259999793</v>
      </c>
      <c r="Q28" s="30">
        <f t="shared" si="245"/>
        <v>11548048.069999814</v>
      </c>
      <c r="R28" s="30">
        <f t="shared" si="245"/>
        <v>13030060.380000401</v>
      </c>
      <c r="S28" s="30">
        <f t="shared" si="245"/>
        <v>12646565.119999748</v>
      </c>
      <c r="T28" s="30">
        <f t="shared" si="245"/>
        <v>14458527.789999381</v>
      </c>
      <c r="U28" s="30">
        <f t="shared" si="245"/>
        <v>11715924.690000251</v>
      </c>
      <c r="V28" s="30">
        <f t="shared" si="245"/>
        <v>12600341.659999853</v>
      </c>
      <c r="W28" s="30">
        <f t="shared" si="245"/>
        <v>10272160.220000632</v>
      </c>
      <c r="X28" s="30">
        <f t="shared" si="245"/>
        <v>12062076.359999694</v>
      </c>
      <c r="Y28" s="30">
        <f t="shared" si="245"/>
        <v>10314089.500000646</v>
      </c>
      <c r="Z28" s="30">
        <f t="shared" si="245"/>
        <v>11277472.319999758</v>
      </c>
      <c r="AA28" s="30">
        <f t="shared" si="245"/>
        <v>14748722.919999741</v>
      </c>
      <c r="AB28" s="30">
        <f t="shared" si="245"/>
        <v>16285075.589999951</v>
      </c>
      <c r="AC28" s="30">
        <f t="shared" si="245"/>
        <v>11350370.560000233</v>
      </c>
      <c r="AD28" s="30">
        <f t="shared" si="245"/>
        <v>12865968.589999614</v>
      </c>
      <c r="AE28" s="30">
        <f t="shared" si="245"/>
        <v>13060931.779999547</v>
      </c>
      <c r="AF28" s="30">
        <f t="shared" si="245"/>
        <v>14231204.150001124</v>
      </c>
      <c r="AG28" s="30">
        <f t="shared" si="245"/>
        <v>15245180.299999394</v>
      </c>
      <c r="AH28" s="94">
        <f>SUM(C28:AG28)</f>
        <v>386644107.37000036</v>
      </c>
      <c r="AI28" s="30">
        <f t="shared" ref="AI28:BL28" si="246">AI12+AI24-AI18-AI26</f>
        <v>17173508.760000218</v>
      </c>
      <c r="AJ28" s="30">
        <f t="shared" si="246"/>
        <v>17509328.470000096</v>
      </c>
      <c r="AK28" s="30">
        <f t="shared" si="246"/>
        <v>15246390.759999949</v>
      </c>
      <c r="AL28" s="30">
        <f t="shared" si="246"/>
        <v>12739667.100000244</v>
      </c>
      <c r="AM28" s="30">
        <f t="shared" si="246"/>
        <v>15447437.46999944</v>
      </c>
      <c r="AN28" s="30">
        <f t="shared" si="246"/>
        <v>8783072.0900001004</v>
      </c>
      <c r="AO28" s="30">
        <f t="shared" si="246"/>
        <v>16468502.159999907</v>
      </c>
      <c r="AP28" s="30">
        <f t="shared" si="246"/>
        <v>19821354.989999872</v>
      </c>
      <c r="AQ28" s="30">
        <f t="shared" si="246"/>
        <v>15782315.480000433</v>
      </c>
      <c r="AR28" s="30">
        <f t="shared" si="246"/>
        <v>13794832.519999996</v>
      </c>
      <c r="AS28" s="30">
        <f t="shared" si="246"/>
        <v>14976767.429999612</v>
      </c>
      <c r="AT28" s="30">
        <f t="shared" si="246"/>
        <v>12989305.350000663</v>
      </c>
      <c r="AU28" s="30">
        <f t="shared" si="246"/>
        <v>12471356.349999517</v>
      </c>
      <c r="AV28" s="30">
        <f t="shared" si="246"/>
        <v>12187975.499999803</v>
      </c>
      <c r="AW28" s="30">
        <f t="shared" si="246"/>
        <v>13081771.950000569</v>
      </c>
      <c r="AX28" s="30">
        <f t="shared" si="246"/>
        <v>13507096.849999961</v>
      </c>
      <c r="AY28" s="30">
        <f t="shared" si="246"/>
        <v>12820874.849999834</v>
      </c>
      <c r="AZ28" s="30">
        <f t="shared" si="246"/>
        <v>13420436.799999952</v>
      </c>
      <c r="BA28" s="30">
        <f t="shared" si="246"/>
        <v>11922494.799999591</v>
      </c>
      <c r="BB28" s="30">
        <f t="shared" si="246"/>
        <v>12286299.950000029</v>
      </c>
      <c r="BC28" s="30">
        <f t="shared" si="246"/>
        <v>12948129.900000922</v>
      </c>
      <c r="BD28" s="30">
        <f t="shared" si="246"/>
        <v>15147031.149999861</v>
      </c>
      <c r="BE28" s="30">
        <f t="shared" si="246"/>
        <v>15345302.549999427</v>
      </c>
      <c r="BF28" s="30">
        <f t="shared" si="246"/>
        <v>12492817.150000207</v>
      </c>
      <c r="BG28" s="30">
        <f t="shared" si="246"/>
        <v>13341926.899999611</v>
      </c>
      <c r="BH28" s="30">
        <f t="shared" si="246"/>
        <v>12456334.749999998</v>
      </c>
      <c r="BI28" s="30">
        <f t="shared" si="246"/>
        <v>13911762.780000448</v>
      </c>
      <c r="BJ28" s="30">
        <f t="shared" si="246"/>
        <v>12477419.310000252</v>
      </c>
      <c r="BK28" s="30">
        <f t="shared" si="246"/>
        <v>13399950.429999806</v>
      </c>
      <c r="BL28" s="30">
        <f t="shared" si="246"/>
        <v>13813108.249999922</v>
      </c>
      <c r="BM28" s="97">
        <f t="shared" ref="BM28:BM36" si="247">SUM(AI28:BL28)</f>
        <v>417764572.80000031</v>
      </c>
      <c r="BN28" s="30">
        <f t="shared" ref="BN28:CR28" si="248">BN12+BN24-BN18-BN26</f>
        <v>12116883.080000198</v>
      </c>
      <c r="BO28" s="30">
        <f t="shared" si="248"/>
        <v>12873366.379999829</v>
      </c>
      <c r="BP28" s="30">
        <f t="shared" si="248"/>
        <v>9296863.0200001895</v>
      </c>
      <c r="BQ28" s="30">
        <f t="shared" si="248"/>
        <v>13199148.399999889</v>
      </c>
      <c r="BR28" s="30">
        <f t="shared" si="248"/>
        <v>12881775.449999571</v>
      </c>
      <c r="BS28" s="30">
        <f t="shared" si="248"/>
        <v>14132308.080000482</v>
      </c>
      <c r="BT28" s="30">
        <f t="shared" si="248"/>
        <v>11821017.079999214</v>
      </c>
      <c r="BU28" s="30">
        <f t="shared" si="248"/>
        <v>12779421.410000825</v>
      </c>
      <c r="BV28" s="30">
        <f t="shared" si="248"/>
        <v>11734807.509999666</v>
      </c>
      <c r="BW28" s="30">
        <f t="shared" si="248"/>
        <v>11324907.130000131</v>
      </c>
      <c r="BX28" s="30">
        <f t="shared" si="248"/>
        <v>11614797.890000274</v>
      </c>
      <c r="BY28" s="30">
        <f t="shared" si="248"/>
        <v>10980099.659999589</v>
      </c>
      <c r="BZ28" s="30">
        <f t="shared" si="248"/>
        <v>12978113.920000162</v>
      </c>
      <c r="CA28" s="30">
        <f t="shared" si="248"/>
        <v>12025017.529999904</v>
      </c>
      <c r="CB28" s="30">
        <f t="shared" si="248"/>
        <v>11642282.000000041</v>
      </c>
      <c r="CC28" s="30">
        <f t="shared" si="248"/>
        <v>12115827.400000371</v>
      </c>
      <c r="CD28" s="30">
        <f t="shared" si="248"/>
        <v>13825874.149999648</v>
      </c>
      <c r="CE28" s="30">
        <f t="shared" si="248"/>
        <v>10493011.180000242</v>
      </c>
      <c r="CF28" s="30">
        <f t="shared" si="248"/>
        <v>10298043.569999468</v>
      </c>
      <c r="CG28" s="30">
        <f t="shared" si="248"/>
        <v>12587788.670000318</v>
      </c>
      <c r="CH28" s="30">
        <f t="shared" si="248"/>
        <v>12720190.289999675</v>
      </c>
      <c r="CI28" s="30">
        <f t="shared" si="248"/>
        <v>12908118.760000113</v>
      </c>
      <c r="CJ28" s="30">
        <f t="shared" si="248"/>
        <v>12087994.510000318</v>
      </c>
      <c r="CK28" s="30">
        <f t="shared" si="248"/>
        <v>13196267.709999986</v>
      </c>
      <c r="CL28" s="30">
        <f t="shared" si="248"/>
        <v>9913464.8600000795</v>
      </c>
      <c r="CM28" s="30">
        <f t="shared" si="248"/>
        <v>10698310.120000208</v>
      </c>
      <c r="CN28" s="30">
        <f t="shared" si="248"/>
        <v>11300688.819999497</v>
      </c>
      <c r="CO28" s="30">
        <f t="shared" si="248"/>
        <v>14195800.629999377</v>
      </c>
      <c r="CP28" s="30">
        <f t="shared" si="248"/>
        <v>12436850.780000776</v>
      </c>
      <c r="CQ28" s="30">
        <f t="shared" si="248"/>
        <v>12291558.949999737</v>
      </c>
      <c r="CR28" s="30">
        <f t="shared" si="248"/>
        <v>12167400.549000155</v>
      </c>
      <c r="CS28" s="111">
        <f t="shared" si="208"/>
        <v>374637999.4889999</v>
      </c>
      <c r="CT28" s="30">
        <f t="shared" ref="CT28:DW28" si="249">CT12+CT24-CT18-CT26</f>
        <v>12855231.258999713</v>
      </c>
      <c r="CU28" s="30">
        <f t="shared" si="249"/>
        <v>10748479.711000169</v>
      </c>
      <c r="CV28" s="30">
        <f t="shared" si="249"/>
        <v>10833370.06300009</v>
      </c>
      <c r="CW28" s="30">
        <f t="shared" si="249"/>
        <v>18668635.76700002</v>
      </c>
      <c r="CX28" s="30">
        <f t="shared" si="249"/>
        <v>14384162.636000074</v>
      </c>
      <c r="CY28" s="30">
        <f t="shared" si="249"/>
        <v>11913313.997000199</v>
      </c>
      <c r="CZ28" s="30">
        <f t="shared" si="249"/>
        <v>11275909.445000093</v>
      </c>
      <c r="DA28" s="30">
        <f t="shared" si="249"/>
        <v>14633214.667000005</v>
      </c>
      <c r="DB28" s="30">
        <f t="shared" si="249"/>
        <v>12327210.736999363</v>
      </c>
      <c r="DC28" s="30">
        <f t="shared" si="249"/>
        <v>13583978.963000268</v>
      </c>
      <c r="DD28" s="30">
        <f t="shared" si="249"/>
        <v>15452393.304000057</v>
      </c>
      <c r="DE28" s="30">
        <f t="shared" si="249"/>
        <v>11696389.392999306</v>
      </c>
      <c r="DF28" s="30">
        <f t="shared" si="249"/>
        <v>9438921.8960003015</v>
      </c>
      <c r="DG28" s="30">
        <f t="shared" si="249"/>
        <v>13027386.342000235</v>
      </c>
      <c r="DH28" s="30">
        <f t="shared" si="249"/>
        <v>10375321.389999961</v>
      </c>
      <c r="DI28" s="30">
        <f t="shared" si="249"/>
        <v>8676693.3900006376</v>
      </c>
      <c r="DJ28" s="30">
        <f t="shared" si="249"/>
        <v>9901917.1499997079</v>
      </c>
      <c r="DK28" s="30">
        <f t="shared" si="249"/>
        <v>13153870.649999458</v>
      </c>
      <c r="DL28" s="30">
        <f t="shared" si="249"/>
        <v>9537743.9799998179</v>
      </c>
      <c r="DM28" s="30">
        <f t="shared" si="249"/>
        <v>12050954.149999838</v>
      </c>
      <c r="DN28" s="30">
        <f t="shared" si="249"/>
        <v>9747796.3900001608</v>
      </c>
      <c r="DO28" s="30">
        <f t="shared" si="249"/>
        <v>12074506.800000243</v>
      </c>
      <c r="DP28" s="30">
        <f t="shared" si="249"/>
        <v>10954594.850000706</v>
      </c>
      <c r="DQ28" s="30">
        <f t="shared" si="249"/>
        <v>13234513.42999921</v>
      </c>
      <c r="DR28" s="30">
        <f t="shared" si="249"/>
        <v>12484289.950000804</v>
      </c>
      <c r="DS28" s="30">
        <f t="shared" si="249"/>
        <v>11834173.219999911</v>
      </c>
      <c r="DT28" s="30">
        <f t="shared" si="249"/>
        <v>7756426.4199995026</v>
      </c>
      <c r="DU28" s="30">
        <f t="shared" si="249"/>
        <v>10985349.330000293</v>
      </c>
      <c r="DV28" s="30">
        <f t="shared" si="249"/>
        <v>11876972.149999931</v>
      </c>
      <c r="DW28" s="30">
        <f t="shared" si="249"/>
        <v>12246551.18999945</v>
      </c>
      <c r="DX28" s="119">
        <f>SUM(CT28:DW28)</f>
        <v>357730272.61999953</v>
      </c>
      <c r="DY28" s="30">
        <f t="shared" ref="DY28:FC28" si="250">DY12+DY24-DY18-DY26</f>
        <v>11460381.620000143</v>
      </c>
      <c r="DZ28" s="30">
        <f t="shared" si="250"/>
        <v>11580114.109999532</v>
      </c>
      <c r="EA28" s="30">
        <f t="shared" si="250"/>
        <v>10710895.530000797</v>
      </c>
      <c r="EB28" s="30">
        <f t="shared" si="250"/>
        <v>9586156.9099997953</v>
      </c>
      <c r="EC28" s="30">
        <f t="shared" si="250"/>
        <v>10321752.309999868</v>
      </c>
      <c r="ED28" s="30">
        <f t="shared" si="250"/>
        <v>12058209.009999696</v>
      </c>
      <c r="EE28" s="30">
        <f t="shared" si="250"/>
        <v>12953179.639999826</v>
      </c>
      <c r="EF28" s="30">
        <f t="shared" si="250"/>
        <v>13866672.860000812</v>
      </c>
      <c r="EG28" s="30">
        <f t="shared" si="250"/>
        <v>15016613.549999811</v>
      </c>
      <c r="EH28" s="30">
        <f t="shared" si="250"/>
        <v>12582506.19000004</v>
      </c>
      <c r="EI28" s="30">
        <f t="shared" si="250"/>
        <v>11144966.869999805</v>
      </c>
      <c r="EJ28" s="30">
        <f t="shared" si="250"/>
        <v>13167773.140000828</v>
      </c>
      <c r="EK28" s="30">
        <f t="shared" si="250"/>
        <v>11877044.400000183</v>
      </c>
      <c r="EL28" s="30">
        <f t="shared" si="250"/>
        <v>14577164.729999639</v>
      </c>
      <c r="EM28" s="30">
        <f t="shared" si="250"/>
        <v>14317531.029999807</v>
      </c>
      <c r="EN28" s="30">
        <f t="shared" si="250"/>
        <v>15057349.459999289</v>
      </c>
      <c r="EO28" s="30">
        <f t="shared" si="250"/>
        <v>13543146.94000081</v>
      </c>
      <c r="EP28" s="30">
        <f t="shared" si="250"/>
        <v>14812343.579999764</v>
      </c>
      <c r="EQ28" s="30">
        <f t="shared" si="250"/>
        <v>12153078.58999991</v>
      </c>
      <c r="ER28" s="30">
        <f t="shared" si="250"/>
        <v>15818008.519999824</v>
      </c>
      <c r="ES28" s="30">
        <f t="shared" si="250"/>
        <v>16036840.320000079</v>
      </c>
      <c r="ET28" s="30">
        <f t="shared" si="250"/>
        <v>20164976.380000383</v>
      </c>
      <c r="EU28" s="30">
        <f t="shared" si="250"/>
        <v>21037075.039999962</v>
      </c>
      <c r="EV28" s="30">
        <f t="shared" si="250"/>
        <v>17004366.639999352</v>
      </c>
      <c r="EW28" s="30">
        <f t="shared" si="250"/>
        <v>9272731.1600006204</v>
      </c>
      <c r="EX28" s="30">
        <f t="shared" si="250"/>
        <v>10733152.190000027</v>
      </c>
      <c r="EY28" s="30">
        <f t="shared" si="250"/>
        <v>11796982.689999774</v>
      </c>
      <c r="EZ28" s="30">
        <f t="shared" si="250"/>
        <v>10594783.049999919</v>
      </c>
      <c r="FA28" s="30">
        <f t="shared" si="250"/>
        <v>11609384.190000059</v>
      </c>
      <c r="FB28" s="30">
        <f t="shared" si="250"/>
        <v>13000578.180000965</v>
      </c>
      <c r="FC28" s="30">
        <f t="shared" si="250"/>
        <v>13170052.819998529</v>
      </c>
      <c r="FD28" s="128">
        <f>SUM(DY28:FC28)</f>
        <v>411025811.6499998</v>
      </c>
      <c r="FE28" s="30">
        <f t="shared" ref="FE28:GI28" si="251">FE12+FE24-FE18-FE26</f>
        <v>11722136.500000417</v>
      </c>
      <c r="FF28" s="30">
        <f t="shared" si="251"/>
        <v>11292080.960000355</v>
      </c>
      <c r="FG28" s="30">
        <f t="shared" si="251"/>
        <v>10814470.929999823</v>
      </c>
      <c r="FH28" s="30">
        <f t="shared" si="251"/>
        <v>11506921.839999225</v>
      </c>
      <c r="FI28" s="30">
        <f t="shared" si="251"/>
        <v>14246109.600000858</v>
      </c>
      <c r="FJ28" s="30">
        <f t="shared" si="251"/>
        <v>13429911.729999542</v>
      </c>
      <c r="FK28" s="30">
        <f t="shared" si="251"/>
        <v>12405144.120000482</v>
      </c>
      <c r="FL28" s="30">
        <f t="shared" si="251"/>
        <v>12100881.959999852</v>
      </c>
      <c r="FM28" s="30">
        <f t="shared" si="251"/>
        <v>13632397.660000298</v>
      </c>
      <c r="FN28" s="30">
        <f t="shared" si="251"/>
        <v>10089259.240000281</v>
      </c>
      <c r="FO28" s="30">
        <f t="shared" si="251"/>
        <v>11680541.990000075</v>
      </c>
      <c r="FP28" s="30">
        <f t="shared" si="251"/>
        <v>13194956.079999</v>
      </c>
      <c r="FQ28" s="30">
        <f t="shared" si="251"/>
        <v>12792844.410000963</v>
      </c>
      <c r="FR28" s="30">
        <f t="shared" si="251"/>
        <v>12291796.67000002</v>
      </c>
      <c r="FS28" s="30">
        <f t="shared" si="251"/>
        <v>11280448.199999629</v>
      </c>
      <c r="FT28" s="30">
        <f t="shared" si="251"/>
        <v>13145037.890000036</v>
      </c>
      <c r="FU28" s="30">
        <f t="shared" si="251"/>
        <v>9948640.5999992695</v>
      </c>
      <c r="FV28" s="30">
        <f t="shared" si="251"/>
        <v>10831679.650000714</v>
      </c>
      <c r="FW28" s="30">
        <f t="shared" si="251"/>
        <v>14907244.830000363</v>
      </c>
      <c r="FX28" s="30">
        <f t="shared" si="251"/>
        <v>15759343.129999094</v>
      </c>
      <c r="FY28" s="30">
        <f t="shared" si="251"/>
        <v>12178114.619999733</v>
      </c>
      <c r="FZ28" s="30">
        <f t="shared" si="251"/>
        <v>11773333.230001256</v>
      </c>
      <c r="GA28" s="30">
        <f t="shared" si="251"/>
        <v>12320443.259998776</v>
      </c>
      <c r="GB28" s="30">
        <f t="shared" si="251"/>
        <v>10643481.67000079</v>
      </c>
      <c r="GC28" s="30">
        <f t="shared" si="251"/>
        <v>13382016.919999942</v>
      </c>
      <c r="GD28" s="30">
        <f t="shared" si="251"/>
        <v>12570022.319999568</v>
      </c>
      <c r="GE28" s="30">
        <f t="shared" si="251"/>
        <v>11807093.800001139</v>
      </c>
      <c r="GF28" s="30">
        <f t="shared" si="251"/>
        <v>11510258.769998979</v>
      </c>
      <c r="GG28" s="30">
        <f t="shared" si="251"/>
        <v>14436296.730000839</v>
      </c>
      <c r="GH28" s="30">
        <f t="shared" si="251"/>
        <v>12820909.000000061</v>
      </c>
      <c r="GI28" s="30">
        <f t="shared" si="251"/>
        <v>10228249.559999775</v>
      </c>
      <c r="GJ28" s="127">
        <f t="shared" si="99"/>
        <v>380742067.8700012</v>
      </c>
      <c r="GK28" s="30">
        <f t="shared" ref="GK28:HM28" si="252">GK12+GK24-GK18-GK26</f>
        <v>11228645.349999096</v>
      </c>
      <c r="GL28" s="30">
        <f t="shared" si="252"/>
        <v>12972570.87000091</v>
      </c>
      <c r="GM28" s="30">
        <f t="shared" si="252"/>
        <v>16726984.929999825</v>
      </c>
      <c r="GN28" s="30">
        <f t="shared" si="252"/>
        <v>13751188.919998979</v>
      </c>
      <c r="GO28" s="30">
        <f t="shared" si="252"/>
        <v>10802286.940000843</v>
      </c>
      <c r="GP28" s="30">
        <f t="shared" si="252"/>
        <v>11423817.60999934</v>
      </c>
      <c r="GQ28" s="30">
        <f t="shared" si="252"/>
        <v>13789852.95000089</v>
      </c>
      <c r="GR28" s="30">
        <f t="shared" si="252"/>
        <v>12251574.309999578</v>
      </c>
      <c r="GS28" s="30">
        <f t="shared" si="252"/>
        <v>11990477.769999461</v>
      </c>
      <c r="GT28" s="30">
        <f t="shared" si="252"/>
        <v>12002876.270000085</v>
      </c>
      <c r="GU28" s="30">
        <f t="shared" si="252"/>
        <v>11556784.480000602</v>
      </c>
      <c r="GV28" s="30">
        <f t="shared" si="252"/>
        <v>13642002.839999378</v>
      </c>
      <c r="GW28" s="30">
        <f t="shared" si="252"/>
        <v>13486873.380000699</v>
      </c>
      <c r="GX28" s="30">
        <f t="shared" si="252"/>
        <v>11699715.149998832</v>
      </c>
      <c r="GY28" s="30">
        <f t="shared" si="252"/>
        <v>11277151.250000713</v>
      </c>
      <c r="GZ28" s="30">
        <f t="shared" si="252"/>
        <v>13081016.67999991</v>
      </c>
      <c r="HA28" s="30">
        <f t="shared" si="252"/>
        <v>12533222.169999953</v>
      </c>
      <c r="HB28" s="30">
        <f t="shared" si="252"/>
        <v>11500363.94000045</v>
      </c>
      <c r="HC28" s="30">
        <f t="shared" si="252"/>
        <v>12074186.029999679</v>
      </c>
      <c r="HD28" s="30">
        <f t="shared" si="252"/>
        <v>10779049.090000212</v>
      </c>
      <c r="HE28" s="30">
        <f t="shared" si="252"/>
        <v>11500789.929999925</v>
      </c>
      <c r="HF28" s="30">
        <f t="shared" si="252"/>
        <v>13270312.33000041</v>
      </c>
      <c r="HG28" s="30">
        <f t="shared" si="252"/>
        <v>11615965.109999865</v>
      </c>
      <c r="HH28" s="30">
        <f t="shared" si="252"/>
        <v>13706437.380000137</v>
      </c>
      <c r="HI28" s="30">
        <f t="shared" si="252"/>
        <v>10618835.659999792</v>
      </c>
      <c r="HJ28" s="30">
        <f t="shared" si="252"/>
        <v>13208361.450000215</v>
      </c>
      <c r="HK28" s="30">
        <f t="shared" si="252"/>
        <v>12138850.019999489</v>
      </c>
      <c r="HL28" s="30">
        <f t="shared" si="252"/>
        <v>9754169.6900005639</v>
      </c>
      <c r="HM28" s="30">
        <f t="shared" si="252"/>
        <v>12642616.529998979</v>
      </c>
      <c r="HN28" s="127">
        <f t="shared" ref="HN28:HN48" si="253">SUM(GK28:HM28)</f>
        <v>357026979.02999884</v>
      </c>
      <c r="HO28" s="30">
        <f t="shared" ref="HO28:IS28" si="254">HO12+HO24-HO18-HO26</f>
        <v>12763983.950000849</v>
      </c>
      <c r="HP28" s="30">
        <f t="shared" si="254"/>
        <v>14723734.859999776</v>
      </c>
      <c r="HQ28" s="30">
        <f t="shared" si="254"/>
        <v>14216776.969999488</v>
      </c>
      <c r="HR28" s="30">
        <f t="shared" si="254"/>
        <v>10200646.970000837</v>
      </c>
      <c r="HS28" s="30">
        <f t="shared" si="254"/>
        <v>11436781.350000272</v>
      </c>
      <c r="HT28" s="30">
        <f t="shared" si="254"/>
        <v>14280240.930000197</v>
      </c>
      <c r="HU28" s="30">
        <f t="shared" si="254"/>
        <v>15043172.369999506</v>
      </c>
      <c r="HV28" s="30">
        <f t="shared" si="254"/>
        <v>12083457.769999847</v>
      </c>
      <c r="HW28" s="30">
        <f t="shared" si="254"/>
        <v>12584395.659999985</v>
      </c>
      <c r="HX28" s="30">
        <f t="shared" si="254"/>
        <v>12817415.460000018</v>
      </c>
      <c r="HY28" s="30">
        <f t="shared" si="254"/>
        <v>13367359.989999689</v>
      </c>
      <c r="HZ28" s="30">
        <f t="shared" si="254"/>
        <v>12583426.500000341</v>
      </c>
      <c r="IA28" s="30">
        <f t="shared" si="254"/>
        <v>10460523.000000235</v>
      </c>
      <c r="IB28" s="30">
        <f t="shared" si="254"/>
        <v>10966936.349999562</v>
      </c>
      <c r="IC28" s="30">
        <f t="shared" si="254"/>
        <v>11681578.599999644</v>
      </c>
      <c r="ID28" s="30">
        <f t="shared" si="254"/>
        <v>11831818.650000611</v>
      </c>
      <c r="IE28" s="30">
        <f t="shared" si="254"/>
        <v>12204869.999999294</v>
      </c>
      <c r="IF28" s="30">
        <f t="shared" si="254"/>
        <v>13582906.60000011</v>
      </c>
      <c r="IG28" s="30">
        <f t="shared" si="254"/>
        <v>11494492.050000694</v>
      </c>
      <c r="IH28" s="30">
        <f t="shared" si="254"/>
        <v>11369452.649999551</v>
      </c>
      <c r="II28" s="30">
        <f t="shared" si="254"/>
        <v>10697531.750000816</v>
      </c>
      <c r="IJ28" s="30">
        <f t="shared" si="254"/>
        <v>13436364.849999517</v>
      </c>
      <c r="IK28" s="30">
        <f t="shared" si="254"/>
        <v>14183248.950000472</v>
      </c>
      <c r="IL28" s="30">
        <f t="shared" si="254"/>
        <v>11260565.449999355</v>
      </c>
      <c r="IM28" s="30">
        <f t="shared" si="254"/>
        <v>11737110.049999282</v>
      </c>
      <c r="IN28" s="30">
        <f t="shared" si="254"/>
        <v>11560301.049999919</v>
      </c>
      <c r="IO28" s="30">
        <f t="shared" si="254"/>
        <v>13256063.64000112</v>
      </c>
      <c r="IP28" s="30">
        <f t="shared" si="254"/>
        <v>12719977.60999921</v>
      </c>
      <c r="IQ28" s="30">
        <f t="shared" si="254"/>
        <v>13058529.820000704</v>
      </c>
      <c r="IR28" s="30">
        <f t="shared" si="254"/>
        <v>11447511.23999959</v>
      </c>
      <c r="IS28" s="30">
        <f t="shared" si="254"/>
        <v>9604630.6000001244</v>
      </c>
      <c r="IT28" s="127">
        <f t="shared" si="22"/>
        <v>382655805.69000053</v>
      </c>
      <c r="IU28" s="30">
        <f t="shared" ref="IU28:JX28" si="255">IU12+IU24-IU18-IU26</f>
        <v>9934616.2899995968</v>
      </c>
      <c r="IV28" s="30">
        <f t="shared" si="255"/>
        <v>11323220.690000344</v>
      </c>
      <c r="IW28" s="30">
        <f t="shared" si="255"/>
        <v>10298571.300000237</v>
      </c>
      <c r="IX28" s="30">
        <f t="shared" si="255"/>
        <v>10701492.899999585</v>
      </c>
      <c r="IY28" s="30">
        <f t="shared" si="255"/>
        <v>12263334.129999727</v>
      </c>
      <c r="IZ28" s="30">
        <f t="shared" si="255"/>
        <v>11335961.680000162</v>
      </c>
      <c r="JA28" s="30">
        <f t="shared" si="255"/>
        <v>9705435.9600001182</v>
      </c>
      <c r="JB28" s="30">
        <f t="shared" si="255"/>
        <v>11507038.660000063</v>
      </c>
      <c r="JC28" s="30">
        <f t="shared" si="255"/>
        <v>10550751.499999795</v>
      </c>
      <c r="JD28" s="30">
        <f t="shared" si="255"/>
        <v>12979038.760000575</v>
      </c>
      <c r="JE28" s="30">
        <f t="shared" si="255"/>
        <v>10676507.069999784</v>
      </c>
      <c r="JF28" s="30">
        <f t="shared" si="255"/>
        <v>11433520.220001014</v>
      </c>
      <c r="JG28" s="30">
        <f t="shared" si="255"/>
        <v>9803039.3799988478</v>
      </c>
      <c r="JH28" s="30">
        <f t="shared" si="255"/>
        <v>8648577.230001267</v>
      </c>
      <c r="JI28" s="30">
        <f t="shared" si="255"/>
        <v>13036493.969998807</v>
      </c>
      <c r="JJ28" s="30">
        <f t="shared" si="255"/>
        <v>10986497.649999775</v>
      </c>
      <c r="JK28" s="30">
        <f t="shared" si="255"/>
        <v>10718014.760000572</v>
      </c>
      <c r="JL28" s="30">
        <f t="shared" si="255"/>
        <v>10832013.500000607</v>
      </c>
      <c r="JM28" s="30">
        <f t="shared" si="255"/>
        <v>11480727.549998974</v>
      </c>
      <c r="JN28" s="30">
        <f t="shared" si="255"/>
        <v>12436543.210000753</v>
      </c>
      <c r="JO28" s="30">
        <f t="shared" si="255"/>
        <v>8856074.1299998816</v>
      </c>
      <c r="JP28" s="30">
        <f t="shared" si="255"/>
        <v>8487581.1899997517</v>
      </c>
      <c r="JQ28" s="30">
        <f t="shared" si="255"/>
        <v>10169212.380000252</v>
      </c>
      <c r="JR28" s="30">
        <f t="shared" si="255"/>
        <v>11126989.830000617</v>
      </c>
      <c r="JS28" s="30">
        <f t="shared" si="255"/>
        <v>10642006.749998614</v>
      </c>
      <c r="JT28" s="30">
        <f t="shared" si="255"/>
        <v>12208535.449999768</v>
      </c>
      <c r="JU28" s="30">
        <f t="shared" si="255"/>
        <v>12065223.350000028</v>
      </c>
      <c r="JV28" s="30">
        <f t="shared" si="255"/>
        <v>11761227.349999808</v>
      </c>
      <c r="JW28" s="30">
        <f t="shared" si="255"/>
        <v>9112887.5799998194</v>
      </c>
      <c r="JX28" s="30">
        <f t="shared" si="255"/>
        <v>11153075.790000651</v>
      </c>
      <c r="JY28" s="127">
        <f t="shared" si="58"/>
        <v>326234210.20999974</v>
      </c>
      <c r="JZ28" s="30">
        <f t="shared" ref="JZ28:LD28" si="256">JZ12+JZ24-JZ18-JZ26</f>
        <v>9994808.6599997394</v>
      </c>
      <c r="KA28" s="30">
        <f t="shared" si="256"/>
        <v>11382074.970000384</v>
      </c>
      <c r="KB28" s="30">
        <f t="shared" si="256"/>
        <v>9919307.4699992761</v>
      </c>
      <c r="KC28" s="30">
        <f t="shared" si="256"/>
        <v>11031318.340000125</v>
      </c>
      <c r="KD28" s="30">
        <f t="shared" si="256"/>
        <v>12228984.25000054</v>
      </c>
      <c r="KE28" s="30">
        <f t="shared" si="256"/>
        <v>10716387.590000903</v>
      </c>
      <c r="KF28" s="30">
        <f t="shared" si="256"/>
        <v>8765532.4199998192</v>
      </c>
      <c r="KG28" s="30">
        <f t="shared" si="256"/>
        <v>10572141.239999047</v>
      </c>
      <c r="KH28" s="30">
        <f t="shared" si="256"/>
        <v>12319761.790000111</v>
      </c>
      <c r="KI28" s="30">
        <f t="shared" si="256"/>
        <v>12159612.970000159</v>
      </c>
      <c r="KJ28" s="30">
        <f t="shared" si="256"/>
        <v>13769440.010000158</v>
      </c>
      <c r="KK28" s="30">
        <f t="shared" si="256"/>
        <v>11622070.56999998</v>
      </c>
      <c r="KL28" s="30">
        <f t="shared" si="256"/>
        <v>10499235.869998805</v>
      </c>
      <c r="KM28" s="30">
        <f t="shared" si="256"/>
        <v>10794082.810001846</v>
      </c>
      <c r="KN28" s="30">
        <f t="shared" si="256"/>
        <v>9828172.9300002232</v>
      </c>
      <c r="KO28" s="30">
        <f t="shared" si="256"/>
        <v>8588393.2499994487</v>
      </c>
      <c r="KP28" s="30">
        <f t="shared" si="256"/>
        <v>13480446.049999539</v>
      </c>
      <c r="KQ28" s="30">
        <f t="shared" si="256"/>
        <v>12056618.329999596</v>
      </c>
      <c r="KR28" s="30">
        <f t="shared" si="256"/>
        <v>11453979.170000475</v>
      </c>
      <c r="KS28" s="30">
        <f t="shared" si="256"/>
        <v>12515564.920000739</v>
      </c>
      <c r="KT28" s="30">
        <f t="shared" si="256"/>
        <v>10223334.66999948</v>
      </c>
      <c r="KU28" s="30">
        <f t="shared" si="256"/>
        <v>10258544.739998814</v>
      </c>
      <c r="KV28" s="30">
        <f t="shared" si="256"/>
        <v>13700393.110001028</v>
      </c>
      <c r="KW28" s="30">
        <f t="shared" si="256"/>
        <v>13176120.350000016</v>
      </c>
      <c r="KX28" s="30">
        <f t="shared" si="256"/>
        <v>11690012.599999897</v>
      </c>
      <c r="KY28" s="30">
        <f t="shared" si="256"/>
        <v>11995492.640000215</v>
      </c>
      <c r="KZ28" s="30">
        <f t="shared" si="256"/>
        <v>11089434.919999689</v>
      </c>
      <c r="LA28" s="30">
        <f t="shared" si="256"/>
        <v>12132646.849999994</v>
      </c>
      <c r="LB28" s="30">
        <f t="shared" si="256"/>
        <v>12260497.600000281</v>
      </c>
      <c r="LC28" s="30">
        <f t="shared" si="256"/>
        <v>9660026.6999994367</v>
      </c>
      <c r="LD28" s="30">
        <f t="shared" si="256"/>
        <v>14828196.580000807</v>
      </c>
      <c r="LE28" s="127">
        <f t="shared" si="60"/>
        <v>344717825.71000081</v>
      </c>
      <c r="LF28" s="30">
        <f t="shared" ref="LF28:MI28" si="257">LF12+LF24-LF18-LF26</f>
        <v>13748228.76999956</v>
      </c>
      <c r="LG28" s="30">
        <f t="shared" si="257"/>
        <v>11846795.359999618</v>
      </c>
      <c r="LH28" s="30">
        <f t="shared" si="257"/>
        <v>13033018.520000473</v>
      </c>
      <c r="LI28" s="30">
        <f t="shared" si="257"/>
        <v>13453063.180000078</v>
      </c>
      <c r="LJ28" s="30">
        <f t="shared" si="257"/>
        <v>12657573.639998864</v>
      </c>
      <c r="LK28" s="30">
        <f t="shared" si="257"/>
        <v>12112456.500000296</v>
      </c>
      <c r="LL28" s="30">
        <f t="shared" si="257"/>
        <v>14173343.130000982</v>
      </c>
      <c r="LM28" s="30">
        <f t="shared" si="257"/>
        <v>15733692.429999962</v>
      </c>
      <c r="LN28" s="30">
        <f t="shared" si="257"/>
        <v>13555838.420000639</v>
      </c>
      <c r="LO28" s="30">
        <f t="shared" si="257"/>
        <v>14297031.77999942</v>
      </c>
      <c r="LP28" s="30">
        <f t="shared" si="257"/>
        <v>12043975.099999372</v>
      </c>
      <c r="LQ28" s="30">
        <f t="shared" si="257"/>
        <v>12839791.860000297</v>
      </c>
      <c r="LR28" s="30">
        <f t="shared" si="257"/>
        <v>13365190.709999017</v>
      </c>
      <c r="LS28" s="30">
        <f t="shared" si="257"/>
        <v>14851522.840001583</v>
      </c>
      <c r="LT28" s="30">
        <f t="shared" si="257"/>
        <v>14552257.239999436</v>
      </c>
      <c r="LU28" s="30">
        <f t="shared" si="257"/>
        <v>13255606.29999944</v>
      </c>
      <c r="LV28" s="30">
        <f t="shared" si="257"/>
        <v>11001385.079999868</v>
      </c>
      <c r="LW28" s="30">
        <f t="shared" si="257"/>
        <v>10756702.110001031</v>
      </c>
      <c r="LX28" s="30">
        <f t="shared" si="257"/>
        <v>11928997.420000382</v>
      </c>
      <c r="LY28" s="30">
        <f t="shared" si="257"/>
        <v>13353220.209998995</v>
      </c>
      <c r="LZ28" s="30">
        <f t="shared" si="257"/>
        <v>11164421.800000459</v>
      </c>
      <c r="MA28" s="30">
        <f t="shared" si="257"/>
        <v>13741335.809999</v>
      </c>
      <c r="MB28" s="30">
        <f t="shared" si="257"/>
        <v>13008786.010001093</v>
      </c>
      <c r="MC28" s="30">
        <f t="shared" si="257"/>
        <v>13330816.55000034</v>
      </c>
      <c r="MD28" s="30">
        <f t="shared" si="257"/>
        <v>12893383.60000018</v>
      </c>
      <c r="ME28" s="30">
        <f t="shared" si="257"/>
        <v>12040790.299999159</v>
      </c>
      <c r="MF28" s="30">
        <f t="shared" si="257"/>
        <v>12715115.229999997</v>
      </c>
      <c r="MG28" s="30">
        <f t="shared" si="257"/>
        <v>10514969.950000472</v>
      </c>
      <c r="MH28" s="30">
        <f t="shared" si="257"/>
        <v>13633742.730000382</v>
      </c>
      <c r="MI28" s="30">
        <f t="shared" si="257"/>
        <v>12382642.489998925</v>
      </c>
      <c r="MJ28" s="127">
        <f t="shared" si="62"/>
        <v>387985695.0699994</v>
      </c>
      <c r="MK28" s="30">
        <f t="shared" ref="MK28:NO28" si="258">MK12+MK24-MK18-MK26</f>
        <v>12910583.640000399</v>
      </c>
      <c r="ML28" s="30">
        <f t="shared" si="258"/>
        <v>11372672.069999952</v>
      </c>
      <c r="MM28" s="30">
        <f t="shared" si="258"/>
        <v>8244865.7800001875</v>
      </c>
      <c r="MN28" s="30">
        <f t="shared" si="258"/>
        <v>12699930.580000378</v>
      </c>
      <c r="MO28" s="30">
        <f t="shared" si="258"/>
        <v>12825651.159999274</v>
      </c>
      <c r="MP28" s="30">
        <f t="shared" si="258"/>
        <v>11934991.770000491</v>
      </c>
      <c r="MQ28" s="30">
        <f t="shared" si="258"/>
        <v>14432875.889999159</v>
      </c>
      <c r="MR28" s="30">
        <f t="shared" si="258"/>
        <v>11185705.250000201</v>
      </c>
      <c r="MS28" s="30">
        <f t="shared" si="258"/>
        <v>10843195.130000528</v>
      </c>
      <c r="MT28" s="30">
        <f t="shared" si="258"/>
        <v>8055020.9999994691</v>
      </c>
      <c r="MU28" s="30">
        <f t="shared" si="258"/>
        <v>10518378.1600003</v>
      </c>
      <c r="MV28" s="30">
        <f t="shared" si="258"/>
        <v>10875161.266000075</v>
      </c>
      <c r="MW28" s="30">
        <f t="shared" si="258"/>
        <v>13625932.408999853</v>
      </c>
      <c r="MX28" s="30">
        <f t="shared" si="258"/>
        <v>10286328.989999572</v>
      </c>
      <c r="MY28" s="30">
        <f t="shared" si="258"/>
        <v>10787423.156000994</v>
      </c>
      <c r="MZ28" s="30">
        <f t="shared" si="258"/>
        <v>12694837.188998945</v>
      </c>
      <c r="NA28" s="30">
        <f t="shared" si="258"/>
        <v>11678101.788000748</v>
      </c>
      <c r="NB28" s="30">
        <f t="shared" si="258"/>
        <v>12688359.645999134</v>
      </c>
      <c r="NC28" s="30">
        <f t="shared" si="258"/>
        <v>12543861.687001117</v>
      </c>
      <c r="ND28" s="30">
        <f t="shared" si="258"/>
        <v>13315859.69199932</v>
      </c>
      <c r="NE28" s="30">
        <f t="shared" si="258"/>
        <v>8805995.2509997413</v>
      </c>
      <c r="NF28" s="30">
        <f t="shared" si="258"/>
        <v>10132963.650000183</v>
      </c>
      <c r="NG28" s="30">
        <f t="shared" si="258"/>
        <v>9113201.582001213</v>
      </c>
      <c r="NH28" s="30">
        <f t="shared" si="258"/>
        <v>10127806.743998976</v>
      </c>
      <c r="NI28" s="30">
        <f t="shared" si="258"/>
        <v>11446484.509000223</v>
      </c>
      <c r="NJ28" s="30">
        <f t="shared" si="258"/>
        <v>11864060.585999116</v>
      </c>
      <c r="NK28" s="30">
        <f t="shared" si="258"/>
        <v>12735498.111000355</v>
      </c>
      <c r="NL28" s="30">
        <f t="shared" si="258"/>
        <v>11074364.788001219</v>
      </c>
      <c r="NM28" s="30">
        <f t="shared" si="258"/>
        <v>11810611.887999404</v>
      </c>
      <c r="NN28" s="30">
        <f t="shared" si="258"/>
        <v>11037095.705000188</v>
      </c>
      <c r="NO28" s="30">
        <f t="shared" si="258"/>
        <v>9399180.4769999087</v>
      </c>
      <c r="NP28" s="127">
        <f t="shared" si="64"/>
        <v>338156415.90400028</v>
      </c>
      <c r="NQ28" s="30">
        <f t="shared" ref="NQ28:OU28" si="259">NQ12+NQ24-NQ18-NQ26</f>
        <v>11444205.862999104</v>
      </c>
      <c r="NR28" s="30">
        <f t="shared" si="259"/>
        <v>8416827.6570009179</v>
      </c>
      <c r="NS28" s="30">
        <f t="shared" si="259"/>
        <v>10267651.159000013</v>
      </c>
      <c r="NT28" s="30">
        <f t="shared" si="259"/>
        <v>9491432.1199998595</v>
      </c>
      <c r="NU28" s="30">
        <f t="shared" si="259"/>
        <v>11104861.862999313</v>
      </c>
      <c r="NV28" s="30">
        <f t="shared" si="259"/>
        <v>13274363.128000215</v>
      </c>
      <c r="NW28" s="30">
        <f t="shared" si="259"/>
        <v>11365821.834000465</v>
      </c>
      <c r="NX28" s="30">
        <f t="shared" si="259"/>
        <v>11293446.864999928</v>
      </c>
      <c r="NY28" s="30">
        <f t="shared" si="259"/>
        <v>11261942.694000095</v>
      </c>
      <c r="NZ28" s="30">
        <f t="shared" si="259"/>
        <v>12364213.167999586</v>
      </c>
      <c r="OA28" s="30">
        <f t="shared" si="259"/>
        <v>11048202.355999816</v>
      </c>
      <c r="OB28" s="30">
        <f t="shared" si="259"/>
        <v>9837449.6370007228</v>
      </c>
      <c r="OC28" s="30">
        <f t="shared" si="259"/>
        <v>12710801.620999474</v>
      </c>
      <c r="OD28" s="30">
        <f t="shared" si="259"/>
        <v>12147129.451000944</v>
      </c>
      <c r="OE28" s="30">
        <f t="shared" si="259"/>
        <v>12255911.05699892</v>
      </c>
      <c r="OF28" s="30">
        <f t="shared" si="259"/>
        <v>11089459.933000766</v>
      </c>
      <c r="OG28" s="30">
        <f t="shared" si="259"/>
        <v>12050876.49199995</v>
      </c>
      <c r="OH28" s="30">
        <f t="shared" si="259"/>
        <v>12219573.299999308</v>
      </c>
      <c r="OI28" s="30">
        <f t="shared" si="259"/>
        <v>13873665.844000671</v>
      </c>
      <c r="OJ28" s="30">
        <f t="shared" si="259"/>
        <v>12145578.855000246</v>
      </c>
      <c r="OK28" s="30">
        <f t="shared" si="259"/>
        <v>10995205.134999104</v>
      </c>
      <c r="OL28" s="30">
        <f t="shared" si="259"/>
        <v>14539855.879000165</v>
      </c>
      <c r="OM28" s="30">
        <f t="shared" si="259"/>
        <v>13768459.044000573</v>
      </c>
      <c r="ON28" s="30">
        <f t="shared" si="259"/>
        <v>13880521.266999371</v>
      </c>
      <c r="OO28" s="30">
        <f t="shared" si="259"/>
        <v>10316404.373000003</v>
      </c>
      <c r="OP28" s="30">
        <f t="shared" si="259"/>
        <v>10535042.385999292</v>
      </c>
      <c r="OQ28" s="30">
        <f t="shared" si="259"/>
        <v>11146062.867000997</v>
      </c>
      <c r="OR28" s="30">
        <f t="shared" si="259"/>
        <v>11582927.119000237</v>
      </c>
      <c r="OS28" s="30">
        <f t="shared" si="259"/>
        <v>12308491.849999828</v>
      </c>
      <c r="OT28" s="30">
        <f t="shared" si="259"/>
        <v>12862798.759999819</v>
      </c>
      <c r="OU28" s="30">
        <f t="shared" si="259"/>
        <v>13900198.796999525</v>
      </c>
      <c r="OV28" s="127">
        <f t="shared" si="66"/>
        <v>354055176.5110001</v>
      </c>
      <c r="OW28" s="30">
        <f t="shared" ref="OW28:PZ28" si="260">OW12+OW24-OW18-OW26</f>
        <v>11205062.466000505</v>
      </c>
      <c r="OX28" s="30">
        <f t="shared" si="260"/>
        <v>11624961.771999784</v>
      </c>
      <c r="OY28" s="30">
        <f t="shared" si="260"/>
        <v>11296184.476999909</v>
      </c>
      <c r="OZ28" s="30">
        <f t="shared" si="260"/>
        <v>10075492.755000431</v>
      </c>
      <c r="PA28" s="30">
        <f t="shared" si="260"/>
        <v>12175785.650999663</v>
      </c>
      <c r="PB28" s="30">
        <f t="shared" si="260"/>
        <v>12657855.992000908</v>
      </c>
      <c r="PC28" s="30">
        <f t="shared" si="260"/>
        <v>13492023.188998658</v>
      </c>
      <c r="PD28" s="30">
        <f t="shared" si="260"/>
        <v>11475509.559001284</v>
      </c>
      <c r="PE28" s="30">
        <f t="shared" si="260"/>
        <v>10799632.674998526</v>
      </c>
      <c r="PF28" s="30">
        <f t="shared" si="260"/>
        <v>10283147.013001401</v>
      </c>
      <c r="PG28" s="30">
        <f t="shared" si="260"/>
        <v>10529416.962999545</v>
      </c>
      <c r="PH28" s="30">
        <f t="shared" si="260"/>
        <v>10720333.032999936</v>
      </c>
      <c r="PI28" s="30">
        <f t="shared" si="260"/>
        <v>12943285.834999822</v>
      </c>
      <c r="PJ28" s="30">
        <f t="shared" si="260"/>
        <v>14227668.002000216</v>
      </c>
      <c r="PK28" s="30">
        <f t="shared" si="260"/>
        <v>10081830.325999878</v>
      </c>
      <c r="PL28" s="30">
        <f t="shared" si="260"/>
        <v>12252567.3710001</v>
      </c>
      <c r="PM28" s="30">
        <f t="shared" si="260"/>
        <v>11483559.088999413</v>
      </c>
      <c r="PN28" s="30">
        <f t="shared" si="260"/>
        <v>8939763.9560009651</v>
      </c>
      <c r="PO28" s="30">
        <f t="shared" si="260"/>
        <v>11759431.974000074</v>
      </c>
      <c r="PP28" s="30">
        <f t="shared" si="260"/>
        <v>9422001.9569997918</v>
      </c>
      <c r="PQ28" s="30">
        <f t="shared" si="260"/>
        <v>10401875.175999109</v>
      </c>
      <c r="PR28" s="30">
        <f t="shared" si="260"/>
        <v>8844283.7780007906</v>
      </c>
      <c r="PS28" s="30">
        <f t="shared" si="260"/>
        <v>11924102.057999555</v>
      </c>
      <c r="PT28" s="30">
        <f t="shared" si="260"/>
        <v>10124423.000999711</v>
      </c>
      <c r="PU28" s="30">
        <f t="shared" si="260"/>
        <v>10036941.428000923</v>
      </c>
      <c r="PV28" s="30">
        <f t="shared" si="260"/>
        <v>9293589.7779992111</v>
      </c>
      <c r="PW28" s="30">
        <f t="shared" si="260"/>
        <v>11839679.702999553</v>
      </c>
      <c r="PX28" s="30">
        <f t="shared" si="260"/>
        <v>11144434.273000862</v>
      </c>
      <c r="PY28" s="30">
        <f t="shared" si="260"/>
        <v>6017849.801999975</v>
      </c>
      <c r="PZ28" s="30">
        <f t="shared" si="260"/>
        <v>10744025.061999729</v>
      </c>
      <c r="QA28" s="127">
        <f t="shared" si="68"/>
        <v>327816718.1140002</v>
      </c>
      <c r="QB28" s="30">
        <f t="shared" ref="QB28:RF28" si="261">QB12+QB24-QB18-QB26</f>
        <v>6318715.5700004362</v>
      </c>
      <c r="QC28" s="30">
        <f t="shared" si="261"/>
        <v>7346483.513999667</v>
      </c>
      <c r="QD28" s="30">
        <f t="shared" si="261"/>
        <v>8894161.5940008163</v>
      </c>
      <c r="QE28" s="30">
        <f t="shared" si="261"/>
        <v>12212355.707999263</v>
      </c>
      <c r="QF28" s="30">
        <f t="shared" si="261"/>
        <v>13196221.592000317</v>
      </c>
      <c r="QG28" s="30">
        <f t="shared" si="261"/>
        <v>8730850.915999949</v>
      </c>
      <c r="QH28" s="30">
        <f t="shared" si="261"/>
        <v>12312753.394000281</v>
      </c>
      <c r="QI28" s="30">
        <f t="shared" si="261"/>
        <v>11884617.434999829</v>
      </c>
      <c r="QJ28" s="30">
        <f t="shared" si="261"/>
        <v>11808662.222000305</v>
      </c>
      <c r="QK28" s="30">
        <f t="shared" si="261"/>
        <v>11570289.296998993</v>
      </c>
      <c r="QL28" s="30">
        <f t="shared" si="261"/>
        <v>12834354.419000279</v>
      </c>
      <c r="QM28" s="30">
        <f t="shared" si="261"/>
        <v>12745588.961000811</v>
      </c>
      <c r="QN28" s="30">
        <f t="shared" si="261"/>
        <v>10369792.533999732</v>
      </c>
      <c r="QO28" s="30">
        <f t="shared" si="261"/>
        <v>12220637.666000135</v>
      </c>
      <c r="QP28" s="30">
        <f t="shared" si="261"/>
        <v>11432134.921999229</v>
      </c>
      <c r="QQ28" s="30">
        <f t="shared" si="261"/>
        <v>7338841.5730006676</v>
      </c>
      <c r="QR28" s="30">
        <f t="shared" si="261"/>
        <v>10208390.600000352</v>
      </c>
      <c r="QS28" s="30">
        <f t="shared" si="261"/>
        <v>15277771.961999148</v>
      </c>
      <c r="QT28" s="30">
        <f t="shared" si="261"/>
        <v>9165666.6300007068</v>
      </c>
      <c r="QU28" s="30">
        <f t="shared" si="261"/>
        <v>9440672.569999706</v>
      </c>
      <c r="QV28" s="30">
        <f t="shared" si="261"/>
        <v>10789576.624999626</v>
      </c>
      <c r="QW28" s="30">
        <f t="shared" si="261"/>
        <v>9726766.1229999065</v>
      </c>
      <c r="QX28" s="30">
        <f t="shared" si="261"/>
        <v>10723813.300000949</v>
      </c>
      <c r="QY28" s="30">
        <f t="shared" si="261"/>
        <v>10562235.279999278</v>
      </c>
      <c r="QZ28" s="30">
        <f t="shared" si="261"/>
        <v>12292559.426999409</v>
      </c>
      <c r="RA28" s="30">
        <f t="shared" si="261"/>
        <v>10066782.05000093</v>
      </c>
      <c r="RB28" s="30">
        <f t="shared" si="261"/>
        <v>9928803.6370001137</v>
      </c>
      <c r="RC28" s="30">
        <f t="shared" si="261"/>
        <v>7743555.704999093</v>
      </c>
      <c r="RD28" s="30">
        <f t="shared" si="261"/>
        <v>9176355.8689999711</v>
      </c>
      <c r="RE28" s="30">
        <f t="shared" si="261"/>
        <v>8312160.8009999916</v>
      </c>
      <c r="RF28" s="30">
        <f t="shared" si="261"/>
        <v>11186896.093000297</v>
      </c>
      <c r="RG28" s="127">
        <f t="shared" si="147"/>
        <v>319499752.41899967</v>
      </c>
      <c r="RH28" s="30">
        <f t="shared" ref="RH28:SK28" si="262">RH12+RH24-RH18-RH26</f>
        <v>11744413.851000879</v>
      </c>
      <c r="RI28" s="30">
        <f t="shared" si="262"/>
        <v>10281104.469999697</v>
      </c>
      <c r="RJ28" s="30">
        <f t="shared" si="262"/>
        <v>10348408.107999776</v>
      </c>
      <c r="RK28" s="30">
        <f t="shared" si="262"/>
        <v>11085146.234999608</v>
      </c>
      <c r="RL28" s="30">
        <f t="shared" si="262"/>
        <v>11181061.463000435</v>
      </c>
      <c r="RM28" s="30">
        <f t="shared" si="262"/>
        <v>7853008.4230001699</v>
      </c>
      <c r="RN28" s="30">
        <f t="shared" si="262"/>
        <v>7199927.9979992267</v>
      </c>
      <c r="RO28" s="30">
        <f t="shared" si="262"/>
        <v>10816654.728000497</v>
      </c>
      <c r="RP28" s="30">
        <f t="shared" si="262"/>
        <v>10641607.234999806</v>
      </c>
      <c r="RQ28" s="30">
        <f t="shared" si="262"/>
        <v>10338051.320000075</v>
      </c>
      <c r="RR28" s="30">
        <f t="shared" si="262"/>
        <v>10552039.720999973</v>
      </c>
      <c r="RS28" s="30">
        <f t="shared" si="262"/>
        <v>7585204.8540003821</v>
      </c>
      <c r="RT28" s="30">
        <f t="shared" si="262"/>
        <v>10661599.50499898</v>
      </c>
      <c r="RU28" s="30">
        <f t="shared" si="262"/>
        <v>9112100.5460010096</v>
      </c>
      <c r="RV28" s="30">
        <f t="shared" si="262"/>
        <v>10679301.370999523</v>
      </c>
      <c r="RW28" s="30">
        <f t="shared" si="262"/>
        <v>9941974.5730003305</v>
      </c>
      <c r="RX28" s="30">
        <f t="shared" si="262"/>
        <v>8747636.213999629</v>
      </c>
      <c r="RY28" s="30">
        <f t="shared" si="262"/>
        <v>8059738.1300004628</v>
      </c>
      <c r="RZ28" s="30">
        <f t="shared" si="262"/>
        <v>8607761.5499993246</v>
      </c>
      <c r="SA28" s="30">
        <f t="shared" si="262"/>
        <v>7138294.2500004619</v>
      </c>
      <c r="SB28" s="30">
        <f t="shared" si="262"/>
        <v>9097734.9499998875</v>
      </c>
      <c r="SC28" s="30">
        <f t="shared" si="262"/>
        <v>11332360.020000206</v>
      </c>
      <c r="SD28" s="30">
        <f t="shared" si="262"/>
        <v>12219720.899999633</v>
      </c>
      <c r="SE28" s="30">
        <f t="shared" si="262"/>
        <v>8101885.0300005972</v>
      </c>
      <c r="SF28" s="30">
        <f t="shared" si="262"/>
        <v>7957535.3499999475</v>
      </c>
      <c r="SG28" s="30">
        <f t="shared" si="262"/>
        <v>11723399.729999589</v>
      </c>
      <c r="SH28" s="30">
        <f t="shared" si="262"/>
        <v>8793775.1900001243</v>
      </c>
      <c r="SI28" s="30">
        <f t="shared" si="262"/>
        <v>12376465.710000202</v>
      </c>
      <c r="SJ28" s="30">
        <f t="shared" si="262"/>
        <v>11137199.669998845</v>
      </c>
      <c r="SK28" s="30">
        <f t="shared" si="262"/>
        <v>11835839.140000897</v>
      </c>
      <c r="SL28" s="127">
        <f t="shared" si="207"/>
        <v>297150950.23500019</v>
      </c>
      <c r="SM28" s="30">
        <f t="shared" ref="SM28:TQ28" si="263">SM12+SM24-SM18-SM26</f>
        <v>8634685.9400007576</v>
      </c>
      <c r="SN28" s="30">
        <f t="shared" si="263"/>
        <v>11504755.14999897</v>
      </c>
      <c r="SO28" s="30">
        <f t="shared" si="263"/>
        <v>9807696.1100004464</v>
      </c>
      <c r="SP28" s="30">
        <f t="shared" si="263"/>
        <v>8193212.5099992454</v>
      </c>
      <c r="SQ28" s="30">
        <f t="shared" si="263"/>
        <v>9572248.3200010508</v>
      </c>
      <c r="SR28" s="30">
        <f t="shared" si="263"/>
        <v>11041932.880000163</v>
      </c>
      <c r="SS28" s="30">
        <f t="shared" si="263"/>
        <v>11951933.499998953</v>
      </c>
      <c r="ST28" s="30">
        <f t="shared" si="263"/>
        <v>11024901.32000047</v>
      </c>
      <c r="SU28" s="30">
        <f t="shared" si="263"/>
        <v>11382608.169999361</v>
      </c>
      <c r="SV28" s="30">
        <f t="shared" si="263"/>
        <v>10004959.700000627</v>
      </c>
      <c r="SW28" s="30">
        <f t="shared" si="263"/>
        <v>9773323.4999999516</v>
      </c>
      <c r="SX28" s="30">
        <f t="shared" si="263"/>
        <v>9971638.7100002095</v>
      </c>
      <c r="SY28" s="30">
        <f t="shared" si="263"/>
        <v>12008143.98999954</v>
      </c>
      <c r="SZ28" s="30">
        <f t="shared" si="263"/>
        <v>12947348.860001169</v>
      </c>
      <c r="TA28" s="30">
        <f t="shared" si="263"/>
        <v>9085651.9299995694</v>
      </c>
      <c r="TB28" s="30">
        <f t="shared" si="263"/>
        <v>10007128.639999196</v>
      </c>
      <c r="TC28" s="30">
        <f t="shared" si="263"/>
        <v>10031771.410000596</v>
      </c>
      <c r="TD28" s="30">
        <f t="shared" si="263"/>
        <v>11354803.589999577</v>
      </c>
      <c r="TE28" s="30">
        <f t="shared" si="263"/>
        <v>9599004.8299990967</v>
      </c>
      <c r="TF28" s="30">
        <f t="shared" si="263"/>
        <v>12965543.790000943</v>
      </c>
      <c r="TG28" s="30">
        <f t="shared" si="263"/>
        <v>13251241.050000109</v>
      </c>
      <c r="TH28" s="30">
        <f t="shared" si="263"/>
        <v>11965884.450000249</v>
      </c>
      <c r="TI28" s="30">
        <f t="shared" si="263"/>
        <v>12662653.999999804</v>
      </c>
      <c r="TJ28" s="30">
        <f t="shared" si="263"/>
        <v>12174735.139998987</v>
      </c>
      <c r="TK28" s="30">
        <f t="shared" si="263"/>
        <v>8039657.9900002629</v>
      </c>
      <c r="TL28" s="30">
        <f t="shared" si="263"/>
        <v>9918125.3700003214</v>
      </c>
      <c r="TM28" s="30">
        <f t="shared" si="263"/>
        <v>9391362.720000606</v>
      </c>
      <c r="TN28" s="30">
        <f t="shared" si="263"/>
        <v>9062117.6700000279</v>
      </c>
      <c r="TO28" s="30">
        <f t="shared" si="263"/>
        <v>8091465.4800000284</v>
      </c>
      <c r="TP28" s="30">
        <f t="shared" si="263"/>
        <v>10966665.080000762</v>
      </c>
      <c r="TQ28" s="30">
        <f t="shared" si="263"/>
        <v>9328507.1099984199</v>
      </c>
      <c r="TR28" s="127">
        <f t="shared" si="226"/>
        <v>317081022.96999866</v>
      </c>
      <c r="TS28" s="30">
        <f t="shared" ref="TS28:UW28" si="264">TS12+TS24-TS18-TS26</f>
        <v>2408660.2800010666</v>
      </c>
      <c r="TT28" s="30">
        <f t="shared" si="264"/>
        <v>9690677.2300000153</v>
      </c>
      <c r="TU28" s="30">
        <f t="shared" si="264"/>
        <v>7797262.1299997699</v>
      </c>
      <c r="TV28" s="30">
        <f t="shared" si="264"/>
        <v>10334197.929998644</v>
      </c>
      <c r="TW28" s="30">
        <f t="shared" si="264"/>
        <v>7260996.3100007363</v>
      </c>
      <c r="TX28" s="30">
        <f t="shared" si="264"/>
        <v>10834986.559999958</v>
      </c>
      <c r="TY28" s="30">
        <f t="shared" si="264"/>
        <v>11118559.240000345</v>
      </c>
      <c r="TZ28" s="30">
        <f t="shared" si="264"/>
        <v>9334239.6399998926</v>
      </c>
      <c r="UA28" s="30">
        <f t="shared" si="264"/>
        <v>10458172.320000987</v>
      </c>
      <c r="UB28" s="30">
        <f t="shared" si="264"/>
        <v>9593258.3999994509</v>
      </c>
      <c r="UC28" s="30">
        <f t="shared" si="264"/>
        <v>11774688.100000255</v>
      </c>
      <c r="UD28" s="30">
        <f t="shared" si="264"/>
        <v>9301362.359999802</v>
      </c>
      <c r="UE28" s="30">
        <f t="shared" si="264"/>
        <v>12090371.409999847</v>
      </c>
      <c r="UF28" s="30">
        <f t="shared" si="264"/>
        <v>8305523.7799997665</v>
      </c>
      <c r="UG28" s="30">
        <f t="shared" si="264"/>
        <v>9966605.9399999436</v>
      </c>
      <c r="UH28" s="30">
        <f t="shared" si="264"/>
        <v>9629221.6499999072</v>
      </c>
      <c r="UI28" s="30">
        <f t="shared" si="264"/>
        <v>12020190.399999741</v>
      </c>
      <c r="UJ28" s="30">
        <f t="shared" si="264"/>
        <v>10541803.810000639</v>
      </c>
      <c r="UK28" s="30">
        <f t="shared" si="264"/>
        <v>11276223.839999961</v>
      </c>
      <c r="UL28" s="30">
        <f t="shared" si="264"/>
        <v>9924091.5699994266</v>
      </c>
      <c r="UM28" s="30">
        <f t="shared" si="264"/>
        <v>10030598.080000255</v>
      </c>
      <c r="UN28" s="30">
        <f t="shared" si="264"/>
        <v>11827531.610000659</v>
      </c>
      <c r="UO28" s="30">
        <f t="shared" si="264"/>
        <v>9679234.9899988882</v>
      </c>
      <c r="UP28" s="30">
        <f t="shared" si="264"/>
        <v>12546910.770001203</v>
      </c>
      <c r="UQ28" s="30">
        <f t="shared" si="264"/>
        <v>11277341.499998722</v>
      </c>
      <c r="UR28" s="30">
        <f t="shared" si="264"/>
        <v>10733504.920000803</v>
      </c>
      <c r="US28" s="30">
        <f t="shared" si="264"/>
        <v>9134354.5999999586</v>
      </c>
      <c r="UT28" s="30">
        <f t="shared" si="264"/>
        <v>9379661.2000005692</v>
      </c>
      <c r="UU28" s="30">
        <f t="shared" si="264"/>
        <v>7066905.0099993572</v>
      </c>
      <c r="UV28" s="30">
        <f t="shared" si="264"/>
        <v>9772282.8399995696</v>
      </c>
      <c r="UW28" s="30">
        <f t="shared" si="264"/>
        <v>12505436.380000688</v>
      </c>
      <c r="UX28" s="127">
        <f t="shared" si="228"/>
        <v>305206194.51999974</v>
      </c>
      <c r="UY28" s="30">
        <f t="shared" ref="UY28:VZ28" si="265">UY12+UY24-UY18-UY26</f>
        <v>11507165.759999856</v>
      </c>
      <c r="UZ28" s="30">
        <f t="shared" si="265"/>
        <v>9733367.7999997251</v>
      </c>
      <c r="VA28" s="30">
        <f t="shared" si="265"/>
        <v>10252106.459999979</v>
      </c>
      <c r="VB28" s="30">
        <f t="shared" si="265"/>
        <v>7807786.5200001001</v>
      </c>
      <c r="VC28" s="30">
        <f t="shared" si="265"/>
        <v>11102381.329999756</v>
      </c>
      <c r="VD28" s="30">
        <f t="shared" si="265"/>
        <v>10076513.430000467</v>
      </c>
      <c r="VE28" s="30">
        <f t="shared" si="265"/>
        <v>12523058.703999415</v>
      </c>
      <c r="VF28" s="30">
        <f t="shared" si="265"/>
        <v>11866342.121000256</v>
      </c>
      <c r="VG28" s="30">
        <f t="shared" si="265"/>
        <v>9528897.9630002454</v>
      </c>
      <c r="VH28" s="30">
        <f t="shared" si="265"/>
        <v>10774192.395999182</v>
      </c>
      <c r="VI28" s="30">
        <f t="shared" si="265"/>
        <v>8248583.8590002265</v>
      </c>
      <c r="VJ28" s="30">
        <f t="shared" si="265"/>
        <v>10604658.348000422</v>
      </c>
      <c r="VK28" s="30">
        <f t="shared" si="265"/>
        <v>11065337.069000386</v>
      </c>
      <c r="VL28" s="30">
        <f t="shared" si="265"/>
        <v>14191516.831999049</v>
      </c>
      <c r="VM28" s="30">
        <f t="shared" si="265"/>
        <v>9643496.8870011624</v>
      </c>
      <c r="VN28" s="30">
        <f t="shared" si="265"/>
        <v>9332268.2769982051</v>
      </c>
      <c r="VO28" s="30">
        <f t="shared" si="265"/>
        <v>11845333.596001051</v>
      </c>
      <c r="VP28" s="30">
        <f t="shared" si="265"/>
        <v>11239085.78799965</v>
      </c>
      <c r="VQ28" s="30">
        <f t="shared" si="265"/>
        <v>11887261.258999826</v>
      </c>
      <c r="VR28" s="30">
        <f t="shared" si="265"/>
        <v>10647741.840000529</v>
      </c>
      <c r="VS28" s="30">
        <f t="shared" si="265"/>
        <v>10418949.597999683</v>
      </c>
      <c r="VT28" s="30">
        <f t="shared" si="265"/>
        <v>11657088.43999989</v>
      </c>
      <c r="VU28" s="30">
        <f t="shared" si="265"/>
        <v>9763980.8240000587</v>
      </c>
      <c r="VV28" s="30">
        <f t="shared" si="265"/>
        <v>10752804.34400038</v>
      </c>
      <c r="VW28" s="30">
        <f t="shared" si="265"/>
        <v>8048072.3640000187</v>
      </c>
      <c r="VX28" s="30">
        <f t="shared" si="265"/>
        <v>10038878.291999735</v>
      </c>
      <c r="VY28" s="30">
        <f t="shared" si="265"/>
        <v>8597564.566999469</v>
      </c>
      <c r="VZ28" s="30">
        <f t="shared" si="265"/>
        <v>10195634.429000609</v>
      </c>
      <c r="WA28" s="127">
        <f>SUM(UY28:VZ28)</f>
        <v>293350069.09699935</v>
      </c>
      <c r="WB28" s="30">
        <f t="shared" ref="WB28:XF28" si="266">WB12+WB24-WB18-WB26</f>
        <v>12074487.71900041</v>
      </c>
      <c r="WC28" s="30">
        <f t="shared" si="266"/>
        <v>9230627.1870003156</v>
      </c>
      <c r="WD28" s="30">
        <f t="shared" si="266"/>
        <v>7211464.4799990356</v>
      </c>
      <c r="WE28" s="30">
        <f t="shared" si="266"/>
        <v>7503339.6080012806</v>
      </c>
      <c r="WF28" s="30">
        <f t="shared" si="266"/>
        <v>8333697.628999548</v>
      </c>
      <c r="WG28" s="30">
        <f t="shared" si="266"/>
        <v>6351736.2020002529</v>
      </c>
      <c r="WH28" s="30">
        <f t="shared" si="266"/>
        <v>9715054.0749988351</v>
      </c>
      <c r="WI28" s="30">
        <f t="shared" si="266"/>
        <v>11431886.754000382</v>
      </c>
      <c r="WJ28" s="30">
        <f t="shared" si="266"/>
        <v>10227153.237000167</v>
      </c>
      <c r="WK28" s="30">
        <f t="shared" si="266"/>
        <v>10437738.157000288</v>
      </c>
      <c r="WL28" s="30">
        <f t="shared" si="266"/>
        <v>9739494.3630011305</v>
      </c>
      <c r="WM28" s="30">
        <f t="shared" si="266"/>
        <v>9228853.3619998023</v>
      </c>
      <c r="WN28" s="30">
        <f t="shared" si="266"/>
        <v>8761837.808999829</v>
      </c>
      <c r="WO28" s="30">
        <f t="shared" si="266"/>
        <v>9735646.0539985709</v>
      </c>
      <c r="WP28" s="30">
        <f t="shared" si="266"/>
        <v>11680116.701999916</v>
      </c>
      <c r="WQ28" s="30">
        <f t="shared" si="266"/>
        <v>7501581.0549997538</v>
      </c>
      <c r="WR28" s="30">
        <f t="shared" si="266"/>
        <v>10750279.240000326</v>
      </c>
      <c r="WS28" s="30">
        <f t="shared" si="266"/>
        <v>10368931.294999642</v>
      </c>
      <c r="WT28" s="30">
        <f t="shared" si="266"/>
        <v>11061323.466001149</v>
      </c>
      <c r="WU28" s="30">
        <f t="shared" si="266"/>
        <v>10261327.386999769</v>
      </c>
      <c r="WV28" s="30">
        <f t="shared" si="266"/>
        <v>9979038.8549996689</v>
      </c>
      <c r="WW28" s="30">
        <f t="shared" si="266"/>
        <v>9502077.9750001356</v>
      </c>
      <c r="WX28" s="30">
        <f t="shared" si="266"/>
        <v>9691761.5859999433</v>
      </c>
      <c r="WY28" s="30">
        <f t="shared" si="266"/>
        <v>10007726.716000389</v>
      </c>
      <c r="WZ28" s="30">
        <f t="shared" si="266"/>
        <v>9157318.5730002075</v>
      </c>
      <c r="XA28" s="30">
        <f t="shared" si="266"/>
        <v>9082998.7320001479</v>
      </c>
      <c r="XB28" s="30">
        <f t="shared" si="266"/>
        <v>11054323.533000164</v>
      </c>
      <c r="XC28" s="30">
        <f t="shared" si="266"/>
        <v>11677828.835998924</v>
      </c>
      <c r="XD28" s="30">
        <f t="shared" si="266"/>
        <v>13784199.961000234</v>
      </c>
      <c r="XE28" s="30">
        <f t="shared" si="266"/>
        <v>9759209.8120010607</v>
      </c>
      <c r="XF28" s="30">
        <f t="shared" si="266"/>
        <v>9804699.2849994991</v>
      </c>
      <c r="XG28" s="127">
        <f t="shared" ref="XG28:XG36" si="267">SUM(WB28:XF28)</f>
        <v>305107759.64500076</v>
      </c>
      <c r="XH28" s="30">
        <f t="shared" ref="XH28:YK28" si="268">XH12+XH24-XH18-XH26</f>
        <v>9060538.3589991219</v>
      </c>
      <c r="XI28" s="30">
        <f t="shared" si="268"/>
        <v>9573267.3969998807</v>
      </c>
      <c r="XJ28" s="30">
        <f t="shared" si="268"/>
        <v>8755635.5650002062</v>
      </c>
      <c r="XK28" s="30">
        <f t="shared" si="268"/>
        <v>8512202.1800002269</v>
      </c>
      <c r="XL28" s="30">
        <f t="shared" si="268"/>
        <v>11998938.840000678</v>
      </c>
      <c r="XM28" s="30">
        <f t="shared" si="268"/>
        <v>9011599.6150000468</v>
      </c>
      <c r="XN28" s="30">
        <f t="shared" si="268"/>
        <v>11617518.719998688</v>
      </c>
      <c r="XO28" s="30">
        <f t="shared" si="268"/>
        <v>10239962.519999862</v>
      </c>
      <c r="XP28" s="30">
        <f t="shared" si="268"/>
        <v>9317193.2350009643</v>
      </c>
      <c r="XQ28" s="30">
        <f t="shared" si="268"/>
        <v>11629460.579999888</v>
      </c>
      <c r="XR28" s="30">
        <f t="shared" si="268"/>
        <v>9493215.929999806</v>
      </c>
      <c r="XS28" s="30">
        <f t="shared" si="268"/>
        <v>10277845.20000086</v>
      </c>
      <c r="XT28" s="30">
        <f t="shared" si="268"/>
        <v>9981127.9849989526</v>
      </c>
      <c r="XU28" s="30">
        <f t="shared" si="268"/>
        <v>9825648.6650003102</v>
      </c>
      <c r="XV28" s="30">
        <f t="shared" si="268"/>
        <v>10262878.710000662</v>
      </c>
      <c r="XW28" s="30">
        <f t="shared" si="268"/>
        <v>11813508.304998202</v>
      </c>
      <c r="XX28" s="30">
        <f t="shared" si="268"/>
        <v>10785071.000001157</v>
      </c>
      <c r="XY28" s="30">
        <f t="shared" si="268"/>
        <v>9667564.4499996956</v>
      </c>
      <c r="XZ28" s="30">
        <f t="shared" si="268"/>
        <v>11166653.699999619</v>
      </c>
      <c r="YA28" s="30">
        <f t="shared" si="268"/>
        <v>7630409.9500004835</v>
      </c>
      <c r="YB28" s="30">
        <f t="shared" si="268"/>
        <v>9029100.4499998204</v>
      </c>
      <c r="YC28" s="30">
        <f t="shared" si="268"/>
        <v>10494163.750000432</v>
      </c>
      <c r="YD28" s="30">
        <f t="shared" si="268"/>
        <v>8787525.8000008948</v>
      </c>
      <c r="YE28" s="30">
        <f t="shared" si="268"/>
        <v>10279487.599999055</v>
      </c>
      <c r="YF28" s="30">
        <f t="shared" si="268"/>
        <v>9239918.8999998719</v>
      </c>
      <c r="YG28" s="30">
        <f t="shared" si="268"/>
        <v>10746719.399999654</v>
      </c>
      <c r="YH28" s="30">
        <f t="shared" si="268"/>
        <v>9785072.5000009853</v>
      </c>
      <c r="YI28" s="30">
        <f t="shared" si="268"/>
        <v>10102077.149998616</v>
      </c>
      <c r="YJ28" s="30">
        <f t="shared" si="268"/>
        <v>10045994.300000001</v>
      </c>
      <c r="YK28" s="30">
        <f t="shared" si="268"/>
        <v>9663168.9500010964</v>
      </c>
      <c r="YL28" s="127">
        <f t="shared" ref="YL28:YL36" si="269">SUM(XH28:YK28)</f>
        <v>298793469.70599973</v>
      </c>
      <c r="YM28" s="30">
        <f t="shared" ref="YM28:ZQ28" si="270">YM12+YM24-YM18-YM26</f>
        <v>8102930.9499993045</v>
      </c>
      <c r="YN28" s="30">
        <f t="shared" si="270"/>
        <v>11304654.049999878</v>
      </c>
      <c r="YO28" s="30">
        <f t="shared" si="270"/>
        <v>9713810.5000003278</v>
      </c>
      <c r="YP28" s="30">
        <f t="shared" si="270"/>
        <v>12333994.550000312</v>
      </c>
      <c r="YQ28" s="30">
        <f t="shared" si="270"/>
        <v>11740304.199998982</v>
      </c>
      <c r="YR28" s="30">
        <f t="shared" si="270"/>
        <v>9971073.5000002906</v>
      </c>
      <c r="YS28" s="30">
        <f t="shared" si="270"/>
        <v>9172630.2500014175</v>
      </c>
      <c r="YT28" s="30">
        <f t="shared" si="270"/>
        <v>1777963.350000001</v>
      </c>
      <c r="YU28" s="30">
        <f t="shared" si="270"/>
        <v>8041190.5999992155</v>
      </c>
      <c r="YV28" s="30">
        <f t="shared" si="270"/>
        <v>11750679.15000046</v>
      </c>
      <c r="YW28" s="30">
        <f t="shared" si="270"/>
        <v>8368494.6999996789</v>
      </c>
      <c r="YX28" s="30">
        <f t="shared" si="270"/>
        <v>9839470.5500000566</v>
      </c>
      <c r="YY28" s="30">
        <f t="shared" si="270"/>
        <v>9653038.3000001125</v>
      </c>
      <c r="YZ28" s="30">
        <f t="shared" si="270"/>
        <v>11280935.100000139</v>
      </c>
      <c r="ZA28" s="30">
        <f t="shared" si="270"/>
        <v>9462825.2999990359</v>
      </c>
      <c r="ZB28" s="30">
        <f t="shared" si="270"/>
        <v>9552553.6500005387</v>
      </c>
      <c r="ZC28" s="30">
        <f t="shared" si="270"/>
        <v>12896391.70000026</v>
      </c>
      <c r="ZD28" s="30">
        <f t="shared" si="270"/>
        <v>9993383.8999998905</v>
      </c>
      <c r="ZE28" s="30">
        <f t="shared" si="270"/>
        <v>11800728.900000397</v>
      </c>
      <c r="ZF28" s="30">
        <f t="shared" si="270"/>
        <v>10460833.999999546</v>
      </c>
      <c r="ZG28" s="30">
        <f t="shared" si="270"/>
        <v>10340075.399999246</v>
      </c>
      <c r="ZH28" s="30">
        <f t="shared" si="270"/>
        <v>11864255.650000207</v>
      </c>
      <c r="ZI28" s="30">
        <f t="shared" si="270"/>
        <v>12727662.200000644</v>
      </c>
      <c r="ZJ28" s="30">
        <f t="shared" si="270"/>
        <v>14383099.899999492</v>
      </c>
      <c r="ZK28" s="30">
        <f t="shared" si="270"/>
        <v>12550388.44999942</v>
      </c>
      <c r="ZL28" s="30">
        <f t="shared" si="270"/>
        <v>11785410.650000665</v>
      </c>
      <c r="ZM28" s="30">
        <f t="shared" si="270"/>
        <v>11763678.000000371</v>
      </c>
      <c r="ZN28" s="30">
        <f t="shared" si="270"/>
        <v>12735253.349999785</v>
      </c>
      <c r="ZO28" s="30">
        <f t="shared" si="270"/>
        <v>10044844.520000437</v>
      </c>
      <c r="ZP28" s="30">
        <f t="shared" si="270"/>
        <v>12399508.720000181</v>
      </c>
      <c r="ZQ28" s="30">
        <f t="shared" si="270"/>
        <v>13056979.150000108</v>
      </c>
      <c r="ZR28" s="127">
        <f>SUM(YM28:ZQ28)</f>
        <v>330869043.19000041</v>
      </c>
      <c r="ZS28" s="30">
        <f t="shared" ref="ZS28:AAV28" si="271">ZS12+ZS24-ZS18-ZS26</f>
        <v>10274523.85999991</v>
      </c>
      <c r="ZT28" s="30">
        <f t="shared" si="271"/>
        <v>9790888.7499988824</v>
      </c>
      <c r="ZU28" s="30">
        <f t="shared" si="271"/>
        <v>9745060.8500004224</v>
      </c>
      <c r="ZV28" s="30">
        <f t="shared" si="271"/>
        <v>9117971.7199999169</v>
      </c>
      <c r="ZW28" s="30">
        <f t="shared" si="271"/>
        <v>12089297.640000658</v>
      </c>
      <c r="ZX28" s="30">
        <f t="shared" si="271"/>
        <v>11068016.349999039</v>
      </c>
      <c r="ZY28" s="30">
        <f t="shared" si="271"/>
        <v>13438025.780000066</v>
      </c>
      <c r="ZZ28" s="30">
        <f t="shared" si="271"/>
        <v>12697923.52000168</v>
      </c>
      <c r="AAA28" s="30">
        <f t="shared" si="271"/>
        <v>10314059.609998439</v>
      </c>
      <c r="AAB28" s="30">
        <f t="shared" si="271"/>
        <v>11678270.78000053</v>
      </c>
      <c r="AAC28" s="30">
        <f t="shared" si="271"/>
        <v>11188296.579999764</v>
      </c>
      <c r="AAD28" s="30">
        <f t="shared" si="271"/>
        <v>10125571.450000735</v>
      </c>
      <c r="AAE28" s="30">
        <f t="shared" si="271"/>
        <v>13753120.579998545</v>
      </c>
      <c r="AAF28" s="30">
        <f t="shared" si="271"/>
        <v>11819470.160001427</v>
      </c>
      <c r="AAG28" s="30">
        <f t="shared" si="271"/>
        <v>10490337.189999271</v>
      </c>
      <c r="AAH28" s="30">
        <f t="shared" si="271"/>
        <v>12221089.760000754</v>
      </c>
      <c r="AAI28" s="30">
        <f t="shared" si="271"/>
        <v>11018506.399998711</v>
      </c>
      <c r="AAJ28" s="30">
        <f t="shared" si="271"/>
        <v>13860551.570001278</v>
      </c>
      <c r="AAK28" s="30">
        <f t="shared" si="271"/>
        <v>10169446.329998517</v>
      </c>
      <c r="AAL28" s="30">
        <f t="shared" si="271"/>
        <v>8579232.2100012451</v>
      </c>
      <c r="AAM28" s="30">
        <f t="shared" si="271"/>
        <v>13262578.280000158</v>
      </c>
      <c r="AAN28" s="30">
        <f t="shared" si="271"/>
        <v>7907079.4499996435</v>
      </c>
      <c r="AAO28" s="30">
        <f t="shared" si="271"/>
        <v>12382116.719998568</v>
      </c>
      <c r="AAP28" s="30">
        <f t="shared" si="271"/>
        <v>10700357.830000561</v>
      </c>
      <c r="AAQ28" s="30">
        <f t="shared" si="271"/>
        <v>11438038.019999355</v>
      </c>
      <c r="AAR28" s="30">
        <f t="shared" si="271"/>
        <v>10457728.960001262</v>
      </c>
      <c r="AAS28" s="30">
        <f t="shared" si="271"/>
        <v>12019551.529999912</v>
      </c>
      <c r="AAT28" s="30">
        <f t="shared" si="271"/>
        <v>11649105.670000359</v>
      </c>
      <c r="AAU28" s="30">
        <f t="shared" si="271"/>
        <v>10359454.060001304</v>
      </c>
      <c r="AAV28" s="30">
        <f t="shared" si="271"/>
        <v>10215496.049998879</v>
      </c>
      <c r="AAW28" s="127">
        <f t="shared" ref="AAW28:AAW36" si="272">SUM(ZS28:AAV28)</f>
        <v>333831167.65999985</v>
      </c>
      <c r="AAX28" s="30">
        <f t="shared" ref="AAX28:ACB28" si="273">AAX12+AAX24-AAX18-AAX26</f>
        <v>10081431.360000456</v>
      </c>
      <c r="AAY28" s="30">
        <f t="shared" si="273"/>
        <v>7459282.8699997589</v>
      </c>
      <c r="AAZ28" s="30">
        <f t="shared" si="273"/>
        <v>12059465.409999501</v>
      </c>
      <c r="ABA28" s="30">
        <f t="shared" si="273"/>
        <v>11176650.499999812</v>
      </c>
      <c r="ABB28" s="30">
        <f t="shared" si="273"/>
        <v>13190835.630000535</v>
      </c>
      <c r="ABC28" s="30">
        <f t="shared" si="273"/>
        <v>11118844.39999989</v>
      </c>
      <c r="ABD28" s="30">
        <f t="shared" si="273"/>
        <v>13204230.649999775</v>
      </c>
      <c r="ABE28" s="30">
        <f t="shared" si="273"/>
        <v>11129769.800000221</v>
      </c>
      <c r="ABF28" s="30">
        <f t="shared" si="273"/>
        <v>11106129.189999133</v>
      </c>
      <c r="ABG28" s="30">
        <f t="shared" si="273"/>
        <v>13755537.780001501</v>
      </c>
      <c r="ABH28" s="30">
        <f t="shared" si="273"/>
        <v>11094750.769998349</v>
      </c>
      <c r="ABI28" s="30">
        <f t="shared" si="273"/>
        <v>6733965.3599994667</v>
      </c>
      <c r="ABJ28" s="30">
        <f t="shared" si="273"/>
        <v>10725155.350001033</v>
      </c>
      <c r="ABK28" s="30">
        <f t="shared" si="273"/>
        <v>11338283.799999747</v>
      </c>
      <c r="ABL28" s="30">
        <f t="shared" si="273"/>
        <v>11511919.88000077</v>
      </c>
      <c r="ABM28" s="30">
        <f t="shared" si="273"/>
        <v>12166632.069998855</v>
      </c>
      <c r="ABN28" s="30">
        <f t="shared" si="273"/>
        <v>11490257.730000859</v>
      </c>
      <c r="ABO28" s="30">
        <f t="shared" si="273"/>
        <v>12243233.550000113</v>
      </c>
      <c r="ABP28" s="30">
        <f t="shared" si="273"/>
        <v>11431333.460000206</v>
      </c>
      <c r="ABQ28" s="30">
        <f t="shared" si="273"/>
        <v>11419829.329999436</v>
      </c>
      <c r="ABR28" s="30">
        <f t="shared" si="273"/>
        <v>10467754.160000838</v>
      </c>
      <c r="ABS28" s="30">
        <f t="shared" si="273"/>
        <v>9690857.8199986424</v>
      </c>
      <c r="ABT28" s="30">
        <f t="shared" si="273"/>
        <v>11960351.470000576</v>
      </c>
      <c r="ABU28" s="30">
        <f t="shared" si="273"/>
        <v>12741436.670000618</v>
      </c>
      <c r="ABV28" s="30">
        <f t="shared" si="273"/>
        <v>12727974.409998983</v>
      </c>
      <c r="ABW28" s="30">
        <f t="shared" si="273"/>
        <v>11407155.240001164</v>
      </c>
      <c r="ABX28" s="30">
        <f t="shared" si="273"/>
        <v>10969121.979999103</v>
      </c>
      <c r="ABY28" s="30">
        <f t="shared" si="273"/>
        <v>11252902.849999674</v>
      </c>
      <c r="ABZ28" s="30">
        <f t="shared" si="273"/>
        <v>10496821.800000211</v>
      </c>
      <c r="ACA28" s="30">
        <f t="shared" si="273"/>
        <v>10370055.080000646</v>
      </c>
      <c r="ACB28" s="30">
        <f t="shared" si="273"/>
        <v>10790150.629999988</v>
      </c>
      <c r="ACC28" s="127">
        <f t="shared" ref="ACC28:ACC48" si="274">SUM(AAX28:ACB28)</f>
        <v>347312120.99999988</v>
      </c>
      <c r="ACD28" s="30">
        <f t="shared" ref="ACD28:ADH28" si="275">ACD12+ACD24-ACD18-ACD26</f>
        <v>13237010.379999772</v>
      </c>
      <c r="ACE28" s="30">
        <f t="shared" si="275"/>
        <v>12505195.200000457</v>
      </c>
      <c r="ACF28" s="30">
        <f t="shared" si="275"/>
        <v>13174931.409999426</v>
      </c>
      <c r="ACG28" s="30">
        <f t="shared" si="275"/>
        <v>7255253.6400002334</v>
      </c>
      <c r="ACH28" s="30">
        <f t="shared" si="275"/>
        <v>13163179.609999951</v>
      </c>
      <c r="ACI28" s="30">
        <f t="shared" si="275"/>
        <v>9365117.1000006087</v>
      </c>
      <c r="ACJ28" s="30">
        <f t="shared" si="275"/>
        <v>10723546.219000163</v>
      </c>
      <c r="ACK28" s="30">
        <f t="shared" si="275"/>
        <v>11528544.550998678</v>
      </c>
      <c r="ACL28" s="30">
        <f t="shared" si="275"/>
        <v>11758362.573000493</v>
      </c>
      <c r="ACM28" s="30">
        <f t="shared" si="275"/>
        <v>10287291.076999258</v>
      </c>
      <c r="ACN28" s="30">
        <f t="shared" si="275"/>
        <v>13351522.673001178</v>
      </c>
      <c r="ACO28" s="30">
        <f t="shared" si="275"/>
        <v>10297754.796999054</v>
      </c>
      <c r="ACP28" s="30">
        <f t="shared" si="275"/>
        <v>8671043.7510008886</v>
      </c>
      <c r="ACQ28" s="30">
        <f t="shared" si="275"/>
        <v>12380665.387999482</v>
      </c>
      <c r="ACR28" s="30">
        <f t="shared" si="275"/>
        <v>12380992.431999637</v>
      </c>
      <c r="ACS28" s="30">
        <f t="shared" si="275"/>
        <v>9643398.769999899</v>
      </c>
      <c r="ACT28" s="30">
        <f t="shared" si="275"/>
        <v>9219379.2790014632</v>
      </c>
      <c r="ACU28" s="30">
        <f t="shared" si="275"/>
        <v>11479358.782999285</v>
      </c>
      <c r="ACV28" s="30">
        <f t="shared" si="275"/>
        <v>9923724.2119998746</v>
      </c>
      <c r="ACW28" s="30">
        <f t="shared" si="275"/>
        <v>11302600.693000145</v>
      </c>
      <c r="ACX28" s="30">
        <f t="shared" si="275"/>
        <v>10438230.996999061</v>
      </c>
      <c r="ACY28" s="30">
        <f t="shared" si="275"/>
        <v>11122467.098000428</v>
      </c>
      <c r="ACZ28" s="30">
        <f t="shared" si="275"/>
        <v>11139187.012000058</v>
      </c>
      <c r="ADA28" s="30">
        <f t="shared" si="275"/>
        <v>9781325.7610008158</v>
      </c>
      <c r="ADB28" s="30">
        <f t="shared" si="275"/>
        <v>8771019.9580002427</v>
      </c>
      <c r="ADC28" s="30">
        <f t="shared" si="275"/>
        <v>10420237.494999273</v>
      </c>
      <c r="ADD28" s="30">
        <f t="shared" si="275"/>
        <v>11530232.141999768</v>
      </c>
      <c r="ADE28" s="30">
        <f t="shared" si="275"/>
        <v>9980562.7850008979</v>
      </c>
      <c r="ADF28" s="30">
        <f t="shared" si="275"/>
        <v>10990124.977999523</v>
      </c>
      <c r="ADG28" s="30">
        <f t="shared" si="275"/>
        <v>11399261.905000241</v>
      </c>
      <c r="ADH28" s="30">
        <f t="shared" si="275"/>
        <v>9652149.4429996591</v>
      </c>
      <c r="ADI28" s="127">
        <f t="shared" ref="ADI28:ADI48" si="276">SUM(ACD28:ADH28)</f>
        <v>336873672.11199993</v>
      </c>
      <c r="ADJ28" s="30">
        <f t="shared" ref="ADJ28:AEM28" si="277">ADJ12+ADJ24-ADJ18-ADJ26</f>
        <v>9185076.9259998351</v>
      </c>
      <c r="ADK28" s="30">
        <f t="shared" si="277"/>
        <v>9035222.1579999961</v>
      </c>
      <c r="ADL28" s="30">
        <f t="shared" si="277"/>
        <v>7575039.2140003685</v>
      </c>
      <c r="ADM28" s="30">
        <f t="shared" si="277"/>
        <v>12223497.914999824</v>
      </c>
      <c r="ADN28" s="30">
        <f t="shared" si="277"/>
        <v>12311864.069999516</v>
      </c>
      <c r="ADO28" s="30">
        <f t="shared" si="277"/>
        <v>12200788.167001167</v>
      </c>
      <c r="ADP28" s="30">
        <f t="shared" si="277"/>
        <v>10568232.141999774</v>
      </c>
      <c r="ADQ28" s="30">
        <f t="shared" si="277"/>
        <v>9658672.4949993137</v>
      </c>
      <c r="ADR28" s="30">
        <f t="shared" si="277"/>
        <v>9525095.9080000669</v>
      </c>
      <c r="ADS28" s="30">
        <f t="shared" si="277"/>
        <v>8406042.5590000488</v>
      </c>
      <c r="ADT28" s="30">
        <f t="shared" si="277"/>
        <v>9534630.2400000859</v>
      </c>
      <c r="ADU28" s="30">
        <f t="shared" si="277"/>
        <v>9369527.6450009868</v>
      </c>
      <c r="ADV28" s="30">
        <f t="shared" si="277"/>
        <v>12200536.989998769</v>
      </c>
      <c r="ADW28" s="30">
        <f t="shared" si="277"/>
        <v>8334916.8469998762</v>
      </c>
      <c r="ADX28" s="30">
        <f t="shared" si="277"/>
        <v>11212130.321999457</v>
      </c>
      <c r="ADY28" s="30">
        <f t="shared" si="277"/>
        <v>11148645.183001218</v>
      </c>
      <c r="ADZ28" s="30">
        <f t="shared" si="277"/>
        <v>8398978.2369998172</v>
      </c>
      <c r="AEA28" s="30">
        <f t="shared" si="277"/>
        <v>9571537.2219990417</v>
      </c>
      <c r="AEB28" s="30">
        <f t="shared" si="277"/>
        <v>8665359.0350011922</v>
      </c>
      <c r="AEC28" s="30">
        <f t="shared" si="277"/>
        <v>10147604.665998895</v>
      </c>
      <c r="AED28" s="30">
        <f t="shared" si="277"/>
        <v>8902043.8410009965</v>
      </c>
      <c r="AEE28" s="30">
        <f t="shared" si="277"/>
        <v>10412714.3279998</v>
      </c>
      <c r="AEF28" s="30">
        <f t="shared" si="277"/>
        <v>9768019.1089994796</v>
      </c>
      <c r="AEG28" s="30">
        <f t="shared" si="277"/>
        <v>8456955.7000002265</v>
      </c>
      <c r="AEH28" s="30">
        <f t="shared" si="277"/>
        <v>7975588.3870006148</v>
      </c>
      <c r="AEI28" s="30">
        <f t="shared" si="277"/>
        <v>11345227.771999748</v>
      </c>
      <c r="AEJ28" s="30">
        <f t="shared" si="277"/>
        <v>10945976.309999701</v>
      </c>
      <c r="AEK28" s="30">
        <f t="shared" si="277"/>
        <v>9213784.9510002993</v>
      </c>
      <c r="AEL28" s="30">
        <f t="shared" si="277"/>
        <v>10176448.636000052</v>
      </c>
      <c r="AEM28" s="30">
        <f t="shared" si="277"/>
        <v>8156564.1069992092</v>
      </c>
      <c r="AEN28" s="127">
        <f>SUM(ADJ28:AEM28)</f>
        <v>294626721.08199942</v>
      </c>
      <c r="AEO28" s="30">
        <f t="shared" ref="AEO28:AFS28" si="278">AEO12+AEO24-AEO18-AEO26</f>
        <v>9533723.9200007282</v>
      </c>
      <c r="AEP28" s="30">
        <f t="shared" si="278"/>
        <v>9494960.0699991547</v>
      </c>
      <c r="AEQ28" s="30">
        <f t="shared" si="278"/>
        <v>11131886.095000006</v>
      </c>
      <c r="AER28" s="30">
        <f t="shared" si="278"/>
        <v>8402333.2030004635</v>
      </c>
      <c r="AES28" s="30">
        <f t="shared" si="278"/>
        <v>9094452.8089999817</v>
      </c>
      <c r="AET28" s="30">
        <f t="shared" si="278"/>
        <v>11327259.683000073</v>
      </c>
      <c r="AEU28" s="30">
        <f t="shared" si="278"/>
        <v>10306876.731000617</v>
      </c>
      <c r="AEV28" s="30">
        <f t="shared" si="278"/>
        <v>8398079.268000029</v>
      </c>
      <c r="AEW28" s="30">
        <f t="shared" si="278"/>
        <v>8611085.1009994801</v>
      </c>
      <c r="AEX28" s="30">
        <f t="shared" si="278"/>
        <v>10082437.768000081</v>
      </c>
      <c r="AEY28" s="30">
        <f t="shared" si="278"/>
        <v>9371999.9669998307</v>
      </c>
      <c r="AEZ28" s="30">
        <f t="shared" si="278"/>
        <v>8127031.3210000582</v>
      </c>
      <c r="AFA28" s="30">
        <f t="shared" si="278"/>
        <v>8191941.1510000974</v>
      </c>
      <c r="AFB28" s="30">
        <f t="shared" si="278"/>
        <v>8872700.2179996148</v>
      </c>
      <c r="AFC28" s="30">
        <f t="shared" si="278"/>
        <v>10326066.207000701</v>
      </c>
      <c r="AFD28" s="30">
        <f t="shared" si="278"/>
        <v>11163631.121000038</v>
      </c>
      <c r="AFE28" s="30">
        <f t="shared" si="278"/>
        <v>10649985.633999806</v>
      </c>
      <c r="AFF28" s="30">
        <f t="shared" si="278"/>
        <v>10367342.049999928</v>
      </c>
      <c r="AFG28" s="30">
        <f t="shared" si="278"/>
        <v>10057953.838000694</v>
      </c>
      <c r="AFH28" s="30">
        <f t="shared" si="278"/>
        <v>10384120.719999347</v>
      </c>
      <c r="AFI28" s="30">
        <f t="shared" si="278"/>
        <v>11242295.131000238</v>
      </c>
      <c r="AFJ28" s="30">
        <f t="shared" si="278"/>
        <v>8038482.9159987122</v>
      </c>
      <c r="AFK28" s="30">
        <f t="shared" si="278"/>
        <v>7998312.4270010963</v>
      </c>
      <c r="AFL28" s="30">
        <f t="shared" si="278"/>
        <v>8870025.9989998117</v>
      </c>
      <c r="AFM28" s="30">
        <f t="shared" si="278"/>
        <v>11540499.053999882</v>
      </c>
      <c r="AFN28" s="30">
        <f t="shared" si="278"/>
        <v>7934939.5729993731</v>
      </c>
      <c r="AFO28" s="30">
        <f t="shared" si="278"/>
        <v>10515675.932999745</v>
      </c>
      <c r="AFP28" s="30">
        <f t="shared" si="278"/>
        <v>10138542.862001397</v>
      </c>
      <c r="AFQ28" s="30">
        <f t="shared" si="278"/>
        <v>7842384.7469986379</v>
      </c>
      <c r="AFR28" s="30">
        <f t="shared" si="278"/>
        <v>8230686.9940009695</v>
      </c>
      <c r="AFS28" s="30">
        <f t="shared" si="278"/>
        <v>9786604.1900002807</v>
      </c>
      <c r="AFT28" s="127">
        <f t="shared" ref="AFT28:AFT48" si="279">SUM(AEO28:AFS28)</f>
        <v>296034316.70100087</v>
      </c>
      <c r="AFU28" s="30">
        <f t="shared" ref="AFU28:AGX28" si="280">AFU12+AFU24-AFU18-AFU26</f>
        <v>8085643.2369991634</v>
      </c>
      <c r="AFV28" s="30">
        <f t="shared" si="280"/>
        <v>9798435.4170008637</v>
      </c>
      <c r="AFW28" s="30">
        <f t="shared" si="280"/>
        <v>9782637.8520001601</v>
      </c>
      <c r="AFX28" s="30">
        <f t="shared" si="280"/>
        <v>9432960.3149990756</v>
      </c>
      <c r="AFY28" s="30">
        <f t="shared" si="280"/>
        <v>7047754.3379993644</v>
      </c>
      <c r="AFZ28" s="30">
        <f t="shared" si="280"/>
        <v>8732222.1570016183</v>
      </c>
      <c r="AGA28" s="30">
        <f t="shared" si="280"/>
        <v>11889647.18999913</v>
      </c>
      <c r="AGB28" s="30">
        <f t="shared" si="280"/>
        <v>12263278.138000561</v>
      </c>
      <c r="AGC28" s="30">
        <f t="shared" si="280"/>
        <v>12362180.294999091</v>
      </c>
      <c r="AGD28" s="30">
        <f t="shared" si="280"/>
        <v>12363480.35900083</v>
      </c>
      <c r="AGE28" s="30">
        <f t="shared" si="280"/>
        <v>12045698.936000349</v>
      </c>
      <c r="AGF28" s="30">
        <f t="shared" si="280"/>
        <v>10462154.770999338</v>
      </c>
      <c r="AGG28" s="30">
        <f t="shared" si="280"/>
        <v>11473501.06099923</v>
      </c>
      <c r="AGH28" s="30">
        <f t="shared" si="280"/>
        <v>11633054.618001288</v>
      </c>
      <c r="AGI28" s="30">
        <f t="shared" si="280"/>
        <v>11111297.492999293</v>
      </c>
      <c r="AGJ28" s="30">
        <f t="shared" si="280"/>
        <v>10390556.151000183</v>
      </c>
      <c r="AGK28" s="30">
        <f t="shared" si="280"/>
        <v>11835680.123001024</v>
      </c>
      <c r="AGL28" s="30">
        <f t="shared" si="280"/>
        <v>12011028.96599929</v>
      </c>
      <c r="AGM28" s="30">
        <f t="shared" si="280"/>
        <v>12341105.435999418</v>
      </c>
      <c r="AGN28" s="30">
        <f t="shared" si="280"/>
        <v>13480814.823999535</v>
      </c>
      <c r="AGO28" s="30">
        <f t="shared" si="280"/>
        <v>13368455.822000902</v>
      </c>
      <c r="AGP28" s="30">
        <f t="shared" si="280"/>
        <v>15828884.252998877</v>
      </c>
      <c r="AGQ28" s="30">
        <f t="shared" si="280"/>
        <v>11668271.105001207</v>
      </c>
      <c r="AGR28" s="30">
        <f t="shared" si="280"/>
        <v>11365055.861000456</v>
      </c>
      <c r="AGS28" s="30">
        <f t="shared" si="280"/>
        <v>12393025.998998623</v>
      </c>
      <c r="AGT28" s="30">
        <f t="shared" si="280"/>
        <v>14276059.259000488</v>
      </c>
      <c r="AGU28" s="30">
        <f t="shared" si="280"/>
        <v>13012326.765000574</v>
      </c>
      <c r="AGV28" s="30">
        <f t="shared" si="280"/>
        <v>16773267.80900025</v>
      </c>
      <c r="AGW28" s="30">
        <f t="shared" si="280"/>
        <v>15332231.712998703</v>
      </c>
      <c r="AGX28" s="30">
        <f t="shared" si="280"/>
        <v>12680980.916000716</v>
      </c>
      <c r="AGY28" s="127">
        <f t="shared" ref="AGY28:AGY36" si="281">SUM(AFU28:AGX28)</f>
        <v>355241691.17899966</v>
      </c>
      <c r="AGZ28" s="30">
        <f t="shared" ref="AGZ28:AID28" si="282">AGZ12+AGZ24-AGZ18-AGZ26</f>
        <v>13053722.628999244</v>
      </c>
      <c r="AHA28" s="30">
        <f t="shared" si="282"/>
        <v>13285164.990999691</v>
      </c>
      <c r="AHB28" s="30">
        <f t="shared" si="282"/>
        <v>11277640.96600135</v>
      </c>
      <c r="AHC28" s="30">
        <f t="shared" si="282"/>
        <v>14077748.576999301</v>
      </c>
      <c r="AHD28" s="30">
        <f t="shared" si="282"/>
        <v>16805077.967000902</v>
      </c>
      <c r="AHE28" s="30">
        <f t="shared" si="282"/>
        <v>12331572.336999625</v>
      </c>
      <c r="AHF28" s="30">
        <f t="shared" si="282"/>
        <v>12175739.990000257</v>
      </c>
      <c r="AHG28" s="30">
        <f t="shared" si="282"/>
        <v>13681608.987998713</v>
      </c>
      <c r="AHH28" s="30">
        <f t="shared" si="282"/>
        <v>12768347.521000557</v>
      </c>
      <c r="AHI28" s="30">
        <f t="shared" si="282"/>
        <v>12275119.21500041</v>
      </c>
      <c r="AHJ28" s="30">
        <f t="shared" si="282"/>
        <v>12760514.991999429</v>
      </c>
      <c r="AHK28" s="30">
        <f t="shared" si="282"/>
        <v>15460097.626999965</v>
      </c>
      <c r="AHL28" s="30">
        <f t="shared" si="282"/>
        <v>14316695.218999954</v>
      </c>
      <c r="AHM28" s="30">
        <f t="shared" si="282"/>
        <v>11006067.393001344</v>
      </c>
      <c r="AHN28" s="30">
        <f t="shared" si="282"/>
        <v>13535283.446999298</v>
      </c>
      <c r="AHO28" s="30">
        <f t="shared" si="282"/>
        <v>12900769.256999789</v>
      </c>
      <c r="AHP28" s="30">
        <f t="shared" si="282"/>
        <v>12755128.09900064</v>
      </c>
      <c r="AHQ28" s="30">
        <f t="shared" si="282"/>
        <v>15272246.898000039</v>
      </c>
      <c r="AHR28" s="30">
        <f t="shared" si="282"/>
        <v>15915526.975999493</v>
      </c>
      <c r="AHS28" s="30">
        <f t="shared" si="282"/>
        <v>13799281.193999909</v>
      </c>
      <c r="AHT28" s="30">
        <f t="shared" si="282"/>
        <v>13875657.08400109</v>
      </c>
      <c r="AHU28" s="30">
        <f t="shared" si="282"/>
        <v>15293920.284998767</v>
      </c>
      <c r="AHV28" s="30">
        <f t="shared" si="282"/>
        <v>18098664.915000327</v>
      </c>
      <c r="AHW28" s="30">
        <f t="shared" si="282"/>
        <v>17148582.976000559</v>
      </c>
      <c r="AHX28" s="30">
        <f t="shared" si="282"/>
        <v>11671557.052000044</v>
      </c>
      <c r="AHY28" s="30">
        <f t="shared" si="282"/>
        <v>11001901.71100039</v>
      </c>
      <c r="AHZ28" s="30">
        <f t="shared" si="282"/>
        <v>10863631.048998419</v>
      </c>
      <c r="AIA28" s="30">
        <f t="shared" si="282"/>
        <v>9208779.2930010017</v>
      </c>
      <c r="AIB28" s="30">
        <f t="shared" si="282"/>
        <v>11539990.076999243</v>
      </c>
      <c r="AIC28" s="30">
        <f t="shared" si="282"/>
        <v>11814477.347999755</v>
      </c>
      <c r="AID28" s="30">
        <f t="shared" si="282"/>
        <v>14848554.579000564</v>
      </c>
      <c r="AIE28" s="127">
        <f t="shared" ref="AIE28:AIE35" si="283">SUM(AGZ28:AID28)</f>
        <v>414819070.65200007</v>
      </c>
      <c r="AIF28" s="30">
        <f t="shared" ref="AIF28:AJJ28" si="284">AIF12+AIF24-AIF18-AIF26</f>
        <v>11029534.526999613</v>
      </c>
      <c r="AIG28" s="30">
        <f t="shared" si="284"/>
        <v>11806167.828999747</v>
      </c>
      <c r="AIH28" s="30">
        <f t="shared" si="284"/>
        <v>12345976.453001024</v>
      </c>
      <c r="AII28" s="30">
        <f t="shared" si="284"/>
        <v>10202390.412000794</v>
      </c>
      <c r="AIJ28" s="30">
        <f t="shared" si="284"/>
        <v>12639158.302997652</v>
      </c>
      <c r="AIK28" s="30">
        <f t="shared" si="284"/>
        <v>14217332.975001866</v>
      </c>
      <c r="AIL28" s="30">
        <f t="shared" si="284"/>
        <v>9495164.6189996619</v>
      </c>
      <c r="AIM28" s="30">
        <f t="shared" si="284"/>
        <v>9891637.9150003269</v>
      </c>
      <c r="AIN28" s="30">
        <f t="shared" si="284"/>
        <v>12459471.255999118</v>
      </c>
      <c r="AIO28" s="30">
        <f t="shared" si="284"/>
        <v>15187422.519999471</v>
      </c>
      <c r="AIP28" s="30">
        <f t="shared" si="284"/>
        <v>12494582.030001298</v>
      </c>
      <c r="AIQ28" s="30">
        <f t="shared" si="284"/>
        <v>10521878.284999039</v>
      </c>
      <c r="AIR28" s="30">
        <f t="shared" si="284"/>
        <v>6350837.445999559</v>
      </c>
      <c r="AIS28" s="30">
        <f t="shared" si="284"/>
        <v>12897008.220000967</v>
      </c>
      <c r="AIT28" s="30">
        <f t="shared" si="284"/>
        <v>7039991.9500003578</v>
      </c>
      <c r="AIU28" s="30">
        <f t="shared" si="284"/>
        <v>8868241.3260003962</v>
      </c>
      <c r="AIV28" s="30">
        <f t="shared" si="284"/>
        <v>6009329.7879995545</v>
      </c>
      <c r="AIW28" s="30">
        <f t="shared" si="284"/>
        <v>7296506.0469993111</v>
      </c>
      <c r="AIX28" s="30">
        <f t="shared" si="284"/>
        <v>11321489.443000283</v>
      </c>
      <c r="AIY28" s="30">
        <f t="shared" si="284"/>
        <v>12384262.695999829</v>
      </c>
      <c r="AIZ28" s="30">
        <f t="shared" si="284"/>
        <v>13389061.036000047</v>
      </c>
      <c r="AJA28" s="30">
        <f t="shared" si="284"/>
        <v>11952517.160999302</v>
      </c>
      <c r="AJB28" s="30">
        <f t="shared" si="284"/>
        <v>13212393.724000921</v>
      </c>
      <c r="AJC28" s="30">
        <f t="shared" si="284"/>
        <v>13854053.022999458</v>
      </c>
      <c r="AJD28" s="30">
        <f t="shared" si="284"/>
        <v>11729301.076999862</v>
      </c>
      <c r="AJE28" s="30">
        <f t="shared" si="284"/>
        <v>11383483.004999649</v>
      </c>
      <c r="AJF28" s="30">
        <f t="shared" si="284"/>
        <v>13177602.23900082</v>
      </c>
      <c r="AJG28" s="30">
        <f t="shared" si="284"/>
        <v>11137990.321999472</v>
      </c>
      <c r="AJH28" s="30">
        <f t="shared" si="284"/>
        <v>12483861.836000985</v>
      </c>
      <c r="AJI28" s="30">
        <f t="shared" si="284"/>
        <v>11655266.312999457</v>
      </c>
      <c r="AJJ28" s="30">
        <f t="shared" si="284"/>
        <v>13091592.23699951</v>
      </c>
      <c r="AJK28" s="127">
        <f t="shared" ref="AJK28:AJK35" si="285">SUM(AIF28:AJJ28)</f>
        <v>351525506.0129993</v>
      </c>
      <c r="AJL28" s="30">
        <f t="shared" ref="AJL28:AKM28" si="286">AJL12+AJL24-AJL18-AJL26</f>
        <v>10935287.946000438</v>
      </c>
      <c r="AJM28" s="30">
        <f t="shared" si="286"/>
        <v>13394444.797001004</v>
      </c>
      <c r="AJN28" s="30">
        <f t="shared" si="286"/>
        <v>12369609.534999114</v>
      </c>
      <c r="AJO28" s="30">
        <f t="shared" si="286"/>
        <v>10442890.451001514</v>
      </c>
      <c r="AJP28" s="30">
        <f t="shared" si="286"/>
        <v>13415544.21499937</v>
      </c>
      <c r="AJQ28" s="30">
        <f t="shared" si="286"/>
        <v>11155473.72499902</v>
      </c>
      <c r="AJR28" s="30">
        <f t="shared" si="286"/>
        <v>13320036.169000927</v>
      </c>
      <c r="AJS28" s="30">
        <f t="shared" si="286"/>
        <v>12350599.212998766</v>
      </c>
      <c r="AJT28" s="30">
        <f t="shared" si="286"/>
        <v>13847482.436000753</v>
      </c>
      <c r="AJU28" s="30">
        <f t="shared" si="286"/>
        <v>14988924.456999991</v>
      </c>
      <c r="AJV28" s="30">
        <f t="shared" si="286"/>
        <v>12852442.229998499</v>
      </c>
      <c r="AJW28" s="30">
        <f t="shared" si="286"/>
        <v>15204517.593000632</v>
      </c>
      <c r="AJX28" s="30">
        <f t="shared" si="286"/>
        <v>15307164.355000377</v>
      </c>
      <c r="AJY28" s="30">
        <f t="shared" si="286"/>
        <v>12395408.441000085</v>
      </c>
      <c r="AJZ28" s="30">
        <f t="shared" si="286"/>
        <v>11572052.334000213</v>
      </c>
      <c r="AKA28" s="30">
        <f t="shared" si="286"/>
        <v>12166459.788000003</v>
      </c>
      <c r="AKB28" s="30">
        <f t="shared" si="286"/>
        <v>12828239.970999537</v>
      </c>
      <c r="AKC28" s="30">
        <f t="shared" si="286"/>
        <v>11809844.96700049</v>
      </c>
      <c r="AKD28" s="30">
        <f t="shared" si="286"/>
        <v>10870992.671000246</v>
      </c>
      <c r="AKE28" s="30">
        <f t="shared" si="286"/>
        <v>11029397.084000487</v>
      </c>
      <c r="AKF28" s="30">
        <f t="shared" si="286"/>
        <v>12170427.575998254</v>
      </c>
      <c r="AKG28" s="30">
        <f t="shared" si="286"/>
        <v>9822093.1650014706</v>
      </c>
      <c r="AKH28" s="30">
        <f t="shared" si="286"/>
        <v>13179979.209999979</v>
      </c>
      <c r="AKI28" s="30">
        <f t="shared" si="286"/>
        <v>11865947.136998953</v>
      </c>
      <c r="AKJ28" s="30">
        <f t="shared" si="286"/>
        <v>12481176.482000986</v>
      </c>
      <c r="AKK28" s="30">
        <f t="shared" si="286"/>
        <v>10787704.887000311</v>
      </c>
      <c r="AKL28" s="30">
        <f t="shared" si="286"/>
        <v>11470875.431999173</v>
      </c>
      <c r="AKM28" s="30">
        <f t="shared" si="286"/>
        <v>11671346.055999447</v>
      </c>
      <c r="AKN28" s="127">
        <f t="shared" si="11"/>
        <v>345706362.32300001</v>
      </c>
      <c r="AKO28" s="30">
        <f t="shared" ref="AKO28:ALS28" si="287">AKO12+AKO24-AKO18-AKO26</f>
        <v>5408535.4120000377</v>
      </c>
      <c r="AKP28" s="30">
        <f t="shared" si="287"/>
        <v>11824307.247999955</v>
      </c>
      <c r="AKQ28" s="30">
        <f t="shared" si="287"/>
        <v>11288320.141001437</v>
      </c>
      <c r="AKR28" s="30">
        <f t="shared" si="287"/>
        <v>7841737.040999461</v>
      </c>
      <c r="AKS28" s="30">
        <f t="shared" si="287"/>
        <v>11387414.733998898</v>
      </c>
      <c r="AKT28" s="30">
        <f t="shared" si="287"/>
        <v>10405278.887001524</v>
      </c>
      <c r="AKU28" s="30">
        <f t="shared" si="287"/>
        <v>12462747.784998663</v>
      </c>
      <c r="AKV28" s="30">
        <f t="shared" si="287"/>
        <v>13087648.569000069</v>
      </c>
      <c r="AKW28" s="30">
        <f t="shared" si="287"/>
        <v>11458514.687001009</v>
      </c>
      <c r="AKX28" s="30">
        <f t="shared" si="287"/>
        <v>9749725.2599993162</v>
      </c>
      <c r="AKY28" s="30">
        <f t="shared" si="287"/>
        <v>11090910.789000489</v>
      </c>
      <c r="AKZ28" s="30">
        <f t="shared" si="287"/>
        <v>11379916.827999366</v>
      </c>
      <c r="ALA28" s="30">
        <f t="shared" si="287"/>
        <v>13836650.897001572</v>
      </c>
      <c r="ALB28" s="30">
        <f t="shared" si="287"/>
        <v>14537249.367999468</v>
      </c>
      <c r="ALC28" s="30">
        <f t="shared" si="287"/>
        <v>12947429.962999098</v>
      </c>
      <c r="ALD28" s="30">
        <f t="shared" si="287"/>
        <v>14722975.317000195</v>
      </c>
      <c r="ALE28" s="30">
        <f t="shared" si="287"/>
        <v>13645250.964000538</v>
      </c>
      <c r="ALF28" s="30">
        <f t="shared" si="287"/>
        <v>12652129.466998957</v>
      </c>
      <c r="ALG28" s="30">
        <f t="shared" si="287"/>
        <v>13628865.144000448</v>
      </c>
      <c r="ALH28" s="30">
        <f t="shared" si="287"/>
        <v>12033860.040000191</v>
      </c>
      <c r="ALI28" s="30">
        <f t="shared" si="287"/>
        <v>14249705.793999795</v>
      </c>
      <c r="ALJ28" s="30">
        <f t="shared" si="287"/>
        <v>13443817.346000299</v>
      </c>
      <c r="ALK28" s="30">
        <f t="shared" si="287"/>
        <v>34505703.958998904</v>
      </c>
      <c r="ALL28" s="30">
        <f t="shared" si="287"/>
        <v>13759769.98700176</v>
      </c>
      <c r="ALM28" s="30">
        <f t="shared" si="287"/>
        <v>14265216.612998905</v>
      </c>
      <c r="ALN28" s="30">
        <f t="shared" si="287"/>
        <v>13941578.200999822</v>
      </c>
      <c r="ALO28" s="30">
        <f t="shared" si="287"/>
        <v>14745388.863001397</v>
      </c>
      <c r="ALP28" s="30">
        <f t="shared" si="287"/>
        <v>15121127.357999671</v>
      </c>
      <c r="ALQ28" s="30">
        <f t="shared" si="287"/>
        <v>16446686.630999681</v>
      </c>
      <c r="ALR28" s="30">
        <f t="shared" si="287"/>
        <v>16127204.013999909</v>
      </c>
      <c r="ALS28" s="30">
        <f t="shared" si="287"/>
        <v>13780515.195999589</v>
      </c>
      <c r="ALT28" s="127">
        <f t="shared" si="12"/>
        <v>415776182.50300044</v>
      </c>
      <c r="ALU28" s="30">
        <f t="shared" ref="ALU28:AMX28" si="288">ALU12+ALU24-ALU18-ALU26</f>
        <v>16773882.022999816</v>
      </c>
      <c r="ALV28" s="30">
        <f t="shared" si="288"/>
        <v>13889229.829999752</v>
      </c>
      <c r="ALW28" s="30">
        <f t="shared" si="288"/>
        <v>12989547.988000628</v>
      </c>
      <c r="ALX28" s="30">
        <f t="shared" si="288"/>
        <v>16182927.92699999</v>
      </c>
      <c r="ALY28" s="30">
        <f t="shared" si="288"/>
        <v>9387691.9590007737</v>
      </c>
      <c r="ALZ28" s="30">
        <f t="shared" si="288"/>
        <v>10241571.191999748</v>
      </c>
      <c r="AMA28" s="30">
        <f t="shared" si="288"/>
        <v>15210431.166999992</v>
      </c>
      <c r="AMB28" s="30">
        <f t="shared" si="288"/>
        <v>14537734.906999037</v>
      </c>
      <c r="AMC28" s="30">
        <f t="shared" si="288"/>
        <v>15189775.323000684</v>
      </c>
      <c r="AMD28" s="30">
        <f t="shared" si="288"/>
        <v>15872990.94999937</v>
      </c>
      <c r="AME28" s="30">
        <f t="shared" si="288"/>
        <v>18259604.486000281</v>
      </c>
      <c r="AMF28" s="30">
        <f t="shared" si="288"/>
        <v>15909502.63900011</v>
      </c>
      <c r="AMG28" s="30">
        <f t="shared" si="288"/>
        <v>14877562.900999445</v>
      </c>
      <c r="AMH28" s="30">
        <f t="shared" si="288"/>
        <v>12900686.498000666</v>
      </c>
      <c r="AMI28" s="30">
        <f t="shared" si="288"/>
        <v>15006734.111999959</v>
      </c>
      <c r="AMJ28" s="30">
        <f t="shared" si="288"/>
        <v>15391367.295999244</v>
      </c>
      <c r="AMK28" s="30">
        <f t="shared" si="288"/>
        <v>14833178.245001636</v>
      </c>
      <c r="AML28" s="30">
        <f t="shared" si="288"/>
        <v>16951423.098999474</v>
      </c>
      <c r="AMM28" s="30">
        <f t="shared" si="288"/>
        <v>16430857.990999326</v>
      </c>
      <c r="AMN28" s="30">
        <f t="shared" si="288"/>
        <v>24821476.12300064</v>
      </c>
      <c r="AMO28" s="30">
        <f t="shared" si="288"/>
        <v>29570190.933000203</v>
      </c>
      <c r="AMP28" s="30">
        <f t="shared" si="288"/>
        <v>21968103.540999848</v>
      </c>
      <c r="AMQ28" s="30">
        <f t="shared" si="288"/>
        <v>29781413.559998117</v>
      </c>
      <c r="AMR28" s="30">
        <f t="shared" si="288"/>
        <v>31045586.853001203</v>
      </c>
      <c r="AMS28" s="30">
        <f t="shared" si="288"/>
        <v>32084158.193999942</v>
      </c>
      <c r="AMT28" s="30">
        <f t="shared" si="288"/>
        <v>28068601.741000082</v>
      </c>
      <c r="AMU28" s="30">
        <f t="shared" si="288"/>
        <v>15898824.436000723</v>
      </c>
      <c r="AMV28" s="30">
        <f t="shared" si="288"/>
        <v>15546410.098000329</v>
      </c>
      <c r="AMW28" s="30">
        <f t="shared" si="288"/>
        <v>27043109.360999927</v>
      </c>
      <c r="AMX28" s="30">
        <f t="shared" si="288"/>
        <v>22711610.677999295</v>
      </c>
      <c r="AMY28" s="127">
        <f t="shared" si="13"/>
        <v>559376186.05100024</v>
      </c>
      <c r="AMZ28" s="30">
        <f t="shared" ref="AMZ28:AOC28" si="289">AMZ12+AMZ24-AMZ18-AMZ26</f>
        <v>14248587.819000147</v>
      </c>
      <c r="ANA28" s="30">
        <f t="shared" si="289"/>
        <v>14600137.349999994</v>
      </c>
      <c r="ANB28" s="30">
        <f t="shared" si="289"/>
        <v>12411650.995999277</v>
      </c>
      <c r="ANC28" s="30">
        <f t="shared" si="289"/>
        <v>13909591.228999704</v>
      </c>
      <c r="AND28" s="30">
        <f t="shared" si="289"/>
        <v>13822524.37100083</v>
      </c>
      <c r="ANE28" s="30">
        <f t="shared" si="289"/>
        <v>15910847.00099986</v>
      </c>
      <c r="ANF28" s="30">
        <f t="shared" si="289"/>
        <v>12175760.477000065</v>
      </c>
      <c r="ANG28" s="30">
        <f t="shared" si="289"/>
        <v>15276671.411000095</v>
      </c>
      <c r="ANH28" s="30">
        <f t="shared" si="289"/>
        <v>16677665.489999585</v>
      </c>
      <c r="ANI28" s="30">
        <f t="shared" si="289"/>
        <v>14368111.831000868</v>
      </c>
      <c r="ANJ28" s="30">
        <f t="shared" si="289"/>
        <v>15012729.302999893</v>
      </c>
      <c r="ANK28" s="30">
        <f t="shared" si="289"/>
        <v>12484273.72600092</v>
      </c>
      <c r="ANL28" s="30">
        <f t="shared" si="289"/>
        <v>15733392.618998012</v>
      </c>
      <c r="ANM28" s="30">
        <f t="shared" si="289"/>
        <v>16842854.80300222</v>
      </c>
      <c r="ANN28" s="30">
        <f t="shared" si="289"/>
        <v>18048886.925999023</v>
      </c>
      <c r="ANO28" s="30">
        <f t="shared" si="289"/>
        <v>14186728.503000289</v>
      </c>
      <c r="ANP28" s="30">
        <f t="shared" si="289"/>
        <v>10110140.849999115</v>
      </c>
      <c r="ANQ28" s="30">
        <f t="shared" si="289"/>
        <v>12576204.099999733</v>
      </c>
      <c r="ANR28" s="30">
        <f t="shared" si="289"/>
        <v>11400080.050000563</v>
      </c>
      <c r="ANS28" s="30">
        <f t="shared" si="289"/>
        <v>12019070.249998737</v>
      </c>
      <c r="ANT28" s="30">
        <f t="shared" si="289"/>
        <v>10627670.950001869</v>
      </c>
      <c r="ANU28" s="30">
        <f t="shared" si="289"/>
        <v>16930696.599998727</v>
      </c>
      <c r="ANV28" s="30">
        <f t="shared" si="289"/>
        <v>13451990.073999789</v>
      </c>
      <c r="ANW28" s="30">
        <f t="shared" si="289"/>
        <v>12485267.382000498</v>
      </c>
      <c r="ANX28" s="30">
        <f t="shared" si="289"/>
        <v>13577249.405001689</v>
      </c>
      <c r="ANY28" s="30">
        <f t="shared" si="289"/>
        <v>16583676.577997983</v>
      </c>
      <c r="ANZ28" s="30">
        <f t="shared" si="289"/>
        <v>12629506.832000965</v>
      </c>
      <c r="AOA28" s="30">
        <f t="shared" si="289"/>
        <v>11978192.708998943</v>
      </c>
      <c r="AOB28" s="30">
        <f t="shared" si="289"/>
        <v>15762749.240001485</v>
      </c>
      <c r="AOC28" s="30">
        <f t="shared" si="289"/>
        <v>13826914.209999528</v>
      </c>
    </row>
    <row r="29" spans="1:1069" x14ac:dyDescent="0.2">
      <c r="A29" s="77" t="s">
        <v>1523</v>
      </c>
      <c r="B29" s="77"/>
      <c r="C29" s="12"/>
      <c r="D29" s="12"/>
      <c r="E29" s="12"/>
      <c r="F29" s="12"/>
      <c r="G29" s="12">
        <v>14175000</v>
      </c>
      <c r="H29" s="12">
        <v>12440000</v>
      </c>
      <c r="I29" s="12">
        <v>13890000</v>
      </c>
      <c r="J29" s="12">
        <v>10970000</v>
      </c>
      <c r="K29" s="12">
        <v>8865000</v>
      </c>
      <c r="L29" s="12">
        <v>12139000</v>
      </c>
      <c r="M29" s="12">
        <v>11308000</v>
      </c>
      <c r="N29" s="12">
        <v>12997000</v>
      </c>
      <c r="O29" s="12">
        <v>12787000</v>
      </c>
      <c r="P29" s="12">
        <v>14044000</v>
      </c>
      <c r="Q29" s="12">
        <v>11548000</v>
      </c>
      <c r="R29" s="12">
        <v>13030000</v>
      </c>
      <c r="S29" s="12">
        <v>12646000</v>
      </c>
      <c r="T29" s="12">
        <v>14458000</v>
      </c>
      <c r="U29" s="12">
        <v>11715000</v>
      </c>
      <c r="V29" s="12">
        <v>12600000</v>
      </c>
      <c r="W29" s="12">
        <v>10272000</v>
      </c>
      <c r="X29" s="12">
        <v>12062000</v>
      </c>
      <c r="Y29" s="12">
        <v>10314000</v>
      </c>
      <c r="Z29" s="12">
        <v>11277000</v>
      </c>
      <c r="AA29" s="12">
        <v>14775000</v>
      </c>
      <c r="AB29" s="12">
        <v>16299000</v>
      </c>
      <c r="AC29" s="12">
        <v>11350000</v>
      </c>
      <c r="AD29" s="12">
        <v>12866000</v>
      </c>
      <c r="AE29" s="12">
        <v>13061000</v>
      </c>
      <c r="AF29" s="12">
        <v>14231000</v>
      </c>
      <c r="AG29" s="12">
        <v>15245000</v>
      </c>
      <c r="AH29" s="94">
        <f>SUM(C29:AG29)</f>
        <v>341364000</v>
      </c>
      <c r="AI29" s="12">
        <v>17181000</v>
      </c>
      <c r="AJ29" s="12">
        <v>17509000</v>
      </c>
      <c r="AK29" s="12">
        <v>15246000</v>
      </c>
      <c r="AL29" s="12">
        <v>12739000</v>
      </c>
      <c r="AM29" s="12">
        <v>15447000</v>
      </c>
      <c r="AN29" s="12">
        <v>8783000</v>
      </c>
      <c r="AO29" s="12">
        <v>16467000</v>
      </c>
      <c r="AP29" s="12">
        <v>19822000</v>
      </c>
      <c r="AQ29" s="12">
        <v>15782000</v>
      </c>
      <c r="AR29" s="12">
        <v>13794000</v>
      </c>
      <c r="AS29" s="12">
        <v>14977000</v>
      </c>
      <c r="AT29" s="12">
        <v>12993000</v>
      </c>
      <c r="AU29" s="12">
        <v>12466000</v>
      </c>
      <c r="AV29" s="12">
        <v>12198000</v>
      </c>
      <c r="AW29" s="12">
        <v>13081000</v>
      </c>
      <c r="AX29" s="12">
        <v>13507000</v>
      </c>
      <c r="AY29" s="12">
        <v>12821000</v>
      </c>
      <c r="AZ29" s="12">
        <v>13420000</v>
      </c>
      <c r="BA29" s="12">
        <v>11922000</v>
      </c>
      <c r="BB29" s="12">
        <v>12286000</v>
      </c>
      <c r="BC29" s="12">
        <v>12948000</v>
      </c>
      <c r="BD29" s="12">
        <v>15147000</v>
      </c>
      <c r="BE29" s="12">
        <v>15345000</v>
      </c>
      <c r="BF29" s="12">
        <v>12493000</v>
      </c>
      <c r="BG29" s="12">
        <v>13342000</v>
      </c>
      <c r="BH29" s="12">
        <v>12456000</v>
      </c>
      <c r="BI29" s="12">
        <v>13911000</v>
      </c>
      <c r="BJ29" s="12">
        <v>12472000</v>
      </c>
      <c r="BK29" s="12">
        <v>13400000</v>
      </c>
      <c r="BL29" s="12">
        <v>13813000</v>
      </c>
      <c r="BM29" s="97">
        <f t="shared" si="247"/>
        <v>417768000</v>
      </c>
      <c r="BN29" s="12">
        <v>12117000</v>
      </c>
      <c r="BO29" s="12">
        <v>12873000</v>
      </c>
      <c r="BP29" s="12">
        <v>9297000</v>
      </c>
      <c r="BQ29" s="12">
        <v>13199000</v>
      </c>
      <c r="BR29" s="12">
        <v>12883000</v>
      </c>
      <c r="BS29" s="12">
        <v>14132000</v>
      </c>
      <c r="BT29" s="12">
        <v>11821000</v>
      </c>
      <c r="BU29" s="12">
        <v>12779000</v>
      </c>
      <c r="BV29" s="12">
        <v>11734000</v>
      </c>
      <c r="BW29" s="12">
        <v>11325000</v>
      </c>
      <c r="BX29" s="12">
        <v>11616000</v>
      </c>
      <c r="BY29" s="12">
        <v>10980000</v>
      </c>
      <c r="BZ29" s="12">
        <v>12978000</v>
      </c>
      <c r="CA29" s="12">
        <v>12025000</v>
      </c>
      <c r="CB29" s="12">
        <v>11642000</v>
      </c>
      <c r="CC29" s="12">
        <v>12116000</v>
      </c>
      <c r="CD29" s="12">
        <v>13826000</v>
      </c>
      <c r="CE29" s="12">
        <v>10493000</v>
      </c>
      <c r="CF29" s="12">
        <v>10299000</v>
      </c>
      <c r="CG29" s="12">
        <v>12586000</v>
      </c>
      <c r="CH29" s="12">
        <v>12720000</v>
      </c>
      <c r="CI29" s="12">
        <v>12908000</v>
      </c>
      <c r="CJ29" s="12">
        <v>12081000</v>
      </c>
      <c r="CK29" s="12">
        <v>13196000</v>
      </c>
      <c r="CL29" s="12">
        <v>9913000</v>
      </c>
      <c r="CM29" s="12">
        <v>10698000</v>
      </c>
      <c r="CN29" s="12">
        <v>11301000</v>
      </c>
      <c r="CO29" s="12">
        <v>14194000</v>
      </c>
      <c r="CP29" s="12">
        <v>12437000</v>
      </c>
      <c r="CQ29" s="12">
        <v>12291000</v>
      </c>
      <c r="CR29" s="12">
        <v>12167000</v>
      </c>
      <c r="CS29" s="111">
        <f t="shared" si="208"/>
        <v>374627000</v>
      </c>
      <c r="CT29" s="12">
        <v>12855000</v>
      </c>
      <c r="CU29" s="12">
        <v>10748000</v>
      </c>
      <c r="CV29" s="12">
        <v>10833000</v>
      </c>
      <c r="CW29" s="12">
        <v>18666000</v>
      </c>
      <c r="CX29" s="12">
        <v>14386000</v>
      </c>
      <c r="CY29" s="12">
        <v>11913000</v>
      </c>
      <c r="CZ29" s="12">
        <v>11275000</v>
      </c>
      <c r="DA29" s="12">
        <v>14633000</v>
      </c>
      <c r="DB29" s="12">
        <v>12327000</v>
      </c>
      <c r="DC29" s="12">
        <v>13583000</v>
      </c>
      <c r="DD29" s="12">
        <v>15452000</v>
      </c>
      <c r="DE29" s="12">
        <v>11696000</v>
      </c>
      <c r="DF29" s="12">
        <v>9439000</v>
      </c>
      <c r="DG29" s="12">
        <v>13029000</v>
      </c>
      <c r="DH29" s="12">
        <v>10375000</v>
      </c>
      <c r="DI29" s="12">
        <v>8679000</v>
      </c>
      <c r="DJ29" s="12">
        <v>9956000</v>
      </c>
      <c r="DK29" s="12">
        <v>13153000</v>
      </c>
      <c r="DL29" s="12">
        <v>9538000</v>
      </c>
      <c r="DM29" s="12">
        <v>12050000</v>
      </c>
      <c r="DN29" s="12">
        <v>9748000</v>
      </c>
      <c r="DO29" s="12">
        <v>12075000</v>
      </c>
      <c r="DP29" s="12">
        <v>10954000</v>
      </c>
      <c r="DQ29" s="12">
        <v>13235000</v>
      </c>
      <c r="DR29" s="12">
        <v>12484000</v>
      </c>
      <c r="DS29" s="12">
        <v>11834000</v>
      </c>
      <c r="DT29" s="12">
        <v>7756000</v>
      </c>
      <c r="DU29" s="12">
        <v>10985000</v>
      </c>
      <c r="DV29" s="12">
        <v>11877000</v>
      </c>
      <c r="DW29" s="12">
        <v>12246000</v>
      </c>
      <c r="DX29" s="119">
        <f>SUM(CT29:DW29)</f>
        <v>357780000</v>
      </c>
      <c r="DY29" s="12">
        <v>11460000</v>
      </c>
      <c r="DZ29" s="12">
        <v>11577000</v>
      </c>
      <c r="EA29" s="12">
        <v>10711000</v>
      </c>
      <c r="EB29" s="12">
        <v>9586000</v>
      </c>
      <c r="EC29" s="12">
        <v>10322000</v>
      </c>
      <c r="ED29" s="12">
        <v>12058000</v>
      </c>
      <c r="EE29" s="12">
        <v>12958000</v>
      </c>
      <c r="EF29" s="12">
        <v>13866000</v>
      </c>
      <c r="EG29" s="12">
        <v>15017000</v>
      </c>
      <c r="EH29" s="12">
        <v>12583000</v>
      </c>
      <c r="EI29" s="12">
        <v>11145000</v>
      </c>
      <c r="EJ29" s="12">
        <v>13158000</v>
      </c>
      <c r="EK29" s="12">
        <v>11877000</v>
      </c>
      <c r="EL29" s="12">
        <v>14577000</v>
      </c>
      <c r="EM29" s="12">
        <v>14327000</v>
      </c>
      <c r="EN29" s="12">
        <v>15057000</v>
      </c>
      <c r="EO29" s="12">
        <v>13543000</v>
      </c>
      <c r="EP29" s="12">
        <v>14814000</v>
      </c>
      <c r="EQ29" s="12">
        <v>12151000</v>
      </c>
      <c r="ER29" s="12">
        <v>15818000</v>
      </c>
      <c r="ES29" s="12">
        <v>16039000</v>
      </c>
      <c r="ET29" s="12">
        <v>20165000</v>
      </c>
      <c r="EU29" s="12">
        <v>21037000</v>
      </c>
      <c r="EV29" s="12">
        <v>17008000</v>
      </c>
      <c r="EW29" s="12">
        <v>9268000</v>
      </c>
      <c r="EX29" s="12">
        <v>10733000</v>
      </c>
      <c r="EY29" s="12">
        <v>11797000</v>
      </c>
      <c r="EZ29" s="12">
        <v>10595000</v>
      </c>
      <c r="FA29" s="12">
        <v>11609000</v>
      </c>
      <c r="FB29" s="12">
        <v>13000000</v>
      </c>
      <c r="FC29" s="12">
        <v>13170000</v>
      </c>
      <c r="FD29" s="128">
        <f>SUM(DY29:FC29)</f>
        <v>411026000</v>
      </c>
      <c r="FE29" s="12">
        <v>12062000</v>
      </c>
      <c r="FF29" s="12">
        <v>11292000</v>
      </c>
      <c r="FG29" s="12">
        <v>10814000</v>
      </c>
      <c r="FH29" s="12">
        <v>11507000</v>
      </c>
      <c r="FI29" s="12">
        <v>14246000</v>
      </c>
      <c r="FJ29" s="12">
        <v>13429000</v>
      </c>
      <c r="FK29" s="12">
        <v>12405000</v>
      </c>
      <c r="FL29" s="12">
        <v>12100000</v>
      </c>
      <c r="FM29" s="12">
        <v>13632000</v>
      </c>
      <c r="FN29" s="12">
        <v>10089000</v>
      </c>
      <c r="FO29" s="12">
        <v>11681000</v>
      </c>
      <c r="FP29" s="12">
        <v>13195000</v>
      </c>
      <c r="FQ29" s="12">
        <v>12793000</v>
      </c>
      <c r="FR29" s="12">
        <v>12291000</v>
      </c>
      <c r="FS29" s="12">
        <v>11280000</v>
      </c>
      <c r="FT29" s="12">
        <v>13145000</v>
      </c>
      <c r="FU29" s="12">
        <v>9949000</v>
      </c>
      <c r="FV29" s="12">
        <v>10830000</v>
      </c>
      <c r="FW29" s="12">
        <v>14911000</v>
      </c>
      <c r="FX29" s="12">
        <v>15756000</v>
      </c>
      <c r="FY29" s="12">
        <v>12178000</v>
      </c>
      <c r="FZ29" s="12">
        <v>11773000</v>
      </c>
      <c r="GA29" s="12">
        <v>12320000</v>
      </c>
      <c r="GB29" s="12">
        <v>10643000</v>
      </c>
      <c r="GC29" s="12">
        <v>13362000</v>
      </c>
      <c r="GD29" s="12">
        <v>12570000</v>
      </c>
      <c r="GE29" s="12">
        <v>11807000</v>
      </c>
      <c r="GF29" s="12">
        <v>11510000</v>
      </c>
      <c r="GG29" s="12">
        <v>14436000</v>
      </c>
      <c r="GH29" s="12">
        <v>12821000</v>
      </c>
      <c r="GI29" s="12">
        <v>10395000</v>
      </c>
      <c r="GJ29" s="127">
        <f t="shared" si="99"/>
        <v>381222000</v>
      </c>
      <c r="GK29" s="12">
        <v>11409000</v>
      </c>
      <c r="GL29" s="12">
        <v>12982000</v>
      </c>
      <c r="GM29" s="12">
        <v>16727000</v>
      </c>
      <c r="GN29" s="12">
        <v>13751000</v>
      </c>
      <c r="GO29" s="12">
        <v>10733000</v>
      </c>
      <c r="GP29" s="12">
        <v>11424000</v>
      </c>
      <c r="GQ29" s="12">
        <v>13808000</v>
      </c>
      <c r="GR29" s="12">
        <v>12252000</v>
      </c>
      <c r="GS29" s="12">
        <v>11992000</v>
      </c>
      <c r="GT29" s="12">
        <v>12002000</v>
      </c>
      <c r="GU29" s="12">
        <v>11556000</v>
      </c>
      <c r="GV29" s="12">
        <v>13642000</v>
      </c>
      <c r="GW29" s="12">
        <v>13487000</v>
      </c>
      <c r="GX29" s="12">
        <v>11699000</v>
      </c>
      <c r="GY29" s="12">
        <v>11277000</v>
      </c>
      <c r="GZ29" s="12">
        <v>13081000</v>
      </c>
      <c r="HA29" s="12">
        <v>12533000</v>
      </c>
      <c r="HB29" s="12">
        <v>11555000</v>
      </c>
      <c r="HC29" s="12">
        <v>12074000</v>
      </c>
      <c r="HD29" s="12">
        <v>10799000</v>
      </c>
      <c r="HE29" s="12">
        <v>11511000</v>
      </c>
      <c r="HF29" s="12">
        <v>13270000</v>
      </c>
      <c r="HG29" s="12">
        <v>11616000</v>
      </c>
      <c r="HH29" s="12">
        <v>13705000</v>
      </c>
      <c r="HI29" s="12">
        <v>10618000</v>
      </c>
      <c r="HJ29" s="12">
        <v>13208000</v>
      </c>
      <c r="HK29" s="12">
        <v>12139000</v>
      </c>
      <c r="HL29" s="12">
        <v>9754000</v>
      </c>
      <c r="HM29" s="12">
        <v>12642000</v>
      </c>
      <c r="HN29" s="127">
        <f t="shared" si="253"/>
        <v>357246000</v>
      </c>
      <c r="HO29" s="12">
        <v>12764000</v>
      </c>
      <c r="HP29" s="12">
        <v>14724000</v>
      </c>
      <c r="HQ29" s="12">
        <v>14219000</v>
      </c>
      <c r="HR29" s="12">
        <v>10200000</v>
      </c>
      <c r="HS29" s="12">
        <v>11437000</v>
      </c>
      <c r="HT29" s="12">
        <v>14282000</v>
      </c>
      <c r="HU29" s="12">
        <v>15205000</v>
      </c>
      <c r="HV29" s="12">
        <v>12081000</v>
      </c>
      <c r="HW29" s="12">
        <v>12584000</v>
      </c>
      <c r="HX29" s="12">
        <v>12817000</v>
      </c>
      <c r="HY29" s="12">
        <v>13368000</v>
      </c>
      <c r="HZ29" s="12">
        <v>12583000</v>
      </c>
      <c r="IA29" s="12">
        <v>10460000</v>
      </c>
      <c r="IB29" s="12">
        <v>10967000</v>
      </c>
      <c r="IC29" s="12">
        <v>11681000</v>
      </c>
      <c r="ID29" s="12">
        <v>11829000</v>
      </c>
      <c r="IE29" s="12">
        <v>12195000</v>
      </c>
      <c r="IF29" s="12">
        <v>13583000</v>
      </c>
      <c r="IG29" s="12">
        <v>11495000</v>
      </c>
      <c r="IH29" s="12">
        <v>11369000</v>
      </c>
      <c r="II29" s="12">
        <v>10694000</v>
      </c>
      <c r="IJ29" s="12">
        <v>13436000</v>
      </c>
      <c r="IK29" s="12">
        <v>14183000</v>
      </c>
      <c r="IL29" s="12">
        <v>11260000</v>
      </c>
      <c r="IM29" s="12">
        <v>11737000</v>
      </c>
      <c r="IN29" s="12">
        <v>11561000</v>
      </c>
      <c r="IO29" s="12">
        <v>13263000</v>
      </c>
      <c r="IP29" s="12">
        <v>12722000</v>
      </c>
      <c r="IQ29" s="12">
        <v>13075000</v>
      </c>
      <c r="IR29" s="12">
        <v>11447000</v>
      </c>
      <c r="IS29" s="12">
        <v>9604000</v>
      </c>
      <c r="IT29" s="127">
        <f t="shared" si="22"/>
        <v>382825000</v>
      </c>
      <c r="IU29" s="12">
        <v>9934000</v>
      </c>
      <c r="IV29" s="12">
        <v>11323000</v>
      </c>
      <c r="IW29" s="12">
        <v>10298000</v>
      </c>
      <c r="IX29" s="12">
        <v>10701000</v>
      </c>
      <c r="IY29" s="12">
        <v>12263000</v>
      </c>
      <c r="IZ29" s="12">
        <v>11396000</v>
      </c>
      <c r="JA29" s="12">
        <v>9705000</v>
      </c>
      <c r="JB29" s="12">
        <v>11507000</v>
      </c>
      <c r="JC29" s="12">
        <v>10559000</v>
      </c>
      <c r="JD29" s="12">
        <v>12979000</v>
      </c>
      <c r="JE29" s="12">
        <v>10677000</v>
      </c>
      <c r="JF29" s="12">
        <v>11433000</v>
      </c>
      <c r="JG29" s="12">
        <v>9800000</v>
      </c>
      <c r="JH29" s="12">
        <v>8648000</v>
      </c>
      <c r="JI29" s="12">
        <v>13086000</v>
      </c>
      <c r="JJ29" s="12">
        <v>10986000</v>
      </c>
      <c r="JK29" s="12">
        <v>10718000</v>
      </c>
      <c r="JL29" s="12">
        <v>10860000</v>
      </c>
      <c r="JM29" s="12">
        <v>11476000</v>
      </c>
      <c r="JN29" s="12">
        <v>12436000</v>
      </c>
      <c r="JO29" s="12">
        <v>8859000</v>
      </c>
      <c r="JP29" s="12">
        <v>8487000</v>
      </c>
      <c r="JQ29" s="12">
        <v>10169000</v>
      </c>
      <c r="JR29" s="12">
        <v>11127000</v>
      </c>
      <c r="JS29" s="12">
        <v>10642000</v>
      </c>
      <c r="JT29" s="12">
        <v>12208000</v>
      </c>
      <c r="JU29" s="12">
        <v>12103000</v>
      </c>
      <c r="JV29" s="12">
        <v>11764000</v>
      </c>
      <c r="JW29" s="12">
        <v>9113000</v>
      </c>
      <c r="JX29" s="12">
        <v>11153000</v>
      </c>
      <c r="JY29" s="127">
        <f t="shared" si="58"/>
        <v>326410000</v>
      </c>
      <c r="JZ29" s="12">
        <v>9995000</v>
      </c>
      <c r="KA29" s="12">
        <v>11392000</v>
      </c>
      <c r="KB29" s="12">
        <v>9919000</v>
      </c>
      <c r="KC29" s="12">
        <v>11031000</v>
      </c>
      <c r="KD29" s="12">
        <v>12229000</v>
      </c>
      <c r="KE29" s="12">
        <v>10716000</v>
      </c>
      <c r="KF29" s="12">
        <v>8765000</v>
      </c>
      <c r="KG29" s="12">
        <v>10572000</v>
      </c>
      <c r="KH29" s="12">
        <v>12319000</v>
      </c>
      <c r="KI29" s="12">
        <v>12160000</v>
      </c>
      <c r="KJ29" s="12">
        <v>13769000</v>
      </c>
      <c r="KK29" s="12">
        <v>11632000</v>
      </c>
      <c r="KL29" s="12">
        <v>10496000</v>
      </c>
      <c r="KM29" s="12">
        <v>10789000</v>
      </c>
      <c r="KN29" s="12">
        <v>9836000</v>
      </c>
      <c r="KO29" s="12">
        <v>8588000</v>
      </c>
      <c r="KP29" s="12">
        <v>13480000</v>
      </c>
      <c r="KQ29" s="12">
        <v>12056000</v>
      </c>
      <c r="KR29" s="12">
        <v>11454000</v>
      </c>
      <c r="KS29" s="12">
        <v>12516000</v>
      </c>
      <c r="KT29" s="12">
        <v>10223000</v>
      </c>
      <c r="KU29" s="12">
        <v>10259000</v>
      </c>
      <c r="KV29" s="12">
        <v>13700000</v>
      </c>
      <c r="KW29" s="12">
        <v>13176000</v>
      </c>
      <c r="KX29" s="12">
        <v>11690000</v>
      </c>
      <c r="KY29" s="12">
        <v>11995000</v>
      </c>
      <c r="KZ29" s="12">
        <v>11089000</v>
      </c>
      <c r="LA29" s="12">
        <v>12133000</v>
      </c>
      <c r="LB29" s="12">
        <v>12260000</v>
      </c>
      <c r="LC29" s="12">
        <v>9658000</v>
      </c>
      <c r="LD29" s="12">
        <v>14879000</v>
      </c>
      <c r="LE29" s="127">
        <f t="shared" si="60"/>
        <v>344781000</v>
      </c>
      <c r="LF29" s="12">
        <v>13748000</v>
      </c>
      <c r="LG29" s="12">
        <v>11843000</v>
      </c>
      <c r="LH29" s="12">
        <v>13035000</v>
      </c>
      <c r="LI29" s="12">
        <v>13453000</v>
      </c>
      <c r="LJ29" s="12">
        <v>12657000</v>
      </c>
      <c r="LK29" s="12">
        <v>12168000</v>
      </c>
      <c r="LL29" s="12">
        <v>14268000</v>
      </c>
      <c r="LM29" s="12">
        <v>15733000</v>
      </c>
      <c r="LN29" s="12">
        <v>13556000</v>
      </c>
      <c r="LO29" s="12">
        <v>14297000</v>
      </c>
      <c r="LP29" s="12">
        <v>12044000</v>
      </c>
      <c r="LQ29" s="12">
        <v>12840000</v>
      </c>
      <c r="LR29" s="12">
        <v>13365000</v>
      </c>
      <c r="LS29" s="12">
        <v>14851000</v>
      </c>
      <c r="LT29" s="12">
        <v>14552000</v>
      </c>
      <c r="LU29" s="12">
        <v>13255000</v>
      </c>
      <c r="LV29" s="12">
        <v>11001000</v>
      </c>
      <c r="LW29" s="12">
        <v>10754000</v>
      </c>
      <c r="LX29" s="12">
        <v>11929000</v>
      </c>
      <c r="LY29" s="12">
        <v>13301000</v>
      </c>
      <c r="LZ29" s="12">
        <v>11160000</v>
      </c>
      <c r="MA29" s="12">
        <v>13741000</v>
      </c>
      <c r="MB29" s="12">
        <v>13008000</v>
      </c>
      <c r="MC29" s="12">
        <v>13331000</v>
      </c>
      <c r="MD29" s="12">
        <v>12894000</v>
      </c>
      <c r="ME29" s="12">
        <v>12041000</v>
      </c>
      <c r="MF29" s="12">
        <v>12715000</v>
      </c>
      <c r="MG29" s="12">
        <v>10515000</v>
      </c>
      <c r="MH29" s="12">
        <v>13633000</v>
      </c>
      <c r="MI29" s="12">
        <v>12382000</v>
      </c>
      <c r="MJ29" s="127">
        <f t="shared" si="62"/>
        <v>388070000</v>
      </c>
      <c r="MK29" s="12">
        <v>12905000</v>
      </c>
      <c r="ML29" s="12">
        <v>11384000</v>
      </c>
      <c r="MM29" s="12">
        <v>8244000</v>
      </c>
      <c r="MN29" s="12">
        <v>12700000</v>
      </c>
      <c r="MO29" s="12">
        <v>12825000</v>
      </c>
      <c r="MP29" s="12">
        <v>11935000</v>
      </c>
      <c r="MQ29" s="12">
        <v>13984000</v>
      </c>
      <c r="MR29" s="12">
        <v>11184000</v>
      </c>
      <c r="MS29" s="12">
        <v>10843000</v>
      </c>
      <c r="MT29" s="12">
        <v>8055000</v>
      </c>
      <c r="MU29" s="12">
        <v>10519000</v>
      </c>
      <c r="MV29" s="12">
        <v>10877000</v>
      </c>
      <c r="MW29" s="12">
        <v>13624000</v>
      </c>
      <c r="MX29" s="12">
        <v>10356000</v>
      </c>
      <c r="MY29" s="12">
        <v>10715000</v>
      </c>
      <c r="MZ29" s="12">
        <v>12695000</v>
      </c>
      <c r="NA29" s="12">
        <v>11678000</v>
      </c>
      <c r="NB29" s="12">
        <v>12688000</v>
      </c>
      <c r="NC29" s="12">
        <v>12543000</v>
      </c>
      <c r="ND29" s="12">
        <v>13315000</v>
      </c>
      <c r="NE29" s="12">
        <v>8806000</v>
      </c>
      <c r="NF29" s="12">
        <v>10136000</v>
      </c>
      <c r="NG29" s="12">
        <v>9113000</v>
      </c>
      <c r="NH29" s="12">
        <v>10128000</v>
      </c>
      <c r="NI29" s="12">
        <v>11446000</v>
      </c>
      <c r="NJ29" s="12">
        <v>11864000</v>
      </c>
      <c r="NK29" s="12">
        <v>12735000</v>
      </c>
      <c r="NL29" s="12">
        <v>11076000</v>
      </c>
      <c r="NM29" s="12">
        <v>11808000</v>
      </c>
      <c r="NN29" s="12">
        <v>11037000</v>
      </c>
      <c r="NO29" s="12">
        <v>9399000</v>
      </c>
      <c r="NP29" s="127">
        <f t="shared" si="64"/>
        <v>337712000</v>
      </c>
      <c r="NQ29" s="12">
        <v>11444000</v>
      </c>
      <c r="NR29" s="12">
        <v>8416000</v>
      </c>
      <c r="NS29" s="12">
        <v>10327000</v>
      </c>
      <c r="NT29" s="12">
        <v>9624000</v>
      </c>
      <c r="NU29" s="12">
        <v>11128000</v>
      </c>
      <c r="NV29" s="12">
        <v>13273000</v>
      </c>
      <c r="NW29" s="12">
        <v>11357000</v>
      </c>
      <c r="NX29" s="12">
        <v>11293000</v>
      </c>
      <c r="NY29" s="12">
        <v>11262000</v>
      </c>
      <c r="NZ29" s="12">
        <v>12364000</v>
      </c>
      <c r="OA29" s="12">
        <v>11028000</v>
      </c>
      <c r="OB29" s="12">
        <v>9837000</v>
      </c>
      <c r="OC29" s="12">
        <v>12711000</v>
      </c>
      <c r="OD29" s="12">
        <v>12147000</v>
      </c>
      <c r="OE29" s="12">
        <v>12256000</v>
      </c>
      <c r="OF29" s="12">
        <v>11085000</v>
      </c>
      <c r="OG29" s="12">
        <v>12050000</v>
      </c>
      <c r="OH29" s="12">
        <v>12219000</v>
      </c>
      <c r="OI29" s="12">
        <v>13874000</v>
      </c>
      <c r="OJ29" s="12">
        <v>12145000</v>
      </c>
      <c r="OK29" s="12">
        <v>11019000</v>
      </c>
      <c r="OL29" s="12">
        <v>14539000</v>
      </c>
      <c r="OM29" s="12">
        <v>13768000</v>
      </c>
      <c r="ON29" s="12">
        <v>13888000</v>
      </c>
      <c r="OO29" s="12">
        <v>10316000</v>
      </c>
      <c r="OP29" s="12">
        <v>10535000</v>
      </c>
      <c r="OQ29" s="12">
        <v>11146000</v>
      </c>
      <c r="OR29" s="12">
        <v>11583000</v>
      </c>
      <c r="OS29" s="12">
        <v>12308000</v>
      </c>
      <c r="OT29" s="12">
        <v>12863000</v>
      </c>
      <c r="OU29" s="12">
        <v>13900000</v>
      </c>
      <c r="OV29" s="127">
        <f t="shared" si="66"/>
        <v>354261000</v>
      </c>
      <c r="OW29" s="12">
        <v>11205000</v>
      </c>
      <c r="OX29" s="12">
        <v>11624000</v>
      </c>
      <c r="OY29" s="12">
        <v>11297000</v>
      </c>
      <c r="OZ29" s="12">
        <v>10076000</v>
      </c>
      <c r="PA29" s="12">
        <v>12175000</v>
      </c>
      <c r="PB29" s="12">
        <v>12658000</v>
      </c>
      <c r="PC29" s="12">
        <v>13787000</v>
      </c>
      <c r="PD29" s="12">
        <v>11475000</v>
      </c>
      <c r="PE29" s="12">
        <v>10800000</v>
      </c>
      <c r="PF29" s="12">
        <v>10283000</v>
      </c>
      <c r="PG29" s="12">
        <v>10529000</v>
      </c>
      <c r="PH29" s="12">
        <v>10719000</v>
      </c>
      <c r="PI29" s="12">
        <v>12943000</v>
      </c>
      <c r="PJ29" s="12">
        <v>14227000</v>
      </c>
      <c r="PK29" s="12">
        <v>10082000</v>
      </c>
      <c r="PL29" s="12">
        <v>12251000</v>
      </c>
      <c r="PM29" s="12">
        <v>11483000</v>
      </c>
      <c r="PN29" s="12">
        <v>8940000</v>
      </c>
      <c r="PO29" s="12">
        <v>11760000</v>
      </c>
      <c r="PP29" s="12">
        <v>9422000</v>
      </c>
      <c r="PQ29" s="12">
        <v>10401000</v>
      </c>
      <c r="PR29" s="12">
        <v>8844000</v>
      </c>
      <c r="PS29" s="12">
        <v>11924000</v>
      </c>
      <c r="PT29" s="12">
        <v>10073000</v>
      </c>
      <c r="PU29" s="12">
        <v>10037000</v>
      </c>
      <c r="PV29" s="12">
        <v>9293000</v>
      </c>
      <c r="PW29" s="12">
        <v>11840000</v>
      </c>
      <c r="PX29" s="12">
        <v>11144000</v>
      </c>
      <c r="PY29" s="12">
        <v>6018000</v>
      </c>
      <c r="PZ29" s="12">
        <v>10749000</v>
      </c>
      <c r="QA29" s="127">
        <f t="shared" si="68"/>
        <v>328059000</v>
      </c>
      <c r="QB29" s="12">
        <v>11611000</v>
      </c>
      <c r="QC29" s="12">
        <v>7347000</v>
      </c>
      <c r="QD29" s="12">
        <v>8894000</v>
      </c>
      <c r="QE29" s="12">
        <v>12212000</v>
      </c>
      <c r="QF29" s="12">
        <v>13196000</v>
      </c>
      <c r="QG29" s="12">
        <v>8730000</v>
      </c>
      <c r="QH29" s="12">
        <v>12312000</v>
      </c>
      <c r="QI29" s="12">
        <v>11884000</v>
      </c>
      <c r="QJ29" s="12">
        <v>11884000</v>
      </c>
      <c r="QK29" s="12">
        <v>11570000</v>
      </c>
      <c r="QL29" s="12">
        <v>12834000</v>
      </c>
      <c r="QM29" s="12">
        <v>12745000</v>
      </c>
      <c r="QN29" s="12">
        <v>10369000</v>
      </c>
      <c r="QO29" s="12">
        <v>12220000</v>
      </c>
      <c r="QP29" s="12">
        <v>11432000</v>
      </c>
      <c r="QQ29" s="12">
        <v>7339000</v>
      </c>
      <c r="QR29" s="12">
        <v>10208000</v>
      </c>
      <c r="QS29" s="12">
        <v>15278000</v>
      </c>
      <c r="QT29" s="12">
        <v>9165000</v>
      </c>
      <c r="QU29" s="12">
        <v>9440000</v>
      </c>
      <c r="QV29" s="12">
        <v>10790000</v>
      </c>
      <c r="QW29" s="12">
        <v>9727000</v>
      </c>
      <c r="QX29" s="12">
        <v>10724000</v>
      </c>
      <c r="QY29" s="12">
        <v>10562000</v>
      </c>
      <c r="QZ29" s="12">
        <v>12201000</v>
      </c>
      <c r="RA29" s="12">
        <v>10064000</v>
      </c>
      <c r="RB29" s="12">
        <v>9928000</v>
      </c>
      <c r="RC29" s="12">
        <v>7744000</v>
      </c>
      <c r="RD29" s="12">
        <v>9177000</v>
      </c>
      <c r="RE29" s="12">
        <v>8320000</v>
      </c>
      <c r="RF29" s="12">
        <v>11183000</v>
      </c>
      <c r="RG29" s="127">
        <f t="shared" si="147"/>
        <v>319479000</v>
      </c>
      <c r="RH29" s="12">
        <v>11754000</v>
      </c>
      <c r="RI29" s="12">
        <v>10281000</v>
      </c>
      <c r="RJ29" s="12">
        <v>10348000</v>
      </c>
      <c r="RK29" s="12">
        <v>11085000</v>
      </c>
      <c r="RL29" s="12">
        <v>11181000</v>
      </c>
      <c r="RM29" s="12">
        <v>7853000</v>
      </c>
      <c r="RN29" s="12">
        <v>7202000</v>
      </c>
      <c r="RO29" s="12">
        <v>10817000</v>
      </c>
      <c r="RP29" s="12">
        <v>10767000</v>
      </c>
      <c r="RQ29" s="12">
        <v>10338000</v>
      </c>
      <c r="RR29" s="12">
        <v>10552000</v>
      </c>
      <c r="RS29" s="12">
        <v>7585000</v>
      </c>
      <c r="RT29" s="12">
        <v>10661000</v>
      </c>
      <c r="RU29" s="12">
        <v>9112000</v>
      </c>
      <c r="RV29" s="12">
        <v>10678000</v>
      </c>
      <c r="RW29" s="12">
        <v>9941000</v>
      </c>
      <c r="RX29" s="12">
        <v>8747000</v>
      </c>
      <c r="RY29" s="12">
        <v>8092000</v>
      </c>
      <c r="RZ29" s="12">
        <v>8608000</v>
      </c>
      <c r="SA29" s="12">
        <v>7138000</v>
      </c>
      <c r="SB29" s="12">
        <v>9098000</v>
      </c>
      <c r="SC29" s="12">
        <v>11332000</v>
      </c>
      <c r="SD29" s="12">
        <v>12219000</v>
      </c>
      <c r="SE29" s="12">
        <v>8100000</v>
      </c>
      <c r="SF29" s="12">
        <v>7957000</v>
      </c>
      <c r="SG29" s="12">
        <v>11721000</v>
      </c>
      <c r="SH29" s="12">
        <v>8794000</v>
      </c>
      <c r="SI29" s="12">
        <v>12376000</v>
      </c>
      <c r="SJ29" s="12">
        <v>11135000</v>
      </c>
      <c r="SK29" s="12">
        <v>11835000</v>
      </c>
      <c r="SL29" s="127">
        <f t="shared" si="207"/>
        <v>297307000</v>
      </c>
      <c r="SM29" s="12">
        <v>8635000</v>
      </c>
      <c r="SN29" s="12">
        <v>11505000</v>
      </c>
      <c r="SO29" s="12">
        <v>9808000</v>
      </c>
      <c r="SP29" s="12">
        <v>8193000</v>
      </c>
      <c r="SQ29" s="12">
        <v>9572000</v>
      </c>
      <c r="SR29" s="12">
        <v>11042000</v>
      </c>
      <c r="SS29" s="12">
        <v>11951000</v>
      </c>
      <c r="ST29" s="12">
        <v>11024000</v>
      </c>
      <c r="SU29" s="12">
        <v>11383000</v>
      </c>
      <c r="SV29" s="12">
        <v>10005000</v>
      </c>
      <c r="SW29" s="12">
        <v>9773000</v>
      </c>
      <c r="SX29" s="12">
        <v>9972000</v>
      </c>
      <c r="SY29" s="12">
        <v>12028000</v>
      </c>
      <c r="SZ29" s="12">
        <v>12947000</v>
      </c>
      <c r="TA29" s="12">
        <v>9085000</v>
      </c>
      <c r="TB29" s="12">
        <v>10007000</v>
      </c>
      <c r="TC29" s="12">
        <v>10032000</v>
      </c>
      <c r="TD29" s="12">
        <v>11354000</v>
      </c>
      <c r="TE29" s="12">
        <v>9584000</v>
      </c>
      <c r="TF29" s="12">
        <v>12965000</v>
      </c>
      <c r="TG29" s="12">
        <v>13251000</v>
      </c>
      <c r="TH29" s="12">
        <v>11965000</v>
      </c>
      <c r="TI29" s="12">
        <v>12663000</v>
      </c>
      <c r="TJ29" s="12">
        <v>12174000</v>
      </c>
      <c r="TK29" s="12">
        <v>8040000</v>
      </c>
      <c r="TL29" s="12">
        <v>9918000</v>
      </c>
      <c r="TM29" s="12">
        <v>9391000</v>
      </c>
      <c r="TN29" s="12">
        <v>9062000</v>
      </c>
      <c r="TO29" s="12">
        <v>8091000</v>
      </c>
      <c r="TP29" s="12">
        <v>10967000</v>
      </c>
      <c r="TQ29" s="12">
        <v>9328000</v>
      </c>
      <c r="TR29" s="127">
        <f t="shared" si="226"/>
        <v>317080000</v>
      </c>
      <c r="TS29" s="12">
        <v>2408000</v>
      </c>
      <c r="TT29" s="12">
        <v>9691000</v>
      </c>
      <c r="TU29" s="12">
        <v>7797000</v>
      </c>
      <c r="TV29" s="12">
        <v>10334000</v>
      </c>
      <c r="TW29" s="12">
        <v>7260000</v>
      </c>
      <c r="TX29" s="12">
        <v>10835000</v>
      </c>
      <c r="TY29" s="12">
        <v>11118000</v>
      </c>
      <c r="TZ29" s="12">
        <v>9334000</v>
      </c>
      <c r="UA29" s="12">
        <v>10458000</v>
      </c>
      <c r="UB29" s="12">
        <v>9592000</v>
      </c>
      <c r="UC29" s="12">
        <v>11775000</v>
      </c>
      <c r="UD29" s="12">
        <v>9301000</v>
      </c>
      <c r="UE29" s="12">
        <v>12090000</v>
      </c>
      <c r="UF29" s="12">
        <v>8306000</v>
      </c>
      <c r="UG29" s="12">
        <v>9959000</v>
      </c>
      <c r="UH29" s="12">
        <v>9629000</v>
      </c>
      <c r="UI29" s="12">
        <v>12020000</v>
      </c>
      <c r="UJ29" s="12">
        <v>10541000</v>
      </c>
      <c r="UK29" s="12">
        <v>11296000</v>
      </c>
      <c r="UL29" s="12">
        <v>9924000</v>
      </c>
      <c r="UM29" s="12">
        <v>10034000</v>
      </c>
      <c r="UN29" s="12">
        <v>11825000</v>
      </c>
      <c r="UO29" s="12">
        <v>9681000</v>
      </c>
      <c r="UP29" s="12">
        <v>12545000</v>
      </c>
      <c r="UQ29" s="12">
        <v>11277000</v>
      </c>
      <c r="UR29" s="12">
        <v>10733000</v>
      </c>
      <c r="US29" s="12">
        <v>9142000</v>
      </c>
      <c r="UT29" s="12">
        <v>9377000</v>
      </c>
      <c r="UU29" s="12">
        <v>7067000</v>
      </c>
      <c r="UV29" s="12">
        <v>9772000</v>
      </c>
      <c r="UW29" s="12">
        <v>12505000</v>
      </c>
      <c r="UX29" s="127">
        <f t="shared" si="228"/>
        <v>305218000</v>
      </c>
      <c r="UY29" s="12">
        <v>11507000</v>
      </c>
      <c r="UZ29" s="12">
        <v>9733000</v>
      </c>
      <c r="VA29" s="12">
        <v>10252000</v>
      </c>
      <c r="VB29" s="12">
        <v>7808000</v>
      </c>
      <c r="VC29" s="12">
        <v>11058000</v>
      </c>
      <c r="VD29" s="12">
        <v>10092000</v>
      </c>
      <c r="VE29" s="12">
        <v>12523000</v>
      </c>
      <c r="VF29" s="12">
        <v>11867000</v>
      </c>
      <c r="VG29" s="12">
        <v>9529000</v>
      </c>
      <c r="VH29" s="12">
        <v>10774000</v>
      </c>
      <c r="VI29" s="12">
        <v>8215000</v>
      </c>
      <c r="VJ29" s="12">
        <v>10605000</v>
      </c>
      <c r="VK29" s="12">
        <v>11065000</v>
      </c>
      <c r="VL29" s="12">
        <v>14191000</v>
      </c>
      <c r="VM29" s="12">
        <v>9643000</v>
      </c>
      <c r="VN29" s="12">
        <v>9332000</v>
      </c>
      <c r="VO29" s="12">
        <v>11843000</v>
      </c>
      <c r="VP29" s="12">
        <v>11239000</v>
      </c>
      <c r="VQ29" s="12">
        <v>11887000</v>
      </c>
      <c r="VR29" s="12">
        <v>10647000</v>
      </c>
      <c r="VS29" s="12">
        <v>10419000</v>
      </c>
      <c r="VT29" s="12">
        <v>11657000</v>
      </c>
      <c r="VU29" s="12">
        <v>9764000</v>
      </c>
      <c r="VV29" s="12">
        <v>10760000</v>
      </c>
      <c r="VW29" s="12">
        <v>8048000</v>
      </c>
      <c r="VX29" s="12">
        <v>10038000</v>
      </c>
      <c r="VY29" s="12">
        <v>8578000</v>
      </c>
      <c r="VZ29" s="12">
        <v>10195000</v>
      </c>
      <c r="WA29" s="127">
        <f>SUM(UY29:VZ29)</f>
        <v>293269000</v>
      </c>
      <c r="WB29" s="12">
        <v>12074000</v>
      </c>
      <c r="WC29" s="12">
        <v>9230000</v>
      </c>
      <c r="WD29" s="12">
        <v>7211000</v>
      </c>
      <c r="WE29" s="12">
        <v>7503000</v>
      </c>
      <c r="WF29" s="12">
        <v>8334000</v>
      </c>
      <c r="WG29" s="12">
        <v>6354000</v>
      </c>
      <c r="WH29" s="12">
        <v>9713000</v>
      </c>
      <c r="WI29" s="12">
        <v>11431000</v>
      </c>
      <c r="WJ29" s="12">
        <v>10217000</v>
      </c>
      <c r="WK29" s="12">
        <v>10438000</v>
      </c>
      <c r="WL29" s="12">
        <v>9739000</v>
      </c>
      <c r="WM29" s="12">
        <v>9227000</v>
      </c>
      <c r="WN29" s="12">
        <v>8761000</v>
      </c>
      <c r="WO29" s="12">
        <v>9734000</v>
      </c>
      <c r="WP29" s="12">
        <v>11680000</v>
      </c>
      <c r="WQ29" s="12">
        <v>7501000</v>
      </c>
      <c r="WR29" s="12">
        <v>10768000</v>
      </c>
      <c r="WS29" s="12">
        <v>10369000</v>
      </c>
      <c r="WT29" s="12">
        <v>11062000</v>
      </c>
      <c r="WU29" s="12">
        <v>10261000</v>
      </c>
      <c r="WV29" s="12">
        <v>9979000</v>
      </c>
      <c r="WW29" s="12">
        <v>9502000</v>
      </c>
      <c r="WX29" s="12">
        <v>9691000</v>
      </c>
      <c r="WY29" s="12">
        <v>10008000</v>
      </c>
      <c r="WZ29" s="12">
        <v>9157000</v>
      </c>
      <c r="XA29" s="12">
        <v>9099000</v>
      </c>
      <c r="XB29" s="12">
        <v>11054000</v>
      </c>
      <c r="XC29" s="12">
        <v>11678000</v>
      </c>
      <c r="XD29" s="12">
        <v>13785000</v>
      </c>
      <c r="XE29" s="12">
        <v>9760000</v>
      </c>
      <c r="XF29" s="12">
        <v>9804000</v>
      </c>
      <c r="XG29" s="127">
        <f t="shared" si="267"/>
        <v>305124000</v>
      </c>
      <c r="XH29" s="12">
        <v>9058000</v>
      </c>
      <c r="XI29" s="12">
        <v>9573000</v>
      </c>
      <c r="XJ29" s="12">
        <v>8768000</v>
      </c>
      <c r="XK29" s="12">
        <v>8512000</v>
      </c>
      <c r="XL29" s="12">
        <v>11993000</v>
      </c>
      <c r="XM29" s="12">
        <v>9011000</v>
      </c>
      <c r="XN29" s="12">
        <v>11618000</v>
      </c>
      <c r="XO29" s="12">
        <v>10240000</v>
      </c>
      <c r="XP29" s="12">
        <v>9317000</v>
      </c>
      <c r="XQ29" s="12">
        <v>11629000</v>
      </c>
      <c r="XR29" s="12">
        <v>9471000</v>
      </c>
      <c r="XS29" s="12">
        <v>10277000</v>
      </c>
      <c r="XT29" s="12">
        <v>9981000</v>
      </c>
      <c r="XU29" s="12">
        <v>9826000</v>
      </c>
      <c r="XV29" s="12">
        <v>10248000</v>
      </c>
      <c r="XW29" s="12">
        <v>11844000</v>
      </c>
      <c r="XX29" s="12">
        <v>10785000</v>
      </c>
      <c r="XY29" s="12">
        <v>9667000</v>
      </c>
      <c r="XZ29" s="12">
        <v>11166000</v>
      </c>
      <c r="YA29" s="12">
        <v>7571000</v>
      </c>
      <c r="YB29" s="12">
        <v>9029000</v>
      </c>
      <c r="YC29" s="12">
        <v>10494000</v>
      </c>
      <c r="YD29" s="12">
        <v>8787000</v>
      </c>
      <c r="YE29" s="12">
        <v>10280000</v>
      </c>
      <c r="YF29" s="12">
        <v>9240000</v>
      </c>
      <c r="YG29" s="12">
        <v>10746000</v>
      </c>
      <c r="YH29" s="12">
        <v>9785000</v>
      </c>
      <c r="YI29" s="12">
        <v>10102000</v>
      </c>
      <c r="YJ29" s="12">
        <v>10046000</v>
      </c>
      <c r="YK29" s="12">
        <v>9663000</v>
      </c>
      <c r="YL29" s="127">
        <f t="shared" si="269"/>
        <v>298727000</v>
      </c>
      <c r="YM29" s="12">
        <v>8103000</v>
      </c>
      <c r="YN29" s="12">
        <v>11304000</v>
      </c>
      <c r="YO29" s="12">
        <v>11123000</v>
      </c>
      <c r="YP29" s="12">
        <v>12334000</v>
      </c>
      <c r="YQ29" s="12">
        <v>11644000</v>
      </c>
      <c r="YR29" s="12">
        <v>9975000</v>
      </c>
      <c r="YS29" s="12">
        <v>9168000</v>
      </c>
      <c r="YT29" s="12">
        <v>1778000</v>
      </c>
      <c r="YU29" s="12">
        <v>8041000</v>
      </c>
      <c r="YV29" s="12">
        <v>11775000</v>
      </c>
      <c r="YW29" s="12">
        <v>8403000</v>
      </c>
      <c r="YX29" s="12">
        <v>9840000</v>
      </c>
      <c r="YY29" s="12">
        <v>9651000</v>
      </c>
      <c r="YZ29" s="12">
        <v>11280000</v>
      </c>
      <c r="ZA29" s="12">
        <v>9463000</v>
      </c>
      <c r="ZB29" s="12">
        <v>9552000</v>
      </c>
      <c r="ZC29" s="12">
        <v>12895000</v>
      </c>
      <c r="ZD29" s="12">
        <v>9994000</v>
      </c>
      <c r="ZE29" s="12">
        <v>11801000</v>
      </c>
      <c r="ZF29" s="12">
        <v>10461000</v>
      </c>
      <c r="ZG29" s="12">
        <v>10340000</v>
      </c>
      <c r="ZH29" s="12">
        <v>11864000</v>
      </c>
      <c r="ZI29" s="12">
        <v>12727000</v>
      </c>
      <c r="ZJ29" s="12">
        <v>14383000</v>
      </c>
      <c r="ZK29" s="12">
        <v>12550000</v>
      </c>
      <c r="ZL29" s="12">
        <v>11785000</v>
      </c>
      <c r="ZM29" s="12">
        <v>11749000</v>
      </c>
      <c r="ZN29" s="12">
        <v>12737000</v>
      </c>
      <c r="ZO29" s="12">
        <v>10042000</v>
      </c>
      <c r="ZP29" s="12">
        <v>12400000</v>
      </c>
      <c r="ZQ29" s="12">
        <v>13047000</v>
      </c>
      <c r="ZR29" s="127">
        <f>SUM(YM29:ZQ29)</f>
        <v>332209000</v>
      </c>
      <c r="ZS29" s="12">
        <v>10273000</v>
      </c>
      <c r="ZT29" s="12">
        <v>9791000</v>
      </c>
      <c r="ZU29" s="12">
        <v>9745000</v>
      </c>
      <c r="ZV29" s="12">
        <v>9120000</v>
      </c>
      <c r="ZW29" s="12">
        <v>12086000</v>
      </c>
      <c r="ZX29" s="12">
        <v>11065000</v>
      </c>
      <c r="ZY29" s="12">
        <v>13438000</v>
      </c>
      <c r="ZZ29" s="12">
        <v>12698000</v>
      </c>
      <c r="AAA29" s="12">
        <v>10313000</v>
      </c>
      <c r="AAB29" s="12">
        <v>11678000</v>
      </c>
      <c r="AAC29" s="12">
        <v>11188000</v>
      </c>
      <c r="AAD29" s="12">
        <v>10126000</v>
      </c>
      <c r="AAE29" s="12">
        <v>13752000</v>
      </c>
      <c r="AAF29" s="12">
        <v>11819000</v>
      </c>
      <c r="AAG29" s="12">
        <v>10490000</v>
      </c>
      <c r="AAH29" s="12">
        <v>12221000</v>
      </c>
      <c r="AAI29" s="12">
        <v>11018000</v>
      </c>
      <c r="AAJ29" s="12">
        <v>13861000</v>
      </c>
      <c r="AAK29" s="12">
        <v>10169000</v>
      </c>
      <c r="AAL29" s="12">
        <v>8579000</v>
      </c>
      <c r="AAM29" s="12">
        <v>13262000</v>
      </c>
      <c r="AAN29" s="12">
        <v>7907000</v>
      </c>
      <c r="AAO29" s="12">
        <v>12382000</v>
      </c>
      <c r="AAP29" s="12">
        <v>10700000</v>
      </c>
      <c r="AAQ29" s="12">
        <v>11438000</v>
      </c>
      <c r="AAR29" s="12">
        <v>10458000</v>
      </c>
      <c r="AAS29" s="12">
        <v>12019000</v>
      </c>
      <c r="AAT29" s="12">
        <v>11649000</v>
      </c>
      <c r="AAU29" s="12">
        <v>10359000</v>
      </c>
      <c r="AAV29" s="12">
        <v>10216000</v>
      </c>
      <c r="AAW29" s="127">
        <f t="shared" si="272"/>
        <v>333820000</v>
      </c>
      <c r="AAX29" s="12">
        <v>10081000</v>
      </c>
      <c r="AAY29" s="12">
        <v>7459000</v>
      </c>
      <c r="AAZ29" s="12">
        <v>12059000</v>
      </c>
      <c r="ABA29" s="12">
        <v>11176000</v>
      </c>
      <c r="ABB29" s="12">
        <v>13190000</v>
      </c>
      <c r="ABC29" s="12">
        <v>11118000</v>
      </c>
      <c r="ABD29" s="12">
        <v>13204000</v>
      </c>
      <c r="ABE29" s="12">
        <v>11130000</v>
      </c>
      <c r="ABF29" s="12">
        <v>11105000</v>
      </c>
      <c r="ABG29" s="12">
        <v>13756000</v>
      </c>
      <c r="ABH29" s="12">
        <v>11093000</v>
      </c>
      <c r="ABI29" s="12">
        <v>6734000</v>
      </c>
      <c r="ABJ29" s="12">
        <v>10725000</v>
      </c>
      <c r="ABK29" s="12">
        <v>11338000</v>
      </c>
      <c r="ABL29" s="12">
        <v>11512000</v>
      </c>
      <c r="ABM29" s="12">
        <v>12167000</v>
      </c>
      <c r="ABN29" s="12">
        <v>11490000</v>
      </c>
      <c r="ABO29" s="12">
        <v>12244000</v>
      </c>
      <c r="ABP29" s="12">
        <v>11430000</v>
      </c>
      <c r="ABQ29" s="12">
        <v>11420000</v>
      </c>
      <c r="ABR29" s="12">
        <v>10466000</v>
      </c>
      <c r="ABS29" s="12">
        <v>9689000</v>
      </c>
      <c r="ABT29" s="12">
        <v>11960000</v>
      </c>
      <c r="ABU29" s="12">
        <v>12737000</v>
      </c>
      <c r="ABV29" s="12">
        <v>12732000</v>
      </c>
      <c r="ABW29" s="12">
        <v>11407000</v>
      </c>
      <c r="ABX29" s="12">
        <v>10969000</v>
      </c>
      <c r="ABY29" s="12">
        <v>11253000</v>
      </c>
      <c r="ABZ29" s="12">
        <v>10497000</v>
      </c>
      <c r="ACA29" s="12">
        <v>10370000</v>
      </c>
      <c r="ACB29" s="12">
        <v>10790000</v>
      </c>
      <c r="ACC29" s="127">
        <f t="shared" si="274"/>
        <v>347301000</v>
      </c>
      <c r="ACD29" s="12">
        <v>13237000</v>
      </c>
      <c r="ACE29" s="12">
        <v>12500000</v>
      </c>
      <c r="ACF29" s="12">
        <v>13174000</v>
      </c>
      <c r="ACG29" s="12">
        <v>7225000</v>
      </c>
      <c r="ACH29" s="12">
        <v>13163000</v>
      </c>
      <c r="ACI29" s="12">
        <v>9366000</v>
      </c>
      <c r="ACJ29" s="12">
        <v>10723000</v>
      </c>
      <c r="ACK29" s="12">
        <v>11528000</v>
      </c>
      <c r="ACL29" s="12">
        <v>11758000</v>
      </c>
      <c r="ACM29" s="12">
        <v>10287000</v>
      </c>
      <c r="ACN29" s="12">
        <v>13351000</v>
      </c>
      <c r="ACO29" s="12">
        <v>10297000</v>
      </c>
      <c r="ACP29" s="12">
        <v>8672000</v>
      </c>
      <c r="ACQ29" s="12">
        <v>12381000</v>
      </c>
      <c r="ACR29" s="12">
        <v>12381000</v>
      </c>
      <c r="ACS29" s="12">
        <v>9643000</v>
      </c>
      <c r="ACT29" s="12">
        <v>9219000</v>
      </c>
      <c r="ACU29" s="12">
        <v>11479000</v>
      </c>
      <c r="ACV29" s="12">
        <v>9923000</v>
      </c>
      <c r="ACW29" s="12">
        <v>11303000</v>
      </c>
      <c r="ACX29" s="12">
        <v>10438000</v>
      </c>
      <c r="ACY29" s="12">
        <v>11122000</v>
      </c>
      <c r="ACZ29" s="12">
        <v>11139000</v>
      </c>
      <c r="ADA29" s="12">
        <v>9781000</v>
      </c>
      <c r="ADB29" s="12">
        <v>8771000</v>
      </c>
      <c r="ADC29" s="12">
        <v>10420000</v>
      </c>
      <c r="ADD29" s="12">
        <v>11530000</v>
      </c>
      <c r="ADE29" s="12">
        <v>9981000</v>
      </c>
      <c r="ADF29" s="12">
        <v>10990000</v>
      </c>
      <c r="ADG29" s="12">
        <v>11399000</v>
      </c>
      <c r="ADH29" s="12">
        <v>9652000</v>
      </c>
      <c r="ADI29" s="127">
        <f t="shared" si="276"/>
        <v>336833000</v>
      </c>
      <c r="ADJ29" s="12">
        <v>9185000</v>
      </c>
      <c r="ADK29" s="12">
        <v>9035000</v>
      </c>
      <c r="ADL29" s="12">
        <v>7595000</v>
      </c>
      <c r="ADM29" s="12">
        <v>12223000</v>
      </c>
      <c r="ADN29" s="12">
        <v>12312000</v>
      </c>
      <c r="ADO29" s="12">
        <v>12201000</v>
      </c>
      <c r="ADP29" s="12">
        <v>10568000</v>
      </c>
      <c r="ADQ29" s="12">
        <v>9659000</v>
      </c>
      <c r="ADR29" s="12">
        <v>9527000</v>
      </c>
      <c r="ADS29" s="12">
        <v>8387000</v>
      </c>
      <c r="ADT29" s="12">
        <v>9530000</v>
      </c>
      <c r="ADU29" s="12">
        <v>9370000</v>
      </c>
      <c r="ADV29" s="12">
        <v>12200000</v>
      </c>
      <c r="ADW29" s="12">
        <v>8343000</v>
      </c>
      <c r="ADX29" s="12">
        <v>11210000</v>
      </c>
      <c r="ADY29" s="12">
        <v>11149000</v>
      </c>
      <c r="ADZ29" s="12">
        <v>8399000</v>
      </c>
      <c r="AEA29" s="12">
        <v>9575000</v>
      </c>
      <c r="AEB29" s="12">
        <v>8665000</v>
      </c>
      <c r="AEC29" s="12">
        <v>10147000</v>
      </c>
      <c r="AED29" s="12">
        <v>8897000</v>
      </c>
      <c r="AEE29" s="12">
        <v>10412000</v>
      </c>
      <c r="AEF29" s="12">
        <v>9739000</v>
      </c>
      <c r="AEG29" s="12">
        <v>8457000</v>
      </c>
      <c r="AEH29" s="12">
        <v>8009000</v>
      </c>
      <c r="AEI29" s="12">
        <v>11345000</v>
      </c>
      <c r="AEJ29" s="12">
        <v>10945000</v>
      </c>
      <c r="AEK29" s="12">
        <v>9213000</v>
      </c>
      <c r="AEL29" s="12">
        <v>10176000</v>
      </c>
      <c r="AEM29" s="12">
        <v>8157000</v>
      </c>
      <c r="AEN29" s="127">
        <f>SUM(ADJ29:AEM29)</f>
        <v>294630000</v>
      </c>
      <c r="AEO29" s="12">
        <v>9534000</v>
      </c>
      <c r="AEP29" s="12">
        <v>9490000</v>
      </c>
      <c r="AEQ29" s="12">
        <v>11136000</v>
      </c>
      <c r="AER29" s="12">
        <v>8402000</v>
      </c>
      <c r="AES29" s="12">
        <v>9094000</v>
      </c>
      <c r="AET29" s="12">
        <v>11327000</v>
      </c>
      <c r="AEU29" s="12">
        <v>10307000</v>
      </c>
      <c r="AEV29" s="12">
        <v>8417000</v>
      </c>
      <c r="AEW29" s="12">
        <v>8611000</v>
      </c>
      <c r="AEX29" s="12">
        <v>10082000</v>
      </c>
      <c r="AEY29" s="12">
        <v>9384000</v>
      </c>
      <c r="AEZ29" s="12">
        <v>8127000</v>
      </c>
      <c r="AFA29" s="12">
        <v>8192000</v>
      </c>
      <c r="AFB29" s="12">
        <v>8873000</v>
      </c>
      <c r="AFC29" s="12">
        <v>10326000</v>
      </c>
      <c r="AFD29" s="12">
        <v>11163000</v>
      </c>
      <c r="AFE29" s="12">
        <v>10650000</v>
      </c>
      <c r="AFF29" s="12">
        <v>10367000</v>
      </c>
      <c r="AFG29" s="12">
        <v>10057000</v>
      </c>
      <c r="AFH29" s="12">
        <v>10384000</v>
      </c>
      <c r="AFI29" s="12">
        <v>11250000</v>
      </c>
      <c r="AFJ29" s="12">
        <v>8038000</v>
      </c>
      <c r="AFK29" s="12">
        <v>7998000</v>
      </c>
      <c r="AFL29" s="12">
        <v>8870000</v>
      </c>
      <c r="AFM29" s="12">
        <v>11540000</v>
      </c>
      <c r="AFN29" s="12">
        <v>7935000</v>
      </c>
      <c r="AFO29" s="12">
        <v>10515000</v>
      </c>
      <c r="AFP29" s="12">
        <v>10139000</v>
      </c>
      <c r="AFQ29" s="12">
        <v>7842000</v>
      </c>
      <c r="AFR29" s="12">
        <v>8230000</v>
      </c>
      <c r="AFS29" s="12">
        <v>9786000</v>
      </c>
      <c r="AFT29" s="127">
        <f t="shared" si="279"/>
        <v>296066000</v>
      </c>
      <c r="AFU29" s="12">
        <v>8085000</v>
      </c>
      <c r="AFV29" s="12">
        <v>9803000</v>
      </c>
      <c r="AFW29" s="12">
        <v>9782000</v>
      </c>
      <c r="AFX29" s="12">
        <v>9433000</v>
      </c>
      <c r="AFY29" s="12">
        <v>7050000</v>
      </c>
      <c r="AFZ29" s="12">
        <v>8732000</v>
      </c>
      <c r="AGA29" s="12">
        <v>11884000</v>
      </c>
      <c r="AGB29" s="12">
        <v>12293000</v>
      </c>
      <c r="AGC29" s="12">
        <v>12362000</v>
      </c>
      <c r="AGD29" s="12">
        <v>12363000</v>
      </c>
      <c r="AGE29" s="12">
        <v>12046000</v>
      </c>
      <c r="AGF29" s="12">
        <v>10532000</v>
      </c>
      <c r="AGG29" s="12">
        <v>11473000</v>
      </c>
      <c r="AGH29" s="12">
        <v>11643000</v>
      </c>
      <c r="AGI29" s="12">
        <v>11111000</v>
      </c>
      <c r="AGJ29" s="12">
        <v>10390000</v>
      </c>
      <c r="AGK29" s="12">
        <v>11836000</v>
      </c>
      <c r="AGL29" s="12">
        <v>12011000</v>
      </c>
      <c r="AGM29" s="12">
        <v>12341000</v>
      </c>
      <c r="AGN29" s="12">
        <v>13481000</v>
      </c>
      <c r="AGO29" s="12">
        <v>13447000</v>
      </c>
      <c r="AGP29" s="12">
        <v>15828000</v>
      </c>
      <c r="AGQ29" s="12">
        <v>11668000</v>
      </c>
      <c r="AGR29" s="12">
        <v>11142000</v>
      </c>
      <c r="AGS29" s="12">
        <v>12393000</v>
      </c>
      <c r="AGT29" s="12">
        <v>14279000</v>
      </c>
      <c r="AGU29" s="12">
        <v>13012000</v>
      </c>
      <c r="AGV29" s="12">
        <v>16759000</v>
      </c>
      <c r="AGW29" s="12">
        <v>15331000</v>
      </c>
      <c r="AGX29" s="12">
        <v>12681000</v>
      </c>
      <c r="AGY29" s="127">
        <f t="shared" si="281"/>
        <v>355191000</v>
      </c>
      <c r="AGZ29" s="12">
        <v>13053000</v>
      </c>
      <c r="AHA29" s="12">
        <v>13290000</v>
      </c>
      <c r="AHB29" s="12">
        <v>11273000</v>
      </c>
      <c r="AHC29" s="12">
        <v>14072000</v>
      </c>
      <c r="AHD29" s="12">
        <v>16805000</v>
      </c>
      <c r="AHE29" s="12">
        <v>12341000</v>
      </c>
      <c r="AHF29" s="12">
        <v>12177000</v>
      </c>
      <c r="AHG29" s="12">
        <v>13671000</v>
      </c>
      <c r="AHH29" s="12">
        <v>12768000</v>
      </c>
      <c r="AHI29" s="12">
        <v>12275000</v>
      </c>
      <c r="AHJ29" s="12">
        <v>12761000</v>
      </c>
      <c r="AHK29" s="12">
        <v>15460000</v>
      </c>
      <c r="AHL29" s="12">
        <v>14316000</v>
      </c>
      <c r="AHM29" s="12">
        <v>11001000</v>
      </c>
      <c r="AHN29" s="12">
        <v>13535000</v>
      </c>
      <c r="AHO29" s="12">
        <v>12901000</v>
      </c>
      <c r="AHP29" s="12">
        <v>12755000</v>
      </c>
      <c r="AHQ29" s="12">
        <v>15492000</v>
      </c>
      <c r="AHR29" s="12">
        <v>15915000</v>
      </c>
      <c r="AHS29" s="12">
        <v>13800000</v>
      </c>
      <c r="AHT29" s="12">
        <v>13857000</v>
      </c>
      <c r="AHU29" s="12">
        <v>15295000</v>
      </c>
      <c r="AHV29" s="12">
        <v>18099000</v>
      </c>
      <c r="AHW29" s="12">
        <v>17148000</v>
      </c>
      <c r="AHX29" s="12">
        <v>11671000</v>
      </c>
      <c r="AHY29" s="12">
        <v>11002000</v>
      </c>
      <c r="AHZ29" s="12">
        <v>10863000</v>
      </c>
      <c r="AIA29" s="12">
        <v>9208000</v>
      </c>
      <c r="AIB29" s="12">
        <v>11540000</v>
      </c>
      <c r="AIC29" s="12">
        <v>11814000</v>
      </c>
      <c r="AID29" s="12">
        <v>14848000</v>
      </c>
      <c r="AIE29" s="127">
        <f t="shared" si="283"/>
        <v>415006000</v>
      </c>
      <c r="AIF29" s="12">
        <v>11030000</v>
      </c>
      <c r="AIG29" s="12">
        <v>11780000</v>
      </c>
      <c r="AIH29" s="12">
        <v>12343000</v>
      </c>
      <c r="AII29" s="12">
        <v>10204000</v>
      </c>
      <c r="AIJ29" s="12">
        <v>12640000</v>
      </c>
      <c r="AIK29" s="12">
        <v>14217000</v>
      </c>
      <c r="AIL29" s="12">
        <v>9494000</v>
      </c>
      <c r="AIM29" s="12">
        <v>9893000</v>
      </c>
      <c r="AIN29" s="12">
        <v>12459000</v>
      </c>
      <c r="AIO29" s="12">
        <v>15187000</v>
      </c>
      <c r="AIP29" s="12">
        <v>12494000</v>
      </c>
      <c r="AIQ29" s="12">
        <v>10522000</v>
      </c>
      <c r="AIR29" s="12">
        <v>6351000</v>
      </c>
      <c r="AIS29" s="12">
        <v>12895000</v>
      </c>
      <c r="AIT29" s="12">
        <v>7040000</v>
      </c>
      <c r="AIU29" s="12">
        <v>8868000</v>
      </c>
      <c r="AIV29" s="12">
        <v>6027000</v>
      </c>
      <c r="AIW29" s="12">
        <v>7296000</v>
      </c>
      <c r="AIX29" s="12">
        <v>11321000</v>
      </c>
      <c r="AIY29" s="12">
        <v>12384000</v>
      </c>
      <c r="AIZ29" s="12">
        <v>13389000</v>
      </c>
      <c r="AJA29" s="12">
        <v>11952000</v>
      </c>
      <c r="AJB29" s="12">
        <v>13212000</v>
      </c>
      <c r="AJC29" s="12">
        <v>13854000</v>
      </c>
      <c r="AJD29" s="12">
        <v>11729000</v>
      </c>
      <c r="AJE29" s="12">
        <v>11384000</v>
      </c>
      <c r="AJF29" s="12">
        <v>13177000</v>
      </c>
      <c r="AJG29" s="12">
        <v>11138000</v>
      </c>
      <c r="AJH29" s="12">
        <v>12484000</v>
      </c>
      <c r="AJI29" s="12">
        <v>11655000</v>
      </c>
      <c r="AJJ29" s="12">
        <v>13091000</v>
      </c>
      <c r="AJK29" s="127">
        <f t="shared" si="285"/>
        <v>351510000</v>
      </c>
      <c r="AJL29" s="12">
        <v>10934000</v>
      </c>
      <c r="AJM29" s="12">
        <v>13410000</v>
      </c>
      <c r="AJN29" s="12">
        <v>12544000</v>
      </c>
      <c r="AJO29" s="12">
        <v>10443000</v>
      </c>
      <c r="AJP29" s="12">
        <v>13415000</v>
      </c>
      <c r="AJQ29" s="12">
        <v>11154000</v>
      </c>
      <c r="AJR29" s="12">
        <v>13317000</v>
      </c>
      <c r="AJS29" s="12">
        <v>12361000</v>
      </c>
      <c r="AJT29" s="12">
        <v>13847000</v>
      </c>
      <c r="AJU29" s="12">
        <v>14989000</v>
      </c>
      <c r="AJV29" s="12">
        <v>12852000</v>
      </c>
      <c r="AJW29" s="12">
        <v>15204000</v>
      </c>
      <c r="AJX29" s="12">
        <v>15307000</v>
      </c>
      <c r="AJY29" s="12">
        <v>12397000</v>
      </c>
      <c r="AJZ29" s="12">
        <v>11572000</v>
      </c>
      <c r="AKA29" s="12">
        <v>12166000</v>
      </c>
      <c r="AKB29" s="12">
        <v>12828000</v>
      </c>
      <c r="AKC29" s="12">
        <v>11810000</v>
      </c>
      <c r="AKD29" s="12">
        <v>10871000</v>
      </c>
      <c r="AKE29" s="12">
        <v>11029000</v>
      </c>
      <c r="AKF29" s="12">
        <v>12170000</v>
      </c>
      <c r="AKG29" s="12">
        <v>9822000</v>
      </c>
      <c r="AKH29" s="12">
        <v>13180000</v>
      </c>
      <c r="AKI29" s="12">
        <v>11866000</v>
      </c>
      <c r="AKJ29" s="12">
        <v>12481000</v>
      </c>
      <c r="AKK29" s="12">
        <v>10787000</v>
      </c>
      <c r="AKL29" s="12">
        <v>11470000</v>
      </c>
      <c r="AKM29" s="12">
        <v>11668000</v>
      </c>
      <c r="AKN29" s="127">
        <f t="shared" si="11"/>
        <v>345894000</v>
      </c>
      <c r="AKO29" s="12">
        <v>5408000</v>
      </c>
      <c r="AKP29" s="12">
        <v>11824000</v>
      </c>
      <c r="AKQ29" s="12">
        <v>11288000</v>
      </c>
      <c r="AKR29" s="12">
        <v>7841000</v>
      </c>
      <c r="AKS29" s="12">
        <v>11388000</v>
      </c>
      <c r="AKT29" s="12">
        <v>10405000</v>
      </c>
      <c r="AKU29" s="12">
        <v>12462000</v>
      </c>
      <c r="AKV29" s="12">
        <v>13087000</v>
      </c>
      <c r="AKW29" s="12">
        <v>11459000</v>
      </c>
      <c r="AKX29" s="12">
        <v>9745000</v>
      </c>
      <c r="AKY29" s="12">
        <v>11091000</v>
      </c>
      <c r="AKZ29" s="12">
        <v>11380000</v>
      </c>
      <c r="ALA29" s="12">
        <v>13837000</v>
      </c>
      <c r="ALB29" s="12">
        <v>14537249</v>
      </c>
      <c r="ALC29" s="12">
        <v>12947000</v>
      </c>
      <c r="ALD29" s="12">
        <v>14723000</v>
      </c>
      <c r="ALE29" s="12">
        <v>13717000</v>
      </c>
      <c r="ALF29" s="12">
        <v>12650000</v>
      </c>
      <c r="ALG29" s="12">
        <v>13628000</v>
      </c>
      <c r="ALH29" s="12">
        <v>12033000</v>
      </c>
      <c r="ALI29" s="12">
        <v>14249000</v>
      </c>
      <c r="ALJ29" s="12">
        <v>13443000</v>
      </c>
      <c r="ALK29" s="12">
        <v>34505000</v>
      </c>
      <c r="ALL29" s="12">
        <v>13759000</v>
      </c>
      <c r="ALM29" s="12">
        <v>14265000</v>
      </c>
      <c r="ALN29" s="12">
        <v>13942000</v>
      </c>
      <c r="ALO29" s="12">
        <v>14745000</v>
      </c>
      <c r="ALP29" s="12">
        <v>15121000</v>
      </c>
      <c r="ALQ29" s="12">
        <v>16446000</v>
      </c>
      <c r="ALR29" s="12">
        <v>16127000</v>
      </c>
      <c r="ALS29" s="12">
        <v>13697000</v>
      </c>
      <c r="ALT29" s="127">
        <f t="shared" si="12"/>
        <v>415749249</v>
      </c>
      <c r="ALU29" s="12">
        <v>16773000</v>
      </c>
      <c r="ALV29" s="12">
        <v>13890000</v>
      </c>
      <c r="ALW29" s="12">
        <v>13063000</v>
      </c>
      <c r="ALX29" s="12">
        <v>16182000</v>
      </c>
      <c r="ALY29" s="12">
        <v>9387000</v>
      </c>
      <c r="ALZ29" s="12">
        <v>10236000</v>
      </c>
      <c r="AMA29" s="12">
        <v>15163000</v>
      </c>
      <c r="AMB29" s="12">
        <v>14538000</v>
      </c>
      <c r="AMC29" s="12">
        <v>15195000</v>
      </c>
      <c r="AMD29" s="12">
        <v>15883000</v>
      </c>
      <c r="AME29" s="12">
        <v>18259000</v>
      </c>
      <c r="AMF29" s="12">
        <v>15909000</v>
      </c>
      <c r="AMG29" s="12">
        <v>14856000</v>
      </c>
      <c r="AMH29" s="12">
        <v>13001000</v>
      </c>
      <c r="AMI29" s="12">
        <v>15006000</v>
      </c>
      <c r="AMJ29" s="12">
        <v>15391000</v>
      </c>
      <c r="AMK29" s="12">
        <v>14829000</v>
      </c>
      <c r="AML29" s="12">
        <v>16950000</v>
      </c>
      <c r="AMM29" s="12">
        <v>16428000</v>
      </c>
      <c r="AMN29" s="12">
        <v>24821000</v>
      </c>
      <c r="AMO29" s="12">
        <v>29632000</v>
      </c>
      <c r="AMP29" s="12">
        <v>21966000</v>
      </c>
      <c r="AMQ29" s="12">
        <v>29781000</v>
      </c>
      <c r="AMR29" s="12">
        <v>31045000</v>
      </c>
      <c r="AMS29" s="12">
        <v>32084000</v>
      </c>
      <c r="AMT29" s="12">
        <v>28068000</v>
      </c>
      <c r="AMU29" s="12">
        <v>15903000</v>
      </c>
      <c r="AMV29" s="12">
        <v>15544000</v>
      </c>
      <c r="AMW29" s="12">
        <v>26995000</v>
      </c>
      <c r="AMX29" s="12">
        <v>22711000</v>
      </c>
      <c r="AMY29" s="127">
        <f t="shared" si="13"/>
        <v>559489000</v>
      </c>
      <c r="AMZ29" s="12">
        <v>13668000</v>
      </c>
      <c r="ANA29" s="12">
        <v>14605000</v>
      </c>
      <c r="ANB29" s="12">
        <v>12411000</v>
      </c>
      <c r="ANC29" s="12">
        <v>13908000</v>
      </c>
      <c r="AND29" s="12">
        <v>13822000</v>
      </c>
      <c r="ANE29" s="12">
        <v>15910000</v>
      </c>
      <c r="ANF29" s="12">
        <v>12168000</v>
      </c>
      <c r="ANG29" s="12">
        <v>15276000</v>
      </c>
      <c r="ANH29" s="12">
        <v>16677000</v>
      </c>
      <c r="ANI29" s="12">
        <v>14368000</v>
      </c>
      <c r="ANJ29" s="12">
        <v>15013000</v>
      </c>
      <c r="ANK29" s="12">
        <v>12484000</v>
      </c>
      <c r="ANL29" s="12">
        <v>15729000</v>
      </c>
      <c r="ANM29" s="12">
        <v>16843000</v>
      </c>
      <c r="ANN29" s="12">
        <v>18049000</v>
      </c>
      <c r="ANO29" s="12">
        <v>14411000</v>
      </c>
      <c r="ANP29" s="12">
        <v>10110000</v>
      </c>
      <c r="ANQ29" s="12">
        <v>12576000</v>
      </c>
      <c r="ANR29" s="12">
        <v>11400000</v>
      </c>
      <c r="ANS29" s="12">
        <v>12019000</v>
      </c>
      <c r="ANT29" s="12">
        <v>10628000</v>
      </c>
      <c r="ANU29" s="12">
        <v>16930000</v>
      </c>
      <c r="ANV29" s="12">
        <v>13452000</v>
      </c>
      <c r="ANW29" s="12">
        <v>12485000</v>
      </c>
      <c r="ANX29" s="12">
        <v>13578000</v>
      </c>
      <c r="ANY29" s="12">
        <v>16583000</v>
      </c>
      <c r="ANZ29" s="12">
        <v>12500000</v>
      </c>
      <c r="AOA29" s="12">
        <v>11978000</v>
      </c>
      <c r="AOB29" s="12">
        <v>15765000</v>
      </c>
      <c r="AOC29" s="12">
        <v>15669000</v>
      </c>
    </row>
    <row r="30" spans="1:1069" x14ac:dyDescent="0.2">
      <c r="A30" s="78" t="s">
        <v>1524</v>
      </c>
      <c r="B30" s="79"/>
      <c r="C30" s="80"/>
      <c r="D30" s="80"/>
      <c r="E30" s="80"/>
      <c r="F30" s="80"/>
      <c r="G30" s="80">
        <f t="shared" ref="G30:AL30" si="290">G29-G28</f>
        <v>-2535.7699998952448</v>
      </c>
      <c r="H30" s="80">
        <f t="shared" si="290"/>
        <v>-736.8199998177588</v>
      </c>
      <c r="I30" s="80">
        <f t="shared" si="290"/>
        <v>-216.29000033810735</v>
      </c>
      <c r="J30" s="80">
        <f t="shared" si="290"/>
        <v>153.61000000685453</v>
      </c>
      <c r="K30" s="80">
        <f t="shared" si="290"/>
        <v>-351.90000009164214</v>
      </c>
      <c r="L30" s="80">
        <f t="shared" si="290"/>
        <v>-440.83999995142221</v>
      </c>
      <c r="M30" s="80">
        <f t="shared" si="290"/>
        <v>-143.62999955564737</v>
      </c>
      <c r="N30" s="80">
        <f t="shared" si="290"/>
        <v>-486.93000077083707</v>
      </c>
      <c r="O30" s="80">
        <f t="shared" si="290"/>
        <v>-491.24000000581145</v>
      </c>
      <c r="P30" s="80">
        <f t="shared" si="290"/>
        <v>-32.259999793022871</v>
      </c>
      <c r="Q30" s="80">
        <f t="shared" si="290"/>
        <v>-48.069999814033508</v>
      </c>
      <c r="R30" s="80">
        <f t="shared" si="290"/>
        <v>-60.380000401288271</v>
      </c>
      <c r="S30" s="80">
        <f t="shared" si="290"/>
        <v>-565.11999974772334</v>
      </c>
      <c r="T30" s="80">
        <f t="shared" si="290"/>
        <v>-527.78999938070774</v>
      </c>
      <c r="U30" s="80">
        <f t="shared" si="290"/>
        <v>-924.69000025093555</v>
      </c>
      <c r="V30" s="80">
        <f t="shared" si="290"/>
        <v>-341.65999985300004</v>
      </c>
      <c r="W30" s="80">
        <f t="shared" si="290"/>
        <v>-160.22000063210726</v>
      </c>
      <c r="X30" s="80">
        <f t="shared" si="290"/>
        <v>-76.359999693930149</v>
      </c>
      <c r="Y30" s="80">
        <f t="shared" si="290"/>
        <v>-89.500000646337867</v>
      </c>
      <c r="Z30" s="80">
        <f t="shared" si="290"/>
        <v>-472.31999975815415</v>
      </c>
      <c r="AA30" s="80">
        <f t="shared" si="290"/>
        <v>26277.080000258982</v>
      </c>
      <c r="AB30" s="80">
        <f t="shared" si="290"/>
        <v>13924.410000048578</v>
      </c>
      <c r="AC30" s="80">
        <f t="shared" si="290"/>
        <v>-370.56000023335218</v>
      </c>
      <c r="AD30" s="80">
        <f t="shared" si="290"/>
        <v>31.410000385716558</v>
      </c>
      <c r="AE30" s="80">
        <f t="shared" si="290"/>
        <v>68.220000453293324</v>
      </c>
      <c r="AF30" s="80">
        <f t="shared" si="290"/>
        <v>-204.15000112354755</v>
      </c>
      <c r="AG30" s="80">
        <f t="shared" si="290"/>
        <v>-180.29999939352274</v>
      </c>
      <c r="AH30" s="80">
        <f t="shared" si="290"/>
        <v>-45280107.370000362</v>
      </c>
      <c r="AI30" s="80">
        <f t="shared" si="290"/>
        <v>7491.239999782294</v>
      </c>
      <c r="AJ30" s="80">
        <f t="shared" si="290"/>
        <v>-328.47000009566545</v>
      </c>
      <c r="AK30" s="80">
        <f t="shared" si="290"/>
        <v>-390.75999994948506</v>
      </c>
      <c r="AL30" s="80">
        <f t="shared" si="290"/>
        <v>-667.10000024363399</v>
      </c>
      <c r="AM30" s="80">
        <f t="shared" ref="AM30:BR30" si="291">AM29-AM28</f>
        <v>-437.46999944001436</v>
      </c>
      <c r="AN30" s="80">
        <f t="shared" si="291"/>
        <v>-72.090000100433826</v>
      </c>
      <c r="AO30" s="80">
        <f t="shared" si="291"/>
        <v>-1502.1599999070168</v>
      </c>
      <c r="AP30" s="80">
        <f t="shared" si="291"/>
        <v>645.010000128299</v>
      </c>
      <c r="AQ30" s="80">
        <f t="shared" si="291"/>
        <v>-315.48000043258071</v>
      </c>
      <c r="AR30" s="80">
        <f t="shared" si="291"/>
        <v>-832.51999999582767</v>
      </c>
      <c r="AS30" s="80">
        <f t="shared" si="291"/>
        <v>232.57000038772821</v>
      </c>
      <c r="AT30" s="80">
        <f t="shared" si="291"/>
        <v>3694.6499993372709</v>
      </c>
      <c r="AU30" s="80">
        <f t="shared" si="291"/>
        <v>-5356.3499995172024</v>
      </c>
      <c r="AV30" s="80">
        <f t="shared" si="291"/>
        <v>10024.50000019744</v>
      </c>
      <c r="AW30" s="80">
        <f t="shared" si="291"/>
        <v>-771.95000056922436</v>
      </c>
      <c r="AX30" s="80">
        <f t="shared" si="291"/>
        <v>-96.849999960511923</v>
      </c>
      <c r="AY30" s="80">
        <f t="shared" si="291"/>
        <v>125.15000016614795</v>
      </c>
      <c r="AZ30" s="80">
        <f t="shared" si="291"/>
        <v>-436.79999995231628</v>
      </c>
      <c r="BA30" s="80">
        <f t="shared" si="291"/>
        <v>-494.79999959096313</v>
      </c>
      <c r="BB30" s="80">
        <f t="shared" si="291"/>
        <v>-299.95000002905726</v>
      </c>
      <c r="BC30" s="80">
        <f t="shared" si="291"/>
        <v>-129.90000092238188</v>
      </c>
      <c r="BD30" s="80">
        <f t="shared" si="291"/>
        <v>-31.149999860674143</v>
      </c>
      <c r="BE30" s="80">
        <f t="shared" si="291"/>
        <v>-302.54999942705035</v>
      </c>
      <c r="BF30" s="80">
        <f t="shared" si="291"/>
        <v>182.84999979287386</v>
      </c>
      <c r="BG30" s="80">
        <f t="shared" si="291"/>
        <v>73.100000388920307</v>
      </c>
      <c r="BH30" s="80">
        <f t="shared" si="291"/>
        <v>-334.74999999813735</v>
      </c>
      <c r="BI30" s="80">
        <f t="shared" si="291"/>
        <v>-762.78000044822693</v>
      </c>
      <c r="BJ30" s="80">
        <f t="shared" si="291"/>
        <v>-5419.3100002519786</v>
      </c>
      <c r="BK30" s="80">
        <f t="shared" si="291"/>
        <v>49.570000194013119</v>
      </c>
      <c r="BL30" s="80">
        <f t="shared" si="291"/>
        <v>-108.2499999217689</v>
      </c>
      <c r="BM30" s="97">
        <f t="shared" si="247"/>
        <v>3427.1999997608364</v>
      </c>
      <c r="BN30" s="80">
        <f t="shared" ref="BN30:CR30" si="292">BN29-BN28</f>
        <v>116.91999980248511</v>
      </c>
      <c r="BO30" s="80">
        <f t="shared" si="292"/>
        <v>-366.37999982945621</v>
      </c>
      <c r="BP30" s="80">
        <f t="shared" si="292"/>
        <v>136.97999981045723</v>
      </c>
      <c r="BQ30" s="80">
        <f t="shared" si="292"/>
        <v>-148.39999988861382</v>
      </c>
      <c r="BR30" s="80">
        <f t="shared" si="292"/>
        <v>1224.5500004291534</v>
      </c>
      <c r="BS30" s="80">
        <f t="shared" si="292"/>
        <v>-308.0800004824996</v>
      </c>
      <c r="BT30" s="80">
        <f t="shared" si="292"/>
        <v>-17.079999214038253</v>
      </c>
      <c r="BU30" s="80">
        <f t="shared" si="292"/>
        <v>-421.41000082530081</v>
      </c>
      <c r="BV30" s="80">
        <f t="shared" si="292"/>
        <v>-807.509999666363</v>
      </c>
      <c r="BW30" s="80">
        <f t="shared" si="292"/>
        <v>92.869999868795276</v>
      </c>
      <c r="BX30" s="80">
        <f t="shared" si="292"/>
        <v>1202.1099997255951</v>
      </c>
      <c r="BY30" s="80">
        <f t="shared" si="292"/>
        <v>-99.659999588504434</v>
      </c>
      <c r="BZ30" s="80">
        <f t="shared" si="292"/>
        <v>-113.92000016197562</v>
      </c>
      <c r="CA30" s="80">
        <f t="shared" si="292"/>
        <v>-17.529999904334545</v>
      </c>
      <c r="CB30" s="80">
        <f t="shared" si="292"/>
        <v>-282.00000004097819</v>
      </c>
      <c r="CC30" s="80">
        <f t="shared" si="292"/>
        <v>172.59999962896109</v>
      </c>
      <c r="CD30" s="80">
        <f t="shared" si="292"/>
        <v>125.8500003516674</v>
      </c>
      <c r="CE30" s="80">
        <f t="shared" si="292"/>
        <v>-11.180000241845846</v>
      </c>
      <c r="CF30" s="80">
        <f t="shared" si="292"/>
        <v>956.43000053241849</v>
      </c>
      <c r="CG30" s="80">
        <f t="shared" si="292"/>
        <v>-1788.6700003184378</v>
      </c>
      <c r="CH30" s="80">
        <f t="shared" si="292"/>
        <v>-190.28999967500567</v>
      </c>
      <c r="CI30" s="80">
        <f t="shared" si="292"/>
        <v>-118.76000011339784</v>
      </c>
      <c r="CJ30" s="80">
        <f t="shared" si="292"/>
        <v>-6994.5100003182888</v>
      </c>
      <c r="CK30" s="80">
        <f t="shared" si="292"/>
        <v>-267.70999998599291</v>
      </c>
      <c r="CL30" s="80">
        <f t="shared" si="292"/>
        <v>-464.86000007949769</v>
      </c>
      <c r="CM30" s="80">
        <f t="shared" si="292"/>
        <v>-310.12000020779669</v>
      </c>
      <c r="CN30" s="80">
        <f t="shared" si="292"/>
        <v>311.18000050261617</v>
      </c>
      <c r="CO30" s="80">
        <f t="shared" si="292"/>
        <v>-1800.6299993768334</v>
      </c>
      <c r="CP30" s="80">
        <f t="shared" si="292"/>
        <v>149.21999922394753</v>
      </c>
      <c r="CQ30" s="80">
        <f t="shared" si="292"/>
        <v>-558.94999973662198</v>
      </c>
      <c r="CR30" s="80">
        <f t="shared" si="292"/>
        <v>-400.54900015518069</v>
      </c>
      <c r="CS30" s="111">
        <f t="shared" si="208"/>
        <v>-10999.488999934867</v>
      </c>
      <c r="CT30" s="80">
        <f t="shared" ref="CT30:DW30" si="293">CT29-CT28</f>
        <v>-231.25899971276522</v>
      </c>
      <c r="CU30" s="80">
        <f t="shared" si="293"/>
        <v>-479.71100016869605</v>
      </c>
      <c r="CV30" s="80">
        <f t="shared" si="293"/>
        <v>-370.06300009042025</v>
      </c>
      <c r="CW30" s="80">
        <f t="shared" si="293"/>
        <v>-2635.7670000195503</v>
      </c>
      <c r="CX30" s="80">
        <f t="shared" si="293"/>
        <v>1837.3639999255538</v>
      </c>
      <c r="CY30" s="80">
        <f t="shared" si="293"/>
        <v>-313.99700019881129</v>
      </c>
      <c r="CZ30" s="80">
        <f t="shared" si="293"/>
        <v>-909.44500009343028</v>
      </c>
      <c r="DA30" s="80">
        <f t="shared" si="293"/>
        <v>-214.66700000502169</v>
      </c>
      <c r="DB30" s="80">
        <f t="shared" si="293"/>
        <v>-210.73699936270714</v>
      </c>
      <c r="DC30" s="80">
        <f t="shared" si="293"/>
        <v>-978.96300026774406</v>
      </c>
      <c r="DD30" s="80">
        <f t="shared" si="293"/>
        <v>-393.30400005728006</v>
      </c>
      <c r="DE30" s="80">
        <f t="shared" si="293"/>
        <v>-389.39299930632114</v>
      </c>
      <c r="DF30" s="80">
        <f t="shared" si="293"/>
        <v>78.103999698534608</v>
      </c>
      <c r="DG30" s="80">
        <f t="shared" si="293"/>
        <v>1613.6579997651279</v>
      </c>
      <c r="DH30" s="80">
        <f t="shared" si="293"/>
        <v>-321.3899999614805</v>
      </c>
      <c r="DI30" s="80">
        <f t="shared" si="293"/>
        <v>2306.6099993623793</v>
      </c>
      <c r="DJ30" s="80">
        <f t="shared" si="293"/>
        <v>54082.850000292063</v>
      </c>
      <c r="DK30" s="80">
        <f t="shared" si="293"/>
        <v>-870.64999945834279</v>
      </c>
      <c r="DL30" s="80">
        <f t="shared" si="293"/>
        <v>256.02000018209219</v>
      </c>
      <c r="DM30" s="80">
        <f t="shared" si="293"/>
        <v>-954.1499998383224</v>
      </c>
      <c r="DN30" s="80">
        <f t="shared" si="293"/>
        <v>203.60999983921647</v>
      </c>
      <c r="DO30" s="80">
        <f t="shared" si="293"/>
        <v>493.19999975711107</v>
      </c>
      <c r="DP30" s="80">
        <f t="shared" si="293"/>
        <v>-594.85000070556998</v>
      </c>
      <c r="DQ30" s="80">
        <f t="shared" si="293"/>
        <v>486.57000079005957</v>
      </c>
      <c r="DR30" s="80">
        <f t="shared" si="293"/>
        <v>-289.95000080391765</v>
      </c>
      <c r="DS30" s="80">
        <f t="shared" si="293"/>
        <v>-173.21999991126359</v>
      </c>
      <c r="DT30" s="80">
        <f t="shared" si="293"/>
        <v>-426.41999950259924</v>
      </c>
      <c r="DU30" s="80">
        <f t="shared" si="293"/>
        <v>-349.33000029250979</v>
      </c>
      <c r="DV30" s="80">
        <f t="shared" si="293"/>
        <v>27.850000068545341</v>
      </c>
      <c r="DW30" s="80">
        <f t="shared" si="293"/>
        <v>-551.18999944999814</v>
      </c>
      <c r="DX30" s="120"/>
      <c r="DY30" s="80">
        <f t="shared" ref="DY30:FC30" si="294">DY29-DY28</f>
        <v>-381.62000014260411</v>
      </c>
      <c r="DZ30" s="80">
        <f t="shared" si="294"/>
        <v>-3114.10999953188</v>
      </c>
      <c r="EA30" s="80">
        <f t="shared" si="294"/>
        <v>104.46999920345843</v>
      </c>
      <c r="EB30" s="80">
        <f t="shared" si="294"/>
        <v>-156.90999979525805</v>
      </c>
      <c r="EC30" s="80">
        <f t="shared" si="294"/>
        <v>247.69000013172626</v>
      </c>
      <c r="ED30" s="80">
        <f t="shared" si="294"/>
        <v>-209.00999969616532</v>
      </c>
      <c r="EE30" s="80">
        <f t="shared" si="294"/>
        <v>4820.3600001744926</v>
      </c>
      <c r="EF30" s="80">
        <f t="shared" si="294"/>
        <v>-672.86000081151724</v>
      </c>
      <c r="EG30" s="80">
        <f t="shared" si="294"/>
        <v>386.45000018924475</v>
      </c>
      <c r="EH30" s="80">
        <f t="shared" si="294"/>
        <v>493.80999995954335</v>
      </c>
      <c r="EI30" s="80">
        <f t="shared" si="294"/>
        <v>33.130000194534659</v>
      </c>
      <c r="EJ30" s="80">
        <f t="shared" si="294"/>
        <v>-9773.1400008276105</v>
      </c>
      <c r="EK30" s="80">
        <f t="shared" si="294"/>
        <v>-44.400000182911754</v>
      </c>
      <c r="EL30" s="80">
        <f t="shared" si="294"/>
        <v>-164.72999963909388</v>
      </c>
      <c r="EM30" s="80">
        <f t="shared" si="294"/>
        <v>9468.970000192523</v>
      </c>
      <c r="EN30" s="80">
        <f t="shared" si="294"/>
        <v>-349.45999928936362</v>
      </c>
      <c r="EO30" s="80">
        <f t="shared" si="294"/>
        <v>-146.9400008097291</v>
      </c>
      <c r="EP30" s="80">
        <f t="shared" si="294"/>
        <v>1656.4200002364814</v>
      </c>
      <c r="EQ30" s="80">
        <f t="shared" si="294"/>
        <v>-2078.589999910444</v>
      </c>
      <c r="ER30" s="80">
        <f t="shared" si="294"/>
        <v>-8.5199998244643211</v>
      </c>
      <c r="ES30" s="80">
        <f t="shared" si="294"/>
        <v>2159.6799999214709</v>
      </c>
      <c r="ET30" s="80">
        <f t="shared" si="294"/>
        <v>23.619999617338181</v>
      </c>
      <c r="EU30" s="80">
        <f t="shared" si="294"/>
        <v>-75.039999961853027</v>
      </c>
      <c r="EV30" s="80">
        <f t="shared" si="294"/>
        <v>3633.3600006476045</v>
      </c>
      <c r="EW30" s="80">
        <f t="shared" si="294"/>
        <v>-4731.1600006204098</v>
      </c>
      <c r="EX30" s="80">
        <f t="shared" si="294"/>
        <v>-152.19000002741814</v>
      </c>
      <c r="EY30" s="80">
        <f t="shared" si="294"/>
        <v>17.310000225901604</v>
      </c>
      <c r="EZ30" s="80">
        <f t="shared" si="294"/>
        <v>216.95000008121133</v>
      </c>
      <c r="FA30" s="80">
        <f t="shared" si="294"/>
        <v>-384.1900000590831</v>
      </c>
      <c r="FB30" s="80">
        <f t="shared" si="294"/>
        <v>-578.18000096455216</v>
      </c>
      <c r="FC30" s="80">
        <f t="shared" si="294"/>
        <v>-52.819998528808355</v>
      </c>
      <c r="FD30" s="128">
        <f>SUM(DY30:FC30)</f>
        <v>188.35000015236437</v>
      </c>
      <c r="FE30" s="80">
        <f t="shared" ref="FE30:GI30" si="295">FE29-FE28</f>
        <v>339863.49999958277</v>
      </c>
      <c r="FF30" s="80">
        <f t="shared" si="295"/>
        <v>-80.960000354796648</v>
      </c>
      <c r="FG30" s="80">
        <f t="shared" si="295"/>
        <v>-470.92999982275069</v>
      </c>
      <c r="FH30" s="80">
        <f t="shared" si="295"/>
        <v>78.160000775009394</v>
      </c>
      <c r="FI30" s="80">
        <f t="shared" si="295"/>
        <v>-109.60000085830688</v>
      </c>
      <c r="FJ30" s="80">
        <f t="shared" si="295"/>
        <v>-911.72999954223633</v>
      </c>
      <c r="FK30" s="80">
        <f t="shared" si="295"/>
        <v>-144.12000048160553</v>
      </c>
      <c r="FL30" s="80">
        <f t="shared" si="295"/>
        <v>-881.95999985188246</v>
      </c>
      <c r="FM30" s="80">
        <f t="shared" si="295"/>
        <v>-397.66000029817224</v>
      </c>
      <c r="FN30" s="80">
        <f t="shared" si="295"/>
        <v>-259.24000028148293</v>
      </c>
      <c r="FO30" s="80">
        <f t="shared" si="295"/>
        <v>458.00999992527068</v>
      </c>
      <c r="FP30" s="80">
        <f t="shared" si="295"/>
        <v>43.920001000165939</v>
      </c>
      <c r="FQ30" s="80">
        <f t="shared" si="295"/>
        <v>155.58999903686345</v>
      </c>
      <c r="FR30" s="80">
        <f t="shared" si="295"/>
        <v>-796.67000002041459</v>
      </c>
      <c r="FS30" s="80">
        <f t="shared" si="295"/>
        <v>-448.19999962858856</v>
      </c>
      <c r="FT30" s="80">
        <f t="shared" si="295"/>
        <v>-37.890000035986304</v>
      </c>
      <c r="FU30" s="80">
        <f t="shared" si="295"/>
        <v>359.40000073052943</v>
      </c>
      <c r="FV30" s="80">
        <f t="shared" si="295"/>
        <v>-1679.6500007137656</v>
      </c>
      <c r="FW30" s="80">
        <f t="shared" si="295"/>
        <v>3755.1699996367097</v>
      </c>
      <c r="FX30" s="80">
        <f t="shared" si="295"/>
        <v>-3343.1299990937114</v>
      </c>
      <c r="FY30" s="80">
        <f t="shared" si="295"/>
        <v>-114.61999973282218</v>
      </c>
      <c r="FZ30" s="80">
        <f t="shared" si="295"/>
        <v>-333.23000125586987</v>
      </c>
      <c r="GA30" s="80">
        <f t="shared" si="295"/>
        <v>-443.25999877601862</v>
      </c>
      <c r="GB30" s="80">
        <f t="shared" si="295"/>
        <v>-481.67000078968704</v>
      </c>
      <c r="GC30" s="80">
        <f t="shared" si="295"/>
        <v>-20016.919999942183</v>
      </c>
      <c r="GD30" s="80">
        <f t="shared" si="295"/>
        <v>-22.319999568164349</v>
      </c>
      <c r="GE30" s="80">
        <f t="shared" si="295"/>
        <v>-93.800001138821244</v>
      </c>
      <c r="GF30" s="80">
        <f t="shared" si="295"/>
        <v>-258.76999897882342</v>
      </c>
      <c r="GG30" s="80">
        <f t="shared" si="295"/>
        <v>-296.73000083863735</v>
      </c>
      <c r="GH30" s="80">
        <f t="shared" si="295"/>
        <v>90.99999993853271</v>
      </c>
      <c r="GI30" s="80">
        <f t="shared" si="295"/>
        <v>166750.44000022486</v>
      </c>
      <c r="GJ30" s="127">
        <f t="shared" si="99"/>
        <v>479932.12999884598</v>
      </c>
      <c r="GK30" s="80">
        <f t="shared" ref="GK30:HM30" si="296">GK29-GK28</f>
        <v>180354.65000090376</v>
      </c>
      <c r="GL30" s="80">
        <f t="shared" si="296"/>
        <v>9429.1299990899861</v>
      </c>
      <c r="GM30" s="80">
        <f t="shared" si="296"/>
        <v>15.070000175386667</v>
      </c>
      <c r="GN30" s="80">
        <f t="shared" si="296"/>
        <v>-188.91999897919595</v>
      </c>
      <c r="GO30" s="80">
        <f t="shared" si="296"/>
        <v>-69286.940000843257</v>
      </c>
      <c r="GP30" s="80">
        <f t="shared" si="296"/>
        <v>182.39000065997243</v>
      </c>
      <c r="GQ30" s="80">
        <f t="shared" si="296"/>
        <v>18147.049999110401</v>
      </c>
      <c r="GR30" s="80">
        <f t="shared" si="296"/>
        <v>425.69000042229891</v>
      </c>
      <c r="GS30" s="80">
        <f t="shared" si="296"/>
        <v>1522.2300005387515</v>
      </c>
      <c r="GT30" s="80">
        <f t="shared" si="296"/>
        <v>-876.27000008523464</v>
      </c>
      <c r="GU30" s="80">
        <f t="shared" si="296"/>
        <v>-784.48000060208142</v>
      </c>
      <c r="GV30" s="80">
        <f t="shared" si="296"/>
        <v>-2.8399993777275085</v>
      </c>
      <c r="GW30" s="80">
        <f t="shared" si="296"/>
        <v>126.61999930068851</v>
      </c>
      <c r="GX30" s="80">
        <f t="shared" si="296"/>
        <v>-715.14999883249402</v>
      </c>
      <c r="GY30" s="80">
        <f t="shared" si="296"/>
        <v>-151.25000071339309</v>
      </c>
      <c r="GZ30" s="80">
        <f t="shared" si="296"/>
        <v>-16.67999991029501</v>
      </c>
      <c r="HA30" s="80">
        <f t="shared" si="296"/>
        <v>-222.16999995335937</v>
      </c>
      <c r="HB30" s="80">
        <f t="shared" si="296"/>
        <v>54636.059999549761</v>
      </c>
      <c r="HC30" s="80">
        <f t="shared" si="296"/>
        <v>-186.02999967895448</v>
      </c>
      <c r="HD30" s="80">
        <f t="shared" si="296"/>
        <v>19950.909999787807</v>
      </c>
      <c r="HE30" s="80">
        <f t="shared" si="296"/>
        <v>10210.070000074804</v>
      </c>
      <c r="HF30" s="80">
        <f t="shared" si="296"/>
        <v>-312.33000040985644</v>
      </c>
      <c r="HG30" s="80">
        <f t="shared" si="296"/>
        <v>34.890000134706497</v>
      </c>
      <c r="HH30" s="80">
        <f t="shared" si="296"/>
        <v>-1437.3800001367927</v>
      </c>
      <c r="HI30" s="80">
        <f t="shared" si="296"/>
        <v>-835.65999979153275</v>
      </c>
      <c r="HJ30" s="80">
        <f t="shared" si="296"/>
        <v>-361.45000021532178</v>
      </c>
      <c r="HK30" s="80">
        <f t="shared" si="296"/>
        <v>149.98000051081181</v>
      </c>
      <c r="HL30" s="80">
        <f t="shared" si="296"/>
        <v>-169.69000056385994</v>
      </c>
      <c r="HM30" s="80">
        <f t="shared" si="296"/>
        <v>-616.52999897859991</v>
      </c>
      <c r="HN30" s="127">
        <f t="shared" si="253"/>
        <v>219020.97000118718</v>
      </c>
      <c r="HO30" s="80">
        <f t="shared" ref="HO30:IS30" si="297">HO29-HO28</f>
        <v>16.04999915137887</v>
      </c>
      <c r="HP30" s="80">
        <f t="shared" si="297"/>
        <v>265.14000022411346</v>
      </c>
      <c r="HQ30" s="80">
        <f t="shared" si="297"/>
        <v>2223.0300005115569</v>
      </c>
      <c r="HR30" s="80">
        <f t="shared" si="297"/>
        <v>-646.97000083699822</v>
      </c>
      <c r="HS30" s="80">
        <f t="shared" si="297"/>
        <v>218.64999972842634</v>
      </c>
      <c r="HT30" s="80">
        <f t="shared" si="297"/>
        <v>1759.0699998028576</v>
      </c>
      <c r="HU30" s="80">
        <f t="shared" si="297"/>
        <v>161827.63000049442</v>
      </c>
      <c r="HV30" s="80">
        <f t="shared" si="297"/>
        <v>-2457.7699998468161</v>
      </c>
      <c r="HW30" s="80">
        <f t="shared" si="297"/>
        <v>-395.65999998524785</v>
      </c>
      <c r="HX30" s="80">
        <f t="shared" si="297"/>
        <v>-415.46000001765788</v>
      </c>
      <c r="HY30" s="80">
        <f t="shared" si="297"/>
        <v>640.01000031083822</v>
      </c>
      <c r="HZ30" s="80">
        <f t="shared" si="297"/>
        <v>-426.50000034086406</v>
      </c>
      <c r="IA30" s="80">
        <f t="shared" si="297"/>
        <v>-523.00000023469329</v>
      </c>
      <c r="IB30" s="80">
        <f t="shared" si="297"/>
        <v>63.650000438094139</v>
      </c>
      <c r="IC30" s="80">
        <f t="shared" si="297"/>
        <v>-578.59999964386225</v>
      </c>
      <c r="ID30" s="80">
        <f t="shared" si="297"/>
        <v>-2818.6500006113201</v>
      </c>
      <c r="IE30" s="80">
        <f t="shared" si="297"/>
        <v>-9869.9999992940575</v>
      </c>
      <c r="IF30" s="80">
        <f t="shared" si="297"/>
        <v>93.399999890476465</v>
      </c>
      <c r="IG30" s="80">
        <f t="shared" si="297"/>
        <v>507.94999930635095</v>
      </c>
      <c r="IH30" s="80">
        <f t="shared" si="297"/>
        <v>-452.64999955147505</v>
      </c>
      <c r="II30" s="80">
        <f t="shared" si="297"/>
        <v>-3531.7500008158386</v>
      </c>
      <c r="IJ30" s="80">
        <f t="shared" si="297"/>
        <v>-364.84999951720238</v>
      </c>
      <c r="IK30" s="80">
        <f t="shared" si="297"/>
        <v>-248.95000047236681</v>
      </c>
      <c r="IL30" s="80">
        <f t="shared" si="297"/>
        <v>-565.44999935477972</v>
      </c>
      <c r="IM30" s="80">
        <f t="shared" si="297"/>
        <v>-110.04999928176403</v>
      </c>
      <c r="IN30" s="80">
        <f t="shared" si="297"/>
        <v>698.95000008121133</v>
      </c>
      <c r="IO30" s="80">
        <f t="shared" si="297"/>
        <v>6936.3599988799542</v>
      </c>
      <c r="IP30" s="80">
        <f t="shared" si="297"/>
        <v>2022.3900007903576</v>
      </c>
      <c r="IQ30" s="80">
        <f t="shared" si="297"/>
        <v>16470.179999295622</v>
      </c>
      <c r="IR30" s="80">
        <f t="shared" si="297"/>
        <v>-511.23999959044158</v>
      </c>
      <c r="IS30" s="80">
        <f t="shared" si="297"/>
        <v>-630.6000001244247</v>
      </c>
      <c r="IT30" s="127">
        <f t="shared" si="22"/>
        <v>169194.30999938585</v>
      </c>
      <c r="IU30" s="80">
        <f t="shared" ref="IU30:JX30" si="298">IU29-IU28</f>
        <v>-616.28999959677458</v>
      </c>
      <c r="IV30" s="80">
        <f t="shared" si="298"/>
        <v>-220.69000034406781</v>
      </c>
      <c r="IW30" s="80">
        <f t="shared" si="298"/>
        <v>-571.30000023730099</v>
      </c>
      <c r="IX30" s="80">
        <f t="shared" si="298"/>
        <v>-492.89999958500266</v>
      </c>
      <c r="IY30" s="80">
        <f t="shared" si="298"/>
        <v>-334.12999972701073</v>
      </c>
      <c r="IZ30" s="80">
        <f t="shared" si="298"/>
        <v>60038.319999838248</v>
      </c>
      <c r="JA30" s="80">
        <f t="shared" si="298"/>
        <v>-435.96000011824071</v>
      </c>
      <c r="JB30" s="80">
        <f t="shared" si="298"/>
        <v>-38.660000063478947</v>
      </c>
      <c r="JC30" s="80">
        <f t="shared" si="298"/>
        <v>8248.500000204891</v>
      </c>
      <c r="JD30" s="80">
        <f t="shared" si="298"/>
        <v>-38.760000575333834</v>
      </c>
      <c r="JE30" s="80">
        <f t="shared" si="298"/>
        <v>492.93000021576881</v>
      </c>
      <c r="JF30" s="80">
        <f t="shared" si="298"/>
        <v>-520.22000101394951</v>
      </c>
      <c r="JG30" s="80">
        <f t="shared" si="298"/>
        <v>-3039.3799988478422</v>
      </c>
      <c r="JH30" s="80">
        <f t="shared" si="298"/>
        <v>-577.23000126704574</v>
      </c>
      <c r="JI30" s="80">
        <f t="shared" si="298"/>
        <v>49506.030001193285</v>
      </c>
      <c r="JJ30" s="80">
        <f t="shared" si="298"/>
        <v>-497.64999977499247</v>
      </c>
      <c r="JK30" s="80">
        <f t="shared" si="298"/>
        <v>-14.760000571608543</v>
      </c>
      <c r="JL30" s="80">
        <f t="shared" si="298"/>
        <v>27986.499999392778</v>
      </c>
      <c r="JM30" s="80">
        <f t="shared" si="298"/>
        <v>-4727.5499989744276</v>
      </c>
      <c r="JN30" s="80">
        <f t="shared" si="298"/>
        <v>-543.21000075340271</v>
      </c>
      <c r="JO30" s="80">
        <f t="shared" si="298"/>
        <v>2925.8700001183897</v>
      </c>
      <c r="JP30" s="80">
        <f t="shared" si="298"/>
        <v>-581.18999975174665</v>
      </c>
      <c r="JQ30" s="80">
        <f t="shared" si="298"/>
        <v>-212.38000025227666</v>
      </c>
      <c r="JR30" s="80">
        <f t="shared" si="298"/>
        <v>10.16999938338995</v>
      </c>
      <c r="JS30" s="80">
        <f t="shared" si="298"/>
        <v>-6.749998614192009</v>
      </c>
      <c r="JT30" s="80">
        <f t="shared" si="298"/>
        <v>-535.44999976828694</v>
      </c>
      <c r="JU30" s="80">
        <f t="shared" si="298"/>
        <v>37776.649999972433</v>
      </c>
      <c r="JV30" s="80">
        <f t="shared" si="298"/>
        <v>2772.650000192225</v>
      </c>
      <c r="JW30" s="80">
        <f t="shared" si="298"/>
        <v>112.42000018060207</v>
      </c>
      <c r="JX30" s="80">
        <f t="shared" si="298"/>
        <v>-75.790000651031733</v>
      </c>
      <c r="JY30" s="127">
        <f t="shared" si="58"/>
        <v>175789.790000204</v>
      </c>
      <c r="JZ30" s="80">
        <f t="shared" ref="JZ30:LD30" si="299">JZ29-JZ28</f>
        <v>191.34000026062131</v>
      </c>
      <c r="KA30" s="80">
        <f t="shared" si="299"/>
        <v>9925.0299996156245</v>
      </c>
      <c r="KB30" s="80">
        <f t="shared" si="299"/>
        <v>-307.46999927610159</v>
      </c>
      <c r="KC30" s="80">
        <f t="shared" si="299"/>
        <v>-318.34000012464821</v>
      </c>
      <c r="KD30" s="80">
        <f t="shared" si="299"/>
        <v>15.749999459832907</v>
      </c>
      <c r="KE30" s="80">
        <f t="shared" si="299"/>
        <v>-387.59000090323389</v>
      </c>
      <c r="KF30" s="80">
        <f t="shared" si="299"/>
        <v>-532.41999981924891</v>
      </c>
      <c r="KG30" s="80">
        <f t="shared" si="299"/>
        <v>-141.2399990465492</v>
      </c>
      <c r="KH30" s="80">
        <f t="shared" si="299"/>
        <v>-761.79000011086464</v>
      </c>
      <c r="KI30" s="80">
        <f t="shared" si="299"/>
        <v>387.02999984100461</v>
      </c>
      <c r="KJ30" s="80">
        <f t="shared" si="299"/>
        <v>-440.01000015810132</v>
      </c>
      <c r="KK30" s="80">
        <f t="shared" si="299"/>
        <v>9929.4300000201911</v>
      </c>
      <c r="KL30" s="80">
        <f t="shared" si="299"/>
        <v>-3235.8699988052249</v>
      </c>
      <c r="KM30" s="80">
        <f t="shared" si="299"/>
        <v>-5082.8100018464029</v>
      </c>
      <c r="KN30" s="80">
        <f t="shared" si="299"/>
        <v>7827.0699997767806</v>
      </c>
      <c r="KO30" s="80">
        <f t="shared" si="299"/>
        <v>-393.24999944865704</v>
      </c>
      <c r="KP30" s="80">
        <f t="shared" si="299"/>
        <v>-446.04999953880906</v>
      </c>
      <c r="KQ30" s="80">
        <f t="shared" si="299"/>
        <v>-618.32999959588051</v>
      </c>
      <c r="KR30" s="80">
        <f t="shared" si="299"/>
        <v>20.829999525099993</v>
      </c>
      <c r="KS30" s="80">
        <f t="shared" si="299"/>
        <v>435.07999926060438</v>
      </c>
      <c r="KT30" s="80">
        <f t="shared" si="299"/>
        <v>-334.6699994802475</v>
      </c>
      <c r="KU30" s="80">
        <f t="shared" si="299"/>
        <v>455.26000118628144</v>
      </c>
      <c r="KV30" s="80">
        <f t="shared" si="299"/>
        <v>-393.11000102758408</v>
      </c>
      <c r="KW30" s="80">
        <f t="shared" si="299"/>
        <v>-120.35000001639128</v>
      </c>
      <c r="KX30" s="80">
        <f t="shared" si="299"/>
        <v>-12.599999897181988</v>
      </c>
      <c r="KY30" s="80">
        <f t="shared" si="299"/>
        <v>-492.64000021480024</v>
      </c>
      <c r="KZ30" s="80">
        <f t="shared" si="299"/>
        <v>-434.91999968886375</v>
      </c>
      <c r="LA30" s="80">
        <f t="shared" si="299"/>
        <v>353.15000000596046</v>
      </c>
      <c r="LB30" s="80">
        <f t="shared" si="299"/>
        <v>-497.60000028088689</v>
      </c>
      <c r="LC30" s="80">
        <f t="shared" si="299"/>
        <v>-2026.6999994367361</v>
      </c>
      <c r="LD30" s="80">
        <f t="shared" si="299"/>
        <v>50803.4199991934</v>
      </c>
      <c r="LE30" s="127">
        <f t="shared" si="60"/>
        <v>63174.289999168366</v>
      </c>
      <c r="LF30" s="80">
        <f t="shared" ref="LF30:MI30" si="300">LF29-LF28</f>
        <v>-228.76999955996871</v>
      </c>
      <c r="LG30" s="80">
        <f t="shared" si="300"/>
        <v>-3795.3599996175617</v>
      </c>
      <c r="LH30" s="80">
        <f t="shared" si="300"/>
        <v>1981.4799995273352</v>
      </c>
      <c r="LI30" s="80">
        <f t="shared" si="300"/>
        <v>-63.180000077933073</v>
      </c>
      <c r="LJ30" s="80">
        <f t="shared" si="300"/>
        <v>-573.63999886438251</v>
      </c>
      <c r="LK30" s="80">
        <f t="shared" si="300"/>
        <v>55543.499999703839</v>
      </c>
      <c r="LL30" s="80">
        <f t="shared" si="300"/>
        <v>94656.869999017566</v>
      </c>
      <c r="LM30" s="80">
        <f t="shared" si="300"/>
        <v>-692.42999996244907</v>
      </c>
      <c r="LN30" s="80">
        <f t="shared" si="300"/>
        <v>161.57999936118722</v>
      </c>
      <c r="LO30" s="80">
        <f t="shared" si="300"/>
        <v>-31.779999420046806</v>
      </c>
      <c r="LP30" s="80">
        <f t="shared" si="300"/>
        <v>24.900000628083944</v>
      </c>
      <c r="LQ30" s="80">
        <f t="shared" si="300"/>
        <v>208.13999970257282</v>
      </c>
      <c r="LR30" s="80">
        <f t="shared" si="300"/>
        <v>-190.70999901741743</v>
      </c>
      <c r="LS30" s="80">
        <f t="shared" si="300"/>
        <v>-522.84000158309937</v>
      </c>
      <c r="LT30" s="80">
        <f t="shared" si="300"/>
        <v>-257.23999943584204</v>
      </c>
      <c r="LU30" s="80">
        <f t="shared" si="300"/>
        <v>-606.29999944008887</v>
      </c>
      <c r="LV30" s="80">
        <f t="shared" si="300"/>
        <v>-385.0799998678267</v>
      </c>
      <c r="LW30" s="80">
        <f t="shared" si="300"/>
        <v>-2702.1100010313094</v>
      </c>
      <c r="LX30" s="80">
        <f t="shared" si="300"/>
        <v>2.5799996182322502</v>
      </c>
      <c r="LY30" s="80">
        <f t="shared" si="300"/>
        <v>-52220.209998995066</v>
      </c>
      <c r="LZ30" s="80">
        <f t="shared" si="300"/>
        <v>-4421.8000004589558</v>
      </c>
      <c r="MA30" s="80">
        <f t="shared" si="300"/>
        <v>-335.8099990002811</v>
      </c>
      <c r="MB30" s="80">
        <f t="shared" si="300"/>
        <v>-786.01000109314919</v>
      </c>
      <c r="MC30" s="80">
        <f t="shared" si="300"/>
        <v>183.44999966025352</v>
      </c>
      <c r="MD30" s="80">
        <f t="shared" si="300"/>
        <v>616.39999981969595</v>
      </c>
      <c r="ME30" s="80">
        <f t="shared" si="300"/>
        <v>209.70000084117055</v>
      </c>
      <c r="MF30" s="80">
        <f t="shared" si="300"/>
        <v>-115.22999999672174</v>
      </c>
      <c r="MG30" s="80">
        <f t="shared" si="300"/>
        <v>30.04999952763319</v>
      </c>
      <c r="MH30" s="80">
        <f t="shared" si="300"/>
        <v>-742.73000038228929</v>
      </c>
      <c r="MI30" s="80">
        <f t="shared" si="300"/>
        <v>-642.48999892547727</v>
      </c>
      <c r="MJ30" s="127">
        <f t="shared" si="62"/>
        <v>84304.930000677705</v>
      </c>
      <c r="MK30" s="80">
        <f t="shared" ref="MK30:NO30" si="301">MK29-MK28</f>
        <v>-5583.6400003992021</v>
      </c>
      <c r="ML30" s="80">
        <f t="shared" si="301"/>
        <v>11327.930000048131</v>
      </c>
      <c r="MM30" s="80">
        <f t="shared" si="301"/>
        <v>-865.78000018745661</v>
      </c>
      <c r="MN30" s="80">
        <f t="shared" si="301"/>
        <v>69.419999621808529</v>
      </c>
      <c r="MO30" s="80">
        <f t="shared" si="301"/>
        <v>-651.1599992737174</v>
      </c>
      <c r="MP30" s="80">
        <f t="shared" si="301"/>
        <v>8.2299995087087154</v>
      </c>
      <c r="MQ30" s="80">
        <f t="shared" si="301"/>
        <v>-448875.88999915868</v>
      </c>
      <c r="MR30" s="80">
        <f t="shared" si="301"/>
        <v>-1705.2500002011657</v>
      </c>
      <c r="MS30" s="80">
        <f t="shared" si="301"/>
        <v>-195.13000052794814</v>
      </c>
      <c r="MT30" s="80">
        <f t="shared" si="301"/>
        <v>-20.999999469146132</v>
      </c>
      <c r="MU30" s="80">
        <f t="shared" si="301"/>
        <v>621.83999969996512</v>
      </c>
      <c r="MV30" s="80">
        <f t="shared" si="301"/>
        <v>1838.7339999247342</v>
      </c>
      <c r="MW30" s="80">
        <f t="shared" si="301"/>
        <v>-1932.4089998528361</v>
      </c>
      <c r="MX30" s="80">
        <f t="shared" si="301"/>
        <v>69671.010000428185</v>
      </c>
      <c r="MY30" s="80">
        <f t="shared" si="301"/>
        <v>-72423.156000994146</v>
      </c>
      <c r="MZ30" s="80">
        <f t="shared" si="301"/>
        <v>162.81100105494261</v>
      </c>
      <c r="NA30" s="80">
        <f t="shared" si="301"/>
        <v>-101.78800074756145</v>
      </c>
      <c r="NB30" s="80">
        <f t="shared" si="301"/>
        <v>-359.64599913358688</v>
      </c>
      <c r="NC30" s="80">
        <f t="shared" si="301"/>
        <v>-861.68700111657381</v>
      </c>
      <c r="ND30" s="80">
        <f t="shared" si="301"/>
        <v>-859.69199931994081</v>
      </c>
      <c r="NE30" s="80">
        <f t="shared" si="301"/>
        <v>4.749000258743763</v>
      </c>
      <c r="NF30" s="80">
        <f t="shared" si="301"/>
        <v>3036.3499998170882</v>
      </c>
      <c r="NG30" s="80">
        <f t="shared" si="301"/>
        <v>-201.58200121298432</v>
      </c>
      <c r="NH30" s="80">
        <f t="shared" si="301"/>
        <v>193.25600102357566</v>
      </c>
      <c r="NI30" s="80">
        <f t="shared" si="301"/>
        <v>-484.50900022312999</v>
      </c>
      <c r="NJ30" s="80">
        <f t="shared" si="301"/>
        <v>-60.585999116301537</v>
      </c>
      <c r="NK30" s="80">
        <f t="shared" si="301"/>
        <v>-498.11100035533309</v>
      </c>
      <c r="NL30" s="80">
        <f t="shared" si="301"/>
        <v>1635.2119987811893</v>
      </c>
      <c r="NM30" s="80">
        <f t="shared" si="301"/>
        <v>-2611.8879994042218</v>
      </c>
      <c r="NN30" s="80">
        <f t="shared" si="301"/>
        <v>-95.705000188201666</v>
      </c>
      <c r="NO30" s="80">
        <f t="shared" si="301"/>
        <v>-180.47699990868568</v>
      </c>
      <c r="NP30" s="127">
        <f t="shared" si="64"/>
        <v>-444415.90400022455</v>
      </c>
      <c r="NQ30" s="80">
        <f t="shared" ref="NQ30:OU30" si="302">NQ29-NQ28</f>
        <v>-205.86299910396338</v>
      </c>
      <c r="NR30" s="80">
        <f t="shared" si="302"/>
        <v>-827.65700091794133</v>
      </c>
      <c r="NS30" s="80">
        <f t="shared" si="302"/>
        <v>59348.840999986976</v>
      </c>
      <c r="NT30" s="80">
        <f t="shared" si="302"/>
        <v>132567.88000014052</v>
      </c>
      <c r="NU30" s="80">
        <f t="shared" si="302"/>
        <v>23138.13700068742</v>
      </c>
      <c r="NV30" s="80">
        <f t="shared" si="302"/>
        <v>-1363.1280002146959</v>
      </c>
      <c r="NW30" s="80">
        <f t="shared" si="302"/>
        <v>-8821.8340004645288</v>
      </c>
      <c r="NX30" s="80">
        <f t="shared" si="302"/>
        <v>-446.86499992758036</v>
      </c>
      <c r="NY30" s="80">
        <f t="shared" si="302"/>
        <v>57.305999904870987</v>
      </c>
      <c r="NZ30" s="80">
        <f t="shared" si="302"/>
        <v>-213.16799958609045</v>
      </c>
      <c r="OA30" s="80">
        <f t="shared" si="302"/>
        <v>-20202.355999816209</v>
      </c>
      <c r="OB30" s="80">
        <f t="shared" si="302"/>
        <v>-449.63700072281063</v>
      </c>
      <c r="OC30" s="80">
        <f t="shared" si="302"/>
        <v>198.37900052592158</v>
      </c>
      <c r="OD30" s="80">
        <f t="shared" si="302"/>
        <v>-129.45100094377995</v>
      </c>
      <c r="OE30" s="80">
        <f t="shared" si="302"/>
        <v>88.943001080304384</v>
      </c>
      <c r="OF30" s="80">
        <f t="shared" si="302"/>
        <v>-4459.9330007657409</v>
      </c>
      <c r="OG30" s="80">
        <f t="shared" si="302"/>
        <v>-876.49199995025992</v>
      </c>
      <c r="OH30" s="80">
        <f t="shared" si="302"/>
        <v>-573.29999930784106</v>
      </c>
      <c r="OI30" s="80">
        <f t="shared" si="302"/>
        <v>334.15599932894111</v>
      </c>
      <c r="OJ30" s="80">
        <f t="shared" si="302"/>
        <v>-578.85500024631619</v>
      </c>
      <c r="OK30" s="80">
        <f t="shared" si="302"/>
        <v>23794.865000896156</v>
      </c>
      <c r="OL30" s="80">
        <f t="shared" si="302"/>
        <v>-855.87900016456842</v>
      </c>
      <c r="OM30" s="80">
        <f t="shared" si="302"/>
        <v>-459.04400057345629</v>
      </c>
      <c r="ON30" s="80">
        <f t="shared" si="302"/>
        <v>7478.7330006286502</v>
      </c>
      <c r="OO30" s="80">
        <f t="shared" si="302"/>
        <v>-404.37300000339746</v>
      </c>
      <c r="OP30" s="80">
        <f t="shared" si="302"/>
        <v>-42.385999292135239</v>
      </c>
      <c r="OQ30" s="80">
        <f t="shared" si="302"/>
        <v>-62.867000997066498</v>
      </c>
      <c r="OR30" s="80">
        <f t="shared" si="302"/>
        <v>72.880999762564898</v>
      </c>
      <c r="OS30" s="80">
        <f t="shared" si="302"/>
        <v>-491.84999982826412</v>
      </c>
      <c r="OT30" s="80">
        <f t="shared" si="302"/>
        <v>201.2400001809001</v>
      </c>
      <c r="OU30" s="80">
        <f t="shared" si="302"/>
        <v>-198.79699952527881</v>
      </c>
      <c r="OV30" s="127">
        <f t="shared" si="66"/>
        <v>205823.48899987526</v>
      </c>
      <c r="OW30" s="80">
        <f t="shared" ref="OW30:PZ30" si="303">OW29-OW28</f>
        <v>-62.466000504791737</v>
      </c>
      <c r="OX30" s="80">
        <f t="shared" si="303"/>
        <v>-961.77199978381395</v>
      </c>
      <c r="OY30" s="80">
        <f t="shared" si="303"/>
        <v>815.52300009131432</v>
      </c>
      <c r="OZ30" s="80">
        <f t="shared" si="303"/>
        <v>507.24499956890941</v>
      </c>
      <c r="PA30" s="80">
        <f t="shared" si="303"/>
        <v>-785.65099966339767</v>
      </c>
      <c r="PB30" s="80">
        <f t="shared" si="303"/>
        <v>144.00799909234047</v>
      </c>
      <c r="PC30" s="80">
        <f t="shared" si="303"/>
        <v>294976.81100134179</v>
      </c>
      <c r="PD30" s="80">
        <f t="shared" si="303"/>
        <v>-509.55900128372014</v>
      </c>
      <c r="PE30" s="80">
        <f t="shared" si="303"/>
        <v>367.3250014744699</v>
      </c>
      <c r="PF30" s="80">
        <f t="shared" si="303"/>
        <v>-147.01300140097737</v>
      </c>
      <c r="PG30" s="80">
        <f t="shared" si="303"/>
        <v>-416.96299954503775</v>
      </c>
      <c r="PH30" s="80">
        <f t="shared" si="303"/>
        <v>-1333.0329999364913</v>
      </c>
      <c r="PI30" s="80">
        <f t="shared" si="303"/>
        <v>-285.83499982208014</v>
      </c>
      <c r="PJ30" s="80">
        <f t="shared" si="303"/>
        <v>-668.00200021639466</v>
      </c>
      <c r="PK30" s="80">
        <f t="shared" si="303"/>
        <v>169.67400012165308</v>
      </c>
      <c r="PL30" s="80">
        <f t="shared" si="303"/>
        <v>-1567.3710000999272</v>
      </c>
      <c r="PM30" s="80">
        <f t="shared" si="303"/>
        <v>-559.08899941295385</v>
      </c>
      <c r="PN30" s="80">
        <f t="shared" si="303"/>
        <v>236.04399903491139</v>
      </c>
      <c r="PO30" s="80">
        <f t="shared" si="303"/>
        <v>568.02599992603064</v>
      </c>
      <c r="PP30" s="80">
        <f t="shared" si="303"/>
        <v>-1.9569997917860746</v>
      </c>
      <c r="PQ30" s="80">
        <f t="shared" si="303"/>
        <v>-875.17599910870194</v>
      </c>
      <c r="PR30" s="80">
        <f t="shared" si="303"/>
        <v>-283.77800079062581</v>
      </c>
      <c r="PS30" s="80">
        <f t="shared" si="303"/>
        <v>-102.05799955502152</v>
      </c>
      <c r="PT30" s="80">
        <f t="shared" si="303"/>
        <v>-51423.000999711454</v>
      </c>
      <c r="PU30" s="80">
        <f t="shared" si="303"/>
        <v>58.571999076753855</v>
      </c>
      <c r="PV30" s="80">
        <f t="shared" si="303"/>
        <v>-589.77799921110272</v>
      </c>
      <c r="PW30" s="80">
        <f t="shared" si="303"/>
        <v>320.29700044728816</v>
      </c>
      <c r="PX30" s="80">
        <f t="shared" si="303"/>
        <v>-434.27300086244941</v>
      </c>
      <c r="PY30" s="80">
        <f t="shared" si="303"/>
        <v>150.19800002500415</v>
      </c>
      <c r="PZ30" s="80">
        <f t="shared" si="303"/>
        <v>4974.9380002710968</v>
      </c>
      <c r="QA30" s="127">
        <f t="shared" si="68"/>
        <v>242281.88599977084</v>
      </c>
      <c r="QB30" s="80">
        <f t="shared" ref="QB30:RF30" si="304">QB29-QB28</f>
        <v>5292284.4299995638</v>
      </c>
      <c r="QC30" s="80">
        <f t="shared" si="304"/>
        <v>516.48600033298135</v>
      </c>
      <c r="QD30" s="80">
        <f t="shared" si="304"/>
        <v>-161.59400081634521</v>
      </c>
      <c r="QE30" s="80">
        <f t="shared" si="304"/>
        <v>-355.70799926295877</v>
      </c>
      <c r="QF30" s="80">
        <f t="shared" si="304"/>
        <v>-221.59200031682849</v>
      </c>
      <c r="QG30" s="80">
        <f t="shared" si="304"/>
        <v>-850.91599994897842</v>
      </c>
      <c r="QH30" s="80">
        <f t="shared" si="304"/>
        <v>-753.39400028064847</v>
      </c>
      <c r="QI30" s="80">
        <f t="shared" si="304"/>
        <v>-617.43499982915819</v>
      </c>
      <c r="QJ30" s="80">
        <f t="shared" si="304"/>
        <v>75337.77799969539</v>
      </c>
      <c r="QK30" s="80">
        <f t="shared" si="304"/>
        <v>-289.29699899256229</v>
      </c>
      <c r="QL30" s="80">
        <f t="shared" si="304"/>
        <v>-354.41900027915835</v>
      </c>
      <c r="QM30" s="80">
        <f t="shared" si="304"/>
        <v>-588.96100081130862</v>
      </c>
      <c r="QN30" s="80">
        <f t="shared" si="304"/>
        <v>-792.5339997317642</v>
      </c>
      <c r="QO30" s="80">
        <f t="shared" si="304"/>
        <v>-637.66600013524294</v>
      </c>
      <c r="QP30" s="80">
        <f t="shared" si="304"/>
        <v>-134.92199922911823</v>
      </c>
      <c r="QQ30" s="80">
        <f t="shared" si="304"/>
        <v>158.42699933238328</v>
      </c>
      <c r="QR30" s="80">
        <f t="shared" si="304"/>
        <v>-390.6000003516674</v>
      </c>
      <c r="QS30" s="80">
        <f t="shared" si="304"/>
        <v>228.03800085186958</v>
      </c>
      <c r="QT30" s="80">
        <f t="shared" si="304"/>
        <v>-666.63000070676208</v>
      </c>
      <c r="QU30" s="80">
        <f t="shared" si="304"/>
        <v>-672.56999970600009</v>
      </c>
      <c r="QV30" s="80">
        <f t="shared" si="304"/>
        <v>423.37500037439167</v>
      </c>
      <c r="QW30" s="80">
        <f t="shared" si="304"/>
        <v>233.87700009346008</v>
      </c>
      <c r="QX30" s="80">
        <f t="shared" si="304"/>
        <v>186.69999905116856</v>
      </c>
      <c r="QY30" s="80">
        <f t="shared" si="304"/>
        <v>-235.27999927848577</v>
      </c>
      <c r="QZ30" s="80">
        <f t="shared" si="304"/>
        <v>-91559.426999408752</v>
      </c>
      <c r="RA30" s="80">
        <f t="shared" si="304"/>
        <v>-2782.050000930205</v>
      </c>
      <c r="RB30" s="80">
        <f t="shared" si="304"/>
        <v>-803.63700011372566</v>
      </c>
      <c r="RC30" s="80">
        <f t="shared" si="304"/>
        <v>444.29500090703368</v>
      </c>
      <c r="RD30" s="80">
        <f t="shared" si="304"/>
        <v>644.13100002892315</v>
      </c>
      <c r="RE30" s="80">
        <f t="shared" si="304"/>
        <v>7839.1990000084043</v>
      </c>
      <c r="RF30" s="80">
        <f t="shared" si="304"/>
        <v>-3896.0930002965033</v>
      </c>
      <c r="RG30" s="127">
        <f t="shared" si="147"/>
        <v>-20752.418999750167</v>
      </c>
      <c r="RH30" s="80">
        <f t="shared" ref="RH30:SK30" si="305">RH29-RH28</f>
        <v>9586.1489991210401</v>
      </c>
      <c r="RI30" s="80">
        <f t="shared" si="305"/>
        <v>-104.46999969705939</v>
      </c>
      <c r="RJ30" s="80">
        <f t="shared" si="305"/>
        <v>-408.10799977555871</v>
      </c>
      <c r="RK30" s="80">
        <f t="shared" si="305"/>
        <v>-146.23499960824847</v>
      </c>
      <c r="RL30" s="80">
        <f t="shared" si="305"/>
        <v>-61.463000435382128</v>
      </c>
      <c r="RM30" s="80">
        <f t="shared" si="305"/>
        <v>-8.4230001699179411</v>
      </c>
      <c r="RN30" s="80">
        <f t="shared" si="305"/>
        <v>2072.0020007733256</v>
      </c>
      <c r="RO30" s="80">
        <f t="shared" si="305"/>
        <v>345.27199950255454</v>
      </c>
      <c r="RP30" s="80">
        <f t="shared" si="305"/>
        <v>125392.76500019431</v>
      </c>
      <c r="RQ30" s="80">
        <f t="shared" si="305"/>
        <v>-51.320000074803829</v>
      </c>
      <c r="RR30" s="80">
        <f t="shared" si="305"/>
        <v>-39.720999972894788</v>
      </c>
      <c r="RS30" s="80">
        <f t="shared" si="305"/>
        <v>-204.85400038212538</v>
      </c>
      <c r="RT30" s="80">
        <f t="shared" si="305"/>
        <v>-599.50499898009002</v>
      </c>
      <c r="RU30" s="80">
        <f t="shared" si="305"/>
        <v>-100.54600100964308</v>
      </c>
      <c r="RV30" s="80">
        <f t="shared" si="305"/>
        <v>-1301.3709995225072</v>
      </c>
      <c r="RW30" s="80">
        <f t="shared" si="305"/>
        <v>-974.57300033047795</v>
      </c>
      <c r="RX30" s="80">
        <f t="shared" si="305"/>
        <v>-636.21399962902069</v>
      </c>
      <c r="RY30" s="80">
        <f t="shared" si="305"/>
        <v>32261.869999537244</v>
      </c>
      <c r="RZ30" s="80">
        <f t="shared" si="305"/>
        <v>238.45000067539513</v>
      </c>
      <c r="SA30" s="80">
        <f t="shared" si="305"/>
        <v>-294.250000461936</v>
      </c>
      <c r="SB30" s="80">
        <f t="shared" si="305"/>
        <v>265.05000011250377</v>
      </c>
      <c r="SC30" s="80">
        <f t="shared" si="305"/>
        <v>-360.02000020630658</v>
      </c>
      <c r="SD30" s="80">
        <f t="shared" si="305"/>
        <v>-720.89999963343143</v>
      </c>
      <c r="SE30" s="80">
        <f t="shared" si="305"/>
        <v>-1885.0300005972385</v>
      </c>
      <c r="SF30" s="80">
        <f t="shared" si="305"/>
        <v>-535.34999994747341</v>
      </c>
      <c r="SG30" s="80">
        <f t="shared" si="305"/>
        <v>-2399.7299995888025</v>
      </c>
      <c r="SH30" s="80">
        <f t="shared" si="305"/>
        <v>224.80999987572432</v>
      </c>
      <c r="SI30" s="80">
        <f t="shared" si="305"/>
        <v>-465.71000020205975</v>
      </c>
      <c r="SJ30" s="80">
        <f t="shared" si="305"/>
        <v>-2199.6699988450855</v>
      </c>
      <c r="SK30" s="80">
        <f t="shared" si="305"/>
        <v>-839.14000089652836</v>
      </c>
      <c r="SL30" s="127">
        <f t="shared" si="207"/>
        <v>156049.76499982551</v>
      </c>
      <c r="SM30" s="80">
        <f t="shared" ref="SM30:TQ30" si="306">SM29-SM28</f>
        <v>314.05999924242496</v>
      </c>
      <c r="SN30" s="80">
        <f t="shared" si="306"/>
        <v>244.85000102967024</v>
      </c>
      <c r="SO30" s="80">
        <f t="shared" si="306"/>
        <v>303.88999955356121</v>
      </c>
      <c r="SP30" s="80">
        <f t="shared" si="306"/>
        <v>-212.5099992454052</v>
      </c>
      <c r="SQ30" s="80">
        <f t="shared" si="306"/>
        <v>-248.32000105082989</v>
      </c>
      <c r="SR30" s="80">
        <f t="shared" si="306"/>
        <v>67.119999837130308</v>
      </c>
      <c r="SS30" s="80">
        <f t="shared" si="306"/>
        <v>-933.49999895319343</v>
      </c>
      <c r="ST30" s="80">
        <f t="shared" si="306"/>
        <v>-901.3200004696846</v>
      </c>
      <c r="SU30" s="80">
        <f t="shared" si="306"/>
        <v>391.83000063896179</v>
      </c>
      <c r="SV30" s="80">
        <f t="shared" si="306"/>
        <v>40.299999373033643</v>
      </c>
      <c r="SW30" s="80">
        <f t="shared" si="306"/>
        <v>-323.49999995157123</v>
      </c>
      <c r="SX30" s="80">
        <f t="shared" si="306"/>
        <v>361.28999979048967</v>
      </c>
      <c r="SY30" s="80">
        <f t="shared" si="306"/>
        <v>19856.01000045985</v>
      </c>
      <c r="SZ30" s="80">
        <f t="shared" si="306"/>
        <v>-348.86000116914511</v>
      </c>
      <c r="TA30" s="80">
        <f t="shared" si="306"/>
        <v>-651.92999956943095</v>
      </c>
      <c r="TB30" s="80">
        <f t="shared" si="306"/>
        <v>-128.63999919593334</v>
      </c>
      <c r="TC30" s="80">
        <f t="shared" si="306"/>
        <v>228.58999940380454</v>
      </c>
      <c r="TD30" s="80">
        <f t="shared" si="306"/>
        <v>-803.58999957703054</v>
      </c>
      <c r="TE30" s="80">
        <f t="shared" si="306"/>
        <v>-15004.829999096692</v>
      </c>
      <c r="TF30" s="80">
        <f t="shared" si="306"/>
        <v>-543.79000094346702</v>
      </c>
      <c r="TG30" s="80">
        <f t="shared" si="306"/>
        <v>-241.05000010877848</v>
      </c>
      <c r="TH30" s="80">
        <f t="shared" si="306"/>
        <v>-884.45000024884939</v>
      </c>
      <c r="TI30" s="80">
        <f t="shared" si="306"/>
        <v>346.00000019557774</v>
      </c>
      <c r="TJ30" s="80">
        <f t="shared" si="306"/>
        <v>-735.13999898731709</v>
      </c>
      <c r="TK30" s="80">
        <f t="shared" si="306"/>
        <v>342.00999973714352</v>
      </c>
      <c r="TL30" s="80">
        <f t="shared" si="306"/>
        <v>-125.37000032141805</v>
      </c>
      <c r="TM30" s="80">
        <f t="shared" si="306"/>
        <v>-362.72000060603023</v>
      </c>
      <c r="TN30" s="80">
        <f t="shared" si="306"/>
        <v>-117.67000002786517</v>
      </c>
      <c r="TO30" s="80">
        <f t="shared" si="306"/>
        <v>-465.48000002838671</v>
      </c>
      <c r="TP30" s="80">
        <f t="shared" si="306"/>
        <v>334.91999923810363</v>
      </c>
      <c r="TQ30" s="80">
        <f t="shared" si="306"/>
        <v>-507.10999841988087</v>
      </c>
      <c r="TR30" s="127">
        <f t="shared" si="226"/>
        <v>-1022.9699987135828</v>
      </c>
      <c r="TS30" s="80">
        <f t="shared" ref="TS30:UW30" si="307">TS29-TS28</f>
        <v>-660.28000106662512</v>
      </c>
      <c r="TT30" s="80">
        <f t="shared" si="307"/>
        <v>322.7699999846518</v>
      </c>
      <c r="TU30" s="80">
        <f t="shared" si="307"/>
        <v>-262.12999976985157</v>
      </c>
      <c r="TV30" s="80">
        <f t="shared" si="307"/>
        <v>-197.92999864369631</v>
      </c>
      <c r="TW30" s="80">
        <f t="shared" si="307"/>
        <v>-996.31000073626637</v>
      </c>
      <c r="TX30" s="80">
        <f t="shared" si="307"/>
        <v>13.440000042319298</v>
      </c>
      <c r="TY30" s="80">
        <f t="shared" si="307"/>
        <v>-559.24000034481287</v>
      </c>
      <c r="TZ30" s="80">
        <f t="shared" si="307"/>
        <v>-239.63999989256263</v>
      </c>
      <c r="UA30" s="80">
        <f t="shared" si="307"/>
        <v>-172.32000098749995</v>
      </c>
      <c r="UB30" s="80">
        <f t="shared" si="307"/>
        <v>-1258.3999994508922</v>
      </c>
      <c r="UC30" s="80">
        <f t="shared" si="307"/>
        <v>311.89999974519014</v>
      </c>
      <c r="UD30" s="80">
        <f t="shared" si="307"/>
        <v>-362.35999980196357</v>
      </c>
      <c r="UE30" s="80">
        <f t="shared" si="307"/>
        <v>-371.40999984741211</v>
      </c>
      <c r="UF30" s="80">
        <f t="shared" si="307"/>
        <v>476.2200002335012</v>
      </c>
      <c r="UG30" s="80">
        <f t="shared" si="307"/>
        <v>-7605.9399999435991</v>
      </c>
      <c r="UH30" s="80">
        <f t="shared" si="307"/>
        <v>-221.64999990724027</v>
      </c>
      <c r="UI30" s="80">
        <f t="shared" si="307"/>
        <v>-190.39999974146485</v>
      </c>
      <c r="UJ30" s="80">
        <f t="shared" si="307"/>
        <v>-803.81000063940883</v>
      </c>
      <c r="UK30" s="80">
        <f t="shared" si="307"/>
        <v>19776.160000039265</v>
      </c>
      <c r="UL30" s="80">
        <f t="shared" si="307"/>
        <v>-91.569999426603317</v>
      </c>
      <c r="UM30" s="80">
        <f t="shared" si="307"/>
        <v>3401.9199997447431</v>
      </c>
      <c r="UN30" s="80">
        <f t="shared" si="307"/>
        <v>-2531.6100006587803</v>
      </c>
      <c r="UO30" s="80">
        <f t="shared" si="307"/>
        <v>1765.0100011117756</v>
      </c>
      <c r="UP30" s="80">
        <f t="shared" si="307"/>
        <v>-1910.7700012028217</v>
      </c>
      <c r="UQ30" s="80">
        <f t="shared" si="307"/>
        <v>-341.49999872222543</v>
      </c>
      <c r="UR30" s="80">
        <f t="shared" si="307"/>
        <v>-504.92000080272555</v>
      </c>
      <c r="US30" s="80">
        <f t="shared" si="307"/>
        <v>7645.4000000413507</v>
      </c>
      <c r="UT30" s="80">
        <f t="shared" si="307"/>
        <v>-2661.2000005692244</v>
      </c>
      <c r="UU30" s="80">
        <f t="shared" si="307"/>
        <v>94.990000642836094</v>
      </c>
      <c r="UV30" s="80">
        <f t="shared" si="307"/>
        <v>-282.83999956957996</v>
      </c>
      <c r="UW30" s="80">
        <f t="shared" si="307"/>
        <v>-436.38000068813562</v>
      </c>
      <c r="UX30" s="127">
        <f t="shared" si="228"/>
        <v>11805.480000238866</v>
      </c>
      <c r="UY30" s="80">
        <f t="shared" ref="UY30:VZ30" si="308">UY29-UY28</f>
        <v>-165.75999985635281</v>
      </c>
      <c r="UZ30" s="80">
        <f t="shared" si="308"/>
        <v>-367.79999972507358</v>
      </c>
      <c r="VA30" s="80">
        <f t="shared" si="308"/>
        <v>-106.45999997854233</v>
      </c>
      <c r="VB30" s="80">
        <f t="shared" si="308"/>
        <v>213.4799998998642</v>
      </c>
      <c r="VC30" s="80">
        <f t="shared" si="308"/>
        <v>-44381.329999756068</v>
      </c>
      <c r="VD30" s="80">
        <f t="shared" si="308"/>
        <v>15486.569999532774</v>
      </c>
      <c r="VE30" s="80">
        <f t="shared" si="308"/>
        <v>-58.703999415040016</v>
      </c>
      <c r="VF30" s="80">
        <f t="shared" si="308"/>
        <v>657.87899974361062</v>
      </c>
      <c r="VG30" s="80">
        <f t="shared" si="308"/>
        <v>102.03699975460768</v>
      </c>
      <c r="VH30" s="80">
        <f t="shared" si="308"/>
        <v>-192.39599918201566</v>
      </c>
      <c r="VI30" s="80">
        <f t="shared" si="308"/>
        <v>-33583.859000226483</v>
      </c>
      <c r="VJ30" s="80">
        <f t="shared" si="308"/>
        <v>341.65199957787991</v>
      </c>
      <c r="VK30" s="80">
        <f t="shared" si="308"/>
        <v>-337.06900038570166</v>
      </c>
      <c r="VL30" s="80">
        <f t="shared" si="308"/>
        <v>-516.83199904859066</v>
      </c>
      <c r="VM30" s="80">
        <f t="shared" si="308"/>
        <v>-496.88700116239488</v>
      </c>
      <c r="VN30" s="80">
        <f t="shared" si="308"/>
        <v>-268.27699820511043</v>
      </c>
      <c r="VO30" s="80">
        <f t="shared" si="308"/>
        <v>-2333.5960010513663</v>
      </c>
      <c r="VP30" s="80">
        <f t="shared" si="308"/>
        <v>-85.787999650463462</v>
      </c>
      <c r="VQ30" s="80">
        <f t="shared" si="308"/>
        <v>-261.25899982638657</v>
      </c>
      <c r="VR30" s="80">
        <f t="shared" si="308"/>
        <v>-741.84000052884221</v>
      </c>
      <c r="VS30" s="80">
        <f t="shared" si="308"/>
        <v>50.40200031735003</v>
      </c>
      <c r="VT30" s="80">
        <f t="shared" si="308"/>
        <v>-88.439999889582396</v>
      </c>
      <c r="VU30" s="80">
        <f t="shared" si="308"/>
        <v>19.175999941304326</v>
      </c>
      <c r="VV30" s="80">
        <f t="shared" si="308"/>
        <v>7195.6559996195138</v>
      </c>
      <c r="VW30" s="80">
        <f t="shared" si="308"/>
        <v>-72.364000018686056</v>
      </c>
      <c r="VX30" s="80">
        <f t="shared" si="308"/>
        <v>-878.29199973493814</v>
      </c>
      <c r="VY30" s="80">
        <f t="shared" si="308"/>
        <v>-19564.566999468952</v>
      </c>
      <c r="VZ30" s="80">
        <f t="shared" si="308"/>
        <v>-634.42900060862303</v>
      </c>
      <c r="WA30" s="127">
        <f>SUM(UW30:VZ30)</f>
        <v>-69699.996999781579</v>
      </c>
      <c r="WB30" s="80">
        <f t="shared" ref="WB30:XF30" si="309">WB29-WB28</f>
        <v>-487.71900041028857</v>
      </c>
      <c r="WC30" s="80">
        <f t="shared" si="309"/>
        <v>-627.1870003156364</v>
      </c>
      <c r="WD30" s="80">
        <f t="shared" si="309"/>
        <v>-464.47999903559685</v>
      </c>
      <c r="WE30" s="80">
        <f t="shared" si="309"/>
        <v>-339.60800128057599</v>
      </c>
      <c r="WF30" s="80">
        <f t="shared" si="309"/>
        <v>302.37100045196712</v>
      </c>
      <c r="WG30" s="80">
        <f t="shared" si="309"/>
        <v>2263.7979997470975</v>
      </c>
      <c r="WH30" s="80">
        <f t="shared" si="309"/>
        <v>-2054.0749988351017</v>
      </c>
      <c r="WI30" s="80">
        <f t="shared" si="309"/>
        <v>-886.75400038249791</v>
      </c>
      <c r="WJ30" s="80">
        <f t="shared" si="309"/>
        <v>-10153.23700016737</v>
      </c>
      <c r="WK30" s="80">
        <f t="shared" si="309"/>
        <v>261.84299971163273</v>
      </c>
      <c r="WL30" s="80">
        <f t="shared" si="309"/>
        <v>-494.3630011305213</v>
      </c>
      <c r="WM30" s="80">
        <f t="shared" si="309"/>
        <v>-1853.3619998022914</v>
      </c>
      <c r="WN30" s="80">
        <f t="shared" si="309"/>
        <v>-837.80899982899427</v>
      </c>
      <c r="WO30" s="80">
        <f t="shared" si="309"/>
        <v>-1646.0539985708892</v>
      </c>
      <c r="WP30" s="80">
        <f t="shared" si="309"/>
        <v>-116.70199991576374</v>
      </c>
      <c r="WQ30" s="80">
        <f t="shared" si="309"/>
        <v>-581.05499975383282</v>
      </c>
      <c r="WR30" s="80">
        <f t="shared" si="309"/>
        <v>17720.759999673814</v>
      </c>
      <c r="WS30" s="80">
        <f t="shared" si="309"/>
        <v>68.705000357702374</v>
      </c>
      <c r="WT30" s="80">
        <f t="shared" si="309"/>
        <v>676.53399885073304</v>
      </c>
      <c r="WU30" s="80">
        <f t="shared" si="309"/>
        <v>-327.38699976913631</v>
      </c>
      <c r="WV30" s="80">
        <f t="shared" si="309"/>
        <v>-38.854999668896198</v>
      </c>
      <c r="WW30" s="80">
        <f t="shared" si="309"/>
        <v>-77.975000135600567</v>
      </c>
      <c r="WX30" s="80">
        <f t="shared" si="309"/>
        <v>-761.58599994331598</v>
      </c>
      <c r="WY30" s="80">
        <f t="shared" si="309"/>
        <v>273.28399961069226</v>
      </c>
      <c r="WZ30" s="80">
        <f t="shared" si="309"/>
        <v>-318.57300020754337</v>
      </c>
      <c r="XA30" s="80">
        <f t="shared" si="309"/>
        <v>16001.267999852076</v>
      </c>
      <c r="XB30" s="80">
        <f t="shared" si="309"/>
        <v>-323.53300016373396</v>
      </c>
      <c r="XC30" s="80">
        <f t="shared" si="309"/>
        <v>171.16400107555091</v>
      </c>
      <c r="XD30" s="80">
        <f t="shared" si="309"/>
        <v>800.03899976611137</v>
      </c>
      <c r="XE30" s="80">
        <f t="shared" si="309"/>
        <v>790.18799893930554</v>
      </c>
      <c r="XF30" s="80">
        <f t="shared" si="309"/>
        <v>-699.28499949909747</v>
      </c>
      <c r="XG30" s="127">
        <f t="shared" si="267"/>
        <v>16240.354999219999</v>
      </c>
      <c r="XH30" s="80">
        <f t="shared" ref="XH30:YK30" si="310">XH29-XH28</f>
        <v>-2538.3589991219342</v>
      </c>
      <c r="XI30" s="80">
        <f t="shared" si="310"/>
        <v>-267.3969998806715</v>
      </c>
      <c r="XJ30" s="80">
        <f t="shared" si="310"/>
        <v>12364.434999793768</v>
      </c>
      <c r="XK30" s="80">
        <f t="shared" si="310"/>
        <v>-202.18000022694468</v>
      </c>
      <c r="XL30" s="80">
        <f t="shared" si="310"/>
        <v>-5938.8400006778538</v>
      </c>
      <c r="XM30" s="80">
        <f t="shared" si="310"/>
        <v>-599.61500004678965</v>
      </c>
      <c r="XN30" s="80">
        <f t="shared" si="310"/>
        <v>481.28000131249428</v>
      </c>
      <c r="XO30" s="80">
        <f t="shared" si="310"/>
        <v>37.480000138282776</v>
      </c>
      <c r="XP30" s="80">
        <f t="shared" si="310"/>
        <v>-193.23500096425414</v>
      </c>
      <c r="XQ30" s="80">
        <f t="shared" si="310"/>
        <v>-460.5799998883158</v>
      </c>
      <c r="XR30" s="80">
        <f t="shared" si="310"/>
        <v>-22215.929999805987</v>
      </c>
      <c r="XS30" s="80">
        <f t="shared" si="310"/>
        <v>-845.200000859797</v>
      </c>
      <c r="XT30" s="80">
        <f t="shared" si="310"/>
        <v>-127.98499895259738</v>
      </c>
      <c r="XU30" s="80">
        <f t="shared" si="310"/>
        <v>351.33499968983233</v>
      </c>
      <c r="XV30" s="80">
        <f t="shared" si="310"/>
        <v>-14878.710000662133</v>
      </c>
      <c r="XW30" s="80">
        <f t="shared" si="310"/>
        <v>30491.695001797751</v>
      </c>
      <c r="XX30" s="80">
        <f t="shared" si="310"/>
        <v>-71.000001156702638</v>
      </c>
      <c r="XY30" s="80">
        <f t="shared" si="310"/>
        <v>-564.44999969564378</v>
      </c>
      <c r="XZ30" s="80">
        <f t="shared" si="310"/>
        <v>-653.69999961927533</v>
      </c>
      <c r="YA30" s="80">
        <f t="shared" si="310"/>
        <v>-59409.950000483543</v>
      </c>
      <c r="YB30" s="80">
        <f t="shared" si="310"/>
        <v>-100.44999982044101</v>
      </c>
      <c r="YC30" s="80">
        <f t="shared" si="310"/>
        <v>-163.75000043213367</v>
      </c>
      <c r="YD30" s="80">
        <f t="shared" si="310"/>
        <v>-525.80000089481473</v>
      </c>
      <c r="YE30" s="80">
        <f t="shared" si="310"/>
        <v>512.40000094473362</v>
      </c>
      <c r="YF30" s="80">
        <f t="shared" si="310"/>
        <v>81.100000128149986</v>
      </c>
      <c r="YG30" s="80">
        <f t="shared" si="310"/>
        <v>-719.39999965392053</v>
      </c>
      <c r="YH30" s="80">
        <f t="shared" si="310"/>
        <v>-72.500000985339284</v>
      </c>
      <c r="YI30" s="80">
        <f t="shared" si="310"/>
        <v>-77.149998616427183</v>
      </c>
      <c r="YJ30" s="80">
        <f t="shared" si="310"/>
        <v>5.6999999992549419</v>
      </c>
      <c r="YK30" s="80">
        <f t="shared" si="310"/>
        <v>-168.95000109635293</v>
      </c>
      <c r="YL30" s="127">
        <f t="shared" si="269"/>
        <v>-66469.705999737605</v>
      </c>
      <c r="YM30" s="80">
        <f t="shared" ref="YM30:ZQ30" si="311">YM29-YM28</f>
        <v>69.050000695511699</v>
      </c>
      <c r="YN30" s="80">
        <f t="shared" si="311"/>
        <v>-654.04999987781048</v>
      </c>
      <c r="YO30" s="80">
        <f t="shared" si="311"/>
        <v>1409189.4999996722</v>
      </c>
      <c r="YP30" s="80">
        <f t="shared" si="311"/>
        <v>5.449999688193202</v>
      </c>
      <c r="YQ30" s="80">
        <f t="shared" si="311"/>
        <v>-96304.199998982251</v>
      </c>
      <c r="YR30" s="80">
        <f t="shared" si="311"/>
        <v>3926.4999997094274</v>
      </c>
      <c r="YS30" s="80">
        <f t="shared" si="311"/>
        <v>-4630.250001417473</v>
      </c>
      <c r="YT30" s="80">
        <f t="shared" si="311"/>
        <v>36.649999998975545</v>
      </c>
      <c r="YU30" s="80">
        <f t="shared" si="311"/>
        <v>-190.59999921545386</v>
      </c>
      <c r="YV30" s="80">
        <f t="shared" si="311"/>
        <v>24320.849999539554</v>
      </c>
      <c r="YW30" s="80">
        <f t="shared" si="311"/>
        <v>34505.30000032112</v>
      </c>
      <c r="YX30" s="80">
        <f t="shared" si="311"/>
        <v>529.44999994337559</v>
      </c>
      <c r="YY30" s="80">
        <f t="shared" si="311"/>
        <v>-2038.3000001125038</v>
      </c>
      <c r="YZ30" s="80">
        <f t="shared" si="311"/>
        <v>-935.10000013932586</v>
      </c>
      <c r="ZA30" s="80">
        <f t="shared" si="311"/>
        <v>174.70000096410513</v>
      </c>
      <c r="ZB30" s="80">
        <f t="shared" si="311"/>
        <v>-553.65000053867698</v>
      </c>
      <c r="ZC30" s="80">
        <f t="shared" si="311"/>
        <v>-1391.7000002600253</v>
      </c>
      <c r="ZD30" s="80">
        <f t="shared" si="311"/>
        <v>616.10000010952353</v>
      </c>
      <c r="ZE30" s="80">
        <f t="shared" si="311"/>
        <v>271.09999960288405</v>
      </c>
      <c r="ZF30" s="80">
        <f t="shared" si="311"/>
        <v>166.00000045448542</v>
      </c>
      <c r="ZG30" s="80">
        <f t="shared" si="311"/>
        <v>-75.399999246001244</v>
      </c>
      <c r="ZH30" s="80">
        <f t="shared" si="311"/>
        <v>-255.65000020712614</v>
      </c>
      <c r="ZI30" s="80">
        <f t="shared" si="311"/>
        <v>-662.20000064373016</v>
      </c>
      <c r="ZJ30" s="80">
        <f t="shared" si="311"/>
        <v>-99.899999491870403</v>
      </c>
      <c r="ZK30" s="80">
        <f t="shared" si="311"/>
        <v>-388.4499994199723</v>
      </c>
      <c r="ZL30" s="80">
        <f t="shared" si="311"/>
        <v>-410.65000066533685</v>
      </c>
      <c r="ZM30" s="80">
        <f t="shared" si="311"/>
        <v>-14678.000000370666</v>
      </c>
      <c r="ZN30" s="80">
        <f t="shared" si="311"/>
        <v>1746.6500002145767</v>
      </c>
      <c r="ZO30" s="80">
        <f t="shared" si="311"/>
        <v>-2844.5200004372746</v>
      </c>
      <c r="ZP30" s="80">
        <f t="shared" si="311"/>
        <v>491.27999981865287</v>
      </c>
      <c r="ZQ30" s="80">
        <f t="shared" si="311"/>
        <v>-9979.1500001084059</v>
      </c>
      <c r="ZR30" s="127">
        <f>SUM(YN30:ZQ30)</f>
        <v>1339887.7599989031</v>
      </c>
      <c r="ZS30" s="80">
        <f t="shared" ref="ZS30:AAV30" si="312">ZS29-ZS28</f>
        <v>-1523.859999909997</v>
      </c>
      <c r="ZT30" s="80">
        <f t="shared" si="312"/>
        <v>111.25000111758709</v>
      </c>
      <c r="ZU30" s="80">
        <f t="shared" si="312"/>
        <v>-60.85000042244792</v>
      </c>
      <c r="ZV30" s="80">
        <f t="shared" si="312"/>
        <v>2028.2800000831485</v>
      </c>
      <c r="ZW30" s="80">
        <f t="shared" si="312"/>
        <v>-3297.6400006581098</v>
      </c>
      <c r="ZX30" s="80">
        <f t="shared" si="312"/>
        <v>-3016.3499990385026</v>
      </c>
      <c r="ZY30" s="80">
        <f t="shared" si="312"/>
        <v>-25.780000066384673</v>
      </c>
      <c r="ZZ30" s="80">
        <f t="shared" si="312"/>
        <v>76.47999832034111</v>
      </c>
      <c r="AAA30" s="80">
        <f t="shared" si="312"/>
        <v>-1059.6099984385073</v>
      </c>
      <c r="AAB30" s="80">
        <f t="shared" si="312"/>
        <v>-270.78000053018332</v>
      </c>
      <c r="AAC30" s="80">
        <f t="shared" si="312"/>
        <v>-296.57999976351857</v>
      </c>
      <c r="AAD30" s="80">
        <f t="shared" si="312"/>
        <v>428.54999926500022</v>
      </c>
      <c r="AAE30" s="80">
        <f t="shared" si="312"/>
        <v>-1120.5799985453486</v>
      </c>
      <c r="AAF30" s="80">
        <f t="shared" si="312"/>
        <v>-470.1600014269352</v>
      </c>
      <c r="AAG30" s="80">
        <f t="shared" si="312"/>
        <v>-337.18999927118421</v>
      </c>
      <c r="AAH30" s="80">
        <f t="shared" si="312"/>
        <v>-89.760000754147768</v>
      </c>
      <c r="AAI30" s="80">
        <f t="shared" si="312"/>
        <v>-506.39999871142209</v>
      </c>
      <c r="AAJ30" s="80">
        <f t="shared" si="312"/>
        <v>448.4299987219274</v>
      </c>
      <c r="AAK30" s="80">
        <f t="shared" si="312"/>
        <v>-446.32999851740897</v>
      </c>
      <c r="AAL30" s="80">
        <f t="shared" si="312"/>
        <v>-232.21000124514103</v>
      </c>
      <c r="AAM30" s="80">
        <f t="shared" si="312"/>
        <v>-578.28000015765429</v>
      </c>
      <c r="AAN30" s="80">
        <f t="shared" si="312"/>
        <v>-79.449999643489718</v>
      </c>
      <c r="AAO30" s="80">
        <f t="shared" si="312"/>
        <v>-116.71999856829643</v>
      </c>
      <c r="AAP30" s="80">
        <f t="shared" si="312"/>
        <v>-357.8300005607307</v>
      </c>
      <c r="AAQ30" s="80">
        <f t="shared" si="312"/>
        <v>-38.019999355077744</v>
      </c>
      <c r="AAR30" s="80">
        <f t="shared" si="312"/>
        <v>271.03999873809516</v>
      </c>
      <c r="AAS30" s="80">
        <f t="shared" si="312"/>
        <v>-551.52999991178513</v>
      </c>
      <c r="AAT30" s="80">
        <f t="shared" si="312"/>
        <v>-105.67000035941601</v>
      </c>
      <c r="AAU30" s="80">
        <f t="shared" si="312"/>
        <v>-454.06000130437315</v>
      </c>
      <c r="AAV30" s="80">
        <f t="shared" si="312"/>
        <v>503.95000112056732</v>
      </c>
      <c r="AAW30" s="127">
        <f t="shared" si="272"/>
        <v>-11167.659999793395</v>
      </c>
      <c r="AAX30" s="80">
        <f t="shared" ref="AAX30:ACB30" si="313">AAX29-AAX28</f>
        <v>-431.36000045575202</v>
      </c>
      <c r="AAY30" s="80">
        <f t="shared" si="313"/>
        <v>-282.86999975889921</v>
      </c>
      <c r="AAZ30" s="80">
        <f t="shared" si="313"/>
        <v>-465.40999950096011</v>
      </c>
      <c r="ABA30" s="80">
        <f t="shared" si="313"/>
        <v>-650.49999981187284</v>
      </c>
      <c r="ABB30" s="80">
        <f t="shared" si="313"/>
        <v>-835.63000053539872</v>
      </c>
      <c r="ABC30" s="80">
        <f t="shared" si="313"/>
        <v>-844.39999989047647</v>
      </c>
      <c r="ABD30" s="80">
        <f t="shared" si="313"/>
        <v>-230.64999977499247</v>
      </c>
      <c r="ABE30" s="80">
        <f t="shared" si="313"/>
        <v>230.19999977946281</v>
      </c>
      <c r="ABF30" s="80">
        <f t="shared" si="313"/>
        <v>-1129.1899991333485</v>
      </c>
      <c r="ABG30" s="80">
        <f t="shared" si="313"/>
        <v>462.21999849937856</v>
      </c>
      <c r="ABH30" s="80">
        <f t="shared" si="313"/>
        <v>-1750.7699983492494</v>
      </c>
      <c r="ABI30" s="80">
        <f t="shared" si="313"/>
        <v>34.640000533312559</v>
      </c>
      <c r="ABJ30" s="80">
        <f t="shared" si="313"/>
        <v>-155.35000103339553</v>
      </c>
      <c r="ABK30" s="80">
        <f t="shared" si="313"/>
        <v>-283.79999974742532</v>
      </c>
      <c r="ABL30" s="80">
        <f t="shared" si="313"/>
        <v>80.11999922990799</v>
      </c>
      <c r="ABM30" s="80">
        <f t="shared" si="313"/>
        <v>367.93000114522874</v>
      </c>
      <c r="ABN30" s="80">
        <f t="shared" si="313"/>
        <v>-257.73000085912645</v>
      </c>
      <c r="ABO30" s="80">
        <f t="shared" si="313"/>
        <v>766.44999988749623</v>
      </c>
      <c r="ABP30" s="80">
        <f t="shared" si="313"/>
        <v>-1333.460000205785</v>
      </c>
      <c r="ABQ30" s="80">
        <f t="shared" si="313"/>
        <v>170.67000056430697</v>
      </c>
      <c r="ABR30" s="80">
        <f t="shared" si="313"/>
        <v>-1754.1600008383393</v>
      </c>
      <c r="ABS30" s="80">
        <f t="shared" si="313"/>
        <v>-1857.8199986424297</v>
      </c>
      <c r="ABT30" s="80">
        <f t="shared" si="313"/>
        <v>-351.4700005762279</v>
      </c>
      <c r="ABU30" s="80">
        <f t="shared" si="313"/>
        <v>-4436.6700006183237</v>
      </c>
      <c r="ABV30" s="80">
        <f t="shared" si="313"/>
        <v>4025.5900010168552</v>
      </c>
      <c r="ABW30" s="80">
        <f t="shared" si="313"/>
        <v>-155.24000116437674</v>
      </c>
      <c r="ABX30" s="80">
        <f t="shared" si="313"/>
        <v>-121.97999910265207</v>
      </c>
      <c r="ABY30" s="80">
        <f t="shared" si="313"/>
        <v>97.15000032633543</v>
      </c>
      <c r="ABZ30" s="80">
        <f t="shared" si="313"/>
        <v>178.19999978877604</v>
      </c>
      <c r="ACA30" s="80">
        <f t="shared" si="313"/>
        <v>-55.080000646412373</v>
      </c>
      <c r="ACB30" s="80">
        <f t="shared" si="313"/>
        <v>-150.62999998778105</v>
      </c>
      <c r="ACC30" s="127">
        <f t="shared" si="274"/>
        <v>-11120.999999862164</v>
      </c>
      <c r="ACD30" s="80">
        <f t="shared" ref="ACD30:ADH30" si="314">ACD29-ACD28</f>
        <v>-10.379999771714211</v>
      </c>
      <c r="ACE30" s="80">
        <f t="shared" si="314"/>
        <v>-5195.2000004574656</v>
      </c>
      <c r="ACF30" s="80">
        <f t="shared" si="314"/>
        <v>-931.40999942645431</v>
      </c>
      <c r="ACG30" s="80">
        <f t="shared" si="314"/>
        <v>-30253.640000233427</v>
      </c>
      <c r="ACH30" s="80">
        <f t="shared" si="314"/>
        <v>-179.60999995097518</v>
      </c>
      <c r="ACI30" s="80">
        <f t="shared" si="314"/>
        <v>882.89999939128757</v>
      </c>
      <c r="ACJ30" s="80">
        <f t="shared" si="314"/>
        <v>-546.21900016255677</v>
      </c>
      <c r="ACK30" s="80">
        <f t="shared" si="314"/>
        <v>-544.55099867843091</v>
      </c>
      <c r="ACL30" s="80">
        <f t="shared" si="314"/>
        <v>-362.57300049252808</v>
      </c>
      <c r="ACM30" s="80">
        <f t="shared" si="314"/>
        <v>-291.07699925825</v>
      </c>
      <c r="ACN30" s="80">
        <f t="shared" si="314"/>
        <v>-522.67300117760897</v>
      </c>
      <c r="ACO30" s="80">
        <f t="shared" si="314"/>
        <v>-754.79699905402958</v>
      </c>
      <c r="ACP30" s="80">
        <f t="shared" si="314"/>
        <v>956.24899911135435</v>
      </c>
      <c r="ACQ30" s="80">
        <f t="shared" si="314"/>
        <v>334.61200051754713</v>
      </c>
      <c r="ACR30" s="80">
        <f t="shared" si="314"/>
        <v>7.5680003631860018</v>
      </c>
      <c r="ACS30" s="80">
        <f t="shared" si="314"/>
        <v>-398.76999989897013</v>
      </c>
      <c r="ACT30" s="80">
        <f t="shared" si="314"/>
        <v>-379.27900146320462</v>
      </c>
      <c r="ACU30" s="80">
        <f t="shared" si="314"/>
        <v>-358.78299928456545</v>
      </c>
      <c r="ACV30" s="80">
        <f t="shared" si="314"/>
        <v>-724.21199987456203</v>
      </c>
      <c r="ACW30" s="80">
        <f t="shared" si="314"/>
        <v>399.30699985474348</v>
      </c>
      <c r="ACX30" s="80">
        <f t="shared" si="314"/>
        <v>-230.99699906073511</v>
      </c>
      <c r="ACY30" s="80">
        <f t="shared" si="314"/>
        <v>-467.09800042770803</v>
      </c>
      <c r="ACZ30" s="80">
        <f t="shared" si="314"/>
        <v>-187.01200005784631</v>
      </c>
      <c r="ADA30" s="80">
        <f t="shared" si="314"/>
        <v>-325.76100081577897</v>
      </c>
      <c r="ADB30" s="80">
        <f t="shared" si="314"/>
        <v>-19.958000242710114</v>
      </c>
      <c r="ADC30" s="80">
        <f t="shared" si="314"/>
        <v>-237.49499927274883</v>
      </c>
      <c r="ADD30" s="80">
        <f t="shared" si="314"/>
        <v>-232.14199976809323</v>
      </c>
      <c r="ADE30" s="80">
        <f t="shared" si="314"/>
        <v>437.21499910205603</v>
      </c>
      <c r="ADF30" s="80">
        <f t="shared" si="314"/>
        <v>-124.97799952328205</v>
      </c>
      <c r="ADG30" s="80">
        <f t="shared" si="314"/>
        <v>-261.90500024147332</v>
      </c>
      <c r="ADH30" s="80">
        <f t="shared" si="314"/>
        <v>-149.44299965910614</v>
      </c>
      <c r="ADI30" s="127">
        <f t="shared" si="276"/>
        <v>-40672.11199991405</v>
      </c>
      <c r="ADJ30" s="80">
        <f t="shared" ref="ADJ30:AEM30" si="315">ADJ29-ADJ28</f>
        <v>-76.925999835133553</v>
      </c>
      <c r="ADK30" s="80">
        <f t="shared" si="315"/>
        <v>-222.1579999960959</v>
      </c>
      <c r="ADL30" s="80">
        <f t="shared" si="315"/>
        <v>19960.785999631509</v>
      </c>
      <c r="ADM30" s="80">
        <f t="shared" si="315"/>
        <v>-497.91499982401729</v>
      </c>
      <c r="ADN30" s="80">
        <f t="shared" si="315"/>
        <v>135.93000048398972</v>
      </c>
      <c r="ADO30" s="80">
        <f t="shared" si="315"/>
        <v>211.83299883268774</v>
      </c>
      <c r="ADP30" s="80">
        <f t="shared" si="315"/>
        <v>-232.14199977368116</v>
      </c>
      <c r="ADQ30" s="80">
        <f t="shared" si="315"/>
        <v>327.50500068627298</v>
      </c>
      <c r="ADR30" s="80">
        <f t="shared" si="315"/>
        <v>1904.0919999331236</v>
      </c>
      <c r="ADS30" s="80">
        <f t="shared" si="315"/>
        <v>-19042.559000048786</v>
      </c>
      <c r="ADT30" s="80">
        <f t="shared" si="315"/>
        <v>-4630.2400000859052</v>
      </c>
      <c r="ADU30" s="80">
        <f t="shared" si="315"/>
        <v>472.35499901324511</v>
      </c>
      <c r="ADV30" s="80">
        <f t="shared" si="315"/>
        <v>-536.98999876901507</v>
      </c>
      <c r="ADW30" s="80">
        <f t="shared" si="315"/>
        <v>8083.1530001237988</v>
      </c>
      <c r="ADX30" s="80">
        <f t="shared" si="315"/>
        <v>-2130.3219994567335</v>
      </c>
      <c r="ADY30" s="80">
        <f t="shared" si="315"/>
        <v>354.81699878163636</v>
      </c>
      <c r="ADZ30" s="80">
        <f t="shared" si="315"/>
        <v>21.763000182807446</v>
      </c>
      <c r="AEA30" s="80">
        <f t="shared" si="315"/>
        <v>3462.7780009582639</v>
      </c>
      <c r="AEB30" s="80">
        <f t="shared" si="315"/>
        <v>-359.03500119224191</v>
      </c>
      <c r="AEC30" s="80">
        <f t="shared" si="315"/>
        <v>-604.66599889472127</v>
      </c>
      <c r="AED30" s="80">
        <f t="shared" si="315"/>
        <v>-5043.8410009965301</v>
      </c>
      <c r="AEE30" s="80">
        <f t="shared" si="315"/>
        <v>-714.32799980044365</v>
      </c>
      <c r="AEF30" s="80">
        <f t="shared" si="315"/>
        <v>-29019.108999479562</v>
      </c>
      <c r="AEG30" s="80">
        <f t="shared" si="315"/>
        <v>44.29999977350235</v>
      </c>
      <c r="AEH30" s="80">
        <f t="shared" si="315"/>
        <v>33411.612999385223</v>
      </c>
      <c r="AEI30" s="80">
        <f t="shared" si="315"/>
        <v>-227.7719997484237</v>
      </c>
      <c r="AEJ30" s="80">
        <f t="shared" si="315"/>
        <v>-976.30999970063567</v>
      </c>
      <c r="AEK30" s="80">
        <f t="shared" si="315"/>
        <v>-784.95100029930472</v>
      </c>
      <c r="AEL30" s="80">
        <f t="shared" si="315"/>
        <v>-448.63600005209446</v>
      </c>
      <c r="AEM30" s="80">
        <f t="shared" si="315"/>
        <v>435.89300079084933</v>
      </c>
      <c r="AEN30" s="127">
        <f>SUM(ADI30:AEM30)</f>
        <v>-37393.193999290466</v>
      </c>
      <c r="AEO30" s="80">
        <f t="shared" ref="AEO30:AFS30" si="316">AEO29-AEO28</f>
        <v>276.07999927178025</v>
      </c>
      <c r="AEP30" s="80">
        <f t="shared" si="316"/>
        <v>-4960.0699991546571</v>
      </c>
      <c r="AEQ30" s="80">
        <f t="shared" si="316"/>
        <v>4113.9049999937415</v>
      </c>
      <c r="AER30" s="80">
        <f t="shared" si="316"/>
        <v>-333.20300046354532</v>
      </c>
      <c r="AES30" s="80">
        <f t="shared" si="316"/>
        <v>-452.80899998173118</v>
      </c>
      <c r="AET30" s="80">
        <f t="shared" si="316"/>
        <v>-259.68300007283688</v>
      </c>
      <c r="AEU30" s="80">
        <f t="shared" si="316"/>
        <v>123.26899938285351</v>
      </c>
      <c r="AEV30" s="80">
        <f t="shared" si="316"/>
        <v>18920.731999970973</v>
      </c>
      <c r="AEW30" s="80">
        <f t="shared" si="316"/>
        <v>-85.100999480113387</v>
      </c>
      <c r="AEX30" s="80">
        <f t="shared" si="316"/>
        <v>-437.76800008118153</v>
      </c>
      <c r="AEY30" s="80">
        <f t="shared" si="316"/>
        <v>12000.033000169322</v>
      </c>
      <c r="AEZ30" s="80">
        <f t="shared" si="316"/>
        <v>-31.321000058203936</v>
      </c>
      <c r="AFA30" s="80">
        <f t="shared" si="316"/>
        <v>58.84899990260601</v>
      </c>
      <c r="AFB30" s="80">
        <f t="shared" si="316"/>
        <v>299.78200038522482</v>
      </c>
      <c r="AFC30" s="80">
        <f t="shared" si="316"/>
        <v>-66.207000700756907</v>
      </c>
      <c r="AFD30" s="80">
        <f t="shared" si="316"/>
        <v>-631.1210000384599</v>
      </c>
      <c r="AFE30" s="80">
        <f t="shared" si="316"/>
        <v>14.366000194102526</v>
      </c>
      <c r="AFF30" s="80">
        <f t="shared" si="316"/>
        <v>-342.0499999281019</v>
      </c>
      <c r="AFG30" s="80">
        <f t="shared" si="316"/>
        <v>-953.8380006942898</v>
      </c>
      <c r="AFH30" s="80">
        <f t="shared" si="316"/>
        <v>-120.7199993468821</v>
      </c>
      <c r="AFI30" s="80">
        <f t="shared" si="316"/>
        <v>7704.8689997624606</v>
      </c>
      <c r="AFJ30" s="80">
        <f t="shared" si="316"/>
        <v>-482.91599871218204</v>
      </c>
      <c r="AFK30" s="80">
        <f t="shared" si="316"/>
        <v>-312.42700109630823</v>
      </c>
      <c r="AFL30" s="80">
        <f t="shared" si="316"/>
        <v>-25.998999811708927</v>
      </c>
      <c r="AFM30" s="80">
        <f t="shared" si="316"/>
        <v>-499.05399988219142</v>
      </c>
      <c r="AFN30" s="80">
        <f t="shared" si="316"/>
        <v>60.427000626921654</v>
      </c>
      <c r="AFO30" s="80">
        <f t="shared" si="316"/>
        <v>-675.93299974501133</v>
      </c>
      <c r="AFP30" s="80">
        <f t="shared" si="316"/>
        <v>457.13799860328436</v>
      </c>
      <c r="AFQ30" s="80">
        <f t="shared" si="316"/>
        <v>-384.74699863791466</v>
      </c>
      <c r="AFR30" s="80">
        <f t="shared" si="316"/>
        <v>-686.99400096945465</v>
      </c>
      <c r="AFS30" s="80">
        <f t="shared" si="316"/>
        <v>-604.19000028073788</v>
      </c>
      <c r="AFT30" s="127">
        <f t="shared" si="279"/>
        <v>31683.298999127001</v>
      </c>
      <c r="AFU30" s="80">
        <f t="shared" ref="AFU30:AGX30" si="317">AFU29-AFU28</f>
        <v>-643.23699916340411</v>
      </c>
      <c r="AFV30" s="80">
        <f t="shared" si="317"/>
        <v>4564.5829991362989</v>
      </c>
      <c r="AFW30" s="80">
        <f t="shared" si="317"/>
        <v>-637.85200016014278</v>
      </c>
      <c r="AFX30" s="80">
        <f t="shared" si="317"/>
        <v>39.685000924393535</v>
      </c>
      <c r="AFY30" s="80">
        <f t="shared" si="317"/>
        <v>2245.6620006356388</v>
      </c>
      <c r="AFZ30" s="80">
        <f t="shared" si="317"/>
        <v>-222.15700161829591</v>
      </c>
      <c r="AGA30" s="80">
        <f t="shared" si="317"/>
        <v>-5647.1899991296232</v>
      </c>
      <c r="AGB30" s="80">
        <f t="shared" si="317"/>
        <v>29721.861999439076</v>
      </c>
      <c r="AGC30" s="80">
        <f t="shared" si="317"/>
        <v>-180.29499909095466</v>
      </c>
      <c r="AGD30" s="80">
        <f t="shared" si="317"/>
        <v>-480.35900082997978</v>
      </c>
      <c r="AGE30" s="80">
        <f t="shared" si="317"/>
        <v>301.0639996509999</v>
      </c>
      <c r="AGF30" s="80">
        <f t="shared" si="317"/>
        <v>69845.229000661522</v>
      </c>
      <c r="AGG30" s="80">
        <f t="shared" si="317"/>
        <v>-501.06099922955036</v>
      </c>
      <c r="AGH30" s="80">
        <f t="shared" si="317"/>
        <v>9945.3819987121969</v>
      </c>
      <c r="AGI30" s="80">
        <f t="shared" si="317"/>
        <v>-297.4929992929101</v>
      </c>
      <c r="AGJ30" s="80">
        <f t="shared" si="317"/>
        <v>-556.15100018307567</v>
      </c>
      <c r="AGK30" s="80">
        <f t="shared" si="317"/>
        <v>319.87699897587299</v>
      </c>
      <c r="AGL30" s="80">
        <f t="shared" si="317"/>
        <v>-28.965999290347099</v>
      </c>
      <c r="AGM30" s="80">
        <f t="shared" si="317"/>
        <v>-105.43599941767752</v>
      </c>
      <c r="AGN30" s="80">
        <f t="shared" si="317"/>
        <v>185.17600046470761</v>
      </c>
      <c r="AGO30" s="80">
        <f t="shared" si="317"/>
        <v>78544.177999097854</v>
      </c>
      <c r="AGP30" s="80">
        <f t="shared" si="317"/>
        <v>-884.25299887731671</v>
      </c>
      <c r="AGQ30" s="80">
        <f t="shared" si="317"/>
        <v>-271.10500120744109</v>
      </c>
      <c r="AGR30" s="80">
        <f t="shared" si="317"/>
        <v>-223055.86100045592</v>
      </c>
      <c r="AGS30" s="80">
        <f t="shared" si="317"/>
        <v>-25.998998623341322</v>
      </c>
      <c r="AGT30" s="80">
        <f t="shared" si="317"/>
        <v>2940.7409995123744</v>
      </c>
      <c r="AGU30" s="80">
        <f t="shared" si="317"/>
        <v>-326.76500057429075</v>
      </c>
      <c r="AGV30" s="80">
        <f t="shared" si="317"/>
        <v>-14267.809000249952</v>
      </c>
      <c r="AGW30" s="80">
        <f t="shared" si="317"/>
        <v>-1231.7129987031221</v>
      </c>
      <c r="AGX30" s="80">
        <f t="shared" si="317"/>
        <v>19.083999283611774</v>
      </c>
      <c r="AGY30" s="127">
        <f t="shared" si="281"/>
        <v>-50691.178999602795</v>
      </c>
      <c r="AGZ30" s="80">
        <f t="shared" ref="AGZ30:AID30" si="318">AGZ29-AGZ28</f>
        <v>-722.62899924442172</v>
      </c>
      <c r="AHA30" s="80">
        <f t="shared" si="318"/>
        <v>4835.0090003088117</v>
      </c>
      <c r="AHB30" s="80">
        <f t="shared" si="318"/>
        <v>-4640.9660013504326</v>
      </c>
      <c r="AHC30" s="80">
        <f t="shared" si="318"/>
        <v>-5748.5769993010908</v>
      </c>
      <c r="AHD30" s="80">
        <f t="shared" si="318"/>
        <v>-77.967000901699066</v>
      </c>
      <c r="AHE30" s="80">
        <f t="shared" si="318"/>
        <v>9427.6630003750324</v>
      </c>
      <c r="AHF30" s="80">
        <f t="shared" si="318"/>
        <v>1260.0099997427315</v>
      </c>
      <c r="AHG30" s="80">
        <f t="shared" si="318"/>
        <v>-10608.987998712808</v>
      </c>
      <c r="AHH30" s="80">
        <f t="shared" si="318"/>
        <v>-347.52100055664778</v>
      </c>
      <c r="AHI30" s="80">
        <f t="shared" si="318"/>
        <v>-119.21500040963292</v>
      </c>
      <c r="AHJ30" s="80">
        <f t="shared" si="318"/>
        <v>485.00800057128072</v>
      </c>
      <c r="AHK30" s="80">
        <f t="shared" si="318"/>
        <v>-97.626999964937568</v>
      </c>
      <c r="AHL30" s="80">
        <f t="shared" si="318"/>
        <v>-695.21899995394051</v>
      </c>
      <c r="AHM30" s="80">
        <f t="shared" si="318"/>
        <v>-5067.3930013440549</v>
      </c>
      <c r="AHN30" s="80">
        <f t="shared" si="318"/>
        <v>-283.44699929840863</v>
      </c>
      <c r="AHO30" s="80">
        <f t="shared" si="318"/>
        <v>230.74300021119416</v>
      </c>
      <c r="AHP30" s="80">
        <f t="shared" si="318"/>
        <v>-128.09900064021349</v>
      </c>
      <c r="AHQ30" s="80">
        <f t="shared" si="318"/>
        <v>219753.10199996084</v>
      </c>
      <c r="AHR30" s="80">
        <f t="shared" si="318"/>
        <v>-526.9759994931519</v>
      </c>
      <c r="AHS30" s="80">
        <f t="shared" si="318"/>
        <v>718.8060000911355</v>
      </c>
      <c r="AHT30" s="80">
        <f t="shared" si="318"/>
        <v>-18657.084001090378</v>
      </c>
      <c r="AHU30" s="80">
        <f t="shared" si="318"/>
        <v>1079.7150012329221</v>
      </c>
      <c r="AHV30" s="80">
        <f t="shared" si="318"/>
        <v>335.08499967306852</v>
      </c>
      <c r="AHW30" s="80">
        <f t="shared" si="318"/>
        <v>-582.97600055858493</v>
      </c>
      <c r="AHX30" s="80">
        <f t="shared" si="318"/>
        <v>-557.05200004391372</v>
      </c>
      <c r="AHY30" s="80">
        <f t="shared" si="318"/>
        <v>98.288999609649181</v>
      </c>
      <c r="AHZ30" s="80">
        <f t="shared" si="318"/>
        <v>-631.04899841919541</v>
      </c>
      <c r="AIA30" s="80">
        <f t="shared" si="318"/>
        <v>-779.29300100170076</v>
      </c>
      <c r="AIB30" s="80">
        <f t="shared" si="318"/>
        <v>9.9230007566511631</v>
      </c>
      <c r="AIC30" s="80">
        <f t="shared" si="318"/>
        <v>-477.34799975529313</v>
      </c>
      <c r="AID30" s="80">
        <f t="shared" si="318"/>
        <v>-554.57900056429207</v>
      </c>
      <c r="AIE30" s="127">
        <f t="shared" si="283"/>
        <v>186929.34799992852</v>
      </c>
      <c r="AIF30" s="80">
        <f t="shared" ref="AIF30:AJJ30" si="319">AIF29-AIF28</f>
        <v>465.47300038672984</v>
      </c>
      <c r="AIG30" s="80">
        <f t="shared" si="319"/>
        <v>-26167.828999746591</v>
      </c>
      <c r="AIH30" s="80">
        <f t="shared" si="319"/>
        <v>-2976.4530010242015</v>
      </c>
      <c r="AII30" s="80">
        <f t="shared" si="319"/>
        <v>1609.5879992060363</v>
      </c>
      <c r="AIJ30" s="80">
        <f t="shared" si="319"/>
        <v>841.69700234755874</v>
      </c>
      <c r="AIK30" s="80">
        <f t="shared" si="319"/>
        <v>-332.97500186599791</v>
      </c>
      <c r="AIL30" s="80">
        <f t="shared" si="319"/>
        <v>-1164.6189996618778</v>
      </c>
      <c r="AIM30" s="80">
        <f t="shared" si="319"/>
        <v>1362.0849996730685</v>
      </c>
      <c r="AIN30" s="80">
        <f t="shared" si="319"/>
        <v>-471.25599911808968</v>
      </c>
      <c r="AIO30" s="80">
        <f t="shared" si="319"/>
        <v>-422.51999947056174</v>
      </c>
      <c r="AIP30" s="80">
        <f t="shared" si="319"/>
        <v>-582.03000129759312</v>
      </c>
      <c r="AIQ30" s="80">
        <f t="shared" si="319"/>
        <v>121.71500096097589</v>
      </c>
      <c r="AIR30" s="80">
        <f t="shared" si="319"/>
        <v>162.55400044098496</v>
      </c>
      <c r="AIS30" s="80">
        <f t="shared" si="319"/>
        <v>-2008.2200009673834</v>
      </c>
      <c r="AIT30" s="80">
        <f t="shared" si="319"/>
        <v>8.0499996421858668</v>
      </c>
      <c r="AIU30" s="80">
        <f t="shared" si="319"/>
        <v>-241.32600039616227</v>
      </c>
      <c r="AIV30" s="80">
        <f t="shared" si="319"/>
        <v>17670.212000445463</v>
      </c>
      <c r="AIW30" s="80">
        <f t="shared" si="319"/>
        <v>-506.04699931107461</v>
      </c>
      <c r="AIX30" s="80">
        <f t="shared" si="319"/>
        <v>-489.44300028309226</v>
      </c>
      <c r="AIY30" s="80">
        <f t="shared" si="319"/>
        <v>-262.69599982909858</v>
      </c>
      <c r="AIZ30" s="80">
        <f t="shared" si="319"/>
        <v>-61.036000046879053</v>
      </c>
      <c r="AJA30" s="80">
        <f t="shared" si="319"/>
        <v>-517.16099930182099</v>
      </c>
      <c r="AJB30" s="80">
        <f t="shared" si="319"/>
        <v>-393.72400092147291</v>
      </c>
      <c r="AJC30" s="80">
        <f t="shared" si="319"/>
        <v>-53.022999458014965</v>
      </c>
      <c r="AJD30" s="80">
        <f t="shared" si="319"/>
        <v>-301.07699986174703</v>
      </c>
      <c r="AJE30" s="80">
        <f t="shared" si="319"/>
        <v>516.99500035122037</v>
      </c>
      <c r="AJF30" s="80">
        <f t="shared" si="319"/>
        <v>-602.23900081962347</v>
      </c>
      <c r="AJG30" s="80">
        <f t="shared" si="319"/>
        <v>9.6780005283653736</v>
      </c>
      <c r="AJH30" s="80">
        <f t="shared" si="319"/>
        <v>138.16399901546538</v>
      </c>
      <c r="AJI30" s="80">
        <f t="shared" si="319"/>
        <v>-266.3129994571209</v>
      </c>
      <c r="AJJ30" s="80">
        <f t="shared" si="319"/>
        <v>-592.2369995098561</v>
      </c>
      <c r="AJK30" s="127">
        <f t="shared" si="285"/>
        <v>-15506.012999350205</v>
      </c>
      <c r="AJL30" s="80">
        <f t="shared" ref="AJL30:AKM30" si="320">AJL29-AJL28</f>
        <v>-1287.9460004381835</v>
      </c>
      <c r="AJM30" s="80">
        <f t="shared" si="320"/>
        <v>15555.202998995781</v>
      </c>
      <c r="AJN30" s="80">
        <f t="shared" si="320"/>
        <v>174390.46500088647</v>
      </c>
      <c r="AJO30" s="80">
        <f t="shared" si="320"/>
        <v>109.54899848625064</v>
      </c>
      <c r="AJP30" s="80">
        <f t="shared" si="320"/>
        <v>-544.21499937027693</v>
      </c>
      <c r="AJQ30" s="80">
        <f t="shared" si="320"/>
        <v>-1473.7249990198761</v>
      </c>
      <c r="AJR30" s="80">
        <f t="shared" si="320"/>
        <v>-3036.1690009273589</v>
      </c>
      <c r="AJS30" s="80">
        <f t="shared" si="320"/>
        <v>10400.787001233548</v>
      </c>
      <c r="AJT30" s="80">
        <f t="shared" si="320"/>
        <v>-482.43600075319409</v>
      </c>
      <c r="AJU30" s="80">
        <f t="shared" si="320"/>
        <v>75.543000008910894</v>
      </c>
      <c r="AJV30" s="80">
        <f t="shared" si="320"/>
        <v>-442.22999849915504</v>
      </c>
      <c r="AJW30" s="80">
        <f t="shared" si="320"/>
        <v>-517.59300063177943</v>
      </c>
      <c r="AJX30" s="80">
        <f t="shared" si="320"/>
        <v>-164.35500037670135</v>
      </c>
      <c r="AJY30" s="80">
        <f t="shared" si="320"/>
        <v>1591.558999914676</v>
      </c>
      <c r="AJZ30" s="80">
        <f t="shared" si="320"/>
        <v>-52.334000213071704</v>
      </c>
      <c r="AKA30" s="80">
        <f t="shared" si="320"/>
        <v>-459.7880000025034</v>
      </c>
      <c r="AKB30" s="80">
        <f t="shared" si="320"/>
        <v>-239.97099953703582</v>
      </c>
      <c r="AKC30" s="80">
        <f t="shared" si="320"/>
        <v>155.03299950994551</v>
      </c>
      <c r="AKD30" s="80">
        <f t="shared" si="320"/>
        <v>7.3289997540414333</v>
      </c>
      <c r="AKE30" s="80">
        <f t="shared" si="320"/>
        <v>-397.08400048688054</v>
      </c>
      <c r="AKF30" s="80">
        <f t="shared" si="320"/>
        <v>-427.57599825412035</v>
      </c>
      <c r="AKG30" s="80">
        <f t="shared" si="320"/>
        <v>-93.165001470595598</v>
      </c>
      <c r="AKH30" s="80">
        <f t="shared" si="320"/>
        <v>20.790000021457672</v>
      </c>
      <c r="AKI30" s="80">
        <f t="shared" si="320"/>
        <v>52.863001046702266</v>
      </c>
      <c r="AKJ30" s="80">
        <f t="shared" si="320"/>
        <v>-176.48200098611414</v>
      </c>
      <c r="AKK30" s="80">
        <f t="shared" si="320"/>
        <v>-704.88700031116605</v>
      </c>
      <c r="AKL30" s="80">
        <f t="shared" si="320"/>
        <v>-875.43199917301536</v>
      </c>
      <c r="AKM30" s="80">
        <f t="shared" si="320"/>
        <v>-3346.0559994466603</v>
      </c>
      <c r="AKN30" s="127">
        <f t="shared" si="11"/>
        <v>187637.67699996009</v>
      </c>
      <c r="AKO30" s="80">
        <f t="shared" ref="AKO30:ALS30" si="321">AKO29-AKO28</f>
        <v>-535.41200003772974</v>
      </c>
      <c r="AKP30" s="80">
        <f t="shared" si="321"/>
        <v>-307.24799995496869</v>
      </c>
      <c r="AKQ30" s="80">
        <f t="shared" si="321"/>
        <v>-320.14100143685937</v>
      </c>
      <c r="AKR30" s="80">
        <f t="shared" si="321"/>
        <v>-737.04099946096539</v>
      </c>
      <c r="AKS30" s="80">
        <f t="shared" si="321"/>
        <v>585.26600110158324</v>
      </c>
      <c r="AKT30" s="80">
        <f t="shared" si="321"/>
        <v>-278.88700152374804</v>
      </c>
      <c r="AKU30" s="80">
        <f t="shared" si="321"/>
        <v>-747.78499866276979</v>
      </c>
      <c r="AKV30" s="80">
        <f t="shared" si="321"/>
        <v>-648.56900006905198</v>
      </c>
      <c r="AKW30" s="80">
        <f t="shared" si="321"/>
        <v>485.31299899145961</v>
      </c>
      <c r="AKX30" s="80">
        <f t="shared" si="321"/>
        <v>-4725.2599993161857</v>
      </c>
      <c r="AKY30" s="80">
        <f t="shared" si="321"/>
        <v>89.210999511182308</v>
      </c>
      <c r="AKZ30" s="80">
        <f t="shared" si="321"/>
        <v>83.17200063355267</v>
      </c>
      <c r="ALA30" s="80">
        <f t="shared" si="321"/>
        <v>349.1029984280467</v>
      </c>
      <c r="ALB30" s="80">
        <f t="shared" si="321"/>
        <v>-0.36799946799874306</v>
      </c>
      <c r="ALC30" s="80">
        <f t="shared" si="321"/>
        <v>-429.96299909800291</v>
      </c>
      <c r="ALD30" s="80">
        <f t="shared" si="321"/>
        <v>24.682999804615974</v>
      </c>
      <c r="ALE30" s="80">
        <f t="shared" si="321"/>
        <v>71749.035999462008</v>
      </c>
      <c r="ALF30" s="80">
        <f t="shared" si="321"/>
        <v>-2129.4669989570975</v>
      </c>
      <c r="ALG30" s="80">
        <f t="shared" si="321"/>
        <v>-865.14400044828653</v>
      </c>
      <c r="ALH30" s="80">
        <f t="shared" si="321"/>
        <v>-860.04000019095838</v>
      </c>
      <c r="ALI30" s="80">
        <f t="shared" si="321"/>
        <v>-705.79399979487062</v>
      </c>
      <c r="ALJ30" s="80">
        <f t="shared" si="321"/>
        <v>-817.34600029885769</v>
      </c>
      <c r="ALK30" s="80">
        <f t="shared" si="321"/>
        <v>-703.95899890363216</v>
      </c>
      <c r="ALL30" s="80">
        <f t="shared" si="321"/>
        <v>-769.98700175993145</v>
      </c>
      <c r="ALM30" s="80">
        <f t="shared" si="321"/>
        <v>-216.61299890466034</v>
      </c>
      <c r="ALN30" s="80">
        <f t="shared" si="321"/>
        <v>421.79900017753243</v>
      </c>
      <c r="ALO30" s="80">
        <f t="shared" si="321"/>
        <v>-388.86300139687955</v>
      </c>
      <c r="ALP30" s="80">
        <f t="shared" si="321"/>
        <v>-127.35799967125058</v>
      </c>
      <c r="ALQ30" s="80">
        <f t="shared" si="321"/>
        <v>-686.63099968060851</v>
      </c>
      <c r="ALR30" s="80">
        <f t="shared" si="321"/>
        <v>-204.01399990916252</v>
      </c>
      <c r="ALS30" s="80">
        <f t="shared" si="321"/>
        <v>-83515.195999588817</v>
      </c>
      <c r="ALT30" s="127">
        <f t="shared" si="12"/>
        <v>-26933.503000423312</v>
      </c>
      <c r="ALU30" s="80">
        <f t="shared" ref="ALU30:AMX30" si="322">ALU29-ALU28</f>
        <v>-882.02299981564283</v>
      </c>
      <c r="ALV30" s="80">
        <f t="shared" si="322"/>
        <v>770.1700002476573</v>
      </c>
      <c r="ALW30" s="80">
        <f t="shared" si="322"/>
        <v>73452.011999372393</v>
      </c>
      <c r="ALX30" s="80">
        <f t="shared" si="322"/>
        <v>-927.92699998989701</v>
      </c>
      <c r="ALY30" s="80">
        <f t="shared" si="322"/>
        <v>-691.95900077372789</v>
      </c>
      <c r="ALZ30" s="80">
        <f t="shared" si="322"/>
        <v>-5571.1919997483492</v>
      </c>
      <c r="AMA30" s="80">
        <f t="shared" si="322"/>
        <v>-47431.166999991983</v>
      </c>
      <c r="AMB30" s="80">
        <f t="shared" si="322"/>
        <v>265.09300096333027</v>
      </c>
      <c r="AMC30" s="80">
        <f t="shared" si="322"/>
        <v>5224.6769993156195</v>
      </c>
      <c r="AMD30" s="80">
        <f t="shared" si="322"/>
        <v>10009.050000630319</v>
      </c>
      <c r="AME30" s="80">
        <f t="shared" si="322"/>
        <v>-604.48600028082728</v>
      </c>
      <c r="AMF30" s="80">
        <f t="shared" si="322"/>
        <v>-502.6390001103282</v>
      </c>
      <c r="AMG30" s="80">
        <f t="shared" si="322"/>
        <v>-21562.900999445468</v>
      </c>
      <c r="AMH30" s="80">
        <f t="shared" si="322"/>
        <v>100313.5019993335</v>
      </c>
      <c r="AMI30" s="80">
        <f t="shared" si="322"/>
        <v>-734.11199995875359</v>
      </c>
      <c r="AMJ30" s="80">
        <f t="shared" si="322"/>
        <v>-367.29599924385548</v>
      </c>
      <c r="AMK30" s="80">
        <f t="shared" si="322"/>
        <v>-4178.2450016364455</v>
      </c>
      <c r="AML30" s="80">
        <f t="shared" si="322"/>
        <v>-1423.0989994741976</v>
      </c>
      <c r="AMM30" s="80">
        <f t="shared" si="322"/>
        <v>-2857.9909993261099</v>
      </c>
      <c r="AMN30" s="80">
        <f t="shared" si="322"/>
        <v>-476.12300064042211</v>
      </c>
      <c r="AMO30" s="80">
        <f t="shared" si="322"/>
        <v>61809.066999796778</v>
      </c>
      <c r="AMP30" s="80">
        <f t="shared" si="322"/>
        <v>-2103.5409998483956</v>
      </c>
      <c r="AMQ30" s="80">
        <f t="shared" si="322"/>
        <v>-413.55999811738729</v>
      </c>
      <c r="AMR30" s="80">
        <f t="shared" si="322"/>
        <v>-586.85300120338798</v>
      </c>
      <c r="AMS30" s="80">
        <f t="shared" si="322"/>
        <v>-158.19399994239211</v>
      </c>
      <c r="AMT30" s="80">
        <f t="shared" si="322"/>
        <v>-601.74100008234382</v>
      </c>
      <c r="AMU30" s="80">
        <f t="shared" si="322"/>
        <v>4175.5639992766082</v>
      </c>
      <c r="AMV30" s="80">
        <f t="shared" si="322"/>
        <v>-2410.0980003289878</v>
      </c>
      <c r="AMW30" s="80">
        <f t="shared" si="322"/>
        <v>-48109.360999926925</v>
      </c>
      <c r="AMX30" s="80">
        <f t="shared" si="322"/>
        <v>-610.67799929529428</v>
      </c>
      <c r="AMY30" s="127">
        <f t="shared" si="13"/>
        <v>112813.94899975508</v>
      </c>
      <c r="AMZ30" s="80">
        <f t="shared" ref="AMZ30:AOC30" si="323">AMZ29-AMZ28</f>
        <v>-580587.81900014728</v>
      </c>
      <c r="ANA30" s="80">
        <f t="shared" si="323"/>
        <v>4862.6500000059605</v>
      </c>
      <c r="ANB30" s="80">
        <f t="shared" si="323"/>
        <v>-650.99599927663803</v>
      </c>
      <c r="ANC30" s="80">
        <f t="shared" si="323"/>
        <v>-1591.2289997041225</v>
      </c>
      <c r="AND30" s="80">
        <f t="shared" si="323"/>
        <v>-524.37100083008409</v>
      </c>
      <c r="ANE30" s="80">
        <f t="shared" si="323"/>
        <v>-847.00099986046553</v>
      </c>
      <c r="ANF30" s="80">
        <f t="shared" si="323"/>
        <v>-7760.4770000651479</v>
      </c>
      <c r="ANG30" s="80">
        <f t="shared" si="323"/>
        <v>-671.41100009530783</v>
      </c>
      <c r="ANH30" s="80">
        <f t="shared" si="323"/>
        <v>-665.48999958485365</v>
      </c>
      <c r="ANI30" s="80">
        <f t="shared" si="323"/>
        <v>-111.83100086823106</v>
      </c>
      <c r="ANJ30" s="80">
        <f t="shared" si="323"/>
        <v>270.69700010679662</v>
      </c>
      <c r="ANK30" s="80">
        <f t="shared" si="323"/>
        <v>-273.72600091993809</v>
      </c>
      <c r="ANL30" s="80">
        <f t="shared" si="323"/>
        <v>-4392.6189980115741</v>
      </c>
      <c r="ANM30" s="80">
        <f t="shared" si="323"/>
        <v>145.19699778035283</v>
      </c>
      <c r="ANN30" s="80">
        <f t="shared" si="323"/>
        <v>113.07400097697973</v>
      </c>
      <c r="ANO30" s="80">
        <f t="shared" si="323"/>
        <v>224271.4969997108</v>
      </c>
      <c r="ANP30" s="80">
        <f t="shared" si="323"/>
        <v>-140.84999911487103</v>
      </c>
      <c r="ANQ30" s="80">
        <f t="shared" si="323"/>
        <v>-204.09999973326921</v>
      </c>
      <c r="ANR30" s="80">
        <f t="shared" si="323"/>
        <v>-80.050000563263893</v>
      </c>
      <c r="ANS30" s="80">
        <f t="shared" si="323"/>
        <v>-70.249998737126589</v>
      </c>
      <c r="ANT30" s="80">
        <f t="shared" si="323"/>
        <v>329.04999813064933</v>
      </c>
      <c r="ANU30" s="80">
        <f t="shared" si="323"/>
        <v>-696.59999872744083</v>
      </c>
      <c r="ANV30" s="80">
        <f t="shared" si="323"/>
        <v>9.9260002113878727</v>
      </c>
      <c r="ANW30" s="80">
        <f t="shared" si="323"/>
        <v>-267.38200049847364</v>
      </c>
      <c r="ANX30" s="80">
        <f t="shared" si="323"/>
        <v>750.5949983112514</v>
      </c>
      <c r="ANY30" s="80">
        <f t="shared" si="323"/>
        <v>-676.57799798250198</v>
      </c>
      <c r="ANZ30" s="80">
        <f t="shared" si="323"/>
        <v>-129506.83200096525</v>
      </c>
      <c r="AOA30" s="80">
        <f t="shared" si="323"/>
        <v>-192.70899894274771</v>
      </c>
      <c r="AOB30" s="80">
        <f t="shared" si="323"/>
        <v>2250.7599985152483</v>
      </c>
      <c r="AOC30" s="80">
        <f t="shared" si="323"/>
        <v>1842085.7900004722</v>
      </c>
    </row>
    <row r="31" spans="1:1069" x14ac:dyDescent="0.2">
      <c r="A31" s="163" t="s">
        <v>1525</v>
      </c>
      <c r="B31" s="5" t="s">
        <v>1526</v>
      </c>
      <c r="C31" s="20">
        <v>17317</v>
      </c>
      <c r="D31" s="20">
        <v>14780</v>
      </c>
      <c r="E31" s="20">
        <v>12200</v>
      </c>
      <c r="F31" s="20">
        <f>E34</f>
        <v>9726</v>
      </c>
      <c r="G31" s="20">
        <f>F34+7902</f>
        <v>14954</v>
      </c>
      <c r="H31" s="20">
        <f>G34</f>
        <v>12305.26</v>
      </c>
      <c r="I31" s="20">
        <f>H34</f>
        <v>9347.36</v>
      </c>
      <c r="J31" s="20">
        <f>I34</f>
        <v>6836.36</v>
      </c>
      <c r="K31" s="20">
        <f>J34+14000</f>
        <v>18760</v>
      </c>
      <c r="L31" s="20">
        <v>16495</v>
      </c>
      <c r="M31" s="20">
        <v>14155</v>
      </c>
      <c r="N31" s="20">
        <f>M34</f>
        <v>11777</v>
      </c>
      <c r="O31" s="20">
        <f>N34</f>
        <v>9011</v>
      </c>
      <c r="P31" s="20">
        <f>O34</f>
        <v>6588</v>
      </c>
      <c r="Q31" s="20">
        <f>P34+12953</f>
        <v>16823</v>
      </c>
      <c r="R31" s="20">
        <f>Q34</f>
        <v>14610</v>
      </c>
      <c r="S31" s="20">
        <f>R34</f>
        <v>12187</v>
      </c>
      <c r="T31" s="20">
        <f>S34</f>
        <v>9800</v>
      </c>
      <c r="U31" s="20">
        <f>T34</f>
        <v>6963</v>
      </c>
      <c r="V31" s="20">
        <f>U34</f>
        <v>4561</v>
      </c>
      <c r="W31" s="20">
        <f>V34+16811</f>
        <v>19294</v>
      </c>
      <c r="X31" s="20">
        <f>W34</f>
        <v>17391</v>
      </c>
      <c r="Y31" s="20">
        <f>X34</f>
        <v>15300</v>
      </c>
      <c r="Z31" s="20">
        <f>Y34</f>
        <v>13042</v>
      </c>
      <c r="AA31" s="20">
        <f>Z34</f>
        <v>10722</v>
      </c>
      <c r="AB31" s="20">
        <f>AA34+9939</f>
        <v>17889</v>
      </c>
      <c r="AC31" s="20">
        <f>AB34</f>
        <v>15094</v>
      </c>
      <c r="AD31" s="20">
        <f>AC34</f>
        <v>12536</v>
      </c>
      <c r="AE31" s="20">
        <f>AD34</f>
        <v>10390</v>
      </c>
      <c r="AF31" s="20">
        <f>AE34</f>
        <v>8270</v>
      </c>
      <c r="AG31" s="20">
        <f>AF34</f>
        <v>6130</v>
      </c>
      <c r="AH31" s="94">
        <f t="shared" ref="AH31:AH36" si="324">SUM(C31:AG31)</f>
        <v>385253.98</v>
      </c>
      <c r="AI31" s="20">
        <f>AG34</f>
        <v>3643</v>
      </c>
      <c r="AJ31" s="20">
        <f>AI34+12849</f>
        <v>13524</v>
      </c>
      <c r="AK31" s="20">
        <f>AJ34</f>
        <v>10933</v>
      </c>
      <c r="AL31" s="20">
        <f>AK34</f>
        <v>8352</v>
      </c>
      <c r="AM31" s="20">
        <f>AL34</f>
        <v>5883</v>
      </c>
      <c r="AN31" s="20">
        <f>AM34+11942</f>
        <v>15385</v>
      </c>
      <c r="AO31" s="20">
        <f>AN34+9000</f>
        <v>22552</v>
      </c>
      <c r="AP31" s="20">
        <f>AO34</f>
        <v>10144</v>
      </c>
      <c r="AQ31" s="20">
        <f>AP34</f>
        <v>7166</v>
      </c>
      <c r="AR31" s="20">
        <f>AQ34</f>
        <v>4567</v>
      </c>
      <c r="AS31" s="20">
        <f>AR34</f>
        <v>2408</v>
      </c>
      <c r="AT31" s="20">
        <f>AS34+9978</f>
        <v>10332</v>
      </c>
      <c r="AU31" s="20">
        <f>AT34+10965</f>
        <v>19741</v>
      </c>
      <c r="AV31" s="20">
        <f>AU34+4000+7985</f>
        <v>19815</v>
      </c>
      <c r="AW31" s="20">
        <f>AV34</f>
        <v>17666</v>
      </c>
      <c r="AX31" s="20">
        <f>AW34</f>
        <v>15518</v>
      </c>
      <c r="AY31" s="20">
        <f>AX34</f>
        <v>13294</v>
      </c>
      <c r="AZ31" s="20">
        <f>AY34</f>
        <v>11300</v>
      </c>
      <c r="BA31" s="20">
        <f>AZ34</f>
        <v>9144</v>
      </c>
      <c r="BB31" s="20">
        <f>BA34+8977</f>
        <v>16282</v>
      </c>
      <c r="BC31" s="20">
        <f>BB34</f>
        <v>14273</v>
      </c>
      <c r="BD31" s="20">
        <f>BC34</f>
        <v>12357</v>
      </c>
      <c r="BE31" s="20">
        <f>BD34</f>
        <v>10033</v>
      </c>
      <c r="BF31" s="20">
        <f>BE34</f>
        <v>7800</v>
      </c>
      <c r="BG31" s="20">
        <f>BF34</f>
        <v>5855</v>
      </c>
      <c r="BH31" s="20">
        <f>BG34+15818</f>
        <v>19649</v>
      </c>
      <c r="BI31" s="20">
        <f>BH34</f>
        <v>17808</v>
      </c>
      <c r="BJ31" s="20">
        <f>BI34</f>
        <v>15809</v>
      </c>
      <c r="BK31" s="20">
        <f>BJ34</f>
        <v>13977</v>
      </c>
      <c r="BL31" s="20">
        <f>BK34</f>
        <v>11960</v>
      </c>
      <c r="BM31" s="97">
        <f t="shared" si="247"/>
        <v>367170</v>
      </c>
      <c r="BN31" s="89">
        <f>BL34+8899</f>
        <v>18646</v>
      </c>
      <c r="BO31" s="89">
        <f>BN34</f>
        <v>16652</v>
      </c>
      <c r="BP31" s="89">
        <f>BO34</f>
        <v>14631</v>
      </c>
      <c r="BQ31" s="89">
        <f>BP34</f>
        <v>12623</v>
      </c>
      <c r="BR31" s="89">
        <f>BQ34</f>
        <v>10741</v>
      </c>
      <c r="BS31" s="89">
        <f>BR34</f>
        <v>8960</v>
      </c>
      <c r="BT31" s="109">
        <f>BS34+9961</f>
        <v>16813</v>
      </c>
      <c r="BU31" s="89">
        <f t="shared" ref="BU31:BZ31" si="325">BT34</f>
        <v>15084</v>
      </c>
      <c r="BV31" s="89">
        <f t="shared" si="325"/>
        <v>13000</v>
      </c>
      <c r="BW31" s="89">
        <f t="shared" si="325"/>
        <v>11063</v>
      </c>
      <c r="BX31" s="89">
        <f t="shared" si="325"/>
        <v>9294</v>
      </c>
      <c r="BY31" s="89">
        <f t="shared" si="325"/>
        <v>7575</v>
      </c>
      <c r="BZ31" s="89">
        <f t="shared" si="325"/>
        <v>5768</v>
      </c>
      <c r="CA31" s="89">
        <f>BZ34+10000</f>
        <v>13713</v>
      </c>
      <c r="CB31" s="89">
        <f>CA34</f>
        <v>11576</v>
      </c>
      <c r="CC31" s="89">
        <f>CB34</f>
        <v>9609</v>
      </c>
      <c r="CD31" s="89">
        <f>CC34</f>
        <v>7722</v>
      </c>
      <c r="CE31" s="89">
        <f>CD34+6000</f>
        <v>11726</v>
      </c>
      <c r="CF31" s="89">
        <f>CE34</f>
        <v>9929</v>
      </c>
      <c r="CG31" s="89">
        <f>CF34</f>
        <v>8164</v>
      </c>
      <c r="CH31" s="89">
        <f>CG34+12842</f>
        <v>19104</v>
      </c>
      <c r="CI31" s="89">
        <f t="shared" ref="CI31:CN31" si="326">CH34</f>
        <v>17200</v>
      </c>
      <c r="CJ31" s="89">
        <f t="shared" si="326"/>
        <v>15136</v>
      </c>
      <c r="CK31" s="89">
        <f t="shared" si="326"/>
        <v>13357</v>
      </c>
      <c r="CL31" s="89">
        <f t="shared" si="326"/>
        <v>11423</v>
      </c>
      <c r="CM31" s="89">
        <f t="shared" si="326"/>
        <v>9586</v>
      </c>
      <c r="CN31" s="89">
        <f t="shared" si="326"/>
        <v>7711</v>
      </c>
      <c r="CO31" s="89">
        <f>CN34+8000</f>
        <v>13737</v>
      </c>
      <c r="CP31" s="89">
        <f>CO34</f>
        <v>11482</v>
      </c>
      <c r="CQ31" s="89">
        <f>CP34</f>
        <v>9600</v>
      </c>
      <c r="CR31" s="89">
        <f>CQ34</f>
        <v>7635</v>
      </c>
      <c r="CS31" s="111">
        <f t="shared" si="208"/>
        <v>369260</v>
      </c>
      <c r="CT31" s="89">
        <f>CR34</f>
        <v>5778</v>
      </c>
      <c r="CU31" s="89">
        <f>CT34+12000</f>
        <v>15800</v>
      </c>
      <c r="CV31" s="89">
        <f>CU34</f>
        <v>13867</v>
      </c>
      <c r="CW31" s="89">
        <f>CV34</f>
        <v>11850</v>
      </c>
      <c r="CX31" s="89">
        <f>CW34</f>
        <v>9263</v>
      </c>
      <c r="CY31" s="89">
        <f>CX34</f>
        <v>7063</v>
      </c>
      <c r="CZ31" s="89">
        <f>CY34+8924</f>
        <v>14033</v>
      </c>
      <c r="DA31" s="89">
        <f>CZ34</f>
        <v>12062</v>
      </c>
      <c r="DB31" s="89">
        <f>DA34</f>
        <v>10136</v>
      </c>
      <c r="DC31" s="89">
        <f>DB34</f>
        <v>8082</v>
      </c>
      <c r="DD31" s="89">
        <f>DC34+10957</f>
        <v>16901</v>
      </c>
      <c r="DE31" s="89">
        <f>DD34</f>
        <v>14694</v>
      </c>
      <c r="DF31" s="89">
        <f>DE34</f>
        <v>12812</v>
      </c>
      <c r="DG31" s="89">
        <f>DF34</f>
        <v>11000</v>
      </c>
      <c r="DH31" s="89">
        <f>DG34</f>
        <v>8920</v>
      </c>
      <c r="DI31" s="89">
        <f>DH34+12890</f>
        <v>19982</v>
      </c>
      <c r="DJ31" s="89">
        <f t="shared" ref="DJ31:DP31" si="327">DI34</f>
        <v>18843</v>
      </c>
      <c r="DK31" s="89">
        <f t="shared" si="327"/>
        <v>17509</v>
      </c>
      <c r="DL31" s="89">
        <f t="shared" si="327"/>
        <v>15655</v>
      </c>
      <c r="DM31" s="89">
        <f t="shared" si="327"/>
        <v>14055</v>
      </c>
      <c r="DN31" s="89">
        <f t="shared" si="327"/>
        <v>12347</v>
      </c>
      <c r="DO31" s="89">
        <f t="shared" si="327"/>
        <v>10920</v>
      </c>
      <c r="DP31" s="89">
        <f t="shared" si="327"/>
        <v>9133</v>
      </c>
      <c r="DQ31" s="89">
        <f>DP34+8920</f>
        <v>16190</v>
      </c>
      <c r="DR31" s="89">
        <f t="shared" ref="DR31:DW31" si="328">DQ34</f>
        <v>14400</v>
      </c>
      <c r="DS31" s="89">
        <f t="shared" si="328"/>
        <v>12326</v>
      </c>
      <c r="DT31" s="89">
        <f t="shared" si="328"/>
        <v>10600</v>
      </c>
      <c r="DU31" s="89">
        <f t="shared" si="328"/>
        <v>9021</v>
      </c>
      <c r="DV31" s="89">
        <f t="shared" si="328"/>
        <v>7562</v>
      </c>
      <c r="DW31" s="89">
        <f t="shared" si="328"/>
        <v>6200</v>
      </c>
      <c r="DX31" s="116"/>
      <c r="DY31" s="89">
        <f>DW34</f>
        <v>4503</v>
      </c>
      <c r="DZ31" s="89">
        <f>DY34</f>
        <v>2491</v>
      </c>
      <c r="EA31" s="89">
        <f>DZ34+9924</f>
        <v>10699</v>
      </c>
      <c r="EB31" s="89">
        <f>EA34</f>
        <v>9242</v>
      </c>
      <c r="EC31" s="89">
        <f>EB34</f>
        <v>7766</v>
      </c>
      <c r="ED31" s="89">
        <f>EC34</f>
        <v>6200</v>
      </c>
      <c r="EE31" s="89">
        <f>ED34+7000</f>
        <v>11509</v>
      </c>
      <c r="EF31" s="89">
        <f>EE34</f>
        <v>9811</v>
      </c>
      <c r="EG31" s="89">
        <f>EF34</f>
        <v>7930</v>
      </c>
      <c r="EH31" s="89">
        <f>EG34</f>
        <v>5757</v>
      </c>
      <c r="EI31" s="89">
        <f>EH34+11965</f>
        <v>15698</v>
      </c>
      <c r="EJ31" s="89">
        <f>EI34</f>
        <v>13955</v>
      </c>
      <c r="EK31" s="89">
        <f>EJ34</f>
        <v>11930</v>
      </c>
      <c r="EL31" s="89">
        <f>EK34</f>
        <v>10011</v>
      </c>
      <c r="EM31" s="89">
        <f>EL34+8979</f>
        <v>17155</v>
      </c>
      <c r="EN31" s="89">
        <f>EM34</f>
        <v>14770</v>
      </c>
      <c r="EO31" s="89">
        <f>EN34</f>
        <v>12315</v>
      </c>
      <c r="EP31" s="89">
        <f>EO34</f>
        <v>10270</v>
      </c>
      <c r="EQ31" s="89">
        <f>EP34+10874</f>
        <v>18844</v>
      </c>
      <c r="ER31" s="89">
        <f>EQ34</f>
        <v>17130</v>
      </c>
      <c r="ES31" s="89">
        <f>ER34</f>
        <v>14877</v>
      </c>
      <c r="ET31" s="89">
        <f>ES34</f>
        <v>12455</v>
      </c>
      <c r="EU31" s="89">
        <f>ET34+9863</f>
        <v>19518</v>
      </c>
      <c r="EV31" s="89">
        <f>EU34</f>
        <v>16800</v>
      </c>
      <c r="EW31" s="89">
        <f>EV34</f>
        <v>14210</v>
      </c>
      <c r="EX31" s="89">
        <f>EW34</f>
        <v>12305</v>
      </c>
      <c r="EY31" s="89">
        <f>EX34</f>
        <v>10733</v>
      </c>
      <c r="EZ31" s="89">
        <f>EY34+10850</f>
        <v>19820</v>
      </c>
      <c r="FA31" s="89">
        <f>EZ34</f>
        <v>18104</v>
      </c>
      <c r="FB31" s="89">
        <f>FA34</f>
        <v>16104</v>
      </c>
      <c r="FC31" s="89">
        <f>FB34</f>
        <v>14200</v>
      </c>
      <c r="FD31" s="128"/>
      <c r="FE31" s="89">
        <f>FC34</f>
        <v>12062</v>
      </c>
      <c r="FF31" s="89">
        <f>FE34</f>
        <v>10230</v>
      </c>
      <c r="FG31" s="89">
        <f>FF34</f>
        <v>8270</v>
      </c>
      <c r="FH31" s="89">
        <f>FG34</f>
        <v>6700</v>
      </c>
      <c r="FI31" s="89">
        <f>FH34</f>
        <v>4680</v>
      </c>
      <c r="FJ31" s="89">
        <f>FI34+13943</f>
        <v>16621</v>
      </c>
      <c r="FK31" s="89">
        <f>FJ34</f>
        <v>14715</v>
      </c>
      <c r="FL31" s="89">
        <f>FK34</f>
        <v>12821</v>
      </c>
      <c r="FM31" s="89">
        <f>FL34</f>
        <v>10813</v>
      </c>
      <c r="FN31" s="89">
        <f>FM34</f>
        <v>8920</v>
      </c>
      <c r="FO31" s="89">
        <f>FN34+11867</f>
        <v>18944</v>
      </c>
      <c r="FP31" s="89">
        <f>FO34</f>
        <v>17234</v>
      </c>
      <c r="FQ31" s="89">
        <f>FP34</f>
        <v>15350</v>
      </c>
      <c r="FR31" s="89">
        <f>FQ34</f>
        <v>13284</v>
      </c>
      <c r="FS31" s="89">
        <f>FR34</f>
        <v>11564</v>
      </c>
      <c r="FT31" s="89">
        <f>FS34</f>
        <v>9988</v>
      </c>
      <c r="FU31" s="89">
        <f>FT34+10907</f>
        <v>19024</v>
      </c>
      <c r="FV31" s="89">
        <f t="shared" ref="FV31:GA31" si="329">FU34</f>
        <v>17590</v>
      </c>
      <c r="FW31" s="89">
        <f t="shared" si="329"/>
        <v>15866</v>
      </c>
      <c r="FX31" s="89">
        <f t="shared" si="329"/>
        <v>13844</v>
      </c>
      <c r="FY31" s="89">
        <f t="shared" si="329"/>
        <v>11666</v>
      </c>
      <c r="FZ31" s="89">
        <f t="shared" si="329"/>
        <v>9768</v>
      </c>
      <c r="GA31" s="89">
        <f t="shared" si="329"/>
        <v>8105</v>
      </c>
      <c r="GB31" s="89">
        <f>GA34+11854</f>
        <v>18125</v>
      </c>
      <c r="GC31" s="89">
        <f t="shared" ref="GC31:GH31" si="330">GB34</f>
        <v>16552</v>
      </c>
      <c r="GD31" s="89">
        <f t="shared" si="330"/>
        <v>14326</v>
      </c>
      <c r="GE31" s="89">
        <f t="shared" si="330"/>
        <v>12347</v>
      </c>
      <c r="GF31" s="89">
        <f t="shared" si="330"/>
        <v>10633</v>
      </c>
      <c r="GG31" s="89">
        <f t="shared" si="330"/>
        <v>8890</v>
      </c>
      <c r="GH31" s="89">
        <f t="shared" si="330"/>
        <v>6827</v>
      </c>
      <c r="GI31" s="89">
        <f>GH34+10851</f>
        <v>15960</v>
      </c>
      <c r="GJ31" s="127">
        <f t="shared" si="99"/>
        <v>391719</v>
      </c>
      <c r="GK31" s="89">
        <f>GI34</f>
        <v>14263</v>
      </c>
      <c r="GL31" s="89">
        <f>GK34</f>
        <v>12431</v>
      </c>
      <c r="GM31" s="89">
        <f>GL34</f>
        <v>10505</v>
      </c>
      <c r="GN31" s="89">
        <f>GM34</f>
        <v>7870</v>
      </c>
      <c r="GO31" s="89">
        <f>GN34</f>
        <v>5557</v>
      </c>
      <c r="GP31" s="89">
        <f>GO34+9920</f>
        <v>13389</v>
      </c>
      <c r="GQ31" s="89">
        <f>GP34</f>
        <v>11212</v>
      </c>
      <c r="GR31" s="89">
        <f>GQ34</f>
        <v>8870</v>
      </c>
      <c r="GS31" s="89">
        <f>GR34</f>
        <v>6869</v>
      </c>
      <c r="GT31" s="89">
        <f>GS34+11869</f>
        <v>16700</v>
      </c>
      <c r="GU31" s="89">
        <f>GT34</f>
        <v>14866</v>
      </c>
      <c r="GV31" s="89">
        <f>GU34</f>
        <v>12955</v>
      </c>
      <c r="GW31" s="89">
        <f>GV34</f>
        <v>11000</v>
      </c>
      <c r="GX31" s="89">
        <f>GW34</f>
        <v>8810</v>
      </c>
      <c r="GY31" s="89">
        <f>GX34</f>
        <v>6809</v>
      </c>
      <c r="GZ31" s="89">
        <f>GY34+12848</f>
        <v>17875</v>
      </c>
      <c r="HA31" s="89">
        <f t="shared" ref="HA31:HF31" si="331">GZ34</f>
        <v>16090</v>
      </c>
      <c r="HB31" s="89">
        <f t="shared" si="331"/>
        <v>14022</v>
      </c>
      <c r="HC31" s="89">
        <f t="shared" si="331"/>
        <v>12252</v>
      </c>
      <c r="HD31" s="89">
        <f t="shared" si="331"/>
        <v>10535</v>
      </c>
      <c r="HE31" s="89">
        <f t="shared" si="331"/>
        <v>8444</v>
      </c>
      <c r="HF31" s="89">
        <f t="shared" si="331"/>
        <v>6578</v>
      </c>
      <c r="HG31" s="89">
        <f>HF34+12841</f>
        <v>17544</v>
      </c>
      <c r="HH31" s="89">
        <f>HG34</f>
        <v>15744</v>
      </c>
      <c r="HI31" s="89">
        <f>HH34</f>
        <v>13811</v>
      </c>
      <c r="HJ31" s="89">
        <f>HI34</f>
        <v>12336</v>
      </c>
      <c r="HK31" s="89">
        <f>HJ34</f>
        <v>10347</v>
      </c>
      <c r="HL31" s="89">
        <f>HK34+9892</f>
        <v>18444</v>
      </c>
      <c r="HM31" s="89">
        <f>HL34</f>
        <v>16715</v>
      </c>
      <c r="HN31" s="127">
        <f t="shared" si="253"/>
        <v>352843</v>
      </c>
      <c r="HO31" s="89">
        <f>HM34</f>
        <v>14684.21</v>
      </c>
      <c r="HP31" s="89">
        <f>HO34</f>
        <v>12411</v>
      </c>
      <c r="HQ31" s="89">
        <f>HP34</f>
        <v>10105</v>
      </c>
      <c r="HR31" s="89">
        <f>HQ34</f>
        <v>7894</v>
      </c>
      <c r="HS31" s="89">
        <f>HR34+11853</f>
        <v>17631</v>
      </c>
      <c r="HT31" s="89">
        <f>HS34</f>
        <v>15600</v>
      </c>
      <c r="HU31" s="89">
        <f>HT34</f>
        <v>13566</v>
      </c>
      <c r="HV31" s="89">
        <f>HU34</f>
        <v>11200</v>
      </c>
      <c r="HW31" s="89">
        <f>HV34</f>
        <v>9111</v>
      </c>
      <c r="HX31" s="89">
        <f>HW34</f>
        <v>7122</v>
      </c>
      <c r="HY31" s="89">
        <f>HX34+11866</f>
        <v>17118</v>
      </c>
      <c r="HZ31" s="89">
        <f>HY34</f>
        <v>15178</v>
      </c>
      <c r="IA31" s="89">
        <f>HZ34</f>
        <v>13422</v>
      </c>
      <c r="IB31" s="89">
        <f>IA34</f>
        <v>11810</v>
      </c>
      <c r="IC31" s="89">
        <f>IB34</f>
        <v>10220</v>
      </c>
      <c r="ID31" s="89">
        <f>IC34+11847</f>
        <v>19976</v>
      </c>
      <c r="IE31" s="89">
        <f t="shared" ref="IE31:IJ31" si="332">ID34</f>
        <v>18113</v>
      </c>
      <c r="IF31" s="89">
        <f t="shared" si="332"/>
        <v>16277</v>
      </c>
      <c r="IG31" s="89">
        <f t="shared" si="332"/>
        <v>14255</v>
      </c>
      <c r="IH31" s="89">
        <f t="shared" si="332"/>
        <v>12433</v>
      </c>
      <c r="II31" s="89">
        <f t="shared" si="332"/>
        <v>10588</v>
      </c>
      <c r="IJ31" s="89">
        <f t="shared" si="332"/>
        <v>8940</v>
      </c>
      <c r="IK31" s="89">
        <f>IJ34+9881</f>
        <v>16799</v>
      </c>
      <c r="IL31" s="89">
        <f>IK34</f>
        <v>14833</v>
      </c>
      <c r="IM31" s="89">
        <f>IL34</f>
        <v>13042</v>
      </c>
      <c r="IN31" s="89">
        <f>IM34</f>
        <v>11126</v>
      </c>
      <c r="IO31" s="89">
        <f>IN34</f>
        <v>9466</v>
      </c>
      <c r="IP31" s="89">
        <f>IO34</f>
        <v>7575</v>
      </c>
      <c r="IQ31" s="89">
        <f>IP34+12850</f>
        <v>18586</v>
      </c>
      <c r="IR31" s="89">
        <f>IQ34</f>
        <v>16981</v>
      </c>
      <c r="IS31" s="89">
        <f>IR34</f>
        <v>15063</v>
      </c>
      <c r="IT31" s="127">
        <f t="shared" si="22"/>
        <v>411125.20999999996</v>
      </c>
      <c r="IU31" s="89">
        <f>IS34</f>
        <v>13688</v>
      </c>
      <c r="IV31" s="89">
        <f>IU34</f>
        <v>12242</v>
      </c>
      <c r="IW31" s="89">
        <f>IV34</f>
        <v>10350</v>
      </c>
      <c r="IX31" s="89">
        <f>IW34</f>
        <v>8717</v>
      </c>
      <c r="IY31" s="89">
        <f>IX34</f>
        <v>7022</v>
      </c>
      <c r="IZ31" s="89">
        <f>IY34</f>
        <v>5200</v>
      </c>
      <c r="JA31" s="89">
        <f>IZ34+11853</f>
        <v>14973</v>
      </c>
      <c r="JB31" s="89">
        <f t="shared" ref="JB31:JG31" si="333">JA34</f>
        <v>13358</v>
      </c>
      <c r="JC31" s="89">
        <f t="shared" si="333"/>
        <v>11517</v>
      </c>
      <c r="JD31" s="89">
        <f t="shared" si="333"/>
        <v>9922</v>
      </c>
      <c r="JE31" s="89">
        <f t="shared" si="333"/>
        <v>7950</v>
      </c>
      <c r="JF31" s="89">
        <f t="shared" si="333"/>
        <v>6362</v>
      </c>
      <c r="JG31" s="89">
        <f t="shared" si="333"/>
        <v>4580</v>
      </c>
      <c r="JH31" s="89">
        <f>JG34+11851</f>
        <v>14736</v>
      </c>
      <c r="JI31" s="89">
        <f>JH34</f>
        <v>13389</v>
      </c>
      <c r="JJ31" s="89">
        <f>JI34</f>
        <v>11505</v>
      </c>
      <c r="JK31" s="89">
        <f>JJ34</f>
        <v>9855</v>
      </c>
      <c r="JL31" s="89">
        <f>JK34</f>
        <v>8317</v>
      </c>
      <c r="JM31" s="89">
        <f>JL34</f>
        <v>6755</v>
      </c>
      <c r="JN31" s="89">
        <f>JM34+12892</f>
        <v>17799</v>
      </c>
      <c r="JO31" s="89">
        <f t="shared" ref="JO31:JU31" si="334">JN34</f>
        <v>16221</v>
      </c>
      <c r="JP31" s="89">
        <f t="shared" si="334"/>
        <v>14789</v>
      </c>
      <c r="JQ31" s="89">
        <f t="shared" si="334"/>
        <v>13042</v>
      </c>
      <c r="JR31" s="89">
        <f t="shared" si="334"/>
        <v>11576</v>
      </c>
      <c r="JS31" s="89">
        <f t="shared" si="334"/>
        <v>9822</v>
      </c>
      <c r="JT31" s="89">
        <f t="shared" si="334"/>
        <v>8117</v>
      </c>
      <c r="JU31" s="89">
        <f t="shared" si="334"/>
        <v>6121</v>
      </c>
      <c r="JV31" s="89">
        <f>JU34+10866</f>
        <v>14492</v>
      </c>
      <c r="JW31" s="89">
        <f>JV34</f>
        <v>12729</v>
      </c>
      <c r="JX31" s="89">
        <f>JW34</f>
        <v>11157</v>
      </c>
      <c r="JY31" s="127">
        <f t="shared" si="58"/>
        <v>326303</v>
      </c>
      <c r="JZ31" s="89">
        <f>JX34</f>
        <v>9388</v>
      </c>
      <c r="KA31" s="89">
        <f>JZ34</f>
        <v>7655</v>
      </c>
      <c r="KB31" s="89">
        <f>KA34</f>
        <v>5800</v>
      </c>
      <c r="KC31" s="89">
        <f>KB34+9879</f>
        <v>14002</v>
      </c>
      <c r="KD31" s="89">
        <f>KC34</f>
        <v>12175</v>
      </c>
      <c r="KE31" s="89">
        <f>KD34</f>
        <v>10290</v>
      </c>
      <c r="KF31" s="89">
        <f>KE34</f>
        <v>8511</v>
      </c>
      <c r="KG31" s="89">
        <f>KF34</f>
        <v>6666</v>
      </c>
      <c r="KH31" s="89">
        <f>KG34</f>
        <v>5127</v>
      </c>
      <c r="KI31" s="89">
        <f>KH34+14823</f>
        <v>18164</v>
      </c>
      <c r="KJ31" s="89">
        <f t="shared" ref="KJ31:KQ31" si="335">KI34</f>
        <v>16447</v>
      </c>
      <c r="KK31" s="89">
        <f t="shared" si="335"/>
        <v>14455</v>
      </c>
      <c r="KL31" s="89">
        <f t="shared" si="335"/>
        <v>12682</v>
      </c>
      <c r="KM31" s="89">
        <f t="shared" si="335"/>
        <v>10666</v>
      </c>
      <c r="KN31" s="89">
        <f t="shared" si="335"/>
        <v>9010</v>
      </c>
      <c r="KO31" s="89">
        <f t="shared" si="335"/>
        <v>7475</v>
      </c>
      <c r="KP31" s="89">
        <f t="shared" si="335"/>
        <v>5705</v>
      </c>
      <c r="KQ31" s="89">
        <f t="shared" si="335"/>
        <v>4047</v>
      </c>
      <c r="KR31" s="89">
        <f>KQ34+10000</f>
        <v>12272</v>
      </c>
      <c r="KS31" s="89">
        <f>KR34</f>
        <v>10494</v>
      </c>
      <c r="KT31" s="89">
        <f>KS34+3000</f>
        <v>11588</v>
      </c>
      <c r="KU31" s="89">
        <f>KT34+6000</f>
        <v>16128</v>
      </c>
      <c r="KV31" s="89">
        <f>KU34</f>
        <v>14455</v>
      </c>
      <c r="KW31" s="89">
        <f>KV34</f>
        <v>12623</v>
      </c>
      <c r="KX31" s="89">
        <f>KW34+7902</f>
        <v>18513</v>
      </c>
      <c r="KY31" s="89">
        <f>KX34</f>
        <v>16827</v>
      </c>
      <c r="KZ31" s="89">
        <f>KY34</f>
        <v>14900</v>
      </c>
      <c r="LA31" s="89">
        <f>KZ34</f>
        <v>13052</v>
      </c>
      <c r="LB31" s="89">
        <f>LA34</f>
        <v>11262</v>
      </c>
      <c r="LC31" s="89">
        <f>LB34+8962</f>
        <v>18508</v>
      </c>
      <c r="LD31" s="89">
        <f>LC34</f>
        <v>16715</v>
      </c>
      <c r="LE31" s="127">
        <f t="shared" si="60"/>
        <v>356214</v>
      </c>
      <c r="LF31" s="89">
        <f>LD34</f>
        <v>14477</v>
      </c>
      <c r="LG31" s="89">
        <f>LF34</f>
        <v>12050</v>
      </c>
      <c r="LH31" s="89">
        <f>LG34</f>
        <v>10200</v>
      </c>
      <c r="LI31" s="89">
        <f>LH34</f>
        <v>8070</v>
      </c>
      <c r="LJ31" s="89">
        <f>LI34</f>
        <v>5855</v>
      </c>
      <c r="LK31" s="89">
        <f>LJ34+11851</f>
        <v>15911</v>
      </c>
      <c r="LL31" s="89">
        <f>LK34</f>
        <v>14177</v>
      </c>
      <c r="LM31" s="89">
        <f>LL34</f>
        <v>11960</v>
      </c>
      <c r="LN31" s="89">
        <f>LM34</f>
        <v>9380</v>
      </c>
      <c r="LO31" s="89">
        <f>LN34</f>
        <v>7364</v>
      </c>
      <c r="LP31" s="89">
        <f>LO34+9898</f>
        <v>15224</v>
      </c>
      <c r="LQ31" s="89">
        <f>LP34</f>
        <v>13357</v>
      </c>
      <c r="LR31" s="89">
        <f>LQ34</f>
        <v>11529</v>
      </c>
      <c r="LS31" s="89">
        <f>LR34+7917</f>
        <v>17572</v>
      </c>
      <c r="LT31" s="89">
        <f t="shared" ref="LT31:LY31" si="336">LS34</f>
        <v>15472</v>
      </c>
      <c r="LU31" s="89">
        <f t="shared" si="336"/>
        <v>12933</v>
      </c>
      <c r="LV31" s="89">
        <f t="shared" si="336"/>
        <v>10893</v>
      </c>
      <c r="LW31" s="89">
        <f t="shared" si="336"/>
        <v>9088</v>
      </c>
      <c r="LX31" s="89">
        <f t="shared" si="336"/>
        <v>7044</v>
      </c>
      <c r="LY31" s="89">
        <f t="shared" si="336"/>
        <v>5231</v>
      </c>
      <c r="LZ31" s="89">
        <f>LY34+10898</f>
        <v>14133</v>
      </c>
      <c r="MA31" s="89">
        <f>LZ34</f>
        <v>12137</v>
      </c>
      <c r="MB31" s="89">
        <f>MA34</f>
        <v>10133</v>
      </c>
      <c r="MC31" s="89">
        <f>MB34</f>
        <v>8070</v>
      </c>
      <c r="MD31" s="89">
        <f>MC34</f>
        <v>5811</v>
      </c>
      <c r="ME31" s="89">
        <f>MD34</f>
        <v>4066</v>
      </c>
      <c r="MF31" s="89">
        <f>ME34+12827</f>
        <v>14999</v>
      </c>
      <c r="MG31" s="89">
        <f>MF34</f>
        <v>13577</v>
      </c>
      <c r="MH31" s="89">
        <f>MG34</f>
        <v>11655</v>
      </c>
      <c r="MI31" s="89">
        <f>MH34+8911</f>
        <v>18574</v>
      </c>
      <c r="MJ31" s="127">
        <f t="shared" si="62"/>
        <v>340942</v>
      </c>
      <c r="MK31" s="89">
        <f>MI34</f>
        <v>16809</v>
      </c>
      <c r="ML31" s="89">
        <f>MK34</f>
        <v>14631</v>
      </c>
      <c r="MM31" s="89">
        <f>ML34</f>
        <v>12729</v>
      </c>
      <c r="MN31" s="89">
        <f>MM34</f>
        <v>10946</v>
      </c>
      <c r="MO31" s="89">
        <f>MN34</f>
        <v>9111</v>
      </c>
      <c r="MP31" s="89">
        <f>MO34+7909</f>
        <v>14975</v>
      </c>
      <c r="MQ31" s="89">
        <f>MP34+2000</f>
        <v>15000</v>
      </c>
      <c r="MR31" s="89">
        <f>MQ34</f>
        <v>12955</v>
      </c>
      <c r="MS31" s="89">
        <f>MR34</f>
        <v>11094</v>
      </c>
      <c r="MT31" s="89">
        <f>MS34</f>
        <v>9350</v>
      </c>
      <c r="MU31" s="89">
        <f>MT34</f>
        <v>7820</v>
      </c>
      <c r="MV31" s="89">
        <f>MU34+14000</f>
        <v>20050</v>
      </c>
      <c r="MW31" s="89">
        <f t="shared" ref="MW31:ND31" si="337">MV34</f>
        <v>17933</v>
      </c>
      <c r="MX31" s="89">
        <f t="shared" si="337"/>
        <v>15490</v>
      </c>
      <c r="MY31" s="89">
        <f t="shared" si="337"/>
        <v>14033</v>
      </c>
      <c r="MZ31" s="89">
        <f t="shared" si="337"/>
        <v>12389</v>
      </c>
      <c r="NA31" s="89">
        <f t="shared" si="337"/>
        <v>10350</v>
      </c>
      <c r="NB31" s="89">
        <f t="shared" si="337"/>
        <v>8705</v>
      </c>
      <c r="NC31" s="89">
        <f t="shared" si="337"/>
        <v>6722</v>
      </c>
      <c r="ND31" s="89">
        <f t="shared" si="337"/>
        <v>4863</v>
      </c>
      <c r="NE31" s="89">
        <f>ND34+9975</f>
        <v>12822</v>
      </c>
      <c r="NF31" s="89">
        <f>NE34</f>
        <v>11387</v>
      </c>
      <c r="NG31" s="89">
        <f>NF34</f>
        <v>9673</v>
      </c>
      <c r="NH31" s="89">
        <f>NG34</f>
        <v>8141</v>
      </c>
      <c r="NI31" s="89">
        <f>NH34+11876</f>
        <v>18451</v>
      </c>
      <c r="NJ31" s="89">
        <f>NI34</f>
        <v>16652</v>
      </c>
      <c r="NK31" s="89">
        <f>NJ34</f>
        <v>14768</v>
      </c>
      <c r="NL31" s="89">
        <f>NK34</f>
        <v>12463</v>
      </c>
      <c r="NM31" s="89">
        <f>NL34</f>
        <v>11042</v>
      </c>
      <c r="NN31" s="89">
        <f>NM34</f>
        <v>9088</v>
      </c>
      <c r="NO31" s="89">
        <f>NN34+9902</f>
        <v>17219</v>
      </c>
      <c r="NP31" s="127">
        <f t="shared" si="64"/>
        <v>370852</v>
      </c>
      <c r="NQ31" s="89">
        <f>NO34</f>
        <v>15866</v>
      </c>
      <c r="NR31" s="89">
        <f>NQ34</f>
        <v>14077</v>
      </c>
      <c r="NS31" s="89">
        <f>NR34</f>
        <v>12315</v>
      </c>
      <c r="NT31" s="89">
        <f>NS34</f>
        <v>10155</v>
      </c>
      <c r="NU31" s="89">
        <f>NT34</f>
        <v>8400</v>
      </c>
      <c r="NV31" s="89">
        <f>NU34</f>
        <v>6526</v>
      </c>
      <c r="NW31" s="89">
        <f>NV34+10000</f>
        <v>14336</v>
      </c>
      <c r="NX31" s="89">
        <f>NW34</f>
        <v>12555</v>
      </c>
      <c r="NY31" s="89">
        <f>NX34</f>
        <v>10666</v>
      </c>
      <c r="NZ31" s="89">
        <f>NY34</f>
        <v>8577</v>
      </c>
      <c r="OA31" s="89">
        <f>NZ34+9900</f>
        <v>16384</v>
      </c>
      <c r="OB31" s="89">
        <f>OA34</f>
        <v>14663</v>
      </c>
      <c r="OC31" s="89">
        <f>OB34</f>
        <v>12855</v>
      </c>
      <c r="OD31" s="89">
        <f>OC34</f>
        <v>10973</v>
      </c>
      <c r="OE31" s="89">
        <f>OD34</f>
        <v>8990</v>
      </c>
      <c r="OF31" s="89">
        <f>OE34+8934</f>
        <v>16000</v>
      </c>
      <c r="OG31" s="89">
        <f>OF34</f>
        <v>13988</v>
      </c>
      <c r="OH31" s="89">
        <f>OG34</f>
        <v>11870</v>
      </c>
      <c r="OI31" s="89">
        <f>OH34</f>
        <v>10094</v>
      </c>
      <c r="OJ31" s="89">
        <f>OI34</f>
        <v>8094</v>
      </c>
      <c r="OK31" s="89">
        <f>OJ34+11933</f>
        <v>18220</v>
      </c>
      <c r="OL31" s="89">
        <f t="shared" ref="OL31:OS31" si="338">OK34</f>
        <v>16523</v>
      </c>
      <c r="OM31" s="89">
        <f t="shared" si="338"/>
        <v>14600</v>
      </c>
      <c r="ON31" s="89">
        <f t="shared" si="338"/>
        <v>12822</v>
      </c>
      <c r="OO31" s="89">
        <f t="shared" si="338"/>
        <v>10764</v>
      </c>
      <c r="OP31" s="89">
        <f t="shared" si="338"/>
        <v>9378</v>
      </c>
      <c r="OQ31" s="89">
        <f t="shared" si="338"/>
        <v>7600</v>
      </c>
      <c r="OR31" s="89">
        <f t="shared" si="338"/>
        <v>5715</v>
      </c>
      <c r="OS31" s="89">
        <f t="shared" si="338"/>
        <v>4123</v>
      </c>
      <c r="OT31" s="89">
        <f>OS34+11946</f>
        <v>14118</v>
      </c>
      <c r="OU31" s="89">
        <f>OT34</f>
        <v>12294</v>
      </c>
      <c r="OV31" s="127">
        <f t="shared" si="66"/>
        <v>347675</v>
      </c>
      <c r="OW31" s="89">
        <f>OU34</f>
        <v>10176</v>
      </c>
      <c r="OX31" s="89">
        <f>OW34</f>
        <v>8477</v>
      </c>
      <c r="OY31" s="89">
        <f>OX34</f>
        <v>6547</v>
      </c>
      <c r="OZ31" s="89">
        <f>OY34+12868</f>
        <v>17544</v>
      </c>
      <c r="PA31" s="89">
        <f t="shared" ref="PA31:PF31" si="339">OZ34</f>
        <v>15800</v>
      </c>
      <c r="PB31" s="89">
        <f t="shared" si="339"/>
        <v>13975</v>
      </c>
      <c r="PC31" s="89">
        <f t="shared" si="339"/>
        <v>12012</v>
      </c>
      <c r="PD31" s="89">
        <f t="shared" si="339"/>
        <v>9988</v>
      </c>
      <c r="PE31" s="89">
        <f t="shared" si="339"/>
        <v>8258</v>
      </c>
      <c r="PF31" s="89">
        <f t="shared" si="339"/>
        <v>6180</v>
      </c>
      <c r="PG31" s="89">
        <f>PF34+6000</f>
        <v>10438</v>
      </c>
      <c r="PH31" s="89">
        <f>PG34</f>
        <v>8840</v>
      </c>
      <c r="PI31" s="89">
        <f>PH34</f>
        <v>7249</v>
      </c>
      <c r="PJ31" s="89">
        <f>PI34+11871</f>
        <v>16983</v>
      </c>
      <c r="PK31" s="89">
        <f t="shared" ref="PK31:PP31" si="340">PJ34</f>
        <v>15021</v>
      </c>
      <c r="PL31" s="89">
        <f t="shared" si="340"/>
        <v>13455</v>
      </c>
      <c r="PM31" s="89">
        <f t="shared" si="340"/>
        <v>11482</v>
      </c>
      <c r="PN31" s="89">
        <f t="shared" si="340"/>
        <v>9705</v>
      </c>
      <c r="PO31" s="89">
        <f t="shared" si="340"/>
        <v>8033</v>
      </c>
      <c r="PP31" s="89">
        <f t="shared" si="340"/>
        <v>6494</v>
      </c>
      <c r="PQ31" s="89">
        <f>PP34+11864</f>
        <v>16716</v>
      </c>
      <c r="PR31" s="89">
        <f t="shared" ref="PR31:PW31" si="341">PQ34</f>
        <v>15330</v>
      </c>
      <c r="PS31" s="89">
        <f t="shared" si="341"/>
        <v>13955</v>
      </c>
      <c r="PT31" s="89">
        <f t="shared" si="341"/>
        <v>12389</v>
      </c>
      <c r="PU31" s="89">
        <f t="shared" si="341"/>
        <v>10688</v>
      </c>
      <c r="PV31" s="89">
        <f t="shared" si="341"/>
        <v>9315</v>
      </c>
      <c r="PW31" s="89">
        <f t="shared" si="341"/>
        <v>7990</v>
      </c>
      <c r="PX31" s="89">
        <f>PW34+9882</f>
        <v>16144</v>
      </c>
      <c r="PY31" s="89">
        <f>PX34</f>
        <v>14715</v>
      </c>
      <c r="PZ31" s="89">
        <f>PY34</f>
        <v>13822</v>
      </c>
      <c r="QA31" s="127">
        <f t="shared" si="68"/>
        <v>347721</v>
      </c>
      <c r="QB31" s="89">
        <f>PZ34</f>
        <v>12200</v>
      </c>
      <c r="QC31" s="89">
        <f>QB34</f>
        <v>10717</v>
      </c>
      <c r="QD31" s="89">
        <f>QC34+8987</f>
        <v>18322</v>
      </c>
      <c r="QE31" s="89">
        <f>QD34</f>
        <v>16705</v>
      </c>
      <c r="QF31" s="89">
        <f>QE34</f>
        <v>14544</v>
      </c>
      <c r="QG31" s="89">
        <f>QF34</f>
        <v>12305</v>
      </c>
      <c r="QH31" s="89">
        <f>QG34</f>
        <v>10611</v>
      </c>
      <c r="QI31" s="89">
        <f>QH34</f>
        <v>8466</v>
      </c>
      <c r="QJ31" s="89">
        <f>QI34+9971</f>
        <v>16688</v>
      </c>
      <c r="QK31" s="89">
        <f t="shared" ref="QK31:QP31" si="342">QJ34</f>
        <v>14922</v>
      </c>
      <c r="QL31" s="89">
        <f t="shared" si="342"/>
        <v>13200</v>
      </c>
      <c r="QM31" s="89">
        <f t="shared" si="342"/>
        <v>11042</v>
      </c>
      <c r="QN31" s="89">
        <f t="shared" si="342"/>
        <v>9077</v>
      </c>
      <c r="QO31" s="89">
        <f t="shared" si="342"/>
        <v>7235</v>
      </c>
      <c r="QP31" s="89">
        <f t="shared" si="342"/>
        <v>5127</v>
      </c>
      <c r="QQ31" s="89">
        <f>QP34+12975</f>
        <v>16292</v>
      </c>
      <c r="QR31" s="89">
        <f t="shared" ref="QR31:QX31" si="343">QQ34</f>
        <v>14877</v>
      </c>
      <c r="QS31" s="89">
        <f t="shared" si="343"/>
        <v>13210</v>
      </c>
      <c r="QT31" s="89">
        <f t="shared" si="343"/>
        <v>11212</v>
      </c>
      <c r="QU31" s="89">
        <f t="shared" si="343"/>
        <v>9305</v>
      </c>
      <c r="QV31" s="89">
        <f t="shared" si="343"/>
        <v>7677</v>
      </c>
      <c r="QW31" s="89">
        <f t="shared" si="343"/>
        <v>6080</v>
      </c>
      <c r="QX31" s="89">
        <f t="shared" si="343"/>
        <v>4593</v>
      </c>
      <c r="QY31" s="89">
        <f>QX34+11971</f>
        <v>15003</v>
      </c>
      <c r="QZ31" s="89">
        <f>QY34</f>
        <v>13466</v>
      </c>
      <c r="RA31" s="89">
        <f>QZ34</f>
        <v>11189</v>
      </c>
      <c r="RB31" s="89">
        <f>RA34</f>
        <v>9496</v>
      </c>
      <c r="RC31" s="89">
        <f>RB34</f>
        <v>7990</v>
      </c>
      <c r="RD31" s="89">
        <f>RC34</f>
        <v>6375</v>
      </c>
      <c r="RE31" s="89">
        <f>RD34+12862</f>
        <v>17633</v>
      </c>
      <c r="RF31" s="89">
        <f>RE34</f>
        <v>16457</v>
      </c>
      <c r="RG31" s="127">
        <f t="shared" si="147"/>
        <v>349816</v>
      </c>
      <c r="RH31" s="89">
        <f>RF34</f>
        <v>14736</v>
      </c>
      <c r="RI31" s="89">
        <f>RH34</f>
        <v>12800</v>
      </c>
      <c r="RJ31" s="89">
        <f>RI34</f>
        <v>10866</v>
      </c>
      <c r="RK31" s="89">
        <f>RJ34</f>
        <v>9273</v>
      </c>
      <c r="RL31" s="89">
        <f>RK34</f>
        <v>7312</v>
      </c>
      <c r="RM31" s="89">
        <f>RL34</f>
        <v>5768</v>
      </c>
      <c r="RN31" s="89">
        <f>RM34+11940</f>
        <v>16255</v>
      </c>
      <c r="RO31" s="89">
        <f>RN34</f>
        <v>15000</v>
      </c>
      <c r="RP31" s="89">
        <f>RO34</f>
        <v>13280</v>
      </c>
      <c r="RQ31" s="89">
        <f>RP34</f>
        <v>11564</v>
      </c>
      <c r="RR31" s="89">
        <f>RQ34</f>
        <v>9941</v>
      </c>
      <c r="RS31" s="89">
        <f>RR34+9887</f>
        <v>18162</v>
      </c>
      <c r="RT31" s="89">
        <f t="shared" ref="RT31:RZ31" si="344">RS34</f>
        <v>16644</v>
      </c>
      <c r="RU31" s="89">
        <f t="shared" si="344"/>
        <v>15085</v>
      </c>
      <c r="RV31" s="89">
        <f t="shared" si="344"/>
        <v>13699</v>
      </c>
      <c r="RW31" s="89">
        <f t="shared" si="344"/>
        <v>11990</v>
      </c>
      <c r="RX31" s="89">
        <f t="shared" si="344"/>
        <v>10330</v>
      </c>
      <c r="RY31" s="89">
        <f t="shared" si="344"/>
        <v>8850</v>
      </c>
      <c r="RZ31" s="89">
        <f t="shared" si="344"/>
        <v>7200</v>
      </c>
      <c r="SA31" s="89">
        <f>RZ34+10864</f>
        <v>16137</v>
      </c>
      <c r="SB31" s="89">
        <f>SA34</f>
        <v>14600</v>
      </c>
      <c r="SC31" s="89">
        <f>SB34</f>
        <v>13105</v>
      </c>
      <c r="SD31" s="89">
        <f>SC34</f>
        <v>11155</v>
      </c>
      <c r="SE31" s="89">
        <f>SD34+7904</f>
        <v>17092</v>
      </c>
      <c r="SF31" s="89">
        <f t="shared" ref="SF31:SK31" si="345">SE34</f>
        <v>15554</v>
      </c>
      <c r="SG31" s="89">
        <f t="shared" si="345"/>
        <v>13888</v>
      </c>
      <c r="SH31" s="89">
        <f t="shared" si="345"/>
        <v>12125</v>
      </c>
      <c r="SI31" s="89">
        <f t="shared" si="345"/>
        <v>10458</v>
      </c>
      <c r="SJ31" s="89">
        <f t="shared" si="345"/>
        <v>8752</v>
      </c>
      <c r="SK31" s="89">
        <f t="shared" si="345"/>
        <v>6900</v>
      </c>
      <c r="SL31" s="127">
        <f t="shared" si="207"/>
        <v>368521</v>
      </c>
      <c r="SM31" s="89">
        <f>SK34+12863</f>
        <v>17685</v>
      </c>
      <c r="SN31" s="89">
        <f>SM34</f>
        <v>16104</v>
      </c>
      <c r="SO31" s="89">
        <f>SN34</f>
        <v>14336</v>
      </c>
      <c r="SP31" s="89">
        <f>SO34</f>
        <v>12766</v>
      </c>
      <c r="SQ31" s="89">
        <f>SP34</f>
        <v>11063</v>
      </c>
      <c r="SR31" s="89">
        <f>SQ34+8906</f>
        <v>18399</v>
      </c>
      <c r="SS31" s="89">
        <f>SR34</f>
        <v>16552</v>
      </c>
      <c r="ST31" s="89">
        <f>SS34</f>
        <v>14400</v>
      </c>
      <c r="SU31" s="89">
        <f>ST34</f>
        <v>12717</v>
      </c>
      <c r="SV31" s="89">
        <f>SU34</f>
        <v>10800</v>
      </c>
      <c r="SW31" s="89">
        <f>SV34</f>
        <v>9155</v>
      </c>
      <c r="SX31" s="89">
        <f>SW34+7916</f>
        <v>15316</v>
      </c>
      <c r="SY31" s="89">
        <f t="shared" ref="SY31:TD31" si="346">SX34</f>
        <v>13522</v>
      </c>
      <c r="SZ31" s="89">
        <f t="shared" si="346"/>
        <v>11517</v>
      </c>
      <c r="TA31" s="89">
        <f t="shared" si="346"/>
        <v>9533</v>
      </c>
      <c r="TB31" s="89">
        <f t="shared" si="346"/>
        <v>7947</v>
      </c>
      <c r="TC31" s="89">
        <f t="shared" si="346"/>
        <v>6200</v>
      </c>
      <c r="TD31" s="89">
        <f t="shared" si="346"/>
        <v>4368</v>
      </c>
      <c r="TE31" s="89">
        <f>TD34+10882</f>
        <v>13466</v>
      </c>
      <c r="TF31" s="89">
        <f>TE34</f>
        <v>11529</v>
      </c>
      <c r="TG31" s="89">
        <f>TF34</f>
        <v>9600</v>
      </c>
      <c r="TH31" s="89">
        <f>TG34</f>
        <v>7462</v>
      </c>
      <c r="TI31" s="89">
        <f>TH34</f>
        <v>5400</v>
      </c>
      <c r="TJ31" s="89">
        <f>TI34+14802</f>
        <v>18127</v>
      </c>
      <c r="TK31" s="89">
        <f t="shared" ref="TK31:TQ31" si="347">TJ34</f>
        <v>16120</v>
      </c>
      <c r="TL31" s="89">
        <f t="shared" si="347"/>
        <v>14477</v>
      </c>
      <c r="TM31" s="89">
        <f t="shared" si="347"/>
        <v>13010</v>
      </c>
      <c r="TN31" s="89">
        <f t="shared" si="347"/>
        <v>11400</v>
      </c>
      <c r="TO31" s="89">
        <f t="shared" si="347"/>
        <v>9788</v>
      </c>
      <c r="TP31" s="89">
        <f t="shared" si="347"/>
        <v>8411</v>
      </c>
      <c r="TQ31" s="89">
        <f t="shared" si="347"/>
        <v>6755</v>
      </c>
      <c r="TR31" s="127">
        <f t="shared" si="226"/>
        <v>350240</v>
      </c>
      <c r="TS31" s="89">
        <f>TQ34+10907</f>
        <v>15864</v>
      </c>
      <c r="TT31" s="89">
        <f>TS34</f>
        <v>14577</v>
      </c>
      <c r="TU31" s="89">
        <f>TT34</f>
        <v>13115</v>
      </c>
      <c r="TV31" s="89">
        <f>TU34</f>
        <v>11588</v>
      </c>
      <c r="TW31" s="89">
        <f>TV34+8871</f>
        <v>18759</v>
      </c>
      <c r="TX31" s="89">
        <f t="shared" ref="TX31:UC31" si="348">TW34</f>
        <v>17150</v>
      </c>
      <c r="TY31" s="89">
        <f t="shared" si="348"/>
        <v>15380</v>
      </c>
      <c r="TZ31" s="89">
        <f t="shared" si="348"/>
        <v>13500</v>
      </c>
      <c r="UA31" s="89">
        <f t="shared" si="348"/>
        <v>11860</v>
      </c>
      <c r="UB31" s="89">
        <f t="shared" si="348"/>
        <v>10200</v>
      </c>
      <c r="UC31" s="89">
        <f t="shared" si="348"/>
        <v>8411</v>
      </c>
      <c r="UD31" s="89">
        <f>UC34+8882</f>
        <v>15345</v>
      </c>
      <c r="UE31" s="89">
        <f t="shared" ref="UE31:UK31" si="349">UD34</f>
        <v>13877</v>
      </c>
      <c r="UF31" s="89">
        <f t="shared" si="349"/>
        <v>12210</v>
      </c>
      <c r="UG31" s="89">
        <f t="shared" si="349"/>
        <v>10370</v>
      </c>
      <c r="UH31" s="89">
        <f t="shared" si="349"/>
        <v>8544</v>
      </c>
      <c r="UI31" s="89">
        <f t="shared" si="349"/>
        <v>6800</v>
      </c>
      <c r="UJ31" s="89">
        <f t="shared" si="349"/>
        <v>4900</v>
      </c>
      <c r="UK31" s="89">
        <f t="shared" si="349"/>
        <v>3008</v>
      </c>
      <c r="UL31" s="89">
        <f>UK34+9885</f>
        <v>11020</v>
      </c>
      <c r="UM31" s="89">
        <f>UL34</f>
        <v>9485</v>
      </c>
      <c r="UN31" s="89">
        <f>UM34</f>
        <v>7910</v>
      </c>
      <c r="UO31" s="89">
        <f>UN34</f>
        <v>6140</v>
      </c>
      <c r="UP31" s="89">
        <f>UO34+7913</f>
        <v>12345</v>
      </c>
      <c r="UQ31" s="89">
        <f>UP34</f>
        <v>10270</v>
      </c>
      <c r="UR31" s="89">
        <f>UQ34</f>
        <v>8544</v>
      </c>
      <c r="US31" s="89">
        <f>UR34</f>
        <v>6872</v>
      </c>
      <c r="UT31" s="89">
        <f>US34</f>
        <v>5045</v>
      </c>
      <c r="UU31" s="89">
        <f>UT34+10864</f>
        <v>14264</v>
      </c>
      <c r="UV31" s="89">
        <f>UU34</f>
        <v>12566</v>
      </c>
      <c r="UW31" s="89">
        <f>UV34</f>
        <v>10866</v>
      </c>
      <c r="UX31" s="127">
        <f t="shared" si="228"/>
        <v>324921</v>
      </c>
      <c r="UY31" s="89">
        <f>UW34</f>
        <v>8970</v>
      </c>
      <c r="UZ31" s="89">
        <f>UY34</f>
        <v>7000</v>
      </c>
      <c r="VA31" s="89">
        <f>UZ34</f>
        <v>5336</v>
      </c>
      <c r="VB31" s="89">
        <f>VA34+12977</f>
        <v>16385</v>
      </c>
      <c r="VC31" s="89">
        <f t="shared" ref="VC31:VH31" si="350">VB34</f>
        <v>14822</v>
      </c>
      <c r="VD31" s="89">
        <f t="shared" si="350"/>
        <v>13021</v>
      </c>
      <c r="VE31" s="89">
        <f t="shared" si="350"/>
        <v>11275</v>
      </c>
      <c r="VF31" s="89">
        <f t="shared" si="350"/>
        <v>9388</v>
      </c>
      <c r="VG31" s="89">
        <f t="shared" si="350"/>
        <v>7677</v>
      </c>
      <c r="VH31" s="89">
        <f t="shared" si="350"/>
        <v>6030</v>
      </c>
      <c r="VI31" s="89">
        <f>VH34+12854</f>
        <v>17148</v>
      </c>
      <c r="VJ31" s="89">
        <f>VI34</f>
        <v>15590</v>
      </c>
      <c r="VK31" s="89">
        <f>VJ34</f>
        <v>13955</v>
      </c>
      <c r="VL31" s="89">
        <f>VK34</f>
        <v>12300</v>
      </c>
      <c r="VM31" s="89">
        <f>VL34+7907</f>
        <v>17884</v>
      </c>
      <c r="VN31" s="89">
        <f>VM34</f>
        <v>16438</v>
      </c>
      <c r="VO31" s="89">
        <f>VN34</f>
        <v>14500</v>
      </c>
      <c r="VP31" s="89">
        <f>VO34</f>
        <v>12611</v>
      </c>
      <c r="VQ31" s="89">
        <f>VP34+6926</f>
        <v>17912</v>
      </c>
      <c r="VR31" s="89">
        <f t="shared" ref="VR31:VX31" si="351">VQ34</f>
        <v>16244</v>
      </c>
      <c r="VS31" s="89">
        <f t="shared" si="351"/>
        <v>14588</v>
      </c>
      <c r="VT31" s="89">
        <f t="shared" si="351"/>
        <v>12888</v>
      </c>
      <c r="VU31" s="89">
        <f t="shared" si="351"/>
        <v>10866</v>
      </c>
      <c r="VV31" s="89">
        <f t="shared" si="351"/>
        <v>9326</v>
      </c>
      <c r="VW31" s="89">
        <f t="shared" si="351"/>
        <v>7700</v>
      </c>
      <c r="VX31" s="89">
        <f t="shared" si="351"/>
        <v>6010</v>
      </c>
      <c r="VY31" s="89">
        <f>VX34+11856</f>
        <v>16320</v>
      </c>
      <c r="VZ31" s="89">
        <f>VY34</f>
        <v>14547</v>
      </c>
      <c r="WA31" s="127">
        <f>SUM(UW31:VZ31)</f>
        <v>682518</v>
      </c>
      <c r="WB31" s="89">
        <f>VZ34</f>
        <v>12944</v>
      </c>
      <c r="WC31" s="89">
        <f>WB34</f>
        <v>11000</v>
      </c>
      <c r="WD31" s="89">
        <f>WC34</f>
        <v>9480</v>
      </c>
      <c r="WE31" s="89">
        <f>WD34</f>
        <v>7850</v>
      </c>
      <c r="WF31" s="89">
        <f>WE34</f>
        <v>6271</v>
      </c>
      <c r="WG31" s="89">
        <f>WF34</f>
        <v>4936</v>
      </c>
      <c r="WH31" s="89">
        <f>WG34+15787</f>
        <v>19128</v>
      </c>
      <c r="WI31" s="89">
        <f t="shared" ref="WI31:WP31" si="352">WH34</f>
        <v>17400</v>
      </c>
      <c r="WJ31" s="89">
        <f t="shared" si="352"/>
        <v>15866</v>
      </c>
      <c r="WK31" s="89">
        <f t="shared" si="352"/>
        <v>14263</v>
      </c>
      <c r="WL31" s="89">
        <f t="shared" si="352"/>
        <v>12452</v>
      </c>
      <c r="WM31" s="89">
        <f t="shared" si="352"/>
        <v>10577</v>
      </c>
      <c r="WN31" s="89">
        <f t="shared" si="352"/>
        <v>9133</v>
      </c>
      <c r="WO31" s="89">
        <f t="shared" si="352"/>
        <v>7717</v>
      </c>
      <c r="WP31" s="89">
        <f t="shared" si="352"/>
        <v>5977</v>
      </c>
      <c r="WQ31" s="89">
        <f>WP34+14838</f>
        <v>18933</v>
      </c>
      <c r="WR31" s="89">
        <f t="shared" ref="WR31:WZ31" si="353">WQ34</f>
        <v>17500</v>
      </c>
      <c r="WS31" s="89">
        <f t="shared" si="353"/>
        <v>16095</v>
      </c>
      <c r="WT31" s="89">
        <f t="shared" si="353"/>
        <v>14663.15</v>
      </c>
      <c r="WU31" s="89">
        <f t="shared" si="353"/>
        <v>12977</v>
      </c>
      <c r="WV31" s="89">
        <f t="shared" si="353"/>
        <v>11477</v>
      </c>
      <c r="WW31" s="89">
        <f t="shared" si="353"/>
        <v>9900</v>
      </c>
      <c r="WX31" s="89">
        <f t="shared" si="353"/>
        <v>8070</v>
      </c>
      <c r="WY31" s="89">
        <f t="shared" si="353"/>
        <v>6410</v>
      </c>
      <c r="WZ31" s="89">
        <f t="shared" si="353"/>
        <v>4700</v>
      </c>
      <c r="XA31" s="89">
        <f>WZ34+11873</f>
        <v>15034</v>
      </c>
      <c r="XB31" s="89">
        <f>XA34</f>
        <v>13477</v>
      </c>
      <c r="XC31" s="89">
        <f>XB34</f>
        <v>11666</v>
      </c>
      <c r="XD31" s="89">
        <f>XC34</f>
        <v>9611</v>
      </c>
      <c r="XE31" s="89">
        <f>XD34</f>
        <v>7537</v>
      </c>
      <c r="XF31" s="89">
        <f>XE34+13867</f>
        <v>19667</v>
      </c>
      <c r="XG31" s="127">
        <f t="shared" si="267"/>
        <v>362711.15</v>
      </c>
      <c r="XH31" s="89">
        <f>XF34</f>
        <v>18392</v>
      </c>
      <c r="XI31" s="89">
        <f t="shared" ref="XI31:XO31" si="354">XH34</f>
        <v>16705</v>
      </c>
      <c r="XJ31" s="89">
        <f t="shared" si="354"/>
        <v>15220</v>
      </c>
      <c r="XK31" s="89">
        <f t="shared" si="354"/>
        <v>13466</v>
      </c>
      <c r="XL31" s="89">
        <f t="shared" si="354"/>
        <v>11820</v>
      </c>
      <c r="XM31" s="89">
        <f t="shared" si="354"/>
        <v>9986</v>
      </c>
      <c r="XN31" s="89">
        <f t="shared" si="354"/>
        <v>8411</v>
      </c>
      <c r="XO31" s="89">
        <f t="shared" si="354"/>
        <v>6494</v>
      </c>
      <c r="XP31" s="89">
        <f>XO34+14000</f>
        <v>18933</v>
      </c>
      <c r="XQ31" s="89">
        <f>XP34</f>
        <v>17286</v>
      </c>
      <c r="XR31" s="89">
        <f>XQ34</f>
        <v>15518</v>
      </c>
      <c r="XS31" s="89">
        <f>XR34</f>
        <v>13633</v>
      </c>
      <c r="XT31" s="89">
        <f>XS34</f>
        <v>11820</v>
      </c>
      <c r="XU31" s="89">
        <f>XT34</f>
        <v>10111</v>
      </c>
      <c r="XV31" s="89">
        <f>XU34+7904</f>
        <v>16448</v>
      </c>
      <c r="XW31" s="89">
        <f>XV34</f>
        <v>14768</v>
      </c>
      <c r="XX31" s="89">
        <f>XW34</f>
        <v>12855</v>
      </c>
      <c r="XY31" s="89">
        <f>XX34+7899</f>
        <v>18951</v>
      </c>
      <c r="XZ31" s="89">
        <f>XY34</f>
        <v>17280</v>
      </c>
      <c r="YA31" s="89">
        <f>XZ34</f>
        <v>15140</v>
      </c>
      <c r="YB31" s="89">
        <f>YA34</f>
        <v>13822</v>
      </c>
      <c r="YC31" s="89">
        <f>YB34</f>
        <v>12210</v>
      </c>
      <c r="YD31" s="89">
        <f>YC34+7910</f>
        <v>18454</v>
      </c>
      <c r="YE31" s="89">
        <f>YD34</f>
        <v>16973</v>
      </c>
      <c r="YF31" s="89">
        <f>YE34</f>
        <v>15200</v>
      </c>
      <c r="YG31" s="89">
        <f>YF34</f>
        <v>13178</v>
      </c>
      <c r="YH31" s="89">
        <f>YG34</f>
        <v>11362</v>
      </c>
      <c r="YI31" s="89">
        <f>YH34</f>
        <v>9700</v>
      </c>
      <c r="YJ31" s="89">
        <f>YI34+8957</f>
        <v>17086</v>
      </c>
      <c r="YK31" s="89">
        <f>YJ34</f>
        <v>15481</v>
      </c>
      <c r="YL31" s="127">
        <f t="shared" si="269"/>
        <v>426703</v>
      </c>
      <c r="YM31" s="89">
        <f>YK34</f>
        <v>13811</v>
      </c>
      <c r="YN31" s="89">
        <f t="shared" ref="YN31:YT31" si="355">YM34</f>
        <v>12190</v>
      </c>
      <c r="YO31" s="89">
        <f t="shared" si="355"/>
        <v>10066</v>
      </c>
      <c r="YP31" s="89">
        <f t="shared" si="355"/>
        <v>8211</v>
      </c>
      <c r="YQ31" s="89">
        <f t="shared" si="355"/>
        <v>6170</v>
      </c>
      <c r="YR31" s="89">
        <f t="shared" si="355"/>
        <v>3930</v>
      </c>
      <c r="YS31" s="89">
        <f t="shared" si="355"/>
        <v>1778</v>
      </c>
      <c r="YT31" s="89">
        <f t="shared" si="355"/>
        <v>245</v>
      </c>
      <c r="YU31" s="89">
        <f>YT34+8000</f>
        <v>8245</v>
      </c>
      <c r="YV31" s="89">
        <f>YU34</f>
        <v>7000</v>
      </c>
      <c r="YW31" s="89">
        <f>YV34+7000</f>
        <v>11831</v>
      </c>
      <c r="YX31" s="89">
        <f>YW34</f>
        <v>10729</v>
      </c>
      <c r="YY31" s="89">
        <f>YX34</f>
        <v>8900</v>
      </c>
      <c r="YZ31" s="89">
        <f>YY34</f>
        <v>7437</v>
      </c>
      <c r="ZA31" s="89">
        <f>YZ34</f>
        <v>5855</v>
      </c>
      <c r="ZB31" s="89">
        <f>ZA34+12881</f>
        <v>17004</v>
      </c>
      <c r="ZC31" s="89">
        <f>ZB34</f>
        <v>15445</v>
      </c>
      <c r="ZD31" s="89">
        <f>ZC34</f>
        <v>13555</v>
      </c>
      <c r="ZE31" s="89">
        <f>ZD34</f>
        <v>11777</v>
      </c>
      <c r="ZF31" s="89">
        <f>ZE34</f>
        <v>9833</v>
      </c>
      <c r="ZG31" s="89">
        <f>ZF34</f>
        <v>8023</v>
      </c>
      <c r="ZH31" s="89">
        <f>ZG34+6938</f>
        <v>13213</v>
      </c>
      <c r="ZI31" s="89">
        <f>ZH34</f>
        <v>11447</v>
      </c>
      <c r="ZJ31" s="89">
        <f>ZI34</f>
        <v>9242</v>
      </c>
      <c r="ZK31" s="89">
        <f>ZJ34</f>
        <v>6911</v>
      </c>
      <c r="ZL31" s="89">
        <f>ZK34</f>
        <v>4503</v>
      </c>
      <c r="ZM31" s="89">
        <f>ZL34+12894</f>
        <v>15335</v>
      </c>
      <c r="ZN31" s="89">
        <f>ZM34</f>
        <v>13631</v>
      </c>
      <c r="ZO31" s="89">
        <f>ZN34+7921</f>
        <v>19497</v>
      </c>
      <c r="ZP31" s="89">
        <f>ZO34</f>
        <v>17619</v>
      </c>
      <c r="ZQ31" s="89">
        <f>ZP34</f>
        <v>15622</v>
      </c>
      <c r="ZR31" s="127">
        <f t="shared" ref="ZR31:ZR48" si="356">SUM(YM31:ZQ31)</f>
        <v>319055</v>
      </c>
      <c r="ZS31" s="89">
        <f>ZQ34</f>
        <v>13555</v>
      </c>
      <c r="ZT31" s="89">
        <f>ZS34</f>
        <v>11744</v>
      </c>
      <c r="ZU31" s="89">
        <f>ZT34</f>
        <v>9863</v>
      </c>
      <c r="ZV31" s="89">
        <f>ZU34</f>
        <v>7840</v>
      </c>
      <c r="ZW31" s="89">
        <f>ZV34</f>
        <v>5911</v>
      </c>
      <c r="ZX31" s="89">
        <f>ZW34+12855</f>
        <v>16576</v>
      </c>
      <c r="ZY31" s="89">
        <f>ZX34</f>
        <v>14630</v>
      </c>
      <c r="ZZ31" s="89">
        <f>ZY34</f>
        <v>12623</v>
      </c>
      <c r="AAA31" s="89">
        <f>ZZ34</f>
        <v>10670</v>
      </c>
      <c r="AAB31" s="89">
        <f>AAA34</f>
        <v>8930</v>
      </c>
      <c r="AAC31" s="89">
        <f>AAB34</f>
        <v>7010</v>
      </c>
      <c r="AAD31" s="89">
        <f>AAC34+12877</f>
        <v>18171</v>
      </c>
      <c r="AAE31" s="89">
        <f>AAD34</f>
        <v>16610</v>
      </c>
      <c r="AAF31" s="89">
        <f>AAE34</f>
        <v>14378</v>
      </c>
      <c r="AAG31" s="89">
        <f>AAF34</f>
        <v>12150</v>
      </c>
      <c r="AAH31" s="89">
        <f>AAG34</f>
        <v>10155</v>
      </c>
      <c r="AAI31" s="89">
        <f>AAH34</f>
        <v>8211</v>
      </c>
      <c r="AAJ31" s="89">
        <f>AAI34+11933</f>
        <v>18191</v>
      </c>
      <c r="AAK31" s="89">
        <f>AAJ34</f>
        <v>16388</v>
      </c>
      <c r="AAL31" s="89">
        <f>AAK34</f>
        <v>14326</v>
      </c>
      <c r="AAM31" s="89">
        <f>AAL34</f>
        <v>12389</v>
      </c>
      <c r="AAN31" s="89">
        <f>AAM34</f>
        <v>10177</v>
      </c>
      <c r="AAO31" s="89">
        <f>AAN34</f>
        <v>8544</v>
      </c>
      <c r="AAP31" s="89">
        <f>AAO34+12882</f>
        <v>19537</v>
      </c>
      <c r="AAQ31" s="89">
        <f t="shared" ref="AAQ31:AAV31" si="357">AAP34</f>
        <v>17742</v>
      </c>
      <c r="AAR31" s="89">
        <f t="shared" si="357"/>
        <v>15755</v>
      </c>
      <c r="AAS31" s="89">
        <f t="shared" si="357"/>
        <v>13855</v>
      </c>
      <c r="AAT31" s="89">
        <f t="shared" si="357"/>
        <v>11810</v>
      </c>
      <c r="AAU31" s="89">
        <f t="shared" si="357"/>
        <v>9560</v>
      </c>
      <c r="AAV31" s="89">
        <f t="shared" si="357"/>
        <v>7726</v>
      </c>
      <c r="AAW31" s="127">
        <f t="shared" si="272"/>
        <v>375027</v>
      </c>
      <c r="AAX31" s="89">
        <f>AAV34+12408</f>
        <v>18263</v>
      </c>
      <c r="AAY31" s="89">
        <f t="shared" ref="AAY31:ABD31" si="358">AAX34</f>
        <v>16252</v>
      </c>
      <c r="AAZ31" s="89">
        <f t="shared" si="358"/>
        <v>14555</v>
      </c>
      <c r="ABA31" s="89">
        <f t="shared" si="358"/>
        <v>12764</v>
      </c>
      <c r="ABB31" s="89">
        <f t="shared" si="358"/>
        <v>10700</v>
      </c>
      <c r="ABC31" s="89">
        <f t="shared" si="358"/>
        <v>8082</v>
      </c>
      <c r="ABD31" s="89">
        <f t="shared" si="358"/>
        <v>5966</v>
      </c>
      <c r="ABE31" s="89">
        <f>ABD34+11887</f>
        <v>16020</v>
      </c>
      <c r="ABF31" s="89">
        <f t="shared" ref="ABF31:ABL31" si="359">ABE34</f>
        <v>14022</v>
      </c>
      <c r="ABG31" s="89">
        <f t="shared" si="359"/>
        <v>12152</v>
      </c>
      <c r="ABH31" s="89">
        <f t="shared" si="359"/>
        <v>10300</v>
      </c>
      <c r="ABI31" s="89">
        <f t="shared" si="359"/>
        <v>8305</v>
      </c>
      <c r="ABJ31" s="89">
        <f t="shared" si="359"/>
        <v>7055</v>
      </c>
      <c r="ABK31" s="89">
        <f t="shared" si="359"/>
        <v>5063</v>
      </c>
      <c r="ABL31" s="89">
        <f t="shared" si="359"/>
        <v>3247</v>
      </c>
      <c r="ABM31" s="89">
        <f>ABL34+14901</f>
        <v>16212</v>
      </c>
      <c r="ABN31" s="89">
        <f>ABM34</f>
        <v>14294</v>
      </c>
      <c r="ABO31" s="89">
        <f>ABN34</f>
        <v>12326</v>
      </c>
      <c r="ABP31" s="89">
        <f>ABO34+8000</f>
        <v>18240</v>
      </c>
      <c r="ABQ31" s="89">
        <f>ABP34</f>
        <v>16190</v>
      </c>
      <c r="ABR31" s="89">
        <f>ABQ34</f>
        <v>14188</v>
      </c>
      <c r="ABS31" s="89">
        <f>ABR34</f>
        <v>12284</v>
      </c>
      <c r="ABT31" s="89">
        <f>ABS34</f>
        <v>10400</v>
      </c>
      <c r="ABU31" s="89">
        <f>ABT34</f>
        <v>8433</v>
      </c>
      <c r="ABV31" s="89">
        <f>ABU34+12350</f>
        <v>18700</v>
      </c>
      <c r="ABW31" s="89">
        <f>ABV34</f>
        <v>16284</v>
      </c>
      <c r="ABX31" s="89">
        <f>ABW34</f>
        <v>14122</v>
      </c>
      <c r="ABY31" s="89">
        <f>ABX34</f>
        <v>12252</v>
      </c>
      <c r="ABZ31" s="89">
        <f>ABY34+7933</f>
        <v>18173</v>
      </c>
      <c r="ACA31" s="89">
        <f>ABZ34</f>
        <v>16398</v>
      </c>
      <c r="ACB31" s="89">
        <f>ACA34</f>
        <v>14610</v>
      </c>
      <c r="ACC31" s="127">
        <f t="shared" si="274"/>
        <v>395852</v>
      </c>
      <c r="ACD31" s="89">
        <f>ACB34</f>
        <v>12658</v>
      </c>
      <c r="ACE31" s="89">
        <f>ACD34</f>
        <v>10684</v>
      </c>
      <c r="ACF31" s="89">
        <f>ACE34</f>
        <v>8305</v>
      </c>
      <c r="ACG31" s="89">
        <f>ACF34</f>
        <v>6150</v>
      </c>
      <c r="ACH31" s="89">
        <f>ACG34</f>
        <v>4009</v>
      </c>
      <c r="ACI31" s="89">
        <f>ACH34+12983</f>
        <v>14686</v>
      </c>
      <c r="ACJ31" s="89">
        <f t="shared" ref="ACJ31:ACO31" si="360">ACI34</f>
        <v>13200</v>
      </c>
      <c r="ACK31" s="89">
        <f t="shared" si="360"/>
        <v>11200</v>
      </c>
      <c r="ACL31" s="89">
        <f t="shared" si="360"/>
        <v>9144</v>
      </c>
      <c r="ACM31" s="89">
        <f t="shared" si="360"/>
        <v>7305</v>
      </c>
      <c r="ACN31" s="89">
        <f t="shared" si="360"/>
        <v>5633</v>
      </c>
      <c r="ACO31" s="89">
        <f t="shared" si="360"/>
        <v>3495</v>
      </c>
      <c r="ACP31" s="89">
        <f>ACO34+16978</f>
        <v>18828</v>
      </c>
      <c r="ACQ31" s="89">
        <f>ACP34</f>
        <v>17330</v>
      </c>
      <c r="ACR31" s="89">
        <f>ACQ34</f>
        <v>15454</v>
      </c>
      <c r="ACS31" s="89">
        <f>ACR34</f>
        <v>13368</v>
      </c>
      <c r="ACT31" s="89">
        <f>ACS34</f>
        <v>11755</v>
      </c>
      <c r="ACU31" s="89">
        <f>ACT34</f>
        <v>9900</v>
      </c>
      <c r="ACV31" s="89">
        <f>ACU34+10380</f>
        <v>18380</v>
      </c>
      <c r="ACW31" s="89">
        <f>ACV34</f>
        <v>16965</v>
      </c>
      <c r="ACX31" s="89">
        <f>ACW34</f>
        <v>15454</v>
      </c>
      <c r="ACY31" s="89">
        <f>ACX34</f>
        <v>13711</v>
      </c>
      <c r="ACZ31" s="89">
        <f>ACY34</f>
        <v>11715</v>
      </c>
      <c r="ADA31" s="89">
        <f>ACZ34</f>
        <v>9900</v>
      </c>
      <c r="ADB31" s="89">
        <f>ADA34+8946</f>
        <v>17310</v>
      </c>
      <c r="ADC31" s="89">
        <f>ADB34</f>
        <v>15885</v>
      </c>
      <c r="ADD31" s="89">
        <f>ADC34</f>
        <v>14177</v>
      </c>
      <c r="ADE31" s="89">
        <f>ADD34</f>
        <v>12410</v>
      </c>
      <c r="ADF31" s="89">
        <f>ADE34</f>
        <v>10960</v>
      </c>
      <c r="ADG31" s="89">
        <f>ADF34+7910</f>
        <v>16943</v>
      </c>
      <c r="ADH31" s="89">
        <f>ADG34</f>
        <v>15031</v>
      </c>
      <c r="ADI31" s="127">
        <f t="shared" si="276"/>
        <v>381945</v>
      </c>
      <c r="ADJ31" s="89">
        <f>ADH34</f>
        <v>13368</v>
      </c>
      <c r="ADK31" s="89">
        <f>ADJ34</f>
        <v>11744</v>
      </c>
      <c r="ADL31" s="89">
        <f>ADK34</f>
        <v>10188</v>
      </c>
      <c r="ADM31" s="89">
        <f>ADL34</f>
        <v>8800</v>
      </c>
      <c r="ADN31" s="89">
        <f>ADM34+11865</f>
        <v>18818</v>
      </c>
      <c r="ADO31" s="89">
        <f t="shared" ref="ADO31:ADT31" si="361">ADN34</f>
        <v>17000</v>
      </c>
      <c r="ADP31" s="89">
        <f t="shared" si="361"/>
        <v>15063</v>
      </c>
      <c r="ADQ31" s="89">
        <f t="shared" si="361"/>
        <v>13305</v>
      </c>
      <c r="ADR31" s="89">
        <f t="shared" si="361"/>
        <v>11600</v>
      </c>
      <c r="ADS31" s="89">
        <f t="shared" si="361"/>
        <v>10064</v>
      </c>
      <c r="ADT31" s="89">
        <f t="shared" si="361"/>
        <v>8687</v>
      </c>
      <c r="ADU31" s="89">
        <f>ADT34+12870</f>
        <v>19958</v>
      </c>
      <c r="ADV31" s="89">
        <f t="shared" ref="ADV31:AEB31" si="362">ADU34</f>
        <v>18280</v>
      </c>
      <c r="ADW31" s="89">
        <f t="shared" si="362"/>
        <v>16426</v>
      </c>
      <c r="ADX31" s="89">
        <f t="shared" si="362"/>
        <v>14877</v>
      </c>
      <c r="ADY31" s="89">
        <f t="shared" si="362"/>
        <v>13126</v>
      </c>
      <c r="ADZ31" s="89">
        <f t="shared" si="362"/>
        <v>11652</v>
      </c>
      <c r="AEA31" s="89">
        <f t="shared" si="362"/>
        <v>10350</v>
      </c>
      <c r="AEB31" s="89">
        <f t="shared" si="362"/>
        <v>8729</v>
      </c>
      <c r="AEC31" s="89">
        <f>AEB34+10908</f>
        <v>18131</v>
      </c>
      <c r="AED31" s="89">
        <f t="shared" ref="AED31:AEI31" si="363">AEC34</f>
        <v>16715</v>
      </c>
      <c r="AEE31" s="89">
        <f t="shared" si="363"/>
        <v>15230</v>
      </c>
      <c r="AEF31" s="89">
        <f t="shared" si="363"/>
        <v>13588</v>
      </c>
      <c r="AEG31" s="89">
        <f t="shared" si="363"/>
        <v>12082</v>
      </c>
      <c r="AEH31" s="89">
        <f t="shared" si="363"/>
        <v>10574</v>
      </c>
      <c r="AEI31" s="89">
        <f t="shared" si="363"/>
        <v>9022</v>
      </c>
      <c r="AEJ31" s="89">
        <f>AEI34+7973</f>
        <v>15152</v>
      </c>
      <c r="AEK31" s="89">
        <f>AEJ34</f>
        <v>13544</v>
      </c>
      <c r="AEL31" s="89">
        <f>AEK34</f>
        <v>11970</v>
      </c>
      <c r="AEM31" s="89">
        <f>AEL34+8914</f>
        <v>19025</v>
      </c>
      <c r="AEN31" s="127">
        <f t="shared" ref="AEN31:AEN36" si="364">SUM(ADJ31:AEM31)</f>
        <v>407068</v>
      </c>
      <c r="AEO31" s="89">
        <f>AEM34</f>
        <v>17563</v>
      </c>
      <c r="AEP31" s="89">
        <f t="shared" ref="AEP31:AEU31" si="365">AEO34</f>
        <v>16142</v>
      </c>
      <c r="AEQ31" s="89">
        <f t="shared" si="365"/>
        <v>14642</v>
      </c>
      <c r="AER31" s="89">
        <f t="shared" si="365"/>
        <v>12944</v>
      </c>
      <c r="AES31" s="89">
        <f t="shared" si="365"/>
        <v>11105</v>
      </c>
      <c r="AET31" s="89">
        <f t="shared" si="365"/>
        <v>9600</v>
      </c>
      <c r="AEU31" s="89">
        <f t="shared" si="365"/>
        <v>7925</v>
      </c>
      <c r="AEV31" s="89">
        <f>AEU34+7896</f>
        <v>14296</v>
      </c>
      <c r="AEW31" s="89">
        <f>AEV34</f>
        <v>12739</v>
      </c>
      <c r="AEX31" s="89">
        <f>AEW34</f>
        <v>10866</v>
      </c>
      <c r="AEY31" s="89">
        <f>AEX34</f>
        <v>8880</v>
      </c>
      <c r="AEZ31" s="89">
        <f>AEY34</f>
        <v>7166</v>
      </c>
      <c r="AFA31" s="89">
        <f>AEZ34</f>
        <v>5621</v>
      </c>
      <c r="AFB31" s="89">
        <f>AFA34+12891</f>
        <v>16976</v>
      </c>
      <c r="AFC31" s="89">
        <f>AFB34</f>
        <v>15380</v>
      </c>
      <c r="AFD31" s="89">
        <f>AFC34</f>
        <v>13694</v>
      </c>
      <c r="AFE31" s="89">
        <f>AFD34</f>
        <v>12050</v>
      </c>
      <c r="AFF31" s="89">
        <f>AFE34+7914</f>
        <v>18514</v>
      </c>
      <c r="AFG31" s="89">
        <f>AFF34</f>
        <v>16800</v>
      </c>
      <c r="AFH31" s="89">
        <f>AFG34</f>
        <v>15230</v>
      </c>
      <c r="AFI31" s="89">
        <f>AFH34</f>
        <v>13688</v>
      </c>
      <c r="AFJ31" s="89">
        <f>AFI34</f>
        <v>11970</v>
      </c>
      <c r="AFK31" s="89">
        <f>AFJ34</f>
        <v>10411</v>
      </c>
      <c r="AFL31" s="89">
        <f>AFK34+8000</f>
        <v>17022</v>
      </c>
      <c r="AFM31" s="89">
        <f t="shared" ref="AFM31:AFS31" si="366">AFL34</f>
        <v>15260</v>
      </c>
      <c r="AFN31" s="89">
        <f t="shared" si="366"/>
        <v>13242</v>
      </c>
      <c r="AFO31" s="89">
        <f t="shared" si="366"/>
        <v>11576</v>
      </c>
      <c r="AFP31" s="89">
        <f t="shared" si="366"/>
        <v>9933</v>
      </c>
      <c r="AFQ31" s="89">
        <f t="shared" si="366"/>
        <v>8411</v>
      </c>
      <c r="AFR31" s="89">
        <f t="shared" si="366"/>
        <v>6954</v>
      </c>
      <c r="AFS31" s="89">
        <f t="shared" si="366"/>
        <v>5410</v>
      </c>
      <c r="AFT31" s="127">
        <f t="shared" si="279"/>
        <v>382010</v>
      </c>
      <c r="AFU31" s="89">
        <f>AFS34+11846</f>
        <v>15491</v>
      </c>
      <c r="AFV31" s="89">
        <f>AFU34</f>
        <v>13744</v>
      </c>
      <c r="AFW31" s="89">
        <f>AFV34</f>
        <v>11980</v>
      </c>
      <c r="AFX31" s="89">
        <f>AFW34</f>
        <v>10350</v>
      </c>
      <c r="AFY31" s="89">
        <f>AFX34</f>
        <v>8717</v>
      </c>
      <c r="AFZ31" s="89">
        <f>AFY34+9915</f>
        <v>16860</v>
      </c>
      <c r="AGA31" s="89">
        <f>AFZ34</f>
        <v>15210</v>
      </c>
      <c r="AGB31" s="89">
        <f>AGA34</f>
        <v>13411</v>
      </c>
      <c r="AGC31" s="89">
        <f>AGB34</f>
        <v>11990</v>
      </c>
      <c r="AGD31" s="89">
        <f>AGC34</f>
        <v>10133</v>
      </c>
      <c r="AGE31" s="89">
        <f>AGD34</f>
        <v>8341</v>
      </c>
      <c r="AGF31" s="89">
        <f>AGE34+12839</f>
        <v>19628</v>
      </c>
      <c r="AGG31" s="89">
        <f t="shared" ref="AGG31:AGN31" si="367">AGF34</f>
        <v>18264</v>
      </c>
      <c r="AGH31" s="89">
        <f t="shared" si="367"/>
        <v>16684</v>
      </c>
      <c r="AGI31" s="89">
        <f t="shared" si="367"/>
        <v>15170</v>
      </c>
      <c r="AGJ31" s="89">
        <f t="shared" si="367"/>
        <v>13500</v>
      </c>
      <c r="AGK31" s="89">
        <f t="shared" si="367"/>
        <v>11980</v>
      </c>
      <c r="AGL31" s="89">
        <f t="shared" si="367"/>
        <v>10094</v>
      </c>
      <c r="AGM31" s="89">
        <f t="shared" si="367"/>
        <v>8376</v>
      </c>
      <c r="AGN31" s="89">
        <f t="shared" si="367"/>
        <v>6711</v>
      </c>
      <c r="AGO31" s="89">
        <f>AGN34+12802</f>
        <v>17665</v>
      </c>
      <c r="AGP31" s="89">
        <f>AGO34</f>
        <v>15819</v>
      </c>
      <c r="AGQ31" s="89">
        <f>AGP34</f>
        <v>13788</v>
      </c>
      <c r="AGR31" s="89">
        <f>AGQ34</f>
        <v>12273</v>
      </c>
      <c r="AGS31" s="89">
        <f>AGR34</f>
        <v>10661</v>
      </c>
      <c r="AGT31" s="89">
        <f>AGS34+8852</f>
        <v>17604</v>
      </c>
      <c r="AGU31" s="89">
        <f>AGT34</f>
        <v>16019</v>
      </c>
      <c r="AGV31" s="89">
        <f>AGU34</f>
        <v>14221</v>
      </c>
      <c r="AGW31" s="89">
        <f>AGV34</f>
        <v>12137</v>
      </c>
      <c r="AGX31" s="89">
        <f>AGW34</f>
        <v>10077</v>
      </c>
      <c r="AGY31" s="127">
        <f t="shared" si="281"/>
        <v>396898</v>
      </c>
      <c r="AGZ31" s="89">
        <f>AGX34</f>
        <v>8364</v>
      </c>
      <c r="AHA31" s="89">
        <f>AGZ34</f>
        <v>6557</v>
      </c>
      <c r="AHB31" s="89">
        <f>AHA34+12798</f>
        <v>17598</v>
      </c>
      <c r="AHC31" s="89">
        <f t="shared" ref="AHC31:AHI31" si="368">AHB34</f>
        <v>16114</v>
      </c>
      <c r="AHD31" s="89">
        <f t="shared" si="368"/>
        <v>14155</v>
      </c>
      <c r="AHE31" s="89">
        <f t="shared" si="368"/>
        <v>12037</v>
      </c>
      <c r="AHF31" s="89">
        <f t="shared" si="368"/>
        <v>10122</v>
      </c>
      <c r="AHG31" s="89">
        <f t="shared" si="368"/>
        <v>8400</v>
      </c>
      <c r="AHH31" s="89">
        <f t="shared" si="368"/>
        <v>6547</v>
      </c>
      <c r="AHI31" s="89">
        <f t="shared" si="368"/>
        <v>5009</v>
      </c>
      <c r="AHJ31" s="89">
        <f>AHI34+12802</f>
        <v>15982</v>
      </c>
      <c r="AHK31" s="89">
        <f>AHJ34</f>
        <v>14077</v>
      </c>
      <c r="AHL31" s="89">
        <f>AHK34</f>
        <v>12037</v>
      </c>
      <c r="AHM31" s="89">
        <f>AHL34</f>
        <v>9944</v>
      </c>
      <c r="AHN31" s="89">
        <f>AHM34</f>
        <v>8188</v>
      </c>
      <c r="AHO31" s="89">
        <f>AHN34</f>
        <v>6400</v>
      </c>
      <c r="AHP31" s="89">
        <f>AHO34+13926</f>
        <v>18606</v>
      </c>
      <c r="AHQ31" s="89">
        <f t="shared" ref="AHQ31:AHV31" si="369">AHP34</f>
        <v>17000</v>
      </c>
      <c r="AHR31" s="89">
        <f t="shared" si="369"/>
        <v>15000</v>
      </c>
      <c r="AHS31" s="89">
        <f t="shared" si="369"/>
        <v>12888</v>
      </c>
      <c r="AHT31" s="89">
        <f t="shared" si="369"/>
        <v>10946</v>
      </c>
      <c r="AHU31" s="89">
        <f t="shared" si="369"/>
        <v>8960</v>
      </c>
      <c r="AHV31" s="89">
        <f t="shared" si="369"/>
        <v>6845</v>
      </c>
      <c r="AHW31" s="89">
        <f>AHV34+13843</f>
        <v>18357</v>
      </c>
      <c r="AHX31" s="89">
        <f t="shared" ref="AHX31:AIC31" si="370">AHW34</f>
        <v>16090</v>
      </c>
      <c r="AHY31" s="89">
        <f t="shared" si="370"/>
        <v>14411</v>
      </c>
      <c r="AHZ31" s="89">
        <f t="shared" si="370"/>
        <v>12717</v>
      </c>
      <c r="AIA31" s="89">
        <f t="shared" si="370"/>
        <v>11200</v>
      </c>
      <c r="AIB31" s="89">
        <f t="shared" si="370"/>
        <v>9844</v>
      </c>
      <c r="AIC31" s="89">
        <f t="shared" si="370"/>
        <v>8400</v>
      </c>
      <c r="AID31" s="89">
        <f>AIC34+4973+4984</f>
        <v>16657</v>
      </c>
      <c r="AIE31" s="127">
        <f t="shared" si="283"/>
        <v>369452</v>
      </c>
      <c r="AIF31" s="89">
        <f>AID34</f>
        <v>14600</v>
      </c>
      <c r="AIG31" s="89">
        <f>AIF34</f>
        <v>13126</v>
      </c>
      <c r="AIH31" s="89">
        <f>AIG34</f>
        <v>11505</v>
      </c>
      <c r="AII31" s="89">
        <f>AIH34</f>
        <v>9870</v>
      </c>
      <c r="AIJ31" s="89">
        <f>AII34</f>
        <v>8122</v>
      </c>
      <c r="AIK31" s="89">
        <f>AIJ34+9927</f>
        <v>16127</v>
      </c>
      <c r="AIL31" s="89">
        <f>AIK34</f>
        <v>14111</v>
      </c>
      <c r="AIM31" s="89">
        <f>AIL34</f>
        <v>12162</v>
      </c>
      <c r="AIN31" s="89">
        <f>AIM34+8420</f>
        <v>18700</v>
      </c>
      <c r="AIO31" s="89">
        <f t="shared" ref="AIO31:AIW31" si="371">AIN34</f>
        <v>17030</v>
      </c>
      <c r="AIP31" s="89">
        <f t="shared" si="371"/>
        <v>14747</v>
      </c>
      <c r="AIQ31" s="89">
        <f t="shared" si="371"/>
        <v>12888</v>
      </c>
      <c r="AIR31" s="89">
        <f t="shared" si="371"/>
        <v>11189</v>
      </c>
      <c r="AIS31" s="89">
        <f t="shared" si="371"/>
        <v>9284</v>
      </c>
      <c r="AIT31" s="89">
        <f t="shared" si="371"/>
        <v>7545</v>
      </c>
      <c r="AIU31" s="89">
        <f t="shared" si="371"/>
        <v>6452</v>
      </c>
      <c r="AIV31" s="89">
        <f t="shared" si="371"/>
        <v>4926</v>
      </c>
      <c r="AIW31" s="89">
        <f t="shared" si="371"/>
        <v>4047</v>
      </c>
      <c r="AIX31" s="89">
        <f>AIW34+4942</f>
        <v>7966</v>
      </c>
      <c r="AIY31" s="89">
        <f>AIX34</f>
        <v>6325</v>
      </c>
      <c r="AIZ31" s="89">
        <f>AIY34</f>
        <v>4638</v>
      </c>
      <c r="AJA31" s="89">
        <f>AIZ34+10864</f>
        <v>13644</v>
      </c>
      <c r="AJB31" s="89">
        <f>AJA34</f>
        <v>12050</v>
      </c>
      <c r="AJC31" s="89">
        <f>AJB34</f>
        <v>10111</v>
      </c>
      <c r="AJD31" s="89">
        <f>AJC34+5000</f>
        <v>13164</v>
      </c>
      <c r="AJE31" s="89">
        <f>AJD34</f>
        <v>11300</v>
      </c>
      <c r="AJF31" s="89">
        <f>AJE34</f>
        <v>9610</v>
      </c>
      <c r="AJG31" s="89">
        <f>AJF34</f>
        <v>7744</v>
      </c>
      <c r="AJH31" s="89">
        <f>AJG34</f>
        <v>6070</v>
      </c>
      <c r="AJI31" s="89">
        <f>AJH34+9395</f>
        <v>13795</v>
      </c>
      <c r="AJJ31" s="89">
        <f>AJI34</f>
        <v>12357</v>
      </c>
      <c r="AJK31" s="127">
        <f t="shared" si="285"/>
        <v>335205</v>
      </c>
      <c r="AJL31" s="89">
        <f>AJJ34</f>
        <v>10662</v>
      </c>
      <c r="AJM31" s="89">
        <f>AJL34</f>
        <v>9200</v>
      </c>
      <c r="AJN31" s="89">
        <f>AJM34</f>
        <v>7575</v>
      </c>
      <c r="AJO31" s="89">
        <f>AJN34</f>
        <v>5557</v>
      </c>
      <c r="AJP31" s="89">
        <f>AJO34</f>
        <v>3910</v>
      </c>
      <c r="AJQ31" s="89">
        <f>AJP34+8913</f>
        <v>11169</v>
      </c>
      <c r="AJR31" s="89">
        <f>AJQ34+7969</f>
        <v>17705</v>
      </c>
      <c r="AJS31" s="89">
        <f t="shared" ref="AJS31:AJX31" si="372">AJR34</f>
        <v>15554</v>
      </c>
      <c r="AJT31" s="89">
        <f t="shared" si="372"/>
        <v>13852</v>
      </c>
      <c r="AJU31" s="89">
        <f t="shared" si="372"/>
        <v>11980</v>
      </c>
      <c r="AJV31" s="89">
        <f t="shared" si="372"/>
        <v>10228</v>
      </c>
      <c r="AJW31" s="89">
        <f t="shared" si="372"/>
        <v>8600</v>
      </c>
      <c r="AJX31" s="89">
        <f t="shared" si="372"/>
        <v>6845</v>
      </c>
      <c r="AJY31" s="89">
        <f>AJX34+11924</f>
        <v>16831</v>
      </c>
      <c r="AJZ31" s="89">
        <f>AJY34</f>
        <v>15147</v>
      </c>
      <c r="AKA31" s="89">
        <f>AJZ34</f>
        <v>13500</v>
      </c>
      <c r="AKB31" s="89">
        <f>AKA34</f>
        <v>11961</v>
      </c>
      <c r="AKC31" s="89">
        <f>AKB34</f>
        <v>10178</v>
      </c>
      <c r="AKD31" s="89">
        <f>AKC34+7907</f>
        <v>16473</v>
      </c>
      <c r="AKE31" s="89">
        <f t="shared" ref="AKE31:AKL31" si="373">AKD34</f>
        <v>15063</v>
      </c>
      <c r="AKF31" s="89">
        <f t="shared" si="373"/>
        <v>13644</v>
      </c>
      <c r="AKG31" s="89">
        <f t="shared" si="373"/>
        <v>11900</v>
      </c>
      <c r="AKH31" s="89">
        <f t="shared" si="373"/>
        <v>10555</v>
      </c>
      <c r="AKI31" s="89">
        <f t="shared" si="373"/>
        <v>9000</v>
      </c>
      <c r="AKJ31" s="89">
        <f t="shared" si="373"/>
        <v>7462</v>
      </c>
      <c r="AKK31" s="89">
        <f t="shared" si="373"/>
        <v>5877</v>
      </c>
      <c r="AKL31" s="89">
        <f t="shared" si="373"/>
        <v>4389</v>
      </c>
      <c r="AKM31" s="89">
        <f>AKL34+12868</f>
        <v>15820</v>
      </c>
      <c r="AKN31" s="127">
        <f t="shared" si="11"/>
        <v>310637</v>
      </c>
      <c r="AKO31" s="89">
        <f>AKM34</f>
        <v>14488</v>
      </c>
      <c r="AKP31" s="89">
        <f>AKO34</f>
        <v>12863</v>
      </c>
      <c r="AKQ31" s="89">
        <f>AKP34</f>
        <v>11444</v>
      </c>
      <c r="AKR31" s="89">
        <f>AKQ34</f>
        <v>9831</v>
      </c>
      <c r="AKS31" s="89">
        <f>AKR34</f>
        <v>8377</v>
      </c>
      <c r="AKT31" s="89">
        <f>AKS34+10962</f>
        <v>17781</v>
      </c>
      <c r="AKU31" s="89">
        <f t="shared" ref="AKU31:AKZ31" si="374">AKT34</f>
        <v>16282</v>
      </c>
      <c r="AKV31" s="89">
        <f t="shared" si="374"/>
        <v>14768</v>
      </c>
      <c r="AKW31" s="89">
        <f t="shared" si="374"/>
        <v>13147</v>
      </c>
      <c r="AKX31" s="89">
        <f t="shared" si="374"/>
        <v>11470</v>
      </c>
      <c r="AKY31" s="89">
        <f t="shared" si="374"/>
        <v>9933</v>
      </c>
      <c r="AKZ31" s="89">
        <f t="shared" si="374"/>
        <v>8511</v>
      </c>
      <c r="ALA31" s="89">
        <f>AKZ34+9842</f>
        <v>16751</v>
      </c>
      <c r="ALB31" s="89">
        <f t="shared" ref="ALB31:ALG31" si="375">ALA34</f>
        <v>15136</v>
      </c>
      <c r="ALC31" s="89">
        <f t="shared" si="375"/>
        <v>13157</v>
      </c>
      <c r="ALD31" s="89">
        <f t="shared" si="375"/>
        <v>11564</v>
      </c>
      <c r="ALE31" s="89">
        <f t="shared" si="375"/>
        <v>9326</v>
      </c>
      <c r="ALF31" s="89">
        <f t="shared" si="375"/>
        <v>7458</v>
      </c>
      <c r="ALG31" s="89">
        <f t="shared" si="375"/>
        <v>5977</v>
      </c>
      <c r="ALH31" s="89">
        <f>ALG34+12898</f>
        <v>16955</v>
      </c>
      <c r="ALI31" s="89">
        <f>ALH34</f>
        <v>15280</v>
      </c>
      <c r="ALJ31" s="89">
        <f>ALI34</f>
        <v>13511</v>
      </c>
      <c r="ALK31" s="89">
        <f>ALJ34</f>
        <v>12162</v>
      </c>
      <c r="ALL31" s="89">
        <f>ALK34</f>
        <v>10320</v>
      </c>
      <c r="ALM31" s="89">
        <f>ALL34</f>
        <v>8511</v>
      </c>
      <c r="ALN31" s="89">
        <f>ALM34+7946</f>
        <v>14557</v>
      </c>
      <c r="ALO31" s="89">
        <f>ALN34</f>
        <v>12666</v>
      </c>
      <c r="ALP31" s="89">
        <f>ALO34+7446</f>
        <v>18168</v>
      </c>
      <c r="ALQ31" s="89">
        <f>ALP34</f>
        <v>16047</v>
      </c>
      <c r="ALR31" s="89">
        <f>ALQ34</f>
        <v>13633</v>
      </c>
      <c r="ALS31" s="89">
        <f>ALR34</f>
        <v>11287</v>
      </c>
      <c r="ALT31" s="127">
        <f t="shared" si="12"/>
        <v>391361</v>
      </c>
      <c r="ALU31" s="89">
        <f>ALS34</f>
        <v>9560</v>
      </c>
      <c r="ALV31" s="89">
        <f>ALU34+7415</f>
        <v>14604</v>
      </c>
      <c r="ALW31" s="89">
        <f>ALV34+5000</f>
        <v>17855</v>
      </c>
      <c r="ALX31" s="89">
        <f t="shared" ref="ALX31:AME31" si="376">ALW34</f>
        <v>15857</v>
      </c>
      <c r="ALY31" s="89">
        <f t="shared" si="376"/>
        <v>13911</v>
      </c>
      <c r="ALZ31" s="89">
        <f t="shared" si="376"/>
        <v>12705</v>
      </c>
      <c r="AMA31" s="89">
        <f t="shared" si="376"/>
        <v>11423</v>
      </c>
      <c r="AMB31" s="89">
        <f t="shared" si="376"/>
        <v>9284</v>
      </c>
      <c r="AMC31" s="89">
        <f t="shared" si="376"/>
        <v>7305</v>
      </c>
      <c r="AMD31" s="89">
        <f t="shared" si="376"/>
        <v>5118</v>
      </c>
      <c r="AME31" s="89">
        <f t="shared" si="376"/>
        <v>2980</v>
      </c>
      <c r="AMF31" s="89">
        <f>AME34+9910</f>
        <v>10722</v>
      </c>
      <c r="AMG31" s="89">
        <f>AMF34</f>
        <v>8455</v>
      </c>
      <c r="AMH31" s="89">
        <f>AMG34+7870</f>
        <v>14020</v>
      </c>
      <c r="AMI31" s="89">
        <f>AMH34</f>
        <v>12633</v>
      </c>
      <c r="AMJ31" s="89">
        <f>AMI34</f>
        <v>10853</v>
      </c>
      <c r="AMK31" s="89">
        <f>AMJ34+7945</f>
        <v>17122</v>
      </c>
      <c r="AML31" s="89">
        <f>AMK34</f>
        <v>15178</v>
      </c>
      <c r="AMM31" s="89">
        <f>AML34</f>
        <v>12900</v>
      </c>
      <c r="AMN31" s="89">
        <f>AMM34</f>
        <v>10711</v>
      </c>
      <c r="AMO31" s="89">
        <f>AMN34+8834</f>
        <v>15662</v>
      </c>
      <c r="AMP31" s="89">
        <f>AMO34</f>
        <v>10813</v>
      </c>
      <c r="AMQ31" s="89">
        <f>AMP34</f>
        <v>7562</v>
      </c>
      <c r="AMR31" s="89">
        <f>AMQ34+12852</f>
        <v>16004</v>
      </c>
      <c r="AMS31" s="89">
        <f>AMR34</f>
        <v>11375</v>
      </c>
      <c r="AMT31" s="89">
        <f>AMS34</f>
        <v>6568</v>
      </c>
      <c r="AMU31" s="89">
        <f>AMT34</f>
        <v>2336</v>
      </c>
      <c r="AMV31" s="89">
        <f>AMU34+7940</f>
        <v>8351</v>
      </c>
      <c r="AMW31" s="89">
        <f>AMV34</f>
        <v>6700</v>
      </c>
      <c r="AMX31" s="89">
        <f>AMW34+9850</f>
        <v>12507</v>
      </c>
      <c r="AMY31" s="127">
        <f t="shared" si="13"/>
        <v>331074</v>
      </c>
      <c r="AMZ31" s="89">
        <f>AMX34+7974</f>
        <v>17374</v>
      </c>
      <c r="ANA31" s="89">
        <f>AMZ34</f>
        <v>15572</v>
      </c>
      <c r="ANB31" s="89">
        <f>ANA34</f>
        <v>13477</v>
      </c>
      <c r="ANC31" s="89">
        <f>ANB34</f>
        <v>11766</v>
      </c>
      <c r="AND31" s="89">
        <f>ANC34+7930</f>
        <v>17476</v>
      </c>
      <c r="ANE31" s="89">
        <f>AND34</f>
        <v>15480</v>
      </c>
      <c r="ANF31" s="89">
        <f>ANE34</f>
        <v>13180</v>
      </c>
      <c r="ANG31" s="89">
        <f>ANF34+6933</f>
        <v>17985</v>
      </c>
      <c r="ANH31" s="89">
        <f>ANG34</f>
        <v>15980</v>
      </c>
      <c r="ANI31" s="89">
        <f>ANH34</f>
        <v>13711</v>
      </c>
      <c r="ANJ31" s="89">
        <f>ANI34</f>
        <v>11910</v>
      </c>
      <c r="ANK31" s="89">
        <f>ANJ34</f>
        <v>9866</v>
      </c>
      <c r="ANL31" s="89">
        <f>ANK34</f>
        <v>7950</v>
      </c>
      <c r="ANM31" s="89">
        <f>ANL34+6911</f>
        <v>12822</v>
      </c>
      <c r="ANN31" s="89">
        <f>ANM34</f>
        <v>10435</v>
      </c>
      <c r="ANO31" s="89">
        <f>ANN34</f>
        <v>8282</v>
      </c>
      <c r="ANP31" s="89">
        <f>ANO34+4913</f>
        <v>11601</v>
      </c>
      <c r="ANQ31" s="89">
        <f>ANP34</f>
        <v>10557</v>
      </c>
      <c r="ANR31" s="89">
        <f>ANQ34</f>
        <v>9190</v>
      </c>
      <c r="ANS31" s="89">
        <f>ANR34+9836</f>
        <v>17696</v>
      </c>
      <c r="ANT31" s="89">
        <f t="shared" ref="ANT31:ANY31" si="377">ANS34</f>
        <v>16388</v>
      </c>
      <c r="ANU31" s="89">
        <f t="shared" si="377"/>
        <v>15310</v>
      </c>
      <c r="ANV31" s="89">
        <f t="shared" si="377"/>
        <v>13566</v>
      </c>
      <c r="ANW31" s="89">
        <f t="shared" si="377"/>
        <v>12263</v>
      </c>
      <c r="ANX31" s="89">
        <f t="shared" si="377"/>
        <v>10744</v>
      </c>
      <c r="ANY31" s="89">
        <f t="shared" si="377"/>
        <v>9221</v>
      </c>
      <c r="ANZ31" s="89">
        <f>ANY34+8846</f>
        <v>16116</v>
      </c>
      <c r="AOA31" s="89">
        <f>ANZ34</f>
        <v>14877</v>
      </c>
      <c r="AOB31" s="89">
        <f>AOA34</f>
        <v>13600</v>
      </c>
      <c r="AOC31" s="89">
        <f>AOB34+3934+2950</f>
        <v>18984</v>
      </c>
    </row>
    <row r="32" spans="1:1069" x14ac:dyDescent="0.2">
      <c r="A32" s="160"/>
      <c r="B32" s="5" t="s">
        <v>1527</v>
      </c>
      <c r="C32" s="20">
        <v>2515.9920000000002</v>
      </c>
      <c r="D32" s="20">
        <v>2602.712</v>
      </c>
      <c r="E32" s="20">
        <v>2463.933</v>
      </c>
      <c r="F32" s="20">
        <v>2646.835</v>
      </c>
      <c r="G32" s="20">
        <f t="shared" ref="G32:AG32" si="378">G4</f>
        <v>2707.9720000000088</v>
      </c>
      <c r="H32" s="20">
        <f t="shared" si="378"/>
        <v>2924.6559999999299</v>
      </c>
      <c r="I32" s="20">
        <f t="shared" si="378"/>
        <v>2531.3330000000715</v>
      </c>
      <c r="J32" s="20">
        <f t="shared" si="378"/>
        <v>2074.2060000000056</v>
      </c>
      <c r="K32" s="20">
        <f t="shared" si="378"/>
        <v>2119.2049999999872</v>
      </c>
      <c r="L32" s="20">
        <f t="shared" si="378"/>
        <v>2367.5359999999928</v>
      </c>
      <c r="M32" s="20">
        <f t="shared" si="378"/>
        <v>2401.3019999999378</v>
      </c>
      <c r="N32" s="20">
        <f t="shared" si="378"/>
        <v>2763.7470000001194</v>
      </c>
      <c r="O32" s="20">
        <f t="shared" si="378"/>
        <v>2484.146000000037</v>
      </c>
      <c r="P32" s="20">
        <f t="shared" si="378"/>
        <v>2667.1489999999758</v>
      </c>
      <c r="Q32" s="20">
        <f t="shared" si="378"/>
        <v>2297.0429999999469</v>
      </c>
      <c r="R32" s="20">
        <f t="shared" si="378"/>
        <v>2449.0470000000205</v>
      </c>
      <c r="S32" s="20">
        <f t="shared" si="378"/>
        <v>2391.0480000000098</v>
      </c>
      <c r="T32" s="20">
        <f t="shared" si="378"/>
        <v>2805.2589999998745</v>
      </c>
      <c r="U32" s="20">
        <f t="shared" si="378"/>
        <v>2358.7680000000109</v>
      </c>
      <c r="V32" s="20">
        <f t="shared" si="378"/>
        <v>2156.3570000000473</v>
      </c>
      <c r="W32" s="20">
        <f t="shared" si="378"/>
        <v>1917.8290000000852</v>
      </c>
      <c r="X32" s="20">
        <f t="shared" si="378"/>
        <v>2097.9469999999274</v>
      </c>
      <c r="Y32" s="20">
        <f t="shared" si="378"/>
        <v>2254.5150000001013</v>
      </c>
      <c r="Z32" s="20">
        <f t="shared" si="378"/>
        <v>2294.7610000000277</v>
      </c>
      <c r="AA32" s="20">
        <f t="shared" si="378"/>
        <v>2808.735999999888</v>
      </c>
      <c r="AB32" s="20">
        <f t="shared" si="378"/>
        <v>2826.5720000000147</v>
      </c>
      <c r="AC32" s="20">
        <f t="shared" si="378"/>
        <v>2551.2730000000156</v>
      </c>
      <c r="AD32" s="20">
        <f t="shared" si="378"/>
        <v>2109.6019999999553</v>
      </c>
      <c r="AE32" s="20">
        <f t="shared" si="378"/>
        <v>2161.3019999999378</v>
      </c>
      <c r="AF32" s="20">
        <f t="shared" si="378"/>
        <v>2107.965000000142</v>
      </c>
      <c r="AG32" s="20">
        <f t="shared" si="378"/>
        <v>2506.5579999999027</v>
      </c>
      <c r="AH32" s="94">
        <f t="shared" si="324"/>
        <v>75365.305999999982</v>
      </c>
      <c r="AI32" s="20">
        <f t="shared" ref="AI32:BL32" si="379">AI4</f>
        <v>2969.1580000000831</v>
      </c>
      <c r="AJ32" s="20">
        <f t="shared" si="379"/>
        <v>2698.1450000000186</v>
      </c>
      <c r="AK32" s="20">
        <f t="shared" si="379"/>
        <v>2582.4199999999546</v>
      </c>
      <c r="AL32" s="20">
        <f t="shared" si="379"/>
        <v>2546.7720000000554</v>
      </c>
      <c r="AM32" s="20">
        <f t="shared" si="379"/>
        <v>2375.1819999999134</v>
      </c>
      <c r="AN32" s="20">
        <f t="shared" si="379"/>
        <v>1841.4459999999963</v>
      </c>
      <c r="AO32" s="20">
        <f t="shared" si="379"/>
        <v>12384.530999999959</v>
      </c>
      <c r="AP32" s="20">
        <f t="shared" si="379"/>
        <v>2964.377999999997</v>
      </c>
      <c r="AQ32" s="20">
        <f t="shared" si="379"/>
        <v>2587.7720000000554</v>
      </c>
      <c r="AR32" s="20">
        <f t="shared" si="379"/>
        <v>2209.6530000000494</v>
      </c>
      <c r="AS32" s="20">
        <f t="shared" si="379"/>
        <v>2037.8069999999134</v>
      </c>
      <c r="AT32" s="20">
        <f t="shared" si="379"/>
        <v>1650.3730000001087</v>
      </c>
      <c r="AU32" s="20">
        <f t="shared" si="379"/>
        <v>11893.728999999905</v>
      </c>
      <c r="AV32" s="20">
        <f t="shared" si="379"/>
        <v>2006.9279999999853</v>
      </c>
      <c r="AW32" s="20">
        <f t="shared" si="379"/>
        <v>2152.9230000000971</v>
      </c>
      <c r="AX32" s="20">
        <f t="shared" si="379"/>
        <v>2232.3069999999716</v>
      </c>
      <c r="AY32" s="20">
        <f t="shared" si="379"/>
        <v>1988.0550000000221</v>
      </c>
      <c r="AZ32" s="20">
        <f t="shared" si="379"/>
        <v>2149.3840000000068</v>
      </c>
      <c r="BA32" s="20">
        <f t="shared" si="379"/>
        <v>1822.4059999999156</v>
      </c>
      <c r="BB32" s="20">
        <f t="shared" si="379"/>
        <v>1922.8449999999721</v>
      </c>
      <c r="BC32" s="20">
        <f t="shared" si="379"/>
        <v>1959.0540000001492</v>
      </c>
      <c r="BD32" s="20">
        <f t="shared" si="379"/>
        <v>2289.8449999999721</v>
      </c>
      <c r="BE32" s="20">
        <f t="shared" si="379"/>
        <v>2263.4409999999043</v>
      </c>
      <c r="BF32" s="20">
        <f t="shared" si="379"/>
        <v>1913.8750000000582</v>
      </c>
      <c r="BG32" s="20">
        <f t="shared" si="379"/>
        <v>2035.7119999999122</v>
      </c>
      <c r="BH32" s="20">
        <f t="shared" si="379"/>
        <v>1949.6750000000175</v>
      </c>
      <c r="BI32" s="20">
        <f t="shared" si="379"/>
        <v>1992.7820000000647</v>
      </c>
      <c r="BJ32" s="20">
        <f t="shared" si="379"/>
        <v>1844.1840000000084</v>
      </c>
      <c r="BK32" s="20">
        <f t="shared" si="379"/>
        <v>2057.8920000000217</v>
      </c>
      <c r="BL32" s="20">
        <f t="shared" si="379"/>
        <v>2209.8049999999639</v>
      </c>
      <c r="BM32" s="97">
        <f t="shared" si="247"/>
        <v>85532.47900000005</v>
      </c>
      <c r="BN32" s="20">
        <f t="shared" ref="BN32:CR32" si="380">BN4</f>
        <v>1896.1620000000403</v>
      </c>
      <c r="BO32" s="20">
        <f t="shared" si="380"/>
        <v>2038.2319999999891</v>
      </c>
      <c r="BP32" s="20">
        <f t="shared" si="380"/>
        <v>1984.4679999999935</v>
      </c>
      <c r="BQ32" s="20">
        <f t="shared" si="380"/>
        <v>1885.9349999999686</v>
      </c>
      <c r="BR32" s="20">
        <f t="shared" si="380"/>
        <v>1792.4199999999837</v>
      </c>
      <c r="BS32" s="20">
        <f t="shared" si="380"/>
        <v>2103.1970000000438</v>
      </c>
      <c r="BT32" s="20">
        <f t="shared" si="380"/>
        <v>1828.2419999999111</v>
      </c>
      <c r="BU32" s="20">
        <f t="shared" si="380"/>
        <v>2090.7940000000817</v>
      </c>
      <c r="BV32" s="20">
        <f t="shared" si="380"/>
        <v>1940.5490000000282</v>
      </c>
      <c r="BW32" s="20">
        <f t="shared" si="380"/>
        <v>1744.6819999999425</v>
      </c>
      <c r="BX32" s="20">
        <f t="shared" si="380"/>
        <v>1724.216000000044</v>
      </c>
      <c r="BY32" s="20">
        <f t="shared" si="380"/>
        <v>1783.0089999999327</v>
      </c>
      <c r="BZ32" s="20">
        <f t="shared" si="380"/>
        <v>2058.3080000000482</v>
      </c>
      <c r="CA32" s="20">
        <f t="shared" si="380"/>
        <v>2062.2369999999646</v>
      </c>
      <c r="CB32" s="20">
        <f t="shared" si="380"/>
        <v>1972.3250000000116</v>
      </c>
      <c r="CC32" s="20">
        <f t="shared" si="380"/>
        <v>1861.4250000000757</v>
      </c>
      <c r="CD32" s="20">
        <f t="shared" si="380"/>
        <v>1979.5199999999313</v>
      </c>
      <c r="CE32" s="20">
        <f t="shared" si="380"/>
        <v>1727.4770000001008</v>
      </c>
      <c r="CF32" s="20">
        <f t="shared" si="380"/>
        <v>1761.4429999998829</v>
      </c>
      <c r="CG32" s="20">
        <f t="shared" si="380"/>
        <v>1883.9180000000051</v>
      </c>
      <c r="CH32" s="20">
        <f t="shared" si="380"/>
        <v>1967.0059999999357</v>
      </c>
      <c r="CI32" s="20">
        <f t="shared" si="380"/>
        <v>2072.969000000041</v>
      </c>
      <c r="CJ32" s="20">
        <f t="shared" si="380"/>
        <v>1749.9840000001038</v>
      </c>
      <c r="CK32" s="20">
        <f t="shared" si="380"/>
        <v>1968.658999999956</v>
      </c>
      <c r="CL32" s="20">
        <f t="shared" si="380"/>
        <v>1832.5890000000654</v>
      </c>
      <c r="CM32" s="20">
        <f t="shared" si="380"/>
        <v>1879.8129999999946</v>
      </c>
      <c r="CN32" s="20">
        <f t="shared" si="380"/>
        <v>1960.5429999999469</v>
      </c>
      <c r="CO32" s="20">
        <f t="shared" si="380"/>
        <v>2145.3869999999006</v>
      </c>
      <c r="CP32" s="20">
        <f t="shared" si="380"/>
        <v>1875.3370000000868</v>
      </c>
      <c r="CQ32" s="20">
        <f t="shared" si="380"/>
        <v>1975.6299999999756</v>
      </c>
      <c r="CR32" s="20">
        <f t="shared" si="380"/>
        <v>1812.8409999999858</v>
      </c>
      <c r="CS32" s="111">
        <f t="shared" si="208"/>
        <v>59359.316999999974</v>
      </c>
      <c r="CT32" s="20">
        <f t="shared" ref="CT32:DW32" si="381">CT4</f>
        <v>1984.6310000000231</v>
      </c>
      <c r="CU32" s="20">
        <f t="shared" si="381"/>
        <v>1774.6489999999758</v>
      </c>
      <c r="CV32" s="20">
        <f t="shared" si="381"/>
        <v>2036.8670000000275</v>
      </c>
      <c r="CW32" s="20">
        <f t="shared" si="381"/>
        <v>2580.2030000000086</v>
      </c>
      <c r="CX32" s="20">
        <f t="shared" si="381"/>
        <v>2221.2740000000049</v>
      </c>
      <c r="CY32" s="20">
        <f t="shared" si="381"/>
        <v>2031.4730000000563</v>
      </c>
      <c r="CZ32" s="20">
        <f t="shared" si="381"/>
        <v>1811.5549999999639</v>
      </c>
      <c r="DA32" s="20">
        <f t="shared" si="381"/>
        <v>1897.6029999999737</v>
      </c>
      <c r="DB32" s="20">
        <f t="shared" si="381"/>
        <v>2069.5329999999376</v>
      </c>
      <c r="DC32" s="20">
        <f t="shared" si="381"/>
        <v>2154.6170000000566</v>
      </c>
      <c r="DD32" s="20">
        <f t="shared" si="381"/>
        <v>2222.435999999987</v>
      </c>
      <c r="DE32" s="20">
        <f t="shared" si="381"/>
        <v>1878.3369999999413</v>
      </c>
      <c r="DF32" s="20">
        <f t="shared" si="381"/>
        <v>1831.6640000000189</v>
      </c>
      <c r="DG32" s="20">
        <f t="shared" si="381"/>
        <v>2090.5280000000494</v>
      </c>
      <c r="DH32" s="20">
        <f t="shared" si="381"/>
        <v>1791.5830000000133</v>
      </c>
      <c r="DI32" s="20">
        <f t="shared" si="381"/>
        <v>1200.2230000000563</v>
      </c>
      <c r="DJ32" s="20">
        <f t="shared" si="381"/>
        <v>1279.5739999999641</v>
      </c>
      <c r="DK32" s="20">
        <f t="shared" si="381"/>
        <v>1880.1539999998931</v>
      </c>
      <c r="DL32" s="20">
        <f t="shared" si="381"/>
        <v>1597.1719999999623</v>
      </c>
      <c r="DM32" s="20">
        <f t="shared" si="381"/>
        <v>1719.8310000000056</v>
      </c>
      <c r="DN32" s="20">
        <f t="shared" si="381"/>
        <v>1413.1220000000321</v>
      </c>
      <c r="DO32" s="20">
        <f t="shared" si="381"/>
        <v>1780.7030000000668</v>
      </c>
      <c r="DP32" s="20">
        <f t="shared" si="381"/>
        <v>1851.4770000001008</v>
      </c>
      <c r="DQ32" s="20">
        <f t="shared" si="381"/>
        <v>1827.1629999998549</v>
      </c>
      <c r="DR32" s="20">
        <f t="shared" si="381"/>
        <v>2147.0460000000894</v>
      </c>
      <c r="DS32" s="20">
        <f t="shared" si="381"/>
        <v>1673.6210000000137</v>
      </c>
      <c r="DT32" s="20">
        <f t="shared" si="381"/>
        <v>1571.161999999953</v>
      </c>
      <c r="DU32" s="20">
        <f t="shared" si="381"/>
        <v>1448.7960000000603</v>
      </c>
      <c r="DV32" s="20">
        <f t="shared" si="381"/>
        <v>1348.1109999999753</v>
      </c>
      <c r="DW32" s="20">
        <f t="shared" si="381"/>
        <v>1769.3489999999001</v>
      </c>
      <c r="DX32" s="119"/>
      <c r="DY32" s="20">
        <f t="shared" ref="DY32:FC32" si="382">DY4</f>
        <v>1951.8110000000161</v>
      </c>
      <c r="DZ32" s="20">
        <f t="shared" si="382"/>
        <v>1746.7599999999511</v>
      </c>
      <c r="EA32" s="20">
        <f t="shared" si="382"/>
        <v>1455.4300000001094</v>
      </c>
      <c r="EB32" s="20">
        <f t="shared" si="382"/>
        <v>1503.222999999969</v>
      </c>
      <c r="EC32" s="20">
        <f t="shared" si="382"/>
        <v>1514.4670000000042</v>
      </c>
      <c r="ED32" s="20">
        <f t="shared" si="382"/>
        <v>1680.0629999999073</v>
      </c>
      <c r="EE32" s="20">
        <f t="shared" si="382"/>
        <v>1631.3470000000088</v>
      </c>
      <c r="EF32" s="20">
        <f t="shared" si="382"/>
        <v>1895.8700000000827</v>
      </c>
      <c r="EG32" s="20">
        <f t="shared" si="382"/>
        <v>2167.4899999999907</v>
      </c>
      <c r="EH32" s="20">
        <f t="shared" si="382"/>
        <v>2043.6309999999939</v>
      </c>
      <c r="EI32" s="20">
        <f t="shared" si="382"/>
        <v>1755.9329999999609</v>
      </c>
      <c r="EJ32" s="20">
        <f t="shared" si="382"/>
        <v>2028.5110000001732</v>
      </c>
      <c r="EK32" s="20">
        <f t="shared" si="382"/>
        <v>1934.6149999999907</v>
      </c>
      <c r="EL32" s="20">
        <f t="shared" si="382"/>
        <v>1822.5469999999914</v>
      </c>
      <c r="EM32" s="20">
        <f t="shared" si="382"/>
        <v>2333.9719999999215</v>
      </c>
      <c r="EN32" s="20">
        <f t="shared" si="382"/>
        <v>2480.4439999999013</v>
      </c>
      <c r="EO32" s="20">
        <f t="shared" si="382"/>
        <v>2027.9810000001744</v>
      </c>
      <c r="EP32" s="20">
        <f t="shared" si="382"/>
        <v>2295.2619999999297</v>
      </c>
      <c r="EQ32" s="20">
        <f t="shared" si="382"/>
        <v>1747.1759999999776</v>
      </c>
      <c r="ER32" s="20">
        <f t="shared" si="382"/>
        <v>2257.0379999999423</v>
      </c>
      <c r="ES32" s="20">
        <f t="shared" si="382"/>
        <v>2410.9380000000237</v>
      </c>
      <c r="ET32" s="20">
        <f t="shared" si="382"/>
        <v>2816.9270000000542</v>
      </c>
      <c r="EU32" s="20">
        <f t="shared" si="382"/>
        <v>2781.7860000000219</v>
      </c>
      <c r="EV32" s="20">
        <f t="shared" si="382"/>
        <v>2579.6509999999253</v>
      </c>
      <c r="EW32" s="20">
        <f t="shared" si="382"/>
        <v>1920.8440000000701</v>
      </c>
      <c r="EX32" s="20">
        <f t="shared" si="382"/>
        <v>1519.1909999999625</v>
      </c>
      <c r="EY32" s="20">
        <f t="shared" si="382"/>
        <v>1790.9210000000021</v>
      </c>
      <c r="EZ32" s="20">
        <f t="shared" si="382"/>
        <v>1746.0899999999674</v>
      </c>
      <c r="FA32" s="20">
        <f t="shared" si="382"/>
        <v>1984.4010000000126</v>
      </c>
      <c r="FB32" s="20">
        <f t="shared" si="382"/>
        <v>1924.8220000001311</v>
      </c>
      <c r="FC32" s="20">
        <f t="shared" si="382"/>
        <v>2145.0129999998026</v>
      </c>
      <c r="FD32" s="128"/>
      <c r="FE32" s="20">
        <f t="shared" ref="FE32:GI32" si="383">FE4</f>
        <v>1837.7400000000198</v>
      </c>
      <c r="FF32" s="20">
        <f t="shared" si="383"/>
        <v>1939.7040000000561</v>
      </c>
      <c r="FG32" s="20">
        <f t="shared" si="383"/>
        <v>1573.5720000000147</v>
      </c>
      <c r="FH32" s="20">
        <f t="shared" si="383"/>
        <v>2007.180999999895</v>
      </c>
      <c r="FI32" s="20">
        <f t="shared" si="383"/>
        <v>1980.6150000001071</v>
      </c>
      <c r="FJ32" s="20">
        <f t="shared" si="383"/>
        <v>1941.4819999999308</v>
      </c>
      <c r="FK32" s="20">
        <f t="shared" si="383"/>
        <v>1914.1230000000505</v>
      </c>
      <c r="FL32" s="20">
        <f t="shared" si="383"/>
        <v>1966.039000000048</v>
      </c>
      <c r="FM32" s="20">
        <f t="shared" si="383"/>
        <v>1942.9090000000142</v>
      </c>
      <c r="FN32" s="20">
        <f t="shared" si="383"/>
        <v>1798.0210000000661</v>
      </c>
      <c r="FO32" s="20">
        <f t="shared" si="383"/>
        <v>1758.905999999959</v>
      </c>
      <c r="FP32" s="20">
        <f t="shared" si="383"/>
        <v>1885.5269999998854</v>
      </c>
      <c r="FQ32" s="20">
        <f t="shared" si="383"/>
        <v>2088.1040000001085</v>
      </c>
      <c r="FR32" s="20">
        <f t="shared" si="383"/>
        <v>1745.39300000004</v>
      </c>
      <c r="FS32" s="20">
        <f t="shared" si="383"/>
        <v>1557.8849999998929</v>
      </c>
      <c r="FT32" s="20">
        <f t="shared" si="383"/>
        <v>1851.1110000000917</v>
      </c>
      <c r="FU32" s="20">
        <f t="shared" si="383"/>
        <v>1466.9099999997707</v>
      </c>
      <c r="FV32" s="20">
        <f t="shared" si="383"/>
        <v>1732.1300000002084</v>
      </c>
      <c r="FW32" s="20">
        <f t="shared" si="383"/>
        <v>2018.3020000000251</v>
      </c>
      <c r="FX32" s="20">
        <f t="shared" si="383"/>
        <v>2231.9319999998843</v>
      </c>
      <c r="FY32" s="20">
        <f t="shared" si="383"/>
        <v>1844.372999999905</v>
      </c>
      <c r="FZ32" s="20">
        <f t="shared" si="383"/>
        <v>1658.5270000002638</v>
      </c>
      <c r="GA32" s="20">
        <f t="shared" si="383"/>
        <v>1871.0989999997546</v>
      </c>
      <c r="GB32" s="20">
        <f t="shared" si="383"/>
        <v>1613.6630000001751</v>
      </c>
      <c r="GC32" s="20">
        <f t="shared" si="383"/>
        <v>2249.7529999999097</v>
      </c>
      <c r="GD32" s="20">
        <f t="shared" si="383"/>
        <v>1976.2229999999399</v>
      </c>
      <c r="GE32" s="20">
        <f t="shared" si="383"/>
        <v>1698.9150000002119</v>
      </c>
      <c r="GF32" s="20">
        <f t="shared" si="383"/>
        <v>1783.7929999998305</v>
      </c>
      <c r="GG32" s="20">
        <f t="shared" si="383"/>
        <v>2027.4670000001497</v>
      </c>
      <c r="GH32" s="20">
        <f t="shared" si="383"/>
        <v>1734.7850000000326</v>
      </c>
      <c r="GI32" s="20">
        <f t="shared" si="383"/>
        <v>1671.783999999956</v>
      </c>
      <c r="GJ32" s="127">
        <f t="shared" si="99"/>
        <v>57367.968000000197</v>
      </c>
      <c r="GK32" s="20">
        <f t="shared" ref="GK32:HM32" si="384">GK4</f>
        <v>1807.9849999998114</v>
      </c>
      <c r="GL32" s="20">
        <f t="shared" si="384"/>
        <v>1925.2930000001506</v>
      </c>
      <c r="GM32" s="20">
        <f t="shared" si="384"/>
        <v>2703.0769999999948</v>
      </c>
      <c r="GN32" s="20">
        <f t="shared" si="384"/>
        <v>2259.8379999998142</v>
      </c>
      <c r="GO32" s="20">
        <f t="shared" si="384"/>
        <v>2119.0360000001092</v>
      </c>
      <c r="GP32" s="20">
        <f t="shared" si="384"/>
        <v>2087.9839999999094</v>
      </c>
      <c r="GQ32" s="20">
        <f t="shared" si="384"/>
        <v>2352.6100000001898</v>
      </c>
      <c r="GR32" s="20">
        <f t="shared" si="384"/>
        <v>1993.0989999999001</v>
      </c>
      <c r="GS32" s="20">
        <f t="shared" si="384"/>
        <v>2046.7529999999097</v>
      </c>
      <c r="GT32" s="20">
        <f t="shared" si="384"/>
        <v>1874.4230000000098</v>
      </c>
      <c r="GU32" s="20">
        <f t="shared" si="384"/>
        <v>1920.2820000001229</v>
      </c>
      <c r="GV32" s="20">
        <f t="shared" si="384"/>
        <v>1948.2109999999229</v>
      </c>
      <c r="GW32" s="20">
        <f t="shared" si="384"/>
        <v>2190.1770000001125</v>
      </c>
      <c r="GX32" s="20">
        <f t="shared" si="384"/>
        <v>1988.0599999997939</v>
      </c>
      <c r="GY32" s="20">
        <f t="shared" si="384"/>
        <v>1779.060000000085</v>
      </c>
      <c r="GZ32" s="20">
        <f t="shared" si="384"/>
        <v>1797.5520000000251</v>
      </c>
      <c r="HA32" s="20">
        <f t="shared" si="384"/>
        <v>2109.9379999999364</v>
      </c>
      <c r="HB32" s="20">
        <f t="shared" si="384"/>
        <v>1783.9160000000848</v>
      </c>
      <c r="HC32" s="20">
        <f t="shared" si="384"/>
        <v>1691.4269999999378</v>
      </c>
      <c r="HD32" s="20">
        <f t="shared" si="384"/>
        <v>2102.9460000000545</v>
      </c>
      <c r="HE32" s="20">
        <f t="shared" si="384"/>
        <v>1853.98199999996</v>
      </c>
      <c r="HF32" s="20">
        <f t="shared" si="384"/>
        <v>1862.7320000001346</v>
      </c>
      <c r="HG32" s="20">
        <f t="shared" si="384"/>
        <v>1910.7739999999467</v>
      </c>
      <c r="HH32" s="20">
        <f t="shared" si="384"/>
        <v>1947.097000000038</v>
      </c>
      <c r="HI32" s="20">
        <f t="shared" si="384"/>
        <v>1514.5989999999292</v>
      </c>
      <c r="HJ32" s="20">
        <f t="shared" si="384"/>
        <v>1945.8200000000652</v>
      </c>
      <c r="HK32" s="20">
        <f t="shared" si="384"/>
        <v>1788.1879999999364</v>
      </c>
      <c r="HL32" s="20">
        <f t="shared" si="384"/>
        <v>1742.8760000000766</v>
      </c>
      <c r="HM32" s="20">
        <f t="shared" si="384"/>
        <v>2029.3819999998668</v>
      </c>
      <c r="HN32" s="127">
        <f t="shared" si="253"/>
        <v>57077.116999999824</v>
      </c>
      <c r="HO32" s="20">
        <f t="shared" ref="HO32:IS32" si="385">HO4</f>
        <v>2278.9950000000827</v>
      </c>
      <c r="HP32" s="20">
        <f t="shared" si="385"/>
        <v>2331.9439999999886</v>
      </c>
      <c r="HQ32" s="20">
        <f t="shared" si="385"/>
        <v>2198.3529999999155</v>
      </c>
      <c r="HR32" s="20">
        <f t="shared" si="385"/>
        <v>2083.3380000001052</v>
      </c>
      <c r="HS32" s="20">
        <f t="shared" si="385"/>
        <v>2058.2450000001118</v>
      </c>
      <c r="HT32" s="20">
        <f t="shared" si="385"/>
        <v>2059.7819999999774</v>
      </c>
      <c r="HU32" s="20">
        <f t="shared" si="385"/>
        <v>2346.3479999999399</v>
      </c>
      <c r="HV32" s="20">
        <f t="shared" si="385"/>
        <v>2092.8879999999772</v>
      </c>
      <c r="HW32" s="20">
        <f t="shared" si="385"/>
        <v>1982.3490000000456</v>
      </c>
      <c r="HX32" s="20">
        <f t="shared" si="385"/>
        <v>1894.8789999999281</v>
      </c>
      <c r="HY32" s="20">
        <f t="shared" si="385"/>
        <v>1998.5509999999776</v>
      </c>
      <c r="HZ32" s="20">
        <f t="shared" si="385"/>
        <v>1734.9940000000934</v>
      </c>
      <c r="IA32" s="20">
        <f t="shared" si="385"/>
        <v>1639.0789999999979</v>
      </c>
      <c r="IB32" s="20">
        <f t="shared" si="385"/>
        <v>1588.7099999999045</v>
      </c>
      <c r="IC32" s="20">
        <f t="shared" si="385"/>
        <v>2071.5479999999807</v>
      </c>
      <c r="ID32" s="20">
        <f t="shared" si="385"/>
        <v>1954.4960000000719</v>
      </c>
      <c r="IE32" s="20">
        <f t="shared" si="385"/>
        <v>1810.7749999998196</v>
      </c>
      <c r="IF32" s="20">
        <f t="shared" si="385"/>
        <v>2061.5070000000705</v>
      </c>
      <c r="IG32" s="20">
        <f t="shared" si="385"/>
        <v>1791.203000000125</v>
      </c>
      <c r="IH32" s="20">
        <f t="shared" si="385"/>
        <v>1815.024999999936</v>
      </c>
      <c r="II32" s="20">
        <f t="shared" si="385"/>
        <v>1660.8670000000857</v>
      </c>
      <c r="IJ32" s="20">
        <f t="shared" si="385"/>
        <v>2002.9359999998996</v>
      </c>
      <c r="IK32" s="20">
        <f t="shared" si="385"/>
        <v>2031.9760000001406</v>
      </c>
      <c r="IL32" s="20">
        <f t="shared" si="385"/>
        <v>1798.8259999999136</v>
      </c>
      <c r="IM32" s="20">
        <f t="shared" si="385"/>
        <v>1880.6899999998568</v>
      </c>
      <c r="IN32" s="20">
        <f t="shared" si="385"/>
        <v>1659.8489999999874</v>
      </c>
      <c r="IO32" s="20">
        <f t="shared" si="385"/>
        <v>1880.8760000001639</v>
      </c>
      <c r="IP32" s="20">
        <f t="shared" si="385"/>
        <v>1844.5109999999404</v>
      </c>
      <c r="IQ32" s="20">
        <f t="shared" si="385"/>
        <v>1640.3190000000759</v>
      </c>
      <c r="IR32" s="20">
        <f t="shared" si="385"/>
        <v>1954.7349999999278</v>
      </c>
      <c r="IS32" s="20">
        <f t="shared" si="385"/>
        <v>1357.1619999999821</v>
      </c>
      <c r="IT32" s="127">
        <f t="shared" si="22"/>
        <v>59505.756000000023</v>
      </c>
      <c r="IU32" s="20">
        <f t="shared" ref="IU32:JX32" si="386">IU4</f>
        <v>1468.997000000003</v>
      </c>
      <c r="IV32" s="20">
        <f t="shared" si="386"/>
        <v>1862.4590000000026</v>
      </c>
      <c r="IW32" s="20">
        <f t="shared" si="386"/>
        <v>1649.4570000000531</v>
      </c>
      <c r="IX32" s="20">
        <f t="shared" si="386"/>
        <v>1645.4719999999506</v>
      </c>
      <c r="IY32" s="20">
        <f t="shared" si="386"/>
        <v>1853.3479999999399</v>
      </c>
      <c r="IZ32" s="20">
        <f t="shared" si="386"/>
        <v>2056.8160000000207</v>
      </c>
      <c r="JA32" s="20">
        <f t="shared" si="386"/>
        <v>1600.4979999999923</v>
      </c>
      <c r="JB32" s="20">
        <f t="shared" si="386"/>
        <v>1867.1240000000107</v>
      </c>
      <c r="JC32" s="20">
        <f t="shared" si="386"/>
        <v>1636.8770000000368</v>
      </c>
      <c r="JD32" s="20">
        <f t="shared" si="386"/>
        <v>1926.3210000000836</v>
      </c>
      <c r="JE32" s="20">
        <f t="shared" si="386"/>
        <v>1578.7939999999362</v>
      </c>
      <c r="JF32" s="20">
        <f t="shared" si="386"/>
        <v>1781.0480000001553</v>
      </c>
      <c r="JG32" s="20">
        <f t="shared" si="386"/>
        <v>1736.1959999997925</v>
      </c>
      <c r="JH32" s="20">
        <f t="shared" si="386"/>
        <v>1275.0760000002047</v>
      </c>
      <c r="JI32" s="20">
        <f t="shared" si="386"/>
        <v>1937.2169999998005</v>
      </c>
      <c r="JJ32" s="20">
        <f t="shared" si="386"/>
        <v>1626.2510000000766</v>
      </c>
      <c r="JK32" s="20">
        <f t="shared" si="386"/>
        <v>1562.6399999999558</v>
      </c>
      <c r="JL32" s="20">
        <f t="shared" si="386"/>
        <v>1515.9640000001818</v>
      </c>
      <c r="JM32" s="20">
        <f t="shared" si="386"/>
        <v>1888.8639999998268</v>
      </c>
      <c r="JN32" s="20">
        <f t="shared" si="386"/>
        <v>1569.0490000000864</v>
      </c>
      <c r="JO32" s="20">
        <f t="shared" si="386"/>
        <v>1444.5010000000184</v>
      </c>
      <c r="JP32" s="20">
        <f t="shared" si="386"/>
        <v>1751.875999999902</v>
      </c>
      <c r="JQ32" s="20">
        <f t="shared" si="386"/>
        <v>1468.9880000000703</v>
      </c>
      <c r="JR32" s="20">
        <f t="shared" si="386"/>
        <v>1731.4620000001159</v>
      </c>
      <c r="JS32" s="20">
        <f t="shared" si="386"/>
        <v>1747.336999999854</v>
      </c>
      <c r="JT32" s="20">
        <f t="shared" si="386"/>
        <v>1965.0909999999276</v>
      </c>
      <c r="JU32" s="20">
        <f t="shared" si="386"/>
        <v>2487.512999999919</v>
      </c>
      <c r="JV32" s="20">
        <f t="shared" si="386"/>
        <v>1831.7090000000608</v>
      </c>
      <c r="JW32" s="20">
        <f t="shared" si="386"/>
        <v>1588.4219999999623</v>
      </c>
      <c r="JX32" s="20">
        <f t="shared" si="386"/>
        <v>1728.5740000000515</v>
      </c>
      <c r="JY32" s="127">
        <f t="shared" si="58"/>
        <v>51783.940999999992</v>
      </c>
      <c r="JZ32" s="20">
        <f t="shared" ref="JZ32:LD32" si="387">JZ4</f>
        <v>1763.6549999999988</v>
      </c>
      <c r="KA32" s="20">
        <f t="shared" si="387"/>
        <v>1826.0380000000587</v>
      </c>
      <c r="KB32" s="20">
        <f t="shared" si="387"/>
        <v>1711.653999999864</v>
      </c>
      <c r="KC32" s="20">
        <f t="shared" si="387"/>
        <v>1795.3479999999981</v>
      </c>
      <c r="KD32" s="20">
        <f t="shared" si="387"/>
        <v>1882.9480000000913</v>
      </c>
      <c r="KE32" s="20">
        <f t="shared" si="387"/>
        <v>1794.7630000001809</v>
      </c>
      <c r="KF32" s="20">
        <f t="shared" si="387"/>
        <v>1815.3049999999639</v>
      </c>
      <c r="KG32" s="20">
        <f t="shared" si="387"/>
        <v>1575.8519999998389</v>
      </c>
      <c r="KH32" s="20">
        <f t="shared" si="387"/>
        <v>1795.2250000000058</v>
      </c>
      <c r="KI32" s="20">
        <f t="shared" si="387"/>
        <v>1727.5320000000356</v>
      </c>
      <c r="KJ32" s="20">
        <f t="shared" si="387"/>
        <v>2045.5680000000284</v>
      </c>
      <c r="KK32" s="20">
        <f t="shared" si="387"/>
        <v>1733.8899999999267</v>
      </c>
      <c r="KL32" s="20">
        <f t="shared" si="387"/>
        <v>1997.9429999998829</v>
      </c>
      <c r="KM32" s="20">
        <f t="shared" si="387"/>
        <v>1667.6190000002971</v>
      </c>
      <c r="KN32" s="20">
        <f t="shared" si="387"/>
        <v>1538.43299999999</v>
      </c>
      <c r="KO32" s="20">
        <f t="shared" si="387"/>
        <v>1742.2369999999646</v>
      </c>
      <c r="KP32" s="20">
        <f t="shared" si="387"/>
        <v>1702.1179999998712</v>
      </c>
      <c r="KQ32" s="20">
        <f t="shared" si="387"/>
        <v>1783.9379999999655</v>
      </c>
      <c r="KR32" s="20">
        <f t="shared" si="387"/>
        <v>1667.82600000003</v>
      </c>
      <c r="KS32" s="20">
        <f t="shared" si="387"/>
        <v>1914.614000000176</v>
      </c>
      <c r="KT32" s="20">
        <f t="shared" si="387"/>
        <v>1457.1589999998978</v>
      </c>
      <c r="KU32" s="20">
        <f t="shared" si="387"/>
        <v>1600.0749999998661</v>
      </c>
      <c r="KV32" s="20">
        <f t="shared" si="387"/>
        <v>1833.9650000001711</v>
      </c>
      <c r="KW32" s="20">
        <f t="shared" si="387"/>
        <v>1984.5729999999166</v>
      </c>
      <c r="KX32" s="20">
        <f t="shared" si="387"/>
        <v>1727.8739999999816</v>
      </c>
      <c r="KY32" s="20">
        <f t="shared" si="387"/>
        <v>1902.3680000000459</v>
      </c>
      <c r="KZ32" s="20">
        <f t="shared" si="387"/>
        <v>1869.0810000000056</v>
      </c>
      <c r="LA32" s="20">
        <f t="shared" si="387"/>
        <v>1816.4000000000233</v>
      </c>
      <c r="LB32" s="20">
        <f t="shared" si="387"/>
        <v>1720.8429999999644</v>
      </c>
      <c r="LC32" s="20">
        <f t="shared" si="387"/>
        <v>1817.9409999999043</v>
      </c>
      <c r="LD32" s="20">
        <f t="shared" si="387"/>
        <v>2259.8820000001288</v>
      </c>
      <c r="LE32" s="127">
        <f t="shared" si="60"/>
        <v>53709.012000000075</v>
      </c>
      <c r="LF32" s="20">
        <f t="shared" ref="LF32:MI32" si="388">LF4</f>
        <v>2428.6429999999527</v>
      </c>
      <c r="LG32" s="20">
        <f t="shared" si="388"/>
        <v>1842.9939999999769</v>
      </c>
      <c r="LH32" s="20">
        <f t="shared" si="388"/>
        <v>2134.1430000001274</v>
      </c>
      <c r="LI32" s="20">
        <f t="shared" si="388"/>
        <v>2196.8519999999553</v>
      </c>
      <c r="LJ32" s="20">
        <f t="shared" si="388"/>
        <v>1814.7359999998007</v>
      </c>
      <c r="LK32" s="20">
        <f t="shared" si="388"/>
        <v>1780.9450000000361</v>
      </c>
      <c r="LL32" s="20">
        <f t="shared" si="388"/>
        <v>2259.6270000001532</v>
      </c>
      <c r="LM32" s="20">
        <f t="shared" si="388"/>
        <v>2535.9169999999867</v>
      </c>
      <c r="LN32" s="20">
        <f t="shared" si="388"/>
        <v>2013.6580000001122</v>
      </c>
      <c r="LO32" s="20">
        <f t="shared" si="388"/>
        <v>2060.506999999925</v>
      </c>
      <c r="LP32" s="20">
        <f t="shared" si="388"/>
        <v>1881.4099999997998</v>
      </c>
      <c r="LQ32" s="20">
        <f t="shared" si="388"/>
        <v>1895.1740000001737</v>
      </c>
      <c r="LR32" s="20">
        <f t="shared" si="388"/>
        <v>1881.8389999998326</v>
      </c>
      <c r="LS32" s="20">
        <f t="shared" si="388"/>
        <v>2090.336000000214</v>
      </c>
      <c r="LT32" s="20">
        <f t="shared" si="388"/>
        <v>2541.2459999999264</v>
      </c>
      <c r="LU32" s="20">
        <f t="shared" si="388"/>
        <v>2026.1599999999453</v>
      </c>
      <c r="LV32" s="20">
        <f t="shared" si="388"/>
        <v>1809.7519999999495</v>
      </c>
      <c r="LW32" s="20">
        <f t="shared" si="388"/>
        <v>1992.0840000001481</v>
      </c>
      <c r="LX32" s="20">
        <f t="shared" si="388"/>
        <v>1852.4480000000913</v>
      </c>
      <c r="LY32" s="20">
        <f t="shared" si="388"/>
        <v>2001.7139999997744</v>
      </c>
      <c r="LZ32" s="20">
        <f t="shared" si="388"/>
        <v>2075.4700000001176</v>
      </c>
      <c r="MA32" s="20">
        <f t="shared" si="388"/>
        <v>2003.3389999998326</v>
      </c>
      <c r="MB32" s="20">
        <f t="shared" si="388"/>
        <v>2053.6290000001609</v>
      </c>
      <c r="MC32" s="20">
        <f t="shared" si="388"/>
        <v>2221.3950000001059</v>
      </c>
      <c r="MD32" s="20">
        <f t="shared" si="388"/>
        <v>1730.2049999999581</v>
      </c>
      <c r="ME32" s="20">
        <f t="shared" si="388"/>
        <v>1939.2749999998778</v>
      </c>
      <c r="MF32" s="20">
        <f t="shared" si="388"/>
        <v>1558.4469999999856</v>
      </c>
      <c r="MG32" s="20">
        <f t="shared" si="388"/>
        <v>1938.935000000085</v>
      </c>
      <c r="MH32" s="20">
        <f t="shared" si="388"/>
        <v>1951.0820000000822</v>
      </c>
      <c r="MI32" s="20">
        <f t="shared" si="388"/>
        <v>1801.0859999998647</v>
      </c>
      <c r="MJ32" s="127">
        <f t="shared" si="62"/>
        <v>60313.047999999952</v>
      </c>
      <c r="MK32" s="20">
        <f t="shared" ref="MK32:NO32" si="389">MK4</f>
        <v>2189.9460000000545</v>
      </c>
      <c r="ML32" s="20">
        <f t="shared" si="389"/>
        <v>1930.987999999983</v>
      </c>
      <c r="MM32" s="20">
        <f t="shared" si="389"/>
        <v>1757.3420000000624</v>
      </c>
      <c r="MN32" s="20">
        <f t="shared" si="389"/>
        <v>1829.3569999999891</v>
      </c>
      <c r="MO32" s="20">
        <f t="shared" si="389"/>
        <v>2055.3739999998943</v>
      </c>
      <c r="MP32" s="20">
        <f t="shared" si="389"/>
        <v>1915.3080000001064</v>
      </c>
      <c r="MQ32" s="20">
        <f t="shared" si="389"/>
        <v>1987.0559999998077</v>
      </c>
      <c r="MR32" s="20">
        <f t="shared" si="389"/>
        <v>1889.9200000001001</v>
      </c>
      <c r="MS32" s="20">
        <f t="shared" si="389"/>
        <v>1723.8770000000368</v>
      </c>
      <c r="MT32" s="20">
        <f t="shared" si="389"/>
        <v>1509.0249999999046</v>
      </c>
      <c r="MU32" s="20">
        <f t="shared" si="389"/>
        <v>1755.7990000001512</v>
      </c>
      <c r="MV32" s="20">
        <f t="shared" si="389"/>
        <v>1930.424999999901</v>
      </c>
      <c r="MW32" s="20">
        <f t="shared" si="389"/>
        <v>2385.9340000000084</v>
      </c>
      <c r="MX32" s="20">
        <f t="shared" si="389"/>
        <v>1500.3539999999339</v>
      </c>
      <c r="MY32" s="20">
        <f t="shared" si="389"/>
        <v>1628.730000000156</v>
      </c>
      <c r="MZ32" s="20">
        <f t="shared" si="389"/>
        <v>2012.104999999865</v>
      </c>
      <c r="NA32" s="20">
        <f t="shared" si="389"/>
        <v>1663.139000000112</v>
      </c>
      <c r="NB32" s="20">
        <f t="shared" si="389"/>
        <v>1976.9399999998277</v>
      </c>
      <c r="NC32" s="20">
        <f t="shared" si="389"/>
        <v>1855.2760000001872</v>
      </c>
      <c r="ND32" s="20">
        <f t="shared" si="389"/>
        <v>2026.1699999998964</v>
      </c>
      <c r="NE32" s="20">
        <f t="shared" si="389"/>
        <v>1539.9280000000144</v>
      </c>
      <c r="NF32" s="20">
        <f t="shared" si="389"/>
        <v>1643.5639999999257</v>
      </c>
      <c r="NG32" s="20">
        <f t="shared" si="389"/>
        <v>1532.8440000002447</v>
      </c>
      <c r="NH32" s="20">
        <f t="shared" si="389"/>
        <v>1550.4629999998142</v>
      </c>
      <c r="NI32" s="20">
        <f t="shared" si="389"/>
        <v>1783.8890000000829</v>
      </c>
      <c r="NJ32" s="20">
        <f t="shared" si="389"/>
        <v>1930.5329999998503</v>
      </c>
      <c r="NK32" s="20">
        <f t="shared" si="389"/>
        <v>2284.4120000000403</v>
      </c>
      <c r="NL32" s="20">
        <f t="shared" si="389"/>
        <v>1425.4040000002133</v>
      </c>
      <c r="NM32" s="20">
        <f t="shared" si="389"/>
        <v>1958.9449999998324</v>
      </c>
      <c r="NN32" s="20">
        <f t="shared" si="389"/>
        <v>1721.1140000000887</v>
      </c>
      <c r="NO32" s="20">
        <f t="shared" si="389"/>
        <v>1370.8809999999357</v>
      </c>
      <c r="NP32" s="127">
        <f t="shared" si="64"/>
        <v>54075.095999999961</v>
      </c>
      <c r="NQ32" s="20">
        <f t="shared" ref="NQ32:OU32" si="390">NQ4</f>
        <v>1796.6559999999299</v>
      </c>
      <c r="NR32" s="20">
        <f t="shared" si="390"/>
        <v>1774.2400000001071</v>
      </c>
      <c r="NS32" s="20">
        <f t="shared" si="390"/>
        <v>2174.3570000000473</v>
      </c>
      <c r="NT32" s="20">
        <f t="shared" si="390"/>
        <v>1755.2449999999953</v>
      </c>
      <c r="NU32" s="20">
        <f t="shared" si="390"/>
        <v>1860.8999999998778</v>
      </c>
      <c r="NV32" s="20">
        <f t="shared" si="390"/>
        <v>2223.0799999999581</v>
      </c>
      <c r="NW32" s="20">
        <f t="shared" si="390"/>
        <v>1671.3940000000875</v>
      </c>
      <c r="NX32" s="20">
        <f t="shared" si="390"/>
        <v>1891.2829999999667</v>
      </c>
      <c r="NY32" s="20">
        <f t="shared" si="390"/>
        <v>2064.8940000000293</v>
      </c>
      <c r="NZ32" s="20">
        <f t="shared" si="390"/>
        <v>2098.3849999999511</v>
      </c>
      <c r="OA32" s="20">
        <f t="shared" si="390"/>
        <v>1737.5220000000554</v>
      </c>
      <c r="OB32" s="20">
        <f t="shared" si="390"/>
        <v>1781.3280000000377</v>
      </c>
      <c r="OC32" s="20">
        <f t="shared" si="390"/>
        <v>1911.2009999999427</v>
      </c>
      <c r="OD32" s="20">
        <f t="shared" si="390"/>
        <v>1956.721000000136</v>
      </c>
      <c r="OE32" s="20">
        <f t="shared" si="390"/>
        <v>1893.0019999997749</v>
      </c>
      <c r="OF32" s="20">
        <f t="shared" si="390"/>
        <v>2056.5920000001497</v>
      </c>
      <c r="OG32" s="20">
        <f t="shared" si="390"/>
        <v>2139.1030000000319</v>
      </c>
      <c r="OH32" s="20">
        <f t="shared" si="390"/>
        <v>1757.4399999998277</v>
      </c>
      <c r="OI32" s="20">
        <f t="shared" si="390"/>
        <v>1990.25400000019</v>
      </c>
      <c r="OJ32" s="20">
        <f t="shared" si="390"/>
        <v>1814.5350000000035</v>
      </c>
      <c r="OK32" s="20">
        <f t="shared" si="390"/>
        <v>1708.6169999998529</v>
      </c>
      <c r="OL32" s="20">
        <f t="shared" si="390"/>
        <v>1929.0230000001029</v>
      </c>
      <c r="OM32" s="20">
        <f t="shared" si="390"/>
        <v>1793.3760000000766</v>
      </c>
      <c r="ON32" s="20">
        <f t="shared" si="390"/>
        <v>2031.791999999783</v>
      </c>
      <c r="OO32" s="20">
        <f t="shared" si="390"/>
        <v>1376.5460000000021</v>
      </c>
      <c r="OP32" s="20">
        <f t="shared" si="390"/>
        <v>1799.1449999998731</v>
      </c>
      <c r="OQ32" s="20">
        <f t="shared" si="390"/>
        <v>1868.1030000002647</v>
      </c>
      <c r="OR32" s="20">
        <f t="shared" si="390"/>
        <v>1605.4269999999669</v>
      </c>
      <c r="OS32" s="20">
        <f t="shared" si="390"/>
        <v>1958.8889999999956</v>
      </c>
      <c r="OT32" s="20">
        <f t="shared" si="390"/>
        <v>1831.176999999996</v>
      </c>
      <c r="OU32" s="20">
        <f t="shared" si="390"/>
        <v>2132.3409999998403</v>
      </c>
      <c r="OV32" s="127">
        <f t="shared" si="66"/>
        <v>56585.911999999924</v>
      </c>
      <c r="OW32" s="20">
        <f t="shared" ref="OW32:PZ32" si="391">OW4</f>
        <v>1708.6050000001269</v>
      </c>
      <c r="OX32" s="20">
        <f t="shared" si="391"/>
        <v>1904.4049999999988</v>
      </c>
      <c r="OY32" s="20">
        <f t="shared" si="391"/>
        <v>1840.9350000000268</v>
      </c>
      <c r="OZ32" s="20">
        <f t="shared" si="391"/>
        <v>1758.3039999999455</v>
      </c>
      <c r="PA32" s="20">
        <f t="shared" si="391"/>
        <v>1832.625</v>
      </c>
      <c r="PB32" s="20">
        <f t="shared" si="391"/>
        <v>1983.163000000146</v>
      </c>
      <c r="PC32" s="20">
        <f t="shared" si="391"/>
        <v>1988.4119999998074</v>
      </c>
      <c r="PD32" s="20">
        <f t="shared" si="391"/>
        <v>1730.6600000002072</v>
      </c>
      <c r="PE32" s="20">
        <f t="shared" si="391"/>
        <v>2068.5279999998165</v>
      </c>
      <c r="PF32" s="20">
        <f t="shared" si="391"/>
        <v>1730.7260000001406</v>
      </c>
      <c r="PG32" s="20">
        <f t="shared" si="391"/>
        <v>1583.216999999946</v>
      </c>
      <c r="PH32" s="20">
        <f t="shared" si="391"/>
        <v>1600.0890000000072</v>
      </c>
      <c r="PI32" s="20">
        <f t="shared" si="391"/>
        <v>2133.1889999999548</v>
      </c>
      <c r="PJ32" s="20">
        <f t="shared" si="391"/>
        <v>1990.9460000000836</v>
      </c>
      <c r="PK32" s="20">
        <f t="shared" si="391"/>
        <v>1539.9779999999446</v>
      </c>
      <c r="PL32" s="20">
        <f t="shared" si="391"/>
        <v>1999.1449999999895</v>
      </c>
      <c r="PM32" s="20">
        <f t="shared" si="391"/>
        <v>1859.939999999915</v>
      </c>
      <c r="PN32" s="20">
        <f t="shared" si="391"/>
        <v>1581.5640000001877</v>
      </c>
      <c r="PO32" s="20">
        <f t="shared" si="391"/>
        <v>1531.9119999999239</v>
      </c>
      <c r="PP32" s="20">
        <f t="shared" si="391"/>
        <v>1633.2209999999905</v>
      </c>
      <c r="PQ32" s="20">
        <f t="shared" si="391"/>
        <v>1428.4089999998687</v>
      </c>
      <c r="PR32" s="20">
        <f t="shared" si="391"/>
        <v>1351.6670000001614</v>
      </c>
      <c r="PS32" s="20">
        <f t="shared" si="391"/>
        <v>1568.3809999998775</v>
      </c>
      <c r="PT32" s="20">
        <f t="shared" si="391"/>
        <v>1693.0670000000378</v>
      </c>
      <c r="PU32" s="20">
        <f t="shared" si="391"/>
        <v>1363.2260000000824</v>
      </c>
      <c r="PV32" s="20">
        <f t="shared" si="391"/>
        <v>1325.7109999999229</v>
      </c>
      <c r="PW32" s="20">
        <f t="shared" si="391"/>
        <v>1754.0229999998992</v>
      </c>
      <c r="PX32" s="20">
        <f t="shared" si="391"/>
        <v>1454.5680000001157</v>
      </c>
      <c r="PY32" s="20">
        <f t="shared" si="391"/>
        <v>877.71300000004351</v>
      </c>
      <c r="PZ32" s="20">
        <f t="shared" si="391"/>
        <v>1683.3589999998803</v>
      </c>
      <c r="QA32" s="127">
        <f t="shared" si="68"/>
        <v>50499.688000000053</v>
      </c>
      <c r="QB32" s="20">
        <f t="shared" ref="QB32:RF32" si="392">QB4</f>
        <v>1430.0030000000843</v>
      </c>
      <c r="QC32" s="20">
        <f t="shared" si="392"/>
        <v>1355.8379999999306</v>
      </c>
      <c r="QD32" s="20">
        <f t="shared" si="392"/>
        <v>1600.4890000001469</v>
      </c>
      <c r="QE32" s="20">
        <f t="shared" si="392"/>
        <v>2190.2709999999206</v>
      </c>
      <c r="QF32" s="20">
        <f t="shared" si="392"/>
        <v>2226.8630000000121</v>
      </c>
      <c r="QG32" s="20">
        <f t="shared" si="392"/>
        <v>1656.7460000000428</v>
      </c>
      <c r="QH32" s="20">
        <f t="shared" si="392"/>
        <v>2188.4540000000561</v>
      </c>
      <c r="QI32" s="20">
        <f t="shared" si="392"/>
        <v>1742.899999999936</v>
      </c>
      <c r="QJ32" s="20">
        <f t="shared" si="392"/>
        <v>1769.8970000000263</v>
      </c>
      <c r="QK32" s="20">
        <f t="shared" si="392"/>
        <v>1747.1439999998547</v>
      </c>
      <c r="QL32" s="20">
        <f t="shared" si="392"/>
        <v>2121.7240000000456</v>
      </c>
      <c r="QM32" s="20">
        <f t="shared" si="392"/>
        <v>1979.940000000177</v>
      </c>
      <c r="QN32" s="20">
        <f t="shared" si="392"/>
        <v>1836.8869999999006</v>
      </c>
      <c r="QO32" s="20">
        <f t="shared" si="392"/>
        <v>2082.4369999999763</v>
      </c>
      <c r="QP32" s="20">
        <f t="shared" si="392"/>
        <v>1832.1859999999288</v>
      </c>
      <c r="QQ32" s="20">
        <f t="shared" si="392"/>
        <v>1457.5070000000997</v>
      </c>
      <c r="QR32" s="20">
        <f t="shared" si="392"/>
        <v>1641.4900000000489</v>
      </c>
      <c r="QS32" s="20">
        <f t="shared" si="392"/>
        <v>2025.4279999998398</v>
      </c>
      <c r="QT32" s="20">
        <f t="shared" si="392"/>
        <v>1880.3940000001458</v>
      </c>
      <c r="QU32" s="20">
        <f t="shared" si="392"/>
        <v>1635.5809999999474</v>
      </c>
      <c r="QV32" s="20">
        <f t="shared" si="392"/>
        <v>1584.585999999952</v>
      </c>
      <c r="QW32" s="20">
        <f t="shared" si="392"/>
        <v>1446.8319999999367</v>
      </c>
      <c r="QX32" s="20">
        <f t="shared" si="392"/>
        <v>1617.6710000002058</v>
      </c>
      <c r="QY32" s="20">
        <f t="shared" si="392"/>
        <v>1549.0139999999083</v>
      </c>
      <c r="QZ32" s="20">
        <f t="shared" si="392"/>
        <v>2260.2139999998617</v>
      </c>
      <c r="RA32" s="20">
        <f t="shared" si="392"/>
        <v>1793.377000000095</v>
      </c>
      <c r="RB32" s="20">
        <f t="shared" si="392"/>
        <v>1448.9440000000759</v>
      </c>
      <c r="RC32" s="20">
        <f t="shared" si="392"/>
        <v>1562.6839999998338</v>
      </c>
      <c r="RD32" s="20">
        <f t="shared" si="392"/>
        <v>1636.0439999999944</v>
      </c>
      <c r="RE32" s="20">
        <f t="shared" si="392"/>
        <v>1260.963000000047</v>
      </c>
      <c r="RF32" s="20">
        <f t="shared" si="392"/>
        <v>1750.5970000000088</v>
      </c>
      <c r="RG32" s="127">
        <f t="shared" si="147"/>
        <v>52883.101999999955</v>
      </c>
      <c r="RH32" s="20">
        <f t="shared" ref="RH32:SK32" si="393">RH4</f>
        <v>1904.6920000001555</v>
      </c>
      <c r="RI32" s="20">
        <f t="shared" si="393"/>
        <v>1925.0999999999185</v>
      </c>
      <c r="RJ32" s="20">
        <f t="shared" si="393"/>
        <v>1624.1710000000312</v>
      </c>
      <c r="RK32" s="20">
        <f t="shared" si="393"/>
        <v>1932.5999999998603</v>
      </c>
      <c r="RL32" s="20">
        <f t="shared" si="393"/>
        <v>1552.00400000019</v>
      </c>
      <c r="RM32" s="20">
        <f t="shared" si="393"/>
        <v>1430.9859999999753</v>
      </c>
      <c r="RN32" s="20">
        <f t="shared" si="393"/>
        <v>1248.9919999997946</v>
      </c>
      <c r="RO32" s="20">
        <f t="shared" si="393"/>
        <v>1723.6960000001127</v>
      </c>
      <c r="RP32" s="20">
        <f t="shared" si="393"/>
        <v>1751.8550000000396</v>
      </c>
      <c r="RQ32" s="20">
        <f t="shared" si="393"/>
        <v>1595.4299999999348</v>
      </c>
      <c r="RR32" s="20">
        <f t="shared" si="393"/>
        <v>1642.0590000000084</v>
      </c>
      <c r="RS32" s="20">
        <f t="shared" si="393"/>
        <v>1505.8860000000568</v>
      </c>
      <c r="RT32" s="20">
        <f t="shared" si="393"/>
        <v>1612.9749999999185</v>
      </c>
      <c r="RU32" s="20">
        <f t="shared" si="393"/>
        <v>1332.8740000001271</v>
      </c>
      <c r="RV32" s="20">
        <f t="shared" si="393"/>
        <v>1709.7089999999735</v>
      </c>
      <c r="RW32" s="20">
        <f t="shared" si="393"/>
        <v>1660.076999999932</v>
      </c>
      <c r="RX32" s="20">
        <f t="shared" si="393"/>
        <v>1506.8759999999893</v>
      </c>
      <c r="RY32" s="20">
        <f t="shared" si="393"/>
        <v>1612.3800000001211</v>
      </c>
      <c r="RZ32" s="20">
        <f t="shared" si="393"/>
        <v>1940.6869999998016</v>
      </c>
      <c r="SA32" s="20">
        <f t="shared" si="393"/>
        <v>1566.283000000054</v>
      </c>
      <c r="SB32" s="20">
        <f t="shared" si="393"/>
        <v>1482.7520000000368</v>
      </c>
      <c r="SC32" s="20">
        <f t="shared" si="393"/>
        <v>1950.2210000000196</v>
      </c>
      <c r="SD32" s="20">
        <f t="shared" si="393"/>
        <v>1969.335000000021</v>
      </c>
      <c r="SE32" s="20">
        <f t="shared" si="393"/>
        <v>1482.914000000048</v>
      </c>
      <c r="SF32" s="20">
        <f t="shared" si="393"/>
        <v>1685.4500000000116</v>
      </c>
      <c r="SG32" s="20">
        <f t="shared" si="393"/>
        <v>1768.2969999998459</v>
      </c>
      <c r="SH32" s="20">
        <f t="shared" si="393"/>
        <v>1633.8840000000782</v>
      </c>
      <c r="SI32" s="20">
        <f t="shared" si="393"/>
        <v>1759.015000000014</v>
      </c>
      <c r="SJ32" s="20">
        <f t="shared" si="393"/>
        <v>1810.9949999998789</v>
      </c>
      <c r="SK32" s="20">
        <f t="shared" si="393"/>
        <v>2096.5130000001518</v>
      </c>
      <c r="SL32" s="127">
        <f t="shared" si="207"/>
        <v>50418.708000000101</v>
      </c>
      <c r="SM32" s="20">
        <f t="shared" ref="SM32:TQ32" si="394">SM4</f>
        <v>1580.7300000000978</v>
      </c>
      <c r="SN32" s="20">
        <f t="shared" si="394"/>
        <v>1789.9479999998002</v>
      </c>
      <c r="SO32" s="20">
        <f t="shared" si="394"/>
        <v>1563.1090000001132</v>
      </c>
      <c r="SP32" s="20">
        <f t="shared" si="394"/>
        <v>1730.705999999831</v>
      </c>
      <c r="SQ32" s="20">
        <f t="shared" si="394"/>
        <v>1541.7430000001332</v>
      </c>
      <c r="SR32" s="20">
        <f t="shared" si="394"/>
        <v>1816.4240000001155</v>
      </c>
      <c r="SS32" s="20">
        <f t="shared" si="394"/>
        <v>2153.6219999997993</v>
      </c>
      <c r="ST32" s="20">
        <f t="shared" si="394"/>
        <v>1684.4840000000549</v>
      </c>
      <c r="SU32" s="20">
        <f t="shared" si="394"/>
        <v>1921.4769999999553</v>
      </c>
      <c r="SV32" s="20">
        <f t="shared" si="394"/>
        <v>1648.5100000000675</v>
      </c>
      <c r="SW32" s="20">
        <f t="shared" si="394"/>
        <v>1731.8409999998985</v>
      </c>
      <c r="SX32" s="20">
        <f t="shared" si="394"/>
        <v>1788.4520000001066</v>
      </c>
      <c r="SY32" s="20">
        <f t="shared" si="394"/>
        <v>2036.8309999998892</v>
      </c>
      <c r="SZ32" s="20">
        <f t="shared" si="394"/>
        <v>1955.2530000003171</v>
      </c>
      <c r="TA32" s="20">
        <f t="shared" si="394"/>
        <v>1576.808999999892</v>
      </c>
      <c r="TB32" s="20">
        <f t="shared" si="394"/>
        <v>1711.7679999998072</v>
      </c>
      <c r="TC32" s="20">
        <f t="shared" si="394"/>
        <v>1858.5290000001551</v>
      </c>
      <c r="TD32" s="20">
        <f t="shared" si="394"/>
        <v>1776.4129999998841</v>
      </c>
      <c r="TE32" s="20">
        <f t="shared" si="394"/>
        <v>1945.354999999865</v>
      </c>
      <c r="TF32" s="20">
        <f t="shared" si="394"/>
        <v>1949.184000000183</v>
      </c>
      <c r="TG32" s="20">
        <f t="shared" si="394"/>
        <v>2099.7470000000321</v>
      </c>
      <c r="TH32" s="20">
        <f t="shared" si="394"/>
        <v>2053.8539999999339</v>
      </c>
      <c r="TI32" s="20">
        <f t="shared" si="394"/>
        <v>2112.3130000000237</v>
      </c>
      <c r="TJ32" s="20">
        <f t="shared" si="394"/>
        <v>1994.2679999998072</v>
      </c>
      <c r="TK32" s="20">
        <f t="shared" si="394"/>
        <v>1599.6340000000782</v>
      </c>
      <c r="TL32" s="20">
        <f t="shared" si="394"/>
        <v>1476.3050000000512</v>
      </c>
      <c r="TM32" s="20">
        <f t="shared" si="394"/>
        <v>1619.7360000000917</v>
      </c>
      <c r="TN32" s="20">
        <f t="shared" si="394"/>
        <v>1626.8630000000703</v>
      </c>
      <c r="TO32" s="20">
        <f t="shared" si="394"/>
        <v>1368.8849999998929</v>
      </c>
      <c r="TP32" s="20">
        <f t="shared" si="394"/>
        <v>1640.7190000001574</v>
      </c>
      <c r="TQ32" s="20">
        <f t="shared" si="394"/>
        <v>1834.3739999997779</v>
      </c>
      <c r="TR32" s="127">
        <f t="shared" si="226"/>
        <v>53607.155999999784</v>
      </c>
      <c r="TS32" s="20">
        <f t="shared" ref="TS32:UW32" si="395">TS4</f>
        <v>1300.9000000001979</v>
      </c>
      <c r="TT32" s="20">
        <f t="shared" si="395"/>
        <v>1437.359999999986</v>
      </c>
      <c r="TU32" s="20">
        <f t="shared" si="395"/>
        <v>1577.9369999999763</v>
      </c>
      <c r="TV32" s="20">
        <f t="shared" si="395"/>
        <v>1688.1179999997257</v>
      </c>
      <c r="TW32" s="20">
        <f t="shared" si="395"/>
        <v>1400.191000000108</v>
      </c>
      <c r="TX32" s="20">
        <f t="shared" si="395"/>
        <v>1761.0659999999916</v>
      </c>
      <c r="TY32" s="20">
        <f t="shared" si="395"/>
        <v>1866.7260000000824</v>
      </c>
      <c r="TZ32" s="20">
        <f t="shared" si="395"/>
        <v>1658.0889999999781</v>
      </c>
      <c r="UA32" s="20">
        <f t="shared" si="395"/>
        <v>1652.0050000002375</v>
      </c>
      <c r="UB32" s="20">
        <f t="shared" si="395"/>
        <v>1789.332999999926</v>
      </c>
      <c r="UC32" s="20">
        <f t="shared" si="395"/>
        <v>1971.1609999999637</v>
      </c>
      <c r="UD32" s="20">
        <f t="shared" si="395"/>
        <v>1471.3449999999721</v>
      </c>
      <c r="UE32" s="20">
        <f t="shared" si="395"/>
        <v>1706.6729999999516</v>
      </c>
      <c r="UF32" s="20">
        <f t="shared" si="395"/>
        <v>1822.9309999999241</v>
      </c>
      <c r="UG32" s="20">
        <f t="shared" si="395"/>
        <v>1826.0230000000447</v>
      </c>
      <c r="UH32" s="20">
        <f t="shared" si="395"/>
        <v>1746.9479999999749</v>
      </c>
      <c r="UI32" s="20">
        <f t="shared" si="395"/>
        <v>1906.9089999999269</v>
      </c>
      <c r="UJ32" s="20">
        <f t="shared" si="395"/>
        <v>1910.3410000001313</v>
      </c>
      <c r="UK32" s="20">
        <f t="shared" si="395"/>
        <v>1845.8789999999572</v>
      </c>
      <c r="UL32" s="20">
        <f t="shared" si="395"/>
        <v>1554.0419999999576</v>
      </c>
      <c r="UM32" s="20">
        <f t="shared" si="395"/>
        <v>1597.2140000000945</v>
      </c>
      <c r="UN32" s="20">
        <f t="shared" si="395"/>
        <v>1710.963000000047</v>
      </c>
      <c r="UO32" s="20">
        <f t="shared" si="395"/>
        <v>1730.8889999998501</v>
      </c>
      <c r="UP32" s="20">
        <f t="shared" si="395"/>
        <v>2041.6840000002412</v>
      </c>
      <c r="UQ32" s="20">
        <f t="shared" si="395"/>
        <v>1739.2389999997104</v>
      </c>
      <c r="UR32" s="20">
        <f t="shared" si="395"/>
        <v>1645.480000000156</v>
      </c>
      <c r="US32" s="20">
        <f t="shared" si="395"/>
        <v>1878.7589999999618</v>
      </c>
      <c r="UT32" s="20">
        <f t="shared" si="395"/>
        <v>1635.3420000000624</v>
      </c>
      <c r="UU32" s="20">
        <f t="shared" si="395"/>
        <v>1614.9089999998687</v>
      </c>
      <c r="UV32" s="20">
        <f t="shared" si="395"/>
        <v>1724.1419999999925</v>
      </c>
      <c r="UW32" s="20">
        <f t="shared" si="395"/>
        <v>1889.8820000000997</v>
      </c>
      <c r="UX32" s="127">
        <f t="shared" si="228"/>
        <v>51801.5799999999</v>
      </c>
      <c r="UY32" s="20">
        <f t="shared" ref="UY32:VZ32" si="396">UY4</f>
        <v>1946.0080000000307</v>
      </c>
      <c r="UZ32" s="20">
        <f t="shared" si="396"/>
        <v>1672.0379999999423</v>
      </c>
      <c r="VA32" s="20">
        <f t="shared" si="396"/>
        <v>1948.6829999999609</v>
      </c>
      <c r="VB32" s="20">
        <f t="shared" si="396"/>
        <v>1589.5559999999823</v>
      </c>
      <c r="VC32" s="20">
        <f t="shared" si="396"/>
        <v>1808.3940000000875</v>
      </c>
      <c r="VD32" s="20">
        <f t="shared" si="396"/>
        <v>1768.030999999959</v>
      </c>
      <c r="VE32" s="20">
        <f t="shared" si="396"/>
        <v>1839.905999999959</v>
      </c>
      <c r="VF32" s="20">
        <f t="shared" si="396"/>
        <v>1760.939000000013</v>
      </c>
      <c r="VG32" s="20">
        <f t="shared" si="396"/>
        <v>1635.2670000000508</v>
      </c>
      <c r="VH32" s="20">
        <f t="shared" si="396"/>
        <v>1736.6339999999036</v>
      </c>
      <c r="VI32" s="20">
        <f t="shared" si="396"/>
        <v>1554.0409999999683</v>
      </c>
      <c r="VJ32" s="20">
        <f t="shared" si="396"/>
        <v>1658.1520000000601</v>
      </c>
      <c r="VK32" s="20">
        <f t="shared" si="396"/>
        <v>1658.9310000001569</v>
      </c>
      <c r="VL32" s="20">
        <f t="shared" si="396"/>
        <v>2338.5179999998072</v>
      </c>
      <c r="VM32" s="20">
        <f t="shared" si="396"/>
        <v>1411.9130000001751</v>
      </c>
      <c r="VN32" s="20">
        <f t="shared" si="396"/>
        <v>1946.9229999996605</v>
      </c>
      <c r="VO32" s="20">
        <f t="shared" si="396"/>
        <v>1866.7540000002189</v>
      </c>
      <c r="VP32" s="20">
        <f t="shared" si="396"/>
        <v>1636.2119999999413</v>
      </c>
      <c r="VQ32" s="20">
        <f t="shared" si="396"/>
        <v>1670.5909999999567</v>
      </c>
      <c r="VR32" s="20">
        <f t="shared" si="396"/>
        <v>1670.2100000001374</v>
      </c>
      <c r="VS32" s="20">
        <f t="shared" si="396"/>
        <v>1679.9019999999437</v>
      </c>
      <c r="VT32" s="20">
        <f t="shared" si="396"/>
        <v>2010.1099999999278</v>
      </c>
      <c r="VU32" s="20">
        <f t="shared" si="396"/>
        <v>1532.975999999966</v>
      </c>
      <c r="VV32" s="20">
        <f t="shared" si="396"/>
        <v>1641.7560000001686</v>
      </c>
      <c r="VW32" s="20">
        <f t="shared" si="396"/>
        <v>1675.7359999999171</v>
      </c>
      <c r="VX32" s="20">
        <f t="shared" si="396"/>
        <v>1561.8079999999609</v>
      </c>
      <c r="VY32" s="20">
        <f t="shared" si="396"/>
        <v>1863.8329999999842</v>
      </c>
      <c r="VZ32" s="20">
        <f t="shared" si="396"/>
        <v>1638.2710000001243</v>
      </c>
      <c r="WA32" s="127">
        <f>SUM(UW32:VZ32)</f>
        <v>102413.55499999996</v>
      </c>
      <c r="WB32" s="20">
        <f t="shared" ref="WB32:XF32" si="397">WB4</f>
        <v>1858.3310000000056</v>
      </c>
      <c r="WC32" s="20">
        <f t="shared" si="397"/>
        <v>1490.5630000000237</v>
      </c>
      <c r="WD32" s="20">
        <f t="shared" si="397"/>
        <v>1697.769999999844</v>
      </c>
      <c r="WE32" s="20">
        <f t="shared" si="397"/>
        <v>1507.2920000002487</v>
      </c>
      <c r="WF32" s="20">
        <f t="shared" si="397"/>
        <v>1342.3209999998799</v>
      </c>
      <c r="WG32" s="20">
        <f t="shared" si="397"/>
        <v>1623.9980000001378</v>
      </c>
      <c r="WH32" s="20">
        <f t="shared" si="397"/>
        <v>1698.6249999997672</v>
      </c>
      <c r="WI32" s="20">
        <f t="shared" si="397"/>
        <v>1523.3960000000661</v>
      </c>
      <c r="WJ32" s="20">
        <f t="shared" si="397"/>
        <v>1598.8630000000703</v>
      </c>
      <c r="WK32" s="20">
        <f t="shared" si="397"/>
        <v>1801.39300000004</v>
      </c>
      <c r="WL32" s="20">
        <f t="shared" si="397"/>
        <v>1860.9370000001509</v>
      </c>
      <c r="WM32" s="20">
        <f t="shared" si="397"/>
        <v>1437.5380000000005</v>
      </c>
      <c r="WN32" s="20">
        <f t="shared" si="397"/>
        <v>1456.49099999998</v>
      </c>
      <c r="WO32" s="20">
        <f t="shared" si="397"/>
        <v>1699.8959999997169</v>
      </c>
      <c r="WP32" s="20">
        <f t="shared" si="397"/>
        <v>1906.3979999999283</v>
      </c>
      <c r="WQ32" s="20">
        <f t="shared" si="397"/>
        <v>1401.0950000000303</v>
      </c>
      <c r="WR32" s="20">
        <f t="shared" si="397"/>
        <v>1423.5599999999977</v>
      </c>
      <c r="WS32" s="20">
        <f t="shared" si="397"/>
        <v>1489.9049999999115</v>
      </c>
      <c r="WT32" s="20">
        <f t="shared" si="397"/>
        <v>1627.8340000003227</v>
      </c>
      <c r="WU32" s="20">
        <f t="shared" si="397"/>
        <v>1537.9129999998841</v>
      </c>
      <c r="WV32" s="20">
        <f t="shared" si="397"/>
        <v>1545.9949999999371</v>
      </c>
      <c r="WW32" s="20">
        <f t="shared" si="397"/>
        <v>1818.7750000000233</v>
      </c>
      <c r="WX32" s="20">
        <f t="shared" si="397"/>
        <v>1681.4139999999315</v>
      </c>
      <c r="WY32" s="20">
        <f t="shared" si="397"/>
        <v>1708.1340000001364</v>
      </c>
      <c r="WZ32" s="20">
        <f t="shared" si="397"/>
        <v>1547.2270000000717</v>
      </c>
      <c r="XA32" s="20">
        <f t="shared" si="397"/>
        <v>1529.2679999999818</v>
      </c>
      <c r="XB32" s="20">
        <f t="shared" si="397"/>
        <v>1871.7970000000787</v>
      </c>
      <c r="XC32" s="20">
        <f t="shared" si="397"/>
        <v>2079.9039999998058</v>
      </c>
      <c r="XD32" s="20">
        <f t="shared" si="397"/>
        <v>2021.9689999999828</v>
      </c>
      <c r="XE32" s="20">
        <f t="shared" si="397"/>
        <v>1703.8580000001821</v>
      </c>
      <c r="XF32" s="20">
        <f t="shared" si="397"/>
        <v>1341.5449999999255</v>
      </c>
      <c r="XG32" s="127">
        <f t="shared" si="267"/>
        <v>50834.005000000063</v>
      </c>
      <c r="XH32" s="20">
        <f t="shared" ref="XH32:YK32" si="398">XH4</f>
        <v>1692.2409999998054</v>
      </c>
      <c r="XI32" s="20">
        <f t="shared" si="398"/>
        <v>1506.2030000000377</v>
      </c>
      <c r="XJ32" s="20">
        <f t="shared" si="398"/>
        <v>1711.5090000000782</v>
      </c>
      <c r="XK32" s="20">
        <f t="shared" si="398"/>
        <v>1680.3559999999707</v>
      </c>
      <c r="XL32" s="20">
        <f t="shared" si="398"/>
        <v>1820.1860000001034</v>
      </c>
      <c r="XM32" s="20">
        <f t="shared" si="398"/>
        <v>1590.1610000000801</v>
      </c>
      <c r="XN32" s="20">
        <f t="shared" si="398"/>
        <v>1904.0979999997653</v>
      </c>
      <c r="XO32" s="20">
        <f t="shared" si="398"/>
        <v>1588.1199999999953</v>
      </c>
      <c r="XP32" s="20">
        <f t="shared" si="398"/>
        <v>1520.6850000001141</v>
      </c>
      <c r="XQ32" s="20">
        <f t="shared" si="398"/>
        <v>1763.6979999999749</v>
      </c>
      <c r="XR32" s="20">
        <f t="shared" si="398"/>
        <v>1899.9039999999804</v>
      </c>
      <c r="XS32" s="20">
        <f t="shared" si="398"/>
        <v>1826.386000000115</v>
      </c>
      <c r="XT32" s="20">
        <f t="shared" si="398"/>
        <v>1692.4009999998379</v>
      </c>
      <c r="XU32" s="20">
        <f t="shared" si="398"/>
        <v>1598.5230000000447</v>
      </c>
      <c r="XV32" s="20">
        <f t="shared" si="398"/>
        <v>1693.7560000001104</v>
      </c>
      <c r="XW32" s="20">
        <f t="shared" si="398"/>
        <v>1913.1249999997672</v>
      </c>
      <c r="XX32" s="20">
        <f t="shared" si="398"/>
        <v>1796.4920000001439</v>
      </c>
      <c r="XY32" s="20">
        <f t="shared" si="398"/>
        <v>1646.5489999999409</v>
      </c>
      <c r="XZ32" s="20">
        <f t="shared" si="398"/>
        <v>2097.1949999999488</v>
      </c>
      <c r="YA32" s="20">
        <f t="shared" si="398"/>
        <v>1299.4640000001527</v>
      </c>
      <c r="YB32" s="20">
        <f t="shared" si="398"/>
        <v>1657.9019999998854</v>
      </c>
      <c r="YC32" s="20">
        <f t="shared" si="398"/>
        <v>1626.0690000000759</v>
      </c>
      <c r="YD32" s="20">
        <f t="shared" si="398"/>
        <v>1460.0790000002016</v>
      </c>
      <c r="YE32" s="20">
        <f t="shared" si="398"/>
        <v>1800.1049999997485</v>
      </c>
      <c r="YF32" s="20">
        <f t="shared" si="398"/>
        <v>1998.8780000000261</v>
      </c>
      <c r="YG32" s="20">
        <f t="shared" si="398"/>
        <v>1835.5479999998934</v>
      </c>
      <c r="YH32" s="20">
        <f t="shared" si="398"/>
        <v>1678.8930000002147</v>
      </c>
      <c r="YI32" s="20">
        <f t="shared" si="398"/>
        <v>1550.3559999997378</v>
      </c>
      <c r="YJ32" s="20">
        <f t="shared" si="398"/>
        <v>1664.5949999999721</v>
      </c>
      <c r="YK32" s="20">
        <f t="shared" si="398"/>
        <v>1649.1830000002519</v>
      </c>
      <c r="YL32" s="127">
        <f t="shared" si="269"/>
        <v>51162.659999999974</v>
      </c>
      <c r="YM32" s="20">
        <f t="shared" ref="YM32:ZQ32" si="399">YM4</f>
        <v>1616.1609999999055</v>
      </c>
      <c r="YN32" s="20">
        <f t="shared" si="399"/>
        <v>2148.1169999999693</v>
      </c>
      <c r="YO32" s="20">
        <f t="shared" si="399"/>
        <v>1845.8790000000736</v>
      </c>
      <c r="YP32" s="20">
        <f t="shared" si="399"/>
        <v>2019.9130000000005</v>
      </c>
      <c r="YQ32" s="20">
        <f t="shared" si="399"/>
        <v>2277.8149999998277</v>
      </c>
      <c r="YR32" s="20">
        <f t="shared" si="399"/>
        <v>2105.6240000000689</v>
      </c>
      <c r="YS32" s="20">
        <f t="shared" si="399"/>
        <v>1506.4140000002226</v>
      </c>
      <c r="YT32" s="20">
        <f t="shared" si="399"/>
        <v>0</v>
      </c>
      <c r="YU32" s="20">
        <f t="shared" si="399"/>
        <v>1219.4219999999623</v>
      </c>
      <c r="YV32" s="20">
        <f t="shared" si="399"/>
        <v>1929.8150000000023</v>
      </c>
      <c r="YW32" s="20">
        <f t="shared" si="399"/>
        <v>1330.7189999998664</v>
      </c>
      <c r="YX32" s="20">
        <f t="shared" si="399"/>
        <v>1839.5610000000452</v>
      </c>
      <c r="YY32" s="20">
        <f t="shared" si="399"/>
        <v>1434.5270000000601</v>
      </c>
      <c r="YZ32" s="20">
        <f t="shared" si="399"/>
        <v>1625.2979999999516</v>
      </c>
      <c r="ZA32" s="20">
        <f t="shared" si="399"/>
        <v>1678.1989999999059</v>
      </c>
      <c r="ZB32" s="20">
        <f t="shared" si="399"/>
        <v>1619.978000000061</v>
      </c>
      <c r="ZC32" s="20">
        <f t="shared" si="399"/>
        <v>1863.4360000000452</v>
      </c>
      <c r="ZD32" s="20">
        <f t="shared" si="399"/>
        <v>1814.9360000000452</v>
      </c>
      <c r="ZE32" s="20">
        <f t="shared" si="399"/>
        <v>1954.1760000000359</v>
      </c>
      <c r="ZF32" s="20">
        <f t="shared" si="399"/>
        <v>1807.128999999899</v>
      </c>
      <c r="ZG32" s="20">
        <f t="shared" si="399"/>
        <v>1706.2339999998803</v>
      </c>
      <c r="ZH32" s="20">
        <f t="shared" si="399"/>
        <v>1786.024000000034</v>
      </c>
      <c r="ZI32" s="20">
        <f t="shared" si="399"/>
        <v>2210.6350000000675</v>
      </c>
      <c r="ZJ32" s="20">
        <f t="shared" si="399"/>
        <v>2536.7269999999553</v>
      </c>
      <c r="ZK32" s="20">
        <f t="shared" si="399"/>
        <v>2154.2029999998631</v>
      </c>
      <c r="ZL32" s="20">
        <f t="shared" si="399"/>
        <v>2091.8040000001201</v>
      </c>
      <c r="ZM32" s="20">
        <f t="shared" si="399"/>
        <v>1778.1150000001071</v>
      </c>
      <c r="ZN32" s="20">
        <f t="shared" si="399"/>
        <v>2067.75</v>
      </c>
      <c r="ZO32" s="20">
        <f t="shared" si="399"/>
        <v>1811.1780000000144</v>
      </c>
      <c r="ZP32" s="20">
        <f t="shared" si="399"/>
        <v>1956.3830000000889</v>
      </c>
      <c r="ZQ32" s="20">
        <f t="shared" si="399"/>
        <v>2094.5599999999977</v>
      </c>
      <c r="ZR32" s="127">
        <f t="shared" si="356"/>
        <v>55830.732000000076</v>
      </c>
      <c r="ZS32" s="20">
        <f t="shared" ref="ZS32:AAV32" si="400">ZS4</f>
        <v>1865.0989999999292</v>
      </c>
      <c r="ZT32" s="20">
        <f t="shared" si="400"/>
        <v>1836.0799999998417</v>
      </c>
      <c r="ZU32" s="20">
        <f t="shared" si="400"/>
        <v>2005.3750000000582</v>
      </c>
      <c r="ZV32" s="20">
        <f t="shared" si="400"/>
        <v>1910.0080000000307</v>
      </c>
      <c r="ZW32" s="20">
        <f t="shared" si="400"/>
        <v>2212.2810000001336</v>
      </c>
      <c r="ZX32" s="20">
        <f t="shared" si="400"/>
        <v>1963.1799999998184</v>
      </c>
      <c r="ZY32" s="20">
        <f t="shared" si="400"/>
        <v>1978.6169999999693</v>
      </c>
      <c r="ZZ32" s="20">
        <f t="shared" si="400"/>
        <v>1939.7380000003031</v>
      </c>
      <c r="AAA32" s="20">
        <f t="shared" si="400"/>
        <v>1745.2639999997336</v>
      </c>
      <c r="AAB32" s="20">
        <f t="shared" si="400"/>
        <v>1887.3520000000717</v>
      </c>
      <c r="AAC32" s="20">
        <f t="shared" si="400"/>
        <v>1711.8620000000228</v>
      </c>
      <c r="AAD32" s="20">
        <f t="shared" si="400"/>
        <v>1643.5100000000675</v>
      </c>
      <c r="AAE32" s="20">
        <f t="shared" si="400"/>
        <v>2240.4919999997364</v>
      </c>
      <c r="AAF32" s="20">
        <f t="shared" si="400"/>
        <v>2257.6790000002366</v>
      </c>
      <c r="AAG32" s="20">
        <f t="shared" si="400"/>
        <v>2004.5559999998659</v>
      </c>
      <c r="AAH32" s="20">
        <f t="shared" si="400"/>
        <v>1909.1040000001667</v>
      </c>
      <c r="AAI32" s="20">
        <f t="shared" si="400"/>
        <v>1940.7549999997718</v>
      </c>
      <c r="AAJ32" s="20">
        <f t="shared" si="400"/>
        <v>1862.7230000002892</v>
      </c>
      <c r="AAK32" s="20">
        <f t="shared" si="400"/>
        <v>2062.4919999997364</v>
      </c>
      <c r="AAL32" s="20">
        <f t="shared" si="400"/>
        <v>1964.144000000204</v>
      </c>
      <c r="AAM32" s="20">
        <f t="shared" si="400"/>
        <v>2180.9720000000088</v>
      </c>
      <c r="AAN32" s="20">
        <f t="shared" si="400"/>
        <v>1641.8499999999185</v>
      </c>
      <c r="AAO32" s="20">
        <f t="shared" si="400"/>
        <v>1920.2529999997932</v>
      </c>
      <c r="AAP32" s="20">
        <f t="shared" si="400"/>
        <v>1772.7320000000182</v>
      </c>
      <c r="AAQ32" s="20">
        <f t="shared" si="400"/>
        <v>1964.2879999999423</v>
      </c>
      <c r="AAR32" s="20">
        <f t="shared" si="400"/>
        <v>1914.6890000001877</v>
      </c>
      <c r="AAS32" s="20">
        <f t="shared" si="400"/>
        <v>2074.1969999999856</v>
      </c>
      <c r="AAT32" s="20">
        <f t="shared" si="400"/>
        <v>2266.3080000000191</v>
      </c>
      <c r="AAU32" s="20">
        <f t="shared" si="400"/>
        <v>1800.1040000003413</v>
      </c>
      <c r="AAV32" s="20">
        <f t="shared" si="400"/>
        <v>1871.7499999997672</v>
      </c>
      <c r="AAW32" s="127">
        <f t="shared" si="272"/>
        <v>58347.453999999969</v>
      </c>
      <c r="AAX32" s="20">
        <f t="shared" ref="AAX32:ACB32" si="401">AAX4</f>
        <v>1988.5240000000922</v>
      </c>
      <c r="AAY32" s="20">
        <f t="shared" si="401"/>
        <v>1730.1829999999609</v>
      </c>
      <c r="AAZ32" s="20">
        <f t="shared" si="401"/>
        <v>1793.723999999871</v>
      </c>
      <c r="ABA32" s="20">
        <f t="shared" si="401"/>
        <v>2018.6749999999884</v>
      </c>
      <c r="ABB32" s="20">
        <f t="shared" si="401"/>
        <v>2648.5220000001136</v>
      </c>
      <c r="ABC32" s="20">
        <f t="shared" si="401"/>
        <v>2104.4649999999092</v>
      </c>
      <c r="ABD32" s="20">
        <f t="shared" si="401"/>
        <v>1824.5999999999767</v>
      </c>
      <c r="ABE32" s="20">
        <f t="shared" si="401"/>
        <v>2053.2250000000349</v>
      </c>
      <c r="ABF32" s="20">
        <f t="shared" si="401"/>
        <v>1908.3759999998729</v>
      </c>
      <c r="ABG32" s="20">
        <f t="shared" si="401"/>
        <v>1877.5170000002254</v>
      </c>
      <c r="ABH32" s="20">
        <f t="shared" si="401"/>
        <v>1976.3429999997607</v>
      </c>
      <c r="ABI32" s="20">
        <f t="shared" si="401"/>
        <v>1191.0789999999106</v>
      </c>
      <c r="ABJ32" s="20">
        <f t="shared" si="401"/>
        <v>2024.9700000001467</v>
      </c>
      <c r="ABK32" s="20">
        <f t="shared" si="401"/>
        <v>1791.4649999999674</v>
      </c>
      <c r="ABL32" s="20">
        <f t="shared" si="401"/>
        <v>1920.7970000001369</v>
      </c>
      <c r="ABM32" s="20">
        <f t="shared" si="401"/>
        <v>1877.0729999998002</v>
      </c>
      <c r="ABN32" s="20">
        <f t="shared" si="401"/>
        <v>1988.4820000001346</v>
      </c>
      <c r="ABO32" s="20">
        <f t="shared" si="401"/>
        <v>2087.2250000000349</v>
      </c>
      <c r="ABP32" s="20">
        <f t="shared" si="401"/>
        <v>1904.5940000000992</v>
      </c>
      <c r="ABQ32" s="20">
        <f t="shared" si="401"/>
        <v>2019.6569999998319</v>
      </c>
      <c r="ABR32" s="20">
        <f t="shared" si="401"/>
        <v>1896.4790000001667</v>
      </c>
      <c r="ABS32" s="20">
        <f t="shared" si="401"/>
        <v>1849.2929999997723</v>
      </c>
      <c r="ABT32" s="20">
        <f t="shared" si="401"/>
        <v>2032.5780000000959</v>
      </c>
      <c r="ABU32" s="20">
        <f t="shared" si="401"/>
        <v>2025.8030000000726</v>
      </c>
      <c r="ABV32" s="20">
        <f t="shared" si="401"/>
        <v>2399.7039999997987</v>
      </c>
      <c r="ABW32" s="20">
        <f t="shared" si="401"/>
        <v>2166.9360000003362</v>
      </c>
      <c r="ABX32" s="20">
        <f t="shared" si="401"/>
        <v>1904.0869999997667</v>
      </c>
      <c r="ABY32" s="20">
        <f t="shared" si="401"/>
        <v>1995.1049999999814</v>
      </c>
      <c r="ABZ32" s="20">
        <f t="shared" si="401"/>
        <v>1779.3199999998906</v>
      </c>
      <c r="ACA32" s="20">
        <f t="shared" si="401"/>
        <v>1782.9020000002347</v>
      </c>
      <c r="ACB32" s="20">
        <f t="shared" si="401"/>
        <v>1988.3319999999367</v>
      </c>
      <c r="ACC32" s="127">
        <f t="shared" si="274"/>
        <v>60550.034999999923</v>
      </c>
      <c r="ACD32" s="20">
        <f t="shared" ref="ACD32:ADH32" si="402">ACD4</f>
        <v>1953.9670000000624</v>
      </c>
      <c r="ACE32" s="20">
        <f t="shared" si="402"/>
        <v>2386.9700000000303</v>
      </c>
      <c r="ACF32" s="20">
        <f t="shared" si="402"/>
        <v>2115.6889999998966</v>
      </c>
      <c r="ACG32" s="20">
        <f t="shared" si="402"/>
        <v>2127.7360000000335</v>
      </c>
      <c r="ACH32" s="20">
        <f t="shared" si="402"/>
        <v>2285.0239999999758</v>
      </c>
      <c r="ACI32" s="20">
        <f t="shared" si="402"/>
        <v>1635.4900000001071</v>
      </c>
      <c r="ACJ32" s="20">
        <f t="shared" si="402"/>
        <v>1930.3510000000824</v>
      </c>
      <c r="ACK32" s="20">
        <f t="shared" si="402"/>
        <v>2049.7789999997476</v>
      </c>
      <c r="ACL32" s="20">
        <f t="shared" si="402"/>
        <v>1822.767000000109</v>
      </c>
      <c r="ACM32" s="20">
        <f t="shared" si="402"/>
        <v>1662.9329999998445</v>
      </c>
      <c r="ACN32" s="20">
        <f t="shared" si="402"/>
        <v>2228.4670000001788</v>
      </c>
      <c r="ACO32" s="20">
        <f t="shared" si="402"/>
        <v>1546.0629999998491</v>
      </c>
      <c r="ACP32" s="20">
        <f t="shared" si="402"/>
        <v>1595.7790000000969</v>
      </c>
      <c r="ACQ32" s="20">
        <f t="shared" si="402"/>
        <v>1854.4519999999902</v>
      </c>
      <c r="ACR32" s="20">
        <f t="shared" si="402"/>
        <v>2094.6779999999562</v>
      </c>
      <c r="ACS32" s="20">
        <f t="shared" si="402"/>
        <v>1662.0799999999581</v>
      </c>
      <c r="ACT32" s="20">
        <f t="shared" si="402"/>
        <v>1822.5410000002012</v>
      </c>
      <c r="ACU32" s="20">
        <f t="shared" si="402"/>
        <v>1869.5569999999134</v>
      </c>
      <c r="ACV32" s="20">
        <f t="shared" si="402"/>
        <v>1371.5480000000098</v>
      </c>
      <c r="ACW32" s="20">
        <f t="shared" si="402"/>
        <v>1522.0469999999623</v>
      </c>
      <c r="ACX32" s="20">
        <f t="shared" si="402"/>
        <v>1749.3629999998375</v>
      </c>
      <c r="ACY32" s="20">
        <f t="shared" si="402"/>
        <v>2015.5920000000624</v>
      </c>
      <c r="ACZ32" s="20">
        <f t="shared" si="402"/>
        <v>1804.4480000000913</v>
      </c>
      <c r="ADA32" s="20">
        <f t="shared" si="402"/>
        <v>1532.3190000000759</v>
      </c>
      <c r="ADB32" s="20">
        <f t="shared" si="402"/>
        <v>1394.3820000000997</v>
      </c>
      <c r="ADC32" s="20">
        <f t="shared" si="402"/>
        <v>1698.6549999998533</v>
      </c>
      <c r="ADD32" s="20">
        <f t="shared" si="402"/>
        <v>1783.6680000000051</v>
      </c>
      <c r="ADE32" s="20">
        <f t="shared" si="402"/>
        <v>1438.0650000001187</v>
      </c>
      <c r="ADF32" s="20">
        <f t="shared" si="402"/>
        <v>1911.0619999998598</v>
      </c>
      <c r="ADG32" s="20">
        <f t="shared" si="402"/>
        <v>1924.0450000000419</v>
      </c>
      <c r="ADH32" s="20">
        <f t="shared" si="402"/>
        <v>1625.4469999999274</v>
      </c>
      <c r="ADI32" s="127">
        <f t="shared" si="276"/>
        <v>56414.963999999978</v>
      </c>
      <c r="ADJ32" s="20">
        <f t="shared" ref="ADJ32:AEM32" si="403">ADJ4</f>
        <v>1653.5039999999572</v>
      </c>
      <c r="ADK32" s="20">
        <f t="shared" si="403"/>
        <v>1537.3820000000997</v>
      </c>
      <c r="ADL32" s="20">
        <f t="shared" si="403"/>
        <v>1398.155999999959</v>
      </c>
      <c r="ADM32" s="20">
        <f t="shared" si="403"/>
        <v>1820.4850000000442</v>
      </c>
      <c r="ADN32" s="20">
        <f t="shared" si="403"/>
        <v>1760.3299999998999</v>
      </c>
      <c r="ADO32" s="20">
        <f t="shared" si="403"/>
        <v>1975.5430000001797</v>
      </c>
      <c r="ADP32" s="20">
        <f t="shared" si="403"/>
        <v>1738.3680000000168</v>
      </c>
      <c r="ADQ32" s="20">
        <f t="shared" si="403"/>
        <v>1713.75499999983</v>
      </c>
      <c r="ADR32" s="20">
        <f t="shared" si="403"/>
        <v>1513.8320000000531</v>
      </c>
      <c r="ADS32" s="20">
        <f t="shared" si="403"/>
        <v>1380.710999999952</v>
      </c>
      <c r="ADT32" s="20">
        <f t="shared" si="403"/>
        <v>1577.3600000000442</v>
      </c>
      <c r="ADU32" s="20">
        <f t="shared" si="403"/>
        <v>1705.4050000002026</v>
      </c>
      <c r="ADV32" s="20">
        <f t="shared" si="403"/>
        <v>1869.6599999996834</v>
      </c>
      <c r="ADW32" s="20">
        <f t="shared" si="403"/>
        <v>1551.8129999999655</v>
      </c>
      <c r="ADX32" s="20">
        <f t="shared" si="403"/>
        <v>1749.2879999999423</v>
      </c>
      <c r="ADY32" s="20">
        <f t="shared" si="403"/>
        <v>1503.4570000003441</v>
      </c>
      <c r="ADZ32" s="20">
        <f t="shared" si="403"/>
        <v>1265.4729999998817</v>
      </c>
      <c r="AEA32" s="20">
        <f t="shared" si="403"/>
        <v>1627.4379999999073</v>
      </c>
      <c r="AEB32" s="20">
        <f t="shared" si="403"/>
        <v>1441.3650000001653</v>
      </c>
      <c r="AEC32" s="20">
        <f t="shared" si="403"/>
        <v>1446.7639999997918</v>
      </c>
      <c r="AED32" s="20">
        <f t="shared" si="403"/>
        <v>1511.9390000001295</v>
      </c>
      <c r="AEE32" s="20">
        <f t="shared" si="403"/>
        <v>1602.5719999999828</v>
      </c>
      <c r="AEF32" s="20">
        <f t="shared" si="403"/>
        <v>1560.4409999999334</v>
      </c>
      <c r="AEG32" s="20">
        <f t="shared" si="403"/>
        <v>1460.1000000000349</v>
      </c>
      <c r="AEH32" s="20">
        <f t="shared" si="403"/>
        <v>1550.4130000001169</v>
      </c>
      <c r="AEI32" s="20">
        <f t="shared" si="403"/>
        <v>1811.5279999999912</v>
      </c>
      <c r="AEJ32" s="20">
        <f t="shared" si="403"/>
        <v>1657.6899999998859</v>
      </c>
      <c r="AEK32" s="20">
        <f t="shared" si="403"/>
        <v>1584.6990000000806</v>
      </c>
      <c r="AEL32" s="20">
        <f t="shared" si="403"/>
        <v>1863.414000000048</v>
      </c>
      <c r="AEM32" s="20">
        <f t="shared" si="403"/>
        <v>1449.3929999998072</v>
      </c>
      <c r="AEN32" s="127">
        <f t="shared" si="364"/>
        <v>48282.277999999933</v>
      </c>
      <c r="AEO32" s="20">
        <f t="shared" ref="AEO32:AFS32" si="404">AEO4</f>
        <v>1414.0800000001327</v>
      </c>
      <c r="AEP32" s="20">
        <f t="shared" si="404"/>
        <v>1511.4299999998766</v>
      </c>
      <c r="AEQ32" s="20">
        <f t="shared" si="404"/>
        <v>1717.2049999999581</v>
      </c>
      <c r="AER32" s="20">
        <f t="shared" si="404"/>
        <v>1832.7470000001485</v>
      </c>
      <c r="AES32" s="20">
        <f t="shared" si="404"/>
        <v>1543.0910000000149</v>
      </c>
      <c r="AET32" s="20">
        <f t="shared" si="404"/>
        <v>1744.1169999999111</v>
      </c>
      <c r="AEU32" s="20">
        <f t="shared" si="404"/>
        <v>1488.4690000000992</v>
      </c>
      <c r="AEV32" s="20">
        <f t="shared" si="404"/>
        <v>1576.2820000000647</v>
      </c>
      <c r="AEW32" s="20">
        <f t="shared" si="404"/>
        <v>1749.3989999999176</v>
      </c>
      <c r="AEX32" s="20">
        <f t="shared" si="404"/>
        <v>1987.23199999996</v>
      </c>
      <c r="AEY32" s="20">
        <f t="shared" si="404"/>
        <v>1675.5830000000424</v>
      </c>
      <c r="AEZ32" s="20">
        <f t="shared" si="404"/>
        <v>1564.1289999999572</v>
      </c>
      <c r="AFA32" s="20">
        <f t="shared" si="404"/>
        <v>1564.1990000000224</v>
      </c>
      <c r="AFB32" s="20">
        <f t="shared" si="404"/>
        <v>1607.6819999999716</v>
      </c>
      <c r="AFC32" s="20">
        <f t="shared" si="404"/>
        <v>1672.7430000001332</v>
      </c>
      <c r="AFD32" s="20">
        <f t="shared" si="404"/>
        <v>1666.6790000000037</v>
      </c>
      <c r="AFE32" s="20">
        <f t="shared" si="404"/>
        <v>1486.9159999999683</v>
      </c>
      <c r="AFF32" s="20">
        <f t="shared" si="404"/>
        <v>1662.7000000000116</v>
      </c>
      <c r="AFG32" s="20">
        <f t="shared" si="404"/>
        <v>1575.5620000000927</v>
      </c>
      <c r="AFH32" s="20">
        <f t="shared" si="404"/>
        <v>1515.6799999998184</v>
      </c>
      <c r="AFI32" s="20">
        <f t="shared" si="404"/>
        <v>1726.6690000001108</v>
      </c>
      <c r="AFJ32" s="20">
        <f t="shared" si="404"/>
        <v>1524.9339999997173</v>
      </c>
      <c r="AFK32" s="20">
        <f t="shared" si="404"/>
        <v>1423.873000000196</v>
      </c>
      <c r="AFL32" s="20">
        <f t="shared" si="404"/>
        <v>1724.3009999999776</v>
      </c>
      <c r="AFM32" s="20">
        <f t="shared" si="404"/>
        <v>2019.545999999973</v>
      </c>
      <c r="AFN32" s="20">
        <f t="shared" si="404"/>
        <v>1699.8269999998738</v>
      </c>
      <c r="AFO32" s="20">
        <f t="shared" si="404"/>
        <v>1594.0169999999925</v>
      </c>
      <c r="AFP32" s="20">
        <f t="shared" si="404"/>
        <v>1547.0380000002915</v>
      </c>
      <c r="AFQ32" s="20">
        <f t="shared" si="404"/>
        <v>1421.3029999996652</v>
      </c>
      <c r="AFR32" s="20">
        <f t="shared" si="404"/>
        <v>1551.8060000002733</v>
      </c>
      <c r="AFS32" s="20">
        <f t="shared" si="404"/>
        <v>1787.210000000021</v>
      </c>
      <c r="AFT32" s="127">
        <f t="shared" si="279"/>
        <v>50576.449000000197</v>
      </c>
      <c r="AFU32" s="20">
        <f t="shared" ref="AFU32:AGX32" si="405">AFU4</f>
        <v>1788.0129999998608</v>
      </c>
      <c r="AFV32" s="20">
        <f t="shared" si="405"/>
        <v>1773.5330000001122</v>
      </c>
      <c r="AFW32" s="20">
        <f t="shared" si="405"/>
        <v>1634.6480000000447</v>
      </c>
      <c r="AFX32" s="20">
        <f t="shared" si="405"/>
        <v>1639.534999999858</v>
      </c>
      <c r="AFY32" s="20">
        <f t="shared" si="405"/>
        <v>1747.0619999998016</v>
      </c>
      <c r="AFZ32" s="20">
        <f t="shared" si="405"/>
        <v>1694.2430000003078</v>
      </c>
      <c r="AGA32" s="20">
        <f t="shared" si="405"/>
        <v>1784.1099999998114</v>
      </c>
      <c r="AGB32" s="20">
        <f t="shared" si="405"/>
        <v>1441.2120000001742</v>
      </c>
      <c r="AGC32" s="20">
        <f t="shared" si="405"/>
        <v>1869.2049999997835</v>
      </c>
      <c r="AGD32" s="20">
        <f t="shared" si="405"/>
        <v>1786.4410000001662</v>
      </c>
      <c r="AGE32" s="20">
        <f t="shared" si="405"/>
        <v>1615.564000000013</v>
      </c>
      <c r="AGF32" s="20">
        <f t="shared" si="405"/>
        <v>1338.1289999999572</v>
      </c>
      <c r="AGG32" s="20">
        <f t="shared" si="405"/>
        <v>1567.2889999998733</v>
      </c>
      <c r="AGH32" s="20">
        <f t="shared" si="405"/>
        <v>1633.9820000002203</v>
      </c>
      <c r="AGI32" s="20">
        <f t="shared" si="405"/>
        <v>1541.5569999999134</v>
      </c>
      <c r="AGJ32" s="20">
        <f t="shared" si="405"/>
        <v>1540.0489999999991</v>
      </c>
      <c r="AGK32" s="20">
        <f t="shared" si="405"/>
        <v>1888.5770000001066</v>
      </c>
      <c r="AGL32" s="20">
        <f t="shared" si="405"/>
        <v>1723.1840000000084</v>
      </c>
      <c r="AGM32" s="20">
        <f t="shared" si="405"/>
        <v>1644.6139999997686</v>
      </c>
      <c r="AGN32" s="20">
        <f t="shared" si="405"/>
        <v>1827.225999999966</v>
      </c>
      <c r="AGO32" s="20">
        <f t="shared" si="405"/>
        <v>1887.6280000002007</v>
      </c>
      <c r="AGP32" s="20">
        <f t="shared" si="405"/>
        <v>2036.8499999997439</v>
      </c>
      <c r="AGQ32" s="20">
        <f t="shared" si="405"/>
        <v>1527.0450000001583</v>
      </c>
      <c r="AGR32" s="20">
        <f t="shared" si="405"/>
        <v>1624.9870000001974</v>
      </c>
      <c r="AGS32" s="20">
        <f t="shared" si="405"/>
        <v>1895.0689999997267</v>
      </c>
      <c r="AGT32" s="20">
        <f t="shared" si="405"/>
        <v>1652.7930000001215</v>
      </c>
      <c r="AGU32" s="20">
        <f t="shared" si="405"/>
        <v>1804.0810000000056</v>
      </c>
      <c r="AGV32" s="20">
        <f t="shared" si="405"/>
        <v>2122.478000000061</v>
      </c>
      <c r="AGW32" s="20">
        <f t="shared" si="405"/>
        <v>2078.5289999998058</v>
      </c>
      <c r="AGX32" s="20">
        <f t="shared" si="405"/>
        <v>1693.8270000001066</v>
      </c>
      <c r="AGY32" s="127">
        <f t="shared" si="281"/>
        <v>51801.459999999875</v>
      </c>
      <c r="AGZ32" s="20">
        <f t="shared" ref="AGZ32:AID32" si="406">AGZ4</f>
        <v>1855.7019999998738</v>
      </c>
      <c r="AHA32" s="20">
        <f t="shared" si="406"/>
        <v>1762.6859999999288</v>
      </c>
      <c r="AHB32" s="20">
        <f t="shared" si="406"/>
        <v>1549.7120000002324</v>
      </c>
      <c r="AHC32" s="20">
        <f t="shared" si="406"/>
        <v>1981.433999999892</v>
      </c>
      <c r="AHD32" s="20">
        <f t="shared" si="406"/>
        <v>2122.5430000001797</v>
      </c>
      <c r="AHE32" s="20">
        <f t="shared" si="406"/>
        <v>1936.8949999999022</v>
      </c>
      <c r="AHF32" s="20">
        <f t="shared" si="406"/>
        <v>1738.8640000001178</v>
      </c>
      <c r="AHG32" s="20">
        <f t="shared" si="406"/>
        <v>1874.2889999997569</v>
      </c>
      <c r="AHH32" s="20">
        <f t="shared" si="406"/>
        <v>1543.6370000001043</v>
      </c>
      <c r="AHI32" s="20">
        <f t="shared" si="406"/>
        <v>1810.0720000000438</v>
      </c>
      <c r="AHJ32" s="20">
        <f t="shared" si="406"/>
        <v>2033.381999999925</v>
      </c>
      <c r="AHK32" s="20">
        <f t="shared" si="406"/>
        <v>2028.8789999999572</v>
      </c>
      <c r="AHL32" s="20">
        <f t="shared" si="406"/>
        <v>2092.3769999999786</v>
      </c>
      <c r="AHM32" s="20">
        <f t="shared" si="406"/>
        <v>1759.7630000002682</v>
      </c>
      <c r="AHN32" s="20">
        <f t="shared" si="406"/>
        <v>1794.4319999999134</v>
      </c>
      <c r="AHO32" s="20">
        <f t="shared" si="406"/>
        <v>1701.1089999998221</v>
      </c>
      <c r="AHP32" s="20">
        <f t="shared" si="406"/>
        <v>1554.7240000002203</v>
      </c>
      <c r="AHQ32" s="20">
        <f t="shared" si="406"/>
        <v>2043.4239999999991</v>
      </c>
      <c r="AHR32" s="20">
        <f t="shared" si="406"/>
        <v>2113.372999999905</v>
      </c>
      <c r="AHS32" s="20">
        <f t="shared" si="406"/>
        <v>1940.8040000000619</v>
      </c>
      <c r="AHT32" s="20">
        <f t="shared" si="406"/>
        <v>1976.743000000075</v>
      </c>
      <c r="AHU32" s="20">
        <f t="shared" si="406"/>
        <v>2111.677999999898</v>
      </c>
      <c r="AHV32" s="20">
        <f t="shared" si="406"/>
        <v>2360.8650000000489</v>
      </c>
      <c r="AHW32" s="20">
        <f t="shared" si="406"/>
        <v>2378.9220000000205</v>
      </c>
      <c r="AHX32" s="20">
        <f t="shared" si="406"/>
        <v>1711.0600000000559</v>
      </c>
      <c r="AHY32" s="20">
        <f t="shared" si="406"/>
        <v>1715.2690000000293</v>
      </c>
      <c r="AHZ32" s="20">
        <f t="shared" si="406"/>
        <v>1514.5339999996941</v>
      </c>
      <c r="AIA32" s="20">
        <f t="shared" si="406"/>
        <v>1364.0270000001765</v>
      </c>
      <c r="AIB32" s="20">
        <f t="shared" si="406"/>
        <v>1432.6819999999716</v>
      </c>
      <c r="AIC32" s="20">
        <f t="shared" si="406"/>
        <v>1671.9069999998901</v>
      </c>
      <c r="AID32" s="20">
        <f t="shared" si="406"/>
        <v>2022.9660000001313</v>
      </c>
      <c r="AIE32" s="127">
        <f t="shared" si="283"/>
        <v>57498.754000000074</v>
      </c>
      <c r="AIF32" s="20">
        <f t="shared" ref="AIF32:AJJ32" si="407">AIF4</f>
        <v>1477.3299999998999</v>
      </c>
      <c r="AIG32" s="20">
        <f t="shared" si="407"/>
        <v>1634.1359999999404</v>
      </c>
      <c r="AIH32" s="20">
        <f t="shared" si="407"/>
        <v>1632.5020000002114</v>
      </c>
      <c r="AII32" s="20">
        <f t="shared" si="407"/>
        <v>1720.3720000000903</v>
      </c>
      <c r="AIJ32" s="20">
        <f t="shared" si="407"/>
        <v>2000.4259999995702</v>
      </c>
      <c r="AIK32" s="20">
        <f t="shared" si="407"/>
        <v>1963.6010000003153</v>
      </c>
      <c r="AIL32" s="20">
        <f t="shared" si="407"/>
        <v>1952.5789999999688</v>
      </c>
      <c r="AIM32" s="20">
        <f t="shared" si="407"/>
        <v>1884.0770000001066</v>
      </c>
      <c r="AIN32" s="20">
        <f t="shared" si="407"/>
        <v>1672.3379999998142</v>
      </c>
      <c r="AIO32" s="20">
        <f t="shared" si="407"/>
        <v>2307.0019999998622</v>
      </c>
      <c r="AIP32" s="20">
        <f t="shared" si="407"/>
        <v>1874.3760000002803</v>
      </c>
      <c r="AIQ32" s="20">
        <f t="shared" si="407"/>
        <v>1701.434999999823</v>
      </c>
      <c r="AIR32" s="20">
        <f t="shared" si="407"/>
        <v>1871.5509999999776</v>
      </c>
      <c r="AIS32" s="20">
        <f t="shared" si="407"/>
        <v>1769.2200000000885</v>
      </c>
      <c r="AIT32" s="20">
        <f t="shared" si="407"/>
        <v>1090.2360000000917</v>
      </c>
      <c r="AIU32" s="20">
        <f t="shared" si="407"/>
        <v>1530.3800000000629</v>
      </c>
      <c r="AIV32" s="20">
        <f t="shared" si="407"/>
        <v>858.24799999996321</v>
      </c>
      <c r="AIW32" s="20">
        <f t="shared" si="407"/>
        <v>1029.6279999998515</v>
      </c>
      <c r="AIX32" s="20">
        <f t="shared" si="407"/>
        <v>1638.7080000001006</v>
      </c>
      <c r="AIY32" s="20">
        <f t="shared" si="407"/>
        <v>1643.4249999999302</v>
      </c>
      <c r="AIZ32" s="20">
        <f t="shared" si="407"/>
        <v>1890.3779999999679</v>
      </c>
      <c r="AJA32" s="20">
        <f t="shared" si="407"/>
        <v>1784.7359999999753</v>
      </c>
      <c r="AJB32" s="20">
        <f t="shared" si="407"/>
        <v>1885.3010000001523</v>
      </c>
      <c r="AJC32" s="20">
        <f t="shared" si="407"/>
        <v>1983.4619999998249</v>
      </c>
      <c r="AJD32" s="20">
        <f t="shared" si="407"/>
        <v>1826.6610000000801</v>
      </c>
      <c r="AJE32" s="20">
        <f t="shared" si="407"/>
        <v>1652.5849999998463</v>
      </c>
      <c r="AJF32" s="20">
        <f t="shared" si="407"/>
        <v>1881.7430000001914</v>
      </c>
      <c r="AJG32" s="20">
        <f t="shared" si="407"/>
        <v>1648.0029999998515</v>
      </c>
      <c r="AJH32" s="20">
        <f t="shared" si="407"/>
        <v>1653.2360000001499</v>
      </c>
      <c r="AJI32" s="20">
        <f t="shared" si="407"/>
        <v>1637.0659999999916</v>
      </c>
      <c r="AJJ32" s="20">
        <f t="shared" si="407"/>
        <v>1678.034999999858</v>
      </c>
      <c r="AJK32" s="127">
        <f t="shared" si="285"/>
        <v>52772.775999999838</v>
      </c>
      <c r="AJL32" s="20">
        <f t="shared" ref="AJL32:AKM32" si="408">AJL4</f>
        <v>1444.4250000001048</v>
      </c>
      <c r="AJM32" s="20">
        <f t="shared" si="408"/>
        <v>1739.6950000001816</v>
      </c>
      <c r="AJN32" s="20">
        <f t="shared" si="408"/>
        <v>1894.7479999997886</v>
      </c>
      <c r="AJO32" s="20">
        <f t="shared" si="408"/>
        <v>1706.9740000002785</v>
      </c>
      <c r="AJP32" s="20">
        <f t="shared" si="408"/>
        <v>1615.0059999999357</v>
      </c>
      <c r="AJQ32" s="20">
        <f t="shared" si="408"/>
        <v>1517.4709999998449</v>
      </c>
      <c r="AJR32" s="20">
        <f t="shared" si="408"/>
        <v>1967.8330000001006</v>
      </c>
      <c r="AJS32" s="20">
        <f t="shared" si="408"/>
        <v>1714.3969999997644</v>
      </c>
      <c r="AJT32" s="20">
        <f t="shared" si="408"/>
        <v>1873.8700000001118</v>
      </c>
      <c r="AJU32" s="20">
        <f t="shared" si="408"/>
        <v>1748.6100000000442</v>
      </c>
      <c r="AJV32" s="20">
        <f t="shared" si="408"/>
        <v>1636.376999999804</v>
      </c>
      <c r="AJW32" s="20">
        <f t="shared" si="408"/>
        <v>1740.0300000000279</v>
      </c>
      <c r="AJX32" s="20">
        <f t="shared" si="408"/>
        <v>1952.7450000000536</v>
      </c>
      <c r="AJY32" s="20">
        <f t="shared" si="408"/>
        <v>1695.5880000001052</v>
      </c>
      <c r="AJZ32" s="20">
        <f t="shared" si="408"/>
        <v>1635.438000000082</v>
      </c>
      <c r="AKA32" s="20">
        <f t="shared" si="408"/>
        <v>1551.0099999998929</v>
      </c>
      <c r="AKB32" s="20">
        <f t="shared" si="408"/>
        <v>1773.0269999998854</v>
      </c>
      <c r="AKC32" s="20">
        <f t="shared" si="408"/>
        <v>1621.4940000001807</v>
      </c>
      <c r="AKD32" s="20">
        <f t="shared" si="408"/>
        <v>1441.3450000000303</v>
      </c>
      <c r="AKE32" s="20">
        <f t="shared" si="408"/>
        <v>1404.2680000000983</v>
      </c>
      <c r="AKF32" s="20">
        <f t="shared" si="408"/>
        <v>1736.7919999996479</v>
      </c>
      <c r="AKG32" s="20">
        <f t="shared" si="408"/>
        <v>1304.5140000001993</v>
      </c>
      <c r="AKH32" s="20">
        <f t="shared" si="408"/>
        <v>1579.1910000000498</v>
      </c>
      <c r="AKI32" s="20">
        <f t="shared" si="408"/>
        <v>1517.4469999998109</v>
      </c>
      <c r="AKJ32" s="20">
        <f t="shared" si="408"/>
        <v>1594.9890000002342</v>
      </c>
      <c r="AKK32" s="20">
        <f t="shared" si="408"/>
        <v>1513.3609999999753</v>
      </c>
      <c r="AKL32" s="20">
        <f t="shared" si="408"/>
        <v>1410.0099999997765</v>
      </c>
      <c r="AKM32" s="20">
        <f t="shared" si="408"/>
        <v>1349.0910000000149</v>
      </c>
      <c r="AKN32" s="127">
        <f t="shared" si="11"/>
        <v>45679.746000000021</v>
      </c>
      <c r="AKO32" s="20">
        <f t="shared" ref="AKO32:ALS32" si="409">AKO4</f>
        <v>1571.7429999999586</v>
      </c>
      <c r="AKP32" s="20">
        <f t="shared" si="409"/>
        <v>1515.25</v>
      </c>
      <c r="AKQ32" s="20">
        <f t="shared" si="409"/>
        <v>1583.7430000002496</v>
      </c>
      <c r="AKR32" s="20">
        <f t="shared" si="409"/>
        <v>1513.3400000000256</v>
      </c>
      <c r="AKS32" s="20">
        <f t="shared" si="409"/>
        <v>1497.8629999997793</v>
      </c>
      <c r="AKT32" s="20">
        <f t="shared" si="409"/>
        <v>1497.8320000001695</v>
      </c>
      <c r="AKU32" s="20">
        <f t="shared" si="409"/>
        <v>1519.7199999997392</v>
      </c>
      <c r="AKV32" s="20">
        <f t="shared" si="409"/>
        <v>1637.9640000000945</v>
      </c>
      <c r="AKW32" s="20">
        <f t="shared" si="409"/>
        <v>1712.1500000001881</v>
      </c>
      <c r="AKX32" s="20">
        <f t="shared" si="409"/>
        <v>1481.238999999885</v>
      </c>
      <c r="AKY32" s="20">
        <f t="shared" si="409"/>
        <v>1422.3460000000196</v>
      </c>
      <c r="AKZ32" s="20">
        <f t="shared" si="409"/>
        <v>1567.7879999999423</v>
      </c>
      <c r="ALA32" s="20">
        <f t="shared" si="409"/>
        <v>1748.0610000002198</v>
      </c>
      <c r="ALB32" s="20">
        <f t="shared" si="409"/>
        <v>1981.4879999999539</v>
      </c>
      <c r="ALC32" s="20">
        <f t="shared" si="409"/>
        <v>1624.7899999998044</v>
      </c>
      <c r="ALD32" s="20">
        <f t="shared" si="409"/>
        <v>2192.6900000001187</v>
      </c>
      <c r="ALE32" s="20">
        <f t="shared" si="409"/>
        <v>1858.0160000000033</v>
      </c>
      <c r="ALF32" s="20">
        <f t="shared" si="409"/>
        <v>1473.5899999997928</v>
      </c>
      <c r="ALG32" s="20">
        <f t="shared" si="409"/>
        <v>1932.5190000000875</v>
      </c>
      <c r="ALH32" s="20">
        <f t="shared" si="409"/>
        <v>1667.4760000000824</v>
      </c>
      <c r="ALI32" s="20">
        <f t="shared" si="409"/>
        <v>1769.8499999999767</v>
      </c>
      <c r="ALJ32" s="20">
        <f t="shared" si="409"/>
        <v>1359.5580000000191</v>
      </c>
      <c r="ALK32" s="20">
        <f t="shared" si="409"/>
        <v>1826.2329999998328</v>
      </c>
      <c r="ALL32" s="20">
        <f t="shared" si="409"/>
        <v>1827.6130000003031</v>
      </c>
      <c r="ALM32" s="20">
        <f t="shared" si="409"/>
        <v>1875.7869999997783</v>
      </c>
      <c r="ALN32" s="20">
        <f t="shared" si="409"/>
        <v>1866.5989999999874</v>
      </c>
      <c r="ALO32" s="20">
        <f t="shared" si="409"/>
        <v>1902.5370000003022</v>
      </c>
      <c r="ALP32" s="20">
        <f t="shared" si="409"/>
        <v>2125.0419999998994</v>
      </c>
      <c r="ALQ32" s="20">
        <f t="shared" si="409"/>
        <v>2431.1689999999944</v>
      </c>
      <c r="ALR32" s="20">
        <f t="shared" si="409"/>
        <v>2363.1859999998705</v>
      </c>
      <c r="ALS32" s="20">
        <f t="shared" si="409"/>
        <v>1743.7480000000214</v>
      </c>
      <c r="ALT32" s="127">
        <f t="shared" si="12"/>
        <v>54090.930000000102</v>
      </c>
      <c r="ALU32" s="20">
        <f t="shared" ref="ALU32:AMX32" si="410">ALU4</f>
        <v>2315.4899999999325</v>
      </c>
      <c r="ALV32" s="20">
        <f t="shared" si="410"/>
        <v>1748.5659999999916</v>
      </c>
      <c r="ALW32" s="20">
        <f t="shared" si="410"/>
        <v>1916.2020000000484</v>
      </c>
      <c r="ALX32" s="20">
        <f t="shared" si="410"/>
        <v>1958.804999999993</v>
      </c>
      <c r="ALY32" s="20">
        <f t="shared" si="410"/>
        <v>1211.2110000001849</v>
      </c>
      <c r="ALZ32" s="20">
        <f t="shared" si="410"/>
        <v>1268.054999999961</v>
      </c>
      <c r="AMA32" s="20">
        <f t="shared" si="410"/>
        <v>2124.1750000001048</v>
      </c>
      <c r="AMB32" s="20">
        <f t="shared" si="410"/>
        <v>1932.1119999996154</v>
      </c>
      <c r="AMC32" s="20">
        <f t="shared" si="410"/>
        <v>2194.5750000001281</v>
      </c>
      <c r="AMD32" s="20">
        <f t="shared" si="410"/>
        <v>2154.9839999998803</v>
      </c>
      <c r="AME32" s="20">
        <f t="shared" si="410"/>
        <v>2138.8660000001546</v>
      </c>
      <c r="AMF32" s="20">
        <f t="shared" si="410"/>
        <v>2238.4890000000596</v>
      </c>
      <c r="AMG32" s="20">
        <f t="shared" si="410"/>
        <v>2315.9659999998403</v>
      </c>
      <c r="AMH32" s="20">
        <f t="shared" si="410"/>
        <v>1532.7530000001425</v>
      </c>
      <c r="AMI32" s="20">
        <f t="shared" si="410"/>
        <v>1772.7919999999576</v>
      </c>
      <c r="AMJ32" s="20">
        <f t="shared" si="410"/>
        <v>1664.3329999998678</v>
      </c>
      <c r="AMK32" s="20">
        <f t="shared" si="410"/>
        <v>1945.6340000002529</v>
      </c>
      <c r="AML32" s="20">
        <f t="shared" si="410"/>
        <v>2276.7419999999693</v>
      </c>
      <c r="AMM32" s="20">
        <f t="shared" si="410"/>
        <v>2169.4229999998352</v>
      </c>
      <c r="AMN32" s="20">
        <f t="shared" si="410"/>
        <v>3910.4140000002226</v>
      </c>
      <c r="AMO32" s="20">
        <f t="shared" si="410"/>
        <v>4834.2999999999884</v>
      </c>
      <c r="AMP32" s="20">
        <f t="shared" si="410"/>
        <v>3272.4169999999576</v>
      </c>
      <c r="AMQ32" s="20">
        <f t="shared" si="410"/>
        <v>4401.1479999997537</v>
      </c>
      <c r="AMR32" s="20">
        <f t="shared" si="410"/>
        <v>4654.7459999999846</v>
      </c>
      <c r="AMS32" s="20">
        <f t="shared" si="410"/>
        <v>4782.7690000001458</v>
      </c>
      <c r="AMT32" s="20">
        <f t="shared" si="410"/>
        <v>4185.637999999919</v>
      </c>
      <c r="AMU32" s="20">
        <f t="shared" si="410"/>
        <v>1908.8260000001756</v>
      </c>
      <c r="AMV32" s="20">
        <f t="shared" si="410"/>
        <v>1747.0220000000554</v>
      </c>
      <c r="AMW32" s="20">
        <f t="shared" si="410"/>
        <v>3965.683999999892</v>
      </c>
      <c r="AMX32" s="20">
        <f t="shared" si="410"/>
        <v>3168.1719999999623</v>
      </c>
      <c r="AMY32" s="127">
        <f t="shared" si="13"/>
        <v>77710.308999999979</v>
      </c>
      <c r="AMZ32" s="20">
        <f t="shared" ref="AMZ32:AOC32" si="411">AMZ4</f>
        <v>1804.1289999999572</v>
      </c>
      <c r="ANA32" s="20">
        <f t="shared" si="411"/>
        <v>2060.4980000000796</v>
      </c>
      <c r="ANB32" s="20">
        <f t="shared" si="411"/>
        <v>1745.4119999998366</v>
      </c>
      <c r="ANC32" s="20">
        <f t="shared" si="411"/>
        <v>2176.8710000000428</v>
      </c>
      <c r="AND32" s="20">
        <f t="shared" si="411"/>
        <v>2035.706000000122</v>
      </c>
      <c r="ANE32" s="20">
        <f t="shared" si="411"/>
        <v>2260.0789999999688</v>
      </c>
      <c r="ANF32" s="20">
        <f t="shared" si="411"/>
        <v>2142.6449999999604</v>
      </c>
      <c r="ANG32" s="20">
        <f t="shared" si="411"/>
        <v>1966.3360000001267</v>
      </c>
      <c r="ANH32" s="20">
        <f t="shared" si="411"/>
        <v>2303.6399999998393</v>
      </c>
      <c r="ANI32" s="20">
        <f t="shared" si="411"/>
        <v>1806.1300000001211</v>
      </c>
      <c r="ANJ32" s="20">
        <f t="shared" si="411"/>
        <v>2027.9880000000121</v>
      </c>
      <c r="ANK32" s="20">
        <f t="shared" si="411"/>
        <v>1894.0440000001108</v>
      </c>
      <c r="ANL32" s="20">
        <f t="shared" si="411"/>
        <v>2040.5849999997881</v>
      </c>
      <c r="ANM32" s="20">
        <f t="shared" si="411"/>
        <v>2248.5450000002747</v>
      </c>
      <c r="ANN32" s="20">
        <f t="shared" si="411"/>
        <v>2271.6529999998165</v>
      </c>
      <c r="ANO32" s="20">
        <f t="shared" si="411"/>
        <v>1701.3330000000424</v>
      </c>
      <c r="ANP32" s="20">
        <f t="shared" si="411"/>
        <v>1086.4589999999735</v>
      </c>
      <c r="ANQ32" s="20">
        <f t="shared" si="411"/>
        <v>1333.131999999925</v>
      </c>
      <c r="ANR32" s="20">
        <f t="shared" si="411"/>
        <v>1239.1790000000619</v>
      </c>
      <c r="ANS32" s="20">
        <f t="shared" si="411"/>
        <v>1311.6609999999055</v>
      </c>
      <c r="ANT32" s="20">
        <f t="shared" si="411"/>
        <v>1119.285000000149</v>
      </c>
      <c r="ANU32" s="20">
        <f t="shared" si="411"/>
        <v>1718.9539999998524</v>
      </c>
      <c r="ANV32" s="20">
        <f t="shared" si="411"/>
        <v>1406.5129999999772</v>
      </c>
      <c r="ANW32" s="20">
        <f t="shared" si="411"/>
        <v>1385.8450000001467</v>
      </c>
      <c r="ANX32" s="20">
        <f t="shared" si="411"/>
        <v>1542.7170000001788</v>
      </c>
      <c r="ANY32" s="20">
        <f t="shared" si="411"/>
        <v>1925.4689999996917</v>
      </c>
      <c r="ANZ32" s="20">
        <f t="shared" si="411"/>
        <v>1328.8590000001132</v>
      </c>
      <c r="AOA32" s="20">
        <f t="shared" si="411"/>
        <v>1260.0029999998515</v>
      </c>
      <c r="AOB32" s="20">
        <f t="shared" si="411"/>
        <v>1540.739000000176</v>
      </c>
      <c r="AOC32" s="20">
        <f t="shared" si="411"/>
        <v>1826.1869999999763</v>
      </c>
    </row>
    <row r="33" spans="1:1069" x14ac:dyDescent="0.2">
      <c r="A33" s="160"/>
      <c r="B33" s="34" t="s">
        <v>1528</v>
      </c>
      <c r="C33" s="35">
        <f t="shared" ref="C33:AG33" si="412">C31-C32</f>
        <v>14801.008</v>
      </c>
      <c r="D33" s="35">
        <f t="shared" si="412"/>
        <v>12177.288</v>
      </c>
      <c r="E33" s="35">
        <f t="shared" si="412"/>
        <v>9736.0669999999991</v>
      </c>
      <c r="F33" s="35">
        <f t="shared" si="412"/>
        <v>7079.165</v>
      </c>
      <c r="G33" s="35">
        <f t="shared" si="412"/>
        <v>12246.027999999991</v>
      </c>
      <c r="H33" s="35">
        <f t="shared" si="412"/>
        <v>9380.6040000000703</v>
      </c>
      <c r="I33" s="35">
        <f t="shared" si="412"/>
        <v>6816.0269999999291</v>
      </c>
      <c r="J33" s="35">
        <f t="shared" si="412"/>
        <v>4762.1539999999941</v>
      </c>
      <c r="K33" s="35">
        <f t="shared" si="412"/>
        <v>16640.795000000013</v>
      </c>
      <c r="L33" s="35">
        <f t="shared" si="412"/>
        <v>14127.464000000007</v>
      </c>
      <c r="M33" s="35">
        <f t="shared" si="412"/>
        <v>11753.698000000062</v>
      </c>
      <c r="N33" s="35">
        <f t="shared" si="412"/>
        <v>9013.2529999998806</v>
      </c>
      <c r="O33" s="35">
        <f t="shared" si="412"/>
        <v>6526.853999999963</v>
      </c>
      <c r="P33" s="35">
        <f t="shared" si="412"/>
        <v>3920.8510000000242</v>
      </c>
      <c r="Q33" s="35">
        <f t="shared" si="412"/>
        <v>14525.957000000053</v>
      </c>
      <c r="R33" s="35">
        <f t="shared" si="412"/>
        <v>12160.95299999998</v>
      </c>
      <c r="S33" s="35">
        <f t="shared" si="412"/>
        <v>9795.9519999999902</v>
      </c>
      <c r="T33" s="35">
        <f t="shared" si="412"/>
        <v>6994.7410000001255</v>
      </c>
      <c r="U33" s="35">
        <f t="shared" si="412"/>
        <v>4604.2319999999891</v>
      </c>
      <c r="V33" s="35">
        <f t="shared" si="412"/>
        <v>2404.6429999999527</v>
      </c>
      <c r="W33" s="35">
        <f t="shared" si="412"/>
        <v>17376.170999999915</v>
      </c>
      <c r="X33" s="35">
        <f t="shared" si="412"/>
        <v>15293.053000000073</v>
      </c>
      <c r="Y33" s="35">
        <f t="shared" si="412"/>
        <v>13045.484999999899</v>
      </c>
      <c r="Z33" s="35">
        <f t="shared" si="412"/>
        <v>10747.238999999972</v>
      </c>
      <c r="AA33" s="35">
        <f t="shared" si="412"/>
        <v>7913.264000000112</v>
      </c>
      <c r="AB33" s="35">
        <f t="shared" si="412"/>
        <v>15062.427999999985</v>
      </c>
      <c r="AC33" s="35">
        <f t="shared" si="412"/>
        <v>12542.726999999984</v>
      </c>
      <c r="AD33" s="35">
        <f t="shared" si="412"/>
        <v>10426.398000000045</v>
      </c>
      <c r="AE33" s="35">
        <f t="shared" si="412"/>
        <v>8228.6980000000622</v>
      </c>
      <c r="AF33" s="35">
        <f t="shared" si="412"/>
        <v>6162.034999999858</v>
      </c>
      <c r="AG33" s="35">
        <f t="shared" si="412"/>
        <v>3623.4420000000973</v>
      </c>
      <c r="AH33" s="94">
        <f t="shared" si="324"/>
        <v>309888.674</v>
      </c>
      <c r="AI33" s="35">
        <f t="shared" ref="AI33:BL33" si="413">AI31-AI32</f>
        <v>673.84199999991688</v>
      </c>
      <c r="AJ33" s="35">
        <f t="shared" si="413"/>
        <v>10825.854999999981</v>
      </c>
      <c r="AK33" s="35">
        <f t="shared" si="413"/>
        <v>8350.5800000000454</v>
      </c>
      <c r="AL33" s="35">
        <f t="shared" si="413"/>
        <v>5805.2279999999446</v>
      </c>
      <c r="AM33" s="35">
        <f t="shared" si="413"/>
        <v>3507.8180000000866</v>
      </c>
      <c r="AN33" s="35">
        <f t="shared" si="413"/>
        <v>13543.554000000004</v>
      </c>
      <c r="AO33" s="35">
        <f t="shared" si="413"/>
        <v>10167.469000000041</v>
      </c>
      <c r="AP33" s="35">
        <f t="shared" si="413"/>
        <v>7179.622000000003</v>
      </c>
      <c r="AQ33" s="35">
        <f t="shared" si="413"/>
        <v>4578.2279999999446</v>
      </c>
      <c r="AR33" s="35">
        <f t="shared" si="413"/>
        <v>2357.3469999999506</v>
      </c>
      <c r="AS33" s="35">
        <f t="shared" si="413"/>
        <v>370.19300000008661</v>
      </c>
      <c r="AT33" s="35">
        <f t="shared" si="413"/>
        <v>8681.6269999998913</v>
      </c>
      <c r="AU33" s="35">
        <f t="shared" si="413"/>
        <v>7847.2710000000952</v>
      </c>
      <c r="AV33" s="35">
        <f t="shared" si="413"/>
        <v>17808.072000000015</v>
      </c>
      <c r="AW33" s="35">
        <f t="shared" si="413"/>
        <v>15513.076999999903</v>
      </c>
      <c r="AX33" s="35">
        <f t="shared" si="413"/>
        <v>13285.693000000028</v>
      </c>
      <c r="AY33" s="35">
        <f t="shared" si="413"/>
        <v>11305.944999999978</v>
      </c>
      <c r="AZ33" s="35">
        <f t="shared" si="413"/>
        <v>9150.6159999999927</v>
      </c>
      <c r="BA33" s="35">
        <f t="shared" si="413"/>
        <v>7321.5940000000846</v>
      </c>
      <c r="BB33" s="35">
        <f t="shared" si="413"/>
        <v>14359.155000000028</v>
      </c>
      <c r="BC33" s="35">
        <f t="shared" si="413"/>
        <v>12313.945999999851</v>
      </c>
      <c r="BD33" s="35">
        <f t="shared" si="413"/>
        <v>10067.155000000028</v>
      </c>
      <c r="BE33" s="35">
        <f t="shared" si="413"/>
        <v>7769.5590000000957</v>
      </c>
      <c r="BF33" s="35">
        <f t="shared" si="413"/>
        <v>5886.1249999999418</v>
      </c>
      <c r="BG33" s="35">
        <f t="shared" si="413"/>
        <v>3819.2880000000878</v>
      </c>
      <c r="BH33" s="35">
        <f t="shared" si="413"/>
        <v>17699.324999999983</v>
      </c>
      <c r="BI33" s="35">
        <f t="shared" si="413"/>
        <v>15815.217999999935</v>
      </c>
      <c r="BJ33" s="35">
        <f t="shared" si="413"/>
        <v>13964.815999999992</v>
      </c>
      <c r="BK33" s="35">
        <f t="shared" si="413"/>
        <v>11919.107999999978</v>
      </c>
      <c r="BL33" s="35">
        <f t="shared" si="413"/>
        <v>9750.1950000000361</v>
      </c>
      <c r="BM33" s="97">
        <f t="shared" si="247"/>
        <v>281637.52099999995</v>
      </c>
      <c r="BN33" s="35">
        <f t="shared" ref="BN33:CR33" si="414">BN31-BN32</f>
        <v>16749.83799999996</v>
      </c>
      <c r="BO33" s="35">
        <f t="shared" si="414"/>
        <v>14613.768000000011</v>
      </c>
      <c r="BP33" s="35">
        <f t="shared" si="414"/>
        <v>12646.532000000007</v>
      </c>
      <c r="BQ33" s="35">
        <f t="shared" si="414"/>
        <v>10737.065000000031</v>
      </c>
      <c r="BR33" s="35">
        <f t="shared" si="414"/>
        <v>8948.5800000000163</v>
      </c>
      <c r="BS33" s="35">
        <f t="shared" si="414"/>
        <v>6856.8029999999562</v>
      </c>
      <c r="BT33" s="35">
        <f t="shared" si="414"/>
        <v>14984.758000000089</v>
      </c>
      <c r="BU33" s="35">
        <f t="shared" si="414"/>
        <v>12993.205999999918</v>
      </c>
      <c r="BV33" s="35">
        <f t="shared" si="414"/>
        <v>11059.450999999972</v>
      </c>
      <c r="BW33" s="35">
        <f t="shared" si="414"/>
        <v>9318.3180000000575</v>
      </c>
      <c r="BX33" s="35">
        <f t="shared" si="414"/>
        <v>7569.783999999956</v>
      </c>
      <c r="BY33" s="35">
        <f t="shared" si="414"/>
        <v>5791.9910000000673</v>
      </c>
      <c r="BZ33" s="35">
        <f t="shared" si="414"/>
        <v>3709.6919999999518</v>
      </c>
      <c r="CA33" s="35">
        <f t="shared" si="414"/>
        <v>11650.763000000035</v>
      </c>
      <c r="CB33" s="35">
        <f t="shared" si="414"/>
        <v>9603.6749999999884</v>
      </c>
      <c r="CC33" s="35">
        <f t="shared" si="414"/>
        <v>7747.5749999999243</v>
      </c>
      <c r="CD33" s="35">
        <f t="shared" si="414"/>
        <v>5742.4800000000687</v>
      </c>
      <c r="CE33" s="35">
        <f t="shared" si="414"/>
        <v>9998.5229999998992</v>
      </c>
      <c r="CF33" s="35">
        <f t="shared" si="414"/>
        <v>8167.5570000001171</v>
      </c>
      <c r="CG33" s="35">
        <f t="shared" si="414"/>
        <v>6280.0819999999949</v>
      </c>
      <c r="CH33" s="35">
        <f t="shared" si="414"/>
        <v>17136.994000000064</v>
      </c>
      <c r="CI33" s="35">
        <f t="shared" si="414"/>
        <v>15127.030999999959</v>
      </c>
      <c r="CJ33" s="35">
        <f t="shared" si="414"/>
        <v>13386.015999999896</v>
      </c>
      <c r="CK33" s="35">
        <f t="shared" si="414"/>
        <v>11388.341000000044</v>
      </c>
      <c r="CL33" s="35">
        <f t="shared" si="414"/>
        <v>9590.4109999999346</v>
      </c>
      <c r="CM33" s="35">
        <f t="shared" si="414"/>
        <v>7706.1870000000054</v>
      </c>
      <c r="CN33" s="35">
        <f t="shared" si="414"/>
        <v>5750.4570000000531</v>
      </c>
      <c r="CO33" s="35">
        <f t="shared" si="414"/>
        <v>11591.613000000099</v>
      </c>
      <c r="CP33" s="35">
        <f t="shared" si="414"/>
        <v>9606.6629999999132</v>
      </c>
      <c r="CQ33" s="35">
        <f t="shared" si="414"/>
        <v>7624.3700000000244</v>
      </c>
      <c r="CR33" s="35">
        <f t="shared" si="414"/>
        <v>5822.1590000000142</v>
      </c>
      <c r="CS33" s="111">
        <f t="shared" si="208"/>
        <v>309900.68299999996</v>
      </c>
      <c r="CT33" s="35">
        <f t="shared" ref="CT33:DW33" si="415">CT31-CT32</f>
        <v>3793.3689999999769</v>
      </c>
      <c r="CU33" s="35">
        <f t="shared" si="415"/>
        <v>14025.351000000024</v>
      </c>
      <c r="CV33" s="35">
        <f t="shared" si="415"/>
        <v>11830.132999999973</v>
      </c>
      <c r="CW33" s="35">
        <f t="shared" si="415"/>
        <v>9269.7969999999914</v>
      </c>
      <c r="CX33" s="35">
        <f t="shared" si="415"/>
        <v>7041.7259999999951</v>
      </c>
      <c r="CY33" s="35">
        <f t="shared" si="415"/>
        <v>5031.5269999999437</v>
      </c>
      <c r="CZ33" s="35">
        <f t="shared" si="415"/>
        <v>12221.445000000036</v>
      </c>
      <c r="DA33" s="35">
        <f t="shared" si="415"/>
        <v>10164.397000000026</v>
      </c>
      <c r="DB33" s="35">
        <f t="shared" si="415"/>
        <v>8066.4670000000624</v>
      </c>
      <c r="DC33" s="35">
        <f t="shared" si="415"/>
        <v>5927.3829999999434</v>
      </c>
      <c r="DD33" s="35">
        <f t="shared" si="415"/>
        <v>14678.564000000013</v>
      </c>
      <c r="DE33" s="35">
        <f t="shared" si="415"/>
        <v>12815.663000000059</v>
      </c>
      <c r="DF33" s="35">
        <f t="shared" si="415"/>
        <v>10980.335999999981</v>
      </c>
      <c r="DG33" s="35">
        <f t="shared" si="415"/>
        <v>8909.4719999999506</v>
      </c>
      <c r="DH33" s="35">
        <f t="shared" si="415"/>
        <v>7128.4169999999867</v>
      </c>
      <c r="DI33" s="35">
        <f t="shared" si="415"/>
        <v>18781.776999999944</v>
      </c>
      <c r="DJ33" s="35">
        <f t="shared" si="415"/>
        <v>17563.426000000036</v>
      </c>
      <c r="DK33" s="35">
        <f t="shared" si="415"/>
        <v>15628.846000000107</v>
      </c>
      <c r="DL33" s="35">
        <f t="shared" si="415"/>
        <v>14057.828000000038</v>
      </c>
      <c r="DM33" s="35">
        <f t="shared" si="415"/>
        <v>12335.168999999994</v>
      </c>
      <c r="DN33" s="35">
        <f t="shared" si="415"/>
        <v>10933.877999999968</v>
      </c>
      <c r="DO33" s="35">
        <f t="shared" si="415"/>
        <v>9139.2969999999332</v>
      </c>
      <c r="DP33" s="35">
        <f t="shared" si="415"/>
        <v>7281.5229999998992</v>
      </c>
      <c r="DQ33" s="35">
        <f t="shared" si="415"/>
        <v>14362.837000000145</v>
      </c>
      <c r="DR33" s="35">
        <f t="shared" si="415"/>
        <v>12252.953999999911</v>
      </c>
      <c r="DS33" s="35">
        <f t="shared" si="415"/>
        <v>10652.378999999986</v>
      </c>
      <c r="DT33" s="35">
        <f t="shared" si="415"/>
        <v>9028.838000000047</v>
      </c>
      <c r="DU33" s="35">
        <f t="shared" si="415"/>
        <v>7572.2039999999397</v>
      </c>
      <c r="DV33" s="35">
        <f t="shared" si="415"/>
        <v>6213.8890000000247</v>
      </c>
      <c r="DW33" s="35">
        <f t="shared" si="415"/>
        <v>4430.6510000000999</v>
      </c>
      <c r="DX33" s="119"/>
      <c r="DY33" s="35">
        <f t="shared" ref="DY33:FC33" si="416">DY31-DY32</f>
        <v>2551.1889999999839</v>
      </c>
      <c r="DZ33" s="35">
        <f t="shared" si="416"/>
        <v>744.24000000004889</v>
      </c>
      <c r="EA33" s="35">
        <f t="shared" si="416"/>
        <v>9243.5699999998906</v>
      </c>
      <c r="EB33" s="35">
        <f t="shared" si="416"/>
        <v>7738.777000000031</v>
      </c>
      <c r="EC33" s="35">
        <f t="shared" si="416"/>
        <v>6251.5329999999958</v>
      </c>
      <c r="ED33" s="35">
        <f t="shared" si="416"/>
        <v>4519.9370000000927</v>
      </c>
      <c r="EE33" s="35">
        <f t="shared" si="416"/>
        <v>9877.6529999999912</v>
      </c>
      <c r="EF33" s="35">
        <f t="shared" si="416"/>
        <v>7915.1299999999173</v>
      </c>
      <c r="EG33" s="35">
        <f t="shared" si="416"/>
        <v>5762.5100000000093</v>
      </c>
      <c r="EH33" s="35">
        <f t="shared" si="416"/>
        <v>3713.3690000000061</v>
      </c>
      <c r="EI33" s="35">
        <f t="shared" si="416"/>
        <v>13942.067000000039</v>
      </c>
      <c r="EJ33" s="35">
        <f t="shared" si="416"/>
        <v>11926.488999999827</v>
      </c>
      <c r="EK33" s="35">
        <f t="shared" si="416"/>
        <v>9995.3850000000093</v>
      </c>
      <c r="EL33" s="35">
        <f t="shared" si="416"/>
        <v>8188.4530000000086</v>
      </c>
      <c r="EM33" s="35">
        <f t="shared" si="416"/>
        <v>14821.028000000078</v>
      </c>
      <c r="EN33" s="35">
        <f t="shared" si="416"/>
        <v>12289.556000000099</v>
      </c>
      <c r="EO33" s="35">
        <f t="shared" si="416"/>
        <v>10287.018999999826</v>
      </c>
      <c r="EP33" s="35">
        <f t="shared" si="416"/>
        <v>7974.7380000000703</v>
      </c>
      <c r="EQ33" s="35">
        <f t="shared" si="416"/>
        <v>17096.824000000022</v>
      </c>
      <c r="ER33" s="35">
        <f t="shared" si="416"/>
        <v>14872.962000000058</v>
      </c>
      <c r="ES33" s="35">
        <f t="shared" si="416"/>
        <v>12466.061999999976</v>
      </c>
      <c r="ET33" s="35">
        <f t="shared" si="416"/>
        <v>9638.0729999999458</v>
      </c>
      <c r="EU33" s="35">
        <f t="shared" si="416"/>
        <v>16736.213999999978</v>
      </c>
      <c r="EV33" s="35">
        <f t="shared" si="416"/>
        <v>14220.349000000075</v>
      </c>
      <c r="EW33" s="35">
        <f t="shared" si="416"/>
        <v>12289.15599999993</v>
      </c>
      <c r="EX33" s="35">
        <f t="shared" si="416"/>
        <v>10785.809000000037</v>
      </c>
      <c r="EY33" s="35">
        <f t="shared" si="416"/>
        <v>8942.0789999999979</v>
      </c>
      <c r="EZ33" s="35">
        <f t="shared" si="416"/>
        <v>18073.910000000033</v>
      </c>
      <c r="FA33" s="35">
        <f t="shared" si="416"/>
        <v>16119.598999999987</v>
      </c>
      <c r="FB33" s="35">
        <f t="shared" si="416"/>
        <v>14179.177999999869</v>
      </c>
      <c r="FC33" s="35">
        <f t="shared" si="416"/>
        <v>12054.987000000197</v>
      </c>
      <c r="FD33" s="128"/>
      <c r="FE33" s="35">
        <f t="shared" ref="FE33:GI33" si="417">FE31-FE32</f>
        <v>10224.25999999998</v>
      </c>
      <c r="FF33" s="35">
        <f t="shared" si="417"/>
        <v>8290.2959999999439</v>
      </c>
      <c r="FG33" s="35">
        <f t="shared" si="417"/>
        <v>6696.4279999999853</v>
      </c>
      <c r="FH33" s="35">
        <f t="shared" si="417"/>
        <v>4692.819000000105</v>
      </c>
      <c r="FI33" s="35">
        <f t="shared" si="417"/>
        <v>2699.3849999998929</v>
      </c>
      <c r="FJ33" s="35">
        <f t="shared" si="417"/>
        <v>14679.518000000069</v>
      </c>
      <c r="FK33" s="35">
        <f t="shared" si="417"/>
        <v>12800.876999999949</v>
      </c>
      <c r="FL33" s="35">
        <f t="shared" si="417"/>
        <v>10854.960999999952</v>
      </c>
      <c r="FM33" s="35">
        <f t="shared" si="417"/>
        <v>8870.0909999999858</v>
      </c>
      <c r="FN33" s="35">
        <f t="shared" si="417"/>
        <v>7121.9789999999339</v>
      </c>
      <c r="FO33" s="35">
        <f t="shared" si="417"/>
        <v>17185.094000000041</v>
      </c>
      <c r="FP33" s="35">
        <f t="shared" si="417"/>
        <v>15348.473000000115</v>
      </c>
      <c r="FQ33" s="35">
        <f t="shared" si="417"/>
        <v>13261.895999999892</v>
      </c>
      <c r="FR33" s="35">
        <f t="shared" si="417"/>
        <v>11538.60699999996</v>
      </c>
      <c r="FS33" s="35">
        <f t="shared" si="417"/>
        <v>10006.115000000107</v>
      </c>
      <c r="FT33" s="35">
        <f t="shared" si="417"/>
        <v>8136.8889999999083</v>
      </c>
      <c r="FU33" s="35">
        <f t="shared" si="417"/>
        <v>17557.090000000229</v>
      </c>
      <c r="FV33" s="35">
        <f t="shared" si="417"/>
        <v>15857.869999999792</v>
      </c>
      <c r="FW33" s="35">
        <f t="shared" si="417"/>
        <v>13847.697999999975</v>
      </c>
      <c r="FX33" s="35">
        <f t="shared" si="417"/>
        <v>11612.068000000116</v>
      </c>
      <c r="FY33" s="35">
        <f t="shared" si="417"/>
        <v>9821.627000000095</v>
      </c>
      <c r="FZ33" s="35">
        <f t="shared" si="417"/>
        <v>8109.4729999997362</v>
      </c>
      <c r="GA33" s="35">
        <f t="shared" si="417"/>
        <v>6233.9010000002454</v>
      </c>
      <c r="GB33" s="35">
        <f t="shared" si="417"/>
        <v>16511.336999999825</v>
      </c>
      <c r="GC33" s="35">
        <f t="shared" si="417"/>
        <v>14302.24700000009</v>
      </c>
      <c r="GD33" s="35">
        <f t="shared" si="417"/>
        <v>12349.77700000006</v>
      </c>
      <c r="GE33" s="35">
        <f t="shared" si="417"/>
        <v>10648.084999999788</v>
      </c>
      <c r="GF33" s="35">
        <f t="shared" si="417"/>
        <v>8849.2070000001695</v>
      </c>
      <c r="GG33" s="35">
        <f t="shared" si="417"/>
        <v>6862.5329999998503</v>
      </c>
      <c r="GH33" s="35">
        <f t="shared" si="417"/>
        <v>5092.2149999999674</v>
      </c>
      <c r="GI33" s="35">
        <f t="shared" si="417"/>
        <v>14288.216000000044</v>
      </c>
      <c r="GJ33" s="127">
        <f t="shared" si="99"/>
        <v>334351.03199999977</v>
      </c>
      <c r="GK33" s="35">
        <f t="shared" ref="GK33:HM33" si="418">GK31-GK32</f>
        <v>12455.015000000189</v>
      </c>
      <c r="GL33" s="35">
        <f t="shared" si="418"/>
        <v>10505.706999999849</v>
      </c>
      <c r="GM33" s="35">
        <f t="shared" si="418"/>
        <v>7801.9230000000052</v>
      </c>
      <c r="GN33" s="35">
        <f t="shared" si="418"/>
        <v>5610.1620000001858</v>
      </c>
      <c r="GO33" s="35">
        <f t="shared" si="418"/>
        <v>3437.9639999998908</v>
      </c>
      <c r="GP33" s="35">
        <f t="shared" si="418"/>
        <v>11301.016000000091</v>
      </c>
      <c r="GQ33" s="35">
        <f t="shared" si="418"/>
        <v>8859.3899999998102</v>
      </c>
      <c r="GR33" s="35">
        <f t="shared" si="418"/>
        <v>6876.9010000000999</v>
      </c>
      <c r="GS33" s="35">
        <f t="shared" si="418"/>
        <v>4822.2470000000903</v>
      </c>
      <c r="GT33" s="35">
        <f t="shared" si="418"/>
        <v>14825.57699999999</v>
      </c>
      <c r="GU33" s="35">
        <f t="shared" si="418"/>
        <v>12945.717999999877</v>
      </c>
      <c r="GV33" s="35">
        <f t="shared" si="418"/>
        <v>11006.789000000077</v>
      </c>
      <c r="GW33" s="35">
        <f t="shared" si="418"/>
        <v>8809.8229999998875</v>
      </c>
      <c r="GX33" s="35">
        <f t="shared" si="418"/>
        <v>6821.9400000002061</v>
      </c>
      <c r="GY33" s="35">
        <f t="shared" si="418"/>
        <v>5029.939999999915</v>
      </c>
      <c r="GZ33" s="35">
        <f t="shared" si="418"/>
        <v>16077.447999999975</v>
      </c>
      <c r="HA33" s="35">
        <f t="shared" si="418"/>
        <v>13980.062000000064</v>
      </c>
      <c r="HB33" s="35">
        <f t="shared" si="418"/>
        <v>12238.083999999915</v>
      </c>
      <c r="HC33" s="35">
        <f t="shared" si="418"/>
        <v>10560.573000000062</v>
      </c>
      <c r="HD33" s="35">
        <f t="shared" si="418"/>
        <v>8432.0539999999455</v>
      </c>
      <c r="HE33" s="35">
        <f t="shared" si="418"/>
        <v>6590.01800000004</v>
      </c>
      <c r="HF33" s="35">
        <f t="shared" si="418"/>
        <v>4715.2679999998654</v>
      </c>
      <c r="HG33" s="35">
        <f t="shared" si="418"/>
        <v>15633.226000000053</v>
      </c>
      <c r="HH33" s="35">
        <f t="shared" si="418"/>
        <v>13796.902999999962</v>
      </c>
      <c r="HI33" s="35">
        <f t="shared" si="418"/>
        <v>12296.401000000071</v>
      </c>
      <c r="HJ33" s="35">
        <f t="shared" si="418"/>
        <v>10390.179999999935</v>
      </c>
      <c r="HK33" s="35">
        <f t="shared" si="418"/>
        <v>8558.8120000000636</v>
      </c>
      <c r="HL33" s="35">
        <f t="shared" si="418"/>
        <v>16701.123999999923</v>
      </c>
      <c r="HM33" s="35">
        <f t="shared" si="418"/>
        <v>14685.618000000133</v>
      </c>
      <c r="HN33" s="127">
        <f t="shared" si="253"/>
        <v>295765.88300000015</v>
      </c>
      <c r="HO33" s="35">
        <f t="shared" ref="HO33:IS33" si="419">HO31-HO32</f>
        <v>12405.214999999916</v>
      </c>
      <c r="HP33" s="35">
        <f t="shared" si="419"/>
        <v>10079.056000000011</v>
      </c>
      <c r="HQ33" s="35">
        <f t="shared" si="419"/>
        <v>7906.6470000000845</v>
      </c>
      <c r="HR33" s="35">
        <f t="shared" si="419"/>
        <v>5810.6619999998948</v>
      </c>
      <c r="HS33" s="35">
        <f t="shared" si="419"/>
        <v>15572.754999999888</v>
      </c>
      <c r="HT33" s="35">
        <f t="shared" si="419"/>
        <v>13540.218000000023</v>
      </c>
      <c r="HU33" s="35">
        <f t="shared" si="419"/>
        <v>11219.65200000006</v>
      </c>
      <c r="HV33" s="35">
        <f t="shared" si="419"/>
        <v>9107.1120000000228</v>
      </c>
      <c r="HW33" s="35">
        <f t="shared" si="419"/>
        <v>7128.6509999999544</v>
      </c>
      <c r="HX33" s="35">
        <f t="shared" si="419"/>
        <v>5227.1210000000719</v>
      </c>
      <c r="HY33" s="35">
        <f t="shared" si="419"/>
        <v>15119.449000000022</v>
      </c>
      <c r="HZ33" s="35">
        <f t="shared" si="419"/>
        <v>13443.005999999907</v>
      </c>
      <c r="IA33" s="35">
        <f t="shared" si="419"/>
        <v>11782.921000000002</v>
      </c>
      <c r="IB33" s="35">
        <f t="shared" si="419"/>
        <v>10221.290000000095</v>
      </c>
      <c r="IC33" s="35">
        <f t="shared" si="419"/>
        <v>8148.4520000000193</v>
      </c>
      <c r="ID33" s="35">
        <f t="shared" si="419"/>
        <v>18021.503999999928</v>
      </c>
      <c r="IE33" s="35">
        <f t="shared" si="419"/>
        <v>16302.22500000018</v>
      </c>
      <c r="IF33" s="35">
        <f t="shared" si="419"/>
        <v>14215.492999999929</v>
      </c>
      <c r="IG33" s="35">
        <f t="shared" si="419"/>
        <v>12463.796999999875</v>
      </c>
      <c r="IH33" s="35">
        <f t="shared" si="419"/>
        <v>10617.975000000064</v>
      </c>
      <c r="II33" s="35">
        <f t="shared" si="419"/>
        <v>8927.1329999999143</v>
      </c>
      <c r="IJ33" s="35">
        <f t="shared" si="419"/>
        <v>6937.0640000001004</v>
      </c>
      <c r="IK33" s="35">
        <f t="shared" si="419"/>
        <v>14767.023999999859</v>
      </c>
      <c r="IL33" s="35">
        <f t="shared" si="419"/>
        <v>13034.174000000086</v>
      </c>
      <c r="IM33" s="35">
        <f t="shared" si="419"/>
        <v>11161.310000000143</v>
      </c>
      <c r="IN33" s="35">
        <f t="shared" si="419"/>
        <v>9466.1510000000126</v>
      </c>
      <c r="IO33" s="35">
        <f t="shared" si="419"/>
        <v>7585.1239999998361</v>
      </c>
      <c r="IP33" s="35">
        <f t="shared" si="419"/>
        <v>5730.4890000000596</v>
      </c>
      <c r="IQ33" s="35">
        <f t="shared" si="419"/>
        <v>16945.680999999924</v>
      </c>
      <c r="IR33" s="35">
        <f t="shared" si="419"/>
        <v>15026.265000000072</v>
      </c>
      <c r="IS33" s="35">
        <f t="shared" si="419"/>
        <v>13705.838000000018</v>
      </c>
      <c r="IT33" s="127">
        <f t="shared" si="22"/>
        <v>351619.45400000003</v>
      </c>
      <c r="IU33" s="35">
        <f t="shared" ref="IU33:JX33" si="420">IU31-IU32</f>
        <v>12219.002999999997</v>
      </c>
      <c r="IV33" s="35">
        <f t="shared" si="420"/>
        <v>10379.540999999997</v>
      </c>
      <c r="IW33" s="35">
        <f t="shared" si="420"/>
        <v>8700.5429999999469</v>
      </c>
      <c r="IX33" s="35">
        <f t="shared" si="420"/>
        <v>7071.5280000000494</v>
      </c>
      <c r="IY33" s="35">
        <f t="shared" si="420"/>
        <v>5168.6520000000601</v>
      </c>
      <c r="IZ33" s="35">
        <f t="shared" si="420"/>
        <v>3143.1839999999793</v>
      </c>
      <c r="JA33" s="35">
        <f t="shared" si="420"/>
        <v>13372.502000000008</v>
      </c>
      <c r="JB33" s="35">
        <f t="shared" si="420"/>
        <v>11490.875999999989</v>
      </c>
      <c r="JC33" s="35">
        <f t="shared" si="420"/>
        <v>9880.1229999999632</v>
      </c>
      <c r="JD33" s="35">
        <f t="shared" si="420"/>
        <v>7995.6789999999164</v>
      </c>
      <c r="JE33" s="35">
        <f t="shared" si="420"/>
        <v>6371.2060000000638</v>
      </c>
      <c r="JF33" s="35">
        <f t="shared" si="420"/>
        <v>4580.9519999998447</v>
      </c>
      <c r="JG33" s="35">
        <f t="shared" si="420"/>
        <v>2843.8040000002075</v>
      </c>
      <c r="JH33" s="35">
        <f t="shared" si="420"/>
        <v>13460.923999999795</v>
      </c>
      <c r="JI33" s="35">
        <f t="shared" si="420"/>
        <v>11451.7830000002</v>
      </c>
      <c r="JJ33" s="35">
        <f t="shared" si="420"/>
        <v>9878.7489999999234</v>
      </c>
      <c r="JK33" s="35">
        <f t="shared" si="420"/>
        <v>8292.3600000000442</v>
      </c>
      <c r="JL33" s="35">
        <f t="shared" si="420"/>
        <v>6801.0359999998182</v>
      </c>
      <c r="JM33" s="35">
        <f t="shared" si="420"/>
        <v>4866.1360000001732</v>
      </c>
      <c r="JN33" s="35">
        <f t="shared" si="420"/>
        <v>16229.950999999914</v>
      </c>
      <c r="JO33" s="35">
        <f t="shared" si="420"/>
        <v>14776.498999999982</v>
      </c>
      <c r="JP33" s="35">
        <f t="shared" si="420"/>
        <v>13037.124000000098</v>
      </c>
      <c r="JQ33" s="35">
        <f t="shared" si="420"/>
        <v>11573.01199999993</v>
      </c>
      <c r="JR33" s="35">
        <f t="shared" si="420"/>
        <v>9844.5379999998841</v>
      </c>
      <c r="JS33" s="35">
        <f t="shared" si="420"/>
        <v>8074.663000000146</v>
      </c>
      <c r="JT33" s="35">
        <f t="shared" si="420"/>
        <v>6151.9090000000724</v>
      </c>
      <c r="JU33" s="35">
        <f t="shared" si="420"/>
        <v>3633.487000000081</v>
      </c>
      <c r="JV33" s="35">
        <f t="shared" si="420"/>
        <v>12660.290999999939</v>
      </c>
      <c r="JW33" s="35">
        <f t="shared" si="420"/>
        <v>11140.578000000038</v>
      </c>
      <c r="JX33" s="35">
        <f t="shared" si="420"/>
        <v>9428.4259999999485</v>
      </c>
      <c r="JY33" s="127">
        <f t="shared" si="58"/>
        <v>274519.05900000001</v>
      </c>
      <c r="JZ33" s="35">
        <f t="shared" ref="JZ33:LD33" si="421">JZ31-JZ32</f>
        <v>7624.3450000000012</v>
      </c>
      <c r="KA33" s="35">
        <f t="shared" si="421"/>
        <v>5828.9619999999413</v>
      </c>
      <c r="KB33" s="35">
        <f t="shared" si="421"/>
        <v>4088.346000000136</v>
      </c>
      <c r="KC33" s="35">
        <f t="shared" si="421"/>
        <v>12206.652000000002</v>
      </c>
      <c r="KD33" s="35">
        <f t="shared" si="421"/>
        <v>10292.051999999909</v>
      </c>
      <c r="KE33" s="35">
        <f t="shared" si="421"/>
        <v>8495.2369999998191</v>
      </c>
      <c r="KF33" s="35">
        <f t="shared" si="421"/>
        <v>6695.6950000000361</v>
      </c>
      <c r="KG33" s="35">
        <f t="shared" si="421"/>
        <v>5090.1480000001611</v>
      </c>
      <c r="KH33" s="35">
        <f t="shared" si="421"/>
        <v>3331.7749999999942</v>
      </c>
      <c r="KI33" s="35">
        <f t="shared" si="421"/>
        <v>16436.467999999964</v>
      </c>
      <c r="KJ33" s="35">
        <f t="shared" si="421"/>
        <v>14401.431999999972</v>
      </c>
      <c r="KK33" s="35">
        <f t="shared" si="421"/>
        <v>12721.110000000073</v>
      </c>
      <c r="KL33" s="35">
        <f t="shared" si="421"/>
        <v>10684.057000000117</v>
      </c>
      <c r="KM33" s="35">
        <f t="shared" si="421"/>
        <v>8998.3809999997029</v>
      </c>
      <c r="KN33" s="35">
        <f t="shared" si="421"/>
        <v>7471.56700000001</v>
      </c>
      <c r="KO33" s="35">
        <f t="shared" si="421"/>
        <v>5732.7630000000354</v>
      </c>
      <c r="KP33" s="35">
        <f t="shared" si="421"/>
        <v>4002.8820000001288</v>
      </c>
      <c r="KQ33" s="35">
        <f t="shared" si="421"/>
        <v>2263.0620000000345</v>
      </c>
      <c r="KR33" s="35">
        <f t="shared" si="421"/>
        <v>10604.17399999997</v>
      </c>
      <c r="KS33" s="35">
        <f t="shared" si="421"/>
        <v>8579.385999999824</v>
      </c>
      <c r="KT33" s="35">
        <f t="shared" si="421"/>
        <v>10130.841000000102</v>
      </c>
      <c r="KU33" s="35">
        <f t="shared" si="421"/>
        <v>14527.925000000134</v>
      </c>
      <c r="KV33" s="35">
        <f t="shared" si="421"/>
        <v>12621.034999999829</v>
      </c>
      <c r="KW33" s="35">
        <f t="shared" si="421"/>
        <v>10638.427000000083</v>
      </c>
      <c r="KX33" s="35">
        <f t="shared" si="421"/>
        <v>16785.126000000018</v>
      </c>
      <c r="KY33" s="35">
        <f t="shared" si="421"/>
        <v>14924.631999999954</v>
      </c>
      <c r="KZ33" s="35">
        <f t="shared" si="421"/>
        <v>13030.918999999994</v>
      </c>
      <c r="LA33" s="35">
        <f t="shared" si="421"/>
        <v>11235.599999999977</v>
      </c>
      <c r="LB33" s="35">
        <f t="shared" si="421"/>
        <v>9541.1570000000356</v>
      </c>
      <c r="LC33" s="35">
        <f t="shared" si="421"/>
        <v>16690.059000000096</v>
      </c>
      <c r="LD33" s="35">
        <f t="shared" si="421"/>
        <v>14455.117999999871</v>
      </c>
      <c r="LE33" s="127">
        <f t="shared" si="60"/>
        <v>302504.98800000001</v>
      </c>
      <c r="LF33" s="35">
        <f t="shared" ref="LF33:MI33" si="422">LF31-LF32</f>
        <v>12048.357000000047</v>
      </c>
      <c r="LG33" s="35">
        <f t="shared" si="422"/>
        <v>10207.006000000023</v>
      </c>
      <c r="LH33" s="35">
        <f t="shared" si="422"/>
        <v>8065.8569999998726</v>
      </c>
      <c r="LI33" s="35">
        <f t="shared" si="422"/>
        <v>5873.1480000000447</v>
      </c>
      <c r="LJ33" s="35">
        <f t="shared" si="422"/>
        <v>4040.2640000001993</v>
      </c>
      <c r="LK33" s="35">
        <f t="shared" si="422"/>
        <v>14130.054999999964</v>
      </c>
      <c r="LL33" s="35">
        <f t="shared" si="422"/>
        <v>11917.372999999847</v>
      </c>
      <c r="LM33" s="35">
        <f t="shared" si="422"/>
        <v>9424.0830000000133</v>
      </c>
      <c r="LN33" s="35">
        <f t="shared" si="422"/>
        <v>7366.3419999998878</v>
      </c>
      <c r="LO33" s="35">
        <f t="shared" si="422"/>
        <v>5303.493000000075</v>
      </c>
      <c r="LP33" s="35">
        <f t="shared" si="422"/>
        <v>13342.5900000002</v>
      </c>
      <c r="LQ33" s="35">
        <f t="shared" si="422"/>
        <v>11461.825999999826</v>
      </c>
      <c r="LR33" s="35">
        <f t="shared" si="422"/>
        <v>9647.1610000001674</v>
      </c>
      <c r="LS33" s="35">
        <f t="shared" si="422"/>
        <v>15481.663999999786</v>
      </c>
      <c r="LT33" s="35">
        <f t="shared" si="422"/>
        <v>12930.754000000074</v>
      </c>
      <c r="LU33" s="35">
        <f t="shared" si="422"/>
        <v>10906.840000000055</v>
      </c>
      <c r="LV33" s="35">
        <f t="shared" si="422"/>
        <v>9083.2480000000505</v>
      </c>
      <c r="LW33" s="35">
        <f t="shared" si="422"/>
        <v>7095.9159999998519</v>
      </c>
      <c r="LX33" s="35">
        <f t="shared" si="422"/>
        <v>5191.5519999999087</v>
      </c>
      <c r="LY33" s="35">
        <f t="shared" si="422"/>
        <v>3229.2860000002256</v>
      </c>
      <c r="LZ33" s="35">
        <f t="shared" si="422"/>
        <v>12057.529999999882</v>
      </c>
      <c r="MA33" s="35">
        <f t="shared" si="422"/>
        <v>10133.661000000167</v>
      </c>
      <c r="MB33" s="35">
        <f t="shared" si="422"/>
        <v>8079.3709999998391</v>
      </c>
      <c r="MC33" s="35">
        <f t="shared" si="422"/>
        <v>5848.6049999998941</v>
      </c>
      <c r="MD33" s="35">
        <f t="shared" si="422"/>
        <v>4080.7950000000419</v>
      </c>
      <c r="ME33" s="35">
        <f t="shared" si="422"/>
        <v>2126.7250000001222</v>
      </c>
      <c r="MF33" s="35">
        <f t="shared" si="422"/>
        <v>13440.553000000014</v>
      </c>
      <c r="MG33" s="35">
        <f t="shared" si="422"/>
        <v>11638.064999999915</v>
      </c>
      <c r="MH33" s="35">
        <f t="shared" si="422"/>
        <v>9703.9179999999178</v>
      </c>
      <c r="MI33" s="35">
        <f t="shared" si="422"/>
        <v>16772.914000000135</v>
      </c>
      <c r="MJ33" s="127">
        <f t="shared" si="62"/>
        <v>280628.95200000005</v>
      </c>
      <c r="MK33" s="35">
        <f t="shared" ref="MK33:NO33" si="423">MK31-MK32</f>
        <v>14619.053999999946</v>
      </c>
      <c r="ML33" s="35">
        <f t="shared" si="423"/>
        <v>12700.012000000017</v>
      </c>
      <c r="MM33" s="35">
        <f t="shared" si="423"/>
        <v>10971.657999999938</v>
      </c>
      <c r="MN33" s="35">
        <f t="shared" si="423"/>
        <v>9116.6430000000109</v>
      </c>
      <c r="MO33" s="35">
        <f t="shared" si="423"/>
        <v>7055.6260000001057</v>
      </c>
      <c r="MP33" s="35">
        <f t="shared" si="423"/>
        <v>13059.691999999894</v>
      </c>
      <c r="MQ33" s="35">
        <f t="shared" si="423"/>
        <v>13012.944000000192</v>
      </c>
      <c r="MR33" s="35">
        <f t="shared" si="423"/>
        <v>11065.0799999999</v>
      </c>
      <c r="MS33" s="35">
        <f t="shared" si="423"/>
        <v>9370.1229999999632</v>
      </c>
      <c r="MT33" s="35">
        <f t="shared" si="423"/>
        <v>7840.975000000095</v>
      </c>
      <c r="MU33" s="35">
        <f t="shared" si="423"/>
        <v>6064.200999999849</v>
      </c>
      <c r="MV33" s="35">
        <f t="shared" si="423"/>
        <v>18119.575000000099</v>
      </c>
      <c r="MW33" s="35">
        <f t="shared" si="423"/>
        <v>15547.065999999992</v>
      </c>
      <c r="MX33" s="35">
        <f t="shared" si="423"/>
        <v>13989.646000000066</v>
      </c>
      <c r="MY33" s="35">
        <f t="shared" si="423"/>
        <v>12404.269999999844</v>
      </c>
      <c r="MZ33" s="35">
        <f t="shared" si="423"/>
        <v>10376.895000000135</v>
      </c>
      <c r="NA33" s="35">
        <f t="shared" si="423"/>
        <v>8686.860999999888</v>
      </c>
      <c r="NB33" s="35">
        <f t="shared" si="423"/>
        <v>6728.0600000001723</v>
      </c>
      <c r="NC33" s="35">
        <f t="shared" si="423"/>
        <v>4866.7239999998128</v>
      </c>
      <c r="ND33" s="35">
        <f t="shared" si="423"/>
        <v>2836.8300000001036</v>
      </c>
      <c r="NE33" s="35">
        <f t="shared" si="423"/>
        <v>11282.071999999986</v>
      </c>
      <c r="NF33" s="35">
        <f t="shared" si="423"/>
        <v>9743.4360000000743</v>
      </c>
      <c r="NG33" s="35">
        <f t="shared" si="423"/>
        <v>8140.1559999997553</v>
      </c>
      <c r="NH33" s="35">
        <f t="shared" si="423"/>
        <v>6590.5370000001858</v>
      </c>
      <c r="NI33" s="35">
        <f t="shared" si="423"/>
        <v>16667.110999999917</v>
      </c>
      <c r="NJ33" s="35">
        <f t="shared" si="423"/>
        <v>14721.46700000015</v>
      </c>
      <c r="NK33" s="35">
        <f t="shared" si="423"/>
        <v>12483.58799999996</v>
      </c>
      <c r="NL33" s="35">
        <f t="shared" si="423"/>
        <v>11037.595999999787</v>
      </c>
      <c r="NM33" s="35">
        <f t="shared" si="423"/>
        <v>9083.0550000001676</v>
      </c>
      <c r="NN33" s="35">
        <f t="shared" si="423"/>
        <v>7366.8859999999113</v>
      </c>
      <c r="NO33" s="35">
        <f t="shared" si="423"/>
        <v>15848.119000000064</v>
      </c>
      <c r="NP33" s="127">
        <f t="shared" si="64"/>
        <v>316776.9040000001</v>
      </c>
      <c r="NQ33" s="35">
        <f t="shared" ref="NQ33:OU33" si="424">NQ31-NQ32</f>
        <v>14069.34400000007</v>
      </c>
      <c r="NR33" s="35">
        <f t="shared" si="424"/>
        <v>12302.759999999893</v>
      </c>
      <c r="NS33" s="35">
        <f t="shared" si="424"/>
        <v>10140.642999999953</v>
      </c>
      <c r="NT33" s="35">
        <f t="shared" si="424"/>
        <v>8399.7550000000047</v>
      </c>
      <c r="NU33" s="35">
        <f t="shared" si="424"/>
        <v>6539.1000000001222</v>
      </c>
      <c r="NV33" s="35">
        <f t="shared" si="424"/>
        <v>4302.9200000000419</v>
      </c>
      <c r="NW33" s="35">
        <f t="shared" si="424"/>
        <v>12664.605999999912</v>
      </c>
      <c r="NX33" s="35">
        <f t="shared" si="424"/>
        <v>10663.717000000033</v>
      </c>
      <c r="NY33" s="35">
        <f t="shared" si="424"/>
        <v>8601.1059999999707</v>
      </c>
      <c r="NZ33" s="35">
        <f t="shared" si="424"/>
        <v>6478.6150000000489</v>
      </c>
      <c r="OA33" s="35">
        <f t="shared" si="424"/>
        <v>14646.477999999945</v>
      </c>
      <c r="OB33" s="35">
        <f t="shared" si="424"/>
        <v>12881.671999999962</v>
      </c>
      <c r="OC33" s="35">
        <f t="shared" si="424"/>
        <v>10943.799000000057</v>
      </c>
      <c r="OD33" s="35">
        <f t="shared" si="424"/>
        <v>9016.278999999864</v>
      </c>
      <c r="OE33" s="35">
        <f t="shared" si="424"/>
        <v>7096.9980000002251</v>
      </c>
      <c r="OF33" s="35">
        <f t="shared" si="424"/>
        <v>13943.40799999985</v>
      </c>
      <c r="OG33" s="35">
        <f t="shared" si="424"/>
        <v>11848.896999999968</v>
      </c>
      <c r="OH33" s="35">
        <f t="shared" si="424"/>
        <v>10112.560000000172</v>
      </c>
      <c r="OI33" s="35">
        <f t="shared" si="424"/>
        <v>8103.74599999981</v>
      </c>
      <c r="OJ33" s="35">
        <f t="shared" si="424"/>
        <v>6279.4649999999965</v>
      </c>
      <c r="OK33" s="35">
        <f t="shared" si="424"/>
        <v>16511.383000000147</v>
      </c>
      <c r="OL33" s="35">
        <f t="shared" si="424"/>
        <v>14593.976999999897</v>
      </c>
      <c r="OM33" s="35">
        <f t="shared" si="424"/>
        <v>12806.623999999923</v>
      </c>
      <c r="ON33" s="35">
        <f t="shared" si="424"/>
        <v>10790.208000000217</v>
      </c>
      <c r="OO33" s="35">
        <f t="shared" si="424"/>
        <v>9387.4539999999979</v>
      </c>
      <c r="OP33" s="35">
        <f t="shared" si="424"/>
        <v>7578.8550000001269</v>
      </c>
      <c r="OQ33" s="35">
        <f t="shared" si="424"/>
        <v>5731.8969999997353</v>
      </c>
      <c r="OR33" s="35">
        <f t="shared" si="424"/>
        <v>4109.5730000000331</v>
      </c>
      <c r="OS33" s="35">
        <f t="shared" si="424"/>
        <v>2164.1110000000044</v>
      </c>
      <c r="OT33" s="35">
        <f t="shared" si="424"/>
        <v>12286.823000000004</v>
      </c>
      <c r="OU33" s="35">
        <f t="shared" si="424"/>
        <v>10161.65900000016</v>
      </c>
      <c r="OV33" s="127">
        <f t="shared" si="66"/>
        <v>291089.08800000005</v>
      </c>
      <c r="OW33" s="35">
        <f t="shared" ref="OW33:PZ33" si="425">OW31-OW32</f>
        <v>8467.3949999998731</v>
      </c>
      <c r="OX33" s="35">
        <f t="shared" si="425"/>
        <v>6572.5950000000012</v>
      </c>
      <c r="OY33" s="35">
        <f t="shared" si="425"/>
        <v>4706.0649999999732</v>
      </c>
      <c r="OZ33" s="35">
        <f t="shared" si="425"/>
        <v>15785.696000000054</v>
      </c>
      <c r="PA33" s="35">
        <f t="shared" si="425"/>
        <v>13967.375</v>
      </c>
      <c r="PB33" s="35">
        <f t="shared" si="425"/>
        <v>11991.836999999854</v>
      </c>
      <c r="PC33" s="35">
        <f t="shared" si="425"/>
        <v>10023.588000000193</v>
      </c>
      <c r="PD33" s="35">
        <f t="shared" si="425"/>
        <v>8257.3399999997928</v>
      </c>
      <c r="PE33" s="35">
        <f t="shared" si="425"/>
        <v>6189.4720000001835</v>
      </c>
      <c r="PF33" s="35">
        <f t="shared" si="425"/>
        <v>4449.2739999998594</v>
      </c>
      <c r="PG33" s="35">
        <f t="shared" si="425"/>
        <v>8854.783000000054</v>
      </c>
      <c r="PH33" s="35">
        <f t="shared" si="425"/>
        <v>7239.9109999999928</v>
      </c>
      <c r="PI33" s="35">
        <f t="shared" si="425"/>
        <v>5115.8110000000452</v>
      </c>
      <c r="PJ33" s="35">
        <f t="shared" si="425"/>
        <v>14992.053999999916</v>
      </c>
      <c r="PK33" s="35">
        <f t="shared" si="425"/>
        <v>13481.022000000055</v>
      </c>
      <c r="PL33" s="35">
        <f t="shared" si="425"/>
        <v>11455.85500000001</v>
      </c>
      <c r="PM33" s="35">
        <f t="shared" si="425"/>
        <v>9622.060000000085</v>
      </c>
      <c r="PN33" s="35">
        <f t="shared" si="425"/>
        <v>8123.4359999998123</v>
      </c>
      <c r="PO33" s="35">
        <f t="shared" si="425"/>
        <v>6501.0880000000761</v>
      </c>
      <c r="PP33" s="35">
        <f t="shared" si="425"/>
        <v>4860.7790000000095</v>
      </c>
      <c r="PQ33" s="35">
        <f t="shared" si="425"/>
        <v>15287.591000000131</v>
      </c>
      <c r="PR33" s="35">
        <f t="shared" si="425"/>
        <v>13978.332999999839</v>
      </c>
      <c r="PS33" s="35">
        <f t="shared" si="425"/>
        <v>12386.619000000122</v>
      </c>
      <c r="PT33" s="35">
        <f t="shared" si="425"/>
        <v>10695.932999999963</v>
      </c>
      <c r="PU33" s="35">
        <f t="shared" si="425"/>
        <v>9324.7739999999176</v>
      </c>
      <c r="PV33" s="35">
        <f t="shared" si="425"/>
        <v>7989.2890000000771</v>
      </c>
      <c r="PW33" s="35">
        <f t="shared" si="425"/>
        <v>6235.9770000001008</v>
      </c>
      <c r="PX33" s="35">
        <f t="shared" si="425"/>
        <v>14689.431999999884</v>
      </c>
      <c r="PY33" s="35">
        <f t="shared" si="425"/>
        <v>13837.286999999957</v>
      </c>
      <c r="PZ33" s="35">
        <f t="shared" si="425"/>
        <v>12138.64100000012</v>
      </c>
      <c r="QA33" s="127">
        <f t="shared" si="68"/>
        <v>297221.31199999992</v>
      </c>
      <c r="QB33" s="35">
        <f t="shared" ref="QB33:RF33" si="426">QB31-QB32</f>
        <v>10769.996999999916</v>
      </c>
      <c r="QC33" s="35">
        <f t="shared" si="426"/>
        <v>9361.1620000000694</v>
      </c>
      <c r="QD33" s="35">
        <f t="shared" si="426"/>
        <v>16721.510999999853</v>
      </c>
      <c r="QE33" s="35">
        <f t="shared" si="426"/>
        <v>14514.729000000079</v>
      </c>
      <c r="QF33" s="35">
        <f t="shared" si="426"/>
        <v>12317.136999999988</v>
      </c>
      <c r="QG33" s="35">
        <f t="shared" si="426"/>
        <v>10648.253999999957</v>
      </c>
      <c r="QH33" s="35">
        <f t="shared" si="426"/>
        <v>8422.5459999999439</v>
      </c>
      <c r="QI33" s="35">
        <f t="shared" si="426"/>
        <v>6723.100000000064</v>
      </c>
      <c r="QJ33" s="35">
        <f t="shared" si="426"/>
        <v>14918.102999999974</v>
      </c>
      <c r="QK33" s="35">
        <f t="shared" si="426"/>
        <v>13174.856000000145</v>
      </c>
      <c r="QL33" s="35">
        <f t="shared" si="426"/>
        <v>11078.275999999954</v>
      </c>
      <c r="QM33" s="35">
        <f t="shared" si="426"/>
        <v>9062.059999999823</v>
      </c>
      <c r="QN33" s="35">
        <f t="shared" si="426"/>
        <v>7240.1130000000994</v>
      </c>
      <c r="QO33" s="35">
        <f t="shared" si="426"/>
        <v>5152.5630000000237</v>
      </c>
      <c r="QP33" s="35">
        <f t="shared" si="426"/>
        <v>3294.8140000000712</v>
      </c>
      <c r="QQ33" s="35">
        <f t="shared" si="426"/>
        <v>14834.4929999999</v>
      </c>
      <c r="QR33" s="35">
        <f t="shared" si="426"/>
        <v>13235.509999999951</v>
      </c>
      <c r="QS33" s="35">
        <f t="shared" si="426"/>
        <v>11184.57200000016</v>
      </c>
      <c r="QT33" s="35">
        <f t="shared" si="426"/>
        <v>9331.6059999998542</v>
      </c>
      <c r="QU33" s="35">
        <f t="shared" si="426"/>
        <v>7669.4190000000526</v>
      </c>
      <c r="QV33" s="35">
        <f t="shared" si="426"/>
        <v>6092.414000000048</v>
      </c>
      <c r="QW33" s="35">
        <f t="shared" si="426"/>
        <v>4633.1680000000633</v>
      </c>
      <c r="QX33" s="35">
        <f t="shared" si="426"/>
        <v>2975.3289999997942</v>
      </c>
      <c r="QY33" s="35">
        <f t="shared" si="426"/>
        <v>13453.986000000092</v>
      </c>
      <c r="QZ33" s="35">
        <f t="shared" si="426"/>
        <v>11205.786000000138</v>
      </c>
      <c r="RA33" s="35">
        <f t="shared" si="426"/>
        <v>9395.622999999905</v>
      </c>
      <c r="RB33" s="35">
        <f t="shared" si="426"/>
        <v>8047.0559999999241</v>
      </c>
      <c r="RC33" s="35">
        <f t="shared" si="426"/>
        <v>6427.3160000001662</v>
      </c>
      <c r="RD33" s="35">
        <f t="shared" si="426"/>
        <v>4738.9560000000056</v>
      </c>
      <c r="RE33" s="35">
        <f t="shared" si="426"/>
        <v>16372.036999999953</v>
      </c>
      <c r="RF33" s="35">
        <f t="shared" si="426"/>
        <v>14706.402999999991</v>
      </c>
      <c r="RG33" s="127">
        <f t="shared" si="147"/>
        <v>296932.89800000004</v>
      </c>
      <c r="RH33" s="35">
        <f t="shared" ref="RH33:SK33" si="427">RH31-RH32</f>
        <v>12831.307999999844</v>
      </c>
      <c r="RI33" s="35">
        <f t="shared" si="427"/>
        <v>10874.900000000081</v>
      </c>
      <c r="RJ33" s="35">
        <f t="shared" si="427"/>
        <v>9241.8289999999688</v>
      </c>
      <c r="RK33" s="35">
        <f t="shared" si="427"/>
        <v>7340.4000000001397</v>
      </c>
      <c r="RL33" s="35">
        <f t="shared" si="427"/>
        <v>5759.99599999981</v>
      </c>
      <c r="RM33" s="35">
        <f t="shared" si="427"/>
        <v>4337.0140000000247</v>
      </c>
      <c r="RN33" s="35">
        <f t="shared" si="427"/>
        <v>15006.008000000205</v>
      </c>
      <c r="RO33" s="35">
        <f t="shared" si="427"/>
        <v>13276.303999999887</v>
      </c>
      <c r="RP33" s="35">
        <f t="shared" si="427"/>
        <v>11528.14499999996</v>
      </c>
      <c r="RQ33" s="35">
        <f t="shared" si="427"/>
        <v>9968.5700000000652</v>
      </c>
      <c r="RR33" s="35">
        <f t="shared" si="427"/>
        <v>8298.9409999999916</v>
      </c>
      <c r="RS33" s="35">
        <f t="shared" si="427"/>
        <v>16656.113999999943</v>
      </c>
      <c r="RT33" s="35">
        <f t="shared" si="427"/>
        <v>15031.025000000081</v>
      </c>
      <c r="RU33" s="35">
        <f t="shared" si="427"/>
        <v>13752.125999999873</v>
      </c>
      <c r="RV33" s="35">
        <f t="shared" si="427"/>
        <v>11989.291000000027</v>
      </c>
      <c r="RW33" s="35">
        <f t="shared" si="427"/>
        <v>10329.923000000068</v>
      </c>
      <c r="RX33" s="35">
        <f t="shared" si="427"/>
        <v>8823.1240000000107</v>
      </c>
      <c r="RY33" s="35">
        <f t="shared" si="427"/>
        <v>7237.6199999998789</v>
      </c>
      <c r="RZ33" s="35">
        <f t="shared" si="427"/>
        <v>5259.3130000001984</v>
      </c>
      <c r="SA33" s="35">
        <f t="shared" si="427"/>
        <v>14570.716999999946</v>
      </c>
      <c r="SB33" s="35">
        <f t="shared" si="427"/>
        <v>13117.247999999963</v>
      </c>
      <c r="SC33" s="35">
        <f t="shared" si="427"/>
        <v>11154.77899999998</v>
      </c>
      <c r="SD33" s="35">
        <f t="shared" si="427"/>
        <v>9185.664999999979</v>
      </c>
      <c r="SE33" s="35">
        <f t="shared" si="427"/>
        <v>15609.085999999952</v>
      </c>
      <c r="SF33" s="35">
        <f t="shared" si="427"/>
        <v>13868.549999999988</v>
      </c>
      <c r="SG33" s="35">
        <f t="shared" si="427"/>
        <v>12119.703000000154</v>
      </c>
      <c r="SH33" s="35">
        <f t="shared" si="427"/>
        <v>10491.115999999922</v>
      </c>
      <c r="SI33" s="35">
        <f t="shared" si="427"/>
        <v>8698.984999999986</v>
      </c>
      <c r="SJ33" s="35">
        <f t="shared" si="427"/>
        <v>6941.0050000001211</v>
      </c>
      <c r="SK33" s="35">
        <f t="shared" si="427"/>
        <v>4803.4869999998482</v>
      </c>
      <c r="SL33" s="127">
        <f t="shared" si="207"/>
        <v>318102.2919999999</v>
      </c>
      <c r="SM33" s="35">
        <f t="shared" ref="SM33:TQ33" si="428">SM31-SM32</f>
        <v>16104.269999999902</v>
      </c>
      <c r="SN33" s="35">
        <f t="shared" si="428"/>
        <v>14314.0520000002</v>
      </c>
      <c r="SO33" s="35">
        <f t="shared" si="428"/>
        <v>12772.890999999887</v>
      </c>
      <c r="SP33" s="35">
        <f t="shared" si="428"/>
        <v>11035.294000000169</v>
      </c>
      <c r="SQ33" s="35">
        <f t="shared" si="428"/>
        <v>9521.2569999998668</v>
      </c>
      <c r="SR33" s="35">
        <f t="shared" si="428"/>
        <v>16582.575999999885</v>
      </c>
      <c r="SS33" s="35">
        <f t="shared" si="428"/>
        <v>14398.378000000201</v>
      </c>
      <c r="ST33" s="35">
        <f t="shared" si="428"/>
        <v>12715.515999999945</v>
      </c>
      <c r="SU33" s="35">
        <f t="shared" si="428"/>
        <v>10795.523000000045</v>
      </c>
      <c r="SV33" s="35">
        <f t="shared" si="428"/>
        <v>9151.4899999999325</v>
      </c>
      <c r="SW33" s="35">
        <f t="shared" si="428"/>
        <v>7423.1590000001015</v>
      </c>
      <c r="SX33" s="35">
        <f t="shared" si="428"/>
        <v>13527.547999999893</v>
      </c>
      <c r="SY33" s="35">
        <f t="shared" si="428"/>
        <v>11485.169000000111</v>
      </c>
      <c r="SZ33" s="35">
        <f t="shared" si="428"/>
        <v>9561.7469999996829</v>
      </c>
      <c r="TA33" s="35">
        <f t="shared" si="428"/>
        <v>7956.191000000108</v>
      </c>
      <c r="TB33" s="35">
        <f t="shared" si="428"/>
        <v>6235.2320000001928</v>
      </c>
      <c r="TC33" s="35">
        <f t="shared" si="428"/>
        <v>4341.4709999998449</v>
      </c>
      <c r="TD33" s="35">
        <f t="shared" si="428"/>
        <v>2591.5870000001159</v>
      </c>
      <c r="TE33" s="35">
        <f t="shared" si="428"/>
        <v>11520.645000000135</v>
      </c>
      <c r="TF33" s="35">
        <f t="shared" si="428"/>
        <v>9579.815999999817</v>
      </c>
      <c r="TG33" s="35">
        <f t="shared" si="428"/>
        <v>7500.2529999999679</v>
      </c>
      <c r="TH33" s="35">
        <f t="shared" si="428"/>
        <v>5408.1460000000661</v>
      </c>
      <c r="TI33" s="35">
        <f t="shared" si="428"/>
        <v>3287.6869999999763</v>
      </c>
      <c r="TJ33" s="35">
        <f t="shared" si="428"/>
        <v>16132.732000000193</v>
      </c>
      <c r="TK33" s="35">
        <f t="shared" si="428"/>
        <v>14520.365999999922</v>
      </c>
      <c r="TL33" s="35">
        <f t="shared" si="428"/>
        <v>13000.694999999949</v>
      </c>
      <c r="TM33" s="35">
        <f t="shared" si="428"/>
        <v>11390.263999999908</v>
      </c>
      <c r="TN33" s="35">
        <f t="shared" si="428"/>
        <v>9773.1369999999297</v>
      </c>
      <c r="TO33" s="35">
        <f t="shared" si="428"/>
        <v>8419.1150000001071</v>
      </c>
      <c r="TP33" s="35">
        <f t="shared" si="428"/>
        <v>6770.2809999998426</v>
      </c>
      <c r="TQ33" s="35">
        <f t="shared" si="428"/>
        <v>4920.6260000002221</v>
      </c>
      <c r="TR33" s="127">
        <f t="shared" si="226"/>
        <v>296632.84400000022</v>
      </c>
      <c r="TS33" s="35">
        <f t="shared" ref="TS33:UW33" si="429">TS31-TS32</f>
        <v>14563.099999999802</v>
      </c>
      <c r="TT33" s="35">
        <f t="shared" si="429"/>
        <v>13139.640000000014</v>
      </c>
      <c r="TU33" s="35">
        <f t="shared" si="429"/>
        <v>11537.063000000024</v>
      </c>
      <c r="TV33" s="35">
        <f t="shared" si="429"/>
        <v>9899.8820000002743</v>
      </c>
      <c r="TW33" s="35">
        <f t="shared" si="429"/>
        <v>17358.808999999892</v>
      </c>
      <c r="TX33" s="35">
        <f t="shared" si="429"/>
        <v>15388.934000000008</v>
      </c>
      <c r="TY33" s="35">
        <f t="shared" si="429"/>
        <v>13513.273999999918</v>
      </c>
      <c r="TZ33" s="35">
        <f t="shared" si="429"/>
        <v>11841.911000000022</v>
      </c>
      <c r="UA33" s="35">
        <f t="shared" si="429"/>
        <v>10207.994999999763</v>
      </c>
      <c r="UB33" s="35">
        <f t="shared" si="429"/>
        <v>8410.667000000074</v>
      </c>
      <c r="UC33" s="35">
        <f t="shared" si="429"/>
        <v>6439.8390000000363</v>
      </c>
      <c r="UD33" s="35">
        <f t="shared" si="429"/>
        <v>13873.655000000028</v>
      </c>
      <c r="UE33" s="35">
        <f t="shared" si="429"/>
        <v>12170.327000000048</v>
      </c>
      <c r="UF33" s="35">
        <f t="shared" si="429"/>
        <v>10387.069000000076</v>
      </c>
      <c r="UG33" s="35">
        <f t="shared" si="429"/>
        <v>8543.9769999999553</v>
      </c>
      <c r="UH33" s="35">
        <f t="shared" si="429"/>
        <v>6797.0520000000251</v>
      </c>
      <c r="UI33" s="35">
        <f t="shared" si="429"/>
        <v>4893.0910000000731</v>
      </c>
      <c r="UJ33" s="35">
        <f t="shared" si="429"/>
        <v>2989.6589999998687</v>
      </c>
      <c r="UK33" s="35">
        <f t="shared" si="429"/>
        <v>1162.1210000000428</v>
      </c>
      <c r="UL33" s="35">
        <f t="shared" si="429"/>
        <v>9465.9580000000424</v>
      </c>
      <c r="UM33" s="35">
        <f t="shared" si="429"/>
        <v>7887.7859999999055</v>
      </c>
      <c r="UN33" s="35">
        <f t="shared" si="429"/>
        <v>6199.036999999953</v>
      </c>
      <c r="UO33" s="35">
        <f t="shared" si="429"/>
        <v>4409.1110000001499</v>
      </c>
      <c r="UP33" s="35">
        <f t="shared" si="429"/>
        <v>10303.315999999759</v>
      </c>
      <c r="UQ33" s="35">
        <f t="shared" si="429"/>
        <v>8530.7610000002896</v>
      </c>
      <c r="UR33" s="35">
        <f t="shared" si="429"/>
        <v>6898.519999999844</v>
      </c>
      <c r="US33" s="35">
        <f t="shared" si="429"/>
        <v>4993.2410000000382</v>
      </c>
      <c r="UT33" s="35">
        <f t="shared" si="429"/>
        <v>3409.6579999999376</v>
      </c>
      <c r="UU33" s="35">
        <f t="shared" si="429"/>
        <v>12649.091000000131</v>
      </c>
      <c r="UV33" s="35">
        <f t="shared" si="429"/>
        <v>10841.858000000007</v>
      </c>
      <c r="UW33" s="35">
        <f t="shared" si="429"/>
        <v>8976.1179999999003</v>
      </c>
      <c r="UX33" s="127">
        <f t="shared" si="228"/>
        <v>273119.4200000001</v>
      </c>
      <c r="UY33" s="35">
        <f t="shared" ref="UY33:VZ33" si="430">UY31-UY32</f>
        <v>7023.9919999999693</v>
      </c>
      <c r="UZ33" s="35">
        <f t="shared" si="430"/>
        <v>5327.9620000000577</v>
      </c>
      <c r="VA33" s="35">
        <f t="shared" si="430"/>
        <v>3387.3170000000391</v>
      </c>
      <c r="VB33" s="35">
        <f t="shared" si="430"/>
        <v>14795.444000000018</v>
      </c>
      <c r="VC33" s="35">
        <f t="shared" si="430"/>
        <v>13013.605999999912</v>
      </c>
      <c r="VD33" s="35">
        <f t="shared" si="430"/>
        <v>11252.969000000041</v>
      </c>
      <c r="VE33" s="35">
        <f t="shared" si="430"/>
        <v>9435.094000000041</v>
      </c>
      <c r="VF33" s="35">
        <f t="shared" si="430"/>
        <v>7627.060999999987</v>
      </c>
      <c r="VG33" s="35">
        <f t="shared" si="430"/>
        <v>6041.7329999999492</v>
      </c>
      <c r="VH33" s="35">
        <f t="shared" si="430"/>
        <v>4293.3660000000964</v>
      </c>
      <c r="VI33" s="35">
        <f t="shared" si="430"/>
        <v>15593.959000000032</v>
      </c>
      <c r="VJ33" s="35">
        <f t="shared" si="430"/>
        <v>13931.84799999994</v>
      </c>
      <c r="VK33" s="35">
        <f t="shared" si="430"/>
        <v>12296.068999999843</v>
      </c>
      <c r="VL33" s="35">
        <f t="shared" si="430"/>
        <v>9961.4820000001928</v>
      </c>
      <c r="VM33" s="35">
        <f t="shared" si="430"/>
        <v>16472.086999999825</v>
      </c>
      <c r="VN33" s="35">
        <f t="shared" si="430"/>
        <v>14491.077000000339</v>
      </c>
      <c r="VO33" s="35">
        <f t="shared" si="430"/>
        <v>12633.245999999781</v>
      </c>
      <c r="VP33" s="35">
        <f t="shared" si="430"/>
        <v>10974.788000000059</v>
      </c>
      <c r="VQ33" s="35">
        <f t="shared" si="430"/>
        <v>16241.409000000043</v>
      </c>
      <c r="VR33" s="35">
        <f t="shared" si="430"/>
        <v>14573.789999999863</v>
      </c>
      <c r="VS33" s="35">
        <f t="shared" si="430"/>
        <v>12908.098000000056</v>
      </c>
      <c r="VT33" s="35">
        <f t="shared" si="430"/>
        <v>10877.890000000072</v>
      </c>
      <c r="VU33" s="35">
        <f t="shared" si="430"/>
        <v>9333.024000000034</v>
      </c>
      <c r="VV33" s="35">
        <f t="shared" si="430"/>
        <v>7684.2439999998314</v>
      </c>
      <c r="VW33" s="35">
        <f t="shared" si="430"/>
        <v>6024.2640000000829</v>
      </c>
      <c r="VX33" s="35">
        <f t="shared" si="430"/>
        <v>4448.1920000000391</v>
      </c>
      <c r="VY33" s="35">
        <f t="shared" si="430"/>
        <v>14456.167000000016</v>
      </c>
      <c r="VZ33" s="35">
        <f t="shared" si="430"/>
        <v>12908.728999999876</v>
      </c>
      <c r="WA33" s="127">
        <f>SUM(UW33:VZ33)</f>
        <v>580104.44500000007</v>
      </c>
      <c r="WB33" s="35">
        <f t="shared" ref="WB33:XF33" si="431">WB31-WB32</f>
        <v>11085.668999999994</v>
      </c>
      <c r="WC33" s="35">
        <f t="shared" si="431"/>
        <v>9509.4369999999763</v>
      </c>
      <c r="WD33" s="35">
        <f t="shared" si="431"/>
        <v>7782.230000000156</v>
      </c>
      <c r="WE33" s="35">
        <f t="shared" si="431"/>
        <v>6342.7079999997513</v>
      </c>
      <c r="WF33" s="35">
        <f t="shared" si="431"/>
        <v>4928.6790000001201</v>
      </c>
      <c r="WG33" s="35">
        <f t="shared" si="431"/>
        <v>3312.0019999998622</v>
      </c>
      <c r="WH33" s="35">
        <f t="shared" si="431"/>
        <v>17429.375000000233</v>
      </c>
      <c r="WI33" s="35">
        <f t="shared" si="431"/>
        <v>15876.603999999934</v>
      </c>
      <c r="WJ33" s="35">
        <f t="shared" si="431"/>
        <v>14267.13699999993</v>
      </c>
      <c r="WK33" s="35">
        <f t="shared" si="431"/>
        <v>12461.60699999996</v>
      </c>
      <c r="WL33" s="35">
        <f t="shared" si="431"/>
        <v>10591.062999999849</v>
      </c>
      <c r="WM33" s="35">
        <f t="shared" si="431"/>
        <v>9139.4619999999995</v>
      </c>
      <c r="WN33" s="35">
        <f t="shared" si="431"/>
        <v>7676.50900000002</v>
      </c>
      <c r="WO33" s="35">
        <f t="shared" si="431"/>
        <v>6017.1040000002831</v>
      </c>
      <c r="WP33" s="35">
        <f t="shared" si="431"/>
        <v>4070.6020000000717</v>
      </c>
      <c r="WQ33" s="35">
        <f t="shared" si="431"/>
        <v>17531.90499999997</v>
      </c>
      <c r="WR33" s="35">
        <f t="shared" si="431"/>
        <v>16076.440000000002</v>
      </c>
      <c r="WS33" s="35">
        <f t="shared" si="431"/>
        <v>14605.095000000088</v>
      </c>
      <c r="WT33" s="35">
        <f t="shared" si="431"/>
        <v>13035.315999999677</v>
      </c>
      <c r="WU33" s="35">
        <f t="shared" si="431"/>
        <v>11439.087000000116</v>
      </c>
      <c r="WV33" s="35">
        <f t="shared" si="431"/>
        <v>9931.0050000000629</v>
      </c>
      <c r="WW33" s="35">
        <f t="shared" si="431"/>
        <v>8081.2249999999767</v>
      </c>
      <c r="WX33" s="35">
        <f t="shared" si="431"/>
        <v>6388.5860000000685</v>
      </c>
      <c r="WY33" s="35">
        <f t="shared" si="431"/>
        <v>4701.8659999998636</v>
      </c>
      <c r="WZ33" s="35">
        <f t="shared" si="431"/>
        <v>3152.7729999999283</v>
      </c>
      <c r="XA33" s="35">
        <f t="shared" si="431"/>
        <v>13504.732000000018</v>
      </c>
      <c r="XB33" s="35">
        <f t="shared" si="431"/>
        <v>11605.202999999921</v>
      </c>
      <c r="XC33" s="35">
        <f t="shared" si="431"/>
        <v>9586.0960000001942</v>
      </c>
      <c r="XD33" s="35">
        <f t="shared" si="431"/>
        <v>7589.0310000000172</v>
      </c>
      <c r="XE33" s="35">
        <f t="shared" si="431"/>
        <v>5833.1419999998179</v>
      </c>
      <c r="XF33" s="35">
        <f t="shared" si="431"/>
        <v>18325.455000000075</v>
      </c>
      <c r="XG33" s="127">
        <f t="shared" si="267"/>
        <v>311877.14499999996</v>
      </c>
      <c r="XH33" s="35">
        <f t="shared" ref="XH33:YK33" si="432">XH31-XH32</f>
        <v>16699.759000000195</v>
      </c>
      <c r="XI33" s="35">
        <f t="shared" si="432"/>
        <v>15198.796999999962</v>
      </c>
      <c r="XJ33" s="35">
        <f t="shared" si="432"/>
        <v>13508.490999999922</v>
      </c>
      <c r="XK33" s="35">
        <f t="shared" si="432"/>
        <v>11785.644000000029</v>
      </c>
      <c r="XL33" s="35">
        <f t="shared" si="432"/>
        <v>9999.8139999998966</v>
      </c>
      <c r="XM33" s="35">
        <f t="shared" si="432"/>
        <v>8395.8389999999199</v>
      </c>
      <c r="XN33" s="35">
        <f t="shared" si="432"/>
        <v>6506.9020000002347</v>
      </c>
      <c r="XO33" s="35">
        <f t="shared" si="432"/>
        <v>4905.8800000000047</v>
      </c>
      <c r="XP33" s="35">
        <f t="shared" si="432"/>
        <v>17412.314999999886</v>
      </c>
      <c r="XQ33" s="35">
        <f t="shared" si="432"/>
        <v>15522.302000000025</v>
      </c>
      <c r="XR33" s="35">
        <f t="shared" si="432"/>
        <v>13618.09600000002</v>
      </c>
      <c r="XS33" s="35">
        <f t="shared" si="432"/>
        <v>11806.613999999885</v>
      </c>
      <c r="XT33" s="35">
        <f t="shared" si="432"/>
        <v>10127.599000000162</v>
      </c>
      <c r="XU33" s="35">
        <f t="shared" si="432"/>
        <v>8512.4769999999553</v>
      </c>
      <c r="XV33" s="35">
        <f t="shared" si="432"/>
        <v>14754.24399999989</v>
      </c>
      <c r="XW33" s="35">
        <f t="shared" si="432"/>
        <v>12854.875000000233</v>
      </c>
      <c r="XX33" s="35">
        <f t="shared" si="432"/>
        <v>11058.507999999856</v>
      </c>
      <c r="XY33" s="35">
        <f t="shared" si="432"/>
        <v>17304.451000000059</v>
      </c>
      <c r="XZ33" s="35">
        <f t="shared" si="432"/>
        <v>15182.805000000051</v>
      </c>
      <c r="YA33" s="35">
        <f t="shared" si="432"/>
        <v>13840.535999999847</v>
      </c>
      <c r="YB33" s="35">
        <f t="shared" si="432"/>
        <v>12164.098000000115</v>
      </c>
      <c r="YC33" s="35">
        <f t="shared" si="432"/>
        <v>10583.930999999924</v>
      </c>
      <c r="YD33" s="35">
        <f t="shared" si="432"/>
        <v>16993.920999999798</v>
      </c>
      <c r="YE33" s="35">
        <f t="shared" si="432"/>
        <v>15172.895000000251</v>
      </c>
      <c r="YF33" s="35">
        <f t="shared" si="432"/>
        <v>13201.121999999974</v>
      </c>
      <c r="YG33" s="35">
        <f t="shared" si="432"/>
        <v>11342.452000000107</v>
      </c>
      <c r="YH33" s="35">
        <f t="shared" si="432"/>
        <v>9683.1069999997853</v>
      </c>
      <c r="YI33" s="35">
        <f t="shared" si="432"/>
        <v>8149.6440000002622</v>
      </c>
      <c r="YJ33" s="35">
        <f t="shared" si="432"/>
        <v>15421.405000000028</v>
      </c>
      <c r="YK33" s="35">
        <f t="shared" si="432"/>
        <v>13831.816999999748</v>
      </c>
      <c r="YL33" s="127">
        <f t="shared" si="269"/>
        <v>375540.34</v>
      </c>
      <c r="YM33" s="35">
        <f t="shared" ref="YM33:ZQ33" si="433">YM31-YM32</f>
        <v>12194.839000000095</v>
      </c>
      <c r="YN33" s="35">
        <f t="shared" si="433"/>
        <v>10041.883000000031</v>
      </c>
      <c r="YO33" s="35">
        <f t="shared" si="433"/>
        <v>8220.1209999999264</v>
      </c>
      <c r="YP33" s="35">
        <f t="shared" si="433"/>
        <v>6191.0869999999995</v>
      </c>
      <c r="YQ33" s="35">
        <f t="shared" si="433"/>
        <v>3892.1850000001723</v>
      </c>
      <c r="YR33" s="35">
        <f t="shared" si="433"/>
        <v>1824.3759999999311</v>
      </c>
      <c r="YS33" s="35">
        <f t="shared" si="433"/>
        <v>271.58599999977741</v>
      </c>
      <c r="YT33" s="35">
        <f t="shared" si="433"/>
        <v>245</v>
      </c>
      <c r="YU33" s="35">
        <f t="shared" si="433"/>
        <v>7025.5780000000377</v>
      </c>
      <c r="YV33" s="35">
        <f t="shared" si="433"/>
        <v>5070.1849999999977</v>
      </c>
      <c r="YW33" s="35">
        <f t="shared" si="433"/>
        <v>10500.281000000134</v>
      </c>
      <c r="YX33" s="35">
        <f t="shared" si="433"/>
        <v>8889.4389999999548</v>
      </c>
      <c r="YY33" s="35">
        <f t="shared" si="433"/>
        <v>7465.4729999999399</v>
      </c>
      <c r="YZ33" s="35">
        <f t="shared" si="433"/>
        <v>5811.7020000000484</v>
      </c>
      <c r="ZA33" s="35">
        <f t="shared" si="433"/>
        <v>4176.8010000000941</v>
      </c>
      <c r="ZB33" s="35">
        <f t="shared" si="433"/>
        <v>15384.021999999939</v>
      </c>
      <c r="ZC33" s="35">
        <f t="shared" si="433"/>
        <v>13581.563999999955</v>
      </c>
      <c r="ZD33" s="35">
        <f t="shared" si="433"/>
        <v>11740.063999999955</v>
      </c>
      <c r="ZE33" s="35">
        <f t="shared" si="433"/>
        <v>9822.8239999999641</v>
      </c>
      <c r="ZF33" s="35">
        <f t="shared" si="433"/>
        <v>8025.871000000101</v>
      </c>
      <c r="ZG33" s="35">
        <f t="shared" si="433"/>
        <v>6316.7660000001197</v>
      </c>
      <c r="ZH33" s="35">
        <f t="shared" si="433"/>
        <v>11426.975999999966</v>
      </c>
      <c r="ZI33" s="35">
        <f t="shared" si="433"/>
        <v>9236.3649999999325</v>
      </c>
      <c r="ZJ33" s="35">
        <f t="shared" si="433"/>
        <v>6705.2730000000447</v>
      </c>
      <c r="ZK33" s="35">
        <f t="shared" si="433"/>
        <v>4756.7970000001369</v>
      </c>
      <c r="ZL33" s="35">
        <f t="shared" si="433"/>
        <v>2411.1959999998799</v>
      </c>
      <c r="ZM33" s="35">
        <f t="shared" si="433"/>
        <v>13556.884999999893</v>
      </c>
      <c r="ZN33" s="35">
        <f t="shared" si="433"/>
        <v>11563.25</v>
      </c>
      <c r="ZO33" s="35">
        <f t="shared" si="433"/>
        <v>17685.821999999986</v>
      </c>
      <c r="ZP33" s="35">
        <f t="shared" si="433"/>
        <v>15662.616999999911</v>
      </c>
      <c r="ZQ33" s="35">
        <f t="shared" si="433"/>
        <v>13527.440000000002</v>
      </c>
      <c r="ZR33" s="127">
        <f t="shared" si="356"/>
        <v>263224.26799999992</v>
      </c>
      <c r="ZS33" s="35">
        <f t="shared" ref="ZS33:AAV33" si="434">ZS31-ZS32</f>
        <v>11689.901000000071</v>
      </c>
      <c r="ZT33" s="35">
        <f t="shared" si="434"/>
        <v>9907.9200000001583</v>
      </c>
      <c r="ZU33" s="35">
        <f t="shared" si="434"/>
        <v>7857.6249999999418</v>
      </c>
      <c r="ZV33" s="35">
        <f t="shared" si="434"/>
        <v>5929.9919999999693</v>
      </c>
      <c r="ZW33" s="35">
        <f t="shared" si="434"/>
        <v>3698.7189999998664</v>
      </c>
      <c r="ZX33" s="35">
        <f t="shared" si="434"/>
        <v>14612.820000000182</v>
      </c>
      <c r="ZY33" s="35">
        <f t="shared" si="434"/>
        <v>12651.383000000031</v>
      </c>
      <c r="ZZ33" s="35">
        <f t="shared" si="434"/>
        <v>10683.261999999697</v>
      </c>
      <c r="AAA33" s="35">
        <f t="shared" si="434"/>
        <v>8924.7360000002664</v>
      </c>
      <c r="AAB33" s="35">
        <f t="shared" si="434"/>
        <v>7042.6479999999283</v>
      </c>
      <c r="AAC33" s="35">
        <f t="shared" si="434"/>
        <v>5298.1379999999772</v>
      </c>
      <c r="AAD33" s="35">
        <f t="shared" si="434"/>
        <v>16527.489999999932</v>
      </c>
      <c r="AAE33" s="35">
        <f t="shared" si="434"/>
        <v>14369.508000000264</v>
      </c>
      <c r="AAF33" s="35">
        <f t="shared" si="434"/>
        <v>12120.320999999763</v>
      </c>
      <c r="AAG33" s="35">
        <f t="shared" si="434"/>
        <v>10145.444000000134</v>
      </c>
      <c r="AAH33" s="35">
        <f t="shared" si="434"/>
        <v>8245.8959999998333</v>
      </c>
      <c r="AAI33" s="35">
        <f t="shared" si="434"/>
        <v>6270.2450000002282</v>
      </c>
      <c r="AAJ33" s="35">
        <f t="shared" si="434"/>
        <v>16328.276999999711</v>
      </c>
      <c r="AAK33" s="35">
        <f t="shared" si="434"/>
        <v>14325.508000000264</v>
      </c>
      <c r="AAL33" s="35">
        <f t="shared" si="434"/>
        <v>12361.855999999796</v>
      </c>
      <c r="AAM33" s="35">
        <f t="shared" si="434"/>
        <v>10208.027999999991</v>
      </c>
      <c r="AAN33" s="35">
        <f t="shared" si="434"/>
        <v>8535.1500000000815</v>
      </c>
      <c r="AAO33" s="35">
        <f t="shared" si="434"/>
        <v>6623.7470000002068</v>
      </c>
      <c r="AAP33" s="35">
        <f t="shared" si="434"/>
        <v>17764.267999999982</v>
      </c>
      <c r="AAQ33" s="35">
        <f t="shared" si="434"/>
        <v>15777.712000000058</v>
      </c>
      <c r="AAR33" s="35">
        <f t="shared" si="434"/>
        <v>13840.310999999812</v>
      </c>
      <c r="AAS33" s="35">
        <f t="shared" si="434"/>
        <v>11780.803000000014</v>
      </c>
      <c r="AAT33" s="35">
        <f t="shared" si="434"/>
        <v>9543.6919999999809</v>
      </c>
      <c r="AAU33" s="35">
        <f t="shared" si="434"/>
        <v>7759.8959999996587</v>
      </c>
      <c r="AAV33" s="35">
        <f t="shared" si="434"/>
        <v>5854.2500000002328</v>
      </c>
      <c r="AAW33" s="127">
        <f t="shared" si="272"/>
        <v>316679.54600000003</v>
      </c>
      <c r="AAX33" s="35">
        <f t="shared" ref="AAX33:ACB33" si="435">AAX31-AAX32</f>
        <v>16274.475999999908</v>
      </c>
      <c r="AAY33" s="35">
        <f t="shared" si="435"/>
        <v>14521.817000000039</v>
      </c>
      <c r="AAZ33" s="35">
        <f t="shared" si="435"/>
        <v>12761.276000000129</v>
      </c>
      <c r="ABA33" s="35">
        <f t="shared" si="435"/>
        <v>10745.325000000012</v>
      </c>
      <c r="ABB33" s="35">
        <f t="shared" si="435"/>
        <v>8051.4779999998864</v>
      </c>
      <c r="ABC33" s="35">
        <f t="shared" si="435"/>
        <v>5977.5350000000908</v>
      </c>
      <c r="ABD33" s="35">
        <f t="shared" si="435"/>
        <v>4141.4000000000233</v>
      </c>
      <c r="ABE33" s="35">
        <f t="shared" si="435"/>
        <v>13966.774999999965</v>
      </c>
      <c r="ABF33" s="35">
        <f t="shared" si="435"/>
        <v>12113.624000000127</v>
      </c>
      <c r="ABG33" s="35">
        <f t="shared" si="435"/>
        <v>10274.482999999775</v>
      </c>
      <c r="ABH33" s="35">
        <f t="shared" si="435"/>
        <v>8323.6570000002393</v>
      </c>
      <c r="ABI33" s="35">
        <f t="shared" si="435"/>
        <v>7113.9210000000894</v>
      </c>
      <c r="ABJ33" s="35">
        <f t="shared" si="435"/>
        <v>5030.0299999998533</v>
      </c>
      <c r="ABK33" s="35">
        <f t="shared" si="435"/>
        <v>3271.5350000000326</v>
      </c>
      <c r="ABL33" s="35">
        <f t="shared" si="435"/>
        <v>1326.2029999998631</v>
      </c>
      <c r="ABM33" s="35">
        <f t="shared" si="435"/>
        <v>14334.9270000002</v>
      </c>
      <c r="ABN33" s="35">
        <f t="shared" si="435"/>
        <v>12305.517999999865</v>
      </c>
      <c r="ABO33" s="35">
        <f t="shared" si="435"/>
        <v>10238.774999999965</v>
      </c>
      <c r="ABP33" s="35">
        <f t="shared" si="435"/>
        <v>16335.405999999901</v>
      </c>
      <c r="ABQ33" s="35">
        <f t="shared" si="435"/>
        <v>14170.343000000168</v>
      </c>
      <c r="ABR33" s="35">
        <f t="shared" si="435"/>
        <v>12291.520999999833</v>
      </c>
      <c r="ABS33" s="35">
        <f t="shared" si="435"/>
        <v>10434.707000000228</v>
      </c>
      <c r="ABT33" s="35">
        <f t="shared" si="435"/>
        <v>8367.4219999999041</v>
      </c>
      <c r="ABU33" s="35">
        <f t="shared" si="435"/>
        <v>6407.1969999999274</v>
      </c>
      <c r="ABV33" s="35">
        <f t="shared" si="435"/>
        <v>16300.296000000202</v>
      </c>
      <c r="ABW33" s="35">
        <f t="shared" si="435"/>
        <v>14117.063999999664</v>
      </c>
      <c r="ABX33" s="35">
        <f t="shared" si="435"/>
        <v>12217.913000000233</v>
      </c>
      <c r="ABY33" s="35">
        <f t="shared" si="435"/>
        <v>10256.895000000019</v>
      </c>
      <c r="ABZ33" s="35">
        <f t="shared" si="435"/>
        <v>16393.680000000109</v>
      </c>
      <c r="ACA33" s="35">
        <f t="shared" si="435"/>
        <v>14615.097999999765</v>
      </c>
      <c r="ACB33" s="35">
        <f t="shared" si="435"/>
        <v>12621.668000000063</v>
      </c>
      <c r="ACC33" s="127">
        <f t="shared" si="274"/>
        <v>335301.96500000008</v>
      </c>
      <c r="ACD33" s="35">
        <f t="shared" ref="ACD33:ADH33" si="436">ACD31-ACD32</f>
        <v>10704.032999999938</v>
      </c>
      <c r="ACE33" s="35">
        <f t="shared" si="436"/>
        <v>8297.0299999999697</v>
      </c>
      <c r="ACF33" s="35">
        <f t="shared" si="436"/>
        <v>6189.3110000001034</v>
      </c>
      <c r="ACG33" s="35">
        <f t="shared" si="436"/>
        <v>4022.2639999999665</v>
      </c>
      <c r="ACH33" s="35">
        <f t="shared" si="436"/>
        <v>1723.9760000000242</v>
      </c>
      <c r="ACI33" s="35">
        <f t="shared" si="436"/>
        <v>13050.509999999893</v>
      </c>
      <c r="ACJ33" s="35">
        <f t="shared" si="436"/>
        <v>11269.648999999918</v>
      </c>
      <c r="ACK33" s="35">
        <f t="shared" si="436"/>
        <v>9150.2210000002524</v>
      </c>
      <c r="ACL33" s="35">
        <f t="shared" si="436"/>
        <v>7321.232999999891</v>
      </c>
      <c r="ACM33" s="35">
        <f t="shared" si="436"/>
        <v>5642.0670000001555</v>
      </c>
      <c r="ACN33" s="35">
        <f t="shared" si="436"/>
        <v>3404.5329999998212</v>
      </c>
      <c r="ACO33" s="35">
        <f t="shared" si="436"/>
        <v>1948.9370000001509</v>
      </c>
      <c r="ACP33" s="35">
        <f t="shared" si="436"/>
        <v>17232.220999999903</v>
      </c>
      <c r="ACQ33" s="35">
        <f t="shared" si="436"/>
        <v>15475.54800000001</v>
      </c>
      <c r="ACR33" s="35">
        <f t="shared" si="436"/>
        <v>13359.322000000044</v>
      </c>
      <c r="ACS33" s="35">
        <f t="shared" si="436"/>
        <v>11705.920000000042</v>
      </c>
      <c r="ACT33" s="35">
        <f t="shared" si="436"/>
        <v>9932.4589999997988</v>
      </c>
      <c r="ACU33" s="35">
        <f t="shared" si="436"/>
        <v>8030.4430000000866</v>
      </c>
      <c r="ACV33" s="35">
        <f t="shared" si="436"/>
        <v>17008.45199999999</v>
      </c>
      <c r="ACW33" s="35">
        <f t="shared" si="436"/>
        <v>15442.953000000038</v>
      </c>
      <c r="ACX33" s="35">
        <f t="shared" si="436"/>
        <v>13704.637000000163</v>
      </c>
      <c r="ACY33" s="35">
        <f t="shared" si="436"/>
        <v>11695.407999999938</v>
      </c>
      <c r="ACZ33" s="35">
        <f t="shared" si="436"/>
        <v>9910.5519999999087</v>
      </c>
      <c r="ADA33" s="35">
        <f t="shared" si="436"/>
        <v>8367.6809999999241</v>
      </c>
      <c r="ADB33" s="35">
        <f t="shared" si="436"/>
        <v>15915.6179999999</v>
      </c>
      <c r="ADC33" s="35">
        <f t="shared" si="436"/>
        <v>14186.345000000147</v>
      </c>
      <c r="ADD33" s="35">
        <f t="shared" si="436"/>
        <v>12393.331999999995</v>
      </c>
      <c r="ADE33" s="35">
        <f t="shared" si="436"/>
        <v>10971.934999999881</v>
      </c>
      <c r="ADF33" s="35">
        <f t="shared" si="436"/>
        <v>9048.9380000001402</v>
      </c>
      <c r="ADG33" s="35">
        <f t="shared" si="436"/>
        <v>15018.954999999958</v>
      </c>
      <c r="ADH33" s="35">
        <f t="shared" si="436"/>
        <v>13405.553000000073</v>
      </c>
      <c r="ADI33" s="127">
        <f t="shared" si="276"/>
        <v>325530.03600000002</v>
      </c>
      <c r="ADJ33" s="35">
        <f t="shared" ref="ADJ33:AEM33" si="437">ADJ31-ADJ32</f>
        <v>11714.496000000043</v>
      </c>
      <c r="ADK33" s="35">
        <f t="shared" si="437"/>
        <v>10206.6179999999</v>
      </c>
      <c r="ADL33" s="35">
        <f t="shared" si="437"/>
        <v>8789.844000000041</v>
      </c>
      <c r="ADM33" s="35">
        <f t="shared" si="437"/>
        <v>6979.5149999999558</v>
      </c>
      <c r="ADN33" s="35">
        <f t="shared" si="437"/>
        <v>17057.6700000001</v>
      </c>
      <c r="ADO33" s="35">
        <f t="shared" si="437"/>
        <v>15024.45699999982</v>
      </c>
      <c r="ADP33" s="35">
        <f t="shared" si="437"/>
        <v>13324.631999999983</v>
      </c>
      <c r="ADQ33" s="35">
        <f t="shared" si="437"/>
        <v>11591.24500000017</v>
      </c>
      <c r="ADR33" s="35">
        <f t="shared" si="437"/>
        <v>10086.167999999947</v>
      </c>
      <c r="ADS33" s="35">
        <f t="shared" si="437"/>
        <v>8683.289000000048</v>
      </c>
      <c r="ADT33" s="35">
        <f t="shared" si="437"/>
        <v>7109.6399999999558</v>
      </c>
      <c r="ADU33" s="35">
        <f t="shared" si="437"/>
        <v>18252.594999999797</v>
      </c>
      <c r="ADV33" s="35">
        <f t="shared" si="437"/>
        <v>16410.340000000317</v>
      </c>
      <c r="ADW33" s="35">
        <f t="shared" si="437"/>
        <v>14874.187000000034</v>
      </c>
      <c r="ADX33" s="35">
        <f t="shared" si="437"/>
        <v>13127.712000000058</v>
      </c>
      <c r="ADY33" s="35">
        <f t="shared" si="437"/>
        <v>11622.542999999656</v>
      </c>
      <c r="ADZ33" s="35">
        <f t="shared" si="437"/>
        <v>10386.527000000118</v>
      </c>
      <c r="AEA33" s="35">
        <f t="shared" si="437"/>
        <v>8722.5620000000927</v>
      </c>
      <c r="AEB33" s="35">
        <f t="shared" si="437"/>
        <v>7287.6349999998347</v>
      </c>
      <c r="AEC33" s="35">
        <f t="shared" si="437"/>
        <v>16684.236000000208</v>
      </c>
      <c r="AED33" s="35">
        <f t="shared" si="437"/>
        <v>15203.060999999871</v>
      </c>
      <c r="AEE33" s="35">
        <f t="shared" si="437"/>
        <v>13627.428000000018</v>
      </c>
      <c r="AEF33" s="35">
        <f t="shared" si="437"/>
        <v>12027.559000000067</v>
      </c>
      <c r="AEG33" s="35">
        <f t="shared" si="437"/>
        <v>10621.899999999965</v>
      </c>
      <c r="AEH33" s="35">
        <f t="shared" si="437"/>
        <v>9023.5869999998831</v>
      </c>
      <c r="AEI33" s="35">
        <f t="shared" si="437"/>
        <v>7210.4720000000088</v>
      </c>
      <c r="AEJ33" s="35">
        <f t="shared" si="437"/>
        <v>13494.310000000114</v>
      </c>
      <c r="AEK33" s="35">
        <f t="shared" si="437"/>
        <v>11959.300999999919</v>
      </c>
      <c r="AEL33" s="35">
        <f t="shared" si="437"/>
        <v>10106.585999999952</v>
      </c>
      <c r="AEM33" s="35">
        <f t="shared" si="437"/>
        <v>17575.607000000193</v>
      </c>
      <c r="AEN33" s="127">
        <f t="shared" si="364"/>
        <v>358785.72200000007</v>
      </c>
      <c r="AEO33" s="35">
        <f t="shared" ref="AEO33:AFS33" si="438">AEO31-AEO32</f>
        <v>16148.919999999867</v>
      </c>
      <c r="AEP33" s="35">
        <f t="shared" si="438"/>
        <v>14630.570000000123</v>
      </c>
      <c r="AEQ33" s="35">
        <f t="shared" si="438"/>
        <v>12924.795000000042</v>
      </c>
      <c r="AER33" s="35">
        <f t="shared" si="438"/>
        <v>11111.252999999851</v>
      </c>
      <c r="AES33" s="35">
        <f t="shared" si="438"/>
        <v>9561.9089999999851</v>
      </c>
      <c r="AET33" s="35">
        <f t="shared" si="438"/>
        <v>7855.8830000000889</v>
      </c>
      <c r="AEU33" s="35">
        <f t="shared" si="438"/>
        <v>6436.5309999999008</v>
      </c>
      <c r="AEV33" s="35">
        <f t="shared" si="438"/>
        <v>12719.717999999935</v>
      </c>
      <c r="AEW33" s="35">
        <f t="shared" si="438"/>
        <v>10989.601000000082</v>
      </c>
      <c r="AEX33" s="35">
        <f t="shared" si="438"/>
        <v>8878.76800000004</v>
      </c>
      <c r="AEY33" s="35">
        <f t="shared" si="438"/>
        <v>7204.4169999999576</v>
      </c>
      <c r="AEZ33" s="35">
        <f t="shared" si="438"/>
        <v>5601.8710000000428</v>
      </c>
      <c r="AFA33" s="35">
        <f t="shared" si="438"/>
        <v>4056.8009999999776</v>
      </c>
      <c r="AFB33" s="35">
        <f t="shared" si="438"/>
        <v>15368.318000000028</v>
      </c>
      <c r="AFC33" s="35">
        <f t="shared" si="438"/>
        <v>13707.256999999867</v>
      </c>
      <c r="AFD33" s="35">
        <f t="shared" si="438"/>
        <v>12027.320999999996</v>
      </c>
      <c r="AFE33" s="35">
        <f t="shared" si="438"/>
        <v>10563.084000000032</v>
      </c>
      <c r="AFF33" s="35">
        <f t="shared" si="438"/>
        <v>16851.299999999988</v>
      </c>
      <c r="AFG33" s="35">
        <f t="shared" si="438"/>
        <v>15224.437999999907</v>
      </c>
      <c r="AFH33" s="35">
        <f t="shared" si="438"/>
        <v>13714.320000000182</v>
      </c>
      <c r="AFI33" s="35">
        <f t="shared" si="438"/>
        <v>11961.330999999889</v>
      </c>
      <c r="AFJ33" s="35">
        <f t="shared" si="438"/>
        <v>10445.066000000283</v>
      </c>
      <c r="AFK33" s="35">
        <f t="shared" si="438"/>
        <v>8987.126999999804</v>
      </c>
      <c r="AFL33" s="35">
        <f t="shared" si="438"/>
        <v>15297.699000000022</v>
      </c>
      <c r="AFM33" s="35">
        <f t="shared" si="438"/>
        <v>13240.454000000027</v>
      </c>
      <c r="AFN33" s="35">
        <f t="shared" si="438"/>
        <v>11542.173000000126</v>
      </c>
      <c r="AFO33" s="35">
        <f t="shared" si="438"/>
        <v>9981.9830000000075</v>
      </c>
      <c r="AFP33" s="35">
        <f t="shared" si="438"/>
        <v>8385.9619999997085</v>
      </c>
      <c r="AFQ33" s="35">
        <f t="shared" si="438"/>
        <v>6989.6970000003348</v>
      </c>
      <c r="AFR33" s="35">
        <f t="shared" si="438"/>
        <v>5402.1939999997267</v>
      </c>
      <c r="AFS33" s="35">
        <f t="shared" si="438"/>
        <v>3622.789999999979</v>
      </c>
      <c r="AFT33" s="127">
        <f t="shared" si="279"/>
        <v>331433.5509999998</v>
      </c>
      <c r="AFU33" s="35">
        <f t="shared" ref="AFU33:AGX33" si="439">AFU31-AFU32</f>
        <v>13702.987000000139</v>
      </c>
      <c r="AFV33" s="35">
        <f t="shared" si="439"/>
        <v>11970.466999999888</v>
      </c>
      <c r="AFW33" s="35">
        <f t="shared" si="439"/>
        <v>10345.351999999955</v>
      </c>
      <c r="AFX33" s="35">
        <f t="shared" si="439"/>
        <v>8710.465000000142</v>
      </c>
      <c r="AFY33" s="35">
        <f t="shared" si="439"/>
        <v>6969.9380000001984</v>
      </c>
      <c r="AFZ33" s="35">
        <f t="shared" si="439"/>
        <v>15165.756999999692</v>
      </c>
      <c r="AGA33" s="35">
        <f t="shared" si="439"/>
        <v>13425.890000000189</v>
      </c>
      <c r="AGB33" s="35">
        <f t="shared" si="439"/>
        <v>11969.787999999826</v>
      </c>
      <c r="AGC33" s="35">
        <f t="shared" si="439"/>
        <v>10120.795000000217</v>
      </c>
      <c r="AGD33" s="35">
        <f t="shared" si="439"/>
        <v>8346.5589999998338</v>
      </c>
      <c r="AGE33" s="35">
        <f t="shared" si="439"/>
        <v>6725.435999999987</v>
      </c>
      <c r="AGF33" s="35">
        <f t="shared" si="439"/>
        <v>18289.871000000043</v>
      </c>
      <c r="AGG33" s="35">
        <f t="shared" si="439"/>
        <v>16696.711000000127</v>
      </c>
      <c r="AGH33" s="35">
        <f t="shared" si="439"/>
        <v>15050.01799999978</v>
      </c>
      <c r="AGI33" s="35">
        <f t="shared" si="439"/>
        <v>13628.443000000087</v>
      </c>
      <c r="AGJ33" s="35">
        <f t="shared" si="439"/>
        <v>11959.951000000001</v>
      </c>
      <c r="AGK33" s="35">
        <f t="shared" si="439"/>
        <v>10091.422999999893</v>
      </c>
      <c r="AGL33" s="35">
        <f t="shared" si="439"/>
        <v>8370.8159999999916</v>
      </c>
      <c r="AGM33" s="35">
        <f t="shared" si="439"/>
        <v>6731.3860000002314</v>
      </c>
      <c r="AGN33" s="35">
        <f t="shared" si="439"/>
        <v>4883.774000000034</v>
      </c>
      <c r="AGO33" s="35">
        <f t="shared" si="439"/>
        <v>15777.371999999799</v>
      </c>
      <c r="AGP33" s="35">
        <f t="shared" si="439"/>
        <v>13782.150000000256</v>
      </c>
      <c r="AGQ33" s="35">
        <f t="shared" si="439"/>
        <v>12260.954999999842</v>
      </c>
      <c r="AGR33" s="35">
        <f t="shared" si="439"/>
        <v>10648.012999999803</v>
      </c>
      <c r="AGS33" s="35">
        <f t="shared" si="439"/>
        <v>8765.9310000002733</v>
      </c>
      <c r="AGT33" s="35">
        <f t="shared" si="439"/>
        <v>15951.206999999878</v>
      </c>
      <c r="AGU33" s="35">
        <f t="shared" si="439"/>
        <v>14214.918999999994</v>
      </c>
      <c r="AGV33" s="35">
        <f t="shared" si="439"/>
        <v>12098.521999999939</v>
      </c>
      <c r="AGW33" s="35">
        <f t="shared" si="439"/>
        <v>10058.471000000194</v>
      </c>
      <c r="AGX33" s="35">
        <f t="shared" si="439"/>
        <v>8383.1729999998934</v>
      </c>
      <c r="AGY33" s="127">
        <f t="shared" si="281"/>
        <v>345096.5400000001</v>
      </c>
      <c r="AGZ33" s="35">
        <f t="shared" ref="AGZ33:AID33" si="440">AGZ31-AGZ32</f>
        <v>6508.2980000001262</v>
      </c>
      <c r="AHA33" s="35">
        <f t="shared" si="440"/>
        <v>4794.3140000000712</v>
      </c>
      <c r="AHB33" s="35">
        <f t="shared" si="440"/>
        <v>16048.287999999768</v>
      </c>
      <c r="AHC33" s="35">
        <f t="shared" si="440"/>
        <v>14132.566000000108</v>
      </c>
      <c r="AHD33" s="35">
        <f t="shared" si="440"/>
        <v>12032.45699999982</v>
      </c>
      <c r="AHE33" s="35">
        <f t="shared" si="440"/>
        <v>10100.105000000098</v>
      </c>
      <c r="AHF33" s="35">
        <f t="shared" si="440"/>
        <v>8383.1359999998822</v>
      </c>
      <c r="AHG33" s="35">
        <f t="shared" si="440"/>
        <v>6525.7110000002431</v>
      </c>
      <c r="AHH33" s="35">
        <f t="shared" si="440"/>
        <v>5003.3629999998957</v>
      </c>
      <c r="AHI33" s="35">
        <f t="shared" si="440"/>
        <v>3198.9279999999562</v>
      </c>
      <c r="AHJ33" s="35">
        <f t="shared" si="440"/>
        <v>13948.618000000075</v>
      </c>
      <c r="AHK33" s="35">
        <f t="shared" si="440"/>
        <v>12048.121000000043</v>
      </c>
      <c r="AHL33" s="35">
        <f t="shared" si="440"/>
        <v>9944.6230000000214</v>
      </c>
      <c r="AHM33" s="35">
        <f t="shared" si="440"/>
        <v>8184.2369999997318</v>
      </c>
      <c r="AHN33" s="35">
        <f t="shared" si="440"/>
        <v>6393.5680000000866</v>
      </c>
      <c r="AHO33" s="35">
        <f t="shared" si="440"/>
        <v>4698.8910000001779</v>
      </c>
      <c r="AHP33" s="35">
        <f t="shared" si="440"/>
        <v>17051.27599999978</v>
      </c>
      <c r="AHQ33" s="35">
        <f t="shared" si="440"/>
        <v>14956.576000000001</v>
      </c>
      <c r="AHR33" s="35">
        <f t="shared" si="440"/>
        <v>12886.627000000095</v>
      </c>
      <c r="AHS33" s="35">
        <f t="shared" si="440"/>
        <v>10947.195999999938</v>
      </c>
      <c r="AHT33" s="35">
        <f t="shared" si="440"/>
        <v>8969.256999999925</v>
      </c>
      <c r="AHU33" s="35">
        <f t="shared" si="440"/>
        <v>6848.322000000102</v>
      </c>
      <c r="AHV33" s="35">
        <f t="shared" si="440"/>
        <v>4484.1349999999511</v>
      </c>
      <c r="AHW33" s="35">
        <f t="shared" si="440"/>
        <v>15978.07799999998</v>
      </c>
      <c r="AHX33" s="35">
        <f t="shared" si="440"/>
        <v>14378.939999999944</v>
      </c>
      <c r="AHY33" s="35">
        <f t="shared" si="440"/>
        <v>12695.730999999971</v>
      </c>
      <c r="AHZ33" s="35">
        <f t="shared" si="440"/>
        <v>11202.466000000306</v>
      </c>
      <c r="AIA33" s="35">
        <f t="shared" si="440"/>
        <v>9835.9729999998235</v>
      </c>
      <c r="AIB33" s="35">
        <f t="shared" si="440"/>
        <v>8411.3180000000284</v>
      </c>
      <c r="AIC33" s="35">
        <f t="shared" si="440"/>
        <v>6728.0930000001099</v>
      </c>
      <c r="AID33" s="35">
        <f t="shared" si="440"/>
        <v>14634.033999999869</v>
      </c>
      <c r="AIE33" s="127">
        <f t="shared" si="283"/>
        <v>311953.24599999993</v>
      </c>
      <c r="AIF33" s="35">
        <f t="shared" ref="AIF33:AJJ33" si="441">AIF31-AIF32</f>
        <v>13122.6700000001</v>
      </c>
      <c r="AIG33" s="35">
        <f t="shared" si="441"/>
        <v>11491.86400000006</v>
      </c>
      <c r="AIH33" s="35">
        <f t="shared" si="441"/>
        <v>9872.4979999997886</v>
      </c>
      <c r="AII33" s="35">
        <f t="shared" si="441"/>
        <v>8149.6279999999097</v>
      </c>
      <c r="AIJ33" s="35">
        <f t="shared" si="441"/>
        <v>6121.5740000004298</v>
      </c>
      <c r="AIK33" s="35">
        <f t="shared" si="441"/>
        <v>14163.398999999685</v>
      </c>
      <c r="AIL33" s="35">
        <f t="shared" si="441"/>
        <v>12158.421000000031</v>
      </c>
      <c r="AIM33" s="35">
        <f t="shared" si="441"/>
        <v>10277.922999999893</v>
      </c>
      <c r="AIN33" s="35">
        <f t="shared" si="441"/>
        <v>17027.662000000186</v>
      </c>
      <c r="AIO33" s="35">
        <f t="shared" si="441"/>
        <v>14722.998000000138</v>
      </c>
      <c r="AIP33" s="35">
        <f t="shared" si="441"/>
        <v>12872.62399999972</v>
      </c>
      <c r="AIQ33" s="35">
        <f t="shared" si="441"/>
        <v>11186.565000000177</v>
      </c>
      <c r="AIR33" s="35">
        <f t="shared" si="441"/>
        <v>9317.4490000000224</v>
      </c>
      <c r="AIS33" s="35">
        <f t="shared" si="441"/>
        <v>7514.7799999999115</v>
      </c>
      <c r="AIT33" s="35">
        <f t="shared" si="441"/>
        <v>6454.7639999999083</v>
      </c>
      <c r="AIU33" s="35">
        <f t="shared" si="441"/>
        <v>4921.6199999999371</v>
      </c>
      <c r="AIV33" s="35">
        <f t="shared" si="441"/>
        <v>4067.7520000000368</v>
      </c>
      <c r="AIW33" s="35">
        <f t="shared" si="441"/>
        <v>3017.3720000001485</v>
      </c>
      <c r="AIX33" s="35">
        <f t="shared" si="441"/>
        <v>6327.2919999998994</v>
      </c>
      <c r="AIY33" s="35">
        <f t="shared" si="441"/>
        <v>4681.5750000000698</v>
      </c>
      <c r="AIZ33" s="35">
        <f t="shared" si="441"/>
        <v>2747.6220000000321</v>
      </c>
      <c r="AJA33" s="35">
        <f t="shared" si="441"/>
        <v>11859.264000000025</v>
      </c>
      <c r="AJB33" s="35">
        <f t="shared" si="441"/>
        <v>10164.698999999848</v>
      </c>
      <c r="AJC33" s="35">
        <f t="shared" si="441"/>
        <v>8127.5380000001751</v>
      </c>
      <c r="AJD33" s="35">
        <f t="shared" si="441"/>
        <v>11337.33899999992</v>
      </c>
      <c r="AJE33" s="35">
        <f t="shared" si="441"/>
        <v>9647.4150000001537</v>
      </c>
      <c r="AJF33" s="35">
        <f t="shared" si="441"/>
        <v>7728.2569999998086</v>
      </c>
      <c r="AJG33" s="35">
        <f t="shared" si="441"/>
        <v>6095.9970000001485</v>
      </c>
      <c r="AJH33" s="35">
        <f t="shared" si="441"/>
        <v>4416.7639999998501</v>
      </c>
      <c r="AJI33" s="35">
        <f t="shared" si="441"/>
        <v>12157.934000000008</v>
      </c>
      <c r="AJJ33" s="35">
        <f t="shared" si="441"/>
        <v>10678.965000000142</v>
      </c>
      <c r="AJK33" s="127">
        <f t="shared" si="285"/>
        <v>282432.22400000016</v>
      </c>
      <c r="AJL33" s="35">
        <f t="shared" ref="AJL33:AKM33" si="442">AJL31-AJL32</f>
        <v>9217.5749999998952</v>
      </c>
      <c r="AJM33" s="35">
        <f t="shared" si="442"/>
        <v>7460.3049999998184</v>
      </c>
      <c r="AJN33" s="35">
        <f t="shared" si="442"/>
        <v>5680.2520000002114</v>
      </c>
      <c r="AJO33" s="35">
        <f t="shared" si="442"/>
        <v>3850.0259999997215</v>
      </c>
      <c r="AJP33" s="35">
        <f t="shared" si="442"/>
        <v>2294.9940000000643</v>
      </c>
      <c r="AJQ33" s="35">
        <f t="shared" si="442"/>
        <v>9651.5290000001551</v>
      </c>
      <c r="AJR33" s="35">
        <f t="shared" si="442"/>
        <v>15737.166999999899</v>
      </c>
      <c r="AJS33" s="35">
        <f t="shared" si="442"/>
        <v>13839.603000000236</v>
      </c>
      <c r="AJT33" s="35">
        <f t="shared" si="442"/>
        <v>11978.129999999888</v>
      </c>
      <c r="AJU33" s="35">
        <f t="shared" si="442"/>
        <v>10231.389999999956</v>
      </c>
      <c r="AJV33" s="35">
        <f t="shared" si="442"/>
        <v>8591.623000000196</v>
      </c>
      <c r="AJW33" s="35">
        <f t="shared" si="442"/>
        <v>6859.9699999999721</v>
      </c>
      <c r="AJX33" s="35">
        <f t="shared" si="442"/>
        <v>4892.2549999999464</v>
      </c>
      <c r="AJY33" s="35">
        <f t="shared" si="442"/>
        <v>15135.411999999895</v>
      </c>
      <c r="AJZ33" s="35">
        <f t="shared" si="442"/>
        <v>13511.561999999918</v>
      </c>
      <c r="AKA33" s="35">
        <f t="shared" si="442"/>
        <v>11948.990000000107</v>
      </c>
      <c r="AKB33" s="35">
        <f t="shared" si="442"/>
        <v>10187.973000000115</v>
      </c>
      <c r="AKC33" s="35">
        <f t="shared" si="442"/>
        <v>8556.5059999998193</v>
      </c>
      <c r="AKD33" s="35">
        <f t="shared" si="442"/>
        <v>15031.65499999997</v>
      </c>
      <c r="AKE33" s="35">
        <f t="shared" si="442"/>
        <v>13658.731999999902</v>
      </c>
      <c r="AKF33" s="35">
        <f t="shared" si="442"/>
        <v>11907.208000000352</v>
      </c>
      <c r="AKG33" s="35">
        <f t="shared" si="442"/>
        <v>10595.485999999801</v>
      </c>
      <c r="AKH33" s="35">
        <f t="shared" si="442"/>
        <v>8975.8089999999502</v>
      </c>
      <c r="AKI33" s="35">
        <f t="shared" si="442"/>
        <v>7482.5530000001891</v>
      </c>
      <c r="AKJ33" s="35">
        <f t="shared" si="442"/>
        <v>5867.0109999997658</v>
      </c>
      <c r="AKK33" s="35">
        <f t="shared" si="442"/>
        <v>4363.6390000000247</v>
      </c>
      <c r="AKL33" s="35">
        <f t="shared" si="442"/>
        <v>2978.9900000002235</v>
      </c>
      <c r="AKM33" s="35">
        <f t="shared" si="442"/>
        <v>14470.908999999985</v>
      </c>
      <c r="AKN33" s="127">
        <f t="shared" si="11"/>
        <v>264957.25399999996</v>
      </c>
      <c r="AKO33" s="35">
        <f t="shared" ref="AKO33:ALS33" si="443">AKO31-AKO32</f>
        <v>12916.257000000041</v>
      </c>
      <c r="AKP33" s="35">
        <f t="shared" si="443"/>
        <v>11347.75</v>
      </c>
      <c r="AKQ33" s="35">
        <f t="shared" si="443"/>
        <v>9860.2569999997504</v>
      </c>
      <c r="AKR33" s="35">
        <f t="shared" si="443"/>
        <v>8317.6599999999744</v>
      </c>
      <c r="AKS33" s="35">
        <f t="shared" si="443"/>
        <v>6879.1370000002207</v>
      </c>
      <c r="AKT33" s="35">
        <f t="shared" si="443"/>
        <v>16283.16799999983</v>
      </c>
      <c r="AKU33" s="35">
        <f t="shared" si="443"/>
        <v>14762.280000000261</v>
      </c>
      <c r="AKV33" s="35">
        <f t="shared" si="443"/>
        <v>13130.035999999905</v>
      </c>
      <c r="AKW33" s="35">
        <f t="shared" si="443"/>
        <v>11434.849999999811</v>
      </c>
      <c r="AKX33" s="35">
        <f t="shared" si="443"/>
        <v>9988.761000000115</v>
      </c>
      <c r="AKY33" s="35">
        <f t="shared" si="443"/>
        <v>8510.6539999999804</v>
      </c>
      <c r="AKZ33" s="35">
        <f t="shared" si="443"/>
        <v>6943.2120000000577</v>
      </c>
      <c r="ALA33" s="35">
        <f t="shared" si="443"/>
        <v>15002.93899999978</v>
      </c>
      <c r="ALB33" s="35">
        <f t="shared" si="443"/>
        <v>13154.512000000046</v>
      </c>
      <c r="ALC33" s="35">
        <f t="shared" si="443"/>
        <v>11532.210000000196</v>
      </c>
      <c r="ALD33" s="35">
        <f t="shared" si="443"/>
        <v>9371.3099999998813</v>
      </c>
      <c r="ALE33" s="35">
        <f t="shared" si="443"/>
        <v>7467.9839999999967</v>
      </c>
      <c r="ALF33" s="35">
        <f t="shared" si="443"/>
        <v>5984.4100000002072</v>
      </c>
      <c r="ALG33" s="35">
        <f t="shared" si="443"/>
        <v>4044.4809999999125</v>
      </c>
      <c r="ALH33" s="35">
        <f t="shared" si="443"/>
        <v>15287.523999999918</v>
      </c>
      <c r="ALI33" s="35">
        <f t="shared" si="443"/>
        <v>13510.150000000023</v>
      </c>
      <c r="ALJ33" s="35">
        <f t="shared" si="443"/>
        <v>12151.441999999981</v>
      </c>
      <c r="ALK33" s="35">
        <f t="shared" si="443"/>
        <v>10335.767000000167</v>
      </c>
      <c r="ALL33" s="35">
        <f t="shared" si="443"/>
        <v>8492.3869999996969</v>
      </c>
      <c r="ALM33" s="35">
        <f t="shared" si="443"/>
        <v>6635.2130000002217</v>
      </c>
      <c r="ALN33" s="35">
        <f t="shared" si="443"/>
        <v>12690.401000000013</v>
      </c>
      <c r="ALO33" s="35">
        <f t="shared" si="443"/>
        <v>10763.462999999698</v>
      </c>
      <c r="ALP33" s="35">
        <f t="shared" si="443"/>
        <v>16042.958000000101</v>
      </c>
      <c r="ALQ33" s="35">
        <f t="shared" si="443"/>
        <v>13615.831000000006</v>
      </c>
      <c r="ALR33" s="35">
        <f t="shared" si="443"/>
        <v>11269.814000000129</v>
      </c>
      <c r="ALS33" s="35">
        <f t="shared" si="443"/>
        <v>9543.2519999999786</v>
      </c>
      <c r="ALT33" s="127">
        <f t="shared" si="12"/>
        <v>337270.06999999989</v>
      </c>
      <c r="ALU33" s="35">
        <f t="shared" ref="ALU33:AMX33" si="444">ALU31-ALU32</f>
        <v>7244.5100000000675</v>
      </c>
      <c r="ALV33" s="35">
        <f t="shared" si="444"/>
        <v>12855.434000000008</v>
      </c>
      <c r="ALW33" s="35">
        <f t="shared" si="444"/>
        <v>15938.797999999952</v>
      </c>
      <c r="ALX33" s="35">
        <f t="shared" si="444"/>
        <v>13898.195000000007</v>
      </c>
      <c r="ALY33" s="35">
        <f t="shared" si="444"/>
        <v>12699.788999999815</v>
      </c>
      <c r="ALZ33" s="35">
        <f t="shared" si="444"/>
        <v>11436.94500000004</v>
      </c>
      <c r="AMA33" s="35">
        <f t="shared" si="444"/>
        <v>9298.8249999998952</v>
      </c>
      <c r="AMB33" s="35">
        <f t="shared" si="444"/>
        <v>7351.8880000003846</v>
      </c>
      <c r="AMC33" s="35">
        <f t="shared" si="444"/>
        <v>5110.4249999998719</v>
      </c>
      <c r="AMD33" s="35">
        <f t="shared" si="444"/>
        <v>2963.0160000001197</v>
      </c>
      <c r="AME33" s="35">
        <f t="shared" si="444"/>
        <v>841.1339999998454</v>
      </c>
      <c r="AMF33" s="35">
        <f t="shared" si="444"/>
        <v>8483.5109999999404</v>
      </c>
      <c r="AMG33" s="35">
        <f t="shared" si="444"/>
        <v>6139.0340000001597</v>
      </c>
      <c r="AMH33" s="35">
        <f t="shared" si="444"/>
        <v>12487.246999999858</v>
      </c>
      <c r="AMI33" s="35">
        <f t="shared" si="444"/>
        <v>10860.208000000042</v>
      </c>
      <c r="AMJ33" s="35">
        <f t="shared" si="444"/>
        <v>9188.6670000001322</v>
      </c>
      <c r="AMK33" s="35">
        <f t="shared" si="444"/>
        <v>15176.365999999747</v>
      </c>
      <c r="AML33" s="35">
        <f t="shared" si="444"/>
        <v>12901.258000000031</v>
      </c>
      <c r="AMM33" s="35">
        <f t="shared" si="444"/>
        <v>10730.577000000165</v>
      </c>
      <c r="AMN33" s="35">
        <f t="shared" si="444"/>
        <v>6800.5859999997774</v>
      </c>
      <c r="AMO33" s="35">
        <f t="shared" si="444"/>
        <v>10827.700000000012</v>
      </c>
      <c r="AMP33" s="35">
        <f t="shared" si="444"/>
        <v>7540.5830000000424</v>
      </c>
      <c r="AMQ33" s="35">
        <f t="shared" si="444"/>
        <v>3160.8520000002463</v>
      </c>
      <c r="AMR33" s="35">
        <f t="shared" si="444"/>
        <v>11349.254000000015</v>
      </c>
      <c r="AMS33" s="35">
        <f t="shared" si="444"/>
        <v>6592.2309999998542</v>
      </c>
      <c r="AMT33" s="35">
        <f t="shared" si="444"/>
        <v>2382.362000000081</v>
      </c>
      <c r="AMU33" s="35">
        <f t="shared" si="444"/>
        <v>427.17399999982445</v>
      </c>
      <c r="AMV33" s="35">
        <f t="shared" si="444"/>
        <v>6603.9779999999446</v>
      </c>
      <c r="AMW33" s="35">
        <f t="shared" si="444"/>
        <v>2734.316000000108</v>
      </c>
      <c r="AMX33" s="35">
        <f t="shared" si="444"/>
        <v>9338.8280000000377</v>
      </c>
      <c r="AMY33" s="127">
        <f t="shared" si="13"/>
        <v>253363.69100000002</v>
      </c>
      <c r="AMZ33" s="35">
        <f t="shared" ref="AMZ33:AOC33" si="445">AMZ31-AMZ32</f>
        <v>15569.871000000043</v>
      </c>
      <c r="ANA33" s="35">
        <f t="shared" si="445"/>
        <v>13511.50199999992</v>
      </c>
      <c r="ANB33" s="35">
        <f t="shared" si="445"/>
        <v>11731.588000000163</v>
      </c>
      <c r="ANC33" s="35">
        <f t="shared" si="445"/>
        <v>9589.1289999999572</v>
      </c>
      <c r="AND33" s="35">
        <f t="shared" si="445"/>
        <v>15440.293999999878</v>
      </c>
      <c r="ANE33" s="35">
        <f t="shared" si="445"/>
        <v>13219.921000000031</v>
      </c>
      <c r="ANF33" s="35">
        <f t="shared" si="445"/>
        <v>11037.35500000004</v>
      </c>
      <c r="ANG33" s="35">
        <f t="shared" si="445"/>
        <v>16018.663999999873</v>
      </c>
      <c r="ANH33" s="35">
        <f t="shared" si="445"/>
        <v>13676.360000000161</v>
      </c>
      <c r="ANI33" s="35">
        <f t="shared" si="445"/>
        <v>11904.869999999879</v>
      </c>
      <c r="ANJ33" s="35">
        <f t="shared" si="445"/>
        <v>9882.0119999999879</v>
      </c>
      <c r="ANK33" s="35">
        <f t="shared" si="445"/>
        <v>7971.9559999998892</v>
      </c>
      <c r="ANL33" s="35">
        <f t="shared" si="445"/>
        <v>5909.4150000002119</v>
      </c>
      <c r="ANM33" s="35">
        <f t="shared" si="445"/>
        <v>10573.454999999725</v>
      </c>
      <c r="ANN33" s="35">
        <f t="shared" si="445"/>
        <v>8163.3470000001835</v>
      </c>
      <c r="ANO33" s="35">
        <f t="shared" si="445"/>
        <v>6580.6669999999576</v>
      </c>
      <c r="ANP33" s="35">
        <f t="shared" si="445"/>
        <v>10514.541000000027</v>
      </c>
      <c r="ANQ33" s="35">
        <f t="shared" si="445"/>
        <v>9223.868000000075</v>
      </c>
      <c r="ANR33" s="35">
        <f t="shared" si="445"/>
        <v>7950.8209999999381</v>
      </c>
      <c r="ANS33" s="35">
        <f t="shared" si="445"/>
        <v>16384.339000000095</v>
      </c>
      <c r="ANT33" s="35">
        <f t="shared" si="445"/>
        <v>15268.714999999851</v>
      </c>
      <c r="ANU33" s="35">
        <f t="shared" si="445"/>
        <v>13591.046000000148</v>
      </c>
      <c r="ANV33" s="35">
        <f t="shared" si="445"/>
        <v>12159.487000000023</v>
      </c>
      <c r="ANW33" s="35">
        <f t="shared" si="445"/>
        <v>10877.154999999853</v>
      </c>
      <c r="ANX33" s="35">
        <f t="shared" si="445"/>
        <v>9201.2829999998212</v>
      </c>
      <c r="ANY33" s="35">
        <f t="shared" si="445"/>
        <v>7295.5310000003083</v>
      </c>
      <c r="ANZ33" s="35">
        <f t="shared" si="445"/>
        <v>14787.140999999887</v>
      </c>
      <c r="AOA33" s="35">
        <f t="shared" si="445"/>
        <v>13616.997000000149</v>
      </c>
      <c r="AOB33" s="35">
        <f t="shared" si="445"/>
        <v>12059.260999999824</v>
      </c>
      <c r="AOC33" s="35">
        <f t="shared" si="445"/>
        <v>17157.813000000024</v>
      </c>
    </row>
    <row r="34" spans="1:1069" x14ac:dyDescent="0.2">
      <c r="A34" s="160"/>
      <c r="B34" s="5" t="s">
        <v>1529</v>
      </c>
      <c r="C34" s="20">
        <v>14780</v>
      </c>
      <c r="D34" s="20">
        <v>12200</v>
      </c>
      <c r="E34" s="20">
        <v>9726</v>
      </c>
      <c r="F34" s="20">
        <v>7052</v>
      </c>
      <c r="G34" s="20">
        <v>12305.26</v>
      </c>
      <c r="H34" s="20">
        <v>9347.36</v>
      </c>
      <c r="I34" s="20">
        <v>6836.36</v>
      </c>
      <c r="J34" s="20">
        <v>4760</v>
      </c>
      <c r="K34" s="20">
        <v>16495</v>
      </c>
      <c r="L34" s="20">
        <v>14155</v>
      </c>
      <c r="M34" s="20">
        <v>11777</v>
      </c>
      <c r="N34" s="20">
        <v>9011</v>
      </c>
      <c r="O34" s="20">
        <v>6588</v>
      </c>
      <c r="P34" s="20">
        <v>3870</v>
      </c>
      <c r="Q34" s="20">
        <v>14610</v>
      </c>
      <c r="R34" s="20">
        <v>12187</v>
      </c>
      <c r="S34" s="20">
        <v>9800</v>
      </c>
      <c r="T34" s="20">
        <v>6963</v>
      </c>
      <c r="U34" s="20">
        <v>4561</v>
      </c>
      <c r="V34" s="20">
        <v>2483</v>
      </c>
      <c r="W34" s="20">
        <v>17391</v>
      </c>
      <c r="X34" s="20">
        <v>15300</v>
      </c>
      <c r="Y34" s="20">
        <v>13042</v>
      </c>
      <c r="Z34" s="20">
        <v>10722</v>
      </c>
      <c r="AA34" s="20">
        <v>7950</v>
      </c>
      <c r="AB34" s="20">
        <v>15094</v>
      </c>
      <c r="AC34" s="20">
        <v>12536</v>
      </c>
      <c r="AD34" s="20">
        <v>10390</v>
      </c>
      <c r="AE34" s="20">
        <v>8270</v>
      </c>
      <c r="AF34" s="20">
        <v>6130</v>
      </c>
      <c r="AG34" s="20">
        <v>3643</v>
      </c>
      <c r="AH34" s="94">
        <f t="shared" si="324"/>
        <v>309974.98</v>
      </c>
      <c r="AI34" s="20">
        <v>675</v>
      </c>
      <c r="AJ34" s="20">
        <v>10933</v>
      </c>
      <c r="AK34" s="20">
        <v>8352</v>
      </c>
      <c r="AL34" s="20">
        <v>5883</v>
      </c>
      <c r="AM34" s="20">
        <v>3443</v>
      </c>
      <c r="AN34" s="20">
        <v>13552</v>
      </c>
      <c r="AO34" s="20">
        <v>10144</v>
      </c>
      <c r="AP34" s="20">
        <v>7166</v>
      </c>
      <c r="AQ34" s="20">
        <v>4567</v>
      </c>
      <c r="AR34" s="20">
        <v>2408</v>
      </c>
      <c r="AS34" s="20">
        <v>354</v>
      </c>
      <c r="AT34" s="20">
        <v>8776</v>
      </c>
      <c r="AU34" s="20">
        <v>7830</v>
      </c>
      <c r="AV34" s="20">
        <v>17666</v>
      </c>
      <c r="AW34" s="20">
        <v>15518</v>
      </c>
      <c r="AX34" s="20">
        <v>13294</v>
      </c>
      <c r="AY34" s="20">
        <v>11300</v>
      </c>
      <c r="AZ34" s="20">
        <v>9144</v>
      </c>
      <c r="BA34" s="20">
        <v>7305</v>
      </c>
      <c r="BB34" s="20">
        <v>14273</v>
      </c>
      <c r="BC34" s="20">
        <v>12357</v>
      </c>
      <c r="BD34" s="20">
        <v>10033</v>
      </c>
      <c r="BE34" s="20">
        <v>7800</v>
      </c>
      <c r="BF34" s="20">
        <v>5855</v>
      </c>
      <c r="BG34" s="20">
        <v>3831</v>
      </c>
      <c r="BH34" s="20">
        <v>17808</v>
      </c>
      <c r="BI34" s="20">
        <v>15809</v>
      </c>
      <c r="BJ34" s="20">
        <v>13977</v>
      </c>
      <c r="BK34" s="20">
        <v>11960</v>
      </c>
      <c r="BL34" s="20">
        <v>9747</v>
      </c>
      <c r="BM34" s="97">
        <f t="shared" si="247"/>
        <v>281760</v>
      </c>
      <c r="BN34" s="20">
        <v>16652</v>
      </c>
      <c r="BO34" s="20">
        <v>14631</v>
      </c>
      <c r="BP34" s="20">
        <v>12623</v>
      </c>
      <c r="BQ34" s="20">
        <v>10741</v>
      </c>
      <c r="BR34" s="20">
        <v>8960</v>
      </c>
      <c r="BS34" s="20">
        <v>6852</v>
      </c>
      <c r="BT34" s="20">
        <v>15084</v>
      </c>
      <c r="BU34" s="20">
        <v>13000</v>
      </c>
      <c r="BV34" s="20">
        <v>11063</v>
      </c>
      <c r="BW34" s="20">
        <v>9294</v>
      </c>
      <c r="BX34" s="20">
        <v>7575</v>
      </c>
      <c r="BY34" s="20">
        <v>5768</v>
      </c>
      <c r="BZ34" s="20">
        <v>3713</v>
      </c>
      <c r="CA34" s="20">
        <v>11576</v>
      </c>
      <c r="CB34" s="20">
        <v>9609</v>
      </c>
      <c r="CC34" s="20">
        <v>7722</v>
      </c>
      <c r="CD34" s="20">
        <v>5726</v>
      </c>
      <c r="CE34" s="20">
        <v>9929</v>
      </c>
      <c r="CF34" s="20">
        <v>8164</v>
      </c>
      <c r="CG34" s="20">
        <v>6262</v>
      </c>
      <c r="CH34" s="20">
        <v>17200</v>
      </c>
      <c r="CI34" s="20">
        <v>15136</v>
      </c>
      <c r="CJ34" s="20">
        <v>13357</v>
      </c>
      <c r="CK34" s="20">
        <v>11423</v>
      </c>
      <c r="CL34" s="20">
        <v>9586</v>
      </c>
      <c r="CM34" s="20">
        <v>7711</v>
      </c>
      <c r="CN34" s="20">
        <v>5737</v>
      </c>
      <c r="CO34" s="20">
        <v>11482</v>
      </c>
      <c r="CP34" s="20">
        <v>9600</v>
      </c>
      <c r="CQ34" s="20">
        <v>7635</v>
      </c>
      <c r="CR34" s="20">
        <v>5778</v>
      </c>
      <c r="CS34" s="111">
        <f t="shared" si="208"/>
        <v>309589</v>
      </c>
      <c r="CT34" s="20">
        <v>3800</v>
      </c>
      <c r="CU34" s="20">
        <v>13867</v>
      </c>
      <c r="CV34" s="20">
        <v>11850</v>
      </c>
      <c r="CW34" s="20">
        <v>9263</v>
      </c>
      <c r="CX34" s="20">
        <v>7063</v>
      </c>
      <c r="CY34" s="20">
        <v>5109</v>
      </c>
      <c r="CZ34" s="20">
        <v>12062</v>
      </c>
      <c r="DA34" s="20">
        <v>10136</v>
      </c>
      <c r="DB34" s="20">
        <v>8082</v>
      </c>
      <c r="DC34" s="20">
        <v>5944</v>
      </c>
      <c r="DD34" s="20">
        <v>14694</v>
      </c>
      <c r="DE34" s="20">
        <v>12812</v>
      </c>
      <c r="DF34" s="20">
        <v>11000</v>
      </c>
      <c r="DG34" s="20">
        <v>8920</v>
      </c>
      <c r="DH34" s="20">
        <v>7092</v>
      </c>
      <c r="DI34" s="20">
        <v>18843</v>
      </c>
      <c r="DJ34" s="20">
        <v>17509</v>
      </c>
      <c r="DK34" s="20">
        <v>15655</v>
      </c>
      <c r="DL34" s="20">
        <v>14055</v>
      </c>
      <c r="DM34" s="20">
        <v>12347</v>
      </c>
      <c r="DN34" s="20">
        <v>10920</v>
      </c>
      <c r="DO34" s="20">
        <v>9133</v>
      </c>
      <c r="DP34" s="20">
        <v>7270</v>
      </c>
      <c r="DQ34" s="20">
        <v>14400</v>
      </c>
      <c r="DR34" s="20">
        <v>12326</v>
      </c>
      <c r="DS34" s="20">
        <v>10600</v>
      </c>
      <c r="DT34" s="20">
        <v>9021</v>
      </c>
      <c r="DU34" s="20">
        <v>7562</v>
      </c>
      <c r="DV34" s="20">
        <v>6200</v>
      </c>
      <c r="DW34" s="20">
        <v>4503</v>
      </c>
      <c r="DX34" s="119"/>
      <c r="DY34" s="20">
        <v>2491</v>
      </c>
      <c r="DZ34" s="20">
        <v>775</v>
      </c>
      <c r="EA34" s="20">
        <v>9242</v>
      </c>
      <c r="EB34" s="20">
        <v>7766</v>
      </c>
      <c r="EC34" s="20">
        <v>6200</v>
      </c>
      <c r="ED34" s="20">
        <v>4509</v>
      </c>
      <c r="EE34" s="20">
        <v>9811</v>
      </c>
      <c r="EF34" s="20">
        <v>7930</v>
      </c>
      <c r="EG34" s="20">
        <v>5757</v>
      </c>
      <c r="EH34" s="20">
        <v>3733</v>
      </c>
      <c r="EI34" s="20">
        <v>13955</v>
      </c>
      <c r="EJ34" s="20">
        <v>11930</v>
      </c>
      <c r="EK34" s="20">
        <v>10011</v>
      </c>
      <c r="EL34" s="20">
        <v>8176</v>
      </c>
      <c r="EM34" s="20">
        <v>14770</v>
      </c>
      <c r="EN34" s="20">
        <v>12315</v>
      </c>
      <c r="EO34" s="20">
        <v>10270</v>
      </c>
      <c r="EP34" s="20">
        <v>7970</v>
      </c>
      <c r="EQ34" s="20">
        <v>17130</v>
      </c>
      <c r="ER34" s="20">
        <v>14877</v>
      </c>
      <c r="ES34" s="20">
        <v>12455</v>
      </c>
      <c r="ET34" s="20">
        <v>9655</v>
      </c>
      <c r="EU34" s="20">
        <v>16800</v>
      </c>
      <c r="EV34" s="20">
        <v>14210</v>
      </c>
      <c r="EW34" s="20">
        <v>12305</v>
      </c>
      <c r="EX34" s="20">
        <v>10733</v>
      </c>
      <c r="EY34" s="20">
        <v>8970</v>
      </c>
      <c r="EZ34" s="20">
        <v>18104</v>
      </c>
      <c r="FA34" s="20">
        <v>16104</v>
      </c>
      <c r="FB34" s="20">
        <v>14200</v>
      </c>
      <c r="FC34" s="20">
        <v>12062</v>
      </c>
      <c r="FD34" s="128"/>
      <c r="FE34" s="20">
        <v>10230</v>
      </c>
      <c r="FF34" s="20">
        <v>8270</v>
      </c>
      <c r="FG34" s="20">
        <v>6700</v>
      </c>
      <c r="FH34" s="20">
        <v>4680</v>
      </c>
      <c r="FI34" s="20">
        <v>2678</v>
      </c>
      <c r="FJ34" s="20">
        <v>14715</v>
      </c>
      <c r="FK34" s="20">
        <v>12821</v>
      </c>
      <c r="FL34" s="20">
        <v>10813</v>
      </c>
      <c r="FM34" s="20">
        <v>8920</v>
      </c>
      <c r="FN34" s="20">
        <v>7077</v>
      </c>
      <c r="FO34" s="20">
        <v>17234</v>
      </c>
      <c r="FP34" s="20">
        <v>15350</v>
      </c>
      <c r="FQ34" s="20">
        <v>13284</v>
      </c>
      <c r="FR34" s="20">
        <v>11564</v>
      </c>
      <c r="FS34" s="20">
        <v>9988</v>
      </c>
      <c r="FT34" s="20">
        <v>8117</v>
      </c>
      <c r="FU34" s="20">
        <v>17590</v>
      </c>
      <c r="FV34" s="20">
        <v>15866</v>
      </c>
      <c r="FW34" s="20">
        <v>13844</v>
      </c>
      <c r="FX34" s="20">
        <v>11666</v>
      </c>
      <c r="FY34" s="20">
        <v>9768</v>
      </c>
      <c r="FZ34" s="20">
        <v>8105</v>
      </c>
      <c r="GA34" s="20">
        <v>6271</v>
      </c>
      <c r="GB34" s="20">
        <v>16552</v>
      </c>
      <c r="GC34" s="20">
        <v>14326</v>
      </c>
      <c r="GD34" s="20">
        <v>12347</v>
      </c>
      <c r="GE34" s="20">
        <v>10633</v>
      </c>
      <c r="GF34" s="20">
        <v>8890</v>
      </c>
      <c r="GG34" s="20">
        <v>6827</v>
      </c>
      <c r="GH34" s="20">
        <v>5109</v>
      </c>
      <c r="GI34" s="20">
        <v>14263</v>
      </c>
      <c r="GJ34" s="127">
        <f t="shared" si="99"/>
        <v>334498</v>
      </c>
      <c r="GK34" s="20">
        <v>12431</v>
      </c>
      <c r="GL34" s="20">
        <v>10505</v>
      </c>
      <c r="GM34" s="20">
        <v>7870</v>
      </c>
      <c r="GN34" s="20">
        <v>5557</v>
      </c>
      <c r="GO34" s="20">
        <v>3469</v>
      </c>
      <c r="GP34" s="20">
        <v>11212</v>
      </c>
      <c r="GQ34" s="20">
        <v>8870</v>
      </c>
      <c r="GR34" s="20">
        <v>6869</v>
      </c>
      <c r="GS34" s="20">
        <v>4831</v>
      </c>
      <c r="GT34" s="20">
        <v>14866</v>
      </c>
      <c r="GU34" s="20">
        <v>12955</v>
      </c>
      <c r="GV34" s="20">
        <v>11000</v>
      </c>
      <c r="GW34" s="20">
        <v>8810</v>
      </c>
      <c r="GX34" s="20">
        <v>6809</v>
      </c>
      <c r="GY34" s="20">
        <v>5027</v>
      </c>
      <c r="GZ34" s="20">
        <v>16090</v>
      </c>
      <c r="HA34" s="20">
        <v>14022</v>
      </c>
      <c r="HB34" s="20">
        <v>12252</v>
      </c>
      <c r="HC34" s="20">
        <v>10535</v>
      </c>
      <c r="HD34" s="20">
        <v>8444</v>
      </c>
      <c r="HE34" s="20">
        <v>6578</v>
      </c>
      <c r="HF34" s="20">
        <v>4703</v>
      </c>
      <c r="HG34" s="20">
        <v>15744</v>
      </c>
      <c r="HH34" s="20">
        <v>13811</v>
      </c>
      <c r="HI34" s="20">
        <v>12336</v>
      </c>
      <c r="HJ34" s="20">
        <v>10347</v>
      </c>
      <c r="HK34" s="20">
        <v>8552</v>
      </c>
      <c r="HL34" s="20">
        <v>16715</v>
      </c>
      <c r="HM34" s="20">
        <v>14684.21</v>
      </c>
      <c r="HN34" s="127">
        <f t="shared" si="253"/>
        <v>295894.21000000002</v>
      </c>
      <c r="HO34" s="20">
        <v>12411</v>
      </c>
      <c r="HP34" s="20">
        <v>10105</v>
      </c>
      <c r="HQ34" s="20">
        <v>7894</v>
      </c>
      <c r="HR34" s="20">
        <v>5778</v>
      </c>
      <c r="HS34" s="20">
        <v>15600</v>
      </c>
      <c r="HT34" s="20">
        <v>13566</v>
      </c>
      <c r="HU34" s="20">
        <v>11200</v>
      </c>
      <c r="HV34" s="20">
        <v>9111</v>
      </c>
      <c r="HW34" s="20">
        <v>7122</v>
      </c>
      <c r="HX34" s="20">
        <v>5252</v>
      </c>
      <c r="HY34" s="20">
        <v>15178</v>
      </c>
      <c r="HZ34" s="20">
        <v>13422</v>
      </c>
      <c r="IA34" s="20">
        <v>11810</v>
      </c>
      <c r="IB34" s="20">
        <v>10220</v>
      </c>
      <c r="IC34" s="20">
        <v>8129</v>
      </c>
      <c r="ID34" s="20">
        <v>18113</v>
      </c>
      <c r="IE34" s="20">
        <v>16277</v>
      </c>
      <c r="IF34" s="20">
        <v>14255</v>
      </c>
      <c r="IG34" s="20">
        <v>12433</v>
      </c>
      <c r="IH34" s="20">
        <v>10588</v>
      </c>
      <c r="II34" s="20">
        <v>8940</v>
      </c>
      <c r="IJ34" s="20">
        <v>6918</v>
      </c>
      <c r="IK34" s="20">
        <v>14833</v>
      </c>
      <c r="IL34" s="20">
        <v>13042</v>
      </c>
      <c r="IM34" s="20">
        <v>11126</v>
      </c>
      <c r="IN34" s="20">
        <v>9466</v>
      </c>
      <c r="IO34" s="20">
        <v>7575</v>
      </c>
      <c r="IP34" s="20">
        <v>5736</v>
      </c>
      <c r="IQ34" s="20">
        <v>16981</v>
      </c>
      <c r="IR34" s="20">
        <v>15063</v>
      </c>
      <c r="IS34" s="20">
        <v>13688</v>
      </c>
      <c r="IT34" s="127">
        <f t="shared" si="22"/>
        <v>351832</v>
      </c>
      <c r="IU34" s="20">
        <v>12242</v>
      </c>
      <c r="IV34" s="20">
        <v>10350</v>
      </c>
      <c r="IW34" s="20">
        <v>8717</v>
      </c>
      <c r="IX34" s="20">
        <v>7022</v>
      </c>
      <c r="IY34" s="20">
        <v>5200</v>
      </c>
      <c r="IZ34" s="20">
        <v>3120</v>
      </c>
      <c r="JA34" s="20">
        <v>13358</v>
      </c>
      <c r="JB34" s="20">
        <v>11517</v>
      </c>
      <c r="JC34" s="20">
        <v>9922</v>
      </c>
      <c r="JD34" s="20">
        <v>7950</v>
      </c>
      <c r="JE34" s="20">
        <v>6362</v>
      </c>
      <c r="JF34" s="20">
        <v>4580</v>
      </c>
      <c r="JG34" s="20">
        <v>2885</v>
      </c>
      <c r="JH34" s="20">
        <v>13389</v>
      </c>
      <c r="JI34" s="20">
        <v>11505</v>
      </c>
      <c r="JJ34" s="20">
        <v>9855</v>
      </c>
      <c r="JK34" s="20">
        <v>8317</v>
      </c>
      <c r="JL34" s="20">
        <v>6755</v>
      </c>
      <c r="JM34" s="20">
        <v>4907</v>
      </c>
      <c r="JN34" s="20">
        <v>16221</v>
      </c>
      <c r="JO34" s="20">
        <v>14789</v>
      </c>
      <c r="JP34" s="20">
        <v>13042</v>
      </c>
      <c r="JQ34" s="20">
        <v>11576</v>
      </c>
      <c r="JR34" s="20">
        <v>9822</v>
      </c>
      <c r="JS34" s="20">
        <v>8117</v>
      </c>
      <c r="JT34" s="20">
        <v>6121</v>
      </c>
      <c r="JU34" s="20">
        <v>3626</v>
      </c>
      <c r="JV34" s="20">
        <v>12729</v>
      </c>
      <c r="JW34" s="20">
        <v>11157</v>
      </c>
      <c r="JX34" s="20">
        <v>9388</v>
      </c>
      <c r="JY34" s="127">
        <f t="shared" si="58"/>
        <v>274541</v>
      </c>
      <c r="JZ34" s="20">
        <v>7655</v>
      </c>
      <c r="KA34" s="20">
        <v>5800</v>
      </c>
      <c r="KB34" s="20">
        <v>4123</v>
      </c>
      <c r="KC34" s="20">
        <v>12175</v>
      </c>
      <c r="KD34" s="20">
        <v>10290</v>
      </c>
      <c r="KE34" s="20">
        <v>8511</v>
      </c>
      <c r="KF34" s="20">
        <v>6666</v>
      </c>
      <c r="KG34" s="20">
        <v>5127</v>
      </c>
      <c r="KH34" s="20">
        <v>3341</v>
      </c>
      <c r="KI34" s="20">
        <v>16447</v>
      </c>
      <c r="KJ34" s="20">
        <v>14455</v>
      </c>
      <c r="KK34" s="20">
        <v>12682</v>
      </c>
      <c r="KL34" s="20">
        <v>10666</v>
      </c>
      <c r="KM34" s="20">
        <v>9010</v>
      </c>
      <c r="KN34" s="20">
        <v>7475</v>
      </c>
      <c r="KO34" s="20">
        <v>5705</v>
      </c>
      <c r="KP34" s="20">
        <v>4047</v>
      </c>
      <c r="KQ34" s="20">
        <v>2272</v>
      </c>
      <c r="KR34" s="20">
        <v>10494</v>
      </c>
      <c r="KS34" s="20">
        <v>8588</v>
      </c>
      <c r="KT34" s="20">
        <v>10128</v>
      </c>
      <c r="KU34" s="20">
        <v>14455</v>
      </c>
      <c r="KV34" s="20">
        <v>12623</v>
      </c>
      <c r="KW34" s="20">
        <v>10611</v>
      </c>
      <c r="KX34" s="20">
        <v>16827</v>
      </c>
      <c r="KY34" s="20">
        <v>14900</v>
      </c>
      <c r="KZ34" s="20">
        <v>13052</v>
      </c>
      <c r="LA34" s="20">
        <v>11262</v>
      </c>
      <c r="LB34" s="20">
        <v>9546</v>
      </c>
      <c r="LC34" s="20">
        <v>16715</v>
      </c>
      <c r="LD34" s="20">
        <v>14477</v>
      </c>
      <c r="LE34" s="127">
        <f t="shared" si="60"/>
        <v>302470</v>
      </c>
      <c r="LF34" s="20">
        <v>12050</v>
      </c>
      <c r="LG34" s="20">
        <v>10200</v>
      </c>
      <c r="LH34" s="20">
        <v>8070</v>
      </c>
      <c r="LI34" s="20">
        <v>5855</v>
      </c>
      <c r="LJ34" s="20">
        <v>4060</v>
      </c>
      <c r="LK34" s="20">
        <v>14177</v>
      </c>
      <c r="LL34" s="20">
        <v>11960</v>
      </c>
      <c r="LM34" s="20">
        <v>9380</v>
      </c>
      <c r="LN34" s="20">
        <v>7364</v>
      </c>
      <c r="LO34" s="20">
        <v>5326</v>
      </c>
      <c r="LP34" s="20">
        <v>13357</v>
      </c>
      <c r="LQ34" s="20">
        <v>11529</v>
      </c>
      <c r="LR34" s="20">
        <v>9655</v>
      </c>
      <c r="LS34" s="20">
        <v>15472</v>
      </c>
      <c r="LT34" s="20">
        <v>12933</v>
      </c>
      <c r="LU34" s="20">
        <v>10893</v>
      </c>
      <c r="LV34" s="20">
        <v>9088</v>
      </c>
      <c r="LW34" s="20">
        <v>7044</v>
      </c>
      <c r="LX34" s="20">
        <v>5231</v>
      </c>
      <c r="LY34" s="20">
        <v>3235</v>
      </c>
      <c r="LZ34" s="20">
        <v>12137</v>
      </c>
      <c r="MA34" s="20">
        <v>10133</v>
      </c>
      <c r="MB34" s="20">
        <v>8070</v>
      </c>
      <c r="MC34" s="20">
        <v>5811</v>
      </c>
      <c r="MD34" s="20">
        <v>4066</v>
      </c>
      <c r="ME34" s="20">
        <v>2172</v>
      </c>
      <c r="MF34" s="20">
        <v>13577</v>
      </c>
      <c r="MG34" s="20">
        <v>11655</v>
      </c>
      <c r="MH34" s="20">
        <v>9663</v>
      </c>
      <c r="MI34" s="20">
        <v>16809</v>
      </c>
      <c r="MJ34" s="127">
        <f t="shared" si="62"/>
        <v>280972</v>
      </c>
      <c r="MK34" s="20">
        <v>14631</v>
      </c>
      <c r="ML34" s="20">
        <v>12729</v>
      </c>
      <c r="MM34" s="20">
        <v>10946</v>
      </c>
      <c r="MN34" s="20">
        <v>9111</v>
      </c>
      <c r="MO34" s="20">
        <v>7066</v>
      </c>
      <c r="MP34" s="20">
        <v>13000</v>
      </c>
      <c r="MQ34" s="20">
        <v>12955</v>
      </c>
      <c r="MR34" s="20">
        <v>11094</v>
      </c>
      <c r="MS34" s="20">
        <v>9350</v>
      </c>
      <c r="MT34" s="20">
        <v>7820</v>
      </c>
      <c r="MU34" s="20">
        <v>6050</v>
      </c>
      <c r="MV34" s="20">
        <v>17933</v>
      </c>
      <c r="MW34" s="20">
        <v>15490</v>
      </c>
      <c r="MX34" s="20">
        <v>14033</v>
      </c>
      <c r="MY34" s="20">
        <v>12389</v>
      </c>
      <c r="MZ34" s="20">
        <v>10350</v>
      </c>
      <c r="NA34" s="20">
        <v>8705</v>
      </c>
      <c r="NB34" s="20">
        <v>6722</v>
      </c>
      <c r="NC34" s="20">
        <v>4863</v>
      </c>
      <c r="ND34" s="20">
        <v>2847</v>
      </c>
      <c r="NE34" s="20">
        <v>11387</v>
      </c>
      <c r="NF34" s="20">
        <v>9673</v>
      </c>
      <c r="NG34" s="20">
        <v>8141</v>
      </c>
      <c r="NH34" s="20">
        <v>6575</v>
      </c>
      <c r="NI34" s="20">
        <v>16652</v>
      </c>
      <c r="NJ34" s="20">
        <v>14768</v>
      </c>
      <c r="NK34" s="20">
        <v>12463</v>
      </c>
      <c r="NL34" s="20">
        <v>11042</v>
      </c>
      <c r="NM34" s="20">
        <v>9088</v>
      </c>
      <c r="NN34" s="20">
        <v>7317</v>
      </c>
      <c r="NO34" s="20">
        <v>15866</v>
      </c>
      <c r="NP34" s="127">
        <f t="shared" si="64"/>
        <v>316425</v>
      </c>
      <c r="NQ34" s="20">
        <v>14077</v>
      </c>
      <c r="NR34" s="20">
        <v>12315</v>
      </c>
      <c r="NS34" s="20">
        <v>10155</v>
      </c>
      <c r="NT34" s="20">
        <v>8400</v>
      </c>
      <c r="NU34" s="20">
        <v>6526</v>
      </c>
      <c r="NV34" s="20">
        <v>4336</v>
      </c>
      <c r="NW34" s="20">
        <v>12555</v>
      </c>
      <c r="NX34" s="20">
        <v>10666</v>
      </c>
      <c r="NY34" s="20">
        <v>8577</v>
      </c>
      <c r="NZ34" s="20">
        <v>6484</v>
      </c>
      <c r="OA34" s="20">
        <v>14663</v>
      </c>
      <c r="OB34" s="20">
        <v>12855</v>
      </c>
      <c r="OC34" s="20">
        <v>10973</v>
      </c>
      <c r="OD34" s="20">
        <v>8990</v>
      </c>
      <c r="OE34" s="20">
        <v>7066</v>
      </c>
      <c r="OF34" s="20">
        <v>13988</v>
      </c>
      <c r="OG34" s="20">
        <v>11870</v>
      </c>
      <c r="OH34" s="20">
        <v>10094</v>
      </c>
      <c r="OI34" s="20">
        <v>8094</v>
      </c>
      <c r="OJ34" s="20">
        <v>6287</v>
      </c>
      <c r="OK34" s="20">
        <v>16523</v>
      </c>
      <c r="OL34" s="20">
        <v>14600</v>
      </c>
      <c r="OM34" s="20">
        <v>12822</v>
      </c>
      <c r="ON34" s="20">
        <v>10764</v>
      </c>
      <c r="OO34" s="20">
        <v>9378</v>
      </c>
      <c r="OP34" s="20">
        <v>7600</v>
      </c>
      <c r="OQ34" s="20">
        <v>5715</v>
      </c>
      <c r="OR34" s="20">
        <v>4123</v>
      </c>
      <c r="OS34" s="20">
        <v>2172</v>
      </c>
      <c r="OT34" s="20">
        <v>12294</v>
      </c>
      <c r="OU34" s="20">
        <v>10176</v>
      </c>
      <c r="OV34" s="127">
        <f t="shared" si="66"/>
        <v>291061</v>
      </c>
      <c r="OW34" s="20">
        <v>8477</v>
      </c>
      <c r="OX34" s="20">
        <v>6547</v>
      </c>
      <c r="OY34" s="20">
        <v>4676</v>
      </c>
      <c r="OZ34" s="20">
        <v>15800</v>
      </c>
      <c r="PA34" s="20">
        <v>13975</v>
      </c>
      <c r="PB34" s="20">
        <v>12012</v>
      </c>
      <c r="PC34" s="20">
        <v>9988</v>
      </c>
      <c r="PD34" s="20">
        <v>8258</v>
      </c>
      <c r="PE34" s="20">
        <v>6180</v>
      </c>
      <c r="PF34" s="20">
        <v>4438</v>
      </c>
      <c r="PG34" s="20">
        <v>8840</v>
      </c>
      <c r="PH34" s="20">
        <v>7249</v>
      </c>
      <c r="PI34" s="20">
        <v>5112</v>
      </c>
      <c r="PJ34" s="20">
        <v>15021</v>
      </c>
      <c r="PK34" s="20">
        <v>13455</v>
      </c>
      <c r="PL34" s="20">
        <v>11482</v>
      </c>
      <c r="PM34" s="20">
        <v>9705</v>
      </c>
      <c r="PN34" s="20">
        <v>8033</v>
      </c>
      <c r="PO34" s="20">
        <v>6494</v>
      </c>
      <c r="PP34" s="20">
        <v>4852</v>
      </c>
      <c r="PQ34" s="20">
        <v>15330</v>
      </c>
      <c r="PR34" s="20">
        <v>13955</v>
      </c>
      <c r="PS34" s="20">
        <v>12389</v>
      </c>
      <c r="PT34" s="20">
        <v>10688</v>
      </c>
      <c r="PU34" s="20">
        <v>9315</v>
      </c>
      <c r="PV34" s="20">
        <v>7990</v>
      </c>
      <c r="PW34" s="20">
        <v>6262</v>
      </c>
      <c r="PX34" s="20">
        <v>14715</v>
      </c>
      <c r="PY34" s="20">
        <v>13822</v>
      </c>
      <c r="PZ34" s="20">
        <v>12200</v>
      </c>
      <c r="QA34" s="127">
        <f t="shared" si="68"/>
        <v>297260</v>
      </c>
      <c r="QB34" s="20">
        <v>10717</v>
      </c>
      <c r="QC34" s="20">
        <v>9335</v>
      </c>
      <c r="QD34" s="20">
        <v>16705</v>
      </c>
      <c r="QE34" s="20">
        <v>14544</v>
      </c>
      <c r="QF34" s="20">
        <v>12305</v>
      </c>
      <c r="QG34" s="20">
        <v>10611</v>
      </c>
      <c r="QH34" s="20">
        <v>8466</v>
      </c>
      <c r="QI34" s="20">
        <v>6717</v>
      </c>
      <c r="QJ34" s="20">
        <v>14922</v>
      </c>
      <c r="QK34" s="20">
        <v>13200</v>
      </c>
      <c r="QL34" s="20">
        <v>11042</v>
      </c>
      <c r="QM34" s="20">
        <v>9077</v>
      </c>
      <c r="QN34" s="20">
        <v>7235</v>
      </c>
      <c r="QO34" s="20">
        <v>5127</v>
      </c>
      <c r="QP34" s="20">
        <v>3317</v>
      </c>
      <c r="QQ34" s="20">
        <v>14877</v>
      </c>
      <c r="QR34" s="20">
        <v>13210</v>
      </c>
      <c r="QS34" s="20">
        <v>11212</v>
      </c>
      <c r="QT34" s="20">
        <v>9305</v>
      </c>
      <c r="QU34" s="20">
        <v>7677</v>
      </c>
      <c r="QV34" s="20">
        <v>6080</v>
      </c>
      <c r="QW34" s="20">
        <v>4593</v>
      </c>
      <c r="QX34" s="20">
        <v>3032</v>
      </c>
      <c r="QY34" s="20">
        <v>13466</v>
      </c>
      <c r="QZ34" s="20">
        <v>11189</v>
      </c>
      <c r="RA34" s="20">
        <v>9496</v>
      </c>
      <c r="RB34" s="20">
        <v>7990</v>
      </c>
      <c r="RC34" s="20">
        <v>6375</v>
      </c>
      <c r="RD34" s="20">
        <v>4771</v>
      </c>
      <c r="RE34" s="20">
        <v>16457</v>
      </c>
      <c r="RF34" s="20">
        <v>14736</v>
      </c>
      <c r="RG34" s="127">
        <f t="shared" si="147"/>
        <v>297069</v>
      </c>
      <c r="RH34" s="20">
        <v>12800</v>
      </c>
      <c r="RI34" s="20">
        <v>10866</v>
      </c>
      <c r="RJ34" s="20">
        <v>9273</v>
      </c>
      <c r="RK34" s="20">
        <v>7312</v>
      </c>
      <c r="RL34" s="20">
        <v>5768</v>
      </c>
      <c r="RM34" s="20">
        <v>4315</v>
      </c>
      <c r="RN34" s="20">
        <v>15000</v>
      </c>
      <c r="RO34" s="20">
        <v>13280</v>
      </c>
      <c r="RP34" s="20">
        <v>11564</v>
      </c>
      <c r="RQ34" s="20">
        <v>9941</v>
      </c>
      <c r="RR34" s="20">
        <v>8275</v>
      </c>
      <c r="RS34" s="20">
        <v>16644</v>
      </c>
      <c r="RT34" s="20">
        <v>15085</v>
      </c>
      <c r="RU34" s="20">
        <v>13699</v>
      </c>
      <c r="RV34" s="20">
        <v>11990</v>
      </c>
      <c r="RW34" s="20">
        <v>10330</v>
      </c>
      <c r="RX34" s="20">
        <v>8850</v>
      </c>
      <c r="RY34" s="20">
        <v>7200</v>
      </c>
      <c r="RZ34" s="20">
        <v>5273</v>
      </c>
      <c r="SA34" s="20">
        <v>14600</v>
      </c>
      <c r="SB34" s="20">
        <v>13105</v>
      </c>
      <c r="SC34" s="20">
        <v>11155</v>
      </c>
      <c r="SD34" s="20">
        <v>9188</v>
      </c>
      <c r="SE34" s="20">
        <v>15554</v>
      </c>
      <c r="SF34" s="20">
        <v>13888</v>
      </c>
      <c r="SG34" s="20">
        <v>12125</v>
      </c>
      <c r="SH34" s="20">
        <v>10458</v>
      </c>
      <c r="SI34" s="20">
        <v>8752</v>
      </c>
      <c r="SJ34" s="20">
        <v>6900</v>
      </c>
      <c r="SK34" s="20">
        <v>4822</v>
      </c>
      <c r="SL34" s="127">
        <f t="shared" si="207"/>
        <v>318012</v>
      </c>
      <c r="SM34" s="20">
        <v>16104</v>
      </c>
      <c r="SN34" s="20">
        <v>14336</v>
      </c>
      <c r="SO34" s="20">
        <v>12766</v>
      </c>
      <c r="SP34" s="20">
        <v>11063</v>
      </c>
      <c r="SQ34" s="20">
        <v>9493</v>
      </c>
      <c r="SR34" s="20">
        <v>16552</v>
      </c>
      <c r="SS34" s="20">
        <v>14400</v>
      </c>
      <c r="ST34" s="20">
        <v>12717</v>
      </c>
      <c r="SU34" s="20">
        <v>10800</v>
      </c>
      <c r="SV34" s="20">
        <v>9155</v>
      </c>
      <c r="SW34" s="20">
        <v>7400</v>
      </c>
      <c r="SX34" s="20">
        <v>13522</v>
      </c>
      <c r="SY34" s="20">
        <v>11517</v>
      </c>
      <c r="SZ34" s="20">
        <v>9533</v>
      </c>
      <c r="TA34" s="20">
        <v>7947</v>
      </c>
      <c r="TB34" s="20">
        <v>6200</v>
      </c>
      <c r="TC34" s="20">
        <v>4368</v>
      </c>
      <c r="TD34" s="20">
        <v>2584</v>
      </c>
      <c r="TE34" s="20">
        <v>11529</v>
      </c>
      <c r="TF34" s="20">
        <v>9600</v>
      </c>
      <c r="TG34" s="20">
        <v>7462</v>
      </c>
      <c r="TH34" s="20">
        <v>5400</v>
      </c>
      <c r="TI34" s="20">
        <v>3325</v>
      </c>
      <c r="TJ34" s="20">
        <v>16120</v>
      </c>
      <c r="TK34" s="20">
        <v>14477</v>
      </c>
      <c r="TL34" s="20">
        <v>13010</v>
      </c>
      <c r="TM34" s="20">
        <v>11400</v>
      </c>
      <c r="TN34" s="20">
        <v>9788</v>
      </c>
      <c r="TO34" s="20">
        <v>8411</v>
      </c>
      <c r="TP34" s="20">
        <v>6755</v>
      </c>
      <c r="TQ34" s="20">
        <v>4957</v>
      </c>
      <c r="TR34" s="127">
        <f t="shared" si="226"/>
        <v>296587</v>
      </c>
      <c r="TS34" s="20">
        <v>14577</v>
      </c>
      <c r="TT34" s="20">
        <v>13115</v>
      </c>
      <c r="TU34" s="20">
        <v>11588</v>
      </c>
      <c r="TV34" s="20">
        <v>9888</v>
      </c>
      <c r="TW34" s="20">
        <v>17150</v>
      </c>
      <c r="TX34" s="20">
        <v>15380</v>
      </c>
      <c r="TY34" s="20">
        <v>13500</v>
      </c>
      <c r="TZ34" s="20">
        <v>11860</v>
      </c>
      <c r="UA34" s="20">
        <v>10200</v>
      </c>
      <c r="UB34" s="20">
        <v>8411</v>
      </c>
      <c r="UC34" s="20">
        <v>6463</v>
      </c>
      <c r="UD34" s="20">
        <v>13877</v>
      </c>
      <c r="UE34" s="20">
        <v>12210</v>
      </c>
      <c r="UF34" s="20">
        <v>10370</v>
      </c>
      <c r="UG34" s="20">
        <v>8544</v>
      </c>
      <c r="UH34" s="20">
        <v>6800</v>
      </c>
      <c r="UI34" s="20">
        <v>4900</v>
      </c>
      <c r="UJ34" s="20">
        <v>3008</v>
      </c>
      <c r="UK34" s="20">
        <v>1135</v>
      </c>
      <c r="UL34" s="20">
        <v>9485</v>
      </c>
      <c r="UM34" s="20">
        <v>7910</v>
      </c>
      <c r="UN34" s="20">
        <v>6140</v>
      </c>
      <c r="UO34" s="20">
        <v>4432</v>
      </c>
      <c r="UP34" s="20">
        <v>10270</v>
      </c>
      <c r="UQ34" s="20">
        <v>8544</v>
      </c>
      <c r="UR34" s="20">
        <v>6872</v>
      </c>
      <c r="US34" s="20">
        <v>5045</v>
      </c>
      <c r="UT34" s="20">
        <v>3400</v>
      </c>
      <c r="UU34" s="20">
        <v>12566</v>
      </c>
      <c r="UV34" s="20">
        <v>10866</v>
      </c>
      <c r="UW34" s="20">
        <v>8970</v>
      </c>
      <c r="UX34" s="127">
        <f t="shared" si="228"/>
        <v>272899</v>
      </c>
      <c r="UY34" s="20">
        <v>7000</v>
      </c>
      <c r="UZ34" s="20">
        <v>5336</v>
      </c>
      <c r="VA34" s="20">
        <v>3408</v>
      </c>
      <c r="VB34" s="20">
        <v>14822</v>
      </c>
      <c r="VC34" s="20">
        <v>13021</v>
      </c>
      <c r="VD34" s="20">
        <v>11275</v>
      </c>
      <c r="VE34" s="20">
        <v>9388</v>
      </c>
      <c r="VF34" s="20">
        <v>7677</v>
      </c>
      <c r="VG34" s="20">
        <v>6030</v>
      </c>
      <c r="VH34" s="20">
        <v>4294</v>
      </c>
      <c r="VI34" s="20">
        <v>15590</v>
      </c>
      <c r="VJ34" s="20">
        <v>13955</v>
      </c>
      <c r="VK34" s="20">
        <v>12300</v>
      </c>
      <c r="VL34" s="20">
        <v>9977</v>
      </c>
      <c r="VM34" s="20">
        <v>16438</v>
      </c>
      <c r="VN34" s="20">
        <v>14500</v>
      </c>
      <c r="VO34" s="20">
        <v>12611</v>
      </c>
      <c r="VP34" s="20">
        <v>10986</v>
      </c>
      <c r="VQ34" s="20">
        <v>16244</v>
      </c>
      <c r="VR34" s="20">
        <v>14588</v>
      </c>
      <c r="VS34" s="20">
        <v>12888</v>
      </c>
      <c r="VT34" s="20">
        <v>10866</v>
      </c>
      <c r="VU34" s="20">
        <v>9326</v>
      </c>
      <c r="VV34" s="20">
        <v>7700</v>
      </c>
      <c r="VW34" s="20">
        <v>6010</v>
      </c>
      <c r="VX34" s="20">
        <v>4464</v>
      </c>
      <c r="VY34" s="20">
        <v>14547</v>
      </c>
      <c r="VZ34" s="20">
        <v>12944</v>
      </c>
      <c r="WA34" s="127">
        <f>SUM(UW34:VZ34)</f>
        <v>580054</v>
      </c>
      <c r="WB34" s="20">
        <v>11000</v>
      </c>
      <c r="WC34" s="20">
        <v>9480</v>
      </c>
      <c r="WD34" s="20">
        <v>7850</v>
      </c>
      <c r="WE34" s="20">
        <v>6271</v>
      </c>
      <c r="WF34" s="20">
        <v>4936</v>
      </c>
      <c r="WG34" s="20">
        <v>3341</v>
      </c>
      <c r="WH34" s="20">
        <v>17400</v>
      </c>
      <c r="WI34" s="20">
        <v>15866</v>
      </c>
      <c r="WJ34" s="20">
        <v>14263</v>
      </c>
      <c r="WK34" s="20">
        <v>12452</v>
      </c>
      <c r="WL34" s="20">
        <v>10577</v>
      </c>
      <c r="WM34" s="20">
        <v>9133</v>
      </c>
      <c r="WN34" s="20">
        <v>7717</v>
      </c>
      <c r="WO34" s="20">
        <v>5977</v>
      </c>
      <c r="WP34" s="20">
        <v>4095</v>
      </c>
      <c r="WQ34" s="20">
        <v>17500</v>
      </c>
      <c r="WR34" s="20">
        <v>16095</v>
      </c>
      <c r="WS34" s="20">
        <v>14663.15</v>
      </c>
      <c r="WT34" s="20">
        <v>12977</v>
      </c>
      <c r="WU34" s="20">
        <v>11477</v>
      </c>
      <c r="WV34" s="20">
        <v>9900</v>
      </c>
      <c r="WW34" s="20">
        <v>8070</v>
      </c>
      <c r="WX34" s="20">
        <v>6410</v>
      </c>
      <c r="WY34" s="20">
        <v>4700</v>
      </c>
      <c r="WZ34" s="20">
        <v>3161</v>
      </c>
      <c r="XA34" s="20">
        <v>13477</v>
      </c>
      <c r="XB34" s="20">
        <v>11666</v>
      </c>
      <c r="XC34" s="20">
        <v>9611</v>
      </c>
      <c r="XD34" s="20">
        <v>7537</v>
      </c>
      <c r="XE34" s="20">
        <v>5800</v>
      </c>
      <c r="XF34" s="20">
        <v>18392</v>
      </c>
      <c r="XG34" s="127">
        <f t="shared" si="267"/>
        <v>311794.15000000002</v>
      </c>
      <c r="XH34" s="20">
        <v>16705</v>
      </c>
      <c r="XI34" s="20">
        <v>15220</v>
      </c>
      <c r="XJ34" s="20">
        <v>13466</v>
      </c>
      <c r="XK34" s="20">
        <v>11820</v>
      </c>
      <c r="XL34" s="20">
        <v>9986</v>
      </c>
      <c r="XM34" s="20">
        <v>8411</v>
      </c>
      <c r="XN34" s="20">
        <v>6494</v>
      </c>
      <c r="XO34" s="20">
        <v>4933</v>
      </c>
      <c r="XP34" s="20">
        <v>17286</v>
      </c>
      <c r="XQ34" s="20">
        <v>15518</v>
      </c>
      <c r="XR34" s="20">
        <v>13633</v>
      </c>
      <c r="XS34" s="20">
        <v>11820</v>
      </c>
      <c r="XT34" s="20">
        <v>10111</v>
      </c>
      <c r="XU34" s="20">
        <v>8544</v>
      </c>
      <c r="XV34" s="20">
        <v>14768</v>
      </c>
      <c r="XW34" s="20">
        <v>12855</v>
      </c>
      <c r="XX34" s="20">
        <v>11052</v>
      </c>
      <c r="XY34" s="20">
        <v>17280</v>
      </c>
      <c r="XZ34" s="20">
        <v>15140</v>
      </c>
      <c r="YA34" s="20">
        <v>13822</v>
      </c>
      <c r="YB34" s="20">
        <v>12210</v>
      </c>
      <c r="YC34" s="20">
        <v>10544</v>
      </c>
      <c r="YD34" s="20">
        <v>16973</v>
      </c>
      <c r="YE34" s="20">
        <v>15200</v>
      </c>
      <c r="YF34" s="20">
        <v>13178</v>
      </c>
      <c r="YG34" s="20">
        <v>11362</v>
      </c>
      <c r="YH34" s="20">
        <v>9700</v>
      </c>
      <c r="YI34" s="20">
        <v>8129</v>
      </c>
      <c r="YJ34" s="20">
        <v>15481</v>
      </c>
      <c r="YK34" s="20">
        <v>13811</v>
      </c>
      <c r="YL34" s="127">
        <f t="shared" si="269"/>
        <v>375452</v>
      </c>
      <c r="YM34" s="20">
        <v>12190</v>
      </c>
      <c r="YN34" s="20">
        <v>10066</v>
      </c>
      <c r="YO34" s="20">
        <v>8211</v>
      </c>
      <c r="YP34" s="20">
        <v>6170</v>
      </c>
      <c r="YQ34" s="20">
        <v>3930</v>
      </c>
      <c r="YR34" s="20">
        <v>1778</v>
      </c>
      <c r="YS34" s="20">
        <v>245</v>
      </c>
      <c r="YT34" s="20">
        <v>245</v>
      </c>
      <c r="YU34" s="20">
        <v>7000</v>
      </c>
      <c r="YV34" s="20">
        <v>4831</v>
      </c>
      <c r="YW34" s="20">
        <v>10729</v>
      </c>
      <c r="YX34" s="20">
        <v>8900</v>
      </c>
      <c r="YY34" s="20">
        <v>7437</v>
      </c>
      <c r="YZ34" s="20">
        <v>5855</v>
      </c>
      <c r="ZA34" s="20">
        <v>4123</v>
      </c>
      <c r="ZB34" s="20">
        <v>15445</v>
      </c>
      <c r="ZC34" s="20">
        <v>13555</v>
      </c>
      <c r="ZD34" s="20">
        <v>11777</v>
      </c>
      <c r="ZE34" s="20">
        <v>9833</v>
      </c>
      <c r="ZF34" s="20">
        <v>8023</v>
      </c>
      <c r="ZG34" s="20">
        <v>6275</v>
      </c>
      <c r="ZH34" s="20">
        <v>11447</v>
      </c>
      <c r="ZI34" s="20">
        <v>9242</v>
      </c>
      <c r="ZJ34" s="20">
        <v>6911</v>
      </c>
      <c r="ZK34" s="20">
        <v>4503</v>
      </c>
      <c r="ZL34" s="20">
        <v>2441</v>
      </c>
      <c r="ZM34" s="20">
        <v>13631</v>
      </c>
      <c r="ZN34" s="20">
        <v>11576</v>
      </c>
      <c r="ZO34" s="20">
        <v>17619</v>
      </c>
      <c r="ZP34" s="20">
        <v>15622</v>
      </c>
      <c r="ZQ34" s="20">
        <v>13555</v>
      </c>
      <c r="ZR34" s="127">
        <f t="shared" si="356"/>
        <v>263165</v>
      </c>
      <c r="ZS34" s="20">
        <v>11744</v>
      </c>
      <c r="ZT34" s="20">
        <v>9863</v>
      </c>
      <c r="ZU34" s="20">
        <v>7840</v>
      </c>
      <c r="ZV34" s="20">
        <v>5911</v>
      </c>
      <c r="ZW34" s="20">
        <v>3721</v>
      </c>
      <c r="ZX34" s="20">
        <v>14630</v>
      </c>
      <c r="ZY34" s="20">
        <v>12623</v>
      </c>
      <c r="ZZ34" s="20">
        <v>10670</v>
      </c>
      <c r="AAA34" s="20">
        <v>8930</v>
      </c>
      <c r="AAB34" s="20">
        <v>7010</v>
      </c>
      <c r="AAC34" s="20">
        <v>5294</v>
      </c>
      <c r="AAD34" s="20">
        <v>16610</v>
      </c>
      <c r="AAE34" s="20">
        <v>14378</v>
      </c>
      <c r="AAF34" s="20">
        <v>12150</v>
      </c>
      <c r="AAG34" s="20">
        <v>10155</v>
      </c>
      <c r="AAH34" s="20">
        <v>8211</v>
      </c>
      <c r="AAI34" s="20">
        <v>6258</v>
      </c>
      <c r="AAJ34" s="20">
        <v>16388</v>
      </c>
      <c r="AAK34" s="20">
        <v>14326</v>
      </c>
      <c r="AAL34" s="20">
        <v>12389</v>
      </c>
      <c r="AAM34" s="20">
        <v>10177</v>
      </c>
      <c r="AAN34" s="20">
        <v>8544</v>
      </c>
      <c r="AAO34" s="20">
        <v>6655</v>
      </c>
      <c r="AAP34" s="20">
        <v>17742</v>
      </c>
      <c r="AAQ34" s="20">
        <v>15755</v>
      </c>
      <c r="AAR34" s="20">
        <v>13855</v>
      </c>
      <c r="AAS34" s="20">
        <v>11810</v>
      </c>
      <c r="AAT34" s="20">
        <v>9560</v>
      </c>
      <c r="AAU34" s="20">
        <v>7726</v>
      </c>
      <c r="AAV34" s="20">
        <v>5855</v>
      </c>
      <c r="AAW34" s="127">
        <f t="shared" si="272"/>
        <v>316780</v>
      </c>
      <c r="AAX34" s="20">
        <v>16252</v>
      </c>
      <c r="AAY34" s="20">
        <v>14555</v>
      </c>
      <c r="AAZ34" s="20">
        <v>12764</v>
      </c>
      <c r="ABA34" s="20">
        <v>10700</v>
      </c>
      <c r="ABB34" s="20">
        <v>8082</v>
      </c>
      <c r="ABC34" s="20">
        <v>5966</v>
      </c>
      <c r="ABD34" s="20">
        <v>4133</v>
      </c>
      <c r="ABE34" s="20">
        <v>14022</v>
      </c>
      <c r="ABF34" s="20">
        <v>12152</v>
      </c>
      <c r="ABG34" s="20">
        <v>10300</v>
      </c>
      <c r="ABH34" s="20">
        <v>8305</v>
      </c>
      <c r="ABI34" s="20">
        <v>7055</v>
      </c>
      <c r="ABJ34" s="20">
        <v>5063</v>
      </c>
      <c r="ABK34" s="20">
        <v>3247</v>
      </c>
      <c r="ABL34" s="20">
        <v>1311</v>
      </c>
      <c r="ABM34" s="20">
        <v>14294</v>
      </c>
      <c r="ABN34" s="20">
        <v>12326</v>
      </c>
      <c r="ABO34" s="20">
        <v>10240</v>
      </c>
      <c r="ABP34" s="20">
        <v>16190</v>
      </c>
      <c r="ABQ34" s="20">
        <v>14188</v>
      </c>
      <c r="ABR34" s="20">
        <v>12284</v>
      </c>
      <c r="ABS34" s="20">
        <v>10400</v>
      </c>
      <c r="ABT34" s="20">
        <v>8433</v>
      </c>
      <c r="ABU34" s="20">
        <v>6350</v>
      </c>
      <c r="ABV34" s="20">
        <v>16284</v>
      </c>
      <c r="ABW34" s="20">
        <v>14122</v>
      </c>
      <c r="ABX34" s="20">
        <v>12252</v>
      </c>
      <c r="ABY34" s="20">
        <v>10240</v>
      </c>
      <c r="ABZ34" s="20">
        <v>16398</v>
      </c>
      <c r="ACA34" s="20">
        <v>14610</v>
      </c>
      <c r="ACB34" s="20">
        <v>12658</v>
      </c>
      <c r="ACC34" s="127">
        <f t="shared" si="274"/>
        <v>335176</v>
      </c>
      <c r="ACD34" s="20">
        <v>10684</v>
      </c>
      <c r="ACE34" s="20">
        <v>8305</v>
      </c>
      <c r="ACF34" s="20">
        <v>6150</v>
      </c>
      <c r="ACG34" s="20">
        <v>4009</v>
      </c>
      <c r="ACH34" s="20">
        <v>1703</v>
      </c>
      <c r="ACI34" s="20">
        <v>13200</v>
      </c>
      <c r="ACJ34" s="20">
        <v>11200</v>
      </c>
      <c r="ACK34" s="20">
        <v>9144</v>
      </c>
      <c r="ACL34" s="20">
        <v>7305</v>
      </c>
      <c r="ACM34" s="20">
        <v>5633</v>
      </c>
      <c r="ACN34" s="20">
        <v>3495</v>
      </c>
      <c r="ACO34" s="20">
        <v>1850</v>
      </c>
      <c r="ACP34" s="20">
        <v>17330</v>
      </c>
      <c r="ACQ34" s="20">
        <v>15454</v>
      </c>
      <c r="ACR34" s="20">
        <v>13368</v>
      </c>
      <c r="ACS34" s="20">
        <v>11755</v>
      </c>
      <c r="ACT34" s="20">
        <v>9900</v>
      </c>
      <c r="ACU34" s="20">
        <v>8000</v>
      </c>
      <c r="ACV34" s="20">
        <v>16965</v>
      </c>
      <c r="ACW34" s="20">
        <v>15454</v>
      </c>
      <c r="ACX34" s="20">
        <v>13711</v>
      </c>
      <c r="ACY34" s="20">
        <v>11715</v>
      </c>
      <c r="ACZ34" s="20">
        <v>9900</v>
      </c>
      <c r="ADA34" s="20">
        <v>8364</v>
      </c>
      <c r="ADB34" s="20">
        <v>15885</v>
      </c>
      <c r="ADC34" s="20">
        <v>14177</v>
      </c>
      <c r="ADD34" s="20">
        <v>12410</v>
      </c>
      <c r="ADE34" s="20">
        <v>10960</v>
      </c>
      <c r="ADF34" s="20">
        <v>9033</v>
      </c>
      <c r="ADG34" s="20">
        <v>15031</v>
      </c>
      <c r="ADH34" s="20">
        <v>13368</v>
      </c>
      <c r="ADI34" s="127">
        <f t="shared" si="276"/>
        <v>325458</v>
      </c>
      <c r="ADJ34" s="20">
        <v>11744</v>
      </c>
      <c r="ADK34" s="20">
        <v>10188</v>
      </c>
      <c r="ADL34" s="20">
        <v>8800</v>
      </c>
      <c r="ADM34" s="20">
        <v>6953</v>
      </c>
      <c r="ADN34" s="20">
        <v>17000</v>
      </c>
      <c r="ADO34" s="20">
        <v>15063</v>
      </c>
      <c r="ADP34" s="20">
        <v>13305</v>
      </c>
      <c r="ADQ34" s="20">
        <v>11600</v>
      </c>
      <c r="ADR34" s="20">
        <v>10064</v>
      </c>
      <c r="ADS34" s="20">
        <v>8687</v>
      </c>
      <c r="ADT34" s="20">
        <v>7088</v>
      </c>
      <c r="ADU34" s="20">
        <v>18280</v>
      </c>
      <c r="ADV34" s="20">
        <v>16426</v>
      </c>
      <c r="ADW34" s="20">
        <v>14877</v>
      </c>
      <c r="ADX34" s="20">
        <v>13126</v>
      </c>
      <c r="ADY34" s="20">
        <v>11652</v>
      </c>
      <c r="ADZ34" s="20">
        <v>10350</v>
      </c>
      <c r="AEA34" s="20">
        <v>8729</v>
      </c>
      <c r="AEB34" s="20">
        <v>7223</v>
      </c>
      <c r="AEC34" s="20">
        <v>16715</v>
      </c>
      <c r="AED34" s="20">
        <v>15230</v>
      </c>
      <c r="AEE34" s="20">
        <v>13588</v>
      </c>
      <c r="AEF34" s="20">
        <v>12082</v>
      </c>
      <c r="AEG34" s="20">
        <v>10574</v>
      </c>
      <c r="AEH34" s="20">
        <v>9022</v>
      </c>
      <c r="AEI34" s="20">
        <v>7179</v>
      </c>
      <c r="AEJ34" s="20">
        <v>13544</v>
      </c>
      <c r="AEK34" s="20">
        <v>11970</v>
      </c>
      <c r="AEL34" s="20">
        <v>10111</v>
      </c>
      <c r="AEM34" s="20">
        <v>17563</v>
      </c>
      <c r="AEN34" s="127">
        <f t="shared" si="364"/>
        <v>358733</v>
      </c>
      <c r="AEO34" s="20">
        <v>16142</v>
      </c>
      <c r="AEP34" s="20">
        <v>14642</v>
      </c>
      <c r="AEQ34" s="20">
        <v>12944</v>
      </c>
      <c r="AER34" s="20">
        <v>11105</v>
      </c>
      <c r="AES34" s="20">
        <v>9600</v>
      </c>
      <c r="AET34" s="20">
        <v>7925</v>
      </c>
      <c r="AEU34" s="20">
        <v>6400</v>
      </c>
      <c r="AEV34" s="20">
        <v>12739</v>
      </c>
      <c r="AEW34" s="20">
        <v>10866</v>
      </c>
      <c r="AEX34" s="20">
        <v>8880</v>
      </c>
      <c r="AEY34" s="20">
        <v>7166</v>
      </c>
      <c r="AEZ34" s="20">
        <v>5621</v>
      </c>
      <c r="AFA34" s="20">
        <v>4085</v>
      </c>
      <c r="AFB34" s="20">
        <v>15380</v>
      </c>
      <c r="AFC34" s="20">
        <v>13694</v>
      </c>
      <c r="AFD34" s="20">
        <v>12050</v>
      </c>
      <c r="AFE34" s="20">
        <v>10600</v>
      </c>
      <c r="AFF34" s="20">
        <v>16800</v>
      </c>
      <c r="AFG34" s="20">
        <v>15230</v>
      </c>
      <c r="AFH34" s="20">
        <v>13688</v>
      </c>
      <c r="AFI34" s="20">
        <v>11970</v>
      </c>
      <c r="AFJ34" s="20">
        <v>10411</v>
      </c>
      <c r="AFK34" s="20">
        <v>9022</v>
      </c>
      <c r="AFL34" s="20">
        <v>15260</v>
      </c>
      <c r="AFM34" s="20">
        <v>13242</v>
      </c>
      <c r="AFN34" s="20">
        <v>11576</v>
      </c>
      <c r="AFO34" s="20">
        <v>9933</v>
      </c>
      <c r="AFP34" s="20">
        <v>8411</v>
      </c>
      <c r="AFQ34" s="20">
        <v>6954</v>
      </c>
      <c r="AFR34" s="20">
        <v>5410</v>
      </c>
      <c r="AFS34" s="20">
        <v>3645</v>
      </c>
      <c r="AFT34" s="127">
        <f t="shared" si="279"/>
        <v>331391</v>
      </c>
      <c r="AFU34" s="20">
        <v>13744</v>
      </c>
      <c r="AFV34" s="20">
        <v>11980</v>
      </c>
      <c r="AFW34" s="20">
        <v>10350</v>
      </c>
      <c r="AFX34" s="20">
        <v>8717</v>
      </c>
      <c r="AFY34" s="20">
        <v>6945</v>
      </c>
      <c r="AFZ34" s="20">
        <v>15210</v>
      </c>
      <c r="AGA34" s="20">
        <v>13411</v>
      </c>
      <c r="AGB34" s="20">
        <v>11990</v>
      </c>
      <c r="AGC34" s="20">
        <v>10133</v>
      </c>
      <c r="AGD34" s="20">
        <v>8341</v>
      </c>
      <c r="AGE34" s="20">
        <v>6789</v>
      </c>
      <c r="AGF34" s="20">
        <v>18264</v>
      </c>
      <c r="AGG34" s="20">
        <v>16684</v>
      </c>
      <c r="AGH34" s="20">
        <v>15170</v>
      </c>
      <c r="AGI34" s="20">
        <v>13500</v>
      </c>
      <c r="AGJ34" s="20">
        <v>11980</v>
      </c>
      <c r="AGK34" s="20">
        <v>10094</v>
      </c>
      <c r="AGL34" s="20">
        <v>8376</v>
      </c>
      <c r="AGM34" s="20">
        <v>6711</v>
      </c>
      <c r="AGN34" s="20">
        <v>4863</v>
      </c>
      <c r="AGO34" s="20">
        <v>15819</v>
      </c>
      <c r="AGP34" s="20">
        <v>13788</v>
      </c>
      <c r="AGQ34" s="20">
        <v>12273</v>
      </c>
      <c r="AGR34" s="20">
        <v>10661</v>
      </c>
      <c r="AGS34" s="20">
        <v>8752</v>
      </c>
      <c r="AGT34" s="20">
        <v>16019</v>
      </c>
      <c r="AGU34" s="20">
        <v>14221</v>
      </c>
      <c r="AGV34" s="20">
        <v>12137</v>
      </c>
      <c r="AGW34" s="20">
        <v>10077</v>
      </c>
      <c r="AGX34" s="20">
        <v>8364</v>
      </c>
      <c r="AGY34" s="127">
        <f t="shared" si="281"/>
        <v>345363</v>
      </c>
      <c r="AGZ34" s="20">
        <v>6557</v>
      </c>
      <c r="AHA34" s="20">
        <v>4800</v>
      </c>
      <c r="AHB34" s="20">
        <v>16114</v>
      </c>
      <c r="AHC34" s="20">
        <v>14155</v>
      </c>
      <c r="AHD34" s="20">
        <v>12037</v>
      </c>
      <c r="AHE34" s="20">
        <v>10122</v>
      </c>
      <c r="AHF34" s="20">
        <v>8400</v>
      </c>
      <c r="AHG34" s="20">
        <v>6547</v>
      </c>
      <c r="AHH34" s="20">
        <v>5009</v>
      </c>
      <c r="AHI34" s="20">
        <v>3180</v>
      </c>
      <c r="AHJ34" s="20">
        <v>14077</v>
      </c>
      <c r="AHK34" s="20">
        <v>12037</v>
      </c>
      <c r="AHL34" s="20">
        <v>9944</v>
      </c>
      <c r="AHM34" s="20">
        <v>8188</v>
      </c>
      <c r="AHN34" s="20">
        <v>6400</v>
      </c>
      <c r="AHO34" s="20">
        <v>4680</v>
      </c>
      <c r="AHP34" s="20">
        <v>17000</v>
      </c>
      <c r="AHQ34" s="20">
        <v>15000</v>
      </c>
      <c r="AHR34" s="20">
        <v>12888</v>
      </c>
      <c r="AHS34" s="20">
        <v>10946</v>
      </c>
      <c r="AHT34" s="20">
        <v>8960</v>
      </c>
      <c r="AHU34" s="20">
        <v>6845</v>
      </c>
      <c r="AHV34" s="20">
        <v>4514</v>
      </c>
      <c r="AHW34" s="20">
        <v>16090</v>
      </c>
      <c r="AHX34" s="20">
        <v>14411</v>
      </c>
      <c r="AHY34" s="20">
        <v>12717</v>
      </c>
      <c r="AHZ34" s="20">
        <v>11200</v>
      </c>
      <c r="AIA34" s="20">
        <v>9844</v>
      </c>
      <c r="AIB34" s="20">
        <v>8400</v>
      </c>
      <c r="AIC34" s="20">
        <v>6700</v>
      </c>
      <c r="AID34" s="20">
        <v>14600</v>
      </c>
      <c r="AIE34" s="127">
        <f t="shared" si="283"/>
        <v>312362</v>
      </c>
      <c r="AIF34" s="20">
        <v>13126</v>
      </c>
      <c r="AIG34" s="20">
        <v>11505</v>
      </c>
      <c r="AIH34" s="20">
        <v>9870</v>
      </c>
      <c r="AII34" s="20">
        <v>8122</v>
      </c>
      <c r="AIJ34" s="20">
        <v>6200</v>
      </c>
      <c r="AIK34" s="20">
        <v>14111</v>
      </c>
      <c r="AIL34" s="20">
        <v>12162</v>
      </c>
      <c r="AIM34" s="20">
        <v>10280</v>
      </c>
      <c r="AIN34" s="20">
        <v>17030</v>
      </c>
      <c r="AIO34" s="20">
        <v>14747</v>
      </c>
      <c r="AIP34" s="20">
        <v>12888</v>
      </c>
      <c r="AIQ34" s="20">
        <v>11189</v>
      </c>
      <c r="AIR34" s="20">
        <v>9284</v>
      </c>
      <c r="AIS34" s="20">
        <v>7545</v>
      </c>
      <c r="AIT34" s="20">
        <v>6452</v>
      </c>
      <c r="AIU34" s="20">
        <v>4926</v>
      </c>
      <c r="AIV34" s="20">
        <v>4047</v>
      </c>
      <c r="AIW34" s="20">
        <v>3024</v>
      </c>
      <c r="AIX34" s="20">
        <v>6325</v>
      </c>
      <c r="AIY34" s="20">
        <v>4638</v>
      </c>
      <c r="AIZ34" s="20">
        <v>2780</v>
      </c>
      <c r="AJA34" s="20">
        <v>12050</v>
      </c>
      <c r="AJB34" s="20">
        <v>10111</v>
      </c>
      <c r="AJC34" s="20">
        <v>8164</v>
      </c>
      <c r="AJD34" s="20">
        <v>11300</v>
      </c>
      <c r="AJE34" s="20">
        <v>9610</v>
      </c>
      <c r="AJF34" s="20">
        <v>7744</v>
      </c>
      <c r="AJG34" s="20">
        <v>6070</v>
      </c>
      <c r="AJH34" s="20">
        <v>4400</v>
      </c>
      <c r="AJI34" s="20">
        <v>12357</v>
      </c>
      <c r="AJJ34" s="20">
        <v>10662</v>
      </c>
      <c r="AJK34" s="127">
        <f t="shared" si="285"/>
        <v>282719</v>
      </c>
      <c r="AJL34" s="20">
        <v>9200</v>
      </c>
      <c r="AJM34" s="20">
        <v>7575</v>
      </c>
      <c r="AJN34" s="20">
        <v>5557</v>
      </c>
      <c r="AJO34" s="20">
        <v>3910</v>
      </c>
      <c r="AJP34" s="20">
        <v>2256</v>
      </c>
      <c r="AJQ34" s="20">
        <v>9736</v>
      </c>
      <c r="AJR34" s="20">
        <v>15554</v>
      </c>
      <c r="AJS34" s="20">
        <v>13852</v>
      </c>
      <c r="AJT34" s="20">
        <v>11980</v>
      </c>
      <c r="AJU34" s="20">
        <v>10228</v>
      </c>
      <c r="AJV34" s="20">
        <v>8600</v>
      </c>
      <c r="AJW34" s="20">
        <v>6845</v>
      </c>
      <c r="AJX34" s="20">
        <v>4907</v>
      </c>
      <c r="AJY34" s="20">
        <v>15147</v>
      </c>
      <c r="AJZ34" s="20">
        <v>13500</v>
      </c>
      <c r="AKA34" s="20">
        <v>11961</v>
      </c>
      <c r="AKB34" s="20">
        <v>10178</v>
      </c>
      <c r="AKC34" s="20">
        <v>8566</v>
      </c>
      <c r="AKD34" s="20">
        <v>15063</v>
      </c>
      <c r="AKE34" s="20">
        <v>13644</v>
      </c>
      <c r="AKF34" s="20">
        <v>11900</v>
      </c>
      <c r="AKG34" s="20">
        <v>10555</v>
      </c>
      <c r="AKH34" s="20">
        <v>9000</v>
      </c>
      <c r="AKI34" s="20">
        <v>7462</v>
      </c>
      <c r="AKJ34" s="20">
        <v>5877</v>
      </c>
      <c r="AKK34" s="20">
        <v>4389</v>
      </c>
      <c r="AKL34" s="20">
        <v>2952</v>
      </c>
      <c r="AKM34" s="20">
        <v>14488</v>
      </c>
      <c r="AKN34" s="127">
        <f t="shared" si="11"/>
        <v>264882</v>
      </c>
      <c r="AKO34" s="20">
        <v>12863</v>
      </c>
      <c r="AKP34" s="20">
        <v>11444</v>
      </c>
      <c r="AKQ34" s="20">
        <v>9831</v>
      </c>
      <c r="AKR34" s="20">
        <v>8377</v>
      </c>
      <c r="AKS34" s="20">
        <v>6819</v>
      </c>
      <c r="AKT34" s="20">
        <v>16282</v>
      </c>
      <c r="AKU34" s="20">
        <v>14768</v>
      </c>
      <c r="AKV34" s="20">
        <v>13147</v>
      </c>
      <c r="AKW34" s="20">
        <v>11470</v>
      </c>
      <c r="AKX34" s="20">
        <v>9933</v>
      </c>
      <c r="AKY34" s="20">
        <v>8511</v>
      </c>
      <c r="AKZ34" s="20">
        <v>6909</v>
      </c>
      <c r="ALA34" s="20">
        <v>15136</v>
      </c>
      <c r="ALB34" s="20">
        <v>13157</v>
      </c>
      <c r="ALC34" s="20">
        <v>11564</v>
      </c>
      <c r="ALD34" s="20">
        <v>9326</v>
      </c>
      <c r="ALE34" s="20">
        <v>7458</v>
      </c>
      <c r="ALF34" s="20">
        <v>5977</v>
      </c>
      <c r="ALG34" s="20">
        <v>4057</v>
      </c>
      <c r="ALH34" s="20">
        <v>15280</v>
      </c>
      <c r="ALI34" s="20">
        <v>13511</v>
      </c>
      <c r="ALJ34" s="20">
        <v>12162</v>
      </c>
      <c r="ALK34" s="20">
        <v>10320</v>
      </c>
      <c r="ALL34" s="20">
        <v>8511</v>
      </c>
      <c r="ALM34" s="20">
        <v>6611</v>
      </c>
      <c r="ALN34" s="20">
        <v>12666</v>
      </c>
      <c r="ALO34" s="20">
        <v>10722</v>
      </c>
      <c r="ALP34" s="20">
        <v>16047</v>
      </c>
      <c r="ALQ34" s="20">
        <v>13633</v>
      </c>
      <c r="ALR34" s="20">
        <v>11287</v>
      </c>
      <c r="ALS34" s="20">
        <v>9560</v>
      </c>
      <c r="ALT34" s="127">
        <f t="shared" si="12"/>
        <v>337339</v>
      </c>
      <c r="ALU34" s="20">
        <v>7189</v>
      </c>
      <c r="ALV34" s="20">
        <v>12855</v>
      </c>
      <c r="ALW34" s="20">
        <v>15857</v>
      </c>
      <c r="ALX34" s="20">
        <v>13911</v>
      </c>
      <c r="ALY34" s="20">
        <v>12705</v>
      </c>
      <c r="ALZ34" s="20">
        <v>11423</v>
      </c>
      <c r="AMA34" s="20">
        <v>9284</v>
      </c>
      <c r="AMB34" s="20">
        <v>7305</v>
      </c>
      <c r="AMC34" s="20">
        <v>5118</v>
      </c>
      <c r="AMD34" s="20">
        <v>2980</v>
      </c>
      <c r="AME34" s="20">
        <v>812</v>
      </c>
      <c r="AMF34" s="20">
        <v>8455</v>
      </c>
      <c r="AMG34" s="20">
        <v>6150</v>
      </c>
      <c r="AMH34" s="20">
        <v>12633</v>
      </c>
      <c r="AMI34" s="20">
        <v>10853</v>
      </c>
      <c r="AMJ34" s="20">
        <v>9177</v>
      </c>
      <c r="AMK34" s="20">
        <v>15178</v>
      </c>
      <c r="AML34" s="20">
        <v>12900</v>
      </c>
      <c r="AMM34" s="20">
        <v>10711</v>
      </c>
      <c r="AMN34" s="20">
        <v>6828</v>
      </c>
      <c r="AMO34" s="20">
        <v>10813</v>
      </c>
      <c r="AMP34" s="20">
        <v>7562</v>
      </c>
      <c r="AMQ34" s="20">
        <v>3152</v>
      </c>
      <c r="AMR34" s="20">
        <v>11375</v>
      </c>
      <c r="AMS34" s="20">
        <v>6568</v>
      </c>
      <c r="AMT34" s="20">
        <v>2336</v>
      </c>
      <c r="AMU34" s="20">
        <v>411</v>
      </c>
      <c r="AMV34" s="20">
        <v>6700</v>
      </c>
      <c r="AMW34" s="20">
        <v>2657</v>
      </c>
      <c r="AMX34" s="20">
        <v>9400</v>
      </c>
      <c r="AMY34" s="127">
        <f t="shared" si="13"/>
        <v>253298</v>
      </c>
      <c r="AMZ34" s="20">
        <v>15572</v>
      </c>
      <c r="ANA34" s="20">
        <v>13477</v>
      </c>
      <c r="ANB34" s="20">
        <v>11766</v>
      </c>
      <c r="ANC34" s="20">
        <v>9546</v>
      </c>
      <c r="AND34" s="20">
        <v>15480</v>
      </c>
      <c r="ANE34" s="20">
        <v>13180</v>
      </c>
      <c r="ANF34" s="20">
        <v>11052</v>
      </c>
      <c r="ANG34" s="20">
        <v>15980</v>
      </c>
      <c r="ANH34" s="20">
        <v>13711</v>
      </c>
      <c r="ANI34" s="20">
        <v>11910</v>
      </c>
      <c r="ANJ34" s="20">
        <v>9866</v>
      </c>
      <c r="ANK34" s="20">
        <v>7950</v>
      </c>
      <c r="ANL34" s="20">
        <v>5911</v>
      </c>
      <c r="ANM34" s="20">
        <v>10435</v>
      </c>
      <c r="ANN34" s="20">
        <v>8282</v>
      </c>
      <c r="ANO34" s="20">
        <v>6688</v>
      </c>
      <c r="ANP34" s="20">
        <v>10557</v>
      </c>
      <c r="ANQ34" s="20">
        <v>9190</v>
      </c>
      <c r="ANR34" s="20">
        <v>7860</v>
      </c>
      <c r="ANS34" s="20">
        <v>16388</v>
      </c>
      <c r="ANT34" s="20">
        <v>15310</v>
      </c>
      <c r="ANU34" s="20">
        <v>13566</v>
      </c>
      <c r="ANV34" s="20">
        <v>12263</v>
      </c>
      <c r="ANW34" s="20">
        <v>10744</v>
      </c>
      <c r="ANX34" s="20">
        <v>9221</v>
      </c>
      <c r="ANY34" s="20">
        <v>7270</v>
      </c>
      <c r="ANZ34" s="20">
        <v>14877</v>
      </c>
      <c r="AOA34" s="20">
        <v>13600</v>
      </c>
      <c r="AOB34" s="20">
        <v>12100</v>
      </c>
      <c r="AOC34" s="20">
        <v>17160</v>
      </c>
    </row>
    <row r="35" spans="1:1069" x14ac:dyDescent="0.2">
      <c r="A35" s="160"/>
      <c r="B35" s="34" t="s">
        <v>1530</v>
      </c>
      <c r="C35" s="35">
        <f t="shared" ref="C35:AG35" si="446">C34-C33</f>
        <v>-21.007999999999811</v>
      </c>
      <c r="D35" s="35">
        <f t="shared" si="446"/>
        <v>22.711999999999534</v>
      </c>
      <c r="E35" s="35">
        <f t="shared" si="446"/>
        <v>-10.066999999999098</v>
      </c>
      <c r="F35" s="35">
        <f t="shared" si="446"/>
        <v>-27.164999999999964</v>
      </c>
      <c r="G35" s="35">
        <f t="shared" si="446"/>
        <v>59.232000000009066</v>
      </c>
      <c r="H35" s="35">
        <f t="shared" si="446"/>
        <v>-33.244000000069718</v>
      </c>
      <c r="I35" s="35">
        <f t="shared" si="446"/>
        <v>20.33300000007057</v>
      </c>
      <c r="J35" s="35">
        <f t="shared" si="446"/>
        <v>-2.1539999999940846</v>
      </c>
      <c r="K35" s="35">
        <f t="shared" si="446"/>
        <v>-145.79500000001281</v>
      </c>
      <c r="L35" s="35">
        <f t="shared" si="446"/>
        <v>27.535999999992782</v>
      </c>
      <c r="M35" s="35">
        <f t="shared" si="446"/>
        <v>23.301999999937834</v>
      </c>
      <c r="N35" s="35">
        <f t="shared" si="446"/>
        <v>-2.2529999998805579</v>
      </c>
      <c r="O35" s="35">
        <f t="shared" si="446"/>
        <v>61.14600000003702</v>
      </c>
      <c r="P35" s="35">
        <f t="shared" si="446"/>
        <v>-50.851000000024214</v>
      </c>
      <c r="Q35" s="35">
        <f t="shared" si="446"/>
        <v>84.042999999946915</v>
      </c>
      <c r="R35" s="35">
        <f t="shared" si="446"/>
        <v>26.047000000020489</v>
      </c>
      <c r="S35" s="35">
        <f t="shared" si="446"/>
        <v>4.0480000000097789</v>
      </c>
      <c r="T35" s="35">
        <f t="shared" si="446"/>
        <v>-31.741000000125496</v>
      </c>
      <c r="U35" s="35">
        <f t="shared" si="446"/>
        <v>-43.231999999989057</v>
      </c>
      <c r="V35" s="35">
        <f t="shared" si="446"/>
        <v>78.357000000047265</v>
      </c>
      <c r="W35" s="35">
        <f t="shared" si="446"/>
        <v>14.829000000085216</v>
      </c>
      <c r="X35" s="35">
        <f t="shared" si="446"/>
        <v>6.9469999999273568</v>
      </c>
      <c r="Y35" s="35">
        <f t="shared" si="446"/>
        <v>-3.4849999998987187</v>
      </c>
      <c r="Z35" s="35">
        <f t="shared" si="446"/>
        <v>-25.238999999972293</v>
      </c>
      <c r="AA35" s="35">
        <f t="shared" si="446"/>
        <v>36.735999999888008</v>
      </c>
      <c r="AB35" s="35">
        <f t="shared" si="446"/>
        <v>31.572000000014668</v>
      </c>
      <c r="AC35" s="35">
        <f t="shared" si="446"/>
        <v>-6.7269999999844003</v>
      </c>
      <c r="AD35" s="35">
        <f t="shared" si="446"/>
        <v>-36.398000000044703</v>
      </c>
      <c r="AE35" s="35">
        <f t="shared" si="446"/>
        <v>41.301999999937834</v>
      </c>
      <c r="AF35" s="35">
        <f t="shared" si="446"/>
        <v>-32.034999999857973</v>
      </c>
      <c r="AG35" s="35">
        <f t="shared" si="446"/>
        <v>19.557999999902677</v>
      </c>
      <c r="AH35" s="94">
        <f t="shared" si="324"/>
        <v>86.305999999974119</v>
      </c>
      <c r="AI35" s="35">
        <f t="shared" ref="AI35:BL35" si="447">AI34-AI33</f>
        <v>1.1580000000831205</v>
      </c>
      <c r="AJ35" s="35">
        <f t="shared" si="447"/>
        <v>107.14500000001863</v>
      </c>
      <c r="AK35" s="35">
        <f t="shared" si="447"/>
        <v>1.419999999954598</v>
      </c>
      <c r="AL35" s="35">
        <f t="shared" si="447"/>
        <v>77.772000000055414</v>
      </c>
      <c r="AM35" s="35">
        <f t="shared" si="447"/>
        <v>-64.818000000086613</v>
      </c>
      <c r="AN35" s="35">
        <f t="shared" si="447"/>
        <v>8.4459999999962747</v>
      </c>
      <c r="AO35" s="35">
        <f t="shared" si="447"/>
        <v>-23.469000000040978</v>
      </c>
      <c r="AP35" s="35">
        <f t="shared" si="447"/>
        <v>-13.622000000003027</v>
      </c>
      <c r="AQ35" s="35">
        <f t="shared" si="447"/>
        <v>-11.227999999944586</v>
      </c>
      <c r="AR35" s="35">
        <f t="shared" si="447"/>
        <v>50.65300000004936</v>
      </c>
      <c r="AS35" s="35">
        <f t="shared" si="447"/>
        <v>-16.193000000086613</v>
      </c>
      <c r="AT35" s="35">
        <f t="shared" si="447"/>
        <v>94.373000000108732</v>
      </c>
      <c r="AU35" s="35">
        <f t="shared" si="447"/>
        <v>-17.271000000095228</v>
      </c>
      <c r="AV35" s="35">
        <f t="shared" si="447"/>
        <v>-142.07200000001467</v>
      </c>
      <c r="AW35" s="35">
        <f t="shared" si="447"/>
        <v>4.9230000000970904</v>
      </c>
      <c r="AX35" s="35">
        <f t="shared" si="447"/>
        <v>8.3069999999715947</v>
      </c>
      <c r="AY35" s="35">
        <f t="shared" si="447"/>
        <v>-5.9449999999778811</v>
      </c>
      <c r="AZ35" s="35">
        <f t="shared" si="447"/>
        <v>-6.6159999999927095</v>
      </c>
      <c r="BA35" s="35">
        <f t="shared" si="447"/>
        <v>-16.594000000084634</v>
      </c>
      <c r="BB35" s="35">
        <f t="shared" si="447"/>
        <v>-86.15500000002794</v>
      </c>
      <c r="BC35" s="35">
        <f t="shared" si="447"/>
        <v>43.054000000149244</v>
      </c>
      <c r="BD35" s="35">
        <f t="shared" si="447"/>
        <v>-34.15500000002794</v>
      </c>
      <c r="BE35" s="35">
        <f t="shared" si="447"/>
        <v>30.440999999904307</v>
      </c>
      <c r="BF35" s="35">
        <f t="shared" si="447"/>
        <v>-31.124999999941792</v>
      </c>
      <c r="BG35" s="35">
        <f t="shared" si="447"/>
        <v>11.711999999912223</v>
      </c>
      <c r="BH35" s="35">
        <f t="shared" si="447"/>
        <v>108.67500000001746</v>
      </c>
      <c r="BI35" s="35">
        <f t="shared" si="447"/>
        <v>-6.2179999999352731</v>
      </c>
      <c r="BJ35" s="35">
        <f t="shared" si="447"/>
        <v>12.184000000008382</v>
      </c>
      <c r="BK35" s="35">
        <f t="shared" si="447"/>
        <v>40.892000000021653</v>
      </c>
      <c r="BL35" s="35">
        <f t="shared" si="447"/>
        <v>-3.1950000000360887</v>
      </c>
      <c r="BM35" s="97">
        <f t="shared" si="247"/>
        <v>122.47900000005211</v>
      </c>
      <c r="BN35" s="35">
        <f t="shared" ref="BN35:CR35" si="448">BN34-BN33</f>
        <v>-97.83799999995972</v>
      </c>
      <c r="BO35" s="35">
        <f t="shared" si="448"/>
        <v>17.231999999989057</v>
      </c>
      <c r="BP35" s="35">
        <f t="shared" si="448"/>
        <v>-23.532000000006519</v>
      </c>
      <c r="BQ35" s="35">
        <f t="shared" si="448"/>
        <v>3.9349999999685679</v>
      </c>
      <c r="BR35" s="35">
        <f t="shared" si="448"/>
        <v>11.419999999983702</v>
      </c>
      <c r="BS35" s="35">
        <f t="shared" si="448"/>
        <v>-4.8029999999562278</v>
      </c>
      <c r="BT35" s="35">
        <f t="shared" si="448"/>
        <v>99.241999999911059</v>
      </c>
      <c r="BU35" s="35">
        <f t="shared" si="448"/>
        <v>6.7940000000817236</v>
      </c>
      <c r="BV35" s="35">
        <f t="shared" si="448"/>
        <v>3.5490000000281725</v>
      </c>
      <c r="BW35" s="35">
        <f t="shared" si="448"/>
        <v>-24.318000000057509</v>
      </c>
      <c r="BX35" s="35">
        <f t="shared" si="448"/>
        <v>5.216000000044005</v>
      </c>
      <c r="BY35" s="35">
        <f t="shared" si="448"/>
        <v>-23.991000000067288</v>
      </c>
      <c r="BZ35" s="35">
        <f t="shared" si="448"/>
        <v>3.3080000000481959</v>
      </c>
      <c r="CA35" s="35">
        <f t="shared" si="448"/>
        <v>-74.76300000003539</v>
      </c>
      <c r="CB35" s="35">
        <f t="shared" si="448"/>
        <v>5.3250000000116415</v>
      </c>
      <c r="CC35" s="35">
        <f t="shared" si="448"/>
        <v>-25.57499999992433</v>
      </c>
      <c r="CD35" s="35">
        <f t="shared" si="448"/>
        <v>-16.480000000068685</v>
      </c>
      <c r="CE35" s="35">
        <f t="shared" si="448"/>
        <v>-69.522999999899184</v>
      </c>
      <c r="CF35" s="35">
        <f t="shared" si="448"/>
        <v>-3.5570000001171138</v>
      </c>
      <c r="CG35" s="35">
        <f t="shared" si="448"/>
        <v>-18.081999999994878</v>
      </c>
      <c r="CH35" s="35">
        <f t="shared" si="448"/>
        <v>63.005999999935739</v>
      </c>
      <c r="CI35" s="35">
        <f t="shared" si="448"/>
        <v>8.9690000000409782</v>
      </c>
      <c r="CJ35" s="35">
        <f t="shared" si="448"/>
        <v>-29.015999999895939</v>
      </c>
      <c r="CK35" s="35">
        <f t="shared" si="448"/>
        <v>34.658999999955995</v>
      </c>
      <c r="CL35" s="35">
        <f t="shared" si="448"/>
        <v>-4.4109999999345746</v>
      </c>
      <c r="CM35" s="35">
        <f t="shared" si="448"/>
        <v>4.8129999999946449</v>
      </c>
      <c r="CN35" s="35">
        <f t="shared" si="448"/>
        <v>-13.457000000053085</v>
      </c>
      <c r="CO35" s="35">
        <f t="shared" si="448"/>
        <v>-109.61300000009942</v>
      </c>
      <c r="CP35" s="35">
        <f t="shared" si="448"/>
        <v>-6.6629999999131542</v>
      </c>
      <c r="CQ35" s="35">
        <f t="shared" si="448"/>
        <v>10.629999999975553</v>
      </c>
      <c r="CR35" s="35">
        <f t="shared" si="448"/>
        <v>-44.159000000014203</v>
      </c>
      <c r="CS35" s="111">
        <f t="shared" si="208"/>
        <v>-311.68300000002819</v>
      </c>
      <c r="CT35" s="35">
        <f t="shared" ref="CT35:DW35" si="449">CT34-CT33</f>
        <v>6.6310000000230502</v>
      </c>
      <c r="CU35" s="35">
        <f t="shared" si="449"/>
        <v>-158.35100000002421</v>
      </c>
      <c r="CV35" s="35">
        <f t="shared" si="449"/>
        <v>19.867000000027474</v>
      </c>
      <c r="CW35" s="35">
        <f t="shared" si="449"/>
        <v>-6.7969999999913853</v>
      </c>
      <c r="CX35" s="35">
        <f t="shared" si="449"/>
        <v>21.274000000004889</v>
      </c>
      <c r="CY35" s="35">
        <f t="shared" si="449"/>
        <v>77.473000000056345</v>
      </c>
      <c r="CZ35" s="35">
        <f t="shared" si="449"/>
        <v>-159.44500000003609</v>
      </c>
      <c r="DA35" s="35">
        <f t="shared" si="449"/>
        <v>-28.39700000002631</v>
      </c>
      <c r="DB35" s="35">
        <f t="shared" si="449"/>
        <v>15.532999999937601</v>
      </c>
      <c r="DC35" s="35">
        <f t="shared" si="449"/>
        <v>16.617000000056578</v>
      </c>
      <c r="DD35" s="35">
        <f t="shared" si="449"/>
        <v>15.435999999986961</v>
      </c>
      <c r="DE35" s="35">
        <f t="shared" si="449"/>
        <v>-3.6630000000586733</v>
      </c>
      <c r="DF35" s="35">
        <f t="shared" si="449"/>
        <v>19.664000000018859</v>
      </c>
      <c r="DG35" s="35">
        <f t="shared" si="449"/>
        <v>10.52800000004936</v>
      </c>
      <c r="DH35" s="35">
        <f t="shared" si="449"/>
        <v>-36.416999999986729</v>
      </c>
      <c r="DI35" s="35">
        <f t="shared" si="449"/>
        <v>61.223000000056345</v>
      </c>
      <c r="DJ35" s="35">
        <f t="shared" si="449"/>
        <v>-54.426000000035856</v>
      </c>
      <c r="DK35" s="35">
        <f t="shared" si="449"/>
        <v>26.153999999893131</v>
      </c>
      <c r="DL35" s="35">
        <f t="shared" si="449"/>
        <v>-2.8280000000377186</v>
      </c>
      <c r="DM35" s="35">
        <f t="shared" si="449"/>
        <v>11.831000000005588</v>
      </c>
      <c r="DN35" s="35">
        <f t="shared" si="449"/>
        <v>-13.877999999967869</v>
      </c>
      <c r="DO35" s="35">
        <f t="shared" si="449"/>
        <v>-6.2969999999331776</v>
      </c>
      <c r="DP35" s="35">
        <f t="shared" si="449"/>
        <v>-11.522999999899184</v>
      </c>
      <c r="DQ35" s="35">
        <f t="shared" si="449"/>
        <v>37.162999999854947</v>
      </c>
      <c r="DR35" s="35">
        <f t="shared" si="449"/>
        <v>73.046000000089407</v>
      </c>
      <c r="DS35" s="35">
        <f t="shared" si="449"/>
        <v>-52.378999999986263</v>
      </c>
      <c r="DT35" s="35">
        <f t="shared" si="449"/>
        <v>-7.8380000000470318</v>
      </c>
      <c r="DU35" s="35">
        <f t="shared" si="449"/>
        <v>-10.203999999939697</v>
      </c>
      <c r="DV35" s="35">
        <f t="shared" si="449"/>
        <v>-13.88900000002468</v>
      </c>
      <c r="DW35" s="35">
        <f t="shared" si="449"/>
        <v>72.348999999900116</v>
      </c>
      <c r="DX35" s="119">
        <f>SUM(CT35:DW35)</f>
        <v>-81.543000000034226</v>
      </c>
      <c r="DY35" s="35">
        <f t="shared" ref="DY35:FC35" si="450">DY34-DY33</f>
        <v>-60.188999999983935</v>
      </c>
      <c r="DZ35" s="35">
        <f t="shared" si="450"/>
        <v>30.759999999951106</v>
      </c>
      <c r="EA35" s="35">
        <f t="shared" si="450"/>
        <v>-1.5699999998905696</v>
      </c>
      <c r="EB35" s="35">
        <f t="shared" si="450"/>
        <v>27.222999999969034</v>
      </c>
      <c r="EC35" s="35">
        <f t="shared" si="450"/>
        <v>-51.532999999995809</v>
      </c>
      <c r="ED35" s="35">
        <f t="shared" si="450"/>
        <v>-10.937000000092667</v>
      </c>
      <c r="EE35" s="35">
        <f t="shared" si="450"/>
        <v>-66.652999999991152</v>
      </c>
      <c r="EF35" s="35">
        <f t="shared" si="450"/>
        <v>14.870000000082655</v>
      </c>
      <c r="EG35" s="35">
        <f t="shared" si="450"/>
        <v>-5.5100000000093132</v>
      </c>
      <c r="EH35" s="35">
        <f t="shared" si="450"/>
        <v>19.630999999993946</v>
      </c>
      <c r="EI35" s="35">
        <f t="shared" si="450"/>
        <v>12.932999999960884</v>
      </c>
      <c r="EJ35" s="35">
        <f t="shared" si="450"/>
        <v>3.511000000173226</v>
      </c>
      <c r="EK35" s="35">
        <f t="shared" si="450"/>
        <v>15.614999999990687</v>
      </c>
      <c r="EL35" s="35">
        <f t="shared" si="450"/>
        <v>-12.453000000008615</v>
      </c>
      <c r="EM35" s="35">
        <f t="shared" si="450"/>
        <v>-51.028000000078464</v>
      </c>
      <c r="EN35" s="35">
        <f t="shared" si="450"/>
        <v>25.44399999990128</v>
      </c>
      <c r="EO35" s="35">
        <f t="shared" si="450"/>
        <v>-17.01899999982561</v>
      </c>
      <c r="EP35" s="35">
        <f t="shared" si="450"/>
        <v>-4.7380000000703149</v>
      </c>
      <c r="EQ35" s="35">
        <f t="shared" si="450"/>
        <v>33.175999999977648</v>
      </c>
      <c r="ER35" s="35">
        <f t="shared" si="450"/>
        <v>4.037999999942258</v>
      </c>
      <c r="ES35" s="35">
        <f t="shared" si="450"/>
        <v>-11.061999999976251</v>
      </c>
      <c r="ET35" s="35">
        <f t="shared" si="450"/>
        <v>16.92700000005425</v>
      </c>
      <c r="EU35" s="35">
        <f t="shared" si="450"/>
        <v>63.786000000021886</v>
      </c>
      <c r="EV35" s="35">
        <f t="shared" si="450"/>
        <v>-10.349000000074739</v>
      </c>
      <c r="EW35" s="35">
        <f t="shared" si="450"/>
        <v>15.844000000070082</v>
      </c>
      <c r="EX35" s="35">
        <f t="shared" si="450"/>
        <v>-52.809000000037486</v>
      </c>
      <c r="EY35" s="35">
        <f t="shared" si="450"/>
        <v>27.921000000002095</v>
      </c>
      <c r="EZ35" s="35">
        <f t="shared" si="450"/>
        <v>30.089999999967404</v>
      </c>
      <c r="FA35" s="35">
        <f t="shared" si="450"/>
        <v>-15.598999999987427</v>
      </c>
      <c r="FB35" s="35">
        <f t="shared" si="450"/>
        <v>20.822000000131084</v>
      </c>
      <c r="FC35" s="35">
        <f t="shared" si="450"/>
        <v>7.0129999998025596</v>
      </c>
      <c r="FD35" s="128">
        <f>SUM(DY35:FC35)</f>
        <v>-1.845000000030268</v>
      </c>
      <c r="FE35" s="35">
        <f t="shared" ref="FE35:GI35" si="451">FE34-FE33</f>
        <v>5.7400000000197906</v>
      </c>
      <c r="FF35" s="35">
        <f t="shared" si="451"/>
        <v>-20.295999999943888</v>
      </c>
      <c r="FG35" s="35">
        <f t="shared" si="451"/>
        <v>3.5720000000146683</v>
      </c>
      <c r="FH35" s="35">
        <f t="shared" si="451"/>
        <v>-12.819000000105007</v>
      </c>
      <c r="FI35" s="35">
        <f t="shared" si="451"/>
        <v>-21.384999999892898</v>
      </c>
      <c r="FJ35" s="35">
        <f t="shared" si="451"/>
        <v>35.481999999930849</v>
      </c>
      <c r="FK35" s="35">
        <f t="shared" si="451"/>
        <v>20.123000000050524</v>
      </c>
      <c r="FL35" s="35">
        <f t="shared" si="451"/>
        <v>-41.960999999952037</v>
      </c>
      <c r="FM35" s="35">
        <f t="shared" si="451"/>
        <v>49.909000000014203</v>
      </c>
      <c r="FN35" s="35">
        <f t="shared" si="451"/>
        <v>-44.978999999933876</v>
      </c>
      <c r="FO35" s="35">
        <f t="shared" si="451"/>
        <v>48.905999999959022</v>
      </c>
      <c r="FP35" s="35">
        <f t="shared" si="451"/>
        <v>1.5269999998854473</v>
      </c>
      <c r="FQ35" s="35">
        <f t="shared" si="451"/>
        <v>22.104000000108499</v>
      </c>
      <c r="FR35" s="35">
        <f t="shared" si="451"/>
        <v>25.393000000040047</v>
      </c>
      <c r="FS35" s="35">
        <f t="shared" si="451"/>
        <v>-18.115000000107102</v>
      </c>
      <c r="FT35" s="35">
        <f t="shared" si="451"/>
        <v>-19.888999999908265</v>
      </c>
      <c r="FU35" s="35">
        <f t="shared" si="451"/>
        <v>32.909999999770662</v>
      </c>
      <c r="FV35" s="35">
        <f t="shared" si="451"/>
        <v>8.1300000002083834</v>
      </c>
      <c r="FW35" s="35">
        <f t="shared" si="451"/>
        <v>-3.6979999999748543</v>
      </c>
      <c r="FX35" s="35">
        <f t="shared" si="451"/>
        <v>53.931999999884283</v>
      </c>
      <c r="FY35" s="35">
        <f t="shared" si="451"/>
        <v>-53.627000000094995</v>
      </c>
      <c r="FZ35" s="35">
        <f t="shared" si="451"/>
        <v>-4.4729999997362029</v>
      </c>
      <c r="GA35" s="35">
        <f t="shared" si="451"/>
        <v>37.098999999754597</v>
      </c>
      <c r="GB35" s="35">
        <f t="shared" si="451"/>
        <v>40.663000000175089</v>
      </c>
      <c r="GC35" s="35">
        <f t="shared" si="451"/>
        <v>23.752999999909662</v>
      </c>
      <c r="GD35" s="35">
        <f t="shared" si="451"/>
        <v>-2.7770000000600703</v>
      </c>
      <c r="GE35" s="35">
        <f t="shared" si="451"/>
        <v>-15.084999999788124</v>
      </c>
      <c r="GF35" s="35">
        <f t="shared" si="451"/>
        <v>40.792999999830499</v>
      </c>
      <c r="GG35" s="35">
        <f t="shared" si="451"/>
        <v>-35.53299999985029</v>
      </c>
      <c r="GH35" s="35">
        <f t="shared" si="451"/>
        <v>16.785000000032596</v>
      </c>
      <c r="GI35" s="35">
        <f t="shared" si="451"/>
        <v>-25.216000000044005</v>
      </c>
      <c r="GJ35" s="127">
        <f t="shared" si="99"/>
        <v>146.96800000019721</v>
      </c>
      <c r="GK35" s="35">
        <f t="shared" ref="GK35:HM35" si="452">GK34-GK33</f>
        <v>-24.015000000188593</v>
      </c>
      <c r="GL35" s="35">
        <f t="shared" si="452"/>
        <v>-0.70699999984935857</v>
      </c>
      <c r="GM35" s="35">
        <f t="shared" si="452"/>
        <v>68.076999999994769</v>
      </c>
      <c r="GN35" s="35">
        <f t="shared" si="452"/>
        <v>-53.162000000185799</v>
      </c>
      <c r="GO35" s="35">
        <f t="shared" si="452"/>
        <v>31.036000000109198</v>
      </c>
      <c r="GP35" s="35">
        <f t="shared" si="452"/>
        <v>-89.016000000090571</v>
      </c>
      <c r="GQ35" s="35">
        <f t="shared" si="452"/>
        <v>10.610000000189757</v>
      </c>
      <c r="GR35" s="35">
        <f t="shared" si="452"/>
        <v>-7.9010000000998843</v>
      </c>
      <c r="GS35" s="35">
        <f t="shared" si="452"/>
        <v>8.7529999999096617</v>
      </c>
      <c r="GT35" s="35">
        <f t="shared" si="452"/>
        <v>40.423000000009779</v>
      </c>
      <c r="GU35" s="35">
        <f t="shared" si="452"/>
        <v>9.2820000001229346</v>
      </c>
      <c r="GV35" s="35">
        <f t="shared" si="452"/>
        <v>-6.7890000000770669</v>
      </c>
      <c r="GW35" s="35">
        <f t="shared" si="452"/>
        <v>0.1770000001124572</v>
      </c>
      <c r="GX35" s="35">
        <f t="shared" si="452"/>
        <v>-12.940000000206055</v>
      </c>
      <c r="GY35" s="35">
        <f t="shared" si="452"/>
        <v>-2.9399999999150168</v>
      </c>
      <c r="GZ35" s="35">
        <f t="shared" si="452"/>
        <v>12.552000000025146</v>
      </c>
      <c r="HA35" s="35">
        <f t="shared" si="452"/>
        <v>41.937999999936437</v>
      </c>
      <c r="HB35" s="35">
        <f t="shared" si="452"/>
        <v>13.91600000008475</v>
      </c>
      <c r="HC35" s="35">
        <f t="shared" si="452"/>
        <v>-25.573000000062166</v>
      </c>
      <c r="HD35" s="35">
        <f t="shared" si="452"/>
        <v>11.946000000054482</v>
      </c>
      <c r="HE35" s="35">
        <f t="shared" si="452"/>
        <v>-12.018000000040047</v>
      </c>
      <c r="HF35" s="35">
        <f t="shared" si="452"/>
        <v>-12.267999999865424</v>
      </c>
      <c r="HG35" s="35">
        <f t="shared" si="452"/>
        <v>110.77399999994668</v>
      </c>
      <c r="HH35" s="35">
        <f t="shared" si="452"/>
        <v>14.097000000037951</v>
      </c>
      <c r="HI35" s="35">
        <f t="shared" si="452"/>
        <v>39.598999999929219</v>
      </c>
      <c r="HJ35" s="35">
        <f t="shared" si="452"/>
        <v>-43.179999999934807</v>
      </c>
      <c r="HK35" s="35">
        <f t="shared" si="452"/>
        <v>-6.8120000000635628</v>
      </c>
      <c r="HL35" s="35">
        <f t="shared" si="452"/>
        <v>13.876000000076601</v>
      </c>
      <c r="HM35" s="35">
        <f t="shared" si="452"/>
        <v>-1.4080000001340522</v>
      </c>
      <c r="HN35" s="127">
        <f t="shared" si="253"/>
        <v>128.32699999982742</v>
      </c>
      <c r="HO35" s="35">
        <f t="shared" ref="HO35:IS35" si="453">HO34-HO33</f>
        <v>5.785000000083528</v>
      </c>
      <c r="HP35" s="35">
        <f t="shared" si="453"/>
        <v>25.943999999988591</v>
      </c>
      <c r="HQ35" s="35">
        <f t="shared" si="453"/>
        <v>-12.647000000084518</v>
      </c>
      <c r="HR35" s="35">
        <f t="shared" si="453"/>
        <v>-32.661999999894761</v>
      </c>
      <c r="HS35" s="35">
        <f t="shared" si="453"/>
        <v>27.245000000111759</v>
      </c>
      <c r="HT35" s="35">
        <f t="shared" si="453"/>
        <v>25.781999999977415</v>
      </c>
      <c r="HU35" s="35">
        <f t="shared" si="453"/>
        <v>-19.65200000006007</v>
      </c>
      <c r="HV35" s="35">
        <f t="shared" si="453"/>
        <v>3.8879999999771826</v>
      </c>
      <c r="HW35" s="35">
        <f t="shared" si="453"/>
        <v>-6.6509999999543652</v>
      </c>
      <c r="HX35" s="35">
        <f t="shared" si="453"/>
        <v>24.878999999928055</v>
      </c>
      <c r="HY35" s="35">
        <f t="shared" si="453"/>
        <v>58.550999999977648</v>
      </c>
      <c r="HZ35" s="35">
        <f t="shared" si="453"/>
        <v>-21.005999999906635</v>
      </c>
      <c r="IA35" s="35">
        <f t="shared" si="453"/>
        <v>27.078999999997905</v>
      </c>
      <c r="IB35" s="35">
        <f t="shared" si="453"/>
        <v>-1.2900000000954606</v>
      </c>
      <c r="IC35" s="35">
        <f t="shared" si="453"/>
        <v>-19.452000000019325</v>
      </c>
      <c r="ID35" s="35">
        <f t="shared" si="453"/>
        <v>91.496000000071945</v>
      </c>
      <c r="IE35" s="35">
        <f t="shared" si="453"/>
        <v>-25.225000000180444</v>
      </c>
      <c r="IF35" s="35">
        <f t="shared" si="453"/>
        <v>39.507000000070548</v>
      </c>
      <c r="IG35" s="35">
        <f t="shared" si="453"/>
        <v>-30.79699999987497</v>
      </c>
      <c r="IH35" s="35">
        <f t="shared" si="453"/>
        <v>-29.975000000064028</v>
      </c>
      <c r="II35" s="35">
        <f t="shared" si="453"/>
        <v>12.867000000085682</v>
      </c>
      <c r="IJ35" s="35">
        <f t="shared" si="453"/>
        <v>-19.06400000010035</v>
      </c>
      <c r="IK35" s="35">
        <f t="shared" si="453"/>
        <v>65.97600000014063</v>
      </c>
      <c r="IL35" s="35">
        <f t="shared" si="453"/>
        <v>7.8259999999136198</v>
      </c>
      <c r="IM35" s="35">
        <f t="shared" si="453"/>
        <v>-35.310000000143191</v>
      </c>
      <c r="IN35" s="35">
        <f t="shared" si="453"/>
        <v>-0.15100000001257285</v>
      </c>
      <c r="IO35" s="35">
        <f t="shared" si="453"/>
        <v>-10.123999999836087</v>
      </c>
      <c r="IP35" s="35">
        <f t="shared" si="453"/>
        <v>5.5109999999403954</v>
      </c>
      <c r="IQ35" s="35">
        <f t="shared" si="453"/>
        <v>35.319000000075903</v>
      </c>
      <c r="IR35" s="35">
        <f t="shared" si="453"/>
        <v>36.734999999927823</v>
      </c>
      <c r="IS35" s="35">
        <f t="shared" si="453"/>
        <v>-17.838000000017928</v>
      </c>
      <c r="IT35" s="127">
        <f t="shared" si="22"/>
        <v>212.54600000002392</v>
      </c>
      <c r="IU35" s="35">
        <f t="shared" ref="IU35:JX35" si="454">IU34-IU33</f>
        <v>22.997000000003027</v>
      </c>
      <c r="IV35" s="35">
        <f t="shared" si="454"/>
        <v>-29.540999999997439</v>
      </c>
      <c r="IW35" s="35">
        <f t="shared" si="454"/>
        <v>16.457000000053085</v>
      </c>
      <c r="IX35" s="35">
        <f t="shared" si="454"/>
        <v>-49.52800000004936</v>
      </c>
      <c r="IY35" s="35">
        <f t="shared" si="454"/>
        <v>31.34799999993993</v>
      </c>
      <c r="IZ35" s="35">
        <f t="shared" si="454"/>
        <v>-23.183999999979278</v>
      </c>
      <c r="JA35" s="35">
        <f t="shared" si="454"/>
        <v>-14.502000000007683</v>
      </c>
      <c r="JB35" s="35">
        <f t="shared" si="454"/>
        <v>26.12400000001071</v>
      </c>
      <c r="JC35" s="35">
        <f t="shared" si="454"/>
        <v>41.877000000036787</v>
      </c>
      <c r="JD35" s="35">
        <f t="shared" si="454"/>
        <v>-45.678999999916414</v>
      </c>
      <c r="JE35" s="35">
        <f t="shared" si="454"/>
        <v>-9.2060000000637956</v>
      </c>
      <c r="JF35" s="35">
        <f t="shared" si="454"/>
        <v>-0.95199999984470196</v>
      </c>
      <c r="JG35" s="35">
        <f t="shared" si="454"/>
        <v>41.195999999792548</v>
      </c>
      <c r="JH35" s="35">
        <f t="shared" si="454"/>
        <v>-71.923999999795342</v>
      </c>
      <c r="JI35" s="35">
        <f t="shared" si="454"/>
        <v>53.216999999800464</v>
      </c>
      <c r="JJ35" s="35">
        <f t="shared" si="454"/>
        <v>-23.748999999923399</v>
      </c>
      <c r="JK35" s="35">
        <f t="shared" si="454"/>
        <v>24.639999999955762</v>
      </c>
      <c r="JL35" s="35">
        <f t="shared" si="454"/>
        <v>-46.035999999818159</v>
      </c>
      <c r="JM35" s="35">
        <f t="shared" si="454"/>
        <v>40.863999999826774</v>
      </c>
      <c r="JN35" s="35">
        <f t="shared" si="454"/>
        <v>-8.9509999999136198</v>
      </c>
      <c r="JO35" s="35">
        <f t="shared" si="454"/>
        <v>12.501000000018394</v>
      </c>
      <c r="JP35" s="35">
        <f t="shared" si="454"/>
        <v>4.8759999999019783</v>
      </c>
      <c r="JQ35" s="35">
        <f t="shared" si="454"/>
        <v>2.9880000000703149</v>
      </c>
      <c r="JR35" s="35">
        <f t="shared" si="454"/>
        <v>-22.53799999988405</v>
      </c>
      <c r="JS35" s="35">
        <f t="shared" si="454"/>
        <v>42.336999999854015</v>
      </c>
      <c r="JT35" s="35">
        <f t="shared" si="454"/>
        <v>-30.90900000007241</v>
      </c>
      <c r="JU35" s="35">
        <f t="shared" si="454"/>
        <v>-7.4870000000810251</v>
      </c>
      <c r="JV35" s="35">
        <f t="shared" si="454"/>
        <v>68.709000000060769</v>
      </c>
      <c r="JW35" s="35">
        <f t="shared" si="454"/>
        <v>16.421999999962281</v>
      </c>
      <c r="JX35" s="35">
        <f t="shared" si="454"/>
        <v>-40.425999999948544</v>
      </c>
      <c r="JY35" s="127">
        <f t="shared" si="58"/>
        <v>21.940999999991618</v>
      </c>
      <c r="JZ35" s="35">
        <f t="shared" ref="JZ35:LD35" si="455">JZ34-JZ33</f>
        <v>30.654999999998836</v>
      </c>
      <c r="KA35" s="35">
        <f t="shared" si="455"/>
        <v>-28.961999999941327</v>
      </c>
      <c r="KB35" s="35">
        <f t="shared" si="455"/>
        <v>34.653999999864027</v>
      </c>
      <c r="KC35" s="35">
        <f t="shared" si="455"/>
        <v>-31.652000000001863</v>
      </c>
      <c r="KD35" s="35">
        <f t="shared" si="455"/>
        <v>-2.0519999999087304</v>
      </c>
      <c r="KE35" s="35">
        <f t="shared" si="455"/>
        <v>15.763000000180909</v>
      </c>
      <c r="KF35" s="35">
        <f t="shared" si="455"/>
        <v>-29.695000000036089</v>
      </c>
      <c r="KG35" s="35">
        <f t="shared" si="455"/>
        <v>36.851999999838881</v>
      </c>
      <c r="KH35" s="35">
        <f t="shared" si="455"/>
        <v>9.2250000000058208</v>
      </c>
      <c r="KI35" s="35">
        <f t="shared" si="455"/>
        <v>10.532000000035623</v>
      </c>
      <c r="KJ35" s="35">
        <f t="shared" si="455"/>
        <v>53.568000000028405</v>
      </c>
      <c r="KK35" s="35">
        <f t="shared" si="455"/>
        <v>-39.110000000073342</v>
      </c>
      <c r="KL35" s="35">
        <f t="shared" si="455"/>
        <v>-18.057000000117114</v>
      </c>
      <c r="KM35" s="35">
        <f t="shared" si="455"/>
        <v>11.619000000297092</v>
      </c>
      <c r="KN35" s="35">
        <f t="shared" si="455"/>
        <v>3.4329999999899883</v>
      </c>
      <c r="KO35" s="35">
        <f t="shared" si="455"/>
        <v>-27.76300000003539</v>
      </c>
      <c r="KP35" s="35">
        <f t="shared" si="455"/>
        <v>44.117999999871245</v>
      </c>
      <c r="KQ35" s="35">
        <f t="shared" si="455"/>
        <v>8.9379999999655411</v>
      </c>
      <c r="KR35" s="35">
        <f t="shared" si="455"/>
        <v>-110.17399999996996</v>
      </c>
      <c r="KS35" s="35">
        <f t="shared" si="455"/>
        <v>8.61400000017602</v>
      </c>
      <c r="KT35" s="35">
        <f t="shared" si="455"/>
        <v>-2.8410000001022127</v>
      </c>
      <c r="KU35" s="35">
        <f t="shared" si="455"/>
        <v>-72.925000000133878</v>
      </c>
      <c r="KV35" s="35">
        <f t="shared" si="455"/>
        <v>1.9650000001711305</v>
      </c>
      <c r="KW35" s="35">
        <f t="shared" si="455"/>
        <v>-27.427000000083353</v>
      </c>
      <c r="KX35" s="35">
        <f t="shared" si="455"/>
        <v>41.873999999981606</v>
      </c>
      <c r="KY35" s="35">
        <f t="shared" si="455"/>
        <v>-24.631999999954132</v>
      </c>
      <c r="KZ35" s="35">
        <f t="shared" si="455"/>
        <v>21.081000000005588</v>
      </c>
      <c r="LA35" s="35">
        <f t="shared" si="455"/>
        <v>26.400000000023283</v>
      </c>
      <c r="LB35" s="35">
        <f t="shared" si="455"/>
        <v>4.8429999999643769</v>
      </c>
      <c r="LC35" s="35">
        <f t="shared" si="455"/>
        <v>24.940999999904307</v>
      </c>
      <c r="LD35" s="35">
        <f t="shared" si="455"/>
        <v>21.882000000128755</v>
      </c>
      <c r="LE35" s="127">
        <f t="shared" si="60"/>
        <v>-34.987999999924796</v>
      </c>
      <c r="LF35" s="35">
        <f t="shared" ref="LF35:MI35" si="456">LF34-LF33</f>
        <v>1.6429999999527354</v>
      </c>
      <c r="LG35" s="35">
        <f t="shared" si="456"/>
        <v>-7.0060000000230502</v>
      </c>
      <c r="LH35" s="35">
        <f t="shared" si="456"/>
        <v>4.1430000001273584</v>
      </c>
      <c r="LI35" s="35">
        <f t="shared" si="456"/>
        <v>-18.148000000044703</v>
      </c>
      <c r="LJ35" s="35">
        <f t="shared" si="456"/>
        <v>19.735999999800697</v>
      </c>
      <c r="LK35" s="35">
        <f t="shared" si="456"/>
        <v>46.945000000036089</v>
      </c>
      <c r="LL35" s="35">
        <f t="shared" si="456"/>
        <v>42.627000000153203</v>
      </c>
      <c r="LM35" s="35">
        <f t="shared" si="456"/>
        <v>-44.083000000013271</v>
      </c>
      <c r="LN35" s="35">
        <f t="shared" si="456"/>
        <v>-2.3419999998877756</v>
      </c>
      <c r="LO35" s="35">
        <f t="shared" si="456"/>
        <v>22.506999999925029</v>
      </c>
      <c r="LP35" s="35">
        <f t="shared" si="456"/>
        <v>14.409999999799766</v>
      </c>
      <c r="LQ35" s="35">
        <f t="shared" si="456"/>
        <v>67.174000000173692</v>
      </c>
      <c r="LR35" s="35">
        <f t="shared" si="456"/>
        <v>7.8389999998325948</v>
      </c>
      <c r="LS35" s="35">
        <f t="shared" si="456"/>
        <v>-9.6639999997860286</v>
      </c>
      <c r="LT35" s="35">
        <f t="shared" si="456"/>
        <v>2.2459999999264255</v>
      </c>
      <c r="LU35" s="35">
        <f t="shared" si="456"/>
        <v>-13.840000000054715</v>
      </c>
      <c r="LV35" s="35">
        <f t="shared" si="456"/>
        <v>4.7519999999494758</v>
      </c>
      <c r="LW35" s="35">
        <f t="shared" si="456"/>
        <v>-51.91599999985192</v>
      </c>
      <c r="LX35" s="35">
        <f t="shared" si="456"/>
        <v>39.44800000009127</v>
      </c>
      <c r="LY35" s="35">
        <f t="shared" si="456"/>
        <v>5.7139999997743871</v>
      </c>
      <c r="LZ35" s="35">
        <f t="shared" si="456"/>
        <v>79.470000000117579</v>
      </c>
      <c r="MA35" s="35">
        <f t="shared" si="456"/>
        <v>-0.66100000016740523</v>
      </c>
      <c r="MB35" s="35">
        <f t="shared" si="456"/>
        <v>-9.370999999839114</v>
      </c>
      <c r="MC35" s="35">
        <f t="shared" si="456"/>
        <v>-37.604999999894062</v>
      </c>
      <c r="MD35" s="35">
        <f t="shared" si="456"/>
        <v>-14.79500000004191</v>
      </c>
      <c r="ME35" s="35">
        <f t="shared" si="456"/>
        <v>45.274999999877764</v>
      </c>
      <c r="MF35" s="35">
        <f t="shared" si="456"/>
        <v>136.44699999998556</v>
      </c>
      <c r="MG35" s="35">
        <f t="shared" si="456"/>
        <v>16.935000000084983</v>
      </c>
      <c r="MH35" s="35">
        <f t="shared" si="456"/>
        <v>-40.917999999917811</v>
      </c>
      <c r="MI35" s="35">
        <f t="shared" si="456"/>
        <v>36.085999999864725</v>
      </c>
      <c r="MJ35" s="127">
        <f t="shared" si="62"/>
        <v>343.04799999995157</v>
      </c>
      <c r="MK35" s="35">
        <f t="shared" ref="MK35:NO35" si="457">MK34-MK33</f>
        <v>11.946000000054482</v>
      </c>
      <c r="ML35" s="35">
        <f t="shared" si="457"/>
        <v>28.987999999983003</v>
      </c>
      <c r="MM35" s="35">
        <f t="shared" si="457"/>
        <v>-25.657999999937601</v>
      </c>
      <c r="MN35" s="35">
        <f t="shared" si="457"/>
        <v>-5.643000000010943</v>
      </c>
      <c r="MO35" s="35">
        <f t="shared" si="457"/>
        <v>10.373999999894295</v>
      </c>
      <c r="MP35" s="35">
        <f t="shared" si="457"/>
        <v>-59.691999999893596</v>
      </c>
      <c r="MQ35" s="35">
        <f t="shared" si="457"/>
        <v>-57.944000000192318</v>
      </c>
      <c r="MR35" s="35">
        <f t="shared" si="457"/>
        <v>28.920000000100117</v>
      </c>
      <c r="MS35" s="35">
        <f t="shared" si="457"/>
        <v>-20.122999999963213</v>
      </c>
      <c r="MT35" s="35">
        <f t="shared" si="457"/>
        <v>-20.975000000094951</v>
      </c>
      <c r="MU35" s="35">
        <f t="shared" si="457"/>
        <v>-14.200999999849046</v>
      </c>
      <c r="MV35" s="35">
        <f t="shared" si="457"/>
        <v>-186.57500000009895</v>
      </c>
      <c r="MW35" s="35">
        <f t="shared" si="457"/>
        <v>-57.065999999991618</v>
      </c>
      <c r="MX35" s="35">
        <f t="shared" si="457"/>
        <v>43.353999999933876</v>
      </c>
      <c r="MY35" s="35">
        <f t="shared" si="457"/>
        <v>-15.269999999844003</v>
      </c>
      <c r="MZ35" s="35">
        <f t="shared" si="457"/>
        <v>-26.895000000135042</v>
      </c>
      <c r="NA35" s="35">
        <f t="shared" si="457"/>
        <v>18.139000000111992</v>
      </c>
      <c r="NB35" s="35">
        <f t="shared" si="457"/>
        <v>-6.0600000001722947</v>
      </c>
      <c r="NC35" s="35">
        <f t="shared" si="457"/>
        <v>-3.7239999998128042</v>
      </c>
      <c r="ND35" s="35">
        <f t="shared" si="457"/>
        <v>10.16999999989639</v>
      </c>
      <c r="NE35" s="35">
        <f t="shared" si="457"/>
        <v>104.92800000001444</v>
      </c>
      <c r="NF35" s="35">
        <f t="shared" si="457"/>
        <v>-70.436000000074273</v>
      </c>
      <c r="NG35" s="35">
        <f t="shared" si="457"/>
        <v>0.84400000024470501</v>
      </c>
      <c r="NH35" s="35">
        <f t="shared" si="457"/>
        <v>-15.537000000185799</v>
      </c>
      <c r="NI35" s="35">
        <f t="shared" si="457"/>
        <v>-15.110999999917112</v>
      </c>
      <c r="NJ35" s="35">
        <f t="shared" si="457"/>
        <v>46.53299999985029</v>
      </c>
      <c r="NK35" s="35">
        <f t="shared" si="457"/>
        <v>-20.58799999995972</v>
      </c>
      <c r="NL35" s="35">
        <f t="shared" si="457"/>
        <v>4.4040000002132729</v>
      </c>
      <c r="NM35" s="35">
        <f t="shared" si="457"/>
        <v>4.9449999998323619</v>
      </c>
      <c r="NN35" s="35">
        <f t="shared" si="457"/>
        <v>-49.885999999911292</v>
      </c>
      <c r="NO35" s="35">
        <f t="shared" si="457"/>
        <v>17.880999999935739</v>
      </c>
      <c r="NP35" s="127">
        <f t="shared" si="64"/>
        <v>-351.9040000000341</v>
      </c>
      <c r="NQ35" s="35">
        <f t="shared" ref="NQ35:OU35" si="458">NQ34-NQ33</f>
        <v>7.655999999929918</v>
      </c>
      <c r="NR35" s="35">
        <f t="shared" si="458"/>
        <v>12.240000000107102</v>
      </c>
      <c r="NS35" s="35">
        <f t="shared" si="458"/>
        <v>14.357000000047265</v>
      </c>
      <c r="NT35" s="35">
        <f t="shared" si="458"/>
        <v>0.24499999999534339</v>
      </c>
      <c r="NU35" s="35">
        <f t="shared" si="458"/>
        <v>-13.100000000122236</v>
      </c>
      <c r="NV35" s="35">
        <f t="shared" si="458"/>
        <v>33.07999999995809</v>
      </c>
      <c r="NW35" s="35">
        <f t="shared" si="458"/>
        <v>-109.60599999991246</v>
      </c>
      <c r="NX35" s="35">
        <f t="shared" si="458"/>
        <v>2.2829999999667052</v>
      </c>
      <c r="NY35" s="35">
        <f t="shared" si="458"/>
        <v>-24.105999999970663</v>
      </c>
      <c r="NZ35" s="35">
        <f t="shared" si="458"/>
        <v>5.3849999999511056</v>
      </c>
      <c r="OA35" s="35">
        <f t="shared" si="458"/>
        <v>16.522000000055414</v>
      </c>
      <c r="OB35" s="35">
        <f t="shared" si="458"/>
        <v>-26.671999999962281</v>
      </c>
      <c r="OC35" s="35">
        <f t="shared" si="458"/>
        <v>29.200999999942724</v>
      </c>
      <c r="OD35" s="35">
        <f t="shared" si="458"/>
        <v>-26.278999999864027</v>
      </c>
      <c r="OE35" s="35">
        <f t="shared" si="458"/>
        <v>-30.998000000225147</v>
      </c>
      <c r="OF35" s="35">
        <f t="shared" si="458"/>
        <v>44.59200000014971</v>
      </c>
      <c r="OG35" s="35">
        <f t="shared" si="458"/>
        <v>21.103000000031898</v>
      </c>
      <c r="OH35" s="35">
        <f t="shared" si="458"/>
        <v>-18.560000000172295</v>
      </c>
      <c r="OI35" s="35">
        <f t="shared" si="458"/>
        <v>-9.7459999998100102</v>
      </c>
      <c r="OJ35" s="35">
        <f t="shared" si="458"/>
        <v>7.5350000000034925</v>
      </c>
      <c r="OK35" s="35">
        <f t="shared" si="458"/>
        <v>11.616999999852851</v>
      </c>
      <c r="OL35" s="35">
        <f t="shared" si="458"/>
        <v>6.0230000001029111</v>
      </c>
      <c r="OM35" s="35">
        <f t="shared" si="458"/>
        <v>15.376000000076601</v>
      </c>
      <c r="ON35" s="35">
        <f t="shared" si="458"/>
        <v>-26.208000000216998</v>
      </c>
      <c r="OO35" s="35">
        <f t="shared" si="458"/>
        <v>-9.4539999999979045</v>
      </c>
      <c r="OP35" s="35">
        <f t="shared" si="458"/>
        <v>21.144999999873107</v>
      </c>
      <c r="OQ35" s="35">
        <f t="shared" si="458"/>
        <v>-16.896999999735272</v>
      </c>
      <c r="OR35" s="35">
        <f t="shared" si="458"/>
        <v>13.426999999966938</v>
      </c>
      <c r="OS35" s="35">
        <f t="shared" si="458"/>
        <v>7.8889999999955762</v>
      </c>
      <c r="OT35" s="35">
        <f t="shared" si="458"/>
        <v>7.1769999999960419</v>
      </c>
      <c r="OU35" s="35">
        <f t="shared" si="458"/>
        <v>14.340999999840278</v>
      </c>
      <c r="OV35" s="127">
        <f t="shared" si="66"/>
        <v>-28.088000000076136</v>
      </c>
      <c r="OW35" s="35">
        <f t="shared" ref="OW35:PZ35" si="459">OW34-OW33</f>
        <v>9.6050000001268927</v>
      </c>
      <c r="OX35" s="35">
        <f t="shared" si="459"/>
        <v>-25.595000000001164</v>
      </c>
      <c r="OY35" s="35">
        <f t="shared" si="459"/>
        <v>-30.064999999973224</v>
      </c>
      <c r="OZ35" s="35">
        <f t="shared" si="459"/>
        <v>14.303999999945518</v>
      </c>
      <c r="PA35" s="35">
        <f t="shared" si="459"/>
        <v>7.625</v>
      </c>
      <c r="PB35" s="35">
        <f t="shared" si="459"/>
        <v>20.163000000145985</v>
      </c>
      <c r="PC35" s="35">
        <f t="shared" si="459"/>
        <v>-35.588000000192551</v>
      </c>
      <c r="PD35" s="35">
        <f t="shared" si="459"/>
        <v>0.66000000020721927</v>
      </c>
      <c r="PE35" s="35">
        <f t="shared" si="459"/>
        <v>-9.4720000001834705</v>
      </c>
      <c r="PF35" s="35">
        <f t="shared" si="459"/>
        <v>-11.27399999985937</v>
      </c>
      <c r="PG35" s="35">
        <f t="shared" si="459"/>
        <v>-14.783000000054017</v>
      </c>
      <c r="PH35" s="35">
        <f t="shared" si="459"/>
        <v>9.0890000000072177</v>
      </c>
      <c r="PI35" s="35">
        <f t="shared" si="459"/>
        <v>-3.8110000000451691</v>
      </c>
      <c r="PJ35" s="35">
        <f t="shared" si="459"/>
        <v>28.946000000083586</v>
      </c>
      <c r="PK35" s="35">
        <f t="shared" si="459"/>
        <v>-26.022000000055414</v>
      </c>
      <c r="PL35" s="35">
        <f t="shared" si="459"/>
        <v>26.144999999989523</v>
      </c>
      <c r="PM35" s="35">
        <f t="shared" si="459"/>
        <v>82.939999999915017</v>
      </c>
      <c r="PN35" s="35">
        <f t="shared" si="459"/>
        <v>-90.435999999812339</v>
      </c>
      <c r="PO35" s="35">
        <f t="shared" si="459"/>
        <v>-7.0880000000761356</v>
      </c>
      <c r="PP35" s="35">
        <f t="shared" si="459"/>
        <v>-8.7790000000095461</v>
      </c>
      <c r="PQ35" s="35">
        <f t="shared" si="459"/>
        <v>42.408999999868684</v>
      </c>
      <c r="PR35" s="35">
        <f t="shared" si="459"/>
        <v>-23.332999999838648</v>
      </c>
      <c r="PS35" s="35">
        <f t="shared" si="459"/>
        <v>2.3809999998775311</v>
      </c>
      <c r="PT35" s="35">
        <f t="shared" si="459"/>
        <v>-7.9329999999627034</v>
      </c>
      <c r="PU35" s="35">
        <f t="shared" si="459"/>
        <v>-9.773999999917578</v>
      </c>
      <c r="PV35" s="35">
        <f t="shared" si="459"/>
        <v>0.71099999992293306</v>
      </c>
      <c r="PW35" s="35">
        <f t="shared" si="459"/>
        <v>26.022999999899184</v>
      </c>
      <c r="PX35" s="35">
        <f t="shared" si="459"/>
        <v>25.568000000115717</v>
      </c>
      <c r="PY35" s="35">
        <f t="shared" si="459"/>
        <v>-15.286999999956606</v>
      </c>
      <c r="PZ35" s="35">
        <f t="shared" si="459"/>
        <v>61.358999999880325</v>
      </c>
      <c r="QA35" s="127">
        <f t="shared" si="68"/>
        <v>38.688000000047396</v>
      </c>
      <c r="QB35" s="35">
        <f t="shared" ref="QB35:RF35" si="460">QB34-QB33</f>
        <v>-52.996999999915715</v>
      </c>
      <c r="QC35" s="35">
        <f t="shared" si="460"/>
        <v>-26.162000000069384</v>
      </c>
      <c r="QD35" s="35">
        <f t="shared" si="460"/>
        <v>-16.510999999853084</v>
      </c>
      <c r="QE35" s="35">
        <f t="shared" si="460"/>
        <v>29.270999999920605</v>
      </c>
      <c r="QF35" s="35">
        <f t="shared" si="460"/>
        <v>-12.136999999987893</v>
      </c>
      <c r="QG35" s="35">
        <f t="shared" si="460"/>
        <v>-37.253999999957159</v>
      </c>
      <c r="QH35" s="35">
        <f t="shared" si="460"/>
        <v>43.454000000056112</v>
      </c>
      <c r="QI35" s="35">
        <f t="shared" si="460"/>
        <v>-6.1000000000640284</v>
      </c>
      <c r="QJ35" s="35">
        <f t="shared" si="460"/>
        <v>3.8970000000263099</v>
      </c>
      <c r="QK35" s="35">
        <f t="shared" si="460"/>
        <v>25.143999999854714</v>
      </c>
      <c r="QL35" s="35">
        <f t="shared" si="460"/>
        <v>-36.275999999954365</v>
      </c>
      <c r="QM35" s="35">
        <f t="shared" si="460"/>
        <v>14.940000000176951</v>
      </c>
      <c r="QN35" s="35">
        <f t="shared" si="460"/>
        <v>-5.1130000000994187</v>
      </c>
      <c r="QO35" s="35">
        <f t="shared" si="460"/>
        <v>-25.563000000023749</v>
      </c>
      <c r="QP35" s="35">
        <f t="shared" si="460"/>
        <v>22.185999999928754</v>
      </c>
      <c r="QQ35" s="35">
        <f t="shared" si="460"/>
        <v>42.507000000099652</v>
      </c>
      <c r="QR35" s="35">
        <f t="shared" si="460"/>
        <v>-25.509999999951106</v>
      </c>
      <c r="QS35" s="35">
        <f t="shared" si="460"/>
        <v>27.427999999839813</v>
      </c>
      <c r="QT35" s="35">
        <f t="shared" si="460"/>
        <v>-26.605999999854248</v>
      </c>
      <c r="QU35" s="35">
        <f t="shared" si="460"/>
        <v>7.5809999999473803</v>
      </c>
      <c r="QV35" s="35">
        <f t="shared" si="460"/>
        <v>-12.414000000047963</v>
      </c>
      <c r="QW35" s="35">
        <f t="shared" si="460"/>
        <v>-40.16800000006333</v>
      </c>
      <c r="QX35" s="35">
        <f t="shared" si="460"/>
        <v>56.671000000205822</v>
      </c>
      <c r="QY35" s="35">
        <f t="shared" si="460"/>
        <v>12.013999999908265</v>
      </c>
      <c r="QZ35" s="35">
        <f t="shared" si="460"/>
        <v>-16.786000000138301</v>
      </c>
      <c r="RA35" s="35">
        <f t="shared" si="460"/>
        <v>100.37700000009499</v>
      </c>
      <c r="RB35" s="35">
        <f t="shared" si="460"/>
        <v>-57.055999999924097</v>
      </c>
      <c r="RC35" s="35">
        <f t="shared" si="460"/>
        <v>-52.316000000166241</v>
      </c>
      <c r="RD35" s="35">
        <f t="shared" si="460"/>
        <v>32.043999999994412</v>
      </c>
      <c r="RE35" s="35">
        <f t="shared" si="460"/>
        <v>84.963000000047032</v>
      </c>
      <c r="RF35" s="35">
        <f t="shared" si="460"/>
        <v>29.597000000008848</v>
      </c>
      <c r="RG35" s="127">
        <f>SUM(QB35:RF35)</f>
        <v>83.105000000039581</v>
      </c>
      <c r="RH35" s="35">
        <f t="shared" ref="RH35:SK35" si="461">RH34-RH33</f>
        <v>-31.307999999844469</v>
      </c>
      <c r="RI35" s="35">
        <f t="shared" si="461"/>
        <v>-8.9000000000814907</v>
      </c>
      <c r="RJ35" s="35">
        <f t="shared" si="461"/>
        <v>31.171000000031199</v>
      </c>
      <c r="RK35" s="35">
        <f t="shared" si="461"/>
        <v>-28.400000000139698</v>
      </c>
      <c r="RL35" s="35">
        <f t="shared" si="461"/>
        <v>8.0040000001899898</v>
      </c>
      <c r="RM35" s="35">
        <f t="shared" si="461"/>
        <v>-22.01400000002468</v>
      </c>
      <c r="RN35" s="35">
        <f t="shared" si="461"/>
        <v>-6.0080000002053566</v>
      </c>
      <c r="RO35" s="35">
        <f t="shared" si="461"/>
        <v>3.69600000011269</v>
      </c>
      <c r="RP35" s="35">
        <f t="shared" si="461"/>
        <v>35.855000000039581</v>
      </c>
      <c r="RQ35" s="35">
        <f t="shared" si="461"/>
        <v>-27.570000000065193</v>
      </c>
      <c r="RR35" s="35">
        <f t="shared" si="461"/>
        <v>-23.940999999991618</v>
      </c>
      <c r="RS35" s="35">
        <f t="shared" si="461"/>
        <v>-12.113999999943189</v>
      </c>
      <c r="RT35" s="35">
        <f t="shared" si="461"/>
        <v>53.974999999918509</v>
      </c>
      <c r="RU35" s="35">
        <f t="shared" si="461"/>
        <v>-53.125999999872874</v>
      </c>
      <c r="RV35" s="35">
        <f t="shared" si="461"/>
        <v>0.70899999997345731</v>
      </c>
      <c r="RW35" s="35">
        <f t="shared" si="461"/>
        <v>7.6999999932013452E-2</v>
      </c>
      <c r="RX35" s="35">
        <f t="shared" si="461"/>
        <v>26.87599999998929</v>
      </c>
      <c r="RY35" s="35">
        <f t="shared" si="461"/>
        <v>-37.619999999878928</v>
      </c>
      <c r="RZ35" s="35">
        <f t="shared" si="461"/>
        <v>13.686999999801628</v>
      </c>
      <c r="SA35" s="35">
        <f t="shared" si="461"/>
        <v>29.283000000054017</v>
      </c>
      <c r="SB35" s="35">
        <f t="shared" si="461"/>
        <v>-12.247999999963213</v>
      </c>
      <c r="SC35" s="35">
        <f t="shared" si="461"/>
        <v>0.22100000001955777</v>
      </c>
      <c r="SD35" s="35">
        <f t="shared" si="461"/>
        <v>2.3350000000209548</v>
      </c>
      <c r="SE35" s="35">
        <f t="shared" si="461"/>
        <v>-55.085999999952037</v>
      </c>
      <c r="SF35" s="35">
        <f t="shared" si="461"/>
        <v>19.450000000011642</v>
      </c>
      <c r="SG35" s="35">
        <f t="shared" si="461"/>
        <v>5.2969999998458661</v>
      </c>
      <c r="SH35" s="35">
        <f t="shared" si="461"/>
        <v>-33.115999999921769</v>
      </c>
      <c r="SI35" s="35">
        <f t="shared" si="461"/>
        <v>53.01500000001397</v>
      </c>
      <c r="SJ35" s="35">
        <f t="shared" si="461"/>
        <v>-41.005000000121072</v>
      </c>
      <c r="SK35" s="35">
        <f t="shared" si="461"/>
        <v>18.513000000151806</v>
      </c>
      <c r="SL35" s="127">
        <f>SUM(RG35:SK35)</f>
        <v>-7.186999999859836</v>
      </c>
      <c r="SM35" s="35">
        <f t="shared" ref="SM35:TQ35" si="462">SM34-SM33</f>
        <v>-0.26999999990221113</v>
      </c>
      <c r="SN35" s="35">
        <f t="shared" si="462"/>
        <v>21.947999999800231</v>
      </c>
      <c r="SO35" s="35">
        <f t="shared" si="462"/>
        <v>-6.8909999998868443</v>
      </c>
      <c r="SP35" s="35">
        <f t="shared" si="462"/>
        <v>27.705999999830965</v>
      </c>
      <c r="SQ35" s="35">
        <f t="shared" si="462"/>
        <v>-28.256999999866821</v>
      </c>
      <c r="SR35" s="35">
        <f t="shared" si="462"/>
        <v>-30.575999999884516</v>
      </c>
      <c r="SS35" s="35">
        <f t="shared" si="462"/>
        <v>1.6219999997993</v>
      </c>
      <c r="ST35" s="35">
        <f t="shared" si="462"/>
        <v>1.484000000054948</v>
      </c>
      <c r="SU35" s="35">
        <f t="shared" si="462"/>
        <v>4.4769999999552965</v>
      </c>
      <c r="SV35" s="35">
        <f t="shared" si="462"/>
        <v>3.5100000000675209</v>
      </c>
      <c r="SW35" s="35">
        <f t="shared" si="462"/>
        <v>-23.159000000101514</v>
      </c>
      <c r="SX35" s="35">
        <f t="shared" si="462"/>
        <v>-5.5479999998933636</v>
      </c>
      <c r="SY35" s="35">
        <f t="shared" si="462"/>
        <v>31.830999999889173</v>
      </c>
      <c r="SZ35" s="35">
        <f t="shared" si="462"/>
        <v>-28.746999999682885</v>
      </c>
      <c r="TA35" s="35">
        <f t="shared" si="462"/>
        <v>-9.1910000001080334</v>
      </c>
      <c r="TB35" s="35">
        <f t="shared" si="462"/>
        <v>-35.232000000192784</v>
      </c>
      <c r="TC35" s="35">
        <f t="shared" si="462"/>
        <v>26.529000000155065</v>
      </c>
      <c r="TD35" s="35">
        <f t="shared" si="462"/>
        <v>-7.5870000001159497</v>
      </c>
      <c r="TE35" s="35">
        <f t="shared" si="462"/>
        <v>8.3549999998649582</v>
      </c>
      <c r="TF35" s="35">
        <f t="shared" si="462"/>
        <v>20.184000000183005</v>
      </c>
      <c r="TG35" s="35">
        <f t="shared" si="462"/>
        <v>-38.252999999967869</v>
      </c>
      <c r="TH35" s="35">
        <f t="shared" si="462"/>
        <v>-8.1460000000661239</v>
      </c>
      <c r="TI35" s="35">
        <f t="shared" si="462"/>
        <v>37.313000000023749</v>
      </c>
      <c r="TJ35" s="35">
        <f t="shared" si="462"/>
        <v>-12.732000000192784</v>
      </c>
      <c r="TK35" s="35">
        <f t="shared" si="462"/>
        <v>-43.365999999921769</v>
      </c>
      <c r="TL35" s="35">
        <f t="shared" si="462"/>
        <v>9.3050000000512227</v>
      </c>
      <c r="TM35" s="35">
        <f t="shared" si="462"/>
        <v>9.7360000000917353</v>
      </c>
      <c r="TN35" s="35">
        <f t="shared" si="462"/>
        <v>14.863000000070315</v>
      </c>
      <c r="TO35" s="35">
        <f t="shared" si="462"/>
        <v>-8.1150000001071021</v>
      </c>
      <c r="TP35" s="35">
        <f t="shared" si="462"/>
        <v>-15.280999999842606</v>
      </c>
      <c r="TQ35" s="35">
        <f t="shared" si="462"/>
        <v>36.37399999977788</v>
      </c>
      <c r="TR35" s="127">
        <f>SUM(SM35:TQ35)</f>
        <v>-46.114000000117812</v>
      </c>
      <c r="TS35" s="35">
        <f t="shared" ref="TS35:UW35" si="463">TS34-TS33</f>
        <v>13.900000000197906</v>
      </c>
      <c r="TT35" s="35">
        <f t="shared" si="463"/>
        <v>-24.64000000001397</v>
      </c>
      <c r="TU35" s="35">
        <f t="shared" si="463"/>
        <v>50.936999999976251</v>
      </c>
      <c r="TV35" s="35">
        <f t="shared" si="463"/>
        <v>-11.882000000274274</v>
      </c>
      <c r="TW35" s="35">
        <f t="shared" si="463"/>
        <v>-208.80899999989197</v>
      </c>
      <c r="TX35" s="35">
        <f t="shared" si="463"/>
        <v>-8.9340000000083819</v>
      </c>
      <c r="TY35" s="35">
        <f t="shared" si="463"/>
        <v>-13.273999999917578</v>
      </c>
      <c r="TZ35" s="35">
        <f t="shared" si="463"/>
        <v>18.088999999978114</v>
      </c>
      <c r="UA35" s="35">
        <f t="shared" si="463"/>
        <v>-7.9949999997625127</v>
      </c>
      <c r="UB35" s="35">
        <f t="shared" si="463"/>
        <v>0.33299999992595986</v>
      </c>
      <c r="UC35" s="35">
        <f t="shared" si="463"/>
        <v>23.160999999963678</v>
      </c>
      <c r="UD35" s="35">
        <f t="shared" si="463"/>
        <v>3.3449999999720603</v>
      </c>
      <c r="UE35" s="35">
        <f t="shared" si="463"/>
        <v>39.672999999951571</v>
      </c>
      <c r="UF35" s="35">
        <f t="shared" si="463"/>
        <v>-17.069000000075903</v>
      </c>
      <c r="UG35" s="35">
        <f t="shared" si="463"/>
        <v>2.3000000044703484E-2</v>
      </c>
      <c r="UH35" s="35">
        <f t="shared" si="463"/>
        <v>2.9479999999748543</v>
      </c>
      <c r="UI35" s="35">
        <f t="shared" si="463"/>
        <v>6.9089999999268912</v>
      </c>
      <c r="UJ35" s="35">
        <f t="shared" si="463"/>
        <v>18.341000000131316</v>
      </c>
      <c r="UK35" s="35">
        <f t="shared" si="463"/>
        <v>-27.121000000042841</v>
      </c>
      <c r="UL35" s="35">
        <f t="shared" si="463"/>
        <v>19.041999999957625</v>
      </c>
      <c r="UM35" s="35">
        <f t="shared" si="463"/>
        <v>22.214000000094529</v>
      </c>
      <c r="UN35" s="35">
        <f t="shared" si="463"/>
        <v>-59.036999999952968</v>
      </c>
      <c r="UO35" s="35">
        <f t="shared" si="463"/>
        <v>22.888999999850057</v>
      </c>
      <c r="UP35" s="35">
        <f t="shared" si="463"/>
        <v>-33.315999999758787</v>
      </c>
      <c r="UQ35" s="35">
        <f t="shared" si="463"/>
        <v>13.238999999710359</v>
      </c>
      <c r="UR35" s="35">
        <f t="shared" si="463"/>
        <v>-26.519999999844003</v>
      </c>
      <c r="US35" s="35">
        <f t="shared" si="463"/>
        <v>51.758999999961816</v>
      </c>
      <c r="UT35" s="35">
        <f t="shared" si="463"/>
        <v>-9.6579999999376014</v>
      </c>
      <c r="UU35" s="35">
        <f t="shared" si="463"/>
        <v>-83.091000000131316</v>
      </c>
      <c r="UV35" s="35">
        <f t="shared" si="463"/>
        <v>24.141999999992549</v>
      </c>
      <c r="UW35" s="35">
        <f t="shared" si="463"/>
        <v>-6.1179999999003485</v>
      </c>
      <c r="UX35" s="127">
        <f>SUM(TS35:UW35)</f>
        <v>-206.51999999990221</v>
      </c>
      <c r="UY35" s="35">
        <f t="shared" ref="UY35:VZ35" si="464">UY34-UY33</f>
        <v>-23.991999999969266</v>
      </c>
      <c r="UZ35" s="35">
        <f t="shared" si="464"/>
        <v>8.037999999942258</v>
      </c>
      <c r="VA35" s="35">
        <f t="shared" si="464"/>
        <v>20.682999999960884</v>
      </c>
      <c r="VB35" s="35">
        <f t="shared" si="464"/>
        <v>26.555999999982305</v>
      </c>
      <c r="VC35" s="35">
        <f t="shared" si="464"/>
        <v>7.3940000000875443</v>
      </c>
      <c r="VD35" s="35">
        <f t="shared" si="464"/>
        <v>22.030999999959022</v>
      </c>
      <c r="VE35" s="35">
        <f t="shared" si="464"/>
        <v>-47.094000000040978</v>
      </c>
      <c r="VF35" s="35">
        <f t="shared" si="464"/>
        <v>49.939000000013039</v>
      </c>
      <c r="VG35" s="35">
        <f t="shared" si="464"/>
        <v>-11.732999999949243</v>
      </c>
      <c r="VH35" s="35">
        <f t="shared" si="464"/>
        <v>0.63399999990360811</v>
      </c>
      <c r="VI35" s="35">
        <f t="shared" si="464"/>
        <v>-3.959000000031665</v>
      </c>
      <c r="VJ35" s="35">
        <f t="shared" si="464"/>
        <v>23.15200000006007</v>
      </c>
      <c r="VK35" s="35">
        <f t="shared" si="464"/>
        <v>3.9310000001569279</v>
      </c>
      <c r="VL35" s="35">
        <f t="shared" si="464"/>
        <v>15.517999999807216</v>
      </c>
      <c r="VM35" s="35">
        <f t="shared" si="464"/>
        <v>-34.086999999824911</v>
      </c>
      <c r="VN35" s="35">
        <f t="shared" si="464"/>
        <v>8.9229999996605329</v>
      </c>
      <c r="VO35" s="35">
        <f t="shared" si="464"/>
        <v>-22.245999999780906</v>
      </c>
      <c r="VP35" s="35">
        <f t="shared" si="464"/>
        <v>11.211999999941327</v>
      </c>
      <c r="VQ35" s="35">
        <f t="shared" si="464"/>
        <v>2.5909999999566935</v>
      </c>
      <c r="VR35" s="35">
        <f t="shared" si="464"/>
        <v>14.21000000013737</v>
      </c>
      <c r="VS35" s="35">
        <f t="shared" si="464"/>
        <v>-20.098000000056345</v>
      </c>
      <c r="VT35" s="35">
        <f t="shared" si="464"/>
        <v>-11.890000000072177</v>
      </c>
      <c r="VU35" s="35">
        <f t="shared" si="464"/>
        <v>-7.0240000000339933</v>
      </c>
      <c r="VV35" s="35">
        <f t="shared" si="464"/>
        <v>15.756000000168569</v>
      </c>
      <c r="VW35" s="35">
        <f t="shared" si="464"/>
        <v>-14.264000000082888</v>
      </c>
      <c r="VX35" s="35">
        <f t="shared" si="464"/>
        <v>15.807999999960884</v>
      </c>
      <c r="VY35" s="35">
        <f t="shared" si="464"/>
        <v>90.832999999984168</v>
      </c>
      <c r="VZ35" s="35">
        <f t="shared" si="464"/>
        <v>35.271000000124332</v>
      </c>
      <c r="WA35" s="127">
        <f>SUM(UY35:VZ35)</f>
        <v>176.09299999996438</v>
      </c>
      <c r="WB35" s="35">
        <f t="shared" ref="WB35:XF35" si="465">WB34-WB33</f>
        <v>-85.668999999994412</v>
      </c>
      <c r="WC35" s="35">
        <f t="shared" si="465"/>
        <v>-29.436999999976251</v>
      </c>
      <c r="WD35" s="35">
        <f t="shared" si="465"/>
        <v>67.769999999844003</v>
      </c>
      <c r="WE35" s="35">
        <f t="shared" si="465"/>
        <v>-71.707999999751337</v>
      </c>
      <c r="WF35" s="35">
        <f t="shared" si="465"/>
        <v>7.3209999998798594</v>
      </c>
      <c r="WG35" s="35">
        <f t="shared" si="465"/>
        <v>28.998000000137836</v>
      </c>
      <c r="WH35" s="35">
        <f t="shared" si="465"/>
        <v>-29.375000000232831</v>
      </c>
      <c r="WI35" s="35">
        <f t="shared" si="465"/>
        <v>-10.603999999933876</v>
      </c>
      <c r="WJ35" s="35">
        <f t="shared" si="465"/>
        <v>-4.1369999999296851</v>
      </c>
      <c r="WK35" s="35">
        <f t="shared" si="465"/>
        <v>-9.6069999999599531</v>
      </c>
      <c r="WL35" s="35">
        <f t="shared" si="465"/>
        <v>-14.062999999849126</v>
      </c>
      <c r="WM35" s="35">
        <f t="shared" si="465"/>
        <v>-6.4619999999995343</v>
      </c>
      <c r="WN35" s="35">
        <f t="shared" si="465"/>
        <v>40.490999999979977</v>
      </c>
      <c r="WO35" s="35">
        <f t="shared" si="465"/>
        <v>-40.104000000283122</v>
      </c>
      <c r="WP35" s="35">
        <f t="shared" si="465"/>
        <v>24.397999999928288</v>
      </c>
      <c r="WQ35" s="35">
        <f t="shared" si="465"/>
        <v>-31.904999999969732</v>
      </c>
      <c r="WR35" s="35">
        <f t="shared" si="465"/>
        <v>18.559999999997672</v>
      </c>
      <c r="WS35" s="35">
        <f t="shared" si="465"/>
        <v>58.054999999911161</v>
      </c>
      <c r="WT35" s="35">
        <f t="shared" si="465"/>
        <v>-58.315999999676933</v>
      </c>
      <c r="WU35" s="35">
        <f t="shared" si="465"/>
        <v>37.91299999988405</v>
      </c>
      <c r="WV35" s="35">
        <f t="shared" si="465"/>
        <v>-31.005000000062864</v>
      </c>
      <c r="WW35" s="35">
        <f t="shared" si="465"/>
        <v>-11.224999999976717</v>
      </c>
      <c r="WX35" s="35">
        <f t="shared" si="465"/>
        <v>21.413999999931548</v>
      </c>
      <c r="WY35" s="35">
        <f t="shared" si="465"/>
        <v>-1.8659999998635612</v>
      </c>
      <c r="WZ35" s="35">
        <f t="shared" si="465"/>
        <v>8.2270000000717118</v>
      </c>
      <c r="XA35" s="35">
        <f t="shared" si="465"/>
        <v>-27.732000000018161</v>
      </c>
      <c r="XB35" s="35">
        <f t="shared" si="465"/>
        <v>60.797000000078697</v>
      </c>
      <c r="XC35" s="35">
        <f t="shared" si="465"/>
        <v>24.903999999805819</v>
      </c>
      <c r="XD35" s="35">
        <f t="shared" si="465"/>
        <v>-52.031000000017229</v>
      </c>
      <c r="XE35" s="35">
        <f t="shared" si="465"/>
        <v>-33.141999999817926</v>
      </c>
      <c r="XF35" s="35">
        <f t="shared" si="465"/>
        <v>66.544999999925494</v>
      </c>
      <c r="XG35" s="127">
        <f t="shared" si="267"/>
        <v>-82.994999999937136</v>
      </c>
      <c r="XH35" s="35">
        <f t="shared" ref="XH35:YK35" si="466">XH34-XH33</f>
        <v>5.2409999998053536</v>
      </c>
      <c r="XI35" s="35">
        <f t="shared" si="466"/>
        <v>21.203000000037719</v>
      </c>
      <c r="XJ35" s="35">
        <f t="shared" si="466"/>
        <v>-42.490999999921769</v>
      </c>
      <c r="XK35" s="35">
        <f t="shared" si="466"/>
        <v>34.355999999970663</v>
      </c>
      <c r="XL35" s="35">
        <f t="shared" si="466"/>
        <v>-13.813999999896623</v>
      </c>
      <c r="XM35" s="35">
        <f t="shared" si="466"/>
        <v>15.161000000080094</v>
      </c>
      <c r="XN35" s="35">
        <f t="shared" si="466"/>
        <v>-12.902000000234693</v>
      </c>
      <c r="XO35" s="35">
        <f t="shared" si="466"/>
        <v>27.119999999995343</v>
      </c>
      <c r="XP35" s="35">
        <f t="shared" si="466"/>
        <v>-126.31499999988591</v>
      </c>
      <c r="XQ35" s="35">
        <f t="shared" si="466"/>
        <v>-4.3020000000251457</v>
      </c>
      <c r="XR35" s="35">
        <f t="shared" si="466"/>
        <v>14.903999999980442</v>
      </c>
      <c r="XS35" s="35">
        <f t="shared" si="466"/>
        <v>13.386000000115018</v>
      </c>
      <c r="XT35" s="35">
        <f t="shared" si="466"/>
        <v>-16.59900000016205</v>
      </c>
      <c r="XU35" s="35">
        <f t="shared" si="466"/>
        <v>31.523000000044703</v>
      </c>
      <c r="XV35" s="35">
        <f t="shared" si="466"/>
        <v>13.756000000110362</v>
      </c>
      <c r="XW35" s="35">
        <f t="shared" si="466"/>
        <v>0.12499999976716936</v>
      </c>
      <c r="XX35" s="35">
        <f t="shared" si="466"/>
        <v>-6.5079999998561107</v>
      </c>
      <c r="XY35" s="35">
        <f t="shared" si="466"/>
        <v>-24.451000000059139</v>
      </c>
      <c r="XZ35" s="35">
        <f t="shared" si="466"/>
        <v>-42.805000000051223</v>
      </c>
      <c r="YA35" s="35">
        <f t="shared" si="466"/>
        <v>-18.535999999847263</v>
      </c>
      <c r="YB35" s="35">
        <f t="shared" si="466"/>
        <v>45.901999999885447</v>
      </c>
      <c r="YC35" s="35">
        <f t="shared" si="466"/>
        <v>-39.930999999924097</v>
      </c>
      <c r="YD35" s="35">
        <f t="shared" si="466"/>
        <v>-20.920999999798369</v>
      </c>
      <c r="YE35" s="35">
        <f t="shared" si="466"/>
        <v>27.104999999748543</v>
      </c>
      <c r="YF35" s="35">
        <f t="shared" si="466"/>
        <v>-23.121999999973923</v>
      </c>
      <c r="YG35" s="35">
        <f t="shared" si="466"/>
        <v>19.547999999893364</v>
      </c>
      <c r="YH35" s="35">
        <f t="shared" si="466"/>
        <v>16.89300000021467</v>
      </c>
      <c r="YI35" s="35">
        <f t="shared" si="466"/>
        <v>-20.644000000262167</v>
      </c>
      <c r="YJ35" s="35">
        <f t="shared" si="466"/>
        <v>59.59499999997206</v>
      </c>
      <c r="YK35" s="35">
        <f t="shared" si="466"/>
        <v>-20.816999999748077</v>
      </c>
      <c r="YL35" s="127">
        <f t="shared" si="269"/>
        <v>-88.340000000025611</v>
      </c>
      <c r="YM35" s="35">
        <f t="shared" ref="YM35:ZQ35" si="467">YM34-YM33</f>
        <v>-4.8390000000945292</v>
      </c>
      <c r="YN35" s="35">
        <f t="shared" si="467"/>
        <v>24.116999999969266</v>
      </c>
      <c r="YO35" s="35">
        <f t="shared" si="467"/>
        <v>-9.1209999999264255</v>
      </c>
      <c r="YP35" s="35">
        <f t="shared" si="467"/>
        <v>-21.086999999999534</v>
      </c>
      <c r="YQ35" s="35">
        <f t="shared" si="467"/>
        <v>37.814999999827705</v>
      </c>
      <c r="YR35" s="35">
        <f t="shared" si="467"/>
        <v>-46.375999999931082</v>
      </c>
      <c r="YS35" s="35">
        <f t="shared" si="467"/>
        <v>-26.585999999777414</v>
      </c>
      <c r="YT35" s="35">
        <f t="shared" si="467"/>
        <v>0</v>
      </c>
      <c r="YU35" s="35">
        <f t="shared" si="467"/>
        <v>-25.578000000037719</v>
      </c>
      <c r="YV35" s="35">
        <f t="shared" si="467"/>
        <v>-239.18499999999767</v>
      </c>
      <c r="YW35" s="35">
        <f t="shared" si="467"/>
        <v>228.71899999986636</v>
      </c>
      <c r="YX35" s="35">
        <f t="shared" si="467"/>
        <v>10.561000000045169</v>
      </c>
      <c r="YY35" s="35">
        <f t="shared" si="467"/>
        <v>-28.47299999993993</v>
      </c>
      <c r="YZ35" s="35">
        <f t="shared" si="467"/>
        <v>43.297999999951571</v>
      </c>
      <c r="ZA35" s="35">
        <f t="shared" si="467"/>
        <v>-53.801000000094064</v>
      </c>
      <c r="ZB35" s="35">
        <f t="shared" si="467"/>
        <v>60.978000000061002</v>
      </c>
      <c r="ZC35" s="35">
        <f t="shared" si="467"/>
        <v>-26.563999999954831</v>
      </c>
      <c r="ZD35" s="35">
        <f t="shared" si="467"/>
        <v>36.936000000045169</v>
      </c>
      <c r="ZE35" s="35">
        <f t="shared" si="467"/>
        <v>10.176000000035856</v>
      </c>
      <c r="ZF35" s="35">
        <f t="shared" si="467"/>
        <v>-2.8710000001010485</v>
      </c>
      <c r="ZG35" s="35">
        <f t="shared" si="467"/>
        <v>-41.766000000119675</v>
      </c>
      <c r="ZH35" s="35">
        <f t="shared" si="467"/>
        <v>20.024000000033993</v>
      </c>
      <c r="ZI35" s="35">
        <f t="shared" si="467"/>
        <v>5.6350000000675209</v>
      </c>
      <c r="ZJ35" s="35">
        <f t="shared" si="467"/>
        <v>205.7269999999553</v>
      </c>
      <c r="ZK35" s="35">
        <f t="shared" si="467"/>
        <v>-253.7970000001369</v>
      </c>
      <c r="ZL35" s="35">
        <f t="shared" si="467"/>
        <v>29.804000000120141</v>
      </c>
      <c r="ZM35" s="35">
        <f t="shared" si="467"/>
        <v>74.115000000107102</v>
      </c>
      <c r="ZN35" s="35">
        <f t="shared" si="467"/>
        <v>12.75</v>
      </c>
      <c r="ZO35" s="35">
        <f t="shared" si="467"/>
        <v>-66.821999999985565</v>
      </c>
      <c r="ZP35" s="35">
        <f t="shared" si="467"/>
        <v>-40.616999999911059</v>
      </c>
      <c r="ZQ35" s="35">
        <f t="shared" si="467"/>
        <v>27.559999999997672</v>
      </c>
      <c r="ZR35" s="127">
        <f t="shared" si="356"/>
        <v>-59.267999999923632</v>
      </c>
      <c r="ZS35" s="35">
        <f t="shared" ref="ZS35:AAV35" si="468">ZS34-ZS33</f>
        <v>54.098999999929219</v>
      </c>
      <c r="ZT35" s="35">
        <f t="shared" si="468"/>
        <v>-44.920000000158325</v>
      </c>
      <c r="ZU35" s="35">
        <f t="shared" si="468"/>
        <v>-17.624999999941792</v>
      </c>
      <c r="ZV35" s="35">
        <f t="shared" si="468"/>
        <v>-18.991999999969266</v>
      </c>
      <c r="ZW35" s="35">
        <f t="shared" si="468"/>
        <v>22.281000000133645</v>
      </c>
      <c r="ZX35" s="35">
        <f t="shared" si="468"/>
        <v>17.179999999818392</v>
      </c>
      <c r="ZY35" s="35">
        <f t="shared" si="468"/>
        <v>-28.383000000030734</v>
      </c>
      <c r="ZZ35" s="35">
        <f t="shared" si="468"/>
        <v>-13.261999999696855</v>
      </c>
      <c r="AAA35" s="35">
        <f t="shared" si="468"/>
        <v>5.2639999997336417</v>
      </c>
      <c r="AAB35" s="35">
        <f t="shared" si="468"/>
        <v>-32.647999999928288</v>
      </c>
      <c r="AAC35" s="35">
        <f t="shared" si="468"/>
        <v>-4.1379999999771826</v>
      </c>
      <c r="AAD35" s="35">
        <f t="shared" si="468"/>
        <v>82.510000000067521</v>
      </c>
      <c r="AAE35" s="35">
        <f t="shared" si="468"/>
        <v>8.4919999997364357</v>
      </c>
      <c r="AAF35" s="35">
        <f t="shared" si="468"/>
        <v>29.679000000236556</v>
      </c>
      <c r="AAG35" s="35">
        <f t="shared" si="468"/>
        <v>9.5559999998658895</v>
      </c>
      <c r="AAH35" s="35">
        <f t="shared" si="468"/>
        <v>-34.895999999833293</v>
      </c>
      <c r="AAI35" s="35">
        <f t="shared" si="468"/>
        <v>-12.245000000228174</v>
      </c>
      <c r="AAJ35" s="35">
        <f t="shared" si="468"/>
        <v>59.723000000289176</v>
      </c>
      <c r="AAK35" s="35">
        <f t="shared" si="468"/>
        <v>0.49199999973643571</v>
      </c>
      <c r="AAL35" s="35">
        <f t="shared" si="468"/>
        <v>27.14400000020396</v>
      </c>
      <c r="AAM35" s="35">
        <f t="shared" si="468"/>
        <v>-31.027999999991152</v>
      </c>
      <c r="AAN35" s="35">
        <f t="shared" si="468"/>
        <v>8.8499999999185093</v>
      </c>
      <c r="AAO35" s="35">
        <f t="shared" si="468"/>
        <v>31.252999999793246</v>
      </c>
      <c r="AAP35" s="35">
        <f t="shared" si="468"/>
        <v>-22.267999999981839</v>
      </c>
      <c r="AAQ35" s="35">
        <f t="shared" si="468"/>
        <v>-22.712000000057742</v>
      </c>
      <c r="AAR35" s="35">
        <f t="shared" si="468"/>
        <v>14.689000000187661</v>
      </c>
      <c r="AAS35" s="35">
        <f t="shared" si="468"/>
        <v>29.196999999985565</v>
      </c>
      <c r="AAT35" s="35">
        <f t="shared" si="468"/>
        <v>16.308000000019092</v>
      </c>
      <c r="AAU35" s="35">
        <f t="shared" si="468"/>
        <v>-33.89599999965867</v>
      </c>
      <c r="AAV35" s="35">
        <f t="shared" si="468"/>
        <v>0.74999999976716936</v>
      </c>
      <c r="AAW35" s="127">
        <f t="shared" si="272"/>
        <v>100.4539999999688</v>
      </c>
      <c r="AAX35" s="35">
        <f t="shared" ref="AAX35:ACB35" si="469">AAX34-AAX33</f>
        <v>-22.475999999907799</v>
      </c>
      <c r="AAY35" s="35">
        <f t="shared" si="469"/>
        <v>33.182999999960884</v>
      </c>
      <c r="AAZ35" s="35">
        <f t="shared" si="469"/>
        <v>2.7239999998710118</v>
      </c>
      <c r="ABA35" s="35">
        <f t="shared" si="469"/>
        <v>-45.325000000011642</v>
      </c>
      <c r="ABB35" s="35">
        <f t="shared" si="469"/>
        <v>30.522000000113621</v>
      </c>
      <c r="ABC35" s="35">
        <f t="shared" si="469"/>
        <v>-11.535000000090804</v>
      </c>
      <c r="ABD35" s="35">
        <f t="shared" si="469"/>
        <v>-8.4000000000232831</v>
      </c>
      <c r="ABE35" s="35">
        <f t="shared" si="469"/>
        <v>55.225000000034925</v>
      </c>
      <c r="ABF35" s="35">
        <f t="shared" si="469"/>
        <v>38.375999999872874</v>
      </c>
      <c r="ABG35" s="35">
        <f t="shared" si="469"/>
        <v>25.51700000022538</v>
      </c>
      <c r="ABH35" s="35">
        <f t="shared" si="469"/>
        <v>-18.65700000023935</v>
      </c>
      <c r="ABI35" s="35">
        <f t="shared" si="469"/>
        <v>-58.921000000089407</v>
      </c>
      <c r="ABJ35" s="35">
        <f t="shared" si="469"/>
        <v>32.970000000146683</v>
      </c>
      <c r="ABK35" s="35">
        <f t="shared" si="469"/>
        <v>-24.535000000032596</v>
      </c>
      <c r="ABL35" s="35">
        <f t="shared" si="469"/>
        <v>-15.202999999863096</v>
      </c>
      <c r="ABM35" s="35">
        <f t="shared" si="469"/>
        <v>-40.927000000199769</v>
      </c>
      <c r="ABN35" s="35">
        <f t="shared" si="469"/>
        <v>20.482000000134576</v>
      </c>
      <c r="ABO35" s="35">
        <f t="shared" si="469"/>
        <v>1.2250000000349246</v>
      </c>
      <c r="ABP35" s="35">
        <f t="shared" si="469"/>
        <v>-145.40599999990081</v>
      </c>
      <c r="ABQ35" s="35">
        <f t="shared" si="469"/>
        <v>17.656999999831896</v>
      </c>
      <c r="ABR35" s="35">
        <f t="shared" si="469"/>
        <v>-7.5209999998332933</v>
      </c>
      <c r="ABS35" s="35">
        <f t="shared" si="469"/>
        <v>-34.707000000227708</v>
      </c>
      <c r="ABT35" s="35">
        <f t="shared" si="469"/>
        <v>65.578000000095926</v>
      </c>
      <c r="ABU35" s="35">
        <f t="shared" si="469"/>
        <v>-57.196999999927357</v>
      </c>
      <c r="ABV35" s="35">
        <f t="shared" si="469"/>
        <v>-16.296000000202184</v>
      </c>
      <c r="ABW35" s="35">
        <f t="shared" si="469"/>
        <v>4.9360000003362074</v>
      </c>
      <c r="ABX35" s="35">
        <f t="shared" si="469"/>
        <v>34.086999999766704</v>
      </c>
      <c r="ABY35" s="35">
        <f t="shared" si="469"/>
        <v>-16.895000000018626</v>
      </c>
      <c r="ABZ35" s="35">
        <f t="shared" si="469"/>
        <v>4.3199999998905696</v>
      </c>
      <c r="ACA35" s="35">
        <f t="shared" si="469"/>
        <v>-5.0979999997653067</v>
      </c>
      <c r="ACB35" s="35">
        <f t="shared" si="469"/>
        <v>36.33199999993667</v>
      </c>
      <c r="ACC35" s="127">
        <f t="shared" si="274"/>
        <v>-125.96500000008018</v>
      </c>
      <c r="ACD35" s="35">
        <f t="shared" ref="ACD35:ADH35" si="470">ACD34-ACD33</f>
        <v>-20.032999999937601</v>
      </c>
      <c r="ACE35" s="35">
        <f t="shared" si="470"/>
        <v>7.970000000030268</v>
      </c>
      <c r="ACF35" s="35">
        <f t="shared" si="470"/>
        <v>-39.311000000103377</v>
      </c>
      <c r="ACG35" s="35">
        <f t="shared" si="470"/>
        <v>-13.263999999966472</v>
      </c>
      <c r="ACH35" s="35">
        <f t="shared" si="470"/>
        <v>-20.976000000024214</v>
      </c>
      <c r="ACI35" s="35">
        <f t="shared" si="470"/>
        <v>149.4900000001071</v>
      </c>
      <c r="ACJ35" s="35">
        <f t="shared" si="470"/>
        <v>-69.648999999917578</v>
      </c>
      <c r="ACK35" s="35">
        <f t="shared" si="470"/>
        <v>-6.2210000002523884</v>
      </c>
      <c r="ACL35" s="35">
        <f t="shared" si="470"/>
        <v>-16.232999999891035</v>
      </c>
      <c r="ACM35" s="35">
        <f t="shared" si="470"/>
        <v>-9.0670000001555309</v>
      </c>
      <c r="ACN35" s="35">
        <f t="shared" si="470"/>
        <v>90.467000000178814</v>
      </c>
      <c r="ACO35" s="35">
        <f t="shared" si="470"/>
        <v>-98.937000000150874</v>
      </c>
      <c r="ACP35" s="35">
        <f t="shared" si="470"/>
        <v>97.779000000096858</v>
      </c>
      <c r="ACQ35" s="35">
        <f t="shared" si="470"/>
        <v>-21.548000000009779</v>
      </c>
      <c r="ACR35" s="35">
        <f t="shared" si="470"/>
        <v>8.6779999999562278</v>
      </c>
      <c r="ACS35" s="35">
        <f t="shared" si="470"/>
        <v>49.07999999995809</v>
      </c>
      <c r="ACT35" s="35">
        <f t="shared" si="470"/>
        <v>-32.458999999798834</v>
      </c>
      <c r="ACU35" s="35">
        <f t="shared" si="470"/>
        <v>-30.443000000086613</v>
      </c>
      <c r="ACV35" s="35">
        <f t="shared" si="470"/>
        <v>-43.451999999990221</v>
      </c>
      <c r="ACW35" s="35">
        <f t="shared" si="470"/>
        <v>11.046999999962281</v>
      </c>
      <c r="ACX35" s="35">
        <f t="shared" si="470"/>
        <v>6.3629999998374842</v>
      </c>
      <c r="ACY35" s="35">
        <f t="shared" si="470"/>
        <v>19.592000000062399</v>
      </c>
      <c r="ACZ35" s="35">
        <f t="shared" si="470"/>
        <v>-10.55199999990873</v>
      </c>
      <c r="ADA35" s="35">
        <f t="shared" si="470"/>
        <v>-3.6809999999240972</v>
      </c>
      <c r="ADB35" s="35">
        <f t="shared" si="470"/>
        <v>-30.617999999900348</v>
      </c>
      <c r="ADC35" s="35">
        <f t="shared" si="470"/>
        <v>-9.3450000001466833</v>
      </c>
      <c r="ADD35" s="35">
        <f t="shared" si="470"/>
        <v>16.668000000005122</v>
      </c>
      <c r="ADE35" s="35">
        <f t="shared" si="470"/>
        <v>-11.934999999881256</v>
      </c>
      <c r="ADF35" s="35">
        <f t="shared" si="470"/>
        <v>-15.938000000140164</v>
      </c>
      <c r="ADG35" s="35">
        <f t="shared" si="470"/>
        <v>12.04500000004191</v>
      </c>
      <c r="ADH35" s="35">
        <f t="shared" si="470"/>
        <v>-37.553000000072643</v>
      </c>
      <c r="ADI35" s="127">
        <f t="shared" si="276"/>
        <v>-72.036000000021886</v>
      </c>
      <c r="ADJ35" s="35">
        <f t="shared" ref="ADJ35:AEM35" si="471">ADJ34-ADJ33</f>
        <v>29.503999999957159</v>
      </c>
      <c r="ADK35" s="35">
        <f t="shared" si="471"/>
        <v>-18.617999999900348</v>
      </c>
      <c r="ADL35" s="35">
        <f t="shared" si="471"/>
        <v>10.155999999959022</v>
      </c>
      <c r="ADM35" s="35">
        <f t="shared" si="471"/>
        <v>-26.514999999955762</v>
      </c>
      <c r="ADN35" s="35">
        <f t="shared" si="471"/>
        <v>-57.670000000100117</v>
      </c>
      <c r="ADO35" s="35">
        <f t="shared" si="471"/>
        <v>38.543000000179745</v>
      </c>
      <c r="ADP35" s="35">
        <f t="shared" si="471"/>
        <v>-19.631999999983236</v>
      </c>
      <c r="ADQ35" s="35">
        <f t="shared" si="471"/>
        <v>8.7549999998300336</v>
      </c>
      <c r="ADR35" s="35">
        <f t="shared" si="471"/>
        <v>-22.167999999946915</v>
      </c>
      <c r="ADS35" s="35">
        <f t="shared" si="471"/>
        <v>3.7109999999520369</v>
      </c>
      <c r="ADT35" s="35">
        <f t="shared" si="471"/>
        <v>-21.639999999955762</v>
      </c>
      <c r="ADU35" s="35">
        <f t="shared" si="471"/>
        <v>27.405000000202563</v>
      </c>
      <c r="ADV35" s="35">
        <f t="shared" si="471"/>
        <v>15.65999999968335</v>
      </c>
      <c r="ADW35" s="35">
        <f t="shared" si="471"/>
        <v>2.8129999999655411</v>
      </c>
      <c r="ADX35" s="35">
        <f t="shared" si="471"/>
        <v>-1.712000000057742</v>
      </c>
      <c r="ADY35" s="35">
        <f t="shared" si="471"/>
        <v>29.457000000344124</v>
      </c>
      <c r="ADZ35" s="35">
        <f t="shared" si="471"/>
        <v>-36.527000000118278</v>
      </c>
      <c r="AEA35" s="35">
        <f t="shared" si="471"/>
        <v>6.4379999999073334</v>
      </c>
      <c r="AEB35" s="35">
        <f t="shared" si="471"/>
        <v>-64.63499999983469</v>
      </c>
      <c r="AEC35" s="35">
        <f t="shared" si="471"/>
        <v>30.763999999791849</v>
      </c>
      <c r="AED35" s="35">
        <f t="shared" si="471"/>
        <v>26.939000000129454</v>
      </c>
      <c r="AEE35" s="35">
        <f t="shared" si="471"/>
        <v>-39.428000000018073</v>
      </c>
      <c r="AEF35" s="35">
        <f t="shared" si="471"/>
        <v>54.44099999993341</v>
      </c>
      <c r="AEG35" s="35">
        <f t="shared" si="471"/>
        <v>-47.899999999965075</v>
      </c>
      <c r="AEH35" s="35">
        <f t="shared" si="471"/>
        <v>-1.586999999883119</v>
      </c>
      <c r="AEI35" s="35">
        <f t="shared" si="471"/>
        <v>-31.472000000008848</v>
      </c>
      <c r="AEJ35" s="35">
        <f t="shared" si="471"/>
        <v>49.689999999885913</v>
      </c>
      <c r="AEK35" s="35">
        <f t="shared" si="471"/>
        <v>10.699000000080559</v>
      </c>
      <c r="AEL35" s="35">
        <f t="shared" si="471"/>
        <v>4.4140000000479631</v>
      </c>
      <c r="AEM35" s="35">
        <f t="shared" si="471"/>
        <v>-12.607000000192784</v>
      </c>
      <c r="AEN35" s="127">
        <f t="shared" si="364"/>
        <v>-52.722000000070693</v>
      </c>
      <c r="AEO35" s="35">
        <f t="shared" ref="AEO35:AFS35" si="472">AEO34-AEO33</f>
        <v>-6.9199999998672865</v>
      </c>
      <c r="AEP35" s="35">
        <f t="shared" si="472"/>
        <v>11.4299999998766</v>
      </c>
      <c r="AEQ35" s="35">
        <f t="shared" si="472"/>
        <v>19.20499999995809</v>
      </c>
      <c r="AER35" s="35">
        <f t="shared" si="472"/>
        <v>-6.252999999851454</v>
      </c>
      <c r="AES35" s="35">
        <f t="shared" si="472"/>
        <v>38.091000000014901</v>
      </c>
      <c r="AET35" s="35">
        <f t="shared" si="472"/>
        <v>69.116999999911059</v>
      </c>
      <c r="AEU35" s="35">
        <f t="shared" si="472"/>
        <v>-36.530999999900814</v>
      </c>
      <c r="AEV35" s="35">
        <f t="shared" si="472"/>
        <v>19.282000000064727</v>
      </c>
      <c r="AEW35" s="35">
        <f t="shared" si="472"/>
        <v>-123.60100000008242</v>
      </c>
      <c r="AEX35" s="35">
        <f t="shared" si="472"/>
        <v>1.2319999999599531</v>
      </c>
      <c r="AEY35" s="35">
        <f t="shared" si="472"/>
        <v>-38.416999999957625</v>
      </c>
      <c r="AEZ35" s="35">
        <f t="shared" si="472"/>
        <v>19.128999999957159</v>
      </c>
      <c r="AFA35" s="35">
        <f t="shared" si="472"/>
        <v>28.199000000022352</v>
      </c>
      <c r="AFB35" s="35">
        <f t="shared" si="472"/>
        <v>11.681999999971595</v>
      </c>
      <c r="AFC35" s="35">
        <f t="shared" si="472"/>
        <v>-13.256999999866821</v>
      </c>
      <c r="AFD35" s="35">
        <f t="shared" si="472"/>
        <v>22.679000000003725</v>
      </c>
      <c r="AFE35" s="35">
        <f t="shared" si="472"/>
        <v>36.915999999968335</v>
      </c>
      <c r="AFF35" s="35">
        <f t="shared" si="472"/>
        <v>-51.299999999988358</v>
      </c>
      <c r="AFG35" s="35">
        <f t="shared" si="472"/>
        <v>5.5620000000926666</v>
      </c>
      <c r="AFH35" s="35">
        <f t="shared" si="472"/>
        <v>-26.320000000181608</v>
      </c>
      <c r="AFI35" s="35">
        <f t="shared" si="472"/>
        <v>8.6690000001108274</v>
      </c>
      <c r="AFJ35" s="35">
        <f t="shared" si="472"/>
        <v>-34.066000000282656</v>
      </c>
      <c r="AFK35" s="35">
        <f t="shared" si="472"/>
        <v>34.873000000196043</v>
      </c>
      <c r="AFL35" s="35">
        <f t="shared" si="472"/>
        <v>-37.699000000022352</v>
      </c>
      <c r="AFM35" s="35">
        <f t="shared" si="472"/>
        <v>1.5459999999729916</v>
      </c>
      <c r="AFN35" s="35">
        <f t="shared" si="472"/>
        <v>33.826999999873806</v>
      </c>
      <c r="AFO35" s="35">
        <f t="shared" si="472"/>
        <v>-48.983000000007451</v>
      </c>
      <c r="AFP35" s="35">
        <f t="shared" si="472"/>
        <v>25.038000000291504</v>
      </c>
      <c r="AFQ35" s="35">
        <f t="shared" si="472"/>
        <v>-35.69700000033481</v>
      </c>
      <c r="AFR35" s="35">
        <f t="shared" si="472"/>
        <v>7.8060000002733432</v>
      </c>
      <c r="AFS35" s="35">
        <f t="shared" si="472"/>
        <v>22.210000000020955</v>
      </c>
      <c r="AFT35" s="127">
        <f t="shared" si="279"/>
        <v>-42.550999999803025</v>
      </c>
      <c r="AFU35" s="35">
        <f t="shared" ref="AFU35:AGX35" si="473">AFU34-AFU33</f>
        <v>41.012999999860767</v>
      </c>
      <c r="AFV35" s="35">
        <f t="shared" si="473"/>
        <v>9.5330000001122244</v>
      </c>
      <c r="AFW35" s="35">
        <f t="shared" si="473"/>
        <v>4.6480000000447035</v>
      </c>
      <c r="AFX35" s="35">
        <f t="shared" si="473"/>
        <v>6.5349999998579733</v>
      </c>
      <c r="AFY35" s="35">
        <f t="shared" si="473"/>
        <v>-24.938000000198372</v>
      </c>
      <c r="AFZ35" s="35">
        <f t="shared" si="473"/>
        <v>44.243000000307802</v>
      </c>
      <c r="AGA35" s="35">
        <f t="shared" si="473"/>
        <v>-14.890000000188593</v>
      </c>
      <c r="AGB35" s="35">
        <f t="shared" si="473"/>
        <v>20.212000000174157</v>
      </c>
      <c r="AGC35" s="35">
        <f t="shared" si="473"/>
        <v>12.204999999783468</v>
      </c>
      <c r="AGD35" s="35">
        <f t="shared" si="473"/>
        <v>-5.5589999998337589</v>
      </c>
      <c r="AGE35" s="35">
        <f t="shared" si="473"/>
        <v>63.564000000013039</v>
      </c>
      <c r="AGF35" s="35">
        <f t="shared" si="473"/>
        <v>-25.871000000042841</v>
      </c>
      <c r="AGG35" s="35">
        <f t="shared" si="473"/>
        <v>-12.71100000012666</v>
      </c>
      <c r="AGH35" s="35">
        <f t="shared" si="473"/>
        <v>119.98200000022007</v>
      </c>
      <c r="AGI35" s="35">
        <f t="shared" si="473"/>
        <v>-128.44300000008661</v>
      </c>
      <c r="AGJ35" s="35">
        <f t="shared" si="473"/>
        <v>20.048999999999069</v>
      </c>
      <c r="AGK35" s="35">
        <f t="shared" si="473"/>
        <v>2.5770000001066364</v>
      </c>
      <c r="AGL35" s="35">
        <f t="shared" si="473"/>
        <v>5.1840000000083819</v>
      </c>
      <c r="AGM35" s="35">
        <f t="shared" si="473"/>
        <v>-20.386000000231434</v>
      </c>
      <c r="AGN35" s="35">
        <f t="shared" si="473"/>
        <v>-20.774000000033993</v>
      </c>
      <c r="AGO35" s="35">
        <f t="shared" si="473"/>
        <v>41.6280000002007</v>
      </c>
      <c r="AGP35" s="35">
        <f t="shared" si="473"/>
        <v>5.8499999997438863</v>
      </c>
      <c r="AGQ35" s="35">
        <f t="shared" si="473"/>
        <v>12.045000000158325</v>
      </c>
      <c r="AGR35" s="35">
        <f t="shared" si="473"/>
        <v>12.98700000019744</v>
      </c>
      <c r="AGS35" s="35">
        <f t="shared" si="473"/>
        <v>-13.931000000273343</v>
      </c>
      <c r="AGT35" s="35">
        <f t="shared" si="473"/>
        <v>67.793000000121538</v>
      </c>
      <c r="AGU35" s="35">
        <f t="shared" si="473"/>
        <v>6.0810000000055879</v>
      </c>
      <c r="AGV35" s="35">
        <f t="shared" si="473"/>
        <v>38.478000000061002</v>
      </c>
      <c r="AGW35" s="35">
        <f t="shared" si="473"/>
        <v>18.528999999805819</v>
      </c>
      <c r="AGX35" s="35">
        <f t="shared" si="473"/>
        <v>-19.172999999893364</v>
      </c>
      <c r="AGY35" s="127">
        <f t="shared" si="281"/>
        <v>266.45999999987362</v>
      </c>
      <c r="AGZ35" s="35">
        <f t="shared" ref="AGZ35:AID35" si="474">AGZ34-AGZ33</f>
        <v>48.701999999873806</v>
      </c>
      <c r="AHA35" s="35">
        <f t="shared" si="474"/>
        <v>5.6859999999287538</v>
      </c>
      <c r="AHB35" s="35">
        <f t="shared" si="474"/>
        <v>65.712000000232365</v>
      </c>
      <c r="AHC35" s="35">
        <f t="shared" si="474"/>
        <v>22.433999999891967</v>
      </c>
      <c r="AHD35" s="35">
        <f t="shared" si="474"/>
        <v>4.5430000001797453</v>
      </c>
      <c r="AHE35" s="35">
        <f t="shared" si="474"/>
        <v>21.894999999902211</v>
      </c>
      <c r="AHF35" s="35">
        <f t="shared" si="474"/>
        <v>16.864000000117812</v>
      </c>
      <c r="AHG35" s="35">
        <f t="shared" si="474"/>
        <v>21.288999999756925</v>
      </c>
      <c r="AHH35" s="35">
        <f t="shared" si="474"/>
        <v>5.6370000001043081</v>
      </c>
      <c r="AHI35" s="35">
        <f t="shared" si="474"/>
        <v>-18.927999999956228</v>
      </c>
      <c r="AHJ35" s="35">
        <f t="shared" si="474"/>
        <v>128.38199999992503</v>
      </c>
      <c r="AHK35" s="35">
        <f t="shared" si="474"/>
        <v>-11.121000000042841</v>
      </c>
      <c r="AHL35" s="35">
        <f t="shared" si="474"/>
        <v>-0.62300000002142042</v>
      </c>
      <c r="AHM35" s="35">
        <f t="shared" si="474"/>
        <v>3.7630000002682209</v>
      </c>
      <c r="AHN35" s="35">
        <f t="shared" si="474"/>
        <v>6.431999999913387</v>
      </c>
      <c r="AHO35" s="35">
        <f t="shared" si="474"/>
        <v>-18.891000000177883</v>
      </c>
      <c r="AHP35" s="35">
        <f t="shared" si="474"/>
        <v>-51.275999999779742</v>
      </c>
      <c r="AHQ35" s="35">
        <f t="shared" si="474"/>
        <v>43.423999999999069</v>
      </c>
      <c r="AHR35" s="35">
        <f t="shared" si="474"/>
        <v>1.3729999999050051</v>
      </c>
      <c r="AHS35" s="35">
        <f t="shared" si="474"/>
        <v>-1.195999999938067</v>
      </c>
      <c r="AHT35" s="35">
        <f t="shared" si="474"/>
        <v>-9.2569999999250285</v>
      </c>
      <c r="AHU35" s="35">
        <f t="shared" si="474"/>
        <v>-3.3220000001019798</v>
      </c>
      <c r="AHV35" s="35">
        <f t="shared" si="474"/>
        <v>29.865000000048894</v>
      </c>
      <c r="AHW35" s="35">
        <f t="shared" si="474"/>
        <v>111.92200000002049</v>
      </c>
      <c r="AHX35" s="35">
        <f t="shared" si="474"/>
        <v>32.060000000055879</v>
      </c>
      <c r="AHY35" s="35">
        <f t="shared" si="474"/>
        <v>21.269000000029337</v>
      </c>
      <c r="AHZ35" s="35">
        <f t="shared" si="474"/>
        <v>-2.4660000003059395</v>
      </c>
      <c r="AIA35" s="35">
        <f t="shared" si="474"/>
        <v>8.0270000001764856</v>
      </c>
      <c r="AIB35" s="35">
        <f t="shared" si="474"/>
        <v>-11.318000000028405</v>
      </c>
      <c r="AIC35" s="35">
        <f t="shared" si="474"/>
        <v>-28.093000000109896</v>
      </c>
      <c r="AID35" s="35">
        <f t="shared" si="474"/>
        <v>-34.033999999868684</v>
      </c>
      <c r="AIE35" s="127">
        <f t="shared" si="283"/>
        <v>408.75400000007357</v>
      </c>
      <c r="AIF35" s="35">
        <f t="shared" ref="AIF35:AJJ35" si="475">AIF34-AIF33</f>
        <v>3.3299999998998828</v>
      </c>
      <c r="AIG35" s="35">
        <f t="shared" si="475"/>
        <v>13.135999999940395</v>
      </c>
      <c r="AIH35" s="35">
        <f t="shared" si="475"/>
        <v>-2.4979999997885898</v>
      </c>
      <c r="AII35" s="35">
        <f t="shared" si="475"/>
        <v>-27.627999999909662</v>
      </c>
      <c r="AIJ35" s="35">
        <f t="shared" si="475"/>
        <v>78.425999999570195</v>
      </c>
      <c r="AIK35" s="35">
        <f t="shared" si="475"/>
        <v>-52.398999999684747</v>
      </c>
      <c r="AIL35" s="35">
        <f t="shared" si="475"/>
        <v>3.5789999999688007</v>
      </c>
      <c r="AIM35" s="35">
        <f t="shared" si="475"/>
        <v>2.0770000001066364</v>
      </c>
      <c r="AIN35" s="35">
        <f t="shared" si="475"/>
        <v>2.3379999998142011</v>
      </c>
      <c r="AIO35" s="35">
        <f t="shared" si="475"/>
        <v>24.001999999862164</v>
      </c>
      <c r="AIP35" s="35">
        <f t="shared" si="475"/>
        <v>15.376000000280328</v>
      </c>
      <c r="AIQ35" s="35">
        <f t="shared" si="475"/>
        <v>2.4349999998230487</v>
      </c>
      <c r="AIR35" s="35">
        <f t="shared" si="475"/>
        <v>-33.449000000022352</v>
      </c>
      <c r="AIS35" s="35">
        <f t="shared" si="475"/>
        <v>30.220000000088476</v>
      </c>
      <c r="AIT35" s="35">
        <f t="shared" si="475"/>
        <v>-2.7639999999082647</v>
      </c>
      <c r="AIU35" s="35">
        <f t="shared" si="475"/>
        <v>4.3800000000628643</v>
      </c>
      <c r="AIV35" s="35">
        <f t="shared" si="475"/>
        <v>-20.752000000036787</v>
      </c>
      <c r="AIW35" s="35">
        <f t="shared" si="475"/>
        <v>6.627999999851454</v>
      </c>
      <c r="AIX35" s="35">
        <f t="shared" si="475"/>
        <v>-2.2919999998994172</v>
      </c>
      <c r="AIY35" s="35">
        <f t="shared" si="475"/>
        <v>-43.575000000069849</v>
      </c>
      <c r="AIZ35" s="35">
        <f t="shared" si="475"/>
        <v>32.377999999967869</v>
      </c>
      <c r="AJA35" s="35">
        <f t="shared" si="475"/>
        <v>190.73599999997532</v>
      </c>
      <c r="AJB35" s="35">
        <f t="shared" si="475"/>
        <v>-53.698999999847729</v>
      </c>
      <c r="AJC35" s="35">
        <f t="shared" si="475"/>
        <v>36.461999999824911</v>
      </c>
      <c r="AJD35" s="35">
        <f t="shared" si="475"/>
        <v>-37.338999999919906</v>
      </c>
      <c r="AJE35" s="35">
        <f t="shared" si="475"/>
        <v>-37.415000000153668</v>
      </c>
      <c r="AJF35" s="35">
        <f t="shared" si="475"/>
        <v>15.743000000191387</v>
      </c>
      <c r="AJG35" s="35">
        <f t="shared" si="475"/>
        <v>-25.997000000148546</v>
      </c>
      <c r="AJH35" s="35">
        <f t="shared" si="475"/>
        <v>-16.763999999850057</v>
      </c>
      <c r="AJI35" s="35">
        <f t="shared" si="475"/>
        <v>199.06599999999162</v>
      </c>
      <c r="AJJ35" s="35">
        <f t="shared" si="475"/>
        <v>-16.965000000142027</v>
      </c>
      <c r="AJK35" s="127">
        <f t="shared" si="285"/>
        <v>286.77599999983795</v>
      </c>
      <c r="AJL35" s="35">
        <f t="shared" ref="AJL35:AKM35" si="476">AJL34-AJL33</f>
        <v>-17.574999999895226</v>
      </c>
      <c r="AJM35" s="35">
        <f t="shared" si="476"/>
        <v>114.69500000018161</v>
      </c>
      <c r="AJN35" s="35">
        <f t="shared" si="476"/>
        <v>-123.25200000021141</v>
      </c>
      <c r="AJO35" s="35">
        <f t="shared" si="476"/>
        <v>59.974000000278465</v>
      </c>
      <c r="AJP35" s="35">
        <f t="shared" si="476"/>
        <v>-38.994000000064261</v>
      </c>
      <c r="AJQ35" s="35">
        <f t="shared" si="476"/>
        <v>84.470999999844935</v>
      </c>
      <c r="AJR35" s="35">
        <f t="shared" si="476"/>
        <v>-183.16699999989942</v>
      </c>
      <c r="AJS35" s="35">
        <f t="shared" si="476"/>
        <v>12.396999999764375</v>
      </c>
      <c r="AJT35" s="35">
        <f t="shared" si="476"/>
        <v>1.8700000001117587</v>
      </c>
      <c r="AJU35" s="35">
        <f t="shared" si="476"/>
        <v>-3.3899999999557622</v>
      </c>
      <c r="AJV35" s="35">
        <f t="shared" si="476"/>
        <v>8.3769999998039566</v>
      </c>
      <c r="AJW35" s="35">
        <f t="shared" si="476"/>
        <v>-14.96999999997206</v>
      </c>
      <c r="AJX35" s="35">
        <f t="shared" si="476"/>
        <v>14.745000000053551</v>
      </c>
      <c r="AJY35" s="35">
        <f t="shared" si="476"/>
        <v>11.588000000105239</v>
      </c>
      <c r="AJZ35" s="35">
        <f t="shared" si="476"/>
        <v>-11.561999999918044</v>
      </c>
      <c r="AKA35" s="35">
        <f t="shared" si="476"/>
        <v>12.009999999892898</v>
      </c>
      <c r="AKB35" s="35">
        <f t="shared" si="476"/>
        <v>-9.9730000001145527</v>
      </c>
      <c r="AKC35" s="35">
        <f t="shared" si="476"/>
        <v>9.4940000001806766</v>
      </c>
      <c r="AKD35" s="35">
        <f t="shared" si="476"/>
        <v>31.345000000030268</v>
      </c>
      <c r="AKE35" s="35">
        <f t="shared" si="476"/>
        <v>-14.731999999901745</v>
      </c>
      <c r="AKF35" s="35">
        <f t="shared" si="476"/>
        <v>-7.2080000003516034</v>
      </c>
      <c r="AKG35" s="35">
        <f t="shared" si="476"/>
        <v>-40.485999999800697</v>
      </c>
      <c r="AKH35" s="35">
        <f t="shared" si="476"/>
        <v>24.191000000049826</v>
      </c>
      <c r="AKI35" s="35">
        <f t="shared" si="476"/>
        <v>-20.553000000189058</v>
      </c>
      <c r="AKJ35" s="35">
        <f t="shared" si="476"/>
        <v>9.9890000002342276</v>
      </c>
      <c r="AKK35" s="35">
        <f t="shared" si="476"/>
        <v>25.36099999997532</v>
      </c>
      <c r="AKL35" s="35">
        <f t="shared" si="476"/>
        <v>-26.990000000223517</v>
      </c>
      <c r="AKM35" s="35">
        <f t="shared" si="476"/>
        <v>17.091000000014901</v>
      </c>
      <c r="AKN35" s="127">
        <f t="shared" si="11"/>
        <v>-75.253999999975349</v>
      </c>
      <c r="AKO35" s="35">
        <f t="shared" ref="AKO35:ALS35" si="477">AKO34-AKO33</f>
        <v>-53.257000000041444</v>
      </c>
      <c r="AKP35" s="35">
        <f t="shared" si="477"/>
        <v>96.25</v>
      </c>
      <c r="AKQ35" s="35">
        <f t="shared" si="477"/>
        <v>-29.256999999750406</v>
      </c>
      <c r="AKR35" s="35">
        <f t="shared" si="477"/>
        <v>59.340000000025611</v>
      </c>
      <c r="AKS35" s="35">
        <f t="shared" si="477"/>
        <v>-60.137000000220723</v>
      </c>
      <c r="AKT35" s="35">
        <f t="shared" si="477"/>
        <v>-1.1679999998304993</v>
      </c>
      <c r="AKU35" s="35">
        <f t="shared" si="477"/>
        <v>5.7199999997392297</v>
      </c>
      <c r="AKV35" s="35">
        <f t="shared" si="477"/>
        <v>16.964000000094529</v>
      </c>
      <c r="AKW35" s="35">
        <f t="shared" si="477"/>
        <v>35.150000000188811</v>
      </c>
      <c r="AKX35" s="35">
        <f t="shared" si="477"/>
        <v>-55.761000000115018</v>
      </c>
      <c r="AKY35" s="35">
        <f t="shared" si="477"/>
        <v>0.34600000001955777</v>
      </c>
      <c r="AKZ35" s="35">
        <f t="shared" si="477"/>
        <v>-34.212000000057742</v>
      </c>
      <c r="ALA35" s="35">
        <f t="shared" si="477"/>
        <v>133.06100000021979</v>
      </c>
      <c r="ALB35" s="35">
        <f t="shared" si="477"/>
        <v>2.4879999999538995</v>
      </c>
      <c r="ALC35" s="35">
        <f t="shared" si="477"/>
        <v>31.789999999804422</v>
      </c>
      <c r="ALD35" s="35">
        <f t="shared" si="477"/>
        <v>-45.309999999881256</v>
      </c>
      <c r="ALE35" s="35">
        <f t="shared" si="477"/>
        <v>-9.9839999999967404</v>
      </c>
      <c r="ALF35" s="35">
        <f t="shared" si="477"/>
        <v>-7.4100000002072193</v>
      </c>
      <c r="ALG35" s="35">
        <f t="shared" si="477"/>
        <v>12.519000000087544</v>
      </c>
      <c r="ALH35" s="35">
        <f t="shared" si="477"/>
        <v>-7.523999999917578</v>
      </c>
      <c r="ALI35" s="35">
        <f t="shared" si="477"/>
        <v>0.84999999997671694</v>
      </c>
      <c r="ALJ35" s="35">
        <f t="shared" si="477"/>
        <v>10.558000000019092</v>
      </c>
      <c r="ALK35" s="35">
        <f t="shared" si="477"/>
        <v>-15.767000000167172</v>
      </c>
      <c r="ALL35" s="35">
        <f t="shared" si="477"/>
        <v>18.613000000303145</v>
      </c>
      <c r="ALM35" s="35">
        <f t="shared" si="477"/>
        <v>-24.213000000221655</v>
      </c>
      <c r="ALN35" s="35">
        <f t="shared" si="477"/>
        <v>-24.401000000012573</v>
      </c>
      <c r="ALO35" s="35">
        <f t="shared" si="477"/>
        <v>-41.462999999697786</v>
      </c>
      <c r="ALP35" s="35">
        <f t="shared" si="477"/>
        <v>4.0419999998994172</v>
      </c>
      <c r="ALQ35" s="35">
        <f t="shared" si="477"/>
        <v>17.168999999994412</v>
      </c>
      <c r="ALR35" s="35">
        <f t="shared" si="477"/>
        <v>17.185999999870546</v>
      </c>
      <c r="ALS35" s="35">
        <f t="shared" si="477"/>
        <v>16.74800000002142</v>
      </c>
      <c r="ALT35" s="127">
        <f t="shared" si="12"/>
        <v>68.930000000100335</v>
      </c>
      <c r="ALU35" s="35">
        <f t="shared" ref="ALU35:AMX35" si="478">ALU34-ALU33</f>
        <v>-55.510000000067521</v>
      </c>
      <c r="ALV35" s="35">
        <f t="shared" si="478"/>
        <v>-0.4340000000083819</v>
      </c>
      <c r="ALW35" s="35">
        <f t="shared" si="478"/>
        <v>-81.797999999951571</v>
      </c>
      <c r="ALX35" s="35">
        <f t="shared" si="478"/>
        <v>12.804999999993015</v>
      </c>
      <c r="ALY35" s="35">
        <f t="shared" si="478"/>
        <v>5.2110000001848675</v>
      </c>
      <c r="ALZ35" s="35">
        <f t="shared" si="478"/>
        <v>-13.945000000039727</v>
      </c>
      <c r="AMA35" s="35">
        <f t="shared" si="478"/>
        <v>-14.824999999895226</v>
      </c>
      <c r="AMB35" s="35">
        <f t="shared" si="478"/>
        <v>-46.888000000384636</v>
      </c>
      <c r="AMC35" s="35">
        <f t="shared" si="478"/>
        <v>7.5750000001280569</v>
      </c>
      <c r="AMD35" s="35">
        <f t="shared" si="478"/>
        <v>16.983999999880325</v>
      </c>
      <c r="AME35" s="35">
        <f t="shared" si="478"/>
        <v>-29.1339999998454</v>
      </c>
      <c r="AMF35" s="35">
        <f t="shared" si="478"/>
        <v>-28.510999999940395</v>
      </c>
      <c r="AMG35" s="35">
        <f t="shared" si="478"/>
        <v>10.965999999840278</v>
      </c>
      <c r="AMH35" s="35">
        <f t="shared" si="478"/>
        <v>145.75300000014249</v>
      </c>
      <c r="AMI35" s="35">
        <f t="shared" si="478"/>
        <v>-7.2080000000423752</v>
      </c>
      <c r="AMJ35" s="35">
        <f t="shared" si="478"/>
        <v>-11.667000000132248</v>
      </c>
      <c r="AMK35" s="35">
        <f t="shared" si="478"/>
        <v>1.6340000002528541</v>
      </c>
      <c r="AML35" s="35">
        <f t="shared" si="478"/>
        <v>-1.2580000000307336</v>
      </c>
      <c r="AMM35" s="35">
        <f t="shared" si="478"/>
        <v>-19.577000000164844</v>
      </c>
      <c r="AMN35" s="35">
        <f t="shared" si="478"/>
        <v>27.414000000222586</v>
      </c>
      <c r="AMO35" s="35">
        <f t="shared" si="478"/>
        <v>-14.700000000011642</v>
      </c>
      <c r="AMP35" s="35">
        <f t="shared" si="478"/>
        <v>21.416999999957625</v>
      </c>
      <c r="AMQ35" s="35">
        <f t="shared" si="478"/>
        <v>-8.8520000002463348</v>
      </c>
      <c r="AMR35" s="35">
        <f t="shared" si="478"/>
        <v>25.745999999984633</v>
      </c>
      <c r="AMS35" s="35">
        <f t="shared" si="478"/>
        <v>-24.230999999854248</v>
      </c>
      <c r="AMT35" s="35">
        <f t="shared" si="478"/>
        <v>-46.362000000081025</v>
      </c>
      <c r="AMU35" s="35">
        <f t="shared" si="478"/>
        <v>-16.173999999824446</v>
      </c>
      <c r="AMV35" s="35">
        <f t="shared" si="478"/>
        <v>96.022000000055414</v>
      </c>
      <c r="AMW35" s="35">
        <f t="shared" si="478"/>
        <v>-77.316000000108033</v>
      </c>
      <c r="AMX35" s="35">
        <f t="shared" si="478"/>
        <v>61.171999999962281</v>
      </c>
      <c r="AMY35" s="127">
        <f t="shared" si="13"/>
        <v>-65.69100000002436</v>
      </c>
      <c r="AMZ35" s="35">
        <f t="shared" ref="AMZ35:AOC35" si="479">AMZ34-AMZ33</f>
        <v>2.1289999999571592</v>
      </c>
      <c r="ANA35" s="35">
        <f t="shared" si="479"/>
        <v>-34.501999999920372</v>
      </c>
      <c r="ANB35" s="35">
        <f t="shared" si="479"/>
        <v>34.411999999836553</v>
      </c>
      <c r="ANC35" s="35">
        <f t="shared" si="479"/>
        <v>-43.128999999957159</v>
      </c>
      <c r="AND35" s="35">
        <f t="shared" si="479"/>
        <v>39.706000000122003</v>
      </c>
      <c r="ANE35" s="35">
        <f t="shared" si="479"/>
        <v>-39.921000000031199</v>
      </c>
      <c r="ANF35" s="35">
        <f t="shared" si="479"/>
        <v>14.644999999960419</v>
      </c>
      <c r="ANG35" s="35">
        <f t="shared" si="479"/>
        <v>-38.66399999987334</v>
      </c>
      <c r="ANH35" s="35">
        <f t="shared" si="479"/>
        <v>34.639999999839347</v>
      </c>
      <c r="ANI35" s="35">
        <f t="shared" si="479"/>
        <v>5.1300000001210719</v>
      </c>
      <c r="ANJ35" s="35">
        <f t="shared" si="479"/>
        <v>-16.011999999987893</v>
      </c>
      <c r="ANK35" s="35">
        <f t="shared" si="479"/>
        <v>-21.955999999889173</v>
      </c>
      <c r="ANL35" s="35">
        <f t="shared" si="479"/>
        <v>1.5849999997881241</v>
      </c>
      <c r="ANM35" s="35">
        <f t="shared" si="479"/>
        <v>-138.45499999972526</v>
      </c>
      <c r="ANN35" s="35">
        <f t="shared" si="479"/>
        <v>118.65299999981653</v>
      </c>
      <c r="ANO35" s="35">
        <f t="shared" si="479"/>
        <v>107.33300000004238</v>
      </c>
      <c r="ANP35" s="35">
        <f t="shared" si="479"/>
        <v>42.458999999973457</v>
      </c>
      <c r="ANQ35" s="35">
        <f t="shared" si="479"/>
        <v>-33.868000000074971</v>
      </c>
      <c r="ANR35" s="35">
        <f t="shared" si="479"/>
        <v>-90.820999999938067</v>
      </c>
      <c r="ANS35" s="35">
        <f t="shared" si="479"/>
        <v>3.6609999999054708</v>
      </c>
      <c r="ANT35" s="35">
        <f t="shared" si="479"/>
        <v>41.285000000149012</v>
      </c>
      <c r="ANU35" s="35">
        <f t="shared" si="479"/>
        <v>-25.046000000147615</v>
      </c>
      <c r="ANV35" s="35">
        <f t="shared" si="479"/>
        <v>103.51299999997718</v>
      </c>
      <c r="ANW35" s="35">
        <f t="shared" si="479"/>
        <v>-133.15499999985332</v>
      </c>
      <c r="ANX35" s="35">
        <f t="shared" si="479"/>
        <v>19.717000000178814</v>
      </c>
      <c r="ANY35" s="35">
        <f t="shared" si="479"/>
        <v>-25.531000000308268</v>
      </c>
      <c r="ANZ35" s="35">
        <f t="shared" si="479"/>
        <v>89.859000000113156</v>
      </c>
      <c r="AOA35" s="35">
        <f t="shared" si="479"/>
        <v>-16.997000000148546</v>
      </c>
      <c r="AOB35" s="35">
        <f t="shared" si="479"/>
        <v>40.73900000017602</v>
      </c>
      <c r="AOC35" s="35">
        <f t="shared" si="479"/>
        <v>2.1869999999762513</v>
      </c>
    </row>
    <row r="36" spans="1:1069" x14ac:dyDescent="0.2">
      <c r="A36" s="160"/>
      <c r="B36" s="36" t="s">
        <v>1531</v>
      </c>
      <c r="C36" s="37">
        <f t="shared" ref="C36:AG36" si="480">C35*C5</f>
        <v>-99787.999999999098</v>
      </c>
      <c r="D36" s="37">
        <f t="shared" si="480"/>
        <v>107881.99999999779</v>
      </c>
      <c r="E36" s="37">
        <f t="shared" si="480"/>
        <v>-47818.249999995714</v>
      </c>
      <c r="F36" s="37">
        <f t="shared" si="480"/>
        <v>-129033.74999999983</v>
      </c>
      <c r="G36" s="37">
        <f t="shared" si="480"/>
        <v>281352.00000004307</v>
      </c>
      <c r="H36" s="37">
        <f t="shared" si="480"/>
        <v>-157909.00000033117</v>
      </c>
      <c r="I36" s="37">
        <f t="shared" si="480"/>
        <v>96581.750000335203</v>
      </c>
      <c r="J36" s="43">
        <f t="shared" si="480"/>
        <v>-10533.059999971074</v>
      </c>
      <c r="K36" s="37">
        <f t="shared" si="480"/>
        <v>-712937.55000006268</v>
      </c>
      <c r="L36" s="37">
        <f t="shared" si="480"/>
        <v>134651.03999996471</v>
      </c>
      <c r="M36" s="37">
        <f t="shared" si="480"/>
        <v>113946.77999969601</v>
      </c>
      <c r="N36" s="37">
        <f t="shared" si="480"/>
        <v>-11017.169999415928</v>
      </c>
      <c r="O36" s="37">
        <f t="shared" si="480"/>
        <v>299003.94000018103</v>
      </c>
      <c r="P36" s="37">
        <f t="shared" si="480"/>
        <v>-248661.39000011841</v>
      </c>
      <c r="Q36" s="37">
        <f t="shared" si="480"/>
        <v>410970.26999974041</v>
      </c>
      <c r="R36" s="37">
        <f t="shared" si="480"/>
        <v>127369.83000010019</v>
      </c>
      <c r="S36" s="37">
        <f t="shared" si="480"/>
        <v>19794.720000047819</v>
      </c>
      <c r="T36" s="37">
        <f t="shared" si="480"/>
        <v>-155213.49000061367</v>
      </c>
      <c r="U36" s="37">
        <f t="shared" si="480"/>
        <v>-213133.75999994605</v>
      </c>
      <c r="V36" s="37">
        <f t="shared" si="480"/>
        <v>386300.01000023301</v>
      </c>
      <c r="W36" s="37">
        <f t="shared" si="480"/>
        <v>73106.970000420115</v>
      </c>
      <c r="X36" s="37">
        <f t="shared" si="480"/>
        <v>34248.709999641869</v>
      </c>
      <c r="Y36" s="37">
        <f t="shared" si="480"/>
        <v>-17320.449999496632</v>
      </c>
      <c r="Z36" s="37">
        <f t="shared" si="480"/>
        <v>-125437.8299998623</v>
      </c>
      <c r="AA36" s="37">
        <f t="shared" si="480"/>
        <v>182577.9199994434</v>
      </c>
      <c r="AB36" s="37">
        <f t="shared" si="480"/>
        <v>156912.8400000729</v>
      </c>
      <c r="AC36" s="37">
        <f t="shared" si="480"/>
        <v>-33433.18999992247</v>
      </c>
      <c r="AD36" s="37">
        <f t="shared" si="480"/>
        <v>-180898.06000022218</v>
      </c>
      <c r="AE36" s="37">
        <f t="shared" si="480"/>
        <v>205270.93999969104</v>
      </c>
      <c r="AF36" s="37">
        <f t="shared" si="480"/>
        <v>-163378.49999927566</v>
      </c>
      <c r="AG36" s="37">
        <f t="shared" si="480"/>
        <v>99745.799999503652</v>
      </c>
      <c r="AH36" s="94">
        <f t="shared" si="324"/>
        <v>423202.06999987946</v>
      </c>
      <c r="AI36" s="37">
        <f t="shared" ref="AI36:BL36" si="481">AI35*AI5</f>
        <v>5905.8000004239148</v>
      </c>
      <c r="AJ36" s="37">
        <f t="shared" si="481"/>
        <v>546439.50000009499</v>
      </c>
      <c r="AK36" s="37">
        <f t="shared" si="481"/>
        <v>7241.9999997684499</v>
      </c>
      <c r="AL36" s="37">
        <f t="shared" si="481"/>
        <v>396637.20000028261</v>
      </c>
      <c r="AM36" s="37">
        <f t="shared" si="481"/>
        <v>-336405.42000044952</v>
      </c>
      <c r="AN36" s="37">
        <f t="shared" si="481"/>
        <v>43834.739999980666</v>
      </c>
      <c r="AO36" s="37">
        <f t="shared" si="481"/>
        <v>-121804.11000021268</v>
      </c>
      <c r="AP36" s="37">
        <f t="shared" si="481"/>
        <v>-70698.180000015709</v>
      </c>
      <c r="AQ36" s="37">
        <f t="shared" si="481"/>
        <v>-59396.119999706862</v>
      </c>
      <c r="AR36" s="37">
        <f t="shared" si="481"/>
        <v>267954.37000026111</v>
      </c>
      <c r="AS36" s="37">
        <f t="shared" si="481"/>
        <v>-85660.970000458183</v>
      </c>
      <c r="AT36" s="37">
        <f t="shared" si="481"/>
        <v>504895.55000058172</v>
      </c>
      <c r="AU36" s="37">
        <f t="shared" si="481"/>
        <v>-92399.850000509468</v>
      </c>
      <c r="AV36" s="37">
        <f t="shared" si="481"/>
        <v>-760085.20000007842</v>
      </c>
      <c r="AW36" s="37">
        <f t="shared" si="481"/>
        <v>26338.050000519434</v>
      </c>
      <c r="AX36" s="37">
        <f t="shared" si="481"/>
        <v>44442.449999848031</v>
      </c>
      <c r="AY36" s="37">
        <f t="shared" si="481"/>
        <v>-31805.749999881664</v>
      </c>
      <c r="AZ36" s="37">
        <f t="shared" si="481"/>
        <v>-35395.599999960992</v>
      </c>
      <c r="BA36" s="37">
        <f t="shared" si="481"/>
        <v>-88777.900000452792</v>
      </c>
      <c r="BB36" s="37">
        <f t="shared" si="481"/>
        <v>-460929.25000014948</v>
      </c>
      <c r="BC36" s="37">
        <f t="shared" si="481"/>
        <v>230338.90000079846</v>
      </c>
      <c r="BD36" s="37">
        <f t="shared" si="481"/>
        <v>-182729.25000014948</v>
      </c>
      <c r="BE36" s="37">
        <f t="shared" si="481"/>
        <v>162859.34999948804</v>
      </c>
      <c r="BF36" s="37">
        <f t="shared" si="481"/>
        <v>-166518.74999968859</v>
      </c>
      <c r="BG36" s="37">
        <f t="shared" si="481"/>
        <v>62659.199999530392</v>
      </c>
      <c r="BH36" s="37">
        <f t="shared" si="481"/>
        <v>585758.25000009406</v>
      </c>
      <c r="BI36" s="37">
        <f t="shared" si="481"/>
        <v>-33515.019999651122</v>
      </c>
      <c r="BJ36" s="37">
        <f t="shared" si="481"/>
        <v>65671.760000045178</v>
      </c>
      <c r="BK36" s="37">
        <f t="shared" si="481"/>
        <v>220407.88000011671</v>
      </c>
      <c r="BL36" s="37">
        <f t="shared" si="481"/>
        <v>-17221.050000194518</v>
      </c>
      <c r="BM36" s="97">
        <f t="shared" si="247"/>
        <v>628042.58000027435</v>
      </c>
      <c r="BN36" s="37">
        <f t="shared" ref="BN36:CR36" si="482">BN35*BN5</f>
        <v>-527346.81999978283</v>
      </c>
      <c r="BO36" s="37">
        <f t="shared" si="482"/>
        <v>92880.479999941017</v>
      </c>
      <c r="BP36" s="37">
        <f t="shared" si="482"/>
        <v>-126837.48000003514</v>
      </c>
      <c r="BQ36" s="37">
        <f t="shared" si="482"/>
        <v>21209.649999830581</v>
      </c>
      <c r="BR36" s="37">
        <f t="shared" si="482"/>
        <v>61553.799999912153</v>
      </c>
      <c r="BS36" s="37">
        <f t="shared" si="482"/>
        <v>-25888.169999764068</v>
      </c>
      <c r="BT36" s="37">
        <f t="shared" si="482"/>
        <v>534914.37999952061</v>
      </c>
      <c r="BU36" s="37">
        <f t="shared" si="482"/>
        <v>36619.66000044049</v>
      </c>
      <c r="BV36" s="37">
        <f t="shared" si="482"/>
        <v>19129.11000015185</v>
      </c>
      <c r="BW36" s="37">
        <f t="shared" si="482"/>
        <v>-131074.02000030997</v>
      </c>
      <c r="BX36" s="37">
        <f t="shared" si="482"/>
        <v>28114.240000237187</v>
      </c>
      <c r="BY36" s="37">
        <f t="shared" si="482"/>
        <v>-129311.49000036268</v>
      </c>
      <c r="BZ36" s="37">
        <f t="shared" si="482"/>
        <v>17830.120000259776</v>
      </c>
      <c r="CA36" s="37">
        <f t="shared" si="482"/>
        <v>-402972.57000019075</v>
      </c>
      <c r="CB36" s="37">
        <f t="shared" si="482"/>
        <v>28701.750000062748</v>
      </c>
      <c r="CC36" s="37">
        <f t="shared" si="482"/>
        <v>-137849.24999959214</v>
      </c>
      <c r="CD36" s="37">
        <f t="shared" si="482"/>
        <v>-88827.200000370212</v>
      </c>
      <c r="CE36" s="37">
        <f t="shared" si="482"/>
        <v>-374728.9699994566</v>
      </c>
      <c r="CF36" s="37">
        <f t="shared" si="482"/>
        <v>-19172.230000631243</v>
      </c>
      <c r="CG36" s="37">
        <f t="shared" si="482"/>
        <v>-97461.979999972391</v>
      </c>
      <c r="CH36" s="37">
        <f t="shared" si="482"/>
        <v>339602.33999965363</v>
      </c>
      <c r="CI36" s="37">
        <f t="shared" si="482"/>
        <v>48342.910000220872</v>
      </c>
      <c r="CJ36" s="37">
        <f t="shared" si="482"/>
        <v>-156396.2399994391</v>
      </c>
      <c r="CK36" s="37">
        <f t="shared" si="482"/>
        <v>186812.00999976281</v>
      </c>
      <c r="CL36" s="37">
        <f t="shared" si="482"/>
        <v>-23775.289999647357</v>
      </c>
      <c r="CM36" s="37">
        <f t="shared" si="482"/>
        <v>25942.069999971136</v>
      </c>
      <c r="CN36" s="37">
        <f t="shared" si="482"/>
        <v>-72533.23000028613</v>
      </c>
      <c r="CO36" s="37">
        <f t="shared" si="482"/>
        <v>-590814.07000053581</v>
      </c>
      <c r="CP36" s="37">
        <f t="shared" si="482"/>
        <v>-35913.569999531901</v>
      </c>
      <c r="CQ36" s="37">
        <f t="shared" si="482"/>
        <v>57295.699999868229</v>
      </c>
      <c r="CR36" s="37">
        <f t="shared" si="482"/>
        <v>-240180.80100007725</v>
      </c>
      <c r="CS36" s="111">
        <f t="shared" si="208"/>
        <v>-1682135.1610001524</v>
      </c>
      <c r="CT36" s="37">
        <f t="shared" ref="CT36:DW36" si="483">CT35*CT5</f>
        <v>36066.00900012537</v>
      </c>
      <c r="CU36" s="37">
        <f t="shared" si="483"/>
        <v>-861271.0890001317</v>
      </c>
      <c r="CV36" s="37">
        <f t="shared" si="483"/>
        <v>108056.61300014943</v>
      </c>
      <c r="CW36" s="37">
        <f t="shared" si="483"/>
        <v>-36968.882999953144</v>
      </c>
      <c r="CX36" s="37">
        <f t="shared" si="483"/>
        <v>115709.28600002659</v>
      </c>
      <c r="CY36" s="37">
        <f t="shared" si="483"/>
        <v>421375.64700030646</v>
      </c>
      <c r="CZ36" s="37">
        <f t="shared" si="483"/>
        <v>-867221.35500019626</v>
      </c>
      <c r="DA36" s="37">
        <f t="shared" si="483"/>
        <v>-154451.2830001431</v>
      </c>
      <c r="DB36" s="37">
        <f t="shared" si="483"/>
        <v>84483.986999660614</v>
      </c>
      <c r="DC36" s="37">
        <f t="shared" si="483"/>
        <v>90379.863000307727</v>
      </c>
      <c r="DD36" s="37">
        <f t="shared" si="483"/>
        <v>83956.403999929084</v>
      </c>
      <c r="DE36" s="37">
        <f t="shared" si="483"/>
        <v>-19923.057000319124</v>
      </c>
      <c r="DF36" s="37">
        <f t="shared" si="483"/>
        <v>106952.49600010258</v>
      </c>
      <c r="DG36" s="37">
        <f t="shared" si="483"/>
        <v>57261.79200026847</v>
      </c>
      <c r="DH36" s="37">
        <f t="shared" si="483"/>
        <v>-202114.34999992634</v>
      </c>
      <c r="DI36" s="37">
        <f t="shared" si="483"/>
        <v>339787.65000031271</v>
      </c>
      <c r="DJ36" s="37">
        <f t="shared" si="483"/>
        <v>-302064.300000199</v>
      </c>
      <c r="DK36" s="37">
        <f t="shared" si="483"/>
        <v>145154.69999940688</v>
      </c>
      <c r="DL36" s="37">
        <f t="shared" si="483"/>
        <v>-15695.400000209338</v>
      </c>
      <c r="DM36" s="37">
        <f t="shared" si="483"/>
        <v>65662.050000031013</v>
      </c>
      <c r="DN36" s="37">
        <f t="shared" si="483"/>
        <v>-77022.899999821675</v>
      </c>
      <c r="DO36" s="37">
        <f t="shared" si="483"/>
        <v>-34948.349999629136</v>
      </c>
      <c r="DP36" s="37">
        <f t="shared" si="483"/>
        <v>-63952.649999440473</v>
      </c>
      <c r="DQ36" s="37">
        <f t="shared" si="483"/>
        <v>206254.64999919495</v>
      </c>
      <c r="DR36" s="37">
        <f t="shared" si="483"/>
        <v>405405.30000049621</v>
      </c>
      <c r="DS36" s="37">
        <f t="shared" si="483"/>
        <v>-290703.44999992376</v>
      </c>
      <c r="DT36" s="37">
        <f t="shared" si="483"/>
        <v>-43500.900000261026</v>
      </c>
      <c r="DU36" s="37">
        <f t="shared" si="483"/>
        <v>-56632.199999665318</v>
      </c>
      <c r="DV36" s="37">
        <f t="shared" si="483"/>
        <v>-77083.950000136974</v>
      </c>
      <c r="DW36" s="37">
        <f t="shared" si="483"/>
        <v>401536.94999944564</v>
      </c>
      <c r="DX36" s="119">
        <f>SUM(CT36:DW36)</f>
        <v>-435510.72000019235</v>
      </c>
      <c r="DY36" s="37">
        <f t="shared" ref="DY36:FC36" si="484">DY35*DY5</f>
        <v>-334048.94999991084</v>
      </c>
      <c r="DZ36" s="37">
        <f t="shared" si="484"/>
        <v>170717.99999972864</v>
      </c>
      <c r="EA36" s="37">
        <f t="shared" si="484"/>
        <v>-8713.4999993926613</v>
      </c>
      <c r="EB36" s="37">
        <f t="shared" si="484"/>
        <v>151087.64999982814</v>
      </c>
      <c r="EC36" s="37">
        <f t="shared" si="484"/>
        <v>-286008.14999997674</v>
      </c>
      <c r="ED36" s="37">
        <f t="shared" si="484"/>
        <v>-60700.3500005143</v>
      </c>
      <c r="EE36" s="37">
        <f t="shared" si="484"/>
        <v>-369924.1499999509</v>
      </c>
      <c r="EF36" s="37">
        <f t="shared" si="484"/>
        <v>82528.500000458735</v>
      </c>
      <c r="EG36" s="37">
        <f t="shared" si="484"/>
        <v>-29698.900000050198</v>
      </c>
      <c r="EH36" s="37">
        <f t="shared" si="484"/>
        <v>105811.08999996737</v>
      </c>
      <c r="EI36" s="37">
        <f t="shared" si="484"/>
        <v>69708.869999789167</v>
      </c>
      <c r="EJ36" s="37">
        <f t="shared" si="484"/>
        <v>18924.290000933688</v>
      </c>
      <c r="EK36" s="37">
        <f t="shared" si="484"/>
        <v>84164.849999949802</v>
      </c>
      <c r="EL36" s="37">
        <f t="shared" si="484"/>
        <v>-67121.670000046433</v>
      </c>
      <c r="EM36" s="37">
        <f t="shared" si="484"/>
        <v>-275040.92000042292</v>
      </c>
      <c r="EN36" s="37">
        <f t="shared" si="484"/>
        <v>137143.1599994679</v>
      </c>
      <c r="EO36" s="37">
        <f t="shared" si="484"/>
        <v>-91732.409999060037</v>
      </c>
      <c r="EP36" s="37">
        <f t="shared" si="484"/>
        <v>-25537.820000378997</v>
      </c>
      <c r="EQ36" s="37">
        <f t="shared" si="484"/>
        <v>178818.63999987952</v>
      </c>
      <c r="ER36" s="37">
        <f t="shared" si="484"/>
        <v>21764.819999688771</v>
      </c>
      <c r="ES36" s="37">
        <f t="shared" si="484"/>
        <v>-59624.179999871994</v>
      </c>
      <c r="ET36" s="37">
        <f t="shared" si="484"/>
        <v>91236.530000292405</v>
      </c>
      <c r="EU36" s="37">
        <f t="shared" si="484"/>
        <v>343806.54000011797</v>
      </c>
      <c r="EV36" s="37">
        <f t="shared" si="484"/>
        <v>-55781.110000402841</v>
      </c>
      <c r="EW36" s="37">
        <f t="shared" si="484"/>
        <v>85399.160000377742</v>
      </c>
      <c r="EX36" s="37">
        <f t="shared" si="484"/>
        <v>-284640.51000020205</v>
      </c>
      <c r="EY36" s="37">
        <f t="shared" si="484"/>
        <v>150494.19000001129</v>
      </c>
      <c r="EZ36" s="37">
        <f t="shared" si="484"/>
        <v>162185.09999982431</v>
      </c>
      <c r="FA36" s="37">
        <f t="shared" si="484"/>
        <v>-84078.609999932232</v>
      </c>
      <c r="FB36" s="37">
        <f t="shared" si="484"/>
        <v>112230.58000070654</v>
      </c>
      <c r="FC36" s="37">
        <f t="shared" si="484"/>
        <v>37800.069998935796</v>
      </c>
      <c r="FD36" s="128">
        <f>SUM(DY36:FC36)</f>
        <v>-28829.190000155242</v>
      </c>
      <c r="FE36" s="37">
        <f t="shared" ref="FE36:GI36" si="485">FE35*FE5</f>
        <v>30938.600000106671</v>
      </c>
      <c r="FF36" s="37">
        <f t="shared" si="485"/>
        <v>-109395.43999969756</v>
      </c>
      <c r="FG36" s="37">
        <f t="shared" si="485"/>
        <v>19253.080000079062</v>
      </c>
      <c r="FH36" s="37">
        <f t="shared" si="485"/>
        <v>-69094.410000565986</v>
      </c>
      <c r="FI36" s="37">
        <f t="shared" si="485"/>
        <v>-115265.14999942272</v>
      </c>
      <c r="FJ36" s="37">
        <f t="shared" si="485"/>
        <v>191247.97999962728</v>
      </c>
      <c r="FK36" s="37">
        <f t="shared" si="485"/>
        <v>108462.97000027233</v>
      </c>
      <c r="FL36" s="37">
        <f t="shared" si="485"/>
        <v>-226169.78999974148</v>
      </c>
      <c r="FM36" s="37">
        <f t="shared" si="485"/>
        <v>269009.51000007655</v>
      </c>
      <c r="FN36" s="37">
        <f t="shared" si="485"/>
        <v>-242436.80999964359</v>
      </c>
      <c r="FO36" s="37">
        <f t="shared" si="485"/>
        <v>263603.33999977913</v>
      </c>
      <c r="FP36" s="37">
        <f t="shared" si="485"/>
        <v>8230.5299993825611</v>
      </c>
      <c r="FQ36" s="37">
        <f t="shared" si="485"/>
        <v>119140.56000058481</v>
      </c>
      <c r="FR36" s="37">
        <f t="shared" si="485"/>
        <v>136868.27000021585</v>
      </c>
      <c r="FS36" s="37">
        <f t="shared" si="485"/>
        <v>-97639.85000057728</v>
      </c>
      <c r="FT36" s="37">
        <f t="shared" si="485"/>
        <v>-107201.70999950555</v>
      </c>
      <c r="FU36" s="37">
        <f t="shared" si="485"/>
        <v>177384.89999876387</v>
      </c>
      <c r="FV36" s="37">
        <f t="shared" si="485"/>
        <v>43820.700001123187</v>
      </c>
      <c r="FW36" s="37">
        <f t="shared" si="485"/>
        <v>-19932.219999864465</v>
      </c>
      <c r="FX36" s="37">
        <f t="shared" si="485"/>
        <v>290693.47999937629</v>
      </c>
      <c r="FY36" s="37">
        <f t="shared" si="485"/>
        <v>-289049.53000051202</v>
      </c>
      <c r="FZ36" s="37">
        <f t="shared" si="485"/>
        <v>-24109.469998578134</v>
      </c>
      <c r="GA36" s="37">
        <f t="shared" si="485"/>
        <v>199963.60999867728</v>
      </c>
      <c r="GB36" s="37">
        <f t="shared" si="485"/>
        <v>219173.57000094373</v>
      </c>
      <c r="GC36" s="37">
        <f t="shared" si="485"/>
        <v>128028.66999951308</v>
      </c>
      <c r="GD36" s="37">
        <f t="shared" si="485"/>
        <v>-14968.030000323779</v>
      </c>
      <c r="GE36" s="37">
        <f t="shared" si="485"/>
        <v>-81308.149998857989</v>
      </c>
      <c r="GF36" s="37">
        <f t="shared" si="485"/>
        <v>219874.26999908639</v>
      </c>
      <c r="GG36" s="37">
        <f t="shared" si="485"/>
        <v>-191522.86999919306</v>
      </c>
      <c r="GH36" s="37">
        <f t="shared" si="485"/>
        <v>90471.150000175694</v>
      </c>
      <c r="GI36" s="37">
        <f t="shared" si="485"/>
        <v>-133392.64000023279</v>
      </c>
      <c r="GJ36" s="127">
        <f t="shared" si="99"/>
        <v>794679.12000106741</v>
      </c>
      <c r="GK36" s="37">
        <f t="shared" ref="GK36:HM36" si="486">GK35*GK5</f>
        <v>-127039.35000099766</v>
      </c>
      <c r="GL36" s="37">
        <f t="shared" si="486"/>
        <v>-3740.0299992031069</v>
      </c>
      <c r="GM36" s="37">
        <f t="shared" si="486"/>
        <v>360127.32999997231</v>
      </c>
      <c r="GN36" s="37">
        <f t="shared" si="486"/>
        <v>-281226.98000098288</v>
      </c>
      <c r="GO36" s="37">
        <f t="shared" si="486"/>
        <v>164180.44000057766</v>
      </c>
      <c r="GP36" s="37">
        <f t="shared" si="486"/>
        <v>-470894.64000047912</v>
      </c>
      <c r="GQ36" s="37">
        <f t="shared" si="486"/>
        <v>56126.900001003814</v>
      </c>
      <c r="GR36" s="37">
        <f t="shared" si="486"/>
        <v>-41796.290000528388</v>
      </c>
      <c r="GS36" s="37">
        <f t="shared" si="486"/>
        <v>46303.36999952211</v>
      </c>
      <c r="GT36" s="37">
        <f t="shared" si="486"/>
        <v>213837.67000005173</v>
      </c>
      <c r="GU36" s="37">
        <f t="shared" si="486"/>
        <v>49101.780000650324</v>
      </c>
      <c r="GV36" s="37">
        <f t="shared" si="486"/>
        <v>-35913.810000407684</v>
      </c>
      <c r="GW36" s="37">
        <f t="shared" si="486"/>
        <v>936.33000059489859</v>
      </c>
      <c r="GX36" s="37">
        <f t="shared" si="486"/>
        <v>-68452.600001090032</v>
      </c>
      <c r="GY36" s="37">
        <f t="shared" si="486"/>
        <v>-15552.599999550439</v>
      </c>
      <c r="GZ36" s="37">
        <f t="shared" si="486"/>
        <v>66400.080000133021</v>
      </c>
      <c r="HA36" s="37">
        <f t="shared" si="486"/>
        <v>221852.01999966375</v>
      </c>
      <c r="HB36" s="37">
        <f t="shared" si="486"/>
        <v>73615.640000448329</v>
      </c>
      <c r="HC36" s="37">
        <f t="shared" si="486"/>
        <v>-135281.17000032886</v>
      </c>
      <c r="HD36" s="37">
        <f t="shared" si="486"/>
        <v>63194.340000288212</v>
      </c>
      <c r="HE36" s="37">
        <f t="shared" si="486"/>
        <v>-63575.220000211848</v>
      </c>
      <c r="HF36" s="37">
        <f t="shared" si="486"/>
        <v>-64897.719999288092</v>
      </c>
      <c r="HG36" s="37">
        <f t="shared" si="486"/>
        <v>585994.459999718</v>
      </c>
      <c r="HH36" s="37">
        <f t="shared" si="486"/>
        <v>74573.130000200763</v>
      </c>
      <c r="HI36" s="37">
        <f t="shared" si="486"/>
        <v>209478.70999962557</v>
      </c>
      <c r="HJ36" s="37">
        <f t="shared" si="486"/>
        <v>-228422.19999965513</v>
      </c>
      <c r="HK36" s="37">
        <f t="shared" si="486"/>
        <v>-36035.480000336247</v>
      </c>
      <c r="HL36" s="37">
        <f t="shared" si="486"/>
        <v>73404.040000405221</v>
      </c>
      <c r="HM36" s="37">
        <f t="shared" si="486"/>
        <v>-7448.3200007091364</v>
      </c>
      <c r="HN36" s="127">
        <f t="shared" si="253"/>
        <v>678849.82999908703</v>
      </c>
      <c r="HO36" s="37">
        <f t="shared" ref="HO36:IS36" si="487">HO35*HO5</f>
        <v>30602.650000441863</v>
      </c>
      <c r="HP36" s="37">
        <f t="shared" si="487"/>
        <v>137243.75999993965</v>
      </c>
      <c r="HQ36" s="37">
        <f t="shared" si="487"/>
        <v>-66902.630000447098</v>
      </c>
      <c r="HR36" s="37">
        <f t="shared" si="487"/>
        <v>-172781.97999944328</v>
      </c>
      <c r="HS36" s="37">
        <f t="shared" si="487"/>
        <v>144126.0500005912</v>
      </c>
      <c r="HT36" s="37">
        <f t="shared" si="487"/>
        <v>136386.77999988053</v>
      </c>
      <c r="HU36" s="37">
        <f t="shared" si="487"/>
        <v>-103959.08000031777</v>
      </c>
      <c r="HV36" s="37">
        <f t="shared" si="487"/>
        <v>20567.519999879296</v>
      </c>
      <c r="HW36" s="37">
        <f t="shared" si="487"/>
        <v>-35183.789999758592</v>
      </c>
      <c r="HX36" s="37">
        <f t="shared" si="487"/>
        <v>131609.90999961941</v>
      </c>
      <c r="HY36" s="37">
        <f t="shared" si="487"/>
        <v>309734.78999988176</v>
      </c>
      <c r="HZ36" s="37">
        <f t="shared" si="487"/>
        <v>-112382.0999995005</v>
      </c>
      <c r="IA36" s="37">
        <f t="shared" si="487"/>
        <v>144872.64999998879</v>
      </c>
      <c r="IB36" s="37">
        <f t="shared" si="487"/>
        <v>-6901.500000510714</v>
      </c>
      <c r="IC36" s="37">
        <f t="shared" si="487"/>
        <v>-104068.20000010339</v>
      </c>
      <c r="ID36" s="37">
        <f t="shared" si="487"/>
        <v>489503.6000003849</v>
      </c>
      <c r="IE36" s="37">
        <f t="shared" si="487"/>
        <v>-134953.75000096537</v>
      </c>
      <c r="IF36" s="37">
        <f t="shared" si="487"/>
        <v>211362.45000037743</v>
      </c>
      <c r="IG36" s="37">
        <f t="shared" si="487"/>
        <v>-164763.94999933109</v>
      </c>
      <c r="IH36" s="37">
        <f t="shared" si="487"/>
        <v>-160366.25000034255</v>
      </c>
      <c r="II36" s="37">
        <f t="shared" si="487"/>
        <v>68838.450000458397</v>
      </c>
      <c r="IJ36" s="37">
        <f t="shared" si="487"/>
        <v>-101992.40000053687</v>
      </c>
      <c r="IK36" s="37">
        <f t="shared" si="487"/>
        <v>352971.60000075237</v>
      </c>
      <c r="IL36" s="37">
        <f t="shared" si="487"/>
        <v>41869.099999537866</v>
      </c>
      <c r="IM36" s="37">
        <f t="shared" si="487"/>
        <v>-188908.50000076607</v>
      </c>
      <c r="IN36" s="37">
        <f t="shared" si="487"/>
        <v>-807.85000006726477</v>
      </c>
      <c r="IO36" s="37">
        <f t="shared" si="487"/>
        <v>-54163.399999123067</v>
      </c>
      <c r="IP36" s="37">
        <f t="shared" si="487"/>
        <v>29483.849999681115</v>
      </c>
      <c r="IQ36" s="37">
        <f t="shared" si="487"/>
        <v>188956.65000040608</v>
      </c>
      <c r="IR36" s="37">
        <f t="shared" si="487"/>
        <v>196532.24999961385</v>
      </c>
      <c r="IS36" s="37">
        <f t="shared" si="487"/>
        <v>-95433.300000095915</v>
      </c>
      <c r="IT36" s="127">
        <f t="shared" si="22"/>
        <v>1131093.3800001254</v>
      </c>
      <c r="IU36" s="37">
        <f t="shared" ref="IU36:JX36" si="488">IU35*IU5</f>
        <v>123033.95000001619</v>
      </c>
      <c r="IV36" s="37">
        <f t="shared" si="488"/>
        <v>-158044.3499999863</v>
      </c>
      <c r="IW36" s="37">
        <f t="shared" si="488"/>
        <v>88044.950000284007</v>
      </c>
      <c r="IX36" s="37">
        <f t="shared" si="488"/>
        <v>-264974.80000026408</v>
      </c>
      <c r="IY36" s="37">
        <f t="shared" si="488"/>
        <v>167711.79999967862</v>
      </c>
      <c r="IZ36" s="37">
        <f t="shared" si="488"/>
        <v>-124034.39999988914</v>
      </c>
      <c r="JA36" s="37">
        <f t="shared" si="488"/>
        <v>-77585.700000041106</v>
      </c>
      <c r="JB36" s="37">
        <f t="shared" si="488"/>
        <v>139763.4000000573</v>
      </c>
      <c r="JC36" s="37">
        <f t="shared" si="488"/>
        <v>224041.95000019681</v>
      </c>
      <c r="JD36" s="37">
        <f t="shared" si="488"/>
        <v>-244382.64999955281</v>
      </c>
      <c r="JE36" s="37">
        <f t="shared" si="488"/>
        <v>-49252.100000341306</v>
      </c>
      <c r="JF36" s="37">
        <f t="shared" si="488"/>
        <v>-5093.1999991691555</v>
      </c>
      <c r="JG36" s="37">
        <f t="shared" si="488"/>
        <v>220398.59999889013</v>
      </c>
      <c r="JH36" s="37">
        <f t="shared" si="488"/>
        <v>-384793.39999890508</v>
      </c>
      <c r="JI36" s="37">
        <f t="shared" si="488"/>
        <v>284710.94999893248</v>
      </c>
      <c r="JJ36" s="37">
        <f t="shared" si="488"/>
        <v>-127057.14999959018</v>
      </c>
      <c r="JK36" s="37">
        <f t="shared" si="488"/>
        <v>131823.99999976333</v>
      </c>
      <c r="JL36" s="37">
        <f t="shared" si="488"/>
        <v>-246292.59999902715</v>
      </c>
      <c r="JM36" s="37">
        <f t="shared" si="488"/>
        <v>218622.39999907324</v>
      </c>
      <c r="JN36" s="37">
        <f t="shared" si="488"/>
        <v>-47887.849999537866</v>
      </c>
      <c r="JO36" s="37">
        <f t="shared" si="488"/>
        <v>66880.350000098406</v>
      </c>
      <c r="JP36" s="37">
        <f t="shared" si="488"/>
        <v>26086.599999475584</v>
      </c>
      <c r="JQ36" s="37">
        <f t="shared" si="488"/>
        <v>15985.800000376184</v>
      </c>
      <c r="JR36" s="37">
        <f t="shared" si="488"/>
        <v>-120578.29999937967</v>
      </c>
      <c r="JS36" s="37">
        <f t="shared" si="488"/>
        <v>226502.94999921898</v>
      </c>
      <c r="JT36" s="37">
        <f t="shared" si="488"/>
        <v>-165363.1500003874</v>
      </c>
      <c r="JU36" s="37">
        <f t="shared" si="488"/>
        <v>-40055.450000433484</v>
      </c>
      <c r="JV36" s="37">
        <f t="shared" si="488"/>
        <v>367593.15000032511</v>
      </c>
      <c r="JW36" s="37">
        <f t="shared" si="488"/>
        <v>87857.699999798206</v>
      </c>
      <c r="JX36" s="37">
        <f t="shared" si="488"/>
        <v>-216279.09999972471</v>
      </c>
      <c r="JY36" s="127">
        <f t="shared" si="58"/>
        <v>117384.34999995516</v>
      </c>
      <c r="JZ36" s="37">
        <f t="shared" ref="JZ36:LD36" si="489">JZ35*JZ5</f>
        <v>164004.24999999377</v>
      </c>
      <c r="KA36" s="37">
        <f t="shared" si="489"/>
        <v>-154946.6999996861</v>
      </c>
      <c r="KB36" s="37">
        <f t="shared" si="489"/>
        <v>185398.89999927254</v>
      </c>
      <c r="KC36" s="37">
        <f t="shared" si="489"/>
        <v>-169338.20000000997</v>
      </c>
      <c r="KD36" s="37">
        <f t="shared" si="489"/>
        <v>-10978.199999511708</v>
      </c>
      <c r="KE36" s="37">
        <f t="shared" si="489"/>
        <v>84332.050000967865</v>
      </c>
      <c r="KF36" s="37">
        <f t="shared" si="489"/>
        <v>-158868.25000019307</v>
      </c>
      <c r="KG36" s="37">
        <f t="shared" si="489"/>
        <v>197158.19999913801</v>
      </c>
      <c r="KH36" s="37">
        <f t="shared" si="489"/>
        <v>49353.750000031141</v>
      </c>
      <c r="KI36" s="37">
        <f t="shared" si="489"/>
        <v>56346.200000190584</v>
      </c>
      <c r="KJ36" s="37">
        <f t="shared" si="489"/>
        <v>286588.80000015197</v>
      </c>
      <c r="KK36" s="37">
        <f t="shared" si="489"/>
        <v>-209238.50000039238</v>
      </c>
      <c r="KL36" s="37">
        <f t="shared" si="489"/>
        <v>-96604.950000626559</v>
      </c>
      <c r="KM36" s="37">
        <f t="shared" si="489"/>
        <v>62161.650001589442</v>
      </c>
      <c r="KN36" s="37">
        <f t="shared" si="489"/>
        <v>18366.549999946437</v>
      </c>
      <c r="KO36" s="37">
        <f t="shared" si="489"/>
        <v>-148532.05000018934</v>
      </c>
      <c r="KP36" s="37">
        <f t="shared" si="489"/>
        <v>236031.29999931116</v>
      </c>
      <c r="KQ36" s="37">
        <f t="shared" si="489"/>
        <v>47818.299999815645</v>
      </c>
      <c r="KR36" s="37">
        <f t="shared" si="489"/>
        <v>-589430.89999983925</v>
      </c>
      <c r="KS36" s="37">
        <f t="shared" si="489"/>
        <v>46084.900000941707</v>
      </c>
      <c r="KT36" s="37">
        <f t="shared" si="489"/>
        <v>-15199.350000546838</v>
      </c>
      <c r="KU36" s="37">
        <f t="shared" si="489"/>
        <v>-390148.75000071625</v>
      </c>
      <c r="KV36" s="37">
        <f t="shared" si="489"/>
        <v>10512.750000915548</v>
      </c>
      <c r="KW36" s="37">
        <f t="shared" si="489"/>
        <v>-146734.45000044594</v>
      </c>
      <c r="KX36" s="37">
        <f t="shared" si="489"/>
        <v>224025.89999990159</v>
      </c>
      <c r="KY36" s="37">
        <f t="shared" si="489"/>
        <v>-131781.19999975461</v>
      </c>
      <c r="KZ36" s="37">
        <f t="shared" si="489"/>
        <v>112783.3500000299</v>
      </c>
      <c r="LA36" s="37">
        <f t="shared" si="489"/>
        <v>141240.00000012456</v>
      </c>
      <c r="LB36" s="37">
        <f t="shared" si="489"/>
        <v>25910.049999809416</v>
      </c>
      <c r="LC36" s="37">
        <f t="shared" si="489"/>
        <v>133434.34999948804</v>
      </c>
      <c r="LD36" s="37">
        <f t="shared" si="489"/>
        <v>115755.78000068112</v>
      </c>
      <c r="LE36" s="127">
        <f t="shared" si="60"/>
        <v>-188498.71999960527</v>
      </c>
      <c r="LF36" s="37">
        <f t="shared" ref="LF36:MI36" si="490">LF35*LF5</f>
        <v>8691.4699997499702</v>
      </c>
      <c r="LG36" s="37">
        <f t="shared" si="490"/>
        <v>-37061.740000121936</v>
      </c>
      <c r="LH36" s="37">
        <f t="shared" si="490"/>
        <v>21916.470000673726</v>
      </c>
      <c r="LI36" s="37">
        <f t="shared" si="490"/>
        <v>-96002.920000236481</v>
      </c>
      <c r="LJ36" s="37">
        <f t="shared" si="490"/>
        <v>104403.43999894569</v>
      </c>
      <c r="LK36" s="37">
        <f t="shared" si="490"/>
        <v>248339.05000019091</v>
      </c>
      <c r="LL36" s="37">
        <f t="shared" si="490"/>
        <v>225496.83000081044</v>
      </c>
      <c r="LM36" s="37">
        <f t="shared" si="490"/>
        <v>-233199.07000007021</v>
      </c>
      <c r="LN36" s="37">
        <f t="shared" si="490"/>
        <v>-12389.179999406333</v>
      </c>
      <c r="LO36" s="37">
        <f t="shared" si="490"/>
        <v>119062.0299996034</v>
      </c>
      <c r="LP36" s="37">
        <f t="shared" si="490"/>
        <v>76228.89999894076</v>
      </c>
      <c r="LQ36" s="37">
        <f t="shared" si="490"/>
        <v>355350.46000091883</v>
      </c>
      <c r="LR36" s="37">
        <f t="shared" si="490"/>
        <v>41468.309999114426</v>
      </c>
      <c r="LS36" s="37">
        <f t="shared" si="490"/>
        <v>-51122.559998868091</v>
      </c>
      <c r="LT36" s="37">
        <f t="shared" si="490"/>
        <v>11881.339999610791</v>
      </c>
      <c r="LU36" s="37">
        <f t="shared" si="490"/>
        <v>-73213.600000289443</v>
      </c>
      <c r="LV36" s="37">
        <f t="shared" si="490"/>
        <v>25138.079999732727</v>
      </c>
      <c r="LW36" s="37">
        <f t="shared" si="490"/>
        <v>-274635.63999921666</v>
      </c>
      <c r="LX36" s="37">
        <f t="shared" si="490"/>
        <v>208679.92000048282</v>
      </c>
      <c r="LY36" s="37">
        <f t="shared" si="490"/>
        <v>30227.059998806508</v>
      </c>
      <c r="LZ36" s="37">
        <f t="shared" si="490"/>
        <v>420396.300000622</v>
      </c>
      <c r="MA36" s="37">
        <f t="shared" si="490"/>
        <v>-3496.6900008855737</v>
      </c>
      <c r="MB36" s="37">
        <f t="shared" si="490"/>
        <v>-49572.589999148913</v>
      </c>
      <c r="MC36" s="37">
        <f t="shared" si="490"/>
        <v>-198930.44999943959</v>
      </c>
      <c r="MD36" s="37">
        <f t="shared" si="490"/>
        <v>-78265.550000221701</v>
      </c>
      <c r="ME36" s="37">
        <f t="shared" si="490"/>
        <v>239504.74999935337</v>
      </c>
      <c r="MF36" s="37">
        <f t="shared" si="490"/>
        <v>721804.62999992364</v>
      </c>
      <c r="MG36" s="37">
        <f t="shared" si="490"/>
        <v>89586.150000449561</v>
      </c>
      <c r="MH36" s="37">
        <f t="shared" si="490"/>
        <v>-216456.21999956522</v>
      </c>
      <c r="MI36" s="37">
        <f t="shared" si="490"/>
        <v>190894.9399992844</v>
      </c>
      <c r="MJ36" s="127">
        <f t="shared" si="62"/>
        <v>1814723.9199997438</v>
      </c>
      <c r="MK36" s="37">
        <f t="shared" ref="MK36:NO36" si="491">MK35*MK5</f>
        <v>63194.340000288212</v>
      </c>
      <c r="ML36" s="37">
        <f t="shared" si="491"/>
        <v>153346.51999991009</v>
      </c>
      <c r="MM36" s="37">
        <f t="shared" si="491"/>
        <v>-135730.81999966991</v>
      </c>
      <c r="MN36" s="37">
        <f t="shared" si="491"/>
        <v>-29851.470000057889</v>
      </c>
      <c r="MO36" s="37">
        <f t="shared" si="491"/>
        <v>54878.45999944082</v>
      </c>
      <c r="MP36" s="37">
        <f t="shared" si="491"/>
        <v>-315770.67999943712</v>
      </c>
      <c r="MQ36" s="37">
        <f t="shared" si="491"/>
        <v>-306523.76000101736</v>
      </c>
      <c r="MR36" s="37">
        <f t="shared" si="491"/>
        <v>152986.80000052962</v>
      </c>
      <c r="MS36" s="37">
        <f t="shared" si="491"/>
        <v>-106450.6699998054</v>
      </c>
      <c r="MT36" s="37">
        <f t="shared" si="491"/>
        <v>-110957.75000050229</v>
      </c>
      <c r="MU36" s="37">
        <f t="shared" si="491"/>
        <v>-75123.289999201457</v>
      </c>
      <c r="MV36" s="37">
        <f t="shared" si="491"/>
        <v>-986981.7500005234</v>
      </c>
      <c r="MW36" s="37">
        <f t="shared" si="491"/>
        <v>-301879.13999995566</v>
      </c>
      <c r="MX36" s="37">
        <f t="shared" si="491"/>
        <v>229342.6599996502</v>
      </c>
      <c r="MY36" s="37">
        <f t="shared" si="491"/>
        <v>-80778.299999174778</v>
      </c>
      <c r="MZ36" s="37">
        <f t="shared" si="491"/>
        <v>-142274.55000071437</v>
      </c>
      <c r="NA36" s="37">
        <f t="shared" si="491"/>
        <v>95955.310000592435</v>
      </c>
      <c r="NB36" s="37">
        <f t="shared" si="491"/>
        <v>-32057.400000911439</v>
      </c>
      <c r="NC36" s="37">
        <f t="shared" si="491"/>
        <v>-19699.959999009734</v>
      </c>
      <c r="ND36" s="37">
        <f t="shared" si="491"/>
        <v>53799.299999451905</v>
      </c>
      <c r="NE36" s="37">
        <f t="shared" si="491"/>
        <v>555069.12000007636</v>
      </c>
      <c r="NF36" s="37">
        <f t="shared" si="491"/>
        <v>-372606.4400003929</v>
      </c>
      <c r="NG36" s="37">
        <f t="shared" si="491"/>
        <v>4388.800001272466</v>
      </c>
      <c r="NH36" s="37">
        <f t="shared" si="491"/>
        <v>-80792.400000966154</v>
      </c>
      <c r="NI36" s="37">
        <f t="shared" si="491"/>
        <v>-78577.199999568984</v>
      </c>
      <c r="NJ36" s="37">
        <f t="shared" si="491"/>
        <v>241971.59999922151</v>
      </c>
      <c r="NK36" s="37">
        <f t="shared" si="491"/>
        <v>-107057.59999979055</v>
      </c>
      <c r="NL36" s="37">
        <f t="shared" si="491"/>
        <v>22900.800001109019</v>
      </c>
      <c r="NM36" s="37">
        <f t="shared" si="491"/>
        <v>25713.999999128282</v>
      </c>
      <c r="NN36" s="37">
        <f t="shared" si="491"/>
        <v>-259407.19999953872</v>
      </c>
      <c r="NO36" s="37">
        <f t="shared" si="491"/>
        <v>92981.199999665841</v>
      </c>
      <c r="NP36" s="127">
        <f t="shared" si="64"/>
        <v>-1859185.8100001896</v>
      </c>
      <c r="NQ36" s="37">
        <f t="shared" ref="NQ36:OU36" si="492">NQ35*NQ5</f>
        <v>39811.199999635573</v>
      </c>
      <c r="NR36" s="37">
        <f t="shared" si="492"/>
        <v>63648.000000556931</v>
      </c>
      <c r="NS36" s="37">
        <f t="shared" si="492"/>
        <v>74656.400000245776</v>
      </c>
      <c r="NT36" s="37">
        <f t="shared" si="492"/>
        <v>1261.7499999760184</v>
      </c>
      <c r="NU36" s="37">
        <f t="shared" si="492"/>
        <v>-67465.000000629516</v>
      </c>
      <c r="NV36" s="37">
        <f t="shared" si="492"/>
        <v>170361.99999978417</v>
      </c>
      <c r="NW36" s="37">
        <f t="shared" si="492"/>
        <v>-564470.89999954915</v>
      </c>
      <c r="NX36" s="37">
        <f t="shared" si="492"/>
        <v>11757.449999828532</v>
      </c>
      <c r="NY36" s="37">
        <f t="shared" si="492"/>
        <v>-124145.89999984892</v>
      </c>
      <c r="NZ36" s="37">
        <f t="shared" si="492"/>
        <v>27732.749999748194</v>
      </c>
      <c r="OA36" s="37">
        <f t="shared" si="492"/>
        <v>85088.300000285381</v>
      </c>
      <c r="OB36" s="37">
        <f t="shared" si="492"/>
        <v>-137360.79999980575</v>
      </c>
      <c r="OC36" s="37">
        <f t="shared" si="492"/>
        <v>150385.14999970503</v>
      </c>
      <c r="OD36" s="37">
        <f t="shared" si="492"/>
        <v>-135336.84999929974</v>
      </c>
      <c r="OE36" s="37">
        <f t="shared" si="492"/>
        <v>-159639.70000115951</v>
      </c>
      <c r="OF36" s="37">
        <f t="shared" si="492"/>
        <v>229648.80000077101</v>
      </c>
      <c r="OG36" s="37">
        <f t="shared" si="492"/>
        <v>108680.45000016427</v>
      </c>
      <c r="OH36" s="37">
        <f t="shared" si="492"/>
        <v>-95584.000000887318</v>
      </c>
      <c r="OI36" s="37">
        <f t="shared" si="492"/>
        <v>-50191.899999021553</v>
      </c>
      <c r="OJ36" s="37">
        <f t="shared" si="492"/>
        <v>38805.250000017986</v>
      </c>
      <c r="OK36" s="37">
        <f t="shared" si="492"/>
        <v>60292.229999236297</v>
      </c>
      <c r="OL36" s="37">
        <f t="shared" si="492"/>
        <v>31259.370000534109</v>
      </c>
      <c r="OM36" s="37">
        <f t="shared" si="492"/>
        <v>79801.440000397561</v>
      </c>
      <c r="ON36" s="37">
        <f t="shared" si="492"/>
        <v>-136019.52000112622</v>
      </c>
      <c r="OO36" s="37">
        <f t="shared" si="492"/>
        <v>-49066.259999989124</v>
      </c>
      <c r="OP36" s="37">
        <f t="shared" si="492"/>
        <v>109742.54999934143</v>
      </c>
      <c r="OQ36" s="37">
        <f t="shared" si="492"/>
        <v>-87695.429998626059</v>
      </c>
      <c r="OR36" s="37">
        <f t="shared" si="492"/>
        <v>69686.129999828408</v>
      </c>
      <c r="OS36" s="37">
        <f t="shared" si="492"/>
        <v>40943.909999977041</v>
      </c>
      <c r="OT36" s="37">
        <f t="shared" si="492"/>
        <v>37248.629999979457</v>
      </c>
      <c r="OU36" s="37">
        <f t="shared" si="492"/>
        <v>74429.789999171044</v>
      </c>
      <c r="OV36" s="127">
        <f t="shared" si="66"/>
        <v>-141545.91000039427</v>
      </c>
      <c r="OW36" s="37">
        <f t="shared" ref="OW36:PZ36" si="493">OW35*OW5</f>
        <v>49849.950000658573</v>
      </c>
      <c r="OX36" s="37">
        <f t="shared" si="493"/>
        <v>-132838.05000000604</v>
      </c>
      <c r="OY36" s="37">
        <f t="shared" si="493"/>
        <v>-156037.34999986104</v>
      </c>
      <c r="OZ36" s="37">
        <f t="shared" si="493"/>
        <v>74237.759999717236</v>
      </c>
      <c r="PA36" s="37">
        <f t="shared" si="493"/>
        <v>39573.75</v>
      </c>
      <c r="PB36" s="37">
        <f t="shared" si="493"/>
        <v>104645.97000075766</v>
      </c>
      <c r="PC36" s="37">
        <f t="shared" si="493"/>
        <v>-184701.72000099934</v>
      </c>
      <c r="PD36" s="37">
        <f t="shared" si="493"/>
        <v>3425.400001075468</v>
      </c>
      <c r="PE36" s="37">
        <f t="shared" si="493"/>
        <v>-49159.680000952212</v>
      </c>
      <c r="PF36" s="37">
        <f t="shared" si="493"/>
        <v>-58512.059999270132</v>
      </c>
      <c r="PG36" s="37">
        <f t="shared" si="493"/>
        <v>-76723.770000280347</v>
      </c>
      <c r="PH36" s="37">
        <f t="shared" si="493"/>
        <v>47171.91000003746</v>
      </c>
      <c r="PI36" s="37">
        <f t="shared" si="493"/>
        <v>-19779.090000234428</v>
      </c>
      <c r="PJ36" s="37">
        <f t="shared" si="493"/>
        <v>150229.74000043381</v>
      </c>
      <c r="PK36" s="37">
        <f t="shared" si="493"/>
        <v>-135054.1800002876</v>
      </c>
      <c r="PL36" s="37">
        <f t="shared" si="493"/>
        <v>135692.54999994562</v>
      </c>
      <c r="PM36" s="37">
        <f t="shared" si="493"/>
        <v>430458.59999955894</v>
      </c>
      <c r="PN36" s="37">
        <f t="shared" si="493"/>
        <v>-469362.83999902604</v>
      </c>
      <c r="PO36" s="37">
        <f t="shared" si="493"/>
        <v>-36786.720000395144</v>
      </c>
      <c r="PP36" s="37">
        <f t="shared" si="493"/>
        <v>-45563.010000049544</v>
      </c>
      <c r="PQ36" s="37">
        <f t="shared" si="493"/>
        <v>220102.70999931847</v>
      </c>
      <c r="PR36" s="37">
        <f t="shared" si="493"/>
        <v>-121098.26999916259</v>
      </c>
      <c r="PS36" s="37">
        <f t="shared" si="493"/>
        <v>12357.389999364386</v>
      </c>
      <c r="PT36" s="37">
        <f t="shared" si="493"/>
        <v>-41172.269999806434</v>
      </c>
      <c r="PU36" s="37">
        <f t="shared" si="493"/>
        <v>-50727.05999957223</v>
      </c>
      <c r="PV36" s="37">
        <f t="shared" si="493"/>
        <v>3690.0899996000226</v>
      </c>
      <c r="PW36" s="37">
        <f t="shared" si="493"/>
        <v>135059.36999947677</v>
      </c>
      <c r="PX36" s="37">
        <f t="shared" si="493"/>
        <v>132697.92000060057</v>
      </c>
      <c r="PY36" s="37">
        <f t="shared" si="493"/>
        <v>-79339.529999774793</v>
      </c>
      <c r="PZ36" s="37">
        <f t="shared" si="493"/>
        <v>318453.20999937889</v>
      </c>
      <c r="QA36" s="127">
        <f t="shared" si="68"/>
        <v>200790.72000024599</v>
      </c>
      <c r="QB36" s="37">
        <f t="shared" ref="QB36:RF36" si="494">QB35*QB5</f>
        <v>-275054.42999956256</v>
      </c>
      <c r="QC36" s="37">
        <f t="shared" si="494"/>
        <v>-135780.7800003601</v>
      </c>
      <c r="QD36" s="37">
        <f t="shared" si="494"/>
        <v>-82554.999999265419</v>
      </c>
      <c r="QE36" s="37">
        <f t="shared" si="494"/>
        <v>146354.99999960302</v>
      </c>
      <c r="QF36" s="37">
        <f t="shared" si="494"/>
        <v>-60684.999999939464</v>
      </c>
      <c r="QG36" s="37">
        <f t="shared" si="494"/>
        <v>-186269.9999997858</v>
      </c>
      <c r="QH36" s="37">
        <f t="shared" si="494"/>
        <v>217270.00000028056</v>
      </c>
      <c r="QI36" s="37">
        <f t="shared" si="494"/>
        <v>-30500.000000320142</v>
      </c>
      <c r="QJ36" s="37">
        <f t="shared" si="494"/>
        <v>19485.000000131549</v>
      </c>
      <c r="QK36" s="37">
        <f t="shared" si="494"/>
        <v>125719.99999927357</v>
      </c>
      <c r="QL36" s="37">
        <f t="shared" si="494"/>
        <v>-181379.99999977183</v>
      </c>
      <c r="QM36" s="37">
        <f t="shared" si="494"/>
        <v>74700.000000884756</v>
      </c>
      <c r="QN36" s="37">
        <f t="shared" si="494"/>
        <v>-25565.000000497093</v>
      </c>
      <c r="QO36" s="37">
        <f t="shared" si="494"/>
        <v>-127815.00000011874</v>
      </c>
      <c r="QP36" s="37">
        <f t="shared" si="494"/>
        <v>110929.99999964377</v>
      </c>
      <c r="QQ36" s="37">
        <f t="shared" si="494"/>
        <v>212535.00000049826</v>
      </c>
      <c r="QR36" s="37">
        <f t="shared" si="494"/>
        <v>-127549.99999975553</v>
      </c>
      <c r="QS36" s="37">
        <f t="shared" si="494"/>
        <v>137139.99999919906</v>
      </c>
      <c r="QT36" s="37">
        <f t="shared" si="494"/>
        <v>-133029.99999927124</v>
      </c>
      <c r="QU36" s="37">
        <f t="shared" si="494"/>
        <v>37904.999999736901</v>
      </c>
      <c r="QV36" s="37">
        <f t="shared" si="494"/>
        <v>-62070.000000239816</v>
      </c>
      <c r="QW36" s="37">
        <f t="shared" si="494"/>
        <v>-200840.00000031665</v>
      </c>
      <c r="QX36" s="37">
        <f t="shared" si="494"/>
        <v>283355.00000102911</v>
      </c>
      <c r="QY36" s="37">
        <f t="shared" si="494"/>
        <v>60069.999999541324</v>
      </c>
      <c r="QZ36" s="37">
        <f t="shared" si="494"/>
        <v>-83930.000000691507</v>
      </c>
      <c r="RA36" s="37">
        <f t="shared" si="494"/>
        <v>501885.00000047497</v>
      </c>
      <c r="RB36" s="37">
        <f t="shared" si="494"/>
        <v>-285279.99999962049</v>
      </c>
      <c r="RC36" s="37">
        <f t="shared" si="494"/>
        <v>-261580.00000083121</v>
      </c>
      <c r="RD36" s="37">
        <f t="shared" si="494"/>
        <v>160219.99999997206</v>
      </c>
      <c r="RE36" s="37">
        <f t="shared" si="494"/>
        <v>423880.40700023464</v>
      </c>
      <c r="RF36" s="37">
        <f t="shared" si="494"/>
        <v>147659.43300004414</v>
      </c>
      <c r="RG36" s="127">
        <f t="shared" ref="RG36:RG48" si="495">SUM(QC36:RF36)</f>
        <v>674279.0599997628</v>
      </c>
      <c r="RH36" s="37">
        <f t="shared" ref="RH36:SK36" si="496">RH35*RH5</f>
        <v>-156195.61199922406</v>
      </c>
      <c r="RI36" s="37">
        <f t="shared" si="496"/>
        <v>-44402.100000406557</v>
      </c>
      <c r="RJ36" s="37">
        <f t="shared" si="496"/>
        <v>155512.11900015565</v>
      </c>
      <c r="RK36" s="37">
        <f t="shared" si="496"/>
        <v>-141687.60000069696</v>
      </c>
      <c r="RL36" s="37">
        <f t="shared" si="496"/>
        <v>39931.956000947859</v>
      </c>
      <c r="RM36" s="37">
        <f t="shared" si="496"/>
        <v>-109827.84600012313</v>
      </c>
      <c r="RN36" s="37">
        <f t="shared" si="496"/>
        <v>-29973.912001024524</v>
      </c>
      <c r="RO36" s="37">
        <f t="shared" si="496"/>
        <v>18439.344000562211</v>
      </c>
      <c r="RP36" s="37">
        <f t="shared" si="496"/>
        <v>178880.59500019747</v>
      </c>
      <c r="RQ36" s="37">
        <f t="shared" si="496"/>
        <v>-137546.73000032525</v>
      </c>
      <c r="RR36" s="37">
        <f t="shared" si="496"/>
        <v>-119441.64899995818</v>
      </c>
      <c r="RS36" s="37">
        <f t="shared" si="496"/>
        <v>-60436.745999716572</v>
      </c>
      <c r="RT36" s="37">
        <f t="shared" si="496"/>
        <v>269281.27499959344</v>
      </c>
      <c r="RU36" s="37">
        <f t="shared" si="496"/>
        <v>-265045.61399936577</v>
      </c>
      <c r="RV36" s="37">
        <f t="shared" si="496"/>
        <v>3537.2009998675785</v>
      </c>
      <c r="RW36" s="37">
        <f t="shared" si="496"/>
        <v>384.15299966081511</v>
      </c>
      <c r="RX36" s="37">
        <f t="shared" si="496"/>
        <v>134084.36399994657</v>
      </c>
      <c r="RY36" s="37">
        <f t="shared" si="496"/>
        <v>-183961.79999940796</v>
      </c>
      <c r="RZ36" s="37">
        <f t="shared" si="496"/>
        <v>66929.429999029962</v>
      </c>
      <c r="SA36" s="37">
        <f t="shared" si="496"/>
        <v>143193.87000026414</v>
      </c>
      <c r="SB36" s="37">
        <f t="shared" si="496"/>
        <v>-59892.71999982011</v>
      </c>
      <c r="SC36" s="37">
        <f t="shared" si="496"/>
        <v>1080.6900000956375</v>
      </c>
      <c r="SD36" s="37">
        <f t="shared" si="496"/>
        <v>11418.150000102469</v>
      </c>
      <c r="SE36" s="37">
        <f t="shared" si="496"/>
        <v>-269370.53999976546</v>
      </c>
      <c r="SF36" s="37">
        <f t="shared" si="496"/>
        <v>95110.500000056927</v>
      </c>
      <c r="SG36" s="37">
        <f t="shared" si="496"/>
        <v>25902.329999246285</v>
      </c>
      <c r="SH36" s="37">
        <f t="shared" si="496"/>
        <v>-161937.23999961745</v>
      </c>
      <c r="SI36" s="37">
        <f t="shared" si="496"/>
        <v>259243.35000006831</v>
      </c>
      <c r="SJ36" s="37">
        <f t="shared" si="496"/>
        <v>-200514.45000059204</v>
      </c>
      <c r="SK36" s="37">
        <f t="shared" si="496"/>
        <v>90528.570000742329</v>
      </c>
      <c r="SL36" s="127">
        <f t="shared" ref="SL36:SL48" si="497">SUM(RH36:SK36)</f>
        <v>-446776.66199950641</v>
      </c>
      <c r="SM36" s="37">
        <f t="shared" ref="SM36:TQ36" si="498">SM35*SM5</f>
        <v>-1320.2999995218124</v>
      </c>
      <c r="SN36" s="37">
        <f t="shared" si="498"/>
        <v>107325.71999902313</v>
      </c>
      <c r="SO36" s="37">
        <f t="shared" si="498"/>
        <v>-33696.989999446669</v>
      </c>
      <c r="SP36" s="37">
        <f t="shared" si="498"/>
        <v>135482.33999917342</v>
      </c>
      <c r="SQ36" s="37">
        <f t="shared" si="498"/>
        <v>-138176.72999934875</v>
      </c>
      <c r="SR36" s="37">
        <f t="shared" si="498"/>
        <v>-149516.63999943528</v>
      </c>
      <c r="SS36" s="37">
        <f t="shared" si="498"/>
        <v>7931.5799990185769</v>
      </c>
      <c r="ST36" s="37">
        <f t="shared" si="498"/>
        <v>7256.7600002686959</v>
      </c>
      <c r="SU36" s="37">
        <f t="shared" si="498"/>
        <v>21892.5299997814</v>
      </c>
      <c r="SV36" s="37">
        <f t="shared" si="498"/>
        <v>17163.900000330177</v>
      </c>
      <c r="SW36" s="37">
        <f t="shared" si="498"/>
        <v>-113247.5100004964</v>
      </c>
      <c r="SX36" s="37">
        <f t="shared" si="498"/>
        <v>-27129.719999478548</v>
      </c>
      <c r="SY36" s="37">
        <f t="shared" si="498"/>
        <v>155653.58999945805</v>
      </c>
      <c r="SZ36" s="37">
        <f t="shared" si="498"/>
        <v>-140572.82999844931</v>
      </c>
      <c r="TA36" s="37">
        <f t="shared" si="498"/>
        <v>-44943.990000528283</v>
      </c>
      <c r="TB36" s="37">
        <f t="shared" si="498"/>
        <v>-172284.48000094271</v>
      </c>
      <c r="TC36" s="37">
        <f t="shared" si="498"/>
        <v>129726.81000075827</v>
      </c>
      <c r="TD36" s="37">
        <f t="shared" si="498"/>
        <v>-37100.430000566994</v>
      </c>
      <c r="TE36" s="37">
        <f t="shared" si="498"/>
        <v>40855.949999339646</v>
      </c>
      <c r="TF36" s="37">
        <f t="shared" si="498"/>
        <v>98699.760000894894</v>
      </c>
      <c r="TG36" s="37">
        <f t="shared" si="498"/>
        <v>-187057.16999984288</v>
      </c>
      <c r="TH36" s="37">
        <f t="shared" si="498"/>
        <v>-39833.940000323346</v>
      </c>
      <c r="TI36" s="37">
        <f t="shared" si="498"/>
        <v>182460.57000011613</v>
      </c>
      <c r="TJ36" s="37">
        <f t="shared" si="498"/>
        <v>-62259.480000942713</v>
      </c>
      <c r="TK36" s="37">
        <f t="shared" si="498"/>
        <v>-212059.73999961745</v>
      </c>
      <c r="TL36" s="37">
        <f t="shared" si="498"/>
        <v>45501.450000250479</v>
      </c>
      <c r="TM36" s="37">
        <f t="shared" si="498"/>
        <v>47609.040000448585</v>
      </c>
      <c r="TN36" s="37">
        <f t="shared" si="498"/>
        <v>72680.07000034384</v>
      </c>
      <c r="TO36" s="37">
        <f t="shared" si="498"/>
        <v>-39682.350000523729</v>
      </c>
      <c r="TP36" s="37">
        <f t="shared" si="498"/>
        <v>-74724.089999230346</v>
      </c>
      <c r="TQ36" s="37">
        <f t="shared" si="498"/>
        <v>177868.85999891383</v>
      </c>
      <c r="TR36" s="127">
        <f t="shared" ref="TR36:TR48" si="499">SUM(SN36:TQ36)</f>
        <v>-224177.16000105429</v>
      </c>
      <c r="TS36" s="37">
        <f t="shared" ref="TS36:UW36" si="500">TS35*TS5</f>
        <v>67971.000000967761</v>
      </c>
      <c r="TT36" s="37">
        <f t="shared" si="500"/>
        <v>-120489.60000006831</v>
      </c>
      <c r="TU36" s="37">
        <f t="shared" si="500"/>
        <v>249081.92999988387</v>
      </c>
      <c r="TV36" s="37">
        <f t="shared" si="500"/>
        <v>-58102.980001341202</v>
      </c>
      <c r="TW36" s="37">
        <f t="shared" si="500"/>
        <v>-1021076.0099994717</v>
      </c>
      <c r="TX36" s="37">
        <f t="shared" si="500"/>
        <v>-43687.260000040988</v>
      </c>
      <c r="TY36" s="37">
        <f t="shared" si="500"/>
        <v>-64909.859999596956</v>
      </c>
      <c r="TZ36" s="37">
        <f t="shared" si="500"/>
        <v>88455.209999892977</v>
      </c>
      <c r="UA36" s="37">
        <f t="shared" si="500"/>
        <v>-39095.549998838687</v>
      </c>
      <c r="UB36" s="37">
        <f t="shared" si="500"/>
        <v>1628.3699996379437</v>
      </c>
      <c r="UC36" s="37">
        <f t="shared" si="500"/>
        <v>113257.28999982239</v>
      </c>
      <c r="UD36" s="37">
        <f t="shared" si="500"/>
        <v>16357.049999863375</v>
      </c>
      <c r="UE36" s="37">
        <f t="shared" si="500"/>
        <v>194000.96999976318</v>
      </c>
      <c r="UF36" s="37">
        <f t="shared" si="500"/>
        <v>-83467.410000371165</v>
      </c>
      <c r="UG36" s="37">
        <f t="shared" si="500"/>
        <v>112.47000021860003</v>
      </c>
      <c r="UH36" s="37">
        <f t="shared" si="500"/>
        <v>14415.719999877037</v>
      </c>
      <c r="UI36" s="37">
        <f t="shared" si="500"/>
        <v>33785.009999642498</v>
      </c>
      <c r="UJ36" s="37">
        <f t="shared" si="500"/>
        <v>89687.490000642138</v>
      </c>
      <c r="UK36" s="37">
        <f t="shared" si="500"/>
        <v>-132621.69000020949</v>
      </c>
      <c r="UL36" s="37">
        <f t="shared" si="500"/>
        <v>93115.379999792785</v>
      </c>
      <c r="UM36" s="37">
        <f t="shared" si="500"/>
        <v>108626.46000046225</v>
      </c>
      <c r="UN36" s="37">
        <f t="shared" si="500"/>
        <v>-288690.92999977001</v>
      </c>
      <c r="UO36" s="37">
        <f t="shared" si="500"/>
        <v>111927.20999926678</v>
      </c>
      <c r="UP36" s="37">
        <f t="shared" si="500"/>
        <v>-162915.23999882047</v>
      </c>
      <c r="UQ36" s="37">
        <f t="shared" si="500"/>
        <v>64738.709998583654</v>
      </c>
      <c r="UR36" s="37">
        <f t="shared" si="500"/>
        <v>-129682.79999923718</v>
      </c>
      <c r="US36" s="37">
        <f t="shared" si="500"/>
        <v>253101.50999981328</v>
      </c>
      <c r="UT36" s="37">
        <f t="shared" si="500"/>
        <v>-47227.619999694871</v>
      </c>
      <c r="UU36" s="37">
        <f t="shared" si="500"/>
        <v>-406314.99000064214</v>
      </c>
      <c r="UV36" s="37">
        <f t="shared" si="500"/>
        <v>118054.37999996357</v>
      </c>
      <c r="UW36" s="37">
        <f t="shared" si="500"/>
        <v>-29917.019999512704</v>
      </c>
      <c r="UX36" s="127">
        <f t="shared" ref="UX36:UX48" si="501">SUM(TT36:UW36)</f>
        <v>-1077853.8000004897</v>
      </c>
      <c r="UY36" s="37">
        <f t="shared" ref="UY36:VZ36" si="502">UY35*UY5</f>
        <v>-117320.87999984971</v>
      </c>
      <c r="UZ36" s="37">
        <f t="shared" si="502"/>
        <v>39305.819999717642</v>
      </c>
      <c r="VA36" s="37">
        <f t="shared" si="502"/>
        <v>101139.86999980872</v>
      </c>
      <c r="VB36" s="37">
        <f t="shared" si="502"/>
        <v>129858.83999991347</v>
      </c>
      <c r="VC36" s="37">
        <f t="shared" si="502"/>
        <v>36156.660000428092</v>
      </c>
      <c r="VD36" s="37">
        <f t="shared" si="502"/>
        <v>107731.58999979962</v>
      </c>
      <c r="VE36" s="37">
        <f t="shared" si="502"/>
        <v>-230713.50600020075</v>
      </c>
      <c r="VF36" s="37">
        <f t="shared" si="502"/>
        <v>244651.16100006388</v>
      </c>
      <c r="VG36" s="37">
        <f t="shared" si="502"/>
        <v>-57479.966999751341</v>
      </c>
      <c r="VH36" s="37">
        <f t="shared" si="502"/>
        <v>3105.9659995277761</v>
      </c>
      <c r="VI36" s="37">
        <f t="shared" si="502"/>
        <v>-19395.141000155127</v>
      </c>
      <c r="VJ36" s="37">
        <f t="shared" si="502"/>
        <v>113421.64800029428</v>
      </c>
      <c r="VK36" s="37">
        <f t="shared" si="502"/>
        <v>19257.96900076879</v>
      </c>
      <c r="VL36" s="37">
        <f t="shared" si="502"/>
        <v>76022.681999055552</v>
      </c>
      <c r="VM36" s="37">
        <f t="shared" si="502"/>
        <v>-166992.21299914224</v>
      </c>
      <c r="VN36" s="37">
        <f t="shared" si="502"/>
        <v>43713.776998336951</v>
      </c>
      <c r="VO36" s="37">
        <f t="shared" si="502"/>
        <v>-108983.15399892666</v>
      </c>
      <c r="VP36" s="37">
        <f t="shared" si="502"/>
        <v>54927.587999712559</v>
      </c>
      <c r="VQ36" s="37">
        <f t="shared" si="502"/>
        <v>12693.308999787841</v>
      </c>
      <c r="VR36" s="37">
        <f t="shared" si="502"/>
        <v>69614.790000672976</v>
      </c>
      <c r="VS36" s="37">
        <f t="shared" si="502"/>
        <v>-98460.102000276034</v>
      </c>
      <c r="VT36" s="37">
        <f t="shared" si="502"/>
        <v>-58249.110000353598</v>
      </c>
      <c r="VU36" s="37">
        <f t="shared" si="502"/>
        <v>-34410.576000166533</v>
      </c>
      <c r="VV36" s="37">
        <f t="shared" si="502"/>
        <v>77188.644000825821</v>
      </c>
      <c r="VW36" s="37">
        <f t="shared" si="502"/>
        <v>-69879.336000406067</v>
      </c>
      <c r="VX36" s="37">
        <f t="shared" si="502"/>
        <v>77443.391999808373</v>
      </c>
      <c r="VY36" s="37">
        <f t="shared" si="502"/>
        <v>444990.86699992244</v>
      </c>
      <c r="VZ36" s="37">
        <f t="shared" si="502"/>
        <v>172792.6290006091</v>
      </c>
      <c r="WA36" s="127">
        <f t="shared" ref="WA36:WA41" si="503">SUM(UW36:VZ36)</f>
        <v>-245637.60300017643</v>
      </c>
      <c r="WB36" s="37">
        <f t="shared" ref="WB36:XF36" si="504">WB35*WB5</f>
        <v>-419692.43099997262</v>
      </c>
      <c r="WC36" s="37">
        <f t="shared" si="504"/>
        <v>-144211.86299988365</v>
      </c>
      <c r="WD36" s="37">
        <f t="shared" si="504"/>
        <v>332005.22999923577</v>
      </c>
      <c r="WE36" s="37">
        <f t="shared" si="504"/>
        <v>-351297.4919987818</v>
      </c>
      <c r="WF36" s="37">
        <f t="shared" si="504"/>
        <v>35865.578999411431</v>
      </c>
      <c r="WG36" s="37">
        <f t="shared" si="504"/>
        <v>142061.20200067526</v>
      </c>
      <c r="WH36" s="37">
        <f t="shared" si="504"/>
        <v>-143908.12500114064</v>
      </c>
      <c r="WI36" s="37">
        <f t="shared" si="504"/>
        <v>-51948.995999676059</v>
      </c>
      <c r="WJ36" s="37">
        <f t="shared" si="504"/>
        <v>-20267.162999655528</v>
      </c>
      <c r="WK36" s="37">
        <f t="shared" si="504"/>
        <v>-47064.69299980381</v>
      </c>
      <c r="WL36" s="37">
        <f t="shared" si="504"/>
        <v>-68894.636999260867</v>
      </c>
      <c r="WM36" s="37">
        <f t="shared" si="504"/>
        <v>-31657.337999997719</v>
      </c>
      <c r="WN36" s="37">
        <f t="shared" si="504"/>
        <v>198365.40899990191</v>
      </c>
      <c r="WO36" s="37">
        <f t="shared" si="504"/>
        <v>-196469.49600138701</v>
      </c>
      <c r="WP36" s="37">
        <f t="shared" si="504"/>
        <v>119525.80199964868</v>
      </c>
      <c r="WQ36" s="37">
        <f t="shared" si="504"/>
        <v>-156302.59499985172</v>
      </c>
      <c r="WR36" s="37">
        <f t="shared" si="504"/>
        <v>90925.439999988594</v>
      </c>
      <c r="WS36" s="37">
        <f t="shared" si="504"/>
        <v>284411.44499956479</v>
      </c>
      <c r="WT36" s="37">
        <f t="shared" si="504"/>
        <v>-285690.08399841731</v>
      </c>
      <c r="WU36" s="37">
        <f t="shared" si="504"/>
        <v>185735.78699943196</v>
      </c>
      <c r="WV36" s="37">
        <f t="shared" si="504"/>
        <v>-151893.49500030797</v>
      </c>
      <c r="WW36" s="37">
        <f t="shared" si="504"/>
        <v>-54991.274999885936</v>
      </c>
      <c r="WX36" s="37">
        <f t="shared" si="504"/>
        <v>104907.18599966465</v>
      </c>
      <c r="WY36" s="37">
        <f t="shared" si="504"/>
        <v>-9141.5339993315865</v>
      </c>
      <c r="WZ36" s="37">
        <f t="shared" si="504"/>
        <v>40304.073000351316</v>
      </c>
      <c r="XA36" s="37">
        <f t="shared" si="504"/>
        <v>-135859.06800008897</v>
      </c>
      <c r="XB36" s="37">
        <f t="shared" si="504"/>
        <v>297844.50300038554</v>
      </c>
      <c r="XC36" s="37">
        <f t="shared" si="504"/>
        <v>122004.69599904871</v>
      </c>
      <c r="XD36" s="37">
        <f t="shared" si="504"/>
        <v>-254899.86900008441</v>
      </c>
      <c r="XE36" s="37">
        <f t="shared" si="504"/>
        <v>-162362.65799910802</v>
      </c>
      <c r="XF36" s="37">
        <f t="shared" si="504"/>
        <v>326003.954999635</v>
      </c>
      <c r="XG36" s="127">
        <f t="shared" si="267"/>
        <v>-406592.50499969255</v>
      </c>
      <c r="XH36" s="37">
        <f t="shared" ref="XH36:YK36" si="505">XH35*XH5</f>
        <v>25675.658999046427</v>
      </c>
      <c r="XI36" s="37">
        <f t="shared" si="505"/>
        <v>103873.49700018478</v>
      </c>
      <c r="XJ36" s="37">
        <f t="shared" si="505"/>
        <v>-207568.53499961784</v>
      </c>
      <c r="XK36" s="37">
        <f t="shared" si="505"/>
        <v>167829.05999985669</v>
      </c>
      <c r="XL36" s="37">
        <f t="shared" si="505"/>
        <v>-67481.389999495004</v>
      </c>
      <c r="XM36" s="37">
        <f t="shared" si="505"/>
        <v>74061.485000391258</v>
      </c>
      <c r="XN36" s="37">
        <f t="shared" si="505"/>
        <v>-63026.270001146477</v>
      </c>
      <c r="XO36" s="37">
        <f t="shared" si="505"/>
        <v>132481.19999997725</v>
      </c>
      <c r="XP36" s="37">
        <f t="shared" si="505"/>
        <v>-617048.77499944274</v>
      </c>
      <c r="XQ36" s="37">
        <f t="shared" si="505"/>
        <v>-21015.270000122837</v>
      </c>
      <c r="XR36" s="37">
        <f t="shared" si="505"/>
        <v>72806.03999990446</v>
      </c>
      <c r="XS36" s="37">
        <f t="shared" si="505"/>
        <v>65390.610000561865</v>
      </c>
      <c r="XT36" s="37">
        <f t="shared" si="505"/>
        <v>-81086.115000791615</v>
      </c>
      <c r="XU36" s="37">
        <f t="shared" si="505"/>
        <v>153989.85500021838</v>
      </c>
      <c r="XV36" s="37">
        <f t="shared" si="505"/>
        <v>67198.060000539117</v>
      </c>
      <c r="XW36" s="37">
        <f t="shared" si="505"/>
        <v>610.62499886262231</v>
      </c>
      <c r="XX36" s="37">
        <f t="shared" si="505"/>
        <v>-32214.599999287748</v>
      </c>
      <c r="XY36" s="37">
        <f t="shared" si="505"/>
        <v>-121032.45000029274</v>
      </c>
      <c r="XZ36" s="37">
        <f t="shared" si="505"/>
        <v>-211884.75000025355</v>
      </c>
      <c r="YA36" s="37">
        <f t="shared" si="505"/>
        <v>-91753.199999243952</v>
      </c>
      <c r="YB36" s="37">
        <f t="shared" si="505"/>
        <v>227214.89999943296</v>
      </c>
      <c r="YC36" s="37">
        <f t="shared" si="505"/>
        <v>-197658.44999962428</v>
      </c>
      <c r="YD36" s="37">
        <f t="shared" si="505"/>
        <v>-103558.94999900192</v>
      </c>
      <c r="YE36" s="37">
        <f t="shared" si="505"/>
        <v>134169.74999875529</v>
      </c>
      <c r="YF36" s="37">
        <f t="shared" si="505"/>
        <v>-114453.89999987092</v>
      </c>
      <c r="YG36" s="37">
        <f t="shared" si="505"/>
        <v>96762.59999947215</v>
      </c>
      <c r="YH36" s="37">
        <f t="shared" si="505"/>
        <v>83620.350001062616</v>
      </c>
      <c r="YI36" s="37">
        <f t="shared" si="505"/>
        <v>-102187.80000129773</v>
      </c>
      <c r="YJ36" s="37">
        <f t="shared" si="505"/>
        <v>294995.2499998617</v>
      </c>
      <c r="YK36" s="37">
        <f t="shared" si="505"/>
        <v>-103044.14999875298</v>
      </c>
      <c r="YL36" s="127">
        <f t="shared" si="269"/>
        <v>-434335.66400011478</v>
      </c>
      <c r="YM36" s="37">
        <f t="shared" ref="YM36:ZQ36" si="506">YM35*YM5</f>
        <v>-23953.05000046792</v>
      </c>
      <c r="YN36" s="37">
        <f t="shared" si="506"/>
        <v>119379.14999984787</v>
      </c>
      <c r="YO36" s="37">
        <f t="shared" si="506"/>
        <v>-45148.949999635806</v>
      </c>
      <c r="YP36" s="37">
        <f t="shared" si="506"/>
        <v>-104380.64999999769</v>
      </c>
      <c r="YQ36" s="37">
        <f t="shared" si="506"/>
        <v>187184.24999914714</v>
      </c>
      <c r="YR36" s="37">
        <f t="shared" si="506"/>
        <v>-229561.19999965886</v>
      </c>
      <c r="YS36" s="37">
        <f t="shared" si="506"/>
        <v>-131600.6999988982</v>
      </c>
      <c r="YT36" s="37">
        <f t="shared" si="506"/>
        <v>0</v>
      </c>
      <c r="YU36" s="37">
        <f t="shared" si="506"/>
        <v>-126611.10000018671</v>
      </c>
      <c r="YV36" s="37">
        <f t="shared" si="506"/>
        <v>-1183965.7499999884</v>
      </c>
      <c r="YW36" s="37">
        <f t="shared" si="506"/>
        <v>1132159.0499993386</v>
      </c>
      <c r="YX36" s="37">
        <f t="shared" si="506"/>
        <v>52276.950000223587</v>
      </c>
      <c r="YY36" s="37">
        <f t="shared" si="506"/>
        <v>-140941.34999970265</v>
      </c>
      <c r="YZ36" s="37">
        <f t="shared" si="506"/>
        <v>214325.09999976028</v>
      </c>
      <c r="ZA36" s="37">
        <f t="shared" si="506"/>
        <v>-266314.95000046561</v>
      </c>
      <c r="ZB36" s="37">
        <f t="shared" si="506"/>
        <v>301841.10000030196</v>
      </c>
      <c r="ZC36" s="37">
        <f t="shared" si="506"/>
        <v>-131491.79999977641</v>
      </c>
      <c r="ZD36" s="37">
        <f t="shared" si="506"/>
        <v>182833.20000022359</v>
      </c>
      <c r="ZE36" s="37">
        <f t="shared" si="506"/>
        <v>50371.200000177487</v>
      </c>
      <c r="ZF36" s="37">
        <f t="shared" si="506"/>
        <v>-14211.45000050019</v>
      </c>
      <c r="ZG36" s="37">
        <f t="shared" si="506"/>
        <v>-206741.70000059239</v>
      </c>
      <c r="ZH36" s="37">
        <f t="shared" si="506"/>
        <v>99118.800000168267</v>
      </c>
      <c r="ZI36" s="37">
        <f t="shared" si="506"/>
        <v>27893.250000334228</v>
      </c>
      <c r="ZJ36" s="37">
        <f t="shared" si="506"/>
        <v>1018348.6499997787</v>
      </c>
      <c r="ZK36" s="37">
        <f t="shared" si="506"/>
        <v>-1256295.1500006777</v>
      </c>
      <c r="ZL36" s="37">
        <f t="shared" si="506"/>
        <v>147529.8000005947</v>
      </c>
      <c r="ZM36" s="37">
        <f t="shared" si="506"/>
        <v>369833.85000053444</v>
      </c>
      <c r="ZN36" s="37">
        <f t="shared" si="506"/>
        <v>63622.5</v>
      </c>
      <c r="ZO36" s="37">
        <f t="shared" si="506"/>
        <v>-333441.77999992797</v>
      </c>
      <c r="ZP36" s="37">
        <f t="shared" si="506"/>
        <v>-202678.82999955618</v>
      </c>
      <c r="ZQ36" s="37">
        <f t="shared" si="506"/>
        <v>137524.39999998838</v>
      </c>
      <c r="ZR36" s="127">
        <f t="shared" si="356"/>
        <v>-293097.1599996133</v>
      </c>
      <c r="ZS36" s="37">
        <f t="shared" ref="ZS36:AAV36" si="507">ZS35*ZS5</f>
        <v>269954.00999964681</v>
      </c>
      <c r="ZT36" s="37">
        <f t="shared" si="507"/>
        <v>-224150.80000079004</v>
      </c>
      <c r="ZU36" s="37">
        <f t="shared" si="507"/>
        <v>-87948.749999709544</v>
      </c>
      <c r="ZV36" s="37">
        <f t="shared" si="507"/>
        <v>-94770.079999846639</v>
      </c>
      <c r="ZW36" s="37">
        <f t="shared" si="507"/>
        <v>111182.19000066689</v>
      </c>
      <c r="ZX36" s="37">
        <f t="shared" si="507"/>
        <v>85728.199999093777</v>
      </c>
      <c r="ZY36" s="37">
        <f t="shared" si="507"/>
        <v>-141631.17000015336</v>
      </c>
      <c r="ZZ36" s="37">
        <f t="shared" si="507"/>
        <v>-66177.379998487304</v>
      </c>
      <c r="AAA36" s="37">
        <f t="shared" si="507"/>
        <v>26267.359998670872</v>
      </c>
      <c r="AAB36" s="37">
        <f t="shared" si="507"/>
        <v>-162913.51999964216</v>
      </c>
      <c r="AAC36" s="37">
        <f t="shared" si="507"/>
        <v>-20648.619999886141</v>
      </c>
      <c r="AAD36" s="37">
        <f t="shared" si="507"/>
        <v>411724.90000033693</v>
      </c>
      <c r="AAE36" s="37">
        <f t="shared" si="507"/>
        <v>42375.079998684814</v>
      </c>
      <c r="AAF36" s="37">
        <f t="shared" si="507"/>
        <v>148098.21000118041</v>
      </c>
      <c r="AAG36" s="37">
        <f t="shared" si="507"/>
        <v>47684.439999330789</v>
      </c>
      <c r="AAH36" s="37">
        <f t="shared" si="507"/>
        <v>-174131.03999916813</v>
      </c>
      <c r="AAI36" s="37">
        <f t="shared" si="507"/>
        <v>-61102.550001138588</v>
      </c>
      <c r="AAJ36" s="37">
        <f t="shared" si="507"/>
        <v>298017.77000144299</v>
      </c>
      <c r="AAK36" s="37">
        <f t="shared" si="507"/>
        <v>2455.0799986848142</v>
      </c>
      <c r="AAL36" s="37">
        <f t="shared" si="507"/>
        <v>135448.56000101776</v>
      </c>
      <c r="AAM36" s="37">
        <f t="shared" si="507"/>
        <v>-154829.71999995585</v>
      </c>
      <c r="AAN36" s="37">
        <f t="shared" si="507"/>
        <v>44161.499999593361</v>
      </c>
      <c r="AAO36" s="37">
        <f t="shared" si="507"/>
        <v>155952.4699989683</v>
      </c>
      <c r="AAP36" s="37">
        <f t="shared" si="507"/>
        <v>-111117.31999990938</v>
      </c>
      <c r="AAQ36" s="37">
        <f t="shared" si="507"/>
        <v>-113332.88000028813</v>
      </c>
      <c r="AAR36" s="37">
        <f t="shared" si="507"/>
        <v>73298.110000936431</v>
      </c>
      <c r="AAS36" s="37">
        <f t="shared" si="507"/>
        <v>145693.02999992797</v>
      </c>
      <c r="AAT36" s="37">
        <f t="shared" si="507"/>
        <v>81376.92000009527</v>
      </c>
      <c r="AAU36" s="37">
        <f t="shared" si="507"/>
        <v>-169141.03999829676</v>
      </c>
      <c r="AAV36" s="37">
        <f t="shared" si="507"/>
        <v>3742.4999988381751</v>
      </c>
      <c r="AAW36" s="127">
        <f t="shared" si="272"/>
        <v>501265.45999984432</v>
      </c>
      <c r="AAX36" s="37">
        <f t="shared" ref="AAX36:ACB36" si="508">AAX35*AAX5</f>
        <v>-112155.23999953992</v>
      </c>
      <c r="AAY36" s="37">
        <f t="shared" si="508"/>
        <v>165583.16999980481</v>
      </c>
      <c r="AAZ36" s="37">
        <f t="shared" si="508"/>
        <v>13592.759999356349</v>
      </c>
      <c r="ABA36" s="37">
        <f t="shared" si="508"/>
        <v>-226171.75000005809</v>
      </c>
      <c r="ABB36" s="37">
        <f t="shared" si="508"/>
        <v>152304.78000056697</v>
      </c>
      <c r="ABC36" s="37">
        <f t="shared" si="508"/>
        <v>-57559.650000453112</v>
      </c>
      <c r="ABD36" s="37">
        <f t="shared" si="508"/>
        <v>-41916.000000116182</v>
      </c>
      <c r="ABE36" s="37">
        <f t="shared" si="508"/>
        <v>275572.75000017427</v>
      </c>
      <c r="ABF36" s="37">
        <f t="shared" si="508"/>
        <v>191496.23999936564</v>
      </c>
      <c r="ABG36" s="37">
        <f t="shared" si="508"/>
        <v>127329.83000112465</v>
      </c>
      <c r="ABH36" s="37">
        <f t="shared" si="508"/>
        <v>-93098.430001194356</v>
      </c>
      <c r="ABI36" s="37">
        <f t="shared" si="508"/>
        <v>-294015.79000044614</v>
      </c>
      <c r="ABJ36" s="37">
        <f t="shared" si="508"/>
        <v>164520.30000073195</v>
      </c>
      <c r="ABK36" s="37">
        <f t="shared" si="508"/>
        <v>-122429.65000016266</v>
      </c>
      <c r="ABL36" s="37">
        <f t="shared" si="508"/>
        <v>-75862.969999316847</v>
      </c>
      <c r="ABM36" s="37">
        <f t="shared" si="508"/>
        <v>-204225.73000099685</v>
      </c>
      <c r="ABN36" s="37">
        <f t="shared" si="508"/>
        <v>102205.18000067153</v>
      </c>
      <c r="ABO36" s="37">
        <f t="shared" si="508"/>
        <v>6112.7500001742737</v>
      </c>
      <c r="ABP36" s="37">
        <f t="shared" si="508"/>
        <v>-725575.93999950506</v>
      </c>
      <c r="ABQ36" s="37">
        <f t="shared" si="508"/>
        <v>88108.429999161162</v>
      </c>
      <c r="ABR36" s="37">
        <f t="shared" si="508"/>
        <v>-37529.789999168133</v>
      </c>
      <c r="ABS36" s="37">
        <f t="shared" si="508"/>
        <v>-173187.93000113626</v>
      </c>
      <c r="ABT36" s="37">
        <f t="shared" si="508"/>
        <v>327234.22000047867</v>
      </c>
      <c r="ABU36" s="37">
        <f t="shared" si="508"/>
        <v>-285413.02999963751</v>
      </c>
      <c r="ABV36" s="37">
        <f t="shared" si="508"/>
        <v>-81317.040001008892</v>
      </c>
      <c r="ABW36" s="37">
        <f t="shared" si="508"/>
        <v>24630.640001677675</v>
      </c>
      <c r="ABX36" s="37">
        <f t="shared" si="508"/>
        <v>170094.12999883585</v>
      </c>
      <c r="ABY36" s="37">
        <f t="shared" si="508"/>
        <v>-84306.050000092946</v>
      </c>
      <c r="ABZ36" s="37">
        <f t="shared" si="508"/>
        <v>21556.799999453942</v>
      </c>
      <c r="ACA36" s="37">
        <f t="shared" si="508"/>
        <v>-25439.01999882888</v>
      </c>
      <c r="ACB36" s="37">
        <f t="shared" si="508"/>
        <v>181296.67999968398</v>
      </c>
      <c r="ACC36" s="127">
        <f t="shared" si="274"/>
        <v>-628565.3500004001</v>
      </c>
      <c r="ACD36" s="37">
        <f t="shared" ref="ACD36:ADH36" si="509">ACD35*ACD5</f>
        <v>-99964.669999688631</v>
      </c>
      <c r="ACE36" s="37">
        <f t="shared" si="509"/>
        <v>39770.300000151037</v>
      </c>
      <c r="ACF36" s="37">
        <f t="shared" si="509"/>
        <v>-196161.89000051585</v>
      </c>
      <c r="ACG36" s="37">
        <f t="shared" si="509"/>
        <v>-66187.359999832697</v>
      </c>
      <c r="ACH36" s="37">
        <f t="shared" si="509"/>
        <v>-104670.24000012083</v>
      </c>
      <c r="ACI36" s="37">
        <f t="shared" si="509"/>
        <v>745955.10000053444</v>
      </c>
      <c r="ACJ36" s="37">
        <f t="shared" si="509"/>
        <v>-349568.33099958632</v>
      </c>
      <c r="ACK36" s="37">
        <f t="shared" si="509"/>
        <v>-31223.199001266737</v>
      </c>
      <c r="ACL36" s="37">
        <f t="shared" si="509"/>
        <v>-81473.426999453106</v>
      </c>
      <c r="ACM36" s="37">
        <f t="shared" si="509"/>
        <v>-45507.273000780609</v>
      </c>
      <c r="ACN36" s="37">
        <f t="shared" si="509"/>
        <v>454053.87300089747</v>
      </c>
      <c r="ACO36" s="37">
        <f t="shared" si="509"/>
        <v>-496564.80300075724</v>
      </c>
      <c r="ACP36" s="37">
        <f t="shared" si="509"/>
        <v>490752.80100048613</v>
      </c>
      <c r="ACQ36" s="37">
        <f t="shared" si="509"/>
        <v>-108149.41200004908</v>
      </c>
      <c r="ACR36" s="37">
        <f t="shared" si="509"/>
        <v>43554.881999780308</v>
      </c>
      <c r="ACS36" s="37">
        <f t="shared" si="509"/>
        <v>246332.51999978966</v>
      </c>
      <c r="ACT36" s="37">
        <f t="shared" si="509"/>
        <v>-162911.72099899035</v>
      </c>
      <c r="ACU36" s="37">
        <f t="shared" si="509"/>
        <v>-152793.41700043471</v>
      </c>
      <c r="ACV36" s="37">
        <f t="shared" si="509"/>
        <v>-218085.58799995092</v>
      </c>
      <c r="ACW36" s="37">
        <f t="shared" si="509"/>
        <v>55444.892999810691</v>
      </c>
      <c r="ACX36" s="37">
        <f t="shared" si="509"/>
        <v>31935.896999184333</v>
      </c>
      <c r="ACY36" s="37">
        <f t="shared" si="509"/>
        <v>98332.248000313179</v>
      </c>
      <c r="ACZ36" s="37">
        <f t="shared" si="509"/>
        <v>-52960.487999541918</v>
      </c>
      <c r="ADA36" s="37">
        <f t="shared" si="509"/>
        <v>-18474.938999619044</v>
      </c>
      <c r="ADB36" s="37">
        <f t="shared" si="509"/>
        <v>-153671.74199949985</v>
      </c>
      <c r="ADC36" s="37">
        <f t="shared" si="509"/>
        <v>-46902.555000736204</v>
      </c>
      <c r="ADD36" s="37">
        <f t="shared" si="509"/>
        <v>83656.692000025709</v>
      </c>
      <c r="ADE36" s="37">
        <f t="shared" si="509"/>
        <v>-59901.764999404026</v>
      </c>
      <c r="ADF36" s="37">
        <f t="shared" si="509"/>
        <v>-79992.822000703483</v>
      </c>
      <c r="ADG36" s="37">
        <f t="shared" si="509"/>
        <v>60453.855000210344</v>
      </c>
      <c r="ADH36" s="37">
        <f t="shared" si="509"/>
        <v>-188478.5070003646</v>
      </c>
      <c r="ADI36" s="127">
        <f t="shared" si="276"/>
        <v>-363401.08800011291</v>
      </c>
      <c r="ADJ36" s="37">
        <f t="shared" ref="ADJ36:AEM36" si="510">ADJ35*ADJ5</f>
        <v>148080.57599978498</v>
      </c>
      <c r="ADK36" s="37">
        <f t="shared" si="510"/>
        <v>-93443.741999499849</v>
      </c>
      <c r="ADL36" s="37">
        <f t="shared" si="510"/>
        <v>50972.96399979433</v>
      </c>
      <c r="ADM36" s="37">
        <f t="shared" si="510"/>
        <v>-133078.78499977797</v>
      </c>
      <c r="ADN36" s="37">
        <f t="shared" si="510"/>
        <v>-289445.73000050249</v>
      </c>
      <c r="ADO36" s="37">
        <f t="shared" si="510"/>
        <v>193447.31700090214</v>
      </c>
      <c r="ADP36" s="37">
        <f t="shared" si="510"/>
        <v>-98533.007999915862</v>
      </c>
      <c r="ADQ36" s="37">
        <f t="shared" si="510"/>
        <v>43941.344999146939</v>
      </c>
      <c r="ADR36" s="37">
        <f t="shared" si="510"/>
        <v>-111261.19199973356</v>
      </c>
      <c r="ADS36" s="37">
        <f t="shared" si="510"/>
        <v>18625.508999759273</v>
      </c>
      <c r="ADT36" s="37">
        <f t="shared" si="510"/>
        <v>-108611.15999977797</v>
      </c>
      <c r="ADU36" s="37">
        <f t="shared" si="510"/>
        <v>137545.69500101666</v>
      </c>
      <c r="ADV36" s="37">
        <f t="shared" si="510"/>
        <v>78597.539998410735</v>
      </c>
      <c r="ADW36" s="37">
        <f t="shared" si="510"/>
        <v>14118.446999827051</v>
      </c>
      <c r="ADX36" s="37">
        <f t="shared" si="510"/>
        <v>-8592.5280002898071</v>
      </c>
      <c r="ADY36" s="37">
        <f t="shared" si="510"/>
        <v>147844.68300172716</v>
      </c>
      <c r="ADZ36" s="37">
        <f t="shared" si="510"/>
        <v>-183329.01300059364</v>
      </c>
      <c r="AEA36" s="37">
        <f t="shared" si="510"/>
        <v>32312.321999534906</v>
      </c>
      <c r="AEB36" s="37">
        <f t="shared" si="510"/>
        <v>-324403.06499917031</v>
      </c>
      <c r="AEC36" s="37">
        <f t="shared" si="510"/>
        <v>154404.51599895529</v>
      </c>
      <c r="AED36" s="37">
        <f t="shared" si="510"/>
        <v>135206.84100064973</v>
      </c>
      <c r="AEE36" s="37">
        <f t="shared" si="510"/>
        <v>-197100.57200009035</v>
      </c>
      <c r="AEF36" s="37">
        <f t="shared" si="510"/>
        <v>272150.55899966712</v>
      </c>
      <c r="AEG36" s="37">
        <f t="shared" si="510"/>
        <v>-239452.09999982541</v>
      </c>
      <c r="AEH36" s="37">
        <f t="shared" si="510"/>
        <v>-7933.412999415712</v>
      </c>
      <c r="AEI36" s="37">
        <f t="shared" si="510"/>
        <v>-157328.52800004423</v>
      </c>
      <c r="AEJ36" s="37">
        <f t="shared" si="510"/>
        <v>248400.30999942968</v>
      </c>
      <c r="AEK36" s="37">
        <f t="shared" si="510"/>
        <v>53484.301000402716</v>
      </c>
      <c r="AEL36" s="37">
        <f t="shared" si="510"/>
        <v>22065.586000239768</v>
      </c>
      <c r="AEM36" s="37">
        <f t="shared" si="510"/>
        <v>-63022.393000963726</v>
      </c>
      <c r="AEN36" s="127">
        <f t="shared" si="364"/>
        <v>-264336.71800035244</v>
      </c>
      <c r="AEO36" s="37">
        <f t="shared" ref="AEO36:AFS36" si="511">AEO35*AEO5</f>
        <v>-34593.079999336565</v>
      </c>
      <c r="AEP36" s="37">
        <f t="shared" si="511"/>
        <v>57138.569999383122</v>
      </c>
      <c r="AEQ36" s="37">
        <f t="shared" si="511"/>
        <v>96005.794999790494</v>
      </c>
      <c r="AER36" s="37">
        <f t="shared" si="511"/>
        <v>-31258.746999257419</v>
      </c>
      <c r="AES36" s="37">
        <f t="shared" si="511"/>
        <v>190416.90900007449</v>
      </c>
      <c r="AET36" s="37">
        <f t="shared" si="511"/>
        <v>345515.88299955538</v>
      </c>
      <c r="AEU36" s="37">
        <f t="shared" si="511"/>
        <v>-182618.46899950417</v>
      </c>
      <c r="AEV36" s="37">
        <f t="shared" si="511"/>
        <v>96390.71800032357</v>
      </c>
      <c r="AEW36" s="37">
        <f t="shared" si="511"/>
        <v>-617881.39900041209</v>
      </c>
      <c r="AEX36" s="37">
        <f t="shared" si="511"/>
        <v>6158.7679997998057</v>
      </c>
      <c r="AEY36" s="37">
        <f t="shared" si="511"/>
        <v>-192046.58299978817</v>
      </c>
      <c r="AEZ36" s="37">
        <f t="shared" si="511"/>
        <v>95625.870999785839</v>
      </c>
      <c r="AFA36" s="37">
        <f t="shared" si="511"/>
        <v>140966.80100011174</v>
      </c>
      <c r="AFB36" s="37">
        <f t="shared" si="511"/>
        <v>58398.317999858002</v>
      </c>
      <c r="AFC36" s="37">
        <f t="shared" si="511"/>
        <v>-66271.742999334238</v>
      </c>
      <c r="AFD36" s="37">
        <f t="shared" si="511"/>
        <v>113372.32100001862</v>
      </c>
      <c r="AFE36" s="37">
        <f t="shared" si="511"/>
        <v>184543.08399984171</v>
      </c>
      <c r="AFF36" s="37">
        <f t="shared" si="511"/>
        <v>-256448.6999999418</v>
      </c>
      <c r="AFG36" s="37">
        <f t="shared" si="511"/>
        <v>27804.43800046324</v>
      </c>
      <c r="AFH36" s="37">
        <f t="shared" si="511"/>
        <v>-131573.68000090786</v>
      </c>
      <c r="AFI36" s="37">
        <f t="shared" si="511"/>
        <v>43336.331000554026</v>
      </c>
      <c r="AFJ36" s="37">
        <f t="shared" si="511"/>
        <v>-170295.934001413</v>
      </c>
      <c r="AFK36" s="37">
        <f t="shared" si="511"/>
        <v>174330.12700098002</v>
      </c>
      <c r="AFL36" s="37">
        <f t="shared" si="511"/>
        <v>-188457.30100011174</v>
      </c>
      <c r="AFM36" s="37">
        <f t="shared" si="511"/>
        <v>7728.4539998649852</v>
      </c>
      <c r="AFN36" s="37">
        <f t="shared" si="511"/>
        <v>169101.17299936916</v>
      </c>
      <c r="AFO36" s="37">
        <f t="shared" si="511"/>
        <v>-242416.86700003687</v>
      </c>
      <c r="AFP36" s="37">
        <f t="shared" si="511"/>
        <v>123913.06200144265</v>
      </c>
      <c r="AFQ36" s="37">
        <f t="shared" si="511"/>
        <v>-176664.45300165698</v>
      </c>
      <c r="AFR36" s="37">
        <f t="shared" si="511"/>
        <v>38631.894001352775</v>
      </c>
      <c r="AFS36" s="37">
        <f t="shared" si="511"/>
        <v>109917.29000010371</v>
      </c>
      <c r="AFT36" s="127">
        <f t="shared" si="279"/>
        <v>-211231.14899902756</v>
      </c>
      <c r="AFU36" s="37">
        <f t="shared" ref="AFU36:AGX36" si="512">AFU35*AFU5</f>
        <v>202973.33699931094</v>
      </c>
      <c r="AFV36" s="37">
        <f t="shared" si="512"/>
        <v>47178.817000555398</v>
      </c>
      <c r="AFW36" s="37">
        <f t="shared" si="512"/>
        <v>23002.952000221238</v>
      </c>
      <c r="AFX36" s="37">
        <f t="shared" si="512"/>
        <v>32341.71499929711</v>
      </c>
      <c r="AFY36" s="37">
        <f t="shared" si="512"/>
        <v>-123418.16200098174</v>
      </c>
      <c r="AFZ36" s="37">
        <f t="shared" si="512"/>
        <v>218958.60700152331</v>
      </c>
      <c r="AGA36" s="37">
        <f t="shared" si="512"/>
        <v>-73690.610000933346</v>
      </c>
      <c r="AGB36" s="37">
        <f t="shared" si="512"/>
        <v>100029.1880008619</v>
      </c>
      <c r="AGC36" s="37">
        <f t="shared" si="512"/>
        <v>60402.544998928381</v>
      </c>
      <c r="AGD36" s="37">
        <f t="shared" si="512"/>
        <v>-27511.490999177273</v>
      </c>
      <c r="AGE36" s="37">
        <f t="shared" si="512"/>
        <v>314578.23600006453</v>
      </c>
      <c r="AGF36" s="37">
        <f t="shared" si="512"/>
        <v>-128035.57900021202</v>
      </c>
      <c r="AGG36" s="37">
        <f t="shared" si="512"/>
        <v>-62906.73900062684</v>
      </c>
      <c r="AGH36" s="37">
        <f t="shared" si="512"/>
        <v>593790.91800108913</v>
      </c>
      <c r="AGI36" s="37">
        <f t="shared" si="512"/>
        <v>-635664.40700042865</v>
      </c>
      <c r="AGJ36" s="37">
        <f t="shared" si="512"/>
        <v>99222.500999995391</v>
      </c>
      <c r="AGK36" s="37">
        <f t="shared" si="512"/>
        <v>12753.573000527744</v>
      </c>
      <c r="AGL36" s="37">
        <f t="shared" si="512"/>
        <v>25655.616000041482</v>
      </c>
      <c r="AGM36" s="37">
        <f t="shared" si="512"/>
        <v>-100890.31400114537</v>
      </c>
      <c r="AGN36" s="37">
        <f t="shared" si="512"/>
        <v>-102810.52600016823</v>
      </c>
      <c r="AGO36" s="37">
        <f t="shared" si="512"/>
        <v>206016.97200099326</v>
      </c>
      <c r="AGP36" s="37">
        <f t="shared" si="512"/>
        <v>28951.649998732493</v>
      </c>
      <c r="AGQ36" s="37">
        <f t="shared" si="512"/>
        <v>59610.70500078355</v>
      </c>
      <c r="AGR36" s="37">
        <f t="shared" si="512"/>
        <v>64272.663000977132</v>
      </c>
      <c r="AGS36" s="37">
        <f t="shared" si="512"/>
        <v>-68944.519001352775</v>
      </c>
      <c r="AGT36" s="37">
        <f t="shared" si="512"/>
        <v>335507.55700060149</v>
      </c>
      <c r="AGU36" s="37">
        <f t="shared" si="512"/>
        <v>30094.869000027655</v>
      </c>
      <c r="AGV36" s="37">
        <f t="shared" si="512"/>
        <v>190427.6220003019</v>
      </c>
      <c r="AGW36" s="37">
        <f t="shared" si="512"/>
        <v>91700.020999038999</v>
      </c>
      <c r="AGX36" s="37">
        <f t="shared" si="512"/>
        <v>-94887.176999472256</v>
      </c>
      <c r="AGY36" s="127">
        <f t="shared" si="281"/>
        <v>1318710.5399993742</v>
      </c>
      <c r="AGZ36" s="37">
        <f t="shared" ref="AGZ36:AID36" si="513">AGZ35*AGZ5</f>
        <v>241026.19799937546</v>
      </c>
      <c r="AHA36" s="37">
        <f t="shared" si="513"/>
        <v>28140.013999647403</v>
      </c>
      <c r="AHB36" s="37">
        <f t="shared" si="513"/>
        <v>325208.68800114997</v>
      </c>
      <c r="AHC36" s="37">
        <f t="shared" si="513"/>
        <v>111025.86599946534</v>
      </c>
      <c r="AHD36" s="37">
        <f t="shared" si="513"/>
        <v>22483.307000889559</v>
      </c>
      <c r="AHE36" s="37">
        <f t="shared" si="513"/>
        <v>108358.35499951604</v>
      </c>
      <c r="AHF36" s="37">
        <f t="shared" si="513"/>
        <v>83459.936000583053</v>
      </c>
      <c r="AHG36" s="37">
        <f t="shared" si="513"/>
        <v>105359.26099879702</v>
      </c>
      <c r="AHH36" s="37">
        <f t="shared" si="513"/>
        <v>27897.513000516221</v>
      </c>
      <c r="AHI36" s="37">
        <f t="shared" si="513"/>
        <v>-93674.671999783372</v>
      </c>
      <c r="AHJ36" s="37">
        <f t="shared" si="513"/>
        <v>635362.51799962902</v>
      </c>
      <c r="AHK36" s="37">
        <f t="shared" si="513"/>
        <v>-55037.829000212019</v>
      </c>
      <c r="AHL36" s="37">
        <f t="shared" si="513"/>
        <v>-3083.2270001060097</v>
      </c>
      <c r="AHM36" s="37">
        <f t="shared" si="513"/>
        <v>18623.087001327425</v>
      </c>
      <c r="AHN36" s="37">
        <f t="shared" si="513"/>
        <v>31831.967999571352</v>
      </c>
      <c r="AHO36" s="37">
        <f t="shared" si="513"/>
        <v>-93491.559000880341</v>
      </c>
      <c r="AHP36" s="37">
        <f t="shared" si="513"/>
        <v>-253764.92399890994</v>
      </c>
      <c r="AHQ36" s="37">
        <f t="shared" si="513"/>
        <v>214905.37599999539</v>
      </c>
      <c r="AHR36" s="37">
        <f t="shared" si="513"/>
        <v>6794.9769995298702</v>
      </c>
      <c r="AHS36" s="37">
        <f t="shared" si="513"/>
        <v>-5919.0039996934938</v>
      </c>
      <c r="AHT36" s="37">
        <f t="shared" si="513"/>
        <v>-45812.892999628966</v>
      </c>
      <c r="AHU36" s="37">
        <f t="shared" si="513"/>
        <v>-16440.578000504698</v>
      </c>
      <c r="AHV36" s="37">
        <f t="shared" si="513"/>
        <v>147801.88500024198</v>
      </c>
      <c r="AHW36" s="37">
        <f t="shared" si="513"/>
        <v>553901.9780001014</v>
      </c>
      <c r="AHX36" s="37">
        <f t="shared" si="513"/>
        <v>158664.94000027655</v>
      </c>
      <c r="AHY36" s="37">
        <f t="shared" si="513"/>
        <v>105260.28100014519</v>
      </c>
      <c r="AHZ36" s="37">
        <f t="shared" si="513"/>
        <v>-12204.234001514094</v>
      </c>
      <c r="AIA36" s="37">
        <f t="shared" si="513"/>
        <v>39725.623000873427</v>
      </c>
      <c r="AIB36" s="37">
        <f t="shared" si="513"/>
        <v>-56012.782000140578</v>
      </c>
      <c r="AIC36" s="37">
        <f t="shared" si="513"/>
        <v>-139032.25700054388</v>
      </c>
      <c r="AID36" s="37">
        <f t="shared" si="513"/>
        <v>-168434.26599935011</v>
      </c>
      <c r="AIE36" s="127">
        <f>SUM(AHA36:AID36)</f>
        <v>1781897.3480009884</v>
      </c>
      <c r="AIF36" s="37">
        <f t="shared" ref="AIF36:AJJ36" si="514">AIF35*AIF5</f>
        <v>16480.16999950452</v>
      </c>
      <c r="AIG36" s="37">
        <f t="shared" si="514"/>
        <v>65010.063999705017</v>
      </c>
      <c r="AIH36" s="37">
        <f t="shared" si="514"/>
        <v>-12362.601998953731</v>
      </c>
      <c r="AII36" s="37">
        <f t="shared" si="514"/>
        <v>-136730.97199955292</v>
      </c>
      <c r="AIJ36" s="37">
        <f t="shared" si="514"/>
        <v>388130.27399787289</v>
      </c>
      <c r="AIK36" s="37">
        <f t="shared" si="514"/>
        <v>-259322.65099843981</v>
      </c>
      <c r="AIL36" s="37">
        <f t="shared" si="514"/>
        <v>17712.470999845595</v>
      </c>
      <c r="AIM36" s="37">
        <f t="shared" si="514"/>
        <v>10279.073000527744</v>
      </c>
      <c r="AIN36" s="37">
        <f t="shared" si="514"/>
        <v>11570.761999080481</v>
      </c>
      <c r="AIO36" s="37">
        <f t="shared" si="514"/>
        <v>118785.89799931785</v>
      </c>
      <c r="AIP36" s="37">
        <f t="shared" si="514"/>
        <v>76095.824001387344</v>
      </c>
      <c r="AIQ36" s="37">
        <f t="shared" si="514"/>
        <v>12050.814999124268</v>
      </c>
      <c r="AIR36" s="37">
        <f t="shared" si="514"/>
        <v>-165539.10100011062</v>
      </c>
      <c r="AIS36" s="37">
        <f t="shared" si="514"/>
        <v>151069.78000044229</v>
      </c>
      <c r="AIT36" s="37">
        <f t="shared" si="514"/>
        <v>-13817.235999541415</v>
      </c>
      <c r="AIU36" s="37">
        <f t="shared" si="514"/>
        <v>21895.620000314259</v>
      </c>
      <c r="AIV36" s="37">
        <f t="shared" si="514"/>
        <v>-103739.2480001839</v>
      </c>
      <c r="AIW36" s="37">
        <f t="shared" si="514"/>
        <v>33133.371999257419</v>
      </c>
      <c r="AIX36" s="37">
        <f t="shared" si="514"/>
        <v>-11457.707999497186</v>
      </c>
      <c r="AIY36" s="37">
        <f t="shared" si="514"/>
        <v>-217831.42500034918</v>
      </c>
      <c r="AIZ36" s="37">
        <f t="shared" si="514"/>
        <v>161857.62199983938</v>
      </c>
      <c r="AJA36" s="37">
        <f t="shared" si="514"/>
        <v>953489.26399987657</v>
      </c>
      <c r="AJB36" s="37">
        <f t="shared" si="514"/>
        <v>-268441.3009992388</v>
      </c>
      <c r="AJC36" s="37">
        <f t="shared" si="514"/>
        <v>182273.53799912473</v>
      </c>
      <c r="AJD36" s="37">
        <f t="shared" si="514"/>
        <v>-186657.66099959961</v>
      </c>
      <c r="AJE36" s="37">
        <f t="shared" si="514"/>
        <v>-187037.58500076819</v>
      </c>
      <c r="AJF36" s="37">
        <f t="shared" si="514"/>
        <v>78699.257000956743</v>
      </c>
      <c r="AJG36" s="37">
        <f t="shared" si="514"/>
        <v>-129959.00300074258</v>
      </c>
      <c r="AJH36" s="37">
        <f t="shared" si="514"/>
        <v>-84641.435999242938</v>
      </c>
      <c r="AJI36" s="37">
        <f t="shared" si="514"/>
        <v>1005084.2339999577</v>
      </c>
      <c r="AJJ36" s="37">
        <f t="shared" si="514"/>
        <v>-85656.285000717093</v>
      </c>
      <c r="AJK36" s="127">
        <f>SUM(AIG36:AJJ36)</f>
        <v>1423943.6539996925</v>
      </c>
      <c r="AJL36" s="37">
        <f t="shared" ref="AJL36:AKM36" si="515">AJL35*AJL5</f>
        <v>-88736.174999470997</v>
      </c>
      <c r="AJM36" s="37">
        <f t="shared" si="515"/>
        <v>579095.05500091694</v>
      </c>
      <c r="AJN36" s="37">
        <f t="shared" si="515"/>
        <v>-622299.34800106741</v>
      </c>
      <c r="AJO36" s="37">
        <f t="shared" si="515"/>
        <v>302808.72600140597</v>
      </c>
      <c r="AJP36" s="37">
        <f t="shared" si="515"/>
        <v>-196880.70600032446</v>
      </c>
      <c r="AJQ36" s="37">
        <f t="shared" si="515"/>
        <v>426494.07899921708</v>
      </c>
      <c r="AJR36" s="37">
        <f t="shared" si="515"/>
        <v>-924810.18299949216</v>
      </c>
      <c r="AJS36" s="37">
        <f t="shared" si="515"/>
        <v>62592.452998810331</v>
      </c>
      <c r="AJT36" s="37">
        <f t="shared" si="515"/>
        <v>9441.6300005642697</v>
      </c>
      <c r="AJU36" s="37">
        <f t="shared" si="515"/>
        <v>-17116.109999776643</v>
      </c>
      <c r="AJV36" s="37">
        <f t="shared" si="515"/>
        <v>42295.472999010177</v>
      </c>
      <c r="AJW36" s="37">
        <f t="shared" si="515"/>
        <v>-75583.529999858933</v>
      </c>
      <c r="AJX36" s="37">
        <f t="shared" si="515"/>
        <v>74447.505000270379</v>
      </c>
      <c r="AJY36" s="37">
        <f t="shared" si="515"/>
        <v>58507.812000531354</v>
      </c>
      <c r="AJZ36" s="37">
        <f t="shared" si="515"/>
        <v>-58376.537999586202</v>
      </c>
      <c r="AKA36" s="37">
        <f t="shared" si="515"/>
        <v>60638.489999459242</v>
      </c>
      <c r="AKB36" s="37">
        <f t="shared" si="515"/>
        <v>-50353.677000578376</v>
      </c>
      <c r="AKC36" s="37">
        <f t="shared" si="515"/>
        <v>47935.206000912236</v>
      </c>
      <c r="AKD36" s="37">
        <f t="shared" si="515"/>
        <v>158260.90500015282</v>
      </c>
      <c r="AKE36" s="37">
        <f t="shared" si="515"/>
        <v>-74381.867999503913</v>
      </c>
      <c r="AKF36" s="37">
        <f t="shared" si="515"/>
        <v>-36393.192001775242</v>
      </c>
      <c r="AKG36" s="37">
        <f t="shared" si="515"/>
        <v>-204413.81399899372</v>
      </c>
      <c r="AKH36" s="37">
        <f t="shared" si="515"/>
        <v>122140.35900025157</v>
      </c>
      <c r="AKI36" s="37">
        <f t="shared" si="515"/>
        <v>-103772.09700095456</v>
      </c>
      <c r="AKJ36" s="37">
        <f t="shared" si="515"/>
        <v>50434.461001182615</v>
      </c>
      <c r="AKK36" s="37">
        <f t="shared" si="515"/>
        <v>128047.68899987539</v>
      </c>
      <c r="AKL36" s="37">
        <f t="shared" si="515"/>
        <v>-136272.51000112854</v>
      </c>
      <c r="AKM36" s="37">
        <f t="shared" si="515"/>
        <v>86292.459000075236</v>
      </c>
      <c r="AKN36" s="127">
        <f t="shared" si="11"/>
        <v>-379957.44599987549</v>
      </c>
      <c r="AKO36" s="37">
        <f t="shared" ref="AKO36:ALS36" si="516">AKO35*AKO5</f>
        <v>-268894.59300020925</v>
      </c>
      <c r="AKP36" s="37">
        <f t="shared" si="516"/>
        <v>485966.25</v>
      </c>
      <c r="AKQ36" s="37">
        <f t="shared" si="516"/>
        <v>-147718.5929987398</v>
      </c>
      <c r="AKR36" s="37">
        <f t="shared" si="516"/>
        <v>299607.66000012931</v>
      </c>
      <c r="AKS36" s="37">
        <f t="shared" si="516"/>
        <v>-303631.71300111443</v>
      </c>
      <c r="AKT36" s="37">
        <f t="shared" si="516"/>
        <v>-5897.2319991441909</v>
      </c>
      <c r="AKU36" s="37">
        <f t="shared" si="516"/>
        <v>28880.279998683371</v>
      </c>
      <c r="AKV36" s="37">
        <f t="shared" si="516"/>
        <v>85651.236000477278</v>
      </c>
      <c r="AKW36" s="37">
        <f t="shared" si="516"/>
        <v>177472.3500009533</v>
      </c>
      <c r="AKX36" s="37">
        <f t="shared" si="516"/>
        <v>-281537.28900058073</v>
      </c>
      <c r="AKY36" s="37">
        <f t="shared" si="516"/>
        <v>1764.2540000997251</v>
      </c>
      <c r="AKZ36" s="37">
        <f t="shared" si="516"/>
        <v>-174446.98800029443</v>
      </c>
      <c r="ALA36" s="37">
        <f t="shared" si="516"/>
        <v>678478.03900112072</v>
      </c>
      <c r="ALB36" s="37">
        <f t="shared" si="516"/>
        <v>12686.311999764934</v>
      </c>
      <c r="ALC36" s="37">
        <f t="shared" si="516"/>
        <v>162097.20999900275</v>
      </c>
      <c r="ALD36" s="37">
        <f t="shared" si="516"/>
        <v>-231035.68999939453</v>
      </c>
      <c r="ALE36" s="37">
        <f t="shared" si="516"/>
        <v>-50908.415999983379</v>
      </c>
      <c r="ALF36" s="37">
        <f t="shared" si="516"/>
        <v>-38154.090001066972</v>
      </c>
      <c r="ALG36" s="37">
        <f t="shared" si="516"/>
        <v>64460.331000450766</v>
      </c>
      <c r="ALH36" s="37">
        <f t="shared" si="516"/>
        <v>-38741.075999575609</v>
      </c>
      <c r="ALI36" s="37">
        <f t="shared" si="516"/>
        <v>4376.6499998801155</v>
      </c>
      <c r="ALJ36" s="37">
        <f t="shared" si="516"/>
        <v>54363.142000098305</v>
      </c>
      <c r="ALK36" s="37">
        <f t="shared" si="516"/>
        <v>-81184.283000860771</v>
      </c>
      <c r="ALL36" s="37">
        <f t="shared" si="516"/>
        <v>96768.987001576053</v>
      </c>
      <c r="ALM36" s="37">
        <f t="shared" si="516"/>
        <v>-125883.38700115238</v>
      </c>
      <c r="ALN36" s="37">
        <f t="shared" si="516"/>
        <v>-126860.79900006537</v>
      </c>
      <c r="ALO36" s="37">
        <f t="shared" si="516"/>
        <v>-215566.13699842879</v>
      </c>
      <c r="ALP36" s="37">
        <f t="shared" si="516"/>
        <v>21014.35799947707</v>
      </c>
      <c r="ALQ36" s="37">
        <f t="shared" si="516"/>
        <v>89261.630999970948</v>
      </c>
      <c r="ALR36" s="37">
        <f t="shared" si="516"/>
        <v>89350.013999326969</v>
      </c>
      <c r="ALS36" s="37">
        <f t="shared" si="516"/>
        <v>88580.172000113293</v>
      </c>
      <c r="ALT36" s="127">
        <f t="shared" si="12"/>
        <v>350318.59000051429</v>
      </c>
      <c r="ALU36" s="37">
        <f t="shared" ref="ALU36:AMX36" si="517">ALU35*ALU5</f>
        <v>-293592.39000035712</v>
      </c>
      <c r="ALV36" s="37">
        <f t="shared" si="517"/>
        <v>-2295.4260000443319</v>
      </c>
      <c r="ALW36" s="37">
        <f t="shared" si="517"/>
        <v>-432629.62199974386</v>
      </c>
      <c r="ALX36" s="37">
        <f t="shared" si="517"/>
        <v>67725.644999963057</v>
      </c>
      <c r="ALY36" s="37">
        <f t="shared" si="517"/>
        <v>27560.979000977764</v>
      </c>
      <c r="ALZ36" s="37">
        <f t="shared" si="517"/>
        <v>-73755.105000210111</v>
      </c>
      <c r="AMA36" s="37">
        <f t="shared" si="517"/>
        <v>-78409.424999445851</v>
      </c>
      <c r="AMB36" s="37">
        <f t="shared" si="517"/>
        <v>-247990.63200203434</v>
      </c>
      <c r="AMC36" s="37">
        <f t="shared" si="517"/>
        <v>40064.175000677293</v>
      </c>
      <c r="AMD36" s="37">
        <f t="shared" si="517"/>
        <v>89828.375999367039</v>
      </c>
      <c r="AME36" s="37">
        <f t="shared" si="517"/>
        <v>-154089.72599918232</v>
      </c>
      <c r="AMF36" s="37">
        <f t="shared" si="517"/>
        <v>-150794.67899968475</v>
      </c>
      <c r="AMG36" s="37">
        <f t="shared" si="517"/>
        <v>57999.173999155231</v>
      </c>
      <c r="AMH36" s="37">
        <f t="shared" si="517"/>
        <v>770887.61700075364</v>
      </c>
      <c r="AMI36" s="37">
        <f t="shared" si="517"/>
        <v>-38843.91200022836</v>
      </c>
      <c r="AMJ36" s="37">
        <f t="shared" si="517"/>
        <v>-62873.463000712683</v>
      </c>
      <c r="AMK36" s="37">
        <f t="shared" si="517"/>
        <v>8805.6260013626306</v>
      </c>
      <c r="AML36" s="37">
        <f t="shared" si="517"/>
        <v>-6779.3620001656236</v>
      </c>
      <c r="AMM36" s="37">
        <f t="shared" si="517"/>
        <v>-105500.45300088834</v>
      </c>
      <c r="AMN36" s="37">
        <f t="shared" si="517"/>
        <v>147734.04600119952</v>
      </c>
      <c r="AMO36" s="37">
        <f t="shared" si="517"/>
        <v>-79218.300000062736</v>
      </c>
      <c r="AMP36" s="37">
        <f t="shared" si="517"/>
        <v>117772.08299976698</v>
      </c>
      <c r="AMQ36" s="37">
        <f t="shared" si="517"/>
        <v>-48677.148001354595</v>
      </c>
      <c r="AMR36" s="37">
        <f t="shared" si="517"/>
        <v>141577.2539999155</v>
      </c>
      <c r="AMS36" s="37">
        <f t="shared" si="517"/>
        <v>-133246.26899919851</v>
      </c>
      <c r="AMT36" s="37">
        <f t="shared" si="517"/>
        <v>-254944.63800044556</v>
      </c>
      <c r="AMU36" s="37">
        <f t="shared" si="517"/>
        <v>-88940.825999034627</v>
      </c>
      <c r="AMV36" s="37">
        <f t="shared" si="517"/>
        <v>528024.97800030466</v>
      </c>
      <c r="AMW36" s="37">
        <f t="shared" si="517"/>
        <v>-425160.68400059408</v>
      </c>
      <c r="AMX36" s="37">
        <f t="shared" si="517"/>
        <v>336384.82799979259</v>
      </c>
      <c r="AMY36" s="127">
        <f t="shared" si="13"/>
        <v>-343377.27900015208</v>
      </c>
      <c r="AMZ36" s="37">
        <f t="shared" ref="AMZ36:AOC36" si="518">AMZ35*AMZ5</f>
        <v>12133.17099975585</v>
      </c>
      <c r="ANA36" s="37">
        <f t="shared" si="518"/>
        <v>-196626.8979995462</v>
      </c>
      <c r="ANB36" s="37">
        <f t="shared" si="518"/>
        <v>196113.98799906851</v>
      </c>
      <c r="ANC36" s="37">
        <f t="shared" si="518"/>
        <v>-245792.17099975585</v>
      </c>
      <c r="AND36" s="37">
        <f t="shared" si="518"/>
        <v>226284.4940006953</v>
      </c>
      <c r="ANE36" s="37">
        <f t="shared" si="518"/>
        <v>-227509.7790001778</v>
      </c>
      <c r="ANF36" s="37">
        <f t="shared" si="518"/>
        <v>83461.854999774427</v>
      </c>
      <c r="ANG36" s="37">
        <f t="shared" si="518"/>
        <v>-220346.13599927817</v>
      </c>
      <c r="ANH36" s="37">
        <f t="shared" si="518"/>
        <v>197413.35999908444</v>
      </c>
      <c r="ANI36" s="37">
        <f t="shared" si="518"/>
        <v>29235.870000689989</v>
      </c>
      <c r="ANJ36" s="37">
        <f t="shared" si="518"/>
        <v>-91252.387999931001</v>
      </c>
      <c r="ANK36" s="37">
        <f t="shared" si="518"/>
        <v>-125127.24399936839</v>
      </c>
      <c r="ANL36" s="37">
        <f t="shared" si="518"/>
        <v>9032.9149987925193</v>
      </c>
      <c r="ANM36" s="37">
        <f t="shared" si="518"/>
        <v>-789055.04499843426</v>
      </c>
      <c r="ANN36" s="37">
        <f t="shared" si="518"/>
        <v>676203.4469989544</v>
      </c>
      <c r="ANO36" s="37">
        <f t="shared" si="518"/>
        <v>611690.76700024144</v>
      </c>
      <c r="ANP36" s="37">
        <f t="shared" si="518"/>
        <v>265368.74999983411</v>
      </c>
      <c r="ANQ36" s="37">
        <f t="shared" si="518"/>
        <v>-211675.00000046857</v>
      </c>
      <c r="ANR36" s="37">
        <f t="shared" si="518"/>
        <v>-567631.24999961292</v>
      </c>
      <c r="ANS36" s="37">
        <f t="shared" si="518"/>
        <v>22881.249999409192</v>
      </c>
      <c r="ANT36" s="37">
        <f t="shared" si="518"/>
        <v>258031.25000093132</v>
      </c>
      <c r="ANU36" s="37">
        <f t="shared" si="518"/>
        <v>-156537.50000092259</v>
      </c>
      <c r="ANV36" s="37">
        <f t="shared" si="518"/>
        <v>646956.24999985739</v>
      </c>
      <c r="ANW36" s="37">
        <f t="shared" si="518"/>
        <v>-832218.74999908323</v>
      </c>
      <c r="ANX36" s="37">
        <f t="shared" si="518"/>
        <v>123231.25000111759</v>
      </c>
      <c r="ANY36" s="37">
        <f t="shared" si="518"/>
        <v>-159568.75000192667</v>
      </c>
      <c r="ANZ36" s="37">
        <f t="shared" si="518"/>
        <v>561618.75000070722</v>
      </c>
      <c r="AOA36" s="37">
        <f t="shared" si="518"/>
        <v>-106231.25000092841</v>
      </c>
      <c r="AOB36" s="37">
        <f t="shared" si="518"/>
        <v>260322.21000112477</v>
      </c>
      <c r="AOC36" s="37">
        <f t="shared" si="518"/>
        <v>13974.929999848246</v>
      </c>
    </row>
    <row r="37" spans="1:1069" x14ac:dyDescent="0.2">
      <c r="A37" s="4"/>
      <c r="B37" s="5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94"/>
      <c r="BM37" s="97"/>
      <c r="CS37" s="111">
        <f t="shared" si="208"/>
        <v>0</v>
      </c>
      <c r="DX37" s="117"/>
      <c r="FD37" s="128"/>
      <c r="GJ37" s="127">
        <f t="shared" si="99"/>
        <v>0</v>
      </c>
      <c r="HN37" s="127">
        <f t="shared" si="253"/>
        <v>0</v>
      </c>
      <c r="IT37" s="127">
        <f t="shared" si="22"/>
        <v>0</v>
      </c>
      <c r="JY37" s="127">
        <f t="shared" si="58"/>
        <v>0</v>
      </c>
      <c r="LE37" s="127">
        <f t="shared" si="60"/>
        <v>0</v>
      </c>
      <c r="MJ37" s="127">
        <f t="shared" si="62"/>
        <v>0</v>
      </c>
      <c r="NP37" s="127">
        <f t="shared" si="64"/>
        <v>0</v>
      </c>
      <c r="OV37" s="127">
        <f t="shared" si="66"/>
        <v>0</v>
      </c>
      <c r="QA37" s="127">
        <f t="shared" si="68"/>
        <v>0</v>
      </c>
      <c r="RG37" s="127">
        <f t="shared" si="495"/>
        <v>0</v>
      </c>
      <c r="SL37" s="127">
        <f t="shared" si="497"/>
        <v>0</v>
      </c>
      <c r="TR37" s="127">
        <f t="shared" si="499"/>
        <v>0</v>
      </c>
      <c r="UX37" s="127">
        <f t="shared" si="501"/>
        <v>0</v>
      </c>
      <c r="WA37" s="127">
        <f t="shared" si="503"/>
        <v>0</v>
      </c>
      <c r="XG37" s="127">
        <f>SUM(WC37:XF37)</f>
        <v>0</v>
      </c>
      <c r="YL37" s="127">
        <f>SUM(XI37:YK37)</f>
        <v>0</v>
      </c>
      <c r="ZR37" s="127">
        <f t="shared" si="356"/>
        <v>0</v>
      </c>
      <c r="AAW37" s="127">
        <f>SUM(ZR37:AAV37)</f>
        <v>0</v>
      </c>
      <c r="ACC37" s="127">
        <f t="shared" si="274"/>
        <v>0</v>
      </c>
      <c r="ADI37" s="127">
        <f t="shared" si="276"/>
        <v>0</v>
      </c>
      <c r="AEN37" s="127">
        <f>SUM(ADI37:AEM37)</f>
        <v>0</v>
      </c>
      <c r="AFT37" s="127">
        <f t="shared" si="279"/>
        <v>0</v>
      </c>
      <c r="AGY37" s="127">
        <f>SUM(AFT37:AGX37)</f>
        <v>0</v>
      </c>
      <c r="AIE37" s="127">
        <f t="shared" ref="AIE37:AIE48" si="519">SUM(AGZ37:AID37)</f>
        <v>0</v>
      </c>
      <c r="AJK37" s="127">
        <f t="shared" ref="AJK37:AJK48" si="520">SUM(AIF37:AJJ37)</f>
        <v>0</v>
      </c>
      <c r="AKN37" s="127">
        <f t="shared" si="11"/>
        <v>0</v>
      </c>
      <c r="ALT37" s="127">
        <f t="shared" si="12"/>
        <v>0</v>
      </c>
      <c r="AMY37" s="127">
        <f t="shared" si="13"/>
        <v>0</v>
      </c>
    </row>
    <row r="38" spans="1:1069" x14ac:dyDescent="0.2">
      <c r="A38" s="168" t="s">
        <v>1532</v>
      </c>
      <c r="B38" s="5" t="s">
        <v>1526</v>
      </c>
      <c r="C38" s="20">
        <v>14545.45</v>
      </c>
      <c r="D38" s="20">
        <v>13333.33</v>
      </c>
      <c r="E38" s="20">
        <v>12320</v>
      </c>
      <c r="F38" s="20">
        <v>11640</v>
      </c>
      <c r="G38" s="20">
        <f>F41</f>
        <v>10588</v>
      </c>
      <c r="H38" s="20">
        <f>G41</f>
        <v>9211.76</v>
      </c>
      <c r="I38" s="20">
        <f>H41</f>
        <v>8400</v>
      </c>
      <c r="J38" s="20">
        <f>I41</f>
        <v>7320</v>
      </c>
      <c r="K38" s="20">
        <f>J41</f>
        <v>6344.44</v>
      </c>
      <c r="L38" s="20">
        <v>5480</v>
      </c>
      <c r="M38" s="20">
        <f>4600+12968</f>
        <v>17568</v>
      </c>
      <c r="N38" s="20">
        <v>16600</v>
      </c>
      <c r="O38" s="20">
        <f t="shared" ref="O38:Z38" si="521">N41</f>
        <v>15910</v>
      </c>
      <c r="P38" s="20">
        <f t="shared" si="521"/>
        <v>15147</v>
      </c>
      <c r="Q38" s="20">
        <f t="shared" si="521"/>
        <v>14350</v>
      </c>
      <c r="R38" s="20">
        <f t="shared" si="521"/>
        <v>13488</v>
      </c>
      <c r="S38" s="20">
        <f t="shared" si="521"/>
        <v>12878</v>
      </c>
      <c r="T38" s="20">
        <f t="shared" si="521"/>
        <v>11547</v>
      </c>
      <c r="U38" s="20">
        <f t="shared" si="521"/>
        <v>10788</v>
      </c>
      <c r="V38" s="20">
        <f t="shared" si="521"/>
        <v>10077</v>
      </c>
      <c r="W38" s="20">
        <f t="shared" si="521"/>
        <v>9247</v>
      </c>
      <c r="X38" s="20">
        <f t="shared" si="521"/>
        <v>8325</v>
      </c>
      <c r="Y38" s="20">
        <f t="shared" si="521"/>
        <v>7380</v>
      </c>
      <c r="Z38" s="20">
        <f t="shared" si="521"/>
        <v>6477</v>
      </c>
      <c r="AA38" s="20">
        <f>Z41+9956</f>
        <v>15556</v>
      </c>
      <c r="AB38" s="20">
        <f t="shared" ref="AB38:AG38" si="522">AA41</f>
        <v>14445</v>
      </c>
      <c r="AC38" s="20">
        <f t="shared" si="522"/>
        <v>13355</v>
      </c>
      <c r="AD38" s="20">
        <f t="shared" si="522"/>
        <v>12466</v>
      </c>
      <c r="AE38" s="20">
        <f t="shared" si="522"/>
        <v>11673</v>
      </c>
      <c r="AF38" s="20">
        <f t="shared" si="522"/>
        <v>10305</v>
      </c>
      <c r="AG38" s="20">
        <f t="shared" si="522"/>
        <v>9044</v>
      </c>
      <c r="AH38" s="94">
        <f t="shared" ref="AH38:AH43" si="523">SUM(C38:AG38)</f>
        <v>355808.98</v>
      </c>
      <c r="AI38" s="89">
        <f>AG41+9961</f>
        <v>17838</v>
      </c>
      <c r="AJ38" s="89">
        <f t="shared" ref="AJ38:AP38" si="524">AI41</f>
        <v>16730</v>
      </c>
      <c r="AK38" s="89">
        <f t="shared" si="524"/>
        <v>15341</v>
      </c>
      <c r="AL38" s="89">
        <f t="shared" si="524"/>
        <v>14077</v>
      </c>
      <c r="AM38" s="89">
        <f t="shared" si="524"/>
        <v>12600</v>
      </c>
      <c r="AN38" s="89">
        <f t="shared" si="524"/>
        <v>11070</v>
      </c>
      <c r="AO38" s="89">
        <f t="shared" si="524"/>
        <v>9200</v>
      </c>
      <c r="AP38" s="89">
        <f t="shared" si="524"/>
        <v>7541</v>
      </c>
      <c r="AQ38" s="89">
        <f>AP41+10000</f>
        <v>15568</v>
      </c>
      <c r="AR38" s="89">
        <f t="shared" ref="AR38:BA38" si="525">AQ41</f>
        <v>14422</v>
      </c>
      <c r="AS38" s="89">
        <f t="shared" si="525"/>
        <v>13100</v>
      </c>
      <c r="AT38" s="89">
        <f t="shared" si="525"/>
        <v>11768</v>
      </c>
      <c r="AU38" s="89">
        <f t="shared" si="525"/>
        <v>10623</v>
      </c>
      <c r="AV38" s="89">
        <f t="shared" si="525"/>
        <v>9670</v>
      </c>
      <c r="AW38" s="89">
        <f t="shared" si="525"/>
        <v>8777</v>
      </c>
      <c r="AX38" s="89">
        <f t="shared" si="525"/>
        <v>7742</v>
      </c>
      <c r="AY38" s="89">
        <f t="shared" si="525"/>
        <v>6733</v>
      </c>
      <c r="AZ38" s="89">
        <f t="shared" si="525"/>
        <v>5705</v>
      </c>
      <c r="BA38" s="89">
        <f t="shared" si="525"/>
        <v>4670</v>
      </c>
      <c r="BB38" s="89">
        <f>BA41+12971</f>
        <v>16571</v>
      </c>
      <c r="BC38" s="89">
        <f t="shared" ref="BC38:BK38" si="526">BB41</f>
        <v>15800</v>
      </c>
      <c r="BD38" s="89">
        <f t="shared" si="526"/>
        <v>14800</v>
      </c>
      <c r="BE38" s="89">
        <f t="shared" si="526"/>
        <v>13658</v>
      </c>
      <c r="BF38" s="89">
        <f t="shared" si="526"/>
        <v>12326</v>
      </c>
      <c r="BG38" s="89">
        <f t="shared" si="526"/>
        <v>11373</v>
      </c>
      <c r="BH38" s="89">
        <f t="shared" si="526"/>
        <v>10376</v>
      </c>
      <c r="BI38" s="89">
        <f t="shared" si="526"/>
        <v>9294</v>
      </c>
      <c r="BJ38" s="89">
        <f t="shared" si="526"/>
        <v>8212</v>
      </c>
      <c r="BK38" s="89">
        <f t="shared" si="526"/>
        <v>7044</v>
      </c>
      <c r="BL38" s="89">
        <f>BK41+11884</f>
        <v>17734</v>
      </c>
      <c r="BM38" s="97">
        <f t="shared" ref="BM38:BM43" si="527">SUM(AI38:BL38)</f>
        <v>350363</v>
      </c>
      <c r="BN38" s="89">
        <f>BL41</f>
        <v>16904</v>
      </c>
      <c r="BO38" s="89">
        <f t="shared" ref="BO38:BZ38" si="528">BN41</f>
        <v>16110</v>
      </c>
      <c r="BP38" s="89">
        <f t="shared" si="528"/>
        <v>15200</v>
      </c>
      <c r="BQ38" s="89">
        <f t="shared" si="528"/>
        <v>14052</v>
      </c>
      <c r="BR38" s="89">
        <f t="shared" si="528"/>
        <v>13055</v>
      </c>
      <c r="BS38" s="89">
        <f t="shared" si="528"/>
        <v>11530</v>
      </c>
      <c r="BT38" s="89">
        <f t="shared" si="528"/>
        <v>10250</v>
      </c>
      <c r="BU38" s="89">
        <f t="shared" si="528"/>
        <v>9188</v>
      </c>
      <c r="BV38" s="89">
        <f t="shared" si="528"/>
        <v>8421</v>
      </c>
      <c r="BW38" s="89">
        <f t="shared" si="528"/>
        <v>7100</v>
      </c>
      <c r="BX38" s="89">
        <f t="shared" si="528"/>
        <v>6066</v>
      </c>
      <c r="BY38" s="89">
        <f t="shared" si="528"/>
        <v>5100</v>
      </c>
      <c r="BZ38" s="89">
        <f t="shared" si="528"/>
        <v>4200</v>
      </c>
      <c r="CA38" s="89">
        <f>BZ41+5000</f>
        <v>8054</v>
      </c>
      <c r="CB38" s="89">
        <f>CA41</f>
        <v>6968</v>
      </c>
      <c r="CC38" s="89">
        <f>CB41</f>
        <v>6177</v>
      </c>
      <c r="CD38" s="89">
        <f>CC41</f>
        <v>5219</v>
      </c>
      <c r="CE38" s="89">
        <f>CD41+8908</f>
        <v>13008</v>
      </c>
      <c r="CF38" s="89">
        <f t="shared" ref="CF38:CK38" si="529">CE41</f>
        <v>12117</v>
      </c>
      <c r="CG38" s="89">
        <f t="shared" si="529"/>
        <v>11430</v>
      </c>
      <c r="CH38" s="89">
        <f t="shared" si="529"/>
        <v>10458</v>
      </c>
      <c r="CI38" s="89">
        <f t="shared" si="529"/>
        <v>9560</v>
      </c>
      <c r="CJ38" s="89">
        <f t="shared" si="529"/>
        <v>8811</v>
      </c>
      <c r="CK38" s="89">
        <f t="shared" si="529"/>
        <v>7977</v>
      </c>
      <c r="CL38" s="89">
        <f>CK41+9964</f>
        <v>16848</v>
      </c>
      <c r="CM38" s="89">
        <f t="shared" ref="CM38:CR38" si="530">CL41</f>
        <v>16201</v>
      </c>
      <c r="CN38" s="89">
        <f t="shared" si="530"/>
        <v>15400</v>
      </c>
      <c r="CO38" s="89">
        <f t="shared" si="530"/>
        <v>14581</v>
      </c>
      <c r="CP38" s="89">
        <f t="shared" si="530"/>
        <v>13377</v>
      </c>
      <c r="CQ38" s="89">
        <f t="shared" si="530"/>
        <v>12660</v>
      </c>
      <c r="CR38" s="89">
        <f t="shared" si="530"/>
        <v>11660</v>
      </c>
      <c r="CS38" s="111">
        <f t="shared" si="208"/>
        <v>337682</v>
      </c>
      <c r="CT38" s="89">
        <f>CR41</f>
        <v>10741</v>
      </c>
      <c r="CU38" s="89">
        <f>CT41</f>
        <v>9752</v>
      </c>
      <c r="CV38" s="89">
        <f>CU41</f>
        <v>8900</v>
      </c>
      <c r="CW38" s="89">
        <f>CV41</f>
        <v>7911</v>
      </c>
      <c r="CX38" s="89">
        <f>CW41</f>
        <v>6733</v>
      </c>
      <c r="CY38" s="89">
        <f>CX41</f>
        <v>5764</v>
      </c>
      <c r="CZ38" s="89">
        <f>CY41+10000</f>
        <v>14780</v>
      </c>
      <c r="DA38" s="89">
        <f t="shared" ref="DA38:DG38" si="531">CZ41</f>
        <v>13588</v>
      </c>
      <c r="DB38" s="89">
        <f t="shared" si="531"/>
        <v>12577</v>
      </c>
      <c r="DC38" s="89">
        <f t="shared" si="531"/>
        <v>11500</v>
      </c>
      <c r="DD38" s="89">
        <f t="shared" si="531"/>
        <v>10512</v>
      </c>
      <c r="DE38" s="89">
        <f t="shared" si="531"/>
        <v>9329</v>
      </c>
      <c r="DF38" s="89">
        <f t="shared" si="531"/>
        <v>8777</v>
      </c>
      <c r="DG38" s="89">
        <f t="shared" si="531"/>
        <v>8300</v>
      </c>
      <c r="DH38" s="89">
        <f>DG41+8981</f>
        <v>16281</v>
      </c>
      <c r="DI38" s="89">
        <f t="shared" ref="DI38:DQ38" si="532">DH41</f>
        <v>15726</v>
      </c>
      <c r="DJ38" s="89">
        <f t="shared" si="532"/>
        <v>14866</v>
      </c>
      <c r="DK38" s="89">
        <f t="shared" si="532"/>
        <v>13188</v>
      </c>
      <c r="DL38" s="89">
        <f t="shared" si="532"/>
        <v>12273</v>
      </c>
      <c r="DM38" s="89">
        <f t="shared" si="532"/>
        <v>11578</v>
      </c>
      <c r="DN38" s="89">
        <f t="shared" si="532"/>
        <v>10166</v>
      </c>
      <c r="DO38" s="89">
        <f t="shared" si="532"/>
        <v>9329</v>
      </c>
      <c r="DP38" s="89">
        <f t="shared" si="532"/>
        <v>8115</v>
      </c>
      <c r="DQ38" s="89">
        <f t="shared" si="532"/>
        <v>7200</v>
      </c>
      <c r="DR38" s="89">
        <f>DQ41+8953</f>
        <v>15175</v>
      </c>
      <c r="DS38" s="89">
        <f>DR41</f>
        <v>14445</v>
      </c>
      <c r="DT38" s="89">
        <f>DS41</f>
        <v>13500</v>
      </c>
      <c r="DU38" s="89">
        <f>DT41</f>
        <v>12326</v>
      </c>
      <c r="DV38" s="89">
        <f>DU41</f>
        <v>11023</v>
      </c>
      <c r="DW38" s="89">
        <f>DV41</f>
        <v>9922</v>
      </c>
      <c r="DX38" s="116"/>
      <c r="DY38" s="89">
        <f>DW41</f>
        <v>8988</v>
      </c>
      <c r="DZ38" s="89">
        <f>DY41</f>
        <v>8031</v>
      </c>
      <c r="EA38" s="89">
        <f>DZ41</f>
        <v>6810</v>
      </c>
      <c r="EB38" s="89">
        <f>EA41</f>
        <v>6011</v>
      </c>
      <c r="EC38" s="89">
        <f>EB41</f>
        <v>5100</v>
      </c>
      <c r="ED38" s="89">
        <f>EC41</f>
        <v>4019</v>
      </c>
      <c r="EE38" s="89">
        <f>ED41+7000</f>
        <v>10036</v>
      </c>
      <c r="EF38" s="89">
        <f t="shared" ref="EF38:EK38" si="533">EE41</f>
        <v>8905</v>
      </c>
      <c r="EG38" s="89">
        <f t="shared" si="533"/>
        <v>7866</v>
      </c>
      <c r="EH38" s="89">
        <f t="shared" si="533"/>
        <v>6455</v>
      </c>
      <c r="EI38" s="89">
        <f t="shared" si="533"/>
        <v>5354</v>
      </c>
      <c r="EJ38" s="89">
        <f t="shared" si="533"/>
        <v>4145</v>
      </c>
      <c r="EK38" s="89">
        <f t="shared" si="533"/>
        <v>2652</v>
      </c>
      <c r="EL38" s="89">
        <f>EK41+10000</f>
        <v>11538</v>
      </c>
      <c r="EM38" s="89">
        <f>EL41</f>
        <v>9966</v>
      </c>
      <c r="EN38" s="89">
        <f>EM41</f>
        <v>8580</v>
      </c>
      <c r="EO38" s="89">
        <f>EN41</f>
        <v>7494</v>
      </c>
      <c r="EP38" s="89">
        <f>EO41</f>
        <v>6455</v>
      </c>
      <c r="EQ38" s="89">
        <f>EP41</f>
        <v>5160</v>
      </c>
      <c r="ER38" s="89">
        <f>EQ41+12941</f>
        <v>17074</v>
      </c>
      <c r="ES38" s="89">
        <f t="shared" ref="ES38:EZ38" si="534">ER41</f>
        <v>15940</v>
      </c>
      <c r="ET38" s="89">
        <f t="shared" si="534"/>
        <v>14084</v>
      </c>
      <c r="EU38" s="89">
        <f t="shared" si="534"/>
        <v>12576</v>
      </c>
      <c r="EV38" s="89">
        <f t="shared" si="534"/>
        <v>10647</v>
      </c>
      <c r="EW38" s="89">
        <f t="shared" si="534"/>
        <v>9514</v>
      </c>
      <c r="EX38" s="89">
        <f t="shared" si="534"/>
        <v>8952</v>
      </c>
      <c r="EY38" s="89">
        <f t="shared" si="534"/>
        <v>8084</v>
      </c>
      <c r="EZ38" s="89">
        <f t="shared" si="534"/>
        <v>7240</v>
      </c>
      <c r="FA38" s="89">
        <f>EZ41+10000</f>
        <v>16255</v>
      </c>
      <c r="FB38" s="89">
        <f>FA41</f>
        <v>15258</v>
      </c>
      <c r="FC38" s="89">
        <f>FB41</f>
        <v>14094</v>
      </c>
      <c r="FD38" s="128"/>
      <c r="FE38" s="89">
        <f>FC41</f>
        <v>13155</v>
      </c>
      <c r="FF38" s="89">
        <f t="shared" ref="FF38:FN38" si="535">FE41</f>
        <v>12242</v>
      </c>
      <c r="FG38" s="89">
        <f t="shared" si="535"/>
        <v>11430</v>
      </c>
      <c r="FH38" s="89">
        <f t="shared" si="535"/>
        <v>10122</v>
      </c>
      <c r="FI38" s="89">
        <f t="shared" si="535"/>
        <v>9066</v>
      </c>
      <c r="FJ38" s="89">
        <f t="shared" si="535"/>
        <v>8042</v>
      </c>
      <c r="FK38" s="89">
        <f t="shared" si="535"/>
        <v>6884</v>
      </c>
      <c r="FL38" s="89">
        <f t="shared" si="535"/>
        <v>5900</v>
      </c>
      <c r="FM38" s="89">
        <f t="shared" si="535"/>
        <v>5100</v>
      </c>
      <c r="FN38" s="89">
        <f t="shared" si="535"/>
        <v>3831</v>
      </c>
      <c r="FO38" s="89">
        <f>FN41+6941</f>
        <v>9995</v>
      </c>
      <c r="FP38" s="89">
        <f t="shared" ref="FP38:FU38" si="536">FO41</f>
        <v>8975</v>
      </c>
      <c r="FQ38" s="89">
        <f t="shared" si="536"/>
        <v>7342</v>
      </c>
      <c r="FR38" s="89">
        <f t="shared" si="536"/>
        <v>6511</v>
      </c>
      <c r="FS38" s="89">
        <f t="shared" si="536"/>
        <v>5304</v>
      </c>
      <c r="FT38" s="89">
        <f t="shared" si="536"/>
        <v>3947</v>
      </c>
      <c r="FU38" s="89">
        <f t="shared" si="536"/>
        <v>3045</v>
      </c>
      <c r="FV38" s="89">
        <f>FU41+7944</f>
        <v>9690</v>
      </c>
      <c r="FW38" s="89">
        <f>FV41</f>
        <v>8590</v>
      </c>
      <c r="FX38" s="89">
        <f>FW41</f>
        <v>7494</v>
      </c>
      <c r="FY38" s="89">
        <f>FX41</f>
        <v>6300</v>
      </c>
      <c r="FZ38" s="89">
        <f>FY41</f>
        <v>5318</v>
      </c>
      <c r="GA38" s="89">
        <f>FZ41</f>
        <v>4090</v>
      </c>
      <c r="GB38" s="89">
        <f>GA41+7944</f>
        <v>10526</v>
      </c>
      <c r="GC38" s="89">
        <f t="shared" ref="GC38:GI38" si="537">GB41</f>
        <v>9611</v>
      </c>
      <c r="GD38" s="89">
        <f t="shared" si="537"/>
        <v>8744</v>
      </c>
      <c r="GE38" s="89">
        <f t="shared" si="537"/>
        <v>7475</v>
      </c>
      <c r="GF38" s="89">
        <f t="shared" si="537"/>
        <v>6300</v>
      </c>
      <c r="GG38" s="89">
        <f t="shared" si="537"/>
        <v>5170</v>
      </c>
      <c r="GH38" s="89">
        <f t="shared" si="537"/>
        <v>3700</v>
      </c>
      <c r="GI38" s="89">
        <f t="shared" si="537"/>
        <v>2362</v>
      </c>
      <c r="GJ38" s="127">
        <f t="shared" si="99"/>
        <v>226261</v>
      </c>
      <c r="GK38" s="89">
        <f>GI41+8000</f>
        <v>9177</v>
      </c>
      <c r="GL38" s="89">
        <f>GK41</f>
        <v>8094</v>
      </c>
      <c r="GM38" s="89">
        <f>GL41</f>
        <v>6744</v>
      </c>
      <c r="GN38" s="89">
        <f>GM41</f>
        <v>5670</v>
      </c>
      <c r="GO38" s="89">
        <f>GN41</f>
        <v>4915</v>
      </c>
      <c r="GP38" s="89">
        <f>GO41+8000</f>
        <v>11821</v>
      </c>
      <c r="GQ38" s="89">
        <f t="shared" ref="GQ38:GW38" si="538">GP41</f>
        <v>10833</v>
      </c>
      <c r="GR38" s="89">
        <f t="shared" si="538"/>
        <v>9647</v>
      </c>
      <c r="GS38" s="89">
        <f t="shared" si="538"/>
        <v>8460</v>
      </c>
      <c r="GT38" s="89">
        <f t="shared" si="538"/>
        <v>7576</v>
      </c>
      <c r="GU38" s="89">
        <f t="shared" si="538"/>
        <v>6233</v>
      </c>
      <c r="GV38" s="89">
        <f t="shared" si="538"/>
        <v>5300</v>
      </c>
      <c r="GW38" s="89">
        <f t="shared" si="538"/>
        <v>4326</v>
      </c>
      <c r="GX38" s="89">
        <f>GW41+8000</f>
        <v>11495</v>
      </c>
      <c r="GY38" s="89">
        <f>GX41</f>
        <v>10435</v>
      </c>
      <c r="GZ38" s="89">
        <f>GY41</f>
        <v>9561</v>
      </c>
      <c r="HA38" s="89">
        <f>GZ41</f>
        <v>8520</v>
      </c>
      <c r="HB38" s="89">
        <f>HA41</f>
        <v>7729</v>
      </c>
      <c r="HC38" s="89">
        <f>HB41</f>
        <v>6968</v>
      </c>
      <c r="HD38" s="89">
        <f>HC41+8000</f>
        <v>13577</v>
      </c>
      <c r="HE38" s="89">
        <f t="shared" ref="HE38:HK38" si="539">HD41</f>
        <v>10682</v>
      </c>
      <c r="HF38" s="89">
        <f t="shared" si="539"/>
        <v>9777</v>
      </c>
      <c r="HG38" s="89">
        <f t="shared" si="539"/>
        <v>8811</v>
      </c>
      <c r="HH38" s="89">
        <f t="shared" si="539"/>
        <v>7776</v>
      </c>
      <c r="HI38" s="89">
        <f t="shared" si="539"/>
        <v>6200</v>
      </c>
      <c r="HJ38" s="89">
        <f t="shared" si="539"/>
        <v>5410</v>
      </c>
      <c r="HK38" s="89">
        <f t="shared" si="539"/>
        <v>4442</v>
      </c>
      <c r="HL38" s="89">
        <f>HK41+12876</f>
        <v>16399</v>
      </c>
      <c r="HM38" s="89">
        <f>HL41</f>
        <v>15642</v>
      </c>
      <c r="HN38" s="127">
        <f t="shared" si="253"/>
        <v>252220</v>
      </c>
      <c r="HO38" s="89">
        <f>HM41</f>
        <v>14590</v>
      </c>
      <c r="HP38" s="89">
        <f>HO41</f>
        <v>13577</v>
      </c>
      <c r="HQ38" s="89">
        <f>HP41</f>
        <v>12242</v>
      </c>
      <c r="HR38" s="89">
        <f>HQ41</f>
        <v>11373</v>
      </c>
      <c r="HS38" s="89">
        <f>HR41+7000</f>
        <v>16705</v>
      </c>
      <c r="HT38" s="89">
        <f t="shared" ref="HT38:IC38" si="540">HS41</f>
        <v>15631</v>
      </c>
      <c r="HU38" s="89">
        <f t="shared" si="540"/>
        <v>14325</v>
      </c>
      <c r="HV38" s="89">
        <f t="shared" si="540"/>
        <v>12892</v>
      </c>
      <c r="HW38" s="89">
        <f t="shared" si="540"/>
        <v>11866</v>
      </c>
      <c r="HX38" s="89">
        <f t="shared" si="540"/>
        <v>10435</v>
      </c>
      <c r="HY38" s="89">
        <f t="shared" si="540"/>
        <v>9376</v>
      </c>
      <c r="HZ38" s="89">
        <f t="shared" si="540"/>
        <v>8200</v>
      </c>
      <c r="IA38" s="89">
        <f t="shared" si="540"/>
        <v>7219</v>
      </c>
      <c r="IB38" s="89">
        <f t="shared" si="540"/>
        <v>6322</v>
      </c>
      <c r="IC38" s="89">
        <f t="shared" si="540"/>
        <v>5200</v>
      </c>
      <c r="ID38" s="89">
        <f>IC41+8913</f>
        <v>13113</v>
      </c>
      <c r="IE38" s="89">
        <f t="shared" ref="IE38:IN38" si="541">ID41</f>
        <v>12315</v>
      </c>
      <c r="IF38" s="89">
        <f t="shared" si="541"/>
        <v>11450</v>
      </c>
      <c r="IG38" s="89">
        <f t="shared" si="541"/>
        <v>10294</v>
      </c>
      <c r="IH38" s="89">
        <f t="shared" si="541"/>
        <v>9144</v>
      </c>
      <c r="II38" s="89">
        <f t="shared" si="541"/>
        <v>8294</v>
      </c>
      <c r="IJ38" s="89">
        <f t="shared" si="541"/>
        <v>7257</v>
      </c>
      <c r="IK38" s="89">
        <f t="shared" si="541"/>
        <v>6066</v>
      </c>
      <c r="IL38" s="89">
        <f t="shared" si="541"/>
        <v>4873</v>
      </c>
      <c r="IM38" s="89">
        <f t="shared" si="541"/>
        <v>4142</v>
      </c>
      <c r="IN38" s="89">
        <f t="shared" si="541"/>
        <v>2800</v>
      </c>
      <c r="IO38" s="89">
        <f>IN41+10888</f>
        <v>12657</v>
      </c>
      <c r="IP38" s="89">
        <f>IO41</f>
        <v>11663</v>
      </c>
      <c r="IQ38" s="89">
        <f>IP41</f>
        <v>10410</v>
      </c>
      <c r="IR38" s="89">
        <f>IQ41</f>
        <v>8850</v>
      </c>
      <c r="IS38" s="89">
        <f>IR41</f>
        <v>8063</v>
      </c>
      <c r="IT38" s="127">
        <f t="shared" si="22"/>
        <v>311344</v>
      </c>
      <c r="IU38" s="89">
        <f>IS41</f>
        <v>7320</v>
      </c>
      <c r="IV38" s="89">
        <f>IU41</f>
        <v>6477</v>
      </c>
      <c r="IW38" s="89">
        <f>IV41</f>
        <v>5209</v>
      </c>
      <c r="IX38" s="89">
        <f>IW41</f>
        <v>4357</v>
      </c>
      <c r="IY38" s="89">
        <f>IX41+8000</f>
        <v>11304</v>
      </c>
      <c r="IZ38" s="89">
        <f>IY41</f>
        <v>10055</v>
      </c>
      <c r="JA38" s="89">
        <f>IZ41</f>
        <v>9294</v>
      </c>
      <c r="JB38" s="89">
        <f>JA41</f>
        <v>8502</v>
      </c>
      <c r="JC38" s="89">
        <f>JB41+2000</f>
        <v>9144</v>
      </c>
      <c r="JD38" s="89">
        <f>JC41</f>
        <v>8157</v>
      </c>
      <c r="JE38" s="89">
        <f>JD41</f>
        <v>7266</v>
      </c>
      <c r="JF38" s="89">
        <f>JE41</f>
        <v>6211</v>
      </c>
      <c r="JG38" s="89">
        <f>JF41+11893</f>
        <v>17033</v>
      </c>
      <c r="JH38" s="89">
        <f t="shared" ref="JH38:JT38" si="542">JG41</f>
        <v>15705</v>
      </c>
      <c r="JI38" s="89">
        <f t="shared" si="542"/>
        <v>14813</v>
      </c>
      <c r="JJ38" s="89">
        <f t="shared" si="542"/>
        <v>13872</v>
      </c>
      <c r="JK38" s="89">
        <f t="shared" si="542"/>
        <v>12928</v>
      </c>
      <c r="JL38" s="89">
        <f t="shared" si="542"/>
        <v>11778</v>
      </c>
      <c r="JM38" s="89">
        <f t="shared" si="542"/>
        <v>10776</v>
      </c>
      <c r="JN38" s="89">
        <f t="shared" si="542"/>
        <v>9694</v>
      </c>
      <c r="JO38" s="89">
        <f t="shared" si="542"/>
        <v>8711</v>
      </c>
      <c r="JP38" s="89">
        <f t="shared" si="542"/>
        <v>8105</v>
      </c>
      <c r="JQ38" s="89">
        <f t="shared" si="542"/>
        <v>6644</v>
      </c>
      <c r="JR38" s="89">
        <f t="shared" si="542"/>
        <v>5752</v>
      </c>
      <c r="JS38" s="89">
        <f t="shared" si="542"/>
        <v>4905</v>
      </c>
      <c r="JT38" s="89">
        <f t="shared" si="542"/>
        <v>4009</v>
      </c>
      <c r="JU38" s="89">
        <f>JT41+9908</f>
        <v>12908</v>
      </c>
      <c r="JV38" s="89">
        <f>JU41</f>
        <v>12188</v>
      </c>
      <c r="JW38" s="89">
        <f>JV41</f>
        <v>11253</v>
      </c>
      <c r="JX38" s="89">
        <f>JW41</f>
        <v>10100</v>
      </c>
      <c r="JY38" s="127">
        <f t="shared" si="58"/>
        <v>284470</v>
      </c>
      <c r="JZ38" s="89">
        <f>JX41</f>
        <v>9235</v>
      </c>
      <c r="KA38" s="89">
        <f>JZ41</f>
        <v>8530</v>
      </c>
      <c r="KB38" s="89">
        <f>KA41+9902</f>
        <v>17454</v>
      </c>
      <c r="KC38" s="89">
        <f t="shared" ref="KC38:KN38" si="543">KB41</f>
        <v>16247</v>
      </c>
      <c r="KD38" s="89">
        <f t="shared" si="543"/>
        <v>15329</v>
      </c>
      <c r="KE38" s="89">
        <f t="shared" si="543"/>
        <v>14350</v>
      </c>
      <c r="KF38" s="89">
        <f t="shared" si="543"/>
        <v>13322</v>
      </c>
      <c r="KG38" s="89">
        <f t="shared" si="543"/>
        <v>12047</v>
      </c>
      <c r="KH38" s="89">
        <f t="shared" si="543"/>
        <v>10933</v>
      </c>
      <c r="KI38" s="89">
        <f t="shared" si="543"/>
        <v>9517</v>
      </c>
      <c r="KJ38" s="89">
        <f t="shared" si="543"/>
        <v>8212</v>
      </c>
      <c r="KK38" s="89">
        <f t="shared" si="543"/>
        <v>6989</v>
      </c>
      <c r="KL38" s="89">
        <f t="shared" si="543"/>
        <v>6111</v>
      </c>
      <c r="KM38" s="89">
        <f t="shared" si="543"/>
        <v>4028</v>
      </c>
      <c r="KN38" s="89">
        <f t="shared" si="543"/>
        <v>2556</v>
      </c>
      <c r="KO38" s="89">
        <f>KN41+10000</f>
        <v>11646</v>
      </c>
      <c r="KP38" s="89">
        <f>KO41</f>
        <v>9523</v>
      </c>
      <c r="KQ38" s="89">
        <f>KP41</f>
        <v>8147</v>
      </c>
      <c r="KR38" s="89">
        <f>KQ41</f>
        <v>6622</v>
      </c>
      <c r="KS38" s="89">
        <f>KR41</f>
        <v>5611</v>
      </c>
      <c r="KT38" s="89">
        <f>KS41</f>
        <v>4263</v>
      </c>
      <c r="KU38" s="89">
        <f>KT41+6000</f>
        <v>8381</v>
      </c>
      <c r="KV38" s="89">
        <f>KU41</f>
        <v>6655</v>
      </c>
      <c r="KW38" s="89">
        <f>KV41</f>
        <v>4127</v>
      </c>
      <c r="KX38" s="89">
        <f>KW41+7927</f>
        <v>10587</v>
      </c>
      <c r="KY38" s="89">
        <f>KX41</f>
        <v>9400</v>
      </c>
      <c r="KZ38" s="89">
        <f>KY41</f>
        <v>8450</v>
      </c>
      <c r="LA38" s="89">
        <f>KZ41</f>
        <v>7177</v>
      </c>
      <c r="LB38" s="89">
        <f>LA41</f>
        <v>5647</v>
      </c>
      <c r="LC38" s="89">
        <f>LB41+4966</f>
        <v>9080</v>
      </c>
      <c r="LD38" s="89">
        <f>LC41+5000</f>
        <v>12922</v>
      </c>
      <c r="LE38" s="127">
        <f t="shared" si="60"/>
        <v>273863</v>
      </c>
      <c r="LF38" s="89">
        <f>LD41</f>
        <v>11410</v>
      </c>
      <c r="LG38" s="89">
        <f>LF41</f>
        <v>10042</v>
      </c>
      <c r="LH38" s="89">
        <f>LG41</f>
        <v>8870</v>
      </c>
      <c r="LI38" s="89">
        <f>LH41</f>
        <v>7166</v>
      </c>
      <c r="LJ38" s="89">
        <f>LI41</f>
        <v>5440</v>
      </c>
      <c r="LK38" s="89">
        <f>LJ41</f>
        <v>4200</v>
      </c>
      <c r="LL38" s="89">
        <f>LK41+10000</f>
        <v>12910</v>
      </c>
      <c r="LM38" s="89">
        <f t="shared" ref="LM38:LR38" si="544">LL41</f>
        <v>11166</v>
      </c>
      <c r="LN38" s="89">
        <f t="shared" si="544"/>
        <v>9571</v>
      </c>
      <c r="LO38" s="89">
        <f t="shared" si="544"/>
        <v>8633</v>
      </c>
      <c r="LP38" s="89">
        <f t="shared" si="544"/>
        <v>7247</v>
      </c>
      <c r="LQ38" s="89">
        <f t="shared" si="544"/>
        <v>5557</v>
      </c>
      <c r="LR38" s="89">
        <f t="shared" si="544"/>
        <v>4294</v>
      </c>
      <c r="LS38" s="89">
        <f>LR41+6939</f>
        <v>9739</v>
      </c>
      <c r="LT38" s="89">
        <f>LS41</f>
        <v>8168</v>
      </c>
      <c r="LU38" s="89">
        <f>LT41</f>
        <v>6989</v>
      </c>
      <c r="LV38" s="89">
        <f>LU41</f>
        <v>5861</v>
      </c>
      <c r="LW38" s="89">
        <f>LV41</f>
        <v>4800</v>
      </c>
      <c r="LX38" s="89">
        <f>LW41</f>
        <v>3457</v>
      </c>
      <c r="LY38" s="89">
        <f>LX41+8000</f>
        <v>10052</v>
      </c>
      <c r="LZ38" s="89">
        <f>LY41</f>
        <v>8550</v>
      </c>
      <c r="MA38" s="89">
        <f>LZ41</f>
        <v>7155</v>
      </c>
      <c r="MB38" s="89">
        <f>MA41</f>
        <v>5920</v>
      </c>
      <c r="MC38" s="89">
        <f>MB41</f>
        <v>5130</v>
      </c>
      <c r="MD38" s="89">
        <f>MC41</f>
        <v>4027</v>
      </c>
      <c r="ME38" s="89">
        <f>MD41+7000</f>
        <v>9830</v>
      </c>
      <c r="MF38" s="89">
        <f>ME41</f>
        <v>8557</v>
      </c>
      <c r="MG38" s="89">
        <f>MF41</f>
        <v>7390</v>
      </c>
      <c r="MH38" s="89">
        <f>MG41</f>
        <v>6255</v>
      </c>
      <c r="MI38" s="89">
        <f>MH41</f>
        <v>5190</v>
      </c>
      <c r="MJ38" s="127">
        <f t="shared" si="62"/>
        <v>223576</v>
      </c>
      <c r="MK38" s="89">
        <f>MI41</f>
        <v>3894</v>
      </c>
      <c r="ML38" s="89">
        <f>MK41</f>
        <v>2600</v>
      </c>
      <c r="MM38" s="89">
        <f>ML41+5000</f>
        <v>6244</v>
      </c>
      <c r="MN38" s="89">
        <f>MM41</f>
        <v>5336</v>
      </c>
      <c r="MO38" s="89">
        <f>MN41</f>
        <v>4249</v>
      </c>
      <c r="MP38" s="89">
        <f>MO41+7926</f>
        <v>10765</v>
      </c>
      <c r="MQ38" s="89">
        <f>MP41</f>
        <v>9752</v>
      </c>
      <c r="MR38" s="89">
        <f>MQ41</f>
        <v>8520</v>
      </c>
      <c r="MS38" s="89">
        <f>MR41</f>
        <v>7360</v>
      </c>
      <c r="MT38" s="89">
        <f>MS41</f>
        <v>6400</v>
      </c>
      <c r="MU38" s="89">
        <f>MT41</f>
        <v>5720</v>
      </c>
      <c r="MV38" s="89">
        <f>MU41+5000</f>
        <v>9378</v>
      </c>
      <c r="MW38" s="89">
        <f t="shared" ref="MW38:NB38" si="545">MV41</f>
        <v>8200</v>
      </c>
      <c r="MX38" s="89">
        <f t="shared" si="545"/>
        <v>6915</v>
      </c>
      <c r="MY38" s="89">
        <f t="shared" si="545"/>
        <v>5960</v>
      </c>
      <c r="MZ38" s="89">
        <f t="shared" si="545"/>
        <v>4770</v>
      </c>
      <c r="NA38" s="89">
        <f t="shared" si="545"/>
        <v>3403</v>
      </c>
      <c r="NB38" s="89">
        <f t="shared" si="545"/>
        <v>2262</v>
      </c>
      <c r="NC38" s="89">
        <f>NB41+8000</f>
        <v>9109</v>
      </c>
      <c r="ND38" s="89">
        <f>NC41</f>
        <v>7764</v>
      </c>
      <c r="NE38" s="89">
        <f>ND41</f>
        <v>6744</v>
      </c>
      <c r="NF38" s="89">
        <f>NE41</f>
        <v>6000</v>
      </c>
      <c r="NG38" s="89">
        <f>NF41</f>
        <v>4873</v>
      </c>
      <c r="NH38" s="89">
        <f>NG41</f>
        <v>3852</v>
      </c>
      <c r="NI38" s="89">
        <f>NH41+10898</f>
        <v>13798</v>
      </c>
      <c r="NJ38" s="89">
        <f t="shared" ref="NJ38:NO38" si="546">NI41</f>
        <v>12566</v>
      </c>
      <c r="NK38" s="89">
        <f t="shared" si="546"/>
        <v>11082</v>
      </c>
      <c r="NL38" s="89">
        <f t="shared" si="546"/>
        <v>10234</v>
      </c>
      <c r="NM38" s="89">
        <f t="shared" si="546"/>
        <v>9177</v>
      </c>
      <c r="NN38" s="89">
        <f t="shared" si="546"/>
        <v>8075</v>
      </c>
      <c r="NO38" s="89">
        <f t="shared" si="546"/>
        <v>6926</v>
      </c>
      <c r="NP38" s="127">
        <f t="shared" si="64"/>
        <v>218034</v>
      </c>
      <c r="NQ38" s="89">
        <f>NO41</f>
        <v>5890</v>
      </c>
      <c r="NR38" s="89">
        <f>NQ41</f>
        <v>4915</v>
      </c>
      <c r="NS38" s="89">
        <f>NR41+7967</f>
        <v>11509</v>
      </c>
      <c r="NT38" s="89">
        <f t="shared" ref="NT38:NY38" si="547">NS41</f>
        <v>10329</v>
      </c>
      <c r="NU38" s="89">
        <f t="shared" si="547"/>
        <v>9440</v>
      </c>
      <c r="NV38" s="89">
        <f t="shared" si="547"/>
        <v>8400</v>
      </c>
      <c r="NW38" s="89">
        <f t="shared" si="547"/>
        <v>6968</v>
      </c>
      <c r="NX38" s="89">
        <f t="shared" si="547"/>
        <v>5600</v>
      </c>
      <c r="NY38" s="89">
        <f t="shared" si="547"/>
        <v>4410</v>
      </c>
      <c r="NZ38" s="89">
        <f>NY41+4000</f>
        <v>7209</v>
      </c>
      <c r="OA38" s="89">
        <f>NZ41</f>
        <v>6277</v>
      </c>
      <c r="OB38" s="89">
        <f>OA41</f>
        <v>5263</v>
      </c>
      <c r="OC38" s="89">
        <f>OB41</f>
        <v>4400</v>
      </c>
      <c r="OD38" s="89">
        <f>OC41</f>
        <v>3352</v>
      </c>
      <c r="OE38" s="89">
        <f>OD41+6939</f>
        <v>9145</v>
      </c>
      <c r="OF38" s="89">
        <f>OE41</f>
        <v>8021</v>
      </c>
      <c r="OG38" s="89">
        <f>OF41</f>
        <v>6905</v>
      </c>
      <c r="OH38" s="89">
        <f>OG41</f>
        <v>5870</v>
      </c>
      <c r="OI38" s="89">
        <f>OH41</f>
        <v>4905</v>
      </c>
      <c r="OJ38" s="89">
        <f>OI41</f>
        <v>3761</v>
      </c>
      <c r="OK38" s="89">
        <f>OJ41+10000</f>
        <v>12763</v>
      </c>
      <c r="OL38" s="89">
        <f t="shared" ref="OL38:OS38" si="548">OK41</f>
        <v>11705</v>
      </c>
      <c r="OM38" s="89">
        <f t="shared" si="548"/>
        <v>10258</v>
      </c>
      <c r="ON38" s="89">
        <f t="shared" si="548"/>
        <v>9022</v>
      </c>
      <c r="OO38" s="89">
        <f t="shared" si="548"/>
        <v>7858</v>
      </c>
      <c r="OP38" s="89">
        <f t="shared" si="548"/>
        <v>7177</v>
      </c>
      <c r="OQ38" s="89">
        <f t="shared" si="548"/>
        <v>5980</v>
      </c>
      <c r="OR38" s="89">
        <f t="shared" si="548"/>
        <v>4905</v>
      </c>
      <c r="OS38" s="89">
        <f t="shared" si="548"/>
        <v>3695</v>
      </c>
      <c r="OT38" s="89">
        <f>OS41+12443</f>
        <v>15088</v>
      </c>
      <c r="OU38" s="89">
        <f>OT41</f>
        <v>13970</v>
      </c>
      <c r="OV38" s="127">
        <f t="shared" si="66"/>
        <v>229100</v>
      </c>
      <c r="OW38" s="89">
        <f>OU41</f>
        <v>12326</v>
      </c>
      <c r="OX38" s="89">
        <f>OW41</f>
        <v>11500</v>
      </c>
      <c r="OY38" s="89">
        <f>OX41</f>
        <v>9764</v>
      </c>
      <c r="OZ38" s="89">
        <f>OY41</f>
        <v>8621</v>
      </c>
      <c r="PA38" s="89">
        <f>OZ41</f>
        <v>7658</v>
      </c>
      <c r="PB38" s="89">
        <f>PA41+9000</f>
        <v>15376</v>
      </c>
      <c r="PC38" s="89">
        <f t="shared" ref="PC38:PM38" si="549">PB41</f>
        <v>13970</v>
      </c>
      <c r="PD38" s="89">
        <f t="shared" si="549"/>
        <v>12600</v>
      </c>
      <c r="PE38" s="89">
        <f t="shared" si="549"/>
        <v>11473</v>
      </c>
      <c r="PF38" s="89">
        <f t="shared" si="549"/>
        <v>10496</v>
      </c>
      <c r="PG38" s="89">
        <f t="shared" si="549"/>
        <v>9400</v>
      </c>
      <c r="PH38" s="89">
        <f t="shared" si="549"/>
        <v>8084</v>
      </c>
      <c r="PI38" s="89">
        <f t="shared" si="549"/>
        <v>7000</v>
      </c>
      <c r="PJ38" s="89">
        <f t="shared" si="549"/>
        <v>5460</v>
      </c>
      <c r="PK38" s="89">
        <f t="shared" si="549"/>
        <v>4410</v>
      </c>
      <c r="PL38" s="89">
        <f t="shared" si="549"/>
        <v>3419</v>
      </c>
      <c r="PM38" s="89">
        <f t="shared" si="549"/>
        <v>2417</v>
      </c>
      <c r="PN38" s="89">
        <f>PM41+8000</f>
        <v>9430</v>
      </c>
      <c r="PO38" s="89">
        <f t="shared" ref="PO38:PT38" si="550">PN41</f>
        <v>8560</v>
      </c>
      <c r="PP38" s="89">
        <f t="shared" si="550"/>
        <v>7285</v>
      </c>
      <c r="PQ38" s="89">
        <f t="shared" si="550"/>
        <v>6177</v>
      </c>
      <c r="PR38" s="89">
        <f t="shared" si="550"/>
        <v>5150</v>
      </c>
      <c r="PS38" s="89">
        <f t="shared" si="550"/>
        <v>4273</v>
      </c>
      <c r="PT38" s="89">
        <f t="shared" si="550"/>
        <v>3361</v>
      </c>
      <c r="PU38" s="89">
        <f>PT41+10000</f>
        <v>12382</v>
      </c>
      <c r="PV38" s="89">
        <f>PU41</f>
        <v>11450</v>
      </c>
      <c r="PW38" s="89">
        <f>PV41</f>
        <v>10282</v>
      </c>
      <c r="PX38" s="89">
        <f>PW41</f>
        <v>9329</v>
      </c>
      <c r="PY38" s="89">
        <f>PX41</f>
        <v>7855</v>
      </c>
      <c r="PZ38" s="89">
        <f>PY41</f>
        <v>7177</v>
      </c>
      <c r="QA38" s="127">
        <f t="shared" si="68"/>
        <v>256685</v>
      </c>
      <c r="QB38" s="89">
        <f>PZ41</f>
        <v>5910</v>
      </c>
      <c r="QC38" s="89">
        <f>QB41</f>
        <v>4800</v>
      </c>
      <c r="QD38" s="89">
        <f>QC41</f>
        <v>3899</v>
      </c>
      <c r="QE38" s="89">
        <f>QD41+9977</f>
        <v>12853</v>
      </c>
      <c r="QF38" s="89">
        <f t="shared" ref="QF38:QL38" si="551">QE41</f>
        <v>11652</v>
      </c>
      <c r="QG38" s="89">
        <f t="shared" si="551"/>
        <v>10482</v>
      </c>
      <c r="QH38" s="89">
        <f t="shared" si="551"/>
        <v>9800</v>
      </c>
      <c r="QI38" s="89">
        <f t="shared" si="551"/>
        <v>8755</v>
      </c>
      <c r="QJ38" s="89">
        <f t="shared" si="551"/>
        <v>7717</v>
      </c>
      <c r="QK38" s="89">
        <f t="shared" si="551"/>
        <v>6666</v>
      </c>
      <c r="QL38" s="89">
        <f t="shared" si="551"/>
        <v>5682</v>
      </c>
      <c r="QM38" s="89">
        <f>QL41+10000</f>
        <v>14578</v>
      </c>
      <c r="QN38" s="89">
        <f t="shared" ref="QN38:QS38" si="552">QM41</f>
        <v>13266</v>
      </c>
      <c r="QO38" s="89">
        <f t="shared" si="552"/>
        <v>12117</v>
      </c>
      <c r="QP38" s="89">
        <f t="shared" si="552"/>
        <v>10741</v>
      </c>
      <c r="QQ38" s="89">
        <f t="shared" si="552"/>
        <v>9787</v>
      </c>
      <c r="QR38" s="89">
        <f t="shared" si="552"/>
        <v>8800</v>
      </c>
      <c r="QS38" s="89">
        <f t="shared" si="552"/>
        <v>7811</v>
      </c>
      <c r="QT38" s="89">
        <f>QS41+6973</f>
        <v>13239</v>
      </c>
      <c r="QU38" s="89">
        <f t="shared" ref="QU38:QZ38" si="553">QT41</f>
        <v>12129</v>
      </c>
      <c r="QV38" s="89">
        <f t="shared" si="553"/>
        <v>11452</v>
      </c>
      <c r="QW38" s="89">
        <f t="shared" si="553"/>
        <v>10376</v>
      </c>
      <c r="QX38" s="89">
        <f t="shared" si="553"/>
        <v>9438</v>
      </c>
      <c r="QY38" s="89">
        <f t="shared" si="553"/>
        <v>8530</v>
      </c>
      <c r="QZ38" s="89">
        <f t="shared" si="553"/>
        <v>6688</v>
      </c>
      <c r="RA38" s="89">
        <f>QZ41+8976</f>
        <v>14271</v>
      </c>
      <c r="RB38" s="89">
        <f>RA41</f>
        <v>13400</v>
      </c>
      <c r="RC38" s="89">
        <f>RB41</f>
        <v>12600</v>
      </c>
      <c r="RD38" s="89">
        <f>RC41</f>
        <v>11694</v>
      </c>
      <c r="RE38" s="89">
        <f>RD41</f>
        <v>10655</v>
      </c>
      <c r="RF38" s="89">
        <f>RE41</f>
        <v>9658</v>
      </c>
      <c r="RG38" s="127">
        <f t="shared" si="495"/>
        <v>303536</v>
      </c>
      <c r="RH38" s="89">
        <f>RF41</f>
        <v>8410</v>
      </c>
      <c r="RI38" s="89">
        <f>RH41</f>
        <v>7380</v>
      </c>
      <c r="RJ38" s="89">
        <f>RI41</f>
        <v>6444</v>
      </c>
      <c r="RK38" s="89">
        <f>RJ41</f>
        <v>5420</v>
      </c>
      <c r="RL38" s="89">
        <f>RK41</f>
        <v>3731</v>
      </c>
      <c r="RM38" s="89">
        <f>RL41+8000</f>
        <v>10617</v>
      </c>
      <c r="RN38" s="89">
        <f t="shared" ref="RN38:RT38" si="554">RM41</f>
        <v>9866</v>
      </c>
      <c r="RO38" s="89">
        <f t="shared" si="554"/>
        <v>8912</v>
      </c>
      <c r="RP38" s="89">
        <f t="shared" si="554"/>
        <v>7877</v>
      </c>
      <c r="RQ38" s="89">
        <f t="shared" si="554"/>
        <v>6894</v>
      </c>
      <c r="RR38" s="89">
        <f t="shared" si="554"/>
        <v>6136</v>
      </c>
      <c r="RS38" s="89">
        <f t="shared" si="554"/>
        <v>4770</v>
      </c>
      <c r="RT38" s="89">
        <f t="shared" si="554"/>
        <v>3842</v>
      </c>
      <c r="RU38" s="89">
        <f>RT41+10000</f>
        <v>12563</v>
      </c>
      <c r="RV38" s="89">
        <f t="shared" ref="RV38:SB38" si="555">RU41</f>
        <v>11430</v>
      </c>
      <c r="RW38" s="89">
        <f t="shared" si="555"/>
        <v>10244</v>
      </c>
      <c r="RX38" s="89">
        <f t="shared" si="555"/>
        <v>9022</v>
      </c>
      <c r="RY38" s="89">
        <f t="shared" si="555"/>
        <v>8021</v>
      </c>
      <c r="RZ38" s="89">
        <f t="shared" si="555"/>
        <v>7144</v>
      </c>
      <c r="SA38" s="89">
        <f t="shared" si="555"/>
        <v>6211</v>
      </c>
      <c r="SB38" s="89">
        <f t="shared" si="555"/>
        <v>5276</v>
      </c>
      <c r="SC38" s="89">
        <f>SB41+10000</f>
        <v>14190</v>
      </c>
      <c r="SD38" s="89">
        <f t="shared" ref="SD38:SJ38" si="556">SC41</f>
        <v>13244</v>
      </c>
      <c r="SE38" s="89">
        <f t="shared" si="556"/>
        <v>12305</v>
      </c>
      <c r="SF38" s="89">
        <f t="shared" si="556"/>
        <v>11560</v>
      </c>
      <c r="SG38" s="89">
        <f t="shared" si="556"/>
        <v>10305</v>
      </c>
      <c r="SH38" s="89">
        <f t="shared" si="556"/>
        <v>9111</v>
      </c>
      <c r="SI38" s="89">
        <f t="shared" si="556"/>
        <v>8200</v>
      </c>
      <c r="SJ38" s="89">
        <f t="shared" si="556"/>
        <v>6688</v>
      </c>
      <c r="SK38" s="89">
        <f>SJ41+8000</f>
        <v>13611</v>
      </c>
      <c r="SL38" s="127">
        <f t="shared" si="497"/>
        <v>259424</v>
      </c>
      <c r="SM38" s="89">
        <f>SK41</f>
        <v>12720</v>
      </c>
      <c r="SN38" s="89">
        <f>SM41</f>
        <v>11988</v>
      </c>
      <c r="SO38" s="89">
        <f>SN41</f>
        <v>10177</v>
      </c>
      <c r="SP38" s="89">
        <f>SO41</f>
        <v>7022</v>
      </c>
      <c r="SQ38" s="89">
        <f>SP41</f>
        <v>5623</v>
      </c>
      <c r="SR38" s="89">
        <f>SQ41</f>
        <v>4421</v>
      </c>
      <c r="SS38" s="89">
        <f>SR41+5000</f>
        <v>8257</v>
      </c>
      <c r="ST38" s="89">
        <f>SS41</f>
        <v>7210</v>
      </c>
      <c r="SU38" s="89">
        <f>ST41</f>
        <v>6144</v>
      </c>
      <c r="SV38" s="89">
        <f>SU41</f>
        <v>4463</v>
      </c>
      <c r="SW38" s="89">
        <f>SV41+12386</f>
        <v>15738</v>
      </c>
      <c r="SX38" s="89">
        <f t="shared" ref="SX38:TE38" si="557">SW41</f>
        <v>14634</v>
      </c>
      <c r="SY38" s="89">
        <f t="shared" si="557"/>
        <v>13682</v>
      </c>
      <c r="SZ38" s="89">
        <f t="shared" si="557"/>
        <v>12000</v>
      </c>
      <c r="TA38" s="89">
        <f t="shared" si="557"/>
        <v>10855</v>
      </c>
      <c r="TB38" s="89">
        <f t="shared" si="557"/>
        <v>9611</v>
      </c>
      <c r="TC38" s="89">
        <f t="shared" si="557"/>
        <v>8063</v>
      </c>
      <c r="TD38" s="89">
        <f t="shared" si="557"/>
        <v>6957</v>
      </c>
      <c r="TE38" s="89">
        <f t="shared" si="557"/>
        <v>5705</v>
      </c>
      <c r="TF38" s="89">
        <f>TE41+11886</f>
        <v>16243</v>
      </c>
      <c r="TG38" s="89">
        <f t="shared" ref="TG38:TP38" si="558">TF41</f>
        <v>15073</v>
      </c>
      <c r="TH38" s="89">
        <f t="shared" si="558"/>
        <v>13900</v>
      </c>
      <c r="TI38" s="89">
        <f t="shared" si="558"/>
        <v>12618</v>
      </c>
      <c r="TJ38" s="89">
        <f t="shared" si="558"/>
        <v>11590</v>
      </c>
      <c r="TK38" s="89">
        <f t="shared" si="558"/>
        <v>10337</v>
      </c>
      <c r="TL38" s="89">
        <f t="shared" si="558"/>
        <v>9855</v>
      </c>
      <c r="TM38" s="89">
        <f t="shared" si="558"/>
        <v>9155</v>
      </c>
      <c r="TN38" s="89">
        <f t="shared" si="558"/>
        <v>8136</v>
      </c>
      <c r="TO38" s="89">
        <f t="shared" si="558"/>
        <v>7200</v>
      </c>
      <c r="TP38" s="89">
        <f t="shared" si="558"/>
        <v>6344</v>
      </c>
      <c r="TQ38" s="89">
        <f>TP41+7000</f>
        <v>12363</v>
      </c>
      <c r="TR38" s="127">
        <f t="shared" si="499"/>
        <v>295364</v>
      </c>
      <c r="TS38" s="89">
        <f>TQ41</f>
        <v>11200</v>
      </c>
      <c r="TT38" s="89">
        <f t="shared" ref="TT38:TY38" si="559">TS41</f>
        <v>10517</v>
      </c>
      <c r="TU38" s="89">
        <f t="shared" si="559"/>
        <v>9561</v>
      </c>
      <c r="TV38" s="89">
        <f t="shared" si="559"/>
        <v>8670</v>
      </c>
      <c r="TW38" s="89">
        <f t="shared" si="559"/>
        <v>7725</v>
      </c>
      <c r="TX38" s="89">
        <f t="shared" si="559"/>
        <v>6957</v>
      </c>
      <c r="TY38" s="89">
        <f t="shared" si="559"/>
        <v>5890</v>
      </c>
      <c r="TZ38" s="89">
        <f>TY41+10900</f>
        <v>15744</v>
      </c>
      <c r="UA38" s="89">
        <f t="shared" ref="UA38:UI38" si="560">TZ41</f>
        <v>14300</v>
      </c>
      <c r="UB38" s="89">
        <f t="shared" si="560"/>
        <v>13200</v>
      </c>
      <c r="UC38" s="89">
        <f t="shared" si="560"/>
        <v>12023</v>
      </c>
      <c r="UD38" s="89">
        <f t="shared" si="560"/>
        <v>10988</v>
      </c>
      <c r="UE38" s="89">
        <f t="shared" si="560"/>
        <v>9988</v>
      </c>
      <c r="UF38" s="89">
        <f t="shared" si="560"/>
        <v>8325</v>
      </c>
      <c r="UG38" s="89">
        <f t="shared" si="560"/>
        <v>7340</v>
      </c>
      <c r="UH38" s="89">
        <f t="shared" si="560"/>
        <v>6341</v>
      </c>
      <c r="UI38" s="89">
        <f t="shared" si="560"/>
        <v>5290</v>
      </c>
      <c r="UJ38" s="89">
        <f>UI41+9908</f>
        <v>14026</v>
      </c>
      <c r="UK38" s="89">
        <f t="shared" ref="UK38:UU38" si="561">UJ41</f>
        <v>12925</v>
      </c>
      <c r="UL38" s="89">
        <f t="shared" si="561"/>
        <v>11870</v>
      </c>
      <c r="UM38" s="89">
        <f t="shared" si="561"/>
        <v>10658</v>
      </c>
      <c r="UN38" s="89">
        <f t="shared" si="561"/>
        <v>9510</v>
      </c>
      <c r="UO38" s="89">
        <f t="shared" si="561"/>
        <v>8084</v>
      </c>
      <c r="UP38" s="89">
        <f t="shared" si="561"/>
        <v>7055</v>
      </c>
      <c r="UQ38" s="89">
        <f t="shared" si="561"/>
        <v>5635</v>
      </c>
      <c r="UR38" s="89">
        <f t="shared" si="561"/>
        <v>4221</v>
      </c>
      <c r="US38" s="89">
        <f t="shared" si="561"/>
        <v>2745</v>
      </c>
      <c r="UT38" s="89">
        <f t="shared" si="561"/>
        <v>1650</v>
      </c>
      <c r="UU38" s="89">
        <f t="shared" si="561"/>
        <v>410</v>
      </c>
      <c r="UV38" s="89">
        <f>UU41+10000</f>
        <v>10410</v>
      </c>
      <c r="UW38" s="89">
        <f>UV41</f>
        <v>9705</v>
      </c>
      <c r="UX38" s="127">
        <f t="shared" si="501"/>
        <v>261763</v>
      </c>
      <c r="UY38" s="89">
        <f>UW41</f>
        <v>8590</v>
      </c>
      <c r="UZ38" s="89">
        <f>UY41</f>
        <v>7320</v>
      </c>
      <c r="VA38" s="89">
        <f>UZ41</f>
        <v>6433</v>
      </c>
      <c r="VB38" s="89">
        <f>VA41+2979</f>
        <v>7526</v>
      </c>
      <c r="VC38" s="89">
        <f>VB41+4964</f>
        <v>11319</v>
      </c>
      <c r="VD38" s="89">
        <f>VC41</f>
        <v>10144</v>
      </c>
      <c r="VE38" s="89">
        <f>VD41</f>
        <v>9258</v>
      </c>
      <c r="VF38" s="89">
        <f>VE41</f>
        <v>7955</v>
      </c>
      <c r="VG38" s="89">
        <f>VF41</f>
        <v>6317</v>
      </c>
      <c r="VH38" s="89">
        <f>VG41</f>
        <v>5520</v>
      </c>
      <c r="VI38" s="89">
        <f>VH41+4976+2986</f>
        <v>12383</v>
      </c>
      <c r="VJ38" s="89">
        <f t="shared" ref="VJ38:VP38" si="562">VI41</f>
        <v>10822</v>
      </c>
      <c r="VK38" s="89">
        <f t="shared" si="562"/>
        <v>9888</v>
      </c>
      <c r="VL38" s="89">
        <f t="shared" si="562"/>
        <v>8700</v>
      </c>
      <c r="VM38" s="89">
        <f t="shared" si="562"/>
        <v>7517</v>
      </c>
      <c r="VN38" s="89">
        <f t="shared" si="562"/>
        <v>6488</v>
      </c>
      <c r="VO38" s="89">
        <f t="shared" si="562"/>
        <v>5670</v>
      </c>
      <c r="VP38" s="89">
        <f t="shared" si="562"/>
        <v>4670</v>
      </c>
      <c r="VQ38" s="89">
        <f>VP41+7944</f>
        <v>11496</v>
      </c>
      <c r="VR38" s="89">
        <f>VQ41</f>
        <v>10000</v>
      </c>
      <c r="VS38" s="89">
        <f>VR41</f>
        <v>8789</v>
      </c>
      <c r="VT38" s="89">
        <f>VS41+6926</f>
        <v>14561</v>
      </c>
      <c r="VU38" s="89">
        <f t="shared" ref="VU38:VZ38" si="563">VT41</f>
        <v>13433</v>
      </c>
      <c r="VV38" s="89">
        <f t="shared" si="563"/>
        <v>12400</v>
      </c>
      <c r="VW38" s="89">
        <f t="shared" si="563"/>
        <v>11240</v>
      </c>
      <c r="VX38" s="89">
        <f t="shared" si="563"/>
        <v>9966</v>
      </c>
      <c r="VY38" s="89">
        <f t="shared" si="563"/>
        <v>8722</v>
      </c>
      <c r="VZ38" s="89">
        <f t="shared" si="563"/>
        <v>7552</v>
      </c>
      <c r="WA38" s="127">
        <f t="shared" si="503"/>
        <v>526147</v>
      </c>
      <c r="WB38" s="89">
        <f>VZ41</f>
        <v>6500</v>
      </c>
      <c r="WC38" s="89">
        <f>WB41</f>
        <v>5209</v>
      </c>
      <c r="WD38" s="89">
        <f>WC41</f>
        <v>4378</v>
      </c>
      <c r="WE38" s="89">
        <f>WD41</f>
        <v>2940</v>
      </c>
      <c r="WF38" s="89">
        <f>WE41</f>
        <v>1810</v>
      </c>
      <c r="WG38" s="89">
        <f>WF41</f>
        <v>788</v>
      </c>
      <c r="WH38" s="89">
        <f>WG41+3970+3971</f>
        <v>8729</v>
      </c>
      <c r="WI38" s="89">
        <f>WH41</f>
        <v>7822</v>
      </c>
      <c r="WJ38" s="89">
        <f>WI41</f>
        <v>6233</v>
      </c>
      <c r="WK38" s="89">
        <f>WJ41</f>
        <v>5160</v>
      </c>
      <c r="WL38" s="89">
        <f>WK41+7947</f>
        <v>11915</v>
      </c>
      <c r="WM38" s="89">
        <f t="shared" ref="WM38:WU38" si="564">WL41</f>
        <v>10576</v>
      </c>
      <c r="WN38" s="89">
        <f t="shared" si="564"/>
        <v>9647</v>
      </c>
      <c r="WO38" s="89">
        <f t="shared" si="564"/>
        <v>8666</v>
      </c>
      <c r="WP38" s="89">
        <f t="shared" si="564"/>
        <v>7658</v>
      </c>
      <c r="WQ38" s="89">
        <f t="shared" si="564"/>
        <v>6270</v>
      </c>
      <c r="WR38" s="89">
        <f t="shared" si="564"/>
        <v>5500</v>
      </c>
      <c r="WS38" s="89">
        <f t="shared" si="564"/>
        <v>4305</v>
      </c>
      <c r="WT38" s="89">
        <f t="shared" si="564"/>
        <v>3495.23</v>
      </c>
      <c r="WU38" s="89">
        <f t="shared" si="564"/>
        <v>2325</v>
      </c>
      <c r="WV38" s="89">
        <f>WU41+8000</f>
        <v>9400</v>
      </c>
      <c r="WW38" s="89">
        <f>WV41</f>
        <v>7933</v>
      </c>
      <c r="WX38" s="89">
        <f>WW41</f>
        <v>6873</v>
      </c>
      <c r="WY38" s="89">
        <f>WX41</f>
        <v>5870</v>
      </c>
      <c r="WZ38" s="89">
        <f>WY41+8000</f>
        <v>12536</v>
      </c>
      <c r="XA38" s="89">
        <f t="shared" ref="XA38:XF38" si="565">WZ41</f>
        <v>11390</v>
      </c>
      <c r="XB38" s="89">
        <f t="shared" si="565"/>
        <v>10655</v>
      </c>
      <c r="XC38" s="89">
        <f t="shared" si="565"/>
        <v>9504</v>
      </c>
      <c r="XD38" s="89">
        <f t="shared" si="565"/>
        <v>8590</v>
      </c>
      <c r="XE38" s="89">
        <f t="shared" si="565"/>
        <v>7576</v>
      </c>
      <c r="XF38" s="89">
        <f t="shared" si="565"/>
        <v>6390</v>
      </c>
      <c r="XG38" s="127">
        <f t="shared" ref="XG38:XG43" si="566">SUM(WB38:XF38)</f>
        <v>216643.22999999998</v>
      </c>
      <c r="XH38" s="89">
        <f>XF41+7998</f>
        <v>12903</v>
      </c>
      <c r="XI38" s="89">
        <f t="shared" ref="XI38:XQ38" si="567">XH41</f>
        <v>12000</v>
      </c>
      <c r="XJ38" s="89">
        <f t="shared" si="567"/>
        <v>11023</v>
      </c>
      <c r="XK38" s="89">
        <f t="shared" si="567"/>
        <v>10100</v>
      </c>
      <c r="XL38" s="89">
        <f t="shared" si="567"/>
        <v>9088</v>
      </c>
      <c r="XM38" s="89">
        <f t="shared" si="567"/>
        <v>7955</v>
      </c>
      <c r="XN38" s="89">
        <f t="shared" si="567"/>
        <v>6915</v>
      </c>
      <c r="XO38" s="89">
        <f t="shared" si="567"/>
        <v>5810</v>
      </c>
      <c r="XP38" s="89">
        <f t="shared" si="567"/>
        <v>4680</v>
      </c>
      <c r="XQ38" s="89">
        <f t="shared" si="567"/>
        <v>3790</v>
      </c>
      <c r="XR38" s="89">
        <f>XQ41+7000</f>
        <v>9810</v>
      </c>
      <c r="XS38" s="89">
        <f t="shared" ref="XS38:XY38" si="568">XR41</f>
        <v>8823</v>
      </c>
      <c r="XT38" s="89">
        <f t="shared" si="568"/>
        <v>7729</v>
      </c>
      <c r="XU38" s="89">
        <f t="shared" si="568"/>
        <v>7000</v>
      </c>
      <c r="XV38" s="89">
        <f t="shared" si="568"/>
        <v>6111</v>
      </c>
      <c r="XW38" s="89">
        <f t="shared" si="568"/>
        <v>5050</v>
      </c>
      <c r="XX38" s="89">
        <f t="shared" si="568"/>
        <v>4011</v>
      </c>
      <c r="XY38" s="89">
        <f t="shared" si="568"/>
        <v>2970</v>
      </c>
      <c r="XZ38" s="89">
        <f>XY41+7000</f>
        <v>9155</v>
      </c>
      <c r="YA38" s="89">
        <f>XZ41</f>
        <v>8375</v>
      </c>
      <c r="YB38" s="89">
        <f>YA41</f>
        <v>7576</v>
      </c>
      <c r="YC38" s="89">
        <f>YB41</f>
        <v>6810</v>
      </c>
      <c r="YD38" s="89">
        <f>YC41</f>
        <v>5820</v>
      </c>
      <c r="YE38" s="89">
        <f>YD41</f>
        <v>4630</v>
      </c>
      <c r="YF38" s="89">
        <f>YE41+9942</f>
        <v>13656</v>
      </c>
      <c r="YG38" s="89">
        <f>YF41</f>
        <v>12871</v>
      </c>
      <c r="YH38" s="89">
        <f>YG41</f>
        <v>11888</v>
      </c>
      <c r="YI38" s="89">
        <f>YH41</f>
        <v>11000</v>
      </c>
      <c r="YJ38" s="89">
        <f>YI41</f>
        <v>10077</v>
      </c>
      <c r="YK38" s="89">
        <f>YJ41</f>
        <v>9409</v>
      </c>
      <c r="YL38" s="127">
        <f t="shared" ref="YL38:YL43" si="569">SUM(XH38:YK38)</f>
        <v>247035</v>
      </c>
      <c r="YM38" s="89">
        <f>YK41</f>
        <v>8711</v>
      </c>
      <c r="YN38" s="89">
        <f t="shared" ref="YN38:YT38" si="570">YM41</f>
        <v>7458</v>
      </c>
      <c r="YO38" s="89">
        <f t="shared" si="570"/>
        <v>6122</v>
      </c>
      <c r="YP38" s="89">
        <f t="shared" si="570"/>
        <v>5170</v>
      </c>
      <c r="YQ38" s="89">
        <f t="shared" si="570"/>
        <v>4347</v>
      </c>
      <c r="YR38" s="89">
        <f t="shared" si="570"/>
        <v>3390</v>
      </c>
      <c r="YS38" s="89">
        <f t="shared" si="570"/>
        <v>2600</v>
      </c>
      <c r="YT38" s="89">
        <f t="shared" si="570"/>
        <v>1712</v>
      </c>
      <c r="YU38" s="89">
        <f>YT41+7000</f>
        <v>8237</v>
      </c>
      <c r="YV38" s="89">
        <f>YU41</f>
        <v>7177</v>
      </c>
      <c r="YW38" s="89">
        <f>YV41</f>
        <v>6288</v>
      </c>
      <c r="YX38" s="89">
        <f>YW41+9914</f>
        <v>15268</v>
      </c>
      <c r="YY38" s="89">
        <f t="shared" ref="YY38:ZH38" si="571">YX41</f>
        <v>14591</v>
      </c>
      <c r="YZ38" s="89">
        <f t="shared" si="571"/>
        <v>13526</v>
      </c>
      <c r="ZA38" s="89">
        <f t="shared" si="571"/>
        <v>12555</v>
      </c>
      <c r="ZB38" s="89">
        <f t="shared" si="571"/>
        <v>11778</v>
      </c>
      <c r="ZC38" s="89">
        <f t="shared" si="571"/>
        <v>10866</v>
      </c>
      <c r="ZD38" s="89">
        <f t="shared" si="571"/>
        <v>9623</v>
      </c>
      <c r="ZE38" s="89">
        <f t="shared" si="571"/>
        <v>8929</v>
      </c>
      <c r="ZF38" s="89">
        <f t="shared" si="571"/>
        <v>7866</v>
      </c>
      <c r="ZG38" s="89">
        <f t="shared" si="571"/>
        <v>7105</v>
      </c>
      <c r="ZH38" s="89">
        <f t="shared" si="571"/>
        <v>5820</v>
      </c>
      <c r="ZI38" s="89">
        <f>ZH41+6000</f>
        <v>10680</v>
      </c>
      <c r="ZJ38" s="89">
        <f>ZI41</f>
        <v>9635</v>
      </c>
      <c r="ZK38" s="89">
        <f>ZJ41</f>
        <v>8410</v>
      </c>
      <c r="ZL38" s="89">
        <f>ZK41</f>
        <v>7623</v>
      </c>
      <c r="ZM38" s="89">
        <f>ZL41</f>
        <v>6433</v>
      </c>
      <c r="ZN38" s="89">
        <f>ZM41+9500</f>
        <v>14871</v>
      </c>
      <c r="ZO38" s="89">
        <f>ZN41</f>
        <v>13870</v>
      </c>
      <c r="ZP38" s="89">
        <f>ZO41</f>
        <v>12844</v>
      </c>
      <c r="ZQ38" s="89">
        <f>ZP41</f>
        <v>11680</v>
      </c>
      <c r="ZR38" s="127">
        <f t="shared" si="356"/>
        <v>275185</v>
      </c>
      <c r="ZS38" s="89">
        <f>ZQ41</f>
        <v>10840</v>
      </c>
      <c r="ZT38" s="89">
        <f>ZS41</f>
        <v>9476</v>
      </c>
      <c r="ZU38" s="89">
        <f>ZT41</f>
        <v>8500</v>
      </c>
      <c r="ZV38" s="89">
        <f>ZU41</f>
        <v>7576</v>
      </c>
      <c r="ZW38" s="89">
        <f>ZV41+10000</f>
        <v>16755</v>
      </c>
      <c r="ZX38" s="89">
        <f t="shared" ref="ZX38:AAH38" si="572">ZW41</f>
        <v>15631</v>
      </c>
      <c r="ZY38" s="89">
        <f t="shared" si="572"/>
        <v>14643</v>
      </c>
      <c r="ZZ38" s="89">
        <f t="shared" si="572"/>
        <v>13511</v>
      </c>
      <c r="AAA38" s="89">
        <f t="shared" si="572"/>
        <v>12544</v>
      </c>
      <c r="AAB38" s="89">
        <f t="shared" si="572"/>
        <v>11780</v>
      </c>
      <c r="AAC38" s="89">
        <f t="shared" si="572"/>
        <v>9822</v>
      </c>
      <c r="AAD38" s="89">
        <f t="shared" si="572"/>
        <v>8500</v>
      </c>
      <c r="AAE38" s="89">
        <f t="shared" si="572"/>
        <v>7435</v>
      </c>
      <c r="AAF38" s="89">
        <f t="shared" si="572"/>
        <v>6344</v>
      </c>
      <c r="AAG38" s="89">
        <f t="shared" si="572"/>
        <v>5209</v>
      </c>
      <c r="AAH38" s="89">
        <f t="shared" si="572"/>
        <v>4181</v>
      </c>
      <c r="AAI38" s="89">
        <f>AAH41+9941</f>
        <v>13131</v>
      </c>
      <c r="AAJ38" s="89">
        <f t="shared" ref="AAJ38:AAQ38" si="573">AAI41</f>
        <v>12378</v>
      </c>
      <c r="AAK38" s="89">
        <f t="shared" si="573"/>
        <v>10866</v>
      </c>
      <c r="AAL38" s="89">
        <f t="shared" si="573"/>
        <v>9855</v>
      </c>
      <c r="AAM38" s="89">
        <f t="shared" si="573"/>
        <v>8894</v>
      </c>
      <c r="AAN38" s="89">
        <f t="shared" si="573"/>
        <v>7600</v>
      </c>
      <c r="AAO38" s="89">
        <f t="shared" si="573"/>
        <v>6863</v>
      </c>
      <c r="AAP38" s="89">
        <f t="shared" si="573"/>
        <v>5658</v>
      </c>
      <c r="AAQ38" s="89">
        <f t="shared" si="573"/>
        <v>4810</v>
      </c>
      <c r="AAR38" s="89">
        <f>AAQ41+9932</f>
        <v>13921</v>
      </c>
      <c r="AAS38" s="89">
        <f>AAR41</f>
        <v>12935</v>
      </c>
      <c r="AAT38" s="89">
        <f>AAS41</f>
        <v>11968</v>
      </c>
      <c r="AAU38" s="89">
        <f>AAT41</f>
        <v>10933</v>
      </c>
      <c r="AAV38" s="89">
        <f>AAU41</f>
        <v>10133</v>
      </c>
      <c r="AAW38" s="127">
        <f t="shared" ref="AAW38:AAW43" si="574">SUM(ZS38:AAV38)</f>
        <v>302692</v>
      </c>
      <c r="AAX38" s="89">
        <f>AAV41</f>
        <v>9305</v>
      </c>
      <c r="AAY38" s="89">
        <f>AAX41</f>
        <v>8262</v>
      </c>
      <c r="AAZ38" s="89">
        <f>AAY41</f>
        <v>7380</v>
      </c>
      <c r="ABA38" s="89">
        <f>AAZ41</f>
        <v>6322</v>
      </c>
      <c r="ABB38" s="89">
        <f>ABA41+8000</f>
        <v>13373</v>
      </c>
      <c r="ABC38" s="89">
        <f>ABB41</f>
        <v>12336</v>
      </c>
      <c r="ABD38" s="89">
        <f>ABC41</f>
        <v>11490</v>
      </c>
      <c r="ABE38" s="89">
        <f>ABD41</f>
        <v>10411</v>
      </c>
      <c r="ABF38" s="89">
        <f>ABE41</f>
        <v>9376</v>
      </c>
      <c r="ABG38" s="89">
        <f>ABF41+6000</f>
        <v>14600</v>
      </c>
      <c r="ABH38" s="89">
        <f t="shared" ref="ABH38:ABP38" si="575">ABG41</f>
        <v>13366</v>
      </c>
      <c r="ABI38" s="89">
        <f t="shared" si="575"/>
        <v>12260</v>
      </c>
      <c r="ABJ38" s="89">
        <f t="shared" si="575"/>
        <v>11386</v>
      </c>
      <c r="ABK38" s="89">
        <f t="shared" si="575"/>
        <v>10376</v>
      </c>
      <c r="ABL38" s="89">
        <f t="shared" si="575"/>
        <v>9258</v>
      </c>
      <c r="ABM38" s="89">
        <f t="shared" si="575"/>
        <v>8312</v>
      </c>
      <c r="ABN38" s="89">
        <f t="shared" si="575"/>
        <v>7333</v>
      </c>
      <c r="ABO38" s="89">
        <f t="shared" si="575"/>
        <v>6411</v>
      </c>
      <c r="ABP38" s="89">
        <f t="shared" si="575"/>
        <v>5095</v>
      </c>
      <c r="ABQ38" s="89">
        <f>ABP41+8000+1963</f>
        <v>13805</v>
      </c>
      <c r="ABR38" s="89">
        <f t="shared" ref="ABR38:ABZ38" si="576">ABQ41</f>
        <v>12985</v>
      </c>
      <c r="ABS38" s="89">
        <f t="shared" si="576"/>
        <v>12378</v>
      </c>
      <c r="ABT38" s="89">
        <f t="shared" si="576"/>
        <v>11660</v>
      </c>
      <c r="ABU38" s="89">
        <f t="shared" si="576"/>
        <v>10670</v>
      </c>
      <c r="ABV38" s="89">
        <f t="shared" si="576"/>
        <v>9810</v>
      </c>
      <c r="ABW38" s="89">
        <f t="shared" si="576"/>
        <v>8769</v>
      </c>
      <c r="ABX38" s="89">
        <f t="shared" si="576"/>
        <v>7855</v>
      </c>
      <c r="ABY38" s="89">
        <f t="shared" si="576"/>
        <v>7055</v>
      </c>
      <c r="ABZ38" s="89">
        <f t="shared" si="576"/>
        <v>5670</v>
      </c>
      <c r="ACA38" s="89">
        <f>ABZ41+11904</f>
        <v>16574</v>
      </c>
      <c r="ACB38" s="89">
        <f>ACA41</f>
        <v>15778</v>
      </c>
      <c r="ACC38" s="127">
        <f t="shared" si="274"/>
        <v>319661</v>
      </c>
      <c r="ACD38" s="89">
        <f>ACB41</f>
        <v>14920</v>
      </c>
      <c r="ACE38" s="89">
        <f t="shared" ref="ACE38:ACK38" si="577">ACD41</f>
        <v>13800</v>
      </c>
      <c r="ACF38" s="89">
        <f t="shared" si="577"/>
        <v>12488</v>
      </c>
      <c r="ACG38" s="89">
        <f t="shared" si="577"/>
        <v>11505</v>
      </c>
      <c r="ACH38" s="89">
        <f t="shared" si="577"/>
        <v>10482</v>
      </c>
      <c r="ACI38" s="89">
        <f t="shared" si="577"/>
        <v>9552</v>
      </c>
      <c r="ACJ38" s="89">
        <f t="shared" si="577"/>
        <v>8550</v>
      </c>
      <c r="ACK38" s="89">
        <f t="shared" si="577"/>
        <v>7576</v>
      </c>
      <c r="ACL38" s="89">
        <f>ACK41+7943</f>
        <v>14365</v>
      </c>
      <c r="ACM38" s="89">
        <f t="shared" ref="ACM38:ACX38" si="578">ACL41</f>
        <v>13344</v>
      </c>
      <c r="ACN38" s="89">
        <f t="shared" si="578"/>
        <v>12555</v>
      </c>
      <c r="ACO38" s="89">
        <f t="shared" si="578"/>
        <v>11520</v>
      </c>
      <c r="ACP38" s="89">
        <f t="shared" si="578"/>
        <v>10470</v>
      </c>
      <c r="ACQ38" s="89">
        <f t="shared" si="578"/>
        <v>9600</v>
      </c>
      <c r="ACR38" s="89">
        <f t="shared" si="578"/>
        <v>8410</v>
      </c>
      <c r="ACS38" s="89">
        <f t="shared" si="578"/>
        <v>7440</v>
      </c>
      <c r="ACT38" s="89">
        <f t="shared" si="578"/>
        <v>6277</v>
      </c>
      <c r="ACU38" s="89">
        <f t="shared" si="578"/>
        <v>5381</v>
      </c>
      <c r="ACV38" s="89">
        <f t="shared" si="578"/>
        <v>4221</v>
      </c>
      <c r="ACW38" s="89">
        <f t="shared" si="578"/>
        <v>3190</v>
      </c>
      <c r="ACX38" s="89">
        <f t="shared" si="578"/>
        <v>2312</v>
      </c>
      <c r="ACY38" s="89">
        <f>ACX41+9927</f>
        <v>11350</v>
      </c>
      <c r="ACZ38" s="89">
        <f>ACY41</f>
        <v>10458</v>
      </c>
      <c r="ADA38" s="89">
        <f>ACZ41</f>
        <v>9447</v>
      </c>
      <c r="ADB38" s="89">
        <f>ADA41</f>
        <v>8420</v>
      </c>
      <c r="ADC38" s="89">
        <f>ADB41+9931</f>
        <v>17311</v>
      </c>
      <c r="ADD38" s="89">
        <f>ADC41</f>
        <v>16480</v>
      </c>
      <c r="ADE38" s="89">
        <f>ADD41</f>
        <v>15580</v>
      </c>
      <c r="ADF38" s="89">
        <f>ADE41</f>
        <v>14626</v>
      </c>
      <c r="ADG38" s="89">
        <f>ADF41</f>
        <v>13682</v>
      </c>
      <c r="ADH38" s="89">
        <f>ADG41</f>
        <v>12828</v>
      </c>
      <c r="ADI38" s="127">
        <f t="shared" si="276"/>
        <v>328140</v>
      </c>
      <c r="ADJ38" s="89">
        <f>ADH41</f>
        <v>11877</v>
      </c>
      <c r="ADK38" s="89">
        <f>ADJ41</f>
        <v>11047</v>
      </c>
      <c r="ADL38" s="89">
        <f>ADK41</f>
        <v>10055</v>
      </c>
      <c r="ADM38" s="89">
        <f>ADL41</f>
        <v>8925</v>
      </c>
      <c r="ADN38" s="89">
        <f>ADM41</f>
        <v>7911</v>
      </c>
      <c r="ADO38" s="89">
        <f>ADN41+8000</f>
        <v>14821</v>
      </c>
      <c r="ADP38" s="89">
        <f t="shared" ref="ADP38:ADX38" si="579">ADO41</f>
        <v>13658</v>
      </c>
      <c r="ADQ38" s="89">
        <f t="shared" si="579"/>
        <v>12850</v>
      </c>
      <c r="ADR38" s="89">
        <f t="shared" si="579"/>
        <v>12105</v>
      </c>
      <c r="ADS38" s="89">
        <f t="shared" si="579"/>
        <v>11000</v>
      </c>
      <c r="ADT38" s="89">
        <f t="shared" si="579"/>
        <v>10077</v>
      </c>
      <c r="ADU38" s="89">
        <f t="shared" si="579"/>
        <v>9033</v>
      </c>
      <c r="ADV38" s="89">
        <f t="shared" si="579"/>
        <v>8031</v>
      </c>
      <c r="ADW38" s="89">
        <f t="shared" si="579"/>
        <v>6777</v>
      </c>
      <c r="ADX38" s="89">
        <f t="shared" si="579"/>
        <v>6066</v>
      </c>
      <c r="ADY38" s="89">
        <f>ADX41+7968</f>
        <v>12904</v>
      </c>
      <c r="ADZ38" s="89">
        <f t="shared" ref="ADZ38:AEH38" si="580">ADY41</f>
        <v>11888</v>
      </c>
      <c r="AEA38" s="89">
        <f t="shared" si="580"/>
        <v>11000</v>
      </c>
      <c r="AEB38" s="89">
        <f t="shared" si="580"/>
        <v>10044</v>
      </c>
      <c r="AEC38" s="89">
        <f t="shared" si="580"/>
        <v>9235</v>
      </c>
      <c r="AED38" s="89">
        <f t="shared" si="580"/>
        <v>8084</v>
      </c>
      <c r="AEE38" s="89">
        <f t="shared" si="580"/>
        <v>7200</v>
      </c>
      <c r="AEF38" s="89">
        <f t="shared" si="580"/>
        <v>6122</v>
      </c>
      <c r="AEG38" s="89">
        <f t="shared" si="580"/>
        <v>5236</v>
      </c>
      <c r="AEH38" s="89">
        <f t="shared" si="580"/>
        <v>4526</v>
      </c>
      <c r="AEI38" s="89">
        <f>AEH41+8000</f>
        <v>11800</v>
      </c>
      <c r="AEJ38" s="89">
        <f>AEI41</f>
        <v>10717</v>
      </c>
      <c r="AEK38" s="89">
        <f>AEJ41</f>
        <v>9623</v>
      </c>
      <c r="AEL38" s="89">
        <f>AEK41</f>
        <v>9022</v>
      </c>
      <c r="AEM38" s="89">
        <f>AEL41</f>
        <v>8337</v>
      </c>
      <c r="AEN38" s="127">
        <f t="shared" ref="AEN38:AEN43" si="581">SUM(ADJ38:AEM38)</f>
        <v>289971</v>
      </c>
      <c r="AEO38" s="89">
        <f>AEM41</f>
        <v>7200</v>
      </c>
      <c r="AEP38" s="89">
        <f>AEO41</f>
        <v>6411</v>
      </c>
      <c r="AEQ38" s="89">
        <f>AEP41+4973</f>
        <v>10523</v>
      </c>
      <c r="AER38" s="89">
        <f t="shared" ref="AER38:AEX38" si="582">AEQ41</f>
        <v>9800</v>
      </c>
      <c r="AES38" s="89">
        <f t="shared" si="582"/>
        <v>8952</v>
      </c>
      <c r="AET38" s="89">
        <f t="shared" si="582"/>
        <v>8126</v>
      </c>
      <c r="AEU38" s="89">
        <f t="shared" si="582"/>
        <v>7188</v>
      </c>
      <c r="AEV38" s="89">
        <f t="shared" si="582"/>
        <v>6377</v>
      </c>
      <c r="AEW38" s="89">
        <f t="shared" si="582"/>
        <v>5410</v>
      </c>
      <c r="AEX38" s="89">
        <f t="shared" si="582"/>
        <v>4484</v>
      </c>
      <c r="AEY38" s="89">
        <f>AEX41+7950</f>
        <v>11510</v>
      </c>
      <c r="AEZ38" s="89">
        <f>AEY41</f>
        <v>10623</v>
      </c>
      <c r="AFA38" s="89">
        <f>AEZ41</f>
        <v>10033</v>
      </c>
      <c r="AFB38" s="89">
        <f>AFA41</f>
        <v>9189</v>
      </c>
      <c r="AFC38" s="89">
        <f>AFB41</f>
        <v>8510</v>
      </c>
      <c r="AFD38" s="89">
        <f>AFC41</f>
        <v>7576</v>
      </c>
      <c r="AFE38" s="89">
        <f>AFD41+7954</f>
        <v>14687</v>
      </c>
      <c r="AFF38" s="89">
        <f t="shared" ref="AFF38:AFS38" si="583">AFE41</f>
        <v>13717</v>
      </c>
      <c r="AFG38" s="89">
        <f t="shared" si="583"/>
        <v>12588</v>
      </c>
      <c r="AFH38" s="89">
        <f t="shared" si="583"/>
        <v>11640</v>
      </c>
      <c r="AFI38" s="89">
        <f t="shared" si="583"/>
        <v>10647</v>
      </c>
      <c r="AFJ38" s="89">
        <f t="shared" si="583"/>
        <v>9866</v>
      </c>
      <c r="AFK38" s="89">
        <f t="shared" si="583"/>
        <v>9235</v>
      </c>
      <c r="AFL38" s="89">
        <f t="shared" si="583"/>
        <v>8410</v>
      </c>
      <c r="AFM38" s="89">
        <f t="shared" si="583"/>
        <v>7670</v>
      </c>
      <c r="AFN38" s="89">
        <f t="shared" si="583"/>
        <v>6622</v>
      </c>
      <c r="AFO38" s="89">
        <f t="shared" si="583"/>
        <v>5860</v>
      </c>
      <c r="AFP38" s="89">
        <f t="shared" si="583"/>
        <v>5080</v>
      </c>
      <c r="AFQ38" s="89">
        <f t="shared" si="583"/>
        <v>4210</v>
      </c>
      <c r="AFR38" s="89">
        <f t="shared" si="583"/>
        <v>3418</v>
      </c>
      <c r="AFS38" s="89">
        <f t="shared" si="583"/>
        <v>2582</v>
      </c>
      <c r="AFT38" s="127">
        <f t="shared" si="279"/>
        <v>258144</v>
      </c>
      <c r="AFU38" s="89">
        <f>AFS41+12932</f>
        <v>14808</v>
      </c>
      <c r="AFV38" s="89">
        <f t="shared" ref="AFV38:AGG38" si="584">AFU41</f>
        <v>14000</v>
      </c>
      <c r="AFW38" s="89">
        <f t="shared" si="584"/>
        <v>13244</v>
      </c>
      <c r="AFX38" s="89">
        <f t="shared" si="584"/>
        <v>12458</v>
      </c>
      <c r="AFY38" s="89">
        <f t="shared" si="584"/>
        <v>11750</v>
      </c>
      <c r="AFZ38" s="89">
        <f t="shared" si="584"/>
        <v>10855</v>
      </c>
      <c r="AGA38" s="89">
        <f t="shared" si="584"/>
        <v>10188</v>
      </c>
      <c r="AGB38" s="89">
        <f t="shared" si="584"/>
        <v>9364</v>
      </c>
      <c r="AGC38" s="89">
        <f t="shared" si="584"/>
        <v>8600</v>
      </c>
      <c r="AGD38" s="89">
        <f t="shared" si="584"/>
        <v>7866</v>
      </c>
      <c r="AGE38" s="89">
        <f t="shared" si="584"/>
        <v>7111</v>
      </c>
      <c r="AGF38" s="89">
        <f t="shared" si="584"/>
        <v>6244</v>
      </c>
      <c r="AGG38" s="89">
        <f t="shared" si="584"/>
        <v>5400</v>
      </c>
      <c r="AGH38" s="89">
        <f>AGG41+7943</f>
        <v>12643</v>
      </c>
      <c r="AGI38" s="89">
        <f t="shared" ref="AGI38:AGP38" si="585">AGH41</f>
        <v>11855</v>
      </c>
      <c r="AGJ38" s="89">
        <f t="shared" si="585"/>
        <v>11129</v>
      </c>
      <c r="AGK38" s="89">
        <f t="shared" si="585"/>
        <v>10447</v>
      </c>
      <c r="AGL38" s="89">
        <f t="shared" si="585"/>
        <v>9670</v>
      </c>
      <c r="AGM38" s="89">
        <f t="shared" si="585"/>
        <v>8905</v>
      </c>
      <c r="AGN38" s="89">
        <f t="shared" si="585"/>
        <v>8189</v>
      </c>
      <c r="AGO38" s="89">
        <f t="shared" si="585"/>
        <v>7300</v>
      </c>
      <c r="AGP38" s="89">
        <f t="shared" si="585"/>
        <v>6333</v>
      </c>
      <c r="AGQ38" s="89">
        <f>AGP41+4966</f>
        <v>10136</v>
      </c>
      <c r="AGR38" s="89">
        <f>AGQ41</f>
        <v>9166</v>
      </c>
      <c r="AGS38" s="89">
        <f>AGR41</f>
        <v>8450</v>
      </c>
      <c r="AGT38" s="89">
        <f>AGS41</f>
        <v>7717</v>
      </c>
      <c r="AGU38" s="89">
        <f>AGT41</f>
        <v>6810</v>
      </c>
      <c r="AGV38" s="89">
        <f>AGU41</f>
        <v>5970</v>
      </c>
      <c r="AGW38" s="89">
        <f>AGV41+6952</f>
        <v>11878</v>
      </c>
      <c r="AGX38" s="89">
        <f>AGW41</f>
        <v>10800</v>
      </c>
      <c r="AGY38" s="127">
        <f t="shared" ref="AGY38:AGY43" si="586">SUM(AFU38:AGX38)</f>
        <v>289286</v>
      </c>
      <c r="AGZ38" s="89">
        <f>AGX41</f>
        <v>9933</v>
      </c>
      <c r="AHA38" s="89">
        <f>AGZ41</f>
        <v>9100</v>
      </c>
      <c r="AHB38" s="89">
        <f>AHA41</f>
        <v>8189</v>
      </c>
      <c r="AHC38" s="89">
        <f>AHB41</f>
        <v>7100</v>
      </c>
      <c r="AHD38" s="89">
        <f>AHC41</f>
        <v>6233</v>
      </c>
      <c r="AHE38" s="89">
        <f>AHD41+7941</f>
        <v>12751</v>
      </c>
      <c r="AHF38" s="89">
        <f>AHE41</f>
        <v>11933</v>
      </c>
      <c r="AHG38" s="89">
        <f>AHF41</f>
        <v>11058</v>
      </c>
      <c r="AHH38" s="89">
        <f>AHG41</f>
        <v>10237</v>
      </c>
      <c r="AHI38" s="89">
        <f>AHH41</f>
        <v>9166</v>
      </c>
      <c r="AHJ38" s="89">
        <f>AHI41+8000</f>
        <v>16350</v>
      </c>
      <c r="AHK38" s="89">
        <f t="shared" ref="AHK38:AHV38" si="587">AHJ41</f>
        <v>15747</v>
      </c>
      <c r="AHL38" s="89">
        <f t="shared" si="587"/>
        <v>14652</v>
      </c>
      <c r="AHM38" s="89">
        <f t="shared" si="587"/>
        <v>13820</v>
      </c>
      <c r="AHN38" s="89">
        <f t="shared" si="587"/>
        <v>13200</v>
      </c>
      <c r="AHO38" s="89">
        <f t="shared" si="587"/>
        <v>12231</v>
      </c>
      <c r="AHP38" s="89">
        <f t="shared" si="587"/>
        <v>11400</v>
      </c>
      <c r="AHQ38" s="89">
        <f t="shared" si="587"/>
        <v>10494</v>
      </c>
      <c r="AHR38" s="89">
        <f t="shared" si="587"/>
        <v>9523</v>
      </c>
      <c r="AHS38" s="89">
        <f t="shared" si="587"/>
        <v>8611</v>
      </c>
      <c r="AHT38" s="89">
        <f t="shared" si="587"/>
        <v>7877</v>
      </c>
      <c r="AHU38" s="89">
        <f t="shared" si="587"/>
        <v>6915</v>
      </c>
      <c r="AHV38" s="89">
        <f t="shared" si="587"/>
        <v>5940</v>
      </c>
      <c r="AHW38" s="89">
        <f>AHV41+7951</f>
        <v>12824</v>
      </c>
      <c r="AHX38" s="89">
        <f t="shared" ref="AHX38:AIC38" si="588">AHW41</f>
        <v>12035</v>
      </c>
      <c r="AHY38" s="89">
        <f t="shared" si="588"/>
        <v>11466</v>
      </c>
      <c r="AHZ38" s="89">
        <f t="shared" si="588"/>
        <v>10866</v>
      </c>
      <c r="AIA38" s="89">
        <f t="shared" si="588"/>
        <v>10200</v>
      </c>
      <c r="AIB38" s="89">
        <f t="shared" si="588"/>
        <v>9670</v>
      </c>
      <c r="AIC38" s="89">
        <f t="shared" si="588"/>
        <v>9000</v>
      </c>
      <c r="AID38" s="89">
        <f>AIC41+2988</f>
        <v>11188</v>
      </c>
      <c r="AIE38" s="127">
        <f t="shared" si="519"/>
        <v>329709</v>
      </c>
      <c r="AIF38" s="89">
        <f>AID41</f>
        <v>10258</v>
      </c>
      <c r="AIG38" s="89">
        <f>AIF41</f>
        <v>9483</v>
      </c>
      <c r="AIH38" s="89">
        <f>AIG41</f>
        <v>8777</v>
      </c>
      <c r="AII38" s="89">
        <f>AIH41+2982</f>
        <v>10959</v>
      </c>
      <c r="AIJ38" s="89">
        <f t="shared" ref="AIJ38:AIQ38" si="589">AII41</f>
        <v>10305</v>
      </c>
      <c r="AIK38" s="89">
        <f t="shared" si="589"/>
        <v>9426</v>
      </c>
      <c r="AIL38" s="89">
        <f t="shared" si="589"/>
        <v>8688</v>
      </c>
      <c r="AIM38" s="89">
        <f t="shared" si="589"/>
        <v>7833</v>
      </c>
      <c r="AIN38" s="89">
        <f t="shared" si="589"/>
        <v>6915</v>
      </c>
      <c r="AIO38" s="89">
        <f t="shared" si="589"/>
        <v>5960</v>
      </c>
      <c r="AIP38" s="89">
        <f t="shared" si="589"/>
        <v>4821</v>
      </c>
      <c r="AIQ38" s="89">
        <f t="shared" si="589"/>
        <v>4200</v>
      </c>
      <c r="AIR38" s="89">
        <f>AIQ41+4969</f>
        <v>8502</v>
      </c>
      <c r="AIS38" s="89">
        <f t="shared" ref="AIS38:AJA38" si="590">AIR41</f>
        <v>7833</v>
      </c>
      <c r="AIT38" s="89">
        <f t="shared" si="590"/>
        <v>7162</v>
      </c>
      <c r="AIU38" s="89">
        <f t="shared" si="590"/>
        <v>6852</v>
      </c>
      <c r="AIV38" s="89">
        <f t="shared" si="590"/>
        <v>6500</v>
      </c>
      <c r="AIW38" s="89">
        <f t="shared" si="590"/>
        <v>6144</v>
      </c>
      <c r="AIX38" s="89">
        <f t="shared" si="590"/>
        <v>5658</v>
      </c>
      <c r="AIY38" s="89">
        <f t="shared" si="590"/>
        <v>4968</v>
      </c>
      <c r="AIZ38" s="89">
        <f t="shared" si="590"/>
        <v>4242</v>
      </c>
      <c r="AJA38" s="89">
        <f t="shared" si="590"/>
        <v>3380</v>
      </c>
      <c r="AJB38" s="89">
        <f>AJA41+9927</f>
        <v>12648</v>
      </c>
      <c r="AJC38" s="89">
        <f t="shared" ref="AJC38:AJH38" si="591">AJB41</f>
        <v>12035</v>
      </c>
      <c r="AJD38" s="89">
        <f t="shared" si="591"/>
        <v>11176</v>
      </c>
      <c r="AJE38" s="89">
        <f t="shared" si="591"/>
        <v>10670</v>
      </c>
      <c r="AJF38" s="89">
        <f t="shared" si="591"/>
        <v>10011</v>
      </c>
      <c r="AJG38" s="89">
        <f t="shared" si="591"/>
        <v>9235</v>
      </c>
      <c r="AJH38" s="89">
        <f t="shared" si="591"/>
        <v>8300</v>
      </c>
      <c r="AJI38" s="89">
        <f>AJH41+6933</f>
        <v>14462</v>
      </c>
      <c r="AJJ38" s="89">
        <f>AJI41</f>
        <v>13940</v>
      </c>
      <c r="AJK38" s="127">
        <f t="shared" si="520"/>
        <v>261343</v>
      </c>
      <c r="AJL38" s="89">
        <f>AJJ41</f>
        <v>13105</v>
      </c>
      <c r="AJM38" s="89">
        <f t="shared" ref="AJM38:AJV38" si="592">AJL41</f>
        <v>12422</v>
      </c>
      <c r="AJN38" s="89">
        <f t="shared" si="592"/>
        <v>11658</v>
      </c>
      <c r="AJO38" s="89">
        <f t="shared" si="592"/>
        <v>10866</v>
      </c>
      <c r="AJP38" s="89">
        <f t="shared" si="592"/>
        <v>10082</v>
      </c>
      <c r="AJQ38" s="89">
        <f t="shared" si="592"/>
        <v>9043</v>
      </c>
      <c r="AJR38" s="89">
        <f t="shared" si="592"/>
        <v>8372</v>
      </c>
      <c r="AJS38" s="89">
        <f t="shared" si="592"/>
        <v>7705</v>
      </c>
      <c r="AJT38" s="89">
        <f t="shared" si="592"/>
        <v>6688</v>
      </c>
      <c r="AJU38" s="89">
        <f t="shared" si="592"/>
        <v>5764</v>
      </c>
      <c r="AJV38" s="89">
        <f t="shared" si="592"/>
        <v>4968</v>
      </c>
      <c r="AJW38" s="89">
        <f>AJV41+4974</f>
        <v>9097</v>
      </c>
      <c r="AJX38" s="89">
        <f t="shared" ref="AJX38:AKC38" si="593">AJW41</f>
        <v>8084</v>
      </c>
      <c r="AJY38" s="89">
        <f t="shared" si="593"/>
        <v>7144</v>
      </c>
      <c r="AJZ38" s="89">
        <f t="shared" si="593"/>
        <v>6366</v>
      </c>
      <c r="AKA38" s="89">
        <f t="shared" si="593"/>
        <v>5580</v>
      </c>
      <c r="AKB38" s="89">
        <f t="shared" si="593"/>
        <v>4853</v>
      </c>
      <c r="AKC38" s="89">
        <f t="shared" si="593"/>
        <v>4152</v>
      </c>
      <c r="AKD38" s="89">
        <f>AKC41+7459</f>
        <v>10897</v>
      </c>
      <c r="AKE38" s="89">
        <f t="shared" ref="AKE38:AKJ38" si="594">AKD41</f>
        <v>10200</v>
      </c>
      <c r="AKF38" s="89">
        <f t="shared" si="594"/>
        <v>9255</v>
      </c>
      <c r="AKG38" s="89">
        <f t="shared" si="594"/>
        <v>8580</v>
      </c>
      <c r="AKH38" s="89">
        <f t="shared" si="594"/>
        <v>7966</v>
      </c>
      <c r="AKI38" s="89">
        <f t="shared" si="594"/>
        <v>7052</v>
      </c>
      <c r="AKJ38" s="89">
        <f t="shared" si="594"/>
        <v>6166</v>
      </c>
      <c r="AKK38" s="89">
        <f>AKJ41+4977</f>
        <v>10258</v>
      </c>
      <c r="AKL38" s="89">
        <f>AKK41</f>
        <v>9600</v>
      </c>
      <c r="AKM38" s="89">
        <f>AKL41</f>
        <v>8800</v>
      </c>
      <c r="AKN38" s="127">
        <f t="shared" si="11"/>
        <v>234723</v>
      </c>
      <c r="AKO38" s="89">
        <f>AKM41</f>
        <v>7866</v>
      </c>
      <c r="AKP38" s="89">
        <f>AKO41</f>
        <v>7000</v>
      </c>
      <c r="AKQ38" s="89">
        <f>AKP41</f>
        <v>6200</v>
      </c>
      <c r="AKR38" s="89">
        <f>AKQ41</f>
        <v>5380</v>
      </c>
      <c r="AKS38" s="89">
        <f>AKR41</f>
        <v>4778</v>
      </c>
      <c r="AKT38" s="89">
        <f>AKS41</f>
        <v>4019</v>
      </c>
      <c r="AKU38" s="89">
        <f>AKT41+5980</f>
        <v>9294</v>
      </c>
      <c r="AKV38" s="89">
        <f>AKU41</f>
        <v>7844</v>
      </c>
      <c r="AKW38" s="89">
        <f>AKV41</f>
        <v>6978</v>
      </c>
      <c r="AKX38" s="89">
        <f>AKW41+9958</f>
        <v>16158</v>
      </c>
      <c r="AKY38" s="89">
        <f t="shared" ref="AKY38:ALF38" si="595">AKX41</f>
        <v>15510</v>
      </c>
      <c r="AKZ38" s="89">
        <f t="shared" si="595"/>
        <v>14739</v>
      </c>
      <c r="ALA38" s="89">
        <f t="shared" si="595"/>
        <v>14042</v>
      </c>
      <c r="ALB38" s="89">
        <f t="shared" si="595"/>
        <v>13255</v>
      </c>
      <c r="ALC38" s="89">
        <f t="shared" si="595"/>
        <v>12231</v>
      </c>
      <c r="ALD38" s="89">
        <f t="shared" si="595"/>
        <v>11144</v>
      </c>
      <c r="ALE38" s="89">
        <f t="shared" si="595"/>
        <v>10122</v>
      </c>
      <c r="ALF38" s="89">
        <f t="shared" si="595"/>
        <v>9352</v>
      </c>
      <c r="ALG38" s="89">
        <f>ALF41+4970</f>
        <v>13430</v>
      </c>
      <c r="ALH38" s="89">
        <f t="shared" ref="ALH38:ALM38" si="596">ALG41</f>
        <v>12555</v>
      </c>
      <c r="ALI38" s="89">
        <f t="shared" si="596"/>
        <v>11778</v>
      </c>
      <c r="ALJ38" s="89">
        <f t="shared" si="596"/>
        <v>10741</v>
      </c>
      <c r="ALK38" s="89">
        <f t="shared" si="596"/>
        <v>9600</v>
      </c>
      <c r="ALL38" s="89">
        <f t="shared" si="596"/>
        <v>4484</v>
      </c>
      <c r="ALM38" s="89">
        <f t="shared" si="596"/>
        <v>3657</v>
      </c>
      <c r="ALN38" s="89">
        <f>ALM41+11945</f>
        <v>14701</v>
      </c>
      <c r="ALO38" s="89">
        <f>ALN41</f>
        <v>14031</v>
      </c>
      <c r="ALP38" s="89">
        <f>ALO41</f>
        <v>13055</v>
      </c>
      <c r="ALQ38" s="89">
        <f>ALP41</f>
        <v>12252</v>
      </c>
      <c r="ALR38" s="89">
        <f>ALQ41</f>
        <v>11452</v>
      </c>
      <c r="ALS38" s="89">
        <f>ALR41</f>
        <v>10494</v>
      </c>
      <c r="ALT38" s="127">
        <f t="shared" si="12"/>
        <v>318142</v>
      </c>
      <c r="ALU38" s="89">
        <f>ALS41</f>
        <v>9752</v>
      </c>
      <c r="ALV38" s="89">
        <f>ALU41+7457</f>
        <v>16223</v>
      </c>
      <c r="ALW38" s="89">
        <f t="shared" ref="ALW38:AMC38" si="597">ALV41</f>
        <v>15430</v>
      </c>
      <c r="ALX38" s="89">
        <f t="shared" si="597"/>
        <v>14545</v>
      </c>
      <c r="ALY38" s="89">
        <f t="shared" si="597"/>
        <v>13577</v>
      </c>
      <c r="ALZ38" s="89">
        <f t="shared" si="597"/>
        <v>13177</v>
      </c>
      <c r="AMA38" s="89">
        <f t="shared" si="597"/>
        <v>12488</v>
      </c>
      <c r="AMB38" s="89">
        <f t="shared" si="597"/>
        <v>11660</v>
      </c>
      <c r="AMC38" s="89">
        <f t="shared" si="597"/>
        <v>10800</v>
      </c>
      <c r="AMD38" s="89">
        <f>AMC41+4971</f>
        <v>14893</v>
      </c>
      <c r="AME38" s="89">
        <f t="shared" ref="AME38:AMN38" si="598">AMD41</f>
        <v>13970</v>
      </c>
      <c r="AMF38" s="89">
        <f t="shared" si="598"/>
        <v>12835</v>
      </c>
      <c r="AMG38" s="89">
        <f t="shared" si="598"/>
        <v>11966</v>
      </c>
      <c r="AMH38" s="89">
        <f t="shared" si="598"/>
        <v>11105</v>
      </c>
      <c r="AMI38" s="89">
        <f t="shared" si="598"/>
        <v>10200</v>
      </c>
      <c r="AMJ38" s="89">
        <f t="shared" si="598"/>
        <v>9177</v>
      </c>
      <c r="AMK38" s="89">
        <f t="shared" si="598"/>
        <v>8000</v>
      </c>
      <c r="AML38" s="89">
        <f t="shared" si="598"/>
        <v>7188</v>
      </c>
      <c r="AMM38" s="89">
        <f t="shared" si="598"/>
        <v>6266</v>
      </c>
      <c r="AMN38" s="89">
        <f t="shared" si="598"/>
        <v>5354</v>
      </c>
      <c r="AMO38" s="89">
        <f>AMN41+7961</f>
        <v>12581</v>
      </c>
      <c r="AMP38" s="89">
        <f>AMO41</f>
        <v>11888</v>
      </c>
      <c r="AMQ38" s="89">
        <f>AMP41</f>
        <v>10955</v>
      </c>
      <c r="AMR38" s="89">
        <f>AMQ41</f>
        <v>9977</v>
      </c>
      <c r="AMS38" s="89">
        <f>AMR41+7964</f>
        <v>16881</v>
      </c>
      <c r="AMT38" s="89">
        <f>AMS41</f>
        <v>15788</v>
      </c>
      <c r="AMU38" s="89">
        <f>AMT41</f>
        <v>14840</v>
      </c>
      <c r="AMV38" s="89">
        <f>AMU41</f>
        <v>13800</v>
      </c>
      <c r="AMW38" s="89">
        <f>AMV41</f>
        <v>12745</v>
      </c>
      <c r="AMX38" s="89">
        <f>AMW41</f>
        <v>11768</v>
      </c>
      <c r="AMY38" s="127">
        <f t="shared" si="13"/>
        <v>359829</v>
      </c>
      <c r="AMZ38" s="89">
        <f>AMX41</f>
        <v>10966</v>
      </c>
      <c r="ANA38" s="89">
        <f>AMZ41</f>
        <v>10247</v>
      </c>
      <c r="ANB38" s="89">
        <f>ANA41</f>
        <v>9542</v>
      </c>
      <c r="ANC38" s="89">
        <f>ANB41</f>
        <v>9155</v>
      </c>
      <c r="AND38" s="89">
        <f>ANC41</f>
        <v>8504</v>
      </c>
      <c r="ANE38" s="89">
        <f>AND41+5000</f>
        <v>13084</v>
      </c>
      <c r="ANF38" s="89">
        <f t="shared" ref="ANF38:ANL38" si="599">ANE41</f>
        <v>12466</v>
      </c>
      <c r="ANG38" s="89">
        <f t="shared" si="599"/>
        <v>12000</v>
      </c>
      <c r="ANH38" s="89">
        <f t="shared" si="599"/>
        <v>11470</v>
      </c>
      <c r="ANI38" s="89">
        <f t="shared" si="599"/>
        <v>10877</v>
      </c>
      <c r="ANJ38" s="89">
        <f t="shared" si="599"/>
        <v>10088</v>
      </c>
      <c r="ANK38" s="89">
        <f t="shared" si="599"/>
        <v>9419</v>
      </c>
      <c r="ANL38" s="89">
        <f t="shared" si="599"/>
        <v>9055</v>
      </c>
      <c r="ANM38" s="89">
        <f>ANL41+4966</f>
        <v>13396</v>
      </c>
      <c r="ANN38" s="89">
        <f t="shared" ref="ANN38:ANT38" si="600">ANM41</f>
        <v>12814</v>
      </c>
      <c r="ANO38" s="89">
        <f t="shared" si="600"/>
        <v>11968</v>
      </c>
      <c r="ANP38" s="89">
        <f t="shared" si="600"/>
        <v>11262</v>
      </c>
      <c r="ANQ38" s="89">
        <f t="shared" si="600"/>
        <v>10729</v>
      </c>
      <c r="ANR38" s="89">
        <f t="shared" si="600"/>
        <v>10108</v>
      </c>
      <c r="ANS38" s="89">
        <f t="shared" si="600"/>
        <v>9409</v>
      </c>
      <c r="ANT38" s="89">
        <f t="shared" si="600"/>
        <v>8600</v>
      </c>
      <c r="ANU38" s="89">
        <f>ANT41+4974</f>
        <v>12974</v>
      </c>
      <c r="ANV38" s="89">
        <f t="shared" ref="ANV38:AOB38" si="601">ANU41</f>
        <v>11866</v>
      </c>
      <c r="ANW38" s="89">
        <f t="shared" si="601"/>
        <v>11000</v>
      </c>
      <c r="ANX38" s="89">
        <f t="shared" si="601"/>
        <v>10329</v>
      </c>
      <c r="ANY38" s="89">
        <f t="shared" si="601"/>
        <v>9457</v>
      </c>
      <c r="ANZ38" s="89">
        <f t="shared" si="601"/>
        <v>8262</v>
      </c>
      <c r="AOA38" s="89">
        <f t="shared" si="601"/>
        <v>7487</v>
      </c>
      <c r="AOB38" s="89">
        <f t="shared" si="601"/>
        <v>6711</v>
      </c>
      <c r="AOC38" s="89">
        <f>AOB41+7961</f>
        <v>13491</v>
      </c>
    </row>
    <row r="39" spans="1:1069" x14ac:dyDescent="0.2">
      <c r="A39" s="160"/>
      <c r="B39" s="5" t="s">
        <v>1527</v>
      </c>
      <c r="C39" s="20">
        <v>1224.248</v>
      </c>
      <c r="D39" s="20">
        <v>1003.6</v>
      </c>
      <c r="E39" s="20">
        <v>696.245</v>
      </c>
      <c r="F39" s="20">
        <v>1041.627</v>
      </c>
      <c r="G39" s="20">
        <f t="shared" ref="G39:AG39" si="602">G7</f>
        <v>1370.5029999999679</v>
      </c>
      <c r="H39" s="20">
        <f t="shared" si="602"/>
        <v>822.19800000003306</v>
      </c>
      <c r="I39" s="20">
        <f t="shared" si="602"/>
        <v>1071.6059999999998</v>
      </c>
      <c r="J39" s="20">
        <f t="shared" si="602"/>
        <v>961.01699999999255</v>
      </c>
      <c r="K39" s="20">
        <f t="shared" si="602"/>
        <v>864.07300000003306</v>
      </c>
      <c r="L39" s="20">
        <f t="shared" si="602"/>
        <v>914.77199999999721</v>
      </c>
      <c r="M39" s="20">
        <f t="shared" si="602"/>
        <v>991.04899999996996</v>
      </c>
      <c r="N39" s="20">
        <f t="shared" si="602"/>
        <v>686.87400000003981</v>
      </c>
      <c r="O39" s="20">
        <f t="shared" si="602"/>
        <v>723.42199999996228</v>
      </c>
      <c r="P39" s="20">
        <f t="shared" si="602"/>
        <v>846.46099999998114</v>
      </c>
      <c r="Q39" s="20">
        <f t="shared" si="602"/>
        <v>841.29200000001583</v>
      </c>
      <c r="R39" s="20">
        <f t="shared" si="602"/>
        <v>694.90700000006473</v>
      </c>
      <c r="S39" s="20">
        <f t="shared" si="602"/>
        <v>1289.2559999999357</v>
      </c>
      <c r="T39" s="20">
        <f t="shared" si="602"/>
        <v>748.6359999999986</v>
      </c>
      <c r="U39" s="20">
        <f t="shared" si="602"/>
        <v>676.33300000004238</v>
      </c>
      <c r="V39" s="20">
        <f t="shared" si="602"/>
        <v>854.58099999991828</v>
      </c>
      <c r="W39" s="20">
        <f t="shared" si="602"/>
        <v>943.2050000000454</v>
      </c>
      <c r="X39" s="20">
        <f t="shared" si="602"/>
        <v>909.18100000001141</v>
      </c>
      <c r="Y39" s="20">
        <f t="shared" si="602"/>
        <v>935.38300000003073</v>
      </c>
      <c r="Z39" s="20">
        <f t="shared" si="602"/>
        <v>840.83099999991828</v>
      </c>
      <c r="AA39" s="20">
        <f t="shared" si="602"/>
        <v>1143.600000000064</v>
      </c>
      <c r="AB39" s="20">
        <f t="shared" si="602"/>
        <v>1035.0349999999744</v>
      </c>
      <c r="AC39" s="20">
        <f t="shared" si="602"/>
        <v>885.75500000003376</v>
      </c>
      <c r="AD39" s="20">
        <f t="shared" si="602"/>
        <v>844.88099999996484</v>
      </c>
      <c r="AE39" s="20">
        <f t="shared" si="602"/>
        <v>1339.6359999999695</v>
      </c>
      <c r="AF39" s="20">
        <f t="shared" si="602"/>
        <v>1280.685000000085</v>
      </c>
      <c r="AG39" s="20">
        <f t="shared" si="602"/>
        <v>1182.3499999999767</v>
      </c>
      <c r="AH39" s="94">
        <f t="shared" si="523"/>
        <v>29663.242000000027</v>
      </c>
      <c r="AI39" s="20">
        <f t="shared" ref="AI39:BL39" si="603">AI7</f>
        <v>1085.783999999956</v>
      </c>
      <c r="AJ39" s="20">
        <f t="shared" si="603"/>
        <v>1392.4130000000005</v>
      </c>
      <c r="AK39" s="20">
        <f t="shared" si="603"/>
        <v>1251.4040000000386</v>
      </c>
      <c r="AL39" s="20">
        <f t="shared" si="603"/>
        <v>1491.2099999999919</v>
      </c>
      <c r="AM39" s="20">
        <f t="shared" si="603"/>
        <v>1556.0809999999765</v>
      </c>
      <c r="AN39" s="20">
        <f t="shared" si="603"/>
        <v>1866.7150000000256</v>
      </c>
      <c r="AO39" s="20">
        <f t="shared" si="603"/>
        <v>1645.2830000000249</v>
      </c>
      <c r="AP39" s="20">
        <f t="shared" si="603"/>
        <v>1970.292999999976</v>
      </c>
      <c r="AQ39" s="20">
        <f t="shared" si="603"/>
        <v>1077.8560000000289</v>
      </c>
      <c r="AR39" s="20">
        <f t="shared" si="603"/>
        <v>1243.1789999999455</v>
      </c>
      <c r="AS39" s="20">
        <f t="shared" si="603"/>
        <v>1295.7840000000142</v>
      </c>
      <c r="AT39" s="20">
        <f t="shared" si="603"/>
        <v>1152.8680000000168</v>
      </c>
      <c r="AU39" s="20">
        <f t="shared" si="603"/>
        <v>934.59200000000419</v>
      </c>
      <c r="AV39" s="20">
        <f t="shared" si="603"/>
        <v>919.04299999997602</v>
      </c>
      <c r="AW39" s="20">
        <f t="shared" si="603"/>
        <v>1061.2110000000102</v>
      </c>
      <c r="AX39" s="20">
        <f t="shared" si="603"/>
        <v>986.25600000002305</v>
      </c>
      <c r="AY39" s="20">
        <f t="shared" si="603"/>
        <v>946.89399999994203</v>
      </c>
      <c r="AZ39" s="20">
        <f t="shared" si="603"/>
        <v>1125.1759999999831</v>
      </c>
      <c r="BA39" s="20">
        <f t="shared" si="603"/>
        <v>1038.9230000000089</v>
      </c>
      <c r="BB39" s="20">
        <f t="shared" si="603"/>
        <v>796.60800000003655</v>
      </c>
      <c r="BC39" s="20">
        <f t="shared" si="603"/>
        <v>993.09000000002561</v>
      </c>
      <c r="BD39" s="20">
        <f t="shared" si="603"/>
        <v>1195.7960000000021</v>
      </c>
      <c r="BE39" s="20">
        <f t="shared" si="603"/>
        <v>1305.3679999999877</v>
      </c>
      <c r="BF39" s="20">
        <f t="shared" si="603"/>
        <v>970.27099999997881</v>
      </c>
      <c r="BG39" s="20">
        <f t="shared" si="603"/>
        <v>989.74300000001676</v>
      </c>
      <c r="BH39" s="20">
        <f t="shared" si="603"/>
        <v>1081.3849999999802</v>
      </c>
      <c r="BI39" s="20">
        <f t="shared" si="603"/>
        <v>1102.4220000000205</v>
      </c>
      <c r="BJ39" s="20">
        <f t="shared" si="603"/>
        <v>1145.6890000000421</v>
      </c>
      <c r="BK39" s="20">
        <f t="shared" si="603"/>
        <v>1191.3889999999374</v>
      </c>
      <c r="BL39" s="20">
        <f t="shared" si="603"/>
        <v>875.79400000002352</v>
      </c>
      <c r="BM39" s="97">
        <f t="shared" si="527"/>
        <v>35688.519999999997</v>
      </c>
      <c r="BN39" s="20">
        <f t="shared" ref="BN39:CR39" si="604">BN7</f>
        <v>808.80199999999604</v>
      </c>
      <c r="BO39" s="20">
        <f t="shared" si="604"/>
        <v>902.28199999997742</v>
      </c>
      <c r="BP39" s="20">
        <f t="shared" si="604"/>
        <v>1172.8300000000454</v>
      </c>
      <c r="BQ39" s="20">
        <f t="shared" si="604"/>
        <v>983.32500000001164</v>
      </c>
      <c r="BR39" s="20">
        <f t="shared" si="604"/>
        <v>1563.6069999999308</v>
      </c>
      <c r="BS39" s="20">
        <f t="shared" si="604"/>
        <v>1263.3350000000501</v>
      </c>
      <c r="BT39" s="20">
        <f t="shared" si="604"/>
        <v>1054.9459999999381</v>
      </c>
      <c r="BU39" s="20">
        <f t="shared" si="604"/>
        <v>777.865000000078</v>
      </c>
      <c r="BV39" s="20">
        <f t="shared" si="604"/>
        <v>1320.2319999999017</v>
      </c>
      <c r="BW39" s="20">
        <f t="shared" si="604"/>
        <v>1031.2770000000892</v>
      </c>
      <c r="BX39" s="20">
        <f t="shared" si="604"/>
        <v>1000.6270000000077</v>
      </c>
      <c r="BY39" s="20">
        <f t="shared" si="604"/>
        <v>874.07699999999022</v>
      </c>
      <c r="BZ39" s="20">
        <f t="shared" si="604"/>
        <v>1138.9039999999804</v>
      </c>
      <c r="CA39" s="20">
        <f t="shared" si="604"/>
        <v>1027.5580000000191</v>
      </c>
      <c r="CB39" s="20">
        <f t="shared" si="604"/>
        <v>770.49499999999534</v>
      </c>
      <c r="CC39" s="20">
        <f t="shared" si="604"/>
        <v>991.76699999999255</v>
      </c>
      <c r="CD39" s="20">
        <f t="shared" si="604"/>
        <v>1100.073000000004</v>
      </c>
      <c r="CE39" s="20">
        <f t="shared" si="604"/>
        <v>963.396999999939</v>
      </c>
      <c r="CF39" s="20">
        <f t="shared" si="604"/>
        <v>716.38400000002002</v>
      </c>
      <c r="CG39" s="20">
        <f t="shared" si="604"/>
        <v>994.80700000005891</v>
      </c>
      <c r="CH39" s="20">
        <f t="shared" si="604"/>
        <v>830.86100000000442</v>
      </c>
      <c r="CI39" s="20">
        <f t="shared" si="604"/>
        <v>761.98299999997835</v>
      </c>
      <c r="CJ39" s="20">
        <f t="shared" si="604"/>
        <v>866.88499999995111</v>
      </c>
      <c r="CK39" s="20">
        <f t="shared" si="604"/>
        <v>1076.6860000000452</v>
      </c>
      <c r="CL39" s="20">
        <f t="shared" si="604"/>
        <v>720.49699999994482</v>
      </c>
      <c r="CM39" s="20">
        <f t="shared" si="604"/>
        <v>853.53900000004796</v>
      </c>
      <c r="CN39" s="20">
        <f t="shared" si="604"/>
        <v>825.658999999956</v>
      </c>
      <c r="CO39" s="20">
        <f t="shared" si="604"/>
        <v>1143.3059999999823</v>
      </c>
      <c r="CP39" s="20">
        <f t="shared" si="604"/>
        <v>781.57300000006217</v>
      </c>
      <c r="CQ39" s="20">
        <f t="shared" si="604"/>
        <v>980.81499999997322</v>
      </c>
      <c r="CR39" s="20">
        <f t="shared" si="604"/>
        <v>919.21300000004703</v>
      </c>
      <c r="CS39" s="111">
        <f t="shared" si="208"/>
        <v>30217.607000000018</v>
      </c>
      <c r="CT39" s="20">
        <f t="shared" ref="CT39:DW39" si="605">CT7</f>
        <v>961.03499999991618</v>
      </c>
      <c r="CU39" s="20">
        <f t="shared" si="605"/>
        <v>947.08400000006077</v>
      </c>
      <c r="CV39" s="20">
        <f t="shared" si="605"/>
        <v>927.03099999998813</v>
      </c>
      <c r="CW39" s="20">
        <f t="shared" si="605"/>
        <v>1170.7069999999949</v>
      </c>
      <c r="CX39" s="20">
        <f t="shared" si="605"/>
        <v>952.17300000000978</v>
      </c>
      <c r="CY39" s="20">
        <f t="shared" si="605"/>
        <v>1010.7329999999783</v>
      </c>
      <c r="CZ39" s="20">
        <f t="shared" si="605"/>
        <v>1119.1440000000584</v>
      </c>
      <c r="DA39" s="20">
        <f t="shared" si="605"/>
        <v>1018.20100000003</v>
      </c>
      <c r="DB39" s="20">
        <f t="shared" si="605"/>
        <v>1119.1849999999395</v>
      </c>
      <c r="DC39" s="20">
        <f t="shared" si="605"/>
        <v>947.99799999999232</v>
      </c>
      <c r="DD39" s="20">
        <f t="shared" si="605"/>
        <v>1197.5220000000263</v>
      </c>
      <c r="DE39" s="20">
        <f t="shared" si="605"/>
        <v>551.4309999999241</v>
      </c>
      <c r="DF39" s="20">
        <f t="shared" si="605"/>
        <v>502.41200000004028</v>
      </c>
      <c r="DG39" s="20">
        <f t="shared" si="605"/>
        <v>976.34899999999323</v>
      </c>
      <c r="DH39" s="20">
        <f t="shared" si="605"/>
        <v>635.42599999997765</v>
      </c>
      <c r="DI39" s="20">
        <f t="shared" si="605"/>
        <v>777.42600000006496</v>
      </c>
      <c r="DJ39" s="20">
        <f t="shared" si="605"/>
        <v>1784.3549999999814</v>
      </c>
      <c r="DK39" s="20">
        <f t="shared" si="605"/>
        <v>945.60500000001048</v>
      </c>
      <c r="DL39" s="20">
        <f t="shared" si="605"/>
        <v>637.06200000000536</v>
      </c>
      <c r="DM39" s="20">
        <f t="shared" si="605"/>
        <v>1377.9899999999616</v>
      </c>
      <c r="DN39" s="20">
        <f t="shared" si="605"/>
        <v>863.57099999999627</v>
      </c>
      <c r="DO39" s="20">
        <f t="shared" si="605"/>
        <v>1203.7849999999744</v>
      </c>
      <c r="DP39" s="20">
        <f t="shared" si="605"/>
        <v>905.2500000000291</v>
      </c>
      <c r="DQ39" s="20">
        <f t="shared" si="605"/>
        <v>985.12200000000303</v>
      </c>
      <c r="DR39" s="20">
        <f t="shared" si="605"/>
        <v>819.0350000000617</v>
      </c>
      <c r="DS39" s="20">
        <f t="shared" si="605"/>
        <v>903.03299999996671</v>
      </c>
      <c r="DT39" s="20">
        <f t="shared" si="605"/>
        <v>1196.2679999999527</v>
      </c>
      <c r="DU39" s="20">
        <f t="shared" si="605"/>
        <v>1295.0469999999914</v>
      </c>
      <c r="DV39" s="20">
        <f t="shared" si="605"/>
        <v>1084.390000000014</v>
      </c>
      <c r="DW39" s="20">
        <f t="shared" si="605"/>
        <v>981.57600000000093</v>
      </c>
      <c r="DX39" s="119"/>
      <c r="DY39" s="20">
        <f t="shared" ref="DY39:FC39" si="606">DY7</f>
        <v>938.14300000001094</v>
      </c>
      <c r="DZ39" s="20">
        <f t="shared" si="606"/>
        <v>1206.2889999999607</v>
      </c>
      <c r="EA39" s="20">
        <f t="shared" si="606"/>
        <v>782.59700000003795</v>
      </c>
      <c r="EB39" s="20">
        <f t="shared" si="606"/>
        <v>960.07399999999325</v>
      </c>
      <c r="EC39" s="20">
        <f t="shared" si="606"/>
        <v>1080.9539999999688</v>
      </c>
      <c r="ED39" s="20">
        <f t="shared" si="606"/>
        <v>956.06400000004214</v>
      </c>
      <c r="EE39" s="20">
        <f t="shared" si="606"/>
        <v>1100.1209999999551</v>
      </c>
      <c r="EF39" s="20">
        <f t="shared" si="606"/>
        <v>1054.5640000000712</v>
      </c>
      <c r="EG39" s="20">
        <f t="shared" si="606"/>
        <v>1389.0569999999716</v>
      </c>
      <c r="EH39" s="20">
        <f t="shared" si="606"/>
        <v>1092.9660000000149</v>
      </c>
      <c r="EI39" s="20">
        <f t="shared" si="606"/>
        <v>1238.6600000000035</v>
      </c>
      <c r="EJ39" s="20">
        <f t="shared" si="606"/>
        <v>1506.8009999999776</v>
      </c>
      <c r="EK39" s="20">
        <f t="shared" si="606"/>
        <v>1096.2230000000482</v>
      </c>
      <c r="EL39" s="20">
        <f t="shared" si="606"/>
        <v>1468.323999999935</v>
      </c>
      <c r="EM39" s="20">
        <f t="shared" si="606"/>
        <v>1404.6070000000473</v>
      </c>
      <c r="EN39" s="20">
        <f t="shared" si="606"/>
        <v>1070.4979999999632</v>
      </c>
      <c r="EO39" s="20">
        <f t="shared" si="606"/>
        <v>1067.170999999973</v>
      </c>
      <c r="EP39" s="20">
        <f t="shared" si="606"/>
        <v>1296.6440000000293</v>
      </c>
      <c r="EQ39" s="20">
        <f t="shared" si="606"/>
        <v>1015.9070000000065</v>
      </c>
      <c r="ER39" s="20">
        <f t="shared" si="606"/>
        <v>1256.2420000000275</v>
      </c>
      <c r="ES39" s="20">
        <f t="shared" si="606"/>
        <v>1787.7699999999895</v>
      </c>
      <c r="ET39" s="20">
        <f t="shared" si="606"/>
        <v>1514.0010000000184</v>
      </c>
      <c r="EU39" s="20">
        <f t="shared" si="606"/>
        <v>1917.5899999999674</v>
      </c>
      <c r="EV39" s="20">
        <f t="shared" si="606"/>
        <v>1121.9149999999499</v>
      </c>
      <c r="EW39" s="20">
        <f t="shared" si="606"/>
        <v>564.46000000005006</v>
      </c>
      <c r="EX39" s="20">
        <f t="shared" si="606"/>
        <v>887.98200000004726</v>
      </c>
      <c r="EY39" s="20">
        <f t="shared" si="606"/>
        <v>839.50999999995111</v>
      </c>
      <c r="EZ39" s="20">
        <f t="shared" si="606"/>
        <v>973.32700000001932</v>
      </c>
      <c r="FA39" s="20">
        <f t="shared" si="606"/>
        <v>950.84799999999814</v>
      </c>
      <c r="FB39" s="20">
        <f t="shared" si="606"/>
        <v>1198.4760000000533</v>
      </c>
      <c r="FC39" s="20">
        <f t="shared" si="606"/>
        <v>937.53499999991618</v>
      </c>
      <c r="FD39" s="128"/>
      <c r="FE39" s="20">
        <f t="shared" ref="FE39:GI39" si="607">FE7</f>
        <v>885.49400000006426</v>
      </c>
      <c r="FF39" s="20">
        <f t="shared" si="607"/>
        <v>843.62400000001071</v>
      </c>
      <c r="FG39" s="20">
        <f t="shared" si="607"/>
        <v>1256.5809999999474</v>
      </c>
      <c r="FH39" s="20">
        <f t="shared" si="607"/>
        <v>1064.9849999999569</v>
      </c>
      <c r="FI39" s="20">
        <f t="shared" si="607"/>
        <v>1034.3750000000582</v>
      </c>
      <c r="FJ39" s="20">
        <f t="shared" si="607"/>
        <v>1142.5749999999825</v>
      </c>
      <c r="FK39" s="20">
        <f t="shared" si="607"/>
        <v>977.15900000004331</v>
      </c>
      <c r="FL39" s="20">
        <f t="shared" si="607"/>
        <v>845.03499999991618</v>
      </c>
      <c r="FM39" s="20">
        <f t="shared" si="607"/>
        <v>1240.0990000000456</v>
      </c>
      <c r="FN39" s="20">
        <f t="shared" si="607"/>
        <v>780.33299999998417</v>
      </c>
      <c r="FO39" s="20">
        <f t="shared" si="607"/>
        <v>1012.7090000000608</v>
      </c>
      <c r="FP39" s="20">
        <f t="shared" si="607"/>
        <v>1605.7029999999213</v>
      </c>
      <c r="FQ39" s="20">
        <f t="shared" si="607"/>
        <v>826.72100000007777</v>
      </c>
      <c r="FR39" s="20">
        <f t="shared" si="607"/>
        <v>1207.9439999999595</v>
      </c>
      <c r="FS39" s="20">
        <f t="shared" si="607"/>
        <v>1372.3330000000424</v>
      </c>
      <c r="FT39" s="20">
        <f t="shared" si="607"/>
        <v>897.53599999990547</v>
      </c>
      <c r="FU39" s="20">
        <f t="shared" si="607"/>
        <v>1288.7620000001043</v>
      </c>
      <c r="FV39" s="20">
        <f t="shared" si="607"/>
        <v>1026.7469999999157</v>
      </c>
      <c r="FW39" s="20">
        <f t="shared" si="607"/>
        <v>1084.713000000047</v>
      </c>
      <c r="FX39" s="20">
        <f t="shared" si="607"/>
        <v>1200.768999999942</v>
      </c>
      <c r="FY39" s="20">
        <f t="shared" si="607"/>
        <v>989.47900000005029</v>
      </c>
      <c r="FZ39" s="20">
        <f t="shared" si="607"/>
        <v>1243.5819999999658</v>
      </c>
      <c r="GA39" s="20">
        <f t="shared" si="607"/>
        <v>1498.50900000002</v>
      </c>
      <c r="GB39" s="20">
        <f t="shared" si="607"/>
        <v>899.66599999996834</v>
      </c>
      <c r="GC39" s="20">
        <f t="shared" si="607"/>
        <v>885.84500000008848</v>
      </c>
      <c r="GD39" s="20">
        <f t="shared" si="607"/>
        <v>1262.5509999999776</v>
      </c>
      <c r="GE39" s="20">
        <f t="shared" si="607"/>
        <v>1164.0869999999995</v>
      </c>
      <c r="GF39" s="20">
        <f t="shared" si="607"/>
        <v>1161.5699999999779</v>
      </c>
      <c r="GG39" s="20">
        <f t="shared" si="607"/>
        <v>1459.6760000000068</v>
      </c>
      <c r="GH39" s="20">
        <f t="shared" si="607"/>
        <v>1336.5809999999765</v>
      </c>
      <c r="GI39" s="20">
        <f t="shared" si="607"/>
        <v>1171.6520000000019</v>
      </c>
      <c r="GJ39" s="127">
        <f t="shared" si="99"/>
        <v>34667.395000000019</v>
      </c>
      <c r="GK39" s="20">
        <f t="shared" ref="GK39:HM39" si="608">GK7</f>
        <v>1092.7020000000193</v>
      </c>
      <c r="GL39" s="20">
        <f t="shared" si="608"/>
        <v>1347.7940000000235</v>
      </c>
      <c r="GM39" s="20">
        <f t="shared" si="608"/>
        <v>1028.6359999999695</v>
      </c>
      <c r="GN39" s="20">
        <f t="shared" si="608"/>
        <v>787.85399999999208</v>
      </c>
      <c r="GO39" s="20">
        <f t="shared" si="608"/>
        <v>1083.0900000000547</v>
      </c>
      <c r="GP39" s="20">
        <f t="shared" si="608"/>
        <v>888.08499999996275</v>
      </c>
      <c r="GQ39" s="20">
        <f t="shared" si="608"/>
        <v>1204.792999999976</v>
      </c>
      <c r="GR39" s="20">
        <f t="shared" si="608"/>
        <v>1227.5360000000219</v>
      </c>
      <c r="GS39" s="20">
        <f t="shared" si="608"/>
        <v>847.72399999998743</v>
      </c>
      <c r="GT39" s="20">
        <f t="shared" si="608"/>
        <v>1344.6760000000068</v>
      </c>
      <c r="GU39" s="20">
        <f t="shared" si="608"/>
        <v>940.70199999999022</v>
      </c>
      <c r="GV39" s="20">
        <f t="shared" si="608"/>
        <v>986.908999999956</v>
      </c>
      <c r="GW39" s="20">
        <f t="shared" si="608"/>
        <v>825.37300000002142</v>
      </c>
      <c r="GX39" s="20">
        <f t="shared" si="608"/>
        <v>1003.2949999999837</v>
      </c>
      <c r="GY39" s="20">
        <f t="shared" si="608"/>
        <v>875.82100000005448</v>
      </c>
      <c r="GZ39" s="20">
        <f t="shared" si="608"/>
        <v>1016.2759999999544</v>
      </c>
      <c r="HA39" s="20">
        <f t="shared" si="608"/>
        <v>806.7390000000596</v>
      </c>
      <c r="HB39" s="20">
        <f t="shared" si="608"/>
        <v>768.53800000000047</v>
      </c>
      <c r="HC39" s="20">
        <f t="shared" si="608"/>
        <v>1378.1520000000019</v>
      </c>
      <c r="HD39" s="20">
        <f t="shared" si="608"/>
        <v>2908.2949999999837</v>
      </c>
      <c r="HE39" s="20">
        <f t="shared" si="608"/>
        <v>904.79900000002817</v>
      </c>
      <c r="HF39" s="20">
        <f t="shared" si="608"/>
        <v>938.0329999999376</v>
      </c>
      <c r="HG39" s="20">
        <f t="shared" si="608"/>
        <v>1050.4890000000305</v>
      </c>
      <c r="HH39" s="20">
        <f t="shared" si="608"/>
        <v>1548.2049999999872</v>
      </c>
      <c r="HI39" s="20">
        <f t="shared" si="608"/>
        <v>782.18700000003446</v>
      </c>
      <c r="HJ39" s="20">
        <f t="shared" si="608"/>
        <v>1013.7089999999735</v>
      </c>
      <c r="HK39" s="20">
        <f t="shared" si="608"/>
        <v>915.42999999996391</v>
      </c>
      <c r="HL39" s="20">
        <f t="shared" si="608"/>
        <v>823.42900000003283</v>
      </c>
      <c r="HM39" s="20">
        <f t="shared" si="608"/>
        <v>973.55499999993481</v>
      </c>
      <c r="HN39" s="127">
        <f t="shared" si="253"/>
        <v>31312.825999999943</v>
      </c>
      <c r="HO39" s="20">
        <f t="shared" ref="HO39:IS39" si="609">HO7</f>
        <v>1028.2040000000852</v>
      </c>
      <c r="HP39" s="20">
        <f t="shared" si="609"/>
        <v>1365.225999999966</v>
      </c>
      <c r="HQ39" s="20">
        <f t="shared" si="609"/>
        <v>887.93599999998696</v>
      </c>
      <c r="HR39" s="20">
        <f t="shared" si="609"/>
        <v>1618.5870000000577</v>
      </c>
      <c r="HS39" s="20">
        <f t="shared" si="609"/>
        <v>1095.4979999999341</v>
      </c>
      <c r="HT39" s="20">
        <f t="shared" si="609"/>
        <v>1319.3390000000654</v>
      </c>
      <c r="HU39" s="20">
        <f t="shared" si="609"/>
        <v>1429.5169999999634</v>
      </c>
      <c r="HV39" s="20">
        <f t="shared" si="609"/>
        <v>1006.804999999993</v>
      </c>
      <c r="HW39" s="20">
        <f t="shared" si="609"/>
        <v>1401.4369999999471</v>
      </c>
      <c r="HX39" s="20">
        <f t="shared" si="609"/>
        <v>1072.063000000082</v>
      </c>
      <c r="HY39" s="20">
        <f t="shared" si="609"/>
        <v>1164.23199999996</v>
      </c>
      <c r="HZ39" s="20">
        <f t="shared" si="609"/>
        <v>1008.6279999999679</v>
      </c>
      <c r="IA39" s="20">
        <f t="shared" si="609"/>
        <v>887.65300000004936</v>
      </c>
      <c r="IB39" s="20">
        <f t="shared" si="609"/>
        <v>1146.8030000000144</v>
      </c>
      <c r="IC39" s="20">
        <f t="shared" si="609"/>
        <v>997.46399999994901</v>
      </c>
      <c r="ID39" s="20">
        <f t="shared" si="609"/>
        <v>808.59900000004563</v>
      </c>
      <c r="IE39" s="20">
        <f t="shared" si="609"/>
        <v>911.02500000005239</v>
      </c>
      <c r="IF39" s="20">
        <f t="shared" si="609"/>
        <v>1131.216999999946</v>
      </c>
      <c r="IG39" s="20">
        <f t="shared" si="609"/>
        <v>1148.8800000000047</v>
      </c>
      <c r="IH39" s="20">
        <f t="shared" si="609"/>
        <v>861.50199999997858</v>
      </c>
      <c r="II39" s="20">
        <f t="shared" si="609"/>
        <v>1018.5340000000724</v>
      </c>
      <c r="IJ39" s="20">
        <f t="shared" si="609"/>
        <v>1192.3550000000105</v>
      </c>
      <c r="IK39" s="20">
        <f t="shared" si="609"/>
        <v>1210.1329999999434</v>
      </c>
      <c r="IL39" s="20">
        <f t="shared" si="609"/>
        <v>715.37299999996321</v>
      </c>
      <c r="IM39" s="20">
        <f t="shared" si="609"/>
        <v>1336.5290000000095</v>
      </c>
      <c r="IN39" s="20">
        <f t="shared" si="609"/>
        <v>1046.0219999999972</v>
      </c>
      <c r="IO39" s="20">
        <f t="shared" si="609"/>
        <v>1046.5960000000487</v>
      </c>
      <c r="IP39" s="20">
        <f t="shared" si="609"/>
        <v>1235.4239999999056</v>
      </c>
      <c r="IQ39" s="20">
        <f t="shared" si="609"/>
        <v>1558.8830000000598</v>
      </c>
      <c r="IR39" s="20">
        <f t="shared" si="609"/>
        <v>782.60099999999511</v>
      </c>
      <c r="IS39" s="20">
        <f t="shared" si="609"/>
        <v>731.11000000004424</v>
      </c>
      <c r="IT39" s="127">
        <f t="shared" si="22"/>
        <v>34164.175000000097</v>
      </c>
      <c r="IU39" s="20">
        <f t="shared" ref="IU39:JX39" si="610">IU7</f>
        <v>859.76599999991595</v>
      </c>
      <c r="IV39" s="20">
        <f t="shared" si="610"/>
        <v>1270.3960000000661</v>
      </c>
      <c r="IW39" s="20">
        <f t="shared" si="610"/>
        <v>844.86499999999069</v>
      </c>
      <c r="IX39" s="20">
        <f t="shared" si="610"/>
        <v>1062.5299999999697</v>
      </c>
      <c r="IY39" s="20">
        <f t="shared" si="610"/>
        <v>1207.06700000001</v>
      </c>
      <c r="IZ39" s="20">
        <f t="shared" si="610"/>
        <v>805.69200000001001</v>
      </c>
      <c r="JA39" s="20">
        <f t="shared" si="610"/>
        <v>759.83400000003166</v>
      </c>
      <c r="JB39" s="20">
        <f t="shared" si="610"/>
        <v>1364.274000000001</v>
      </c>
      <c r="JC39" s="20">
        <f t="shared" si="610"/>
        <v>941.44499999991967</v>
      </c>
      <c r="JD39" s="20">
        <f t="shared" si="610"/>
        <v>886.35900000002584</v>
      </c>
      <c r="JE39" s="20">
        <f t="shared" si="610"/>
        <v>1082.2830000000249</v>
      </c>
      <c r="JF39" s="20">
        <f t="shared" si="610"/>
        <v>1094.3580000000366</v>
      </c>
      <c r="JG39" s="20">
        <f t="shared" si="610"/>
        <v>1325.4219999999914</v>
      </c>
      <c r="JH39" s="20">
        <f t="shared" si="610"/>
        <v>826.43700000003446</v>
      </c>
      <c r="JI39" s="20">
        <f t="shared" si="610"/>
        <v>1010.6979999999749</v>
      </c>
      <c r="JJ39" s="20">
        <f t="shared" si="610"/>
        <v>976.51999999987311</v>
      </c>
      <c r="JK39" s="20">
        <f t="shared" si="610"/>
        <v>1148.7240000001621</v>
      </c>
      <c r="JL39" s="20">
        <f t="shared" si="610"/>
        <v>994.38999999992666</v>
      </c>
      <c r="JM39" s="20">
        <f t="shared" si="610"/>
        <v>1058.3849999999802</v>
      </c>
      <c r="JN39" s="20">
        <f t="shared" si="610"/>
        <v>1003.8940000000584</v>
      </c>
      <c r="JO39" s="20">
        <f t="shared" si="610"/>
        <v>614.82199999995646</v>
      </c>
      <c r="JP39" s="20">
        <f t="shared" si="610"/>
        <v>1466.0410000000556</v>
      </c>
      <c r="JQ39" s="20">
        <f t="shared" si="610"/>
        <v>905.34199999997509</v>
      </c>
      <c r="JR39" s="20">
        <f t="shared" si="610"/>
        <v>873.58699999999953</v>
      </c>
      <c r="JS39" s="20">
        <f t="shared" si="610"/>
        <v>879.61999999987893</v>
      </c>
      <c r="JT39" s="20">
        <f t="shared" si="610"/>
        <v>1003.9400000000314</v>
      </c>
      <c r="JU39" s="20">
        <f t="shared" si="610"/>
        <v>779.8200000000943</v>
      </c>
      <c r="JV39" s="20">
        <f t="shared" si="610"/>
        <v>946.97999999989406</v>
      </c>
      <c r="JW39" s="20">
        <f t="shared" si="610"/>
        <v>1117.0920000000042</v>
      </c>
      <c r="JX39" s="20">
        <f t="shared" si="610"/>
        <v>915.0010000000766</v>
      </c>
      <c r="JY39" s="127">
        <f t="shared" si="58"/>
        <v>30025.58399999997</v>
      </c>
      <c r="JZ39" s="20">
        <f t="shared" ref="JZ39:LD39" si="611">JZ7</f>
        <v>683.36899999994785</v>
      </c>
      <c r="KA39" s="20">
        <f t="shared" si="611"/>
        <v>971.30300000001444</v>
      </c>
      <c r="KB39" s="20">
        <f t="shared" si="611"/>
        <v>1255.9130000000005</v>
      </c>
      <c r="KC39" s="20">
        <f t="shared" si="611"/>
        <v>891.88600000002771</v>
      </c>
      <c r="KD39" s="20">
        <f t="shared" si="611"/>
        <v>999.60500000001048</v>
      </c>
      <c r="KE39" s="20">
        <f t="shared" si="611"/>
        <v>1006.685999999987</v>
      </c>
      <c r="KF39" s="20">
        <f t="shared" si="611"/>
        <v>1306.6030000000028</v>
      </c>
      <c r="KG39" s="20">
        <f t="shared" si="611"/>
        <v>1108.3359999999811</v>
      </c>
      <c r="KH39" s="20">
        <f t="shared" si="611"/>
        <v>1390.4360000000161</v>
      </c>
      <c r="KI39" s="20">
        <f t="shared" si="611"/>
        <v>1343.0929999999935</v>
      </c>
      <c r="KJ39" s="20">
        <f t="shared" si="611"/>
        <v>1241.4890000000014</v>
      </c>
      <c r="KK39" s="20">
        <f t="shared" si="611"/>
        <v>845.96300000007614</v>
      </c>
      <c r="KL39" s="20">
        <f t="shared" si="611"/>
        <v>2124.5379999998841</v>
      </c>
      <c r="KM39" s="20">
        <f t="shared" si="611"/>
        <v>1459.0440000000526</v>
      </c>
      <c r="KN39" s="20">
        <f t="shared" si="611"/>
        <v>912.24200000005658</v>
      </c>
      <c r="KO39" s="20">
        <f t="shared" si="611"/>
        <v>2109.6699999999255</v>
      </c>
      <c r="KP39" s="20">
        <f t="shared" si="611"/>
        <v>1387.6750000000466</v>
      </c>
      <c r="KQ39" s="20">
        <f t="shared" si="611"/>
        <v>1536.2269999999553</v>
      </c>
      <c r="KR39" s="20">
        <f t="shared" si="611"/>
        <v>992.26300000006449</v>
      </c>
      <c r="KS39" s="20">
        <f t="shared" si="611"/>
        <v>1375.1179999999586</v>
      </c>
      <c r="KT39" s="20">
        <f t="shared" si="611"/>
        <v>1880.4180000000051</v>
      </c>
      <c r="KU39" s="20">
        <f t="shared" si="611"/>
        <v>1687.9409999999043</v>
      </c>
      <c r="KV39" s="20">
        <f t="shared" si="611"/>
        <v>2552.3240000000224</v>
      </c>
      <c r="KW39" s="20">
        <f t="shared" si="611"/>
        <v>1444.3200000000943</v>
      </c>
      <c r="KX39" s="20">
        <f t="shared" si="611"/>
        <v>1278.0299999999988</v>
      </c>
      <c r="KY39" s="20">
        <f t="shared" si="611"/>
        <v>957.25599999999395</v>
      </c>
      <c r="KZ39" s="20">
        <f t="shared" si="611"/>
        <v>1259.2129999999306</v>
      </c>
      <c r="LA39" s="20">
        <f t="shared" si="611"/>
        <v>1519.5649999999732</v>
      </c>
      <c r="LB39" s="20">
        <f t="shared" si="611"/>
        <v>1568.9230000000971</v>
      </c>
      <c r="LC39" s="20">
        <f t="shared" si="611"/>
        <v>1086.7509999999893</v>
      </c>
      <c r="LD39" s="20">
        <f t="shared" si="611"/>
        <v>1526.1280000000261</v>
      </c>
      <c r="LE39" s="127">
        <f t="shared" si="60"/>
        <v>41018.95900000009</v>
      </c>
      <c r="LF39" s="20">
        <f t="shared" ref="LF39:MI39" si="612">LF7</f>
        <v>1310.0579999999609</v>
      </c>
      <c r="LG39" s="20">
        <f t="shared" si="612"/>
        <v>1188.4859999999462</v>
      </c>
      <c r="LH39" s="20">
        <f t="shared" si="612"/>
        <v>1717.9929999999586</v>
      </c>
      <c r="LI39" s="20">
        <f t="shared" si="612"/>
        <v>1710.926000000065</v>
      </c>
      <c r="LJ39" s="20">
        <f t="shared" si="612"/>
        <v>1263.1319999999832</v>
      </c>
      <c r="LK39" s="20">
        <f t="shared" si="612"/>
        <v>1294.5170000000217</v>
      </c>
      <c r="LL39" s="20">
        <f t="shared" si="612"/>
        <v>1714.6380000000354</v>
      </c>
      <c r="LM39" s="20">
        <f t="shared" si="612"/>
        <v>1575.570000000007</v>
      </c>
      <c r="LN39" s="20">
        <f t="shared" si="612"/>
        <v>954.61600000000908</v>
      </c>
      <c r="LO39" s="20">
        <f t="shared" si="612"/>
        <v>1387.8349999999627</v>
      </c>
      <c r="LP39" s="20">
        <f t="shared" si="612"/>
        <v>1682.1520000000892</v>
      </c>
      <c r="LQ39" s="20">
        <f t="shared" si="612"/>
        <v>1300.4439999998722</v>
      </c>
      <c r="LR39" s="20">
        <f t="shared" si="612"/>
        <v>1462.4039999999804</v>
      </c>
      <c r="LS39" s="20">
        <f t="shared" si="612"/>
        <v>1579.7440000000934</v>
      </c>
      <c r="LT39" s="20">
        <f t="shared" si="612"/>
        <v>1268.0739999999641</v>
      </c>
      <c r="LU39" s="20">
        <f t="shared" si="612"/>
        <v>1068.3339999999444</v>
      </c>
      <c r="LV39" s="20">
        <f t="shared" si="612"/>
        <v>1064.2800000000279</v>
      </c>
      <c r="LW39" s="20">
        <f t="shared" si="612"/>
        <v>1320.5550000000512</v>
      </c>
      <c r="LX39" s="20">
        <f t="shared" si="612"/>
        <v>1439.289999999979</v>
      </c>
      <c r="LY39" s="20">
        <f t="shared" si="612"/>
        <v>1410.7790000000386</v>
      </c>
      <c r="LZ39" s="20">
        <f t="shared" si="612"/>
        <v>1388.8699999999662</v>
      </c>
      <c r="MA39" s="20">
        <f t="shared" si="612"/>
        <v>1208.8499999999767</v>
      </c>
      <c r="MB39" s="20">
        <f t="shared" si="612"/>
        <v>823.31600000004983</v>
      </c>
      <c r="MC39" s="20">
        <f t="shared" si="612"/>
        <v>1107.4199999999546</v>
      </c>
      <c r="MD39" s="20">
        <f t="shared" si="612"/>
        <v>1178.6390000000829</v>
      </c>
      <c r="ME39" s="20">
        <f t="shared" si="612"/>
        <v>1285.4629999999597</v>
      </c>
      <c r="MF39" s="20">
        <f t="shared" si="612"/>
        <v>1136.7160000000149</v>
      </c>
      <c r="MG39" s="20">
        <f t="shared" si="612"/>
        <v>1156.6680000000051</v>
      </c>
      <c r="MH39" s="20">
        <f t="shared" si="612"/>
        <v>1064.1069999999891</v>
      </c>
      <c r="MI39" s="20">
        <f t="shared" si="612"/>
        <v>1302.082999999926</v>
      </c>
      <c r="MJ39" s="127">
        <f t="shared" si="62"/>
        <v>39365.958999999915</v>
      </c>
      <c r="MK39" s="20">
        <f t="shared" ref="MK39:NO39" si="613">MK7</f>
        <v>1288.2180000000226</v>
      </c>
      <c r="ML39" s="20">
        <f t="shared" si="613"/>
        <v>1363.4630000000084</v>
      </c>
      <c r="MM39" s="20">
        <f t="shared" si="613"/>
        <v>856.35599999997066</v>
      </c>
      <c r="MN39" s="20">
        <f t="shared" si="613"/>
        <v>1081.5530000000899</v>
      </c>
      <c r="MO39" s="20">
        <f t="shared" si="613"/>
        <v>1411.5819999999658</v>
      </c>
      <c r="MP39" s="20">
        <f t="shared" si="613"/>
        <v>942.03699999998514</v>
      </c>
      <c r="MQ39" s="20">
        <f t="shared" si="613"/>
        <v>1266.0890000000363</v>
      </c>
      <c r="MR39" s="20">
        <f t="shared" si="613"/>
        <v>1143.576999999932</v>
      </c>
      <c r="MS39" s="20">
        <f t="shared" si="613"/>
        <v>981.68800000006866</v>
      </c>
      <c r="MT39" s="20">
        <f t="shared" si="613"/>
        <v>671.25499999999465</v>
      </c>
      <c r="MU39" s="20">
        <f t="shared" si="613"/>
        <v>1344.596999999897</v>
      </c>
      <c r="MV39" s="20">
        <f t="shared" si="613"/>
        <v>1126.1840000001248</v>
      </c>
      <c r="MW39" s="20">
        <f t="shared" si="613"/>
        <v>1260.2509999999602</v>
      </c>
      <c r="MX39" s="20">
        <f t="shared" si="613"/>
        <v>959.6699999999837</v>
      </c>
      <c r="MY39" s="20">
        <f t="shared" si="613"/>
        <v>1229.7440000000352</v>
      </c>
      <c r="MZ39" s="20">
        <f t="shared" si="613"/>
        <v>1341.0609999999288</v>
      </c>
      <c r="NA39" s="20">
        <f t="shared" si="613"/>
        <v>1189.1220000000321</v>
      </c>
      <c r="NB39" s="20">
        <f t="shared" si="613"/>
        <v>1120.1540000000095</v>
      </c>
      <c r="NC39" s="20">
        <f t="shared" si="613"/>
        <v>1295.7530000000261</v>
      </c>
      <c r="ND39" s="20">
        <f t="shared" si="613"/>
        <v>1018.0079999999725</v>
      </c>
      <c r="NE39" s="20">
        <f t="shared" si="613"/>
        <v>735.06899999993038</v>
      </c>
      <c r="NF39" s="20">
        <f t="shared" si="613"/>
        <v>1167.9100000001199</v>
      </c>
      <c r="NG39" s="20">
        <f t="shared" si="613"/>
        <v>997.61799999998766</v>
      </c>
      <c r="NH39" s="20">
        <f t="shared" si="613"/>
        <v>949.65599999998813</v>
      </c>
      <c r="NI39" s="20">
        <f t="shared" si="613"/>
        <v>1243.0909999999567</v>
      </c>
      <c r="NJ39" s="20">
        <f t="shared" si="613"/>
        <v>1498.2139999999781</v>
      </c>
      <c r="NK39" s="20">
        <f t="shared" si="613"/>
        <v>827.4890000000305</v>
      </c>
      <c r="NL39" s="20">
        <f t="shared" si="613"/>
        <v>1073.6120000000228</v>
      </c>
      <c r="NM39" s="20">
        <f t="shared" si="613"/>
        <v>1077.7120000000577</v>
      </c>
      <c r="NN39" s="20">
        <f t="shared" si="613"/>
        <v>1165.094999999943</v>
      </c>
      <c r="NO39" s="20">
        <f t="shared" si="613"/>
        <v>1053.1230000000505</v>
      </c>
      <c r="NP39" s="127">
        <f t="shared" si="64"/>
        <v>33390.73300000008</v>
      </c>
      <c r="NQ39" s="20">
        <f t="shared" ref="NQ39:OU39" si="614">NQ7</f>
        <v>1002.9369999998889</v>
      </c>
      <c r="NR39" s="20">
        <f t="shared" si="614"/>
        <v>1330.743000000075</v>
      </c>
      <c r="NS39" s="20">
        <f t="shared" si="614"/>
        <v>1191.4909999999509</v>
      </c>
      <c r="NT39" s="20">
        <f t="shared" si="614"/>
        <v>915.12999999997555</v>
      </c>
      <c r="NU39" s="20">
        <f t="shared" si="614"/>
        <v>1061.3869999999879</v>
      </c>
      <c r="NV39" s="20">
        <f t="shared" si="614"/>
        <v>1439.8720000000903</v>
      </c>
      <c r="NW39" s="20">
        <f t="shared" si="614"/>
        <v>1345.7660000000033</v>
      </c>
      <c r="NX39" s="20">
        <f t="shared" si="614"/>
        <v>1230.835000000021</v>
      </c>
      <c r="NY39" s="20">
        <f t="shared" si="614"/>
        <v>1182.9059999999881</v>
      </c>
      <c r="NZ39" s="20">
        <f t="shared" si="614"/>
        <v>909.08199999996577</v>
      </c>
      <c r="OA39" s="20">
        <f t="shared" si="614"/>
        <v>1028.9439999999013</v>
      </c>
      <c r="OB39" s="20">
        <f t="shared" si="614"/>
        <v>876.31300000011106</v>
      </c>
      <c r="OC39" s="20">
        <f t="shared" si="614"/>
        <v>1041.7789999999513</v>
      </c>
      <c r="OD39" s="20">
        <f t="shared" si="614"/>
        <v>1216.4490000000515</v>
      </c>
      <c r="OE39" s="20">
        <f t="shared" si="614"/>
        <v>1115.9930000000168</v>
      </c>
      <c r="OF39" s="20">
        <f t="shared" si="614"/>
        <v>1114.6169999999984</v>
      </c>
      <c r="OG39" s="20">
        <f t="shared" si="614"/>
        <v>1005.4579999999551</v>
      </c>
      <c r="OH39" s="20">
        <f t="shared" si="614"/>
        <v>995.70000000004075</v>
      </c>
      <c r="OI39" s="20">
        <f t="shared" si="614"/>
        <v>1142.2559999999357</v>
      </c>
      <c r="OJ39" s="20">
        <f t="shared" si="614"/>
        <v>999.14500000004773</v>
      </c>
      <c r="OK39" s="20">
        <f t="shared" si="614"/>
        <v>1019.8449999999721</v>
      </c>
      <c r="OL39" s="20">
        <f t="shared" si="614"/>
        <v>1418.2409999999218</v>
      </c>
      <c r="OM39" s="20">
        <f t="shared" si="614"/>
        <v>1260.396000000037</v>
      </c>
      <c r="ON39" s="20">
        <f t="shared" si="614"/>
        <v>1178.4630000001052</v>
      </c>
      <c r="OO39" s="20">
        <f t="shared" si="614"/>
        <v>675.11699999999837</v>
      </c>
      <c r="OP39" s="20">
        <f t="shared" si="614"/>
        <v>1205.1639999999898</v>
      </c>
      <c r="OQ39" s="20">
        <f t="shared" si="614"/>
        <v>1104.4529999999213</v>
      </c>
      <c r="OR39" s="20">
        <f t="shared" si="614"/>
        <v>1194.7610000000859</v>
      </c>
      <c r="OS39" s="20">
        <f t="shared" si="614"/>
        <v>1039.0599999999686</v>
      </c>
      <c r="OT39" s="20">
        <f t="shared" si="614"/>
        <v>1207.3699999999662</v>
      </c>
      <c r="OU39" s="20">
        <f t="shared" si="614"/>
        <v>1619.243000000075</v>
      </c>
      <c r="OV39" s="127">
        <f t="shared" si="66"/>
        <v>34065.979000000108</v>
      </c>
      <c r="OW39" s="20">
        <f t="shared" ref="OW39:PZ39" si="615">OW7</f>
        <v>855.48399999996764</v>
      </c>
      <c r="OX39" s="20">
        <f t="shared" si="615"/>
        <v>1707.6779999999562</v>
      </c>
      <c r="OY39" s="20">
        <f t="shared" si="615"/>
        <v>1157.4229999999516</v>
      </c>
      <c r="OZ39" s="20">
        <f t="shared" si="615"/>
        <v>949.25500000015018</v>
      </c>
      <c r="PA39" s="20">
        <f t="shared" si="615"/>
        <v>1321.8489999999292</v>
      </c>
      <c r="PB39" s="20">
        <f t="shared" si="615"/>
        <v>1336.4780000000319</v>
      </c>
      <c r="PC39" s="20">
        <f t="shared" si="615"/>
        <v>1329.8409999999276</v>
      </c>
      <c r="PD39" s="20">
        <f t="shared" si="615"/>
        <v>1168.091000000044</v>
      </c>
      <c r="PE39" s="20">
        <f t="shared" si="615"/>
        <v>949.89499999989016</v>
      </c>
      <c r="PF39" s="20">
        <f t="shared" si="615"/>
        <v>1136.6770000001416</v>
      </c>
      <c r="PG39" s="20">
        <f t="shared" si="615"/>
        <v>1295.0169999999634</v>
      </c>
      <c r="PH39" s="20">
        <f t="shared" si="615"/>
        <v>1098.1269999999786</v>
      </c>
      <c r="PI39" s="20">
        <f t="shared" si="615"/>
        <v>1515.8250000000116</v>
      </c>
      <c r="PJ39" s="20">
        <f t="shared" si="615"/>
        <v>1072.2379999999539</v>
      </c>
      <c r="PK39" s="20">
        <f t="shared" si="615"/>
        <v>976.99400000003516</v>
      </c>
      <c r="PL39" s="20">
        <f t="shared" si="615"/>
        <v>1010.9290000000328</v>
      </c>
      <c r="PM39" s="20">
        <f t="shared" si="615"/>
        <v>993.2609999999695</v>
      </c>
      <c r="PN39" s="20">
        <f t="shared" si="615"/>
        <v>860.2039999999979</v>
      </c>
      <c r="PO39" s="20">
        <f t="shared" si="615"/>
        <v>1269.8060000000987</v>
      </c>
      <c r="PP39" s="20">
        <f t="shared" si="615"/>
        <v>1115.2829999999667</v>
      </c>
      <c r="PQ39" s="20">
        <f t="shared" si="615"/>
        <v>1029.033999999956</v>
      </c>
      <c r="PR39" s="20">
        <f t="shared" si="615"/>
        <v>875.95199999999022</v>
      </c>
      <c r="PS39" s="20">
        <f t="shared" si="615"/>
        <v>887.33200000004024</v>
      </c>
      <c r="PT39" s="20">
        <f t="shared" si="615"/>
        <v>999.97899999989772</v>
      </c>
      <c r="PU39" s="20">
        <f t="shared" si="615"/>
        <v>903.51200000010431</v>
      </c>
      <c r="PV39" s="20">
        <f t="shared" si="615"/>
        <v>1118.311999999918</v>
      </c>
      <c r="PW39" s="20">
        <f t="shared" si="615"/>
        <v>1012.4170000000158</v>
      </c>
      <c r="PX39" s="20">
        <f t="shared" si="615"/>
        <v>1440.3970000000554</v>
      </c>
      <c r="PY39" s="20">
        <f t="shared" si="615"/>
        <v>678.66799999994691</v>
      </c>
      <c r="PZ39" s="20">
        <f t="shared" si="615"/>
        <v>1300.1480000000738</v>
      </c>
      <c r="QA39" s="127">
        <f t="shared" si="68"/>
        <v>33366.105999999992</v>
      </c>
      <c r="QB39" s="20">
        <f t="shared" ref="QB39:RF39" si="616">QB7</f>
        <v>0</v>
      </c>
      <c r="QC39" s="20">
        <f t="shared" si="616"/>
        <v>874.20600000000559</v>
      </c>
      <c r="QD39" s="20">
        <f t="shared" si="616"/>
        <v>1026.9060000000172</v>
      </c>
      <c r="QE39" s="20">
        <f t="shared" si="616"/>
        <v>1226.2919999999285</v>
      </c>
      <c r="QF39" s="20">
        <f t="shared" si="616"/>
        <v>1131.408000000054</v>
      </c>
      <c r="QG39" s="20">
        <f t="shared" si="616"/>
        <v>678.08399999994435</v>
      </c>
      <c r="QH39" s="20">
        <f t="shared" si="616"/>
        <v>1070.1059999999998</v>
      </c>
      <c r="QI39" s="20">
        <f t="shared" si="616"/>
        <v>1023.8150000000314</v>
      </c>
      <c r="QJ39" s="20">
        <f t="shared" si="616"/>
        <v>1078.5780000000377</v>
      </c>
      <c r="QK39" s="20">
        <f t="shared" si="616"/>
        <v>974.50299999993877</v>
      </c>
      <c r="QL39" s="20">
        <f t="shared" si="616"/>
        <v>1139.1810000000114</v>
      </c>
      <c r="QM39" s="20">
        <f t="shared" si="616"/>
        <v>1253.4389999999839</v>
      </c>
      <c r="QN39" s="20">
        <f t="shared" si="616"/>
        <v>1157.0660000000498</v>
      </c>
      <c r="QO39" s="20">
        <f t="shared" si="616"/>
        <v>1384.7340000000549</v>
      </c>
      <c r="QP39" s="20">
        <f t="shared" si="616"/>
        <v>933.87799999990966</v>
      </c>
      <c r="QQ39" s="20">
        <f t="shared" si="616"/>
        <v>991.62700000003679</v>
      </c>
      <c r="QR39" s="20">
        <f t="shared" si="616"/>
        <v>1012.4000000000233</v>
      </c>
      <c r="QS39" s="20">
        <f t="shared" si="616"/>
        <v>1532.8379999999888</v>
      </c>
      <c r="QT39" s="20">
        <f t="shared" si="616"/>
        <v>1105.3699999999953</v>
      </c>
      <c r="QU39" s="20">
        <f t="shared" si="616"/>
        <v>718.42999999999302</v>
      </c>
      <c r="QV39" s="20">
        <f t="shared" si="616"/>
        <v>1030.3749999999709</v>
      </c>
      <c r="QW39" s="20">
        <f t="shared" si="616"/>
        <v>958.07700000004843</v>
      </c>
      <c r="QX39" s="20">
        <f t="shared" si="616"/>
        <v>896.69999999998254</v>
      </c>
      <c r="QY39" s="20">
        <f t="shared" si="616"/>
        <v>1857.719999999943</v>
      </c>
      <c r="QZ39" s="20">
        <f t="shared" si="616"/>
        <v>1397.3730000000214</v>
      </c>
      <c r="RA39" s="20">
        <f t="shared" si="616"/>
        <v>872.95000000009895</v>
      </c>
      <c r="RB39" s="20">
        <f t="shared" si="616"/>
        <v>820.16299999994226</v>
      </c>
      <c r="RC39" s="20">
        <f t="shared" si="616"/>
        <v>922.2949999999837</v>
      </c>
      <c r="RD39" s="20">
        <f t="shared" si="616"/>
        <v>1038.7309999999998</v>
      </c>
      <c r="RE39" s="20">
        <f t="shared" si="616"/>
        <v>974.20599999994738</v>
      </c>
      <c r="RF39" s="20">
        <f t="shared" si="616"/>
        <v>1285.3400000000547</v>
      </c>
      <c r="RG39" s="127">
        <f t="shared" si="495"/>
        <v>32366.790999999997</v>
      </c>
      <c r="RH39" s="20">
        <f t="shared" ref="RH39:SK39" si="617">RH7</f>
        <v>994.73700000002282</v>
      </c>
      <c r="RI39" s="20">
        <f t="shared" si="617"/>
        <v>949.43000000002212</v>
      </c>
      <c r="RJ39" s="20">
        <f t="shared" si="617"/>
        <v>1046.6109999999171</v>
      </c>
      <c r="RK39" s="20">
        <f t="shared" si="617"/>
        <v>1660.1650000000664</v>
      </c>
      <c r="RL39" s="20">
        <f t="shared" si="617"/>
        <v>1123.2929999998887</v>
      </c>
      <c r="RM39" s="20">
        <f t="shared" si="617"/>
        <v>743.3310000000638</v>
      </c>
      <c r="RN39" s="20">
        <f t="shared" si="617"/>
        <v>979.09000000005472</v>
      </c>
      <c r="RO39" s="20">
        <f t="shared" si="617"/>
        <v>1015.2159999999858</v>
      </c>
      <c r="RP39" s="20">
        <f t="shared" si="617"/>
        <v>985.21199999991222</v>
      </c>
      <c r="RQ39" s="20">
        <f t="shared" si="617"/>
        <v>852.81500000008964</v>
      </c>
      <c r="RR39" s="20">
        <f t="shared" si="617"/>
        <v>1308.3709999999846</v>
      </c>
      <c r="RS39" s="20">
        <f t="shared" si="617"/>
        <v>906.18000000002212</v>
      </c>
      <c r="RT39" s="20">
        <f t="shared" si="617"/>
        <v>1265.3089999998629</v>
      </c>
      <c r="RU39" s="20">
        <f t="shared" si="617"/>
        <v>1163.1280000000843</v>
      </c>
      <c r="RV39" s="20">
        <f t="shared" si="617"/>
        <v>1162.2109999999229</v>
      </c>
      <c r="RW39" s="20">
        <f t="shared" si="617"/>
        <v>1193.9860000001499</v>
      </c>
      <c r="RX39" s="20">
        <f t="shared" si="617"/>
        <v>1011.954999999929</v>
      </c>
      <c r="RY39" s="20">
        <f t="shared" si="617"/>
        <v>878.01899999997113</v>
      </c>
      <c r="RZ39" s="20">
        <f t="shared" si="617"/>
        <v>918.39600000006612</v>
      </c>
      <c r="SA39" s="20">
        <f t="shared" si="617"/>
        <v>960.75400000004447</v>
      </c>
      <c r="SB39" s="20">
        <f t="shared" si="617"/>
        <v>1078.1609999999346</v>
      </c>
      <c r="SC39" s="20">
        <f t="shared" si="617"/>
        <v>958.13900000002468</v>
      </c>
      <c r="SD39" s="20">
        <f t="shared" si="617"/>
        <v>956.32499999989523</v>
      </c>
      <c r="SE39" s="20">
        <f t="shared" si="617"/>
        <v>758.13100000008126</v>
      </c>
      <c r="SF39" s="20">
        <f t="shared" si="617"/>
        <v>1225.7549999999756</v>
      </c>
      <c r="SG39" s="20">
        <f t="shared" si="617"/>
        <v>1201.5200000000768</v>
      </c>
      <c r="SH39" s="20">
        <f t="shared" si="617"/>
        <v>894.26899999994203</v>
      </c>
      <c r="SI39" s="20">
        <f t="shared" si="617"/>
        <v>1512.7880000000296</v>
      </c>
      <c r="SJ39" s="20">
        <f t="shared" si="617"/>
        <v>1061.595999999874</v>
      </c>
      <c r="SK39" s="20">
        <f t="shared" si="617"/>
        <v>976.33100000003469</v>
      </c>
      <c r="SL39" s="127">
        <f t="shared" si="497"/>
        <v>31741.223999999929</v>
      </c>
      <c r="SM39" s="20">
        <f t="shared" ref="SM39:TQ39" si="618">SM7</f>
        <v>661.5920000000624</v>
      </c>
      <c r="SN39" s="20">
        <f t="shared" si="618"/>
        <v>1806.5689999999886</v>
      </c>
      <c r="SO39" s="20">
        <f t="shared" si="618"/>
        <v>3154.1299999999756</v>
      </c>
      <c r="SP39" s="20">
        <f t="shared" si="618"/>
        <v>1361.3110000000161</v>
      </c>
      <c r="SQ39" s="20">
        <f t="shared" si="618"/>
        <v>1260.8150000000896</v>
      </c>
      <c r="SR39" s="20">
        <f t="shared" si="618"/>
        <v>1168.4159999999101</v>
      </c>
      <c r="SS39" s="20">
        <f t="shared" si="618"/>
        <v>1006.3359999999853</v>
      </c>
      <c r="ST39" s="20">
        <f t="shared" si="618"/>
        <v>1029.6480000000447</v>
      </c>
      <c r="SU39" s="20">
        <f t="shared" si="618"/>
        <v>1697.1119999999064</v>
      </c>
      <c r="SV39" s="20">
        <f t="shared" si="618"/>
        <v>1123.5400000000664</v>
      </c>
      <c r="SW39" s="20">
        <f t="shared" si="618"/>
        <v>1108.0830000001006</v>
      </c>
      <c r="SX39" s="20">
        <f t="shared" si="618"/>
        <v>980.06899999993038</v>
      </c>
      <c r="SY39" s="20">
        <f t="shared" si="618"/>
        <v>1677.5200000000186</v>
      </c>
      <c r="SZ39" s="20">
        <f t="shared" si="618"/>
        <v>1160.0269999999146</v>
      </c>
      <c r="TA39" s="20">
        <f t="shared" si="618"/>
        <v>1220.5360000000219</v>
      </c>
      <c r="TB39" s="20">
        <f t="shared" si="618"/>
        <v>1593.7960000000312</v>
      </c>
      <c r="TC39" s="20">
        <f t="shared" si="618"/>
        <v>1091.1799999999639</v>
      </c>
      <c r="TD39" s="20">
        <f t="shared" si="618"/>
        <v>1226.7660000000324</v>
      </c>
      <c r="TE39" s="20">
        <f t="shared" si="618"/>
        <v>1365.8039999999455</v>
      </c>
      <c r="TF39" s="20">
        <f t="shared" si="618"/>
        <v>1205.2490000000107</v>
      </c>
      <c r="TG39" s="20">
        <f t="shared" si="618"/>
        <v>1194.6259999999893</v>
      </c>
      <c r="TH39" s="20">
        <f t="shared" si="618"/>
        <v>1301.0370000001276</v>
      </c>
      <c r="TI39" s="20">
        <f t="shared" si="618"/>
        <v>1067.0689999999304</v>
      </c>
      <c r="TJ39" s="20">
        <f t="shared" si="618"/>
        <v>1221.7459999999846</v>
      </c>
      <c r="TK39" s="20">
        <f t="shared" si="618"/>
        <v>476.95899999997346</v>
      </c>
      <c r="TL39" s="20">
        <f t="shared" si="618"/>
        <v>723.93600000001607</v>
      </c>
      <c r="TM39" s="20">
        <f t="shared" si="618"/>
        <v>974.74400000003516</v>
      </c>
      <c r="TN39" s="20">
        <f t="shared" si="618"/>
        <v>940.07999999992899</v>
      </c>
      <c r="TO39" s="20">
        <f t="shared" si="618"/>
        <v>846.08900000012363</v>
      </c>
      <c r="TP39" s="20">
        <f t="shared" si="618"/>
        <v>1000.0109999999986</v>
      </c>
      <c r="TQ39" s="20">
        <f t="shared" si="618"/>
        <v>1151.9749999998894</v>
      </c>
      <c r="TR39" s="127">
        <f t="shared" si="499"/>
        <v>37135.178999999946</v>
      </c>
      <c r="TS39" s="20">
        <f t="shared" ref="TS39:UW39" si="619">TS7</f>
        <v>656.32400000002235</v>
      </c>
      <c r="TT39" s="20">
        <f t="shared" si="619"/>
        <v>968.78900000001886</v>
      </c>
      <c r="TU39" s="20">
        <f t="shared" si="619"/>
        <v>890.65999999997439</v>
      </c>
      <c r="TV39" s="20">
        <f t="shared" si="619"/>
        <v>959.25299999999697</v>
      </c>
      <c r="TW39" s="20">
        <f t="shared" si="619"/>
        <v>754.65600000004633</v>
      </c>
      <c r="TX39" s="20">
        <f t="shared" si="619"/>
        <v>1086.6059999999998</v>
      </c>
      <c r="TY39" s="20">
        <f t="shared" si="619"/>
        <v>1029.8299999999872</v>
      </c>
      <c r="TZ39" s="20">
        <f t="shared" si="619"/>
        <v>1503.2690000000002</v>
      </c>
      <c r="UA39" s="20">
        <f t="shared" si="619"/>
        <v>1104.2209999999614</v>
      </c>
      <c r="UB39" s="20">
        <f t="shared" si="619"/>
        <v>1195.3489999999583</v>
      </c>
      <c r="UC39" s="20">
        <f t="shared" si="619"/>
        <v>1026.4230000000971</v>
      </c>
      <c r="UD39" s="20">
        <f t="shared" si="619"/>
        <v>985.7729999999865</v>
      </c>
      <c r="UE39" s="20">
        <f t="shared" si="619"/>
        <v>1671.4520000000193</v>
      </c>
      <c r="UF39" s="20">
        <f t="shared" si="619"/>
        <v>982.77700000003097</v>
      </c>
      <c r="UG39" s="20">
        <f t="shared" si="619"/>
        <v>1016.0029999999388</v>
      </c>
      <c r="UH39" s="20">
        <f t="shared" si="619"/>
        <v>1047.6570000000065</v>
      </c>
      <c r="UI39" s="20">
        <f t="shared" si="619"/>
        <v>1181.4110000000219</v>
      </c>
      <c r="UJ39" s="20">
        <f t="shared" si="619"/>
        <v>1200.5679999999993</v>
      </c>
      <c r="UK39" s="20">
        <f t="shared" si="619"/>
        <v>1021.097000000038</v>
      </c>
      <c r="UL39" s="20">
        <f t="shared" si="619"/>
        <v>1205.8309999999183</v>
      </c>
      <c r="UM39" s="20">
        <f t="shared" si="619"/>
        <v>1126.2379999999539</v>
      </c>
      <c r="UN39" s="20">
        <f t="shared" si="619"/>
        <v>1446.1460000000952</v>
      </c>
      <c r="UO39" s="20">
        <f t="shared" si="619"/>
        <v>1046.1219999999157</v>
      </c>
      <c r="UP39" s="20">
        <f t="shared" si="619"/>
        <v>1398.6490000000049</v>
      </c>
      <c r="UQ39" s="20">
        <f t="shared" si="619"/>
        <v>1425.6710000000312</v>
      </c>
      <c r="UR39" s="20">
        <f t="shared" si="619"/>
        <v>1461.8280000000086</v>
      </c>
      <c r="US39" s="20">
        <f t="shared" si="619"/>
        <v>1128.6410000000324</v>
      </c>
      <c r="UT39" s="20">
        <f t="shared" si="619"/>
        <v>1014.218000000059</v>
      </c>
      <c r="UU39" s="20">
        <f t="shared" si="619"/>
        <v>0</v>
      </c>
      <c r="UV39" s="20">
        <f t="shared" si="619"/>
        <v>811.25399999991225</v>
      </c>
      <c r="UW39" s="20">
        <f t="shared" si="619"/>
        <v>1136.560000000045</v>
      </c>
      <c r="UX39" s="127">
        <f t="shared" si="501"/>
        <v>32826.952000000063</v>
      </c>
      <c r="UY39" s="20">
        <f t="shared" ref="UY39:VZ39" si="620">UY7</f>
        <v>1225.0359999999346</v>
      </c>
      <c r="UZ39" s="20">
        <f t="shared" si="620"/>
        <v>947.90200000000186</v>
      </c>
      <c r="VA39" s="20">
        <f t="shared" si="620"/>
        <v>1894.9910000000382</v>
      </c>
      <c r="VB39" s="20">
        <f t="shared" si="620"/>
        <v>1130.1320000000414</v>
      </c>
      <c r="VC39" s="20">
        <f t="shared" si="620"/>
        <v>1183.2829999998503</v>
      </c>
      <c r="VD39" s="20">
        <f t="shared" si="620"/>
        <v>873.01600000014878</v>
      </c>
      <c r="VE39" s="20">
        <f t="shared" si="620"/>
        <v>1325.1709999999148</v>
      </c>
      <c r="VF39" s="20">
        <f t="shared" si="620"/>
        <v>1601.9960000000428</v>
      </c>
      <c r="VG39" s="20">
        <f t="shared" si="620"/>
        <v>779.4429999999993</v>
      </c>
      <c r="VH39" s="20">
        <f t="shared" si="620"/>
        <v>1134.8929999999236</v>
      </c>
      <c r="VI39" s="20">
        <f t="shared" si="620"/>
        <v>1588.3400000000838</v>
      </c>
      <c r="VJ39" s="20">
        <f t="shared" si="620"/>
        <v>924.17400000002817</v>
      </c>
      <c r="VK39" s="20">
        <f t="shared" si="620"/>
        <v>1202.6219999999157</v>
      </c>
      <c r="VL39" s="20">
        <f t="shared" si="620"/>
        <v>1168.9729999999981</v>
      </c>
      <c r="VM39" s="20">
        <f t="shared" si="620"/>
        <v>1033.7220000000671</v>
      </c>
      <c r="VN39" s="20">
        <f t="shared" si="620"/>
        <v>808.7499999999709</v>
      </c>
      <c r="VO39" s="20">
        <f t="shared" si="620"/>
        <v>1046.7449999999953</v>
      </c>
      <c r="VP39" s="20">
        <f t="shared" si="620"/>
        <v>1094.0039999999863</v>
      </c>
      <c r="VQ39" s="20">
        <f t="shared" si="620"/>
        <v>1502.3090000000084</v>
      </c>
      <c r="VR39" s="20">
        <f t="shared" si="620"/>
        <v>1228.7909999999683</v>
      </c>
      <c r="VS39" s="20">
        <f t="shared" si="620"/>
        <v>1160.1339999999909</v>
      </c>
      <c r="VT39" s="20">
        <f t="shared" si="620"/>
        <v>1148.1010000000533</v>
      </c>
      <c r="VU39" s="20">
        <f t="shared" si="620"/>
        <v>1042.0280000000494</v>
      </c>
      <c r="VV39" s="20">
        <f t="shared" si="620"/>
        <v>1187.4139999999024</v>
      </c>
      <c r="VW39" s="20">
        <f t="shared" si="620"/>
        <v>1306.4940000000934</v>
      </c>
      <c r="VX39" s="20">
        <f t="shared" si="620"/>
        <v>1210.9579999999842</v>
      </c>
      <c r="VY39" s="20">
        <f t="shared" si="620"/>
        <v>1144.4739999999001</v>
      </c>
      <c r="VZ39" s="20">
        <f t="shared" si="620"/>
        <v>1087.8559999999998</v>
      </c>
      <c r="WA39" s="127">
        <f t="shared" si="503"/>
        <v>66945.263999999996</v>
      </c>
      <c r="WB39" s="20">
        <f t="shared" ref="WB39:XF39" si="621">WB7</f>
        <v>1285.7530000000843</v>
      </c>
      <c r="WC39" s="20">
        <f t="shared" si="621"/>
        <v>829.091000000044</v>
      </c>
      <c r="WD39" s="20">
        <f t="shared" si="621"/>
        <v>1417.0149999999558</v>
      </c>
      <c r="WE39" s="20">
        <f t="shared" si="621"/>
        <v>1148.1020000000135</v>
      </c>
      <c r="WF39" s="20">
        <f t="shared" si="621"/>
        <v>1008.95100000003</v>
      </c>
      <c r="WG39" s="20">
        <f t="shared" si="621"/>
        <v>-0.60000000009313226</v>
      </c>
      <c r="WH39" s="20">
        <f t="shared" si="621"/>
        <v>978.08199999999488</v>
      </c>
      <c r="WI39" s="20">
        <f t="shared" si="621"/>
        <v>1560.5450000000128</v>
      </c>
      <c r="WJ39" s="20">
        <f t="shared" si="621"/>
        <v>1094.3079999999609</v>
      </c>
      <c r="WK39" s="20">
        <f t="shared" si="621"/>
        <v>1205.0470000000205</v>
      </c>
      <c r="WL39" s="20">
        <f t="shared" si="621"/>
        <v>1309.2800000000861</v>
      </c>
      <c r="WM39" s="20">
        <f t="shared" si="621"/>
        <v>944.033999999956</v>
      </c>
      <c r="WN39" s="20">
        <f t="shared" si="621"/>
        <v>963.70799999998417</v>
      </c>
      <c r="WO39" s="20">
        <f t="shared" si="621"/>
        <v>1027.2209999999905</v>
      </c>
      <c r="WP39" s="20">
        <f t="shared" si="621"/>
        <v>1381.0380000000587</v>
      </c>
      <c r="WQ39" s="20">
        <f t="shared" si="621"/>
        <v>749.66299999991315</v>
      </c>
      <c r="WR39" s="20">
        <f t="shared" si="621"/>
        <v>1234.9360000000743</v>
      </c>
      <c r="WS39" s="20">
        <f t="shared" si="621"/>
        <v>795.97400000001653</v>
      </c>
      <c r="WT39" s="20">
        <f t="shared" si="621"/>
        <v>1177.3539999999048</v>
      </c>
      <c r="WU39" s="20">
        <f t="shared" si="621"/>
        <v>919.79200000007404</v>
      </c>
      <c r="WV39" s="20">
        <f t="shared" si="621"/>
        <v>1494.4569999999949</v>
      </c>
      <c r="WW39" s="20">
        <f t="shared" si="621"/>
        <v>1050.7550000000047</v>
      </c>
      <c r="WX39" s="20">
        <f t="shared" si="621"/>
        <v>979.728000000061</v>
      </c>
      <c r="WY39" s="20">
        <f t="shared" si="621"/>
        <v>1372.2149999999383</v>
      </c>
      <c r="WZ39" s="20">
        <f t="shared" si="621"/>
        <v>1121.3099999999686</v>
      </c>
      <c r="XA39" s="20">
        <f t="shared" si="621"/>
        <v>765.25600000005215</v>
      </c>
      <c r="XB39" s="20">
        <f t="shared" si="621"/>
        <v>1116.8169999999518</v>
      </c>
      <c r="XC39" s="20">
        <f t="shared" si="621"/>
        <v>939.54599999997299</v>
      </c>
      <c r="XD39" s="20">
        <f t="shared" si="621"/>
        <v>1395.5370000000694</v>
      </c>
      <c r="XE39" s="20">
        <f t="shared" si="621"/>
        <v>866.23300000003655</v>
      </c>
      <c r="XF39" s="20">
        <f t="shared" si="621"/>
        <v>1427.0869999999704</v>
      </c>
      <c r="XG39" s="127">
        <f t="shared" si="566"/>
        <v>33558.235000000102</v>
      </c>
      <c r="XH39" s="20">
        <f t="shared" ref="XH39:YK39" si="622">XH7</f>
        <v>786.8300000000163</v>
      </c>
      <c r="XI39" s="20">
        <f t="shared" si="622"/>
        <v>989.70999999993364</v>
      </c>
      <c r="XJ39" s="20">
        <f t="shared" si="622"/>
        <v>903.98999999996158</v>
      </c>
      <c r="XK39" s="20">
        <f t="shared" si="622"/>
        <v>1026.9680000000808</v>
      </c>
      <c r="XL39" s="20">
        <f t="shared" si="622"/>
        <v>1137.097000000038</v>
      </c>
      <c r="XM39" s="20">
        <f t="shared" si="622"/>
        <v>1032.506999999925</v>
      </c>
      <c r="XN39" s="20">
        <f t="shared" si="622"/>
        <v>1122.6609999999637</v>
      </c>
      <c r="XO39" s="20">
        <f t="shared" si="622"/>
        <v>1126.4479999999749</v>
      </c>
      <c r="XP39" s="20">
        <f t="shared" si="622"/>
        <v>866.23900000008871</v>
      </c>
      <c r="XQ39" s="20">
        <f t="shared" si="622"/>
        <v>985.31500000000233</v>
      </c>
      <c r="XR39" s="20">
        <f t="shared" si="622"/>
        <v>882.77099999997881</v>
      </c>
      <c r="XS39" s="20">
        <f t="shared" si="622"/>
        <v>1092.801000000065</v>
      </c>
      <c r="XT39" s="20">
        <f t="shared" si="622"/>
        <v>724.68999999994412</v>
      </c>
      <c r="XU39" s="20">
        <f t="shared" si="622"/>
        <v>897.75900000002002</v>
      </c>
      <c r="XV39" s="20">
        <f t="shared" si="622"/>
        <v>1069.4350000000268</v>
      </c>
      <c r="XW39" s="20">
        <f t="shared" si="622"/>
        <v>1055.6519999998563</v>
      </c>
      <c r="XX39" s="20">
        <f t="shared" si="622"/>
        <v>1004.6840000000957</v>
      </c>
      <c r="XY39" s="20">
        <f t="shared" si="622"/>
        <v>863.66599999999744</v>
      </c>
      <c r="XZ39" s="20">
        <f t="shared" si="622"/>
        <v>756.13299999997253</v>
      </c>
      <c r="YA39" s="20">
        <f t="shared" si="622"/>
        <v>773.73099999994156</v>
      </c>
      <c r="YB39" s="20">
        <f t="shared" si="622"/>
        <v>770.42700000008335</v>
      </c>
      <c r="YC39" s="20">
        <f t="shared" si="622"/>
        <v>1000.9880000000121</v>
      </c>
      <c r="YD39" s="20">
        <f t="shared" si="622"/>
        <v>1181.1949999999779</v>
      </c>
      <c r="YE39" s="20">
        <f t="shared" si="622"/>
        <v>926.86900000006426</v>
      </c>
      <c r="YF39" s="20">
        <f t="shared" si="622"/>
        <v>843.37199999994482</v>
      </c>
      <c r="YG39" s="20">
        <f t="shared" si="622"/>
        <v>946.19200000003912</v>
      </c>
      <c r="YH39" s="20">
        <f t="shared" si="622"/>
        <v>889.15099999998347</v>
      </c>
      <c r="YI39" s="20">
        <f t="shared" si="622"/>
        <v>891.14299999998184</v>
      </c>
      <c r="YJ39" s="20">
        <f t="shared" si="622"/>
        <v>695.0570000000298</v>
      </c>
      <c r="YK39" s="20">
        <f t="shared" si="622"/>
        <v>722.73399999996764</v>
      </c>
      <c r="YL39" s="127">
        <f t="shared" si="569"/>
        <v>27966.214999999967</v>
      </c>
      <c r="YM39" s="20">
        <f t="shared" ref="YM39:ZQ39" si="623">YM7</f>
        <v>1246.7599999999511</v>
      </c>
      <c r="YN39" s="20">
        <f t="shared" si="623"/>
        <v>1308.9260000000068</v>
      </c>
      <c r="YO39" s="20">
        <f t="shared" si="623"/>
        <v>981.87299999999232</v>
      </c>
      <c r="YP39" s="20">
        <f t="shared" si="623"/>
        <v>820.32800000006682</v>
      </c>
      <c r="YQ39" s="20">
        <f t="shared" si="623"/>
        <v>948.84299999996438</v>
      </c>
      <c r="YR39" s="20">
        <f t="shared" si="623"/>
        <v>775.83799999998882</v>
      </c>
      <c r="YS39" s="20">
        <f t="shared" si="623"/>
        <v>901.42300000006799</v>
      </c>
      <c r="YT39" s="20">
        <f t="shared" si="623"/>
        <v>457.51900000000023</v>
      </c>
      <c r="YU39" s="20">
        <f t="shared" si="623"/>
        <v>1096.6179999998712</v>
      </c>
      <c r="YV39" s="20">
        <f t="shared" si="623"/>
        <v>894.86600000009639</v>
      </c>
      <c r="YW39" s="20">
        <f t="shared" si="623"/>
        <v>917.34100000007311</v>
      </c>
      <c r="YX39" s="20">
        <f t="shared" si="623"/>
        <v>649.82399999996414</v>
      </c>
      <c r="YY39" s="20">
        <f t="shared" si="623"/>
        <v>1036.5009999999602</v>
      </c>
      <c r="YZ39" s="20">
        <f t="shared" si="623"/>
        <v>988.40000000008149</v>
      </c>
      <c r="ZA39" s="20">
        <f t="shared" si="623"/>
        <v>813.3849999998929</v>
      </c>
      <c r="ZB39" s="20">
        <f t="shared" si="623"/>
        <v>894.26700000005076</v>
      </c>
      <c r="ZC39" s="20">
        <f t="shared" si="623"/>
        <v>1218.7900000000081</v>
      </c>
      <c r="ZD39" s="20">
        <f t="shared" si="623"/>
        <v>716.39799999992829</v>
      </c>
      <c r="ZE39" s="20">
        <f t="shared" si="623"/>
        <v>1064.338000000047</v>
      </c>
      <c r="ZF39" s="20">
        <f t="shared" si="623"/>
        <v>758.17300000000978</v>
      </c>
      <c r="ZG39" s="20">
        <f t="shared" si="623"/>
        <v>1307.2939999999653</v>
      </c>
      <c r="ZH39" s="20">
        <f t="shared" si="623"/>
        <v>1165.3090000000084</v>
      </c>
      <c r="ZI39" s="20">
        <f t="shared" si="623"/>
        <v>935.70300000006682</v>
      </c>
      <c r="ZJ39" s="20">
        <f t="shared" si="623"/>
        <v>1266.9649999999383</v>
      </c>
      <c r="ZK39" s="20">
        <f t="shared" si="623"/>
        <v>764.10400000002119</v>
      </c>
      <c r="ZL39" s="20">
        <f t="shared" si="623"/>
        <v>1189.1290000000154</v>
      </c>
      <c r="ZM39" s="20">
        <f t="shared" si="623"/>
        <v>1063.6309999999648</v>
      </c>
      <c r="ZN39" s="20">
        <f t="shared" si="623"/>
        <v>990.46899999995367</v>
      </c>
      <c r="ZO39" s="20">
        <f t="shared" si="623"/>
        <v>978.4220000000787</v>
      </c>
      <c r="ZP39" s="20">
        <f t="shared" si="623"/>
        <v>1192.0269999999437</v>
      </c>
      <c r="ZQ39" s="20">
        <f t="shared" si="623"/>
        <v>932.71500000002561</v>
      </c>
      <c r="ZR39" s="127">
        <f t="shared" si="356"/>
        <v>30276.179000000004</v>
      </c>
      <c r="ZS39" s="20">
        <f t="shared" ref="ZS39:AAV39" si="624">ZS7</f>
        <v>1266.3290000000561</v>
      </c>
      <c r="ZT39" s="20">
        <f t="shared" si="624"/>
        <v>1027.3869999999297</v>
      </c>
      <c r="ZU39" s="20">
        <f t="shared" si="624"/>
        <v>900.92400000002817</v>
      </c>
      <c r="ZV39" s="20">
        <f t="shared" si="624"/>
        <v>844.25199999994948</v>
      </c>
      <c r="ZW39" s="20">
        <f t="shared" si="624"/>
        <v>1038.9729999999981</v>
      </c>
      <c r="ZX39" s="20">
        <f t="shared" si="624"/>
        <v>984.03099999998813</v>
      </c>
      <c r="ZY39" s="20">
        <f t="shared" si="624"/>
        <v>1150.463000000047</v>
      </c>
      <c r="ZZ39" s="20">
        <f t="shared" si="624"/>
        <v>981.42600000003586</v>
      </c>
      <c r="AAA39" s="20">
        <f t="shared" si="624"/>
        <v>794.66499999994994</v>
      </c>
      <c r="AAB39" s="20">
        <f t="shared" si="624"/>
        <v>1942.5020000000368</v>
      </c>
      <c r="AAC39" s="20">
        <f t="shared" si="624"/>
        <v>1357.4879999999248</v>
      </c>
      <c r="AAD39" s="20">
        <f t="shared" si="624"/>
        <v>1035.3670000000857</v>
      </c>
      <c r="AAE39" s="20">
        <f t="shared" si="624"/>
        <v>1096.0299999999697</v>
      </c>
      <c r="AAF39" s="20">
        <f t="shared" si="624"/>
        <v>1129.5630000000529</v>
      </c>
      <c r="AAG39" s="20">
        <f t="shared" si="624"/>
        <v>1018.9549999999872</v>
      </c>
      <c r="AAH39" s="20">
        <f t="shared" si="624"/>
        <v>1006.1319999999832</v>
      </c>
      <c r="AAI39" s="20">
        <f t="shared" si="624"/>
        <v>812.50299999996787</v>
      </c>
      <c r="AAJ39" s="20">
        <f t="shared" si="624"/>
        <v>1507.6119999999646</v>
      </c>
      <c r="AAK39" s="20">
        <f t="shared" si="624"/>
        <v>965.80499999996391</v>
      </c>
      <c r="AAL39" s="20">
        <f t="shared" si="624"/>
        <v>1025.2210000000487</v>
      </c>
      <c r="AAM39" s="20">
        <f t="shared" si="624"/>
        <v>1259.1200000000244</v>
      </c>
      <c r="AAN39" s="20">
        <f t="shared" si="624"/>
        <v>756.14300000001094</v>
      </c>
      <c r="AAO39" s="20">
        <f t="shared" si="624"/>
        <v>1213.3449999999139</v>
      </c>
      <c r="AAP39" s="20">
        <f t="shared" si="624"/>
        <v>848.37100000010105</v>
      </c>
      <c r="AAQ39" s="20">
        <f t="shared" si="624"/>
        <v>832.08599999992293</v>
      </c>
      <c r="AAR39" s="20">
        <f t="shared" si="624"/>
        <v>905.46900000007008</v>
      </c>
      <c r="AAS39" s="20">
        <f t="shared" si="624"/>
        <v>951.08999999999651</v>
      </c>
      <c r="AAT39" s="20">
        <f t="shared" si="624"/>
        <v>1041.155000000057</v>
      </c>
      <c r="AAU39" s="20">
        <f t="shared" si="624"/>
        <v>780.11399999991409</v>
      </c>
      <c r="AAV39" s="20">
        <f t="shared" si="624"/>
        <v>779.34700000000885</v>
      </c>
      <c r="AAW39" s="127">
        <f t="shared" si="574"/>
        <v>31251.867999999988</v>
      </c>
      <c r="AAX39" s="20">
        <f t="shared" ref="AAX39:ACB39" si="625">AAX7</f>
        <v>1106.9239999999991</v>
      </c>
      <c r="AAY39" s="20">
        <f t="shared" si="625"/>
        <v>856.05799999998999</v>
      </c>
      <c r="AAZ39" s="20">
        <f t="shared" si="625"/>
        <v>1062.9210000000312</v>
      </c>
      <c r="ABA39" s="20">
        <f t="shared" si="625"/>
        <v>957.34499999997206</v>
      </c>
      <c r="ABB39" s="20">
        <f t="shared" si="625"/>
        <v>980.44899999999325</v>
      </c>
      <c r="ABC39" s="20">
        <f t="shared" si="625"/>
        <v>885.41700000007404</v>
      </c>
      <c r="ABD39" s="20">
        <f t="shared" si="625"/>
        <v>1042.0809999999765</v>
      </c>
      <c r="ABE39" s="20">
        <f t="shared" si="625"/>
        <v>1080.31700000001</v>
      </c>
      <c r="ABF39" s="20">
        <f t="shared" si="625"/>
        <v>759.20299999995041</v>
      </c>
      <c r="ABG39" s="20">
        <f t="shared" si="625"/>
        <v>1195.8430000000808</v>
      </c>
      <c r="ABH39" s="20">
        <f t="shared" si="625"/>
        <v>1126.5879999999015</v>
      </c>
      <c r="ABI39" s="20">
        <f t="shared" si="625"/>
        <v>890.21099999998114</v>
      </c>
      <c r="ABJ39" s="20">
        <f t="shared" si="625"/>
        <v>960.65700000006473</v>
      </c>
      <c r="ABK39" s="20">
        <f t="shared" si="625"/>
        <v>1166.1729999999807</v>
      </c>
      <c r="ABL39" s="20">
        <f t="shared" si="625"/>
        <v>949.28900000001886</v>
      </c>
      <c r="ABM39" s="20">
        <f t="shared" si="625"/>
        <v>940.7719999999681</v>
      </c>
      <c r="ABN39" s="20">
        <f t="shared" si="625"/>
        <v>928.00700000004031</v>
      </c>
      <c r="ABO39" s="20">
        <f t="shared" si="625"/>
        <v>1330.7919999999867</v>
      </c>
      <c r="ABP39" s="20">
        <f t="shared" si="625"/>
        <v>1211.6959999999381</v>
      </c>
      <c r="ABQ39" s="20">
        <f t="shared" si="625"/>
        <v>834.82600000005914</v>
      </c>
      <c r="ABR39" s="20">
        <f t="shared" si="625"/>
        <v>644.88300000000163</v>
      </c>
      <c r="ABS39" s="20">
        <f t="shared" si="625"/>
        <v>724.85499999995227</v>
      </c>
      <c r="ABT39" s="20">
        <f t="shared" si="625"/>
        <v>978.08500000002095</v>
      </c>
      <c r="ABU39" s="20">
        <f t="shared" si="625"/>
        <v>849.37800000005518</v>
      </c>
      <c r="ABV39" s="20">
        <f t="shared" si="625"/>
        <v>1041.752999999997</v>
      </c>
      <c r="ABW39" s="20">
        <f t="shared" si="625"/>
        <v>919.74399999988964</v>
      </c>
      <c r="ABX39" s="20">
        <f t="shared" si="625"/>
        <v>790.04900000005728</v>
      </c>
      <c r="ABY39" s="20">
        <f t="shared" si="625"/>
        <v>1391.1459999999497</v>
      </c>
      <c r="ABZ39" s="20">
        <f t="shared" si="625"/>
        <v>1039.800000000163</v>
      </c>
      <c r="ACA39" s="20">
        <f t="shared" si="625"/>
        <v>807.05399999988731</v>
      </c>
      <c r="ACB39" s="20">
        <f t="shared" si="625"/>
        <v>835.48300000006566</v>
      </c>
      <c r="ACC39" s="127">
        <f t="shared" si="274"/>
        <v>30287.799000000057</v>
      </c>
      <c r="ACD39" s="20">
        <f t="shared" ref="ACD39:ADH39" si="626">ACD7</f>
        <v>1156.0569999998843</v>
      </c>
      <c r="ACE39" s="20">
        <f t="shared" si="626"/>
        <v>1278.1460000000661</v>
      </c>
      <c r="ACF39" s="20">
        <f t="shared" si="626"/>
        <v>1014.7619999999879</v>
      </c>
      <c r="ACG39" s="20">
        <f t="shared" si="626"/>
        <v>998.14000000001397</v>
      </c>
      <c r="ACH39" s="20">
        <f t="shared" si="626"/>
        <v>937.12900000001537</v>
      </c>
      <c r="ACI39" s="20">
        <f t="shared" si="626"/>
        <v>1021.0800000000163</v>
      </c>
      <c r="ACJ39" s="20">
        <f t="shared" si="626"/>
        <v>955.46699999994598</v>
      </c>
      <c r="ACK39" s="20">
        <f t="shared" si="626"/>
        <v>1127.6749999999884</v>
      </c>
      <c r="ACL39" s="20">
        <f t="shared" si="626"/>
        <v>1030.2999999999884</v>
      </c>
      <c r="ACM39" s="20">
        <f t="shared" si="626"/>
        <v>774.55900000000838</v>
      </c>
      <c r="ACN39" s="20">
        <f t="shared" si="626"/>
        <v>1081.1520000000601</v>
      </c>
      <c r="ACO39" s="20">
        <f t="shared" si="626"/>
        <v>1004.4439999999595</v>
      </c>
      <c r="ACP39" s="20">
        <f t="shared" si="626"/>
        <v>855.44300000008661</v>
      </c>
      <c r="ACQ39" s="20">
        <f t="shared" si="626"/>
        <v>1243.7919999998994</v>
      </c>
      <c r="ACR39" s="20">
        <f t="shared" si="626"/>
        <v>962.36699999996927</v>
      </c>
      <c r="ACS39" s="20">
        <f t="shared" si="626"/>
        <v>1118.5250000000233</v>
      </c>
      <c r="ACT39" s="20">
        <f t="shared" si="626"/>
        <v>902.98000000009779</v>
      </c>
      <c r="ACU39" s="20">
        <f t="shared" si="626"/>
        <v>1185.3479999999399</v>
      </c>
      <c r="ACV39" s="20">
        <f t="shared" si="626"/>
        <v>1032.6719999999623</v>
      </c>
      <c r="ACW39" s="20">
        <f t="shared" si="626"/>
        <v>900.35200000007171</v>
      </c>
      <c r="ACX39" s="20">
        <f t="shared" si="626"/>
        <v>855.83399999997346</v>
      </c>
      <c r="ACY39" s="20">
        <f t="shared" si="626"/>
        <v>943.38900000002468</v>
      </c>
      <c r="ACZ39" s="20">
        <f t="shared" si="626"/>
        <v>1011.4699999999139</v>
      </c>
      <c r="ADA39" s="20">
        <f t="shared" si="626"/>
        <v>1031.6380000000936</v>
      </c>
      <c r="ADB39" s="20">
        <f t="shared" si="626"/>
        <v>1028.9779999999446</v>
      </c>
      <c r="ADC39" s="20">
        <f t="shared" si="626"/>
        <v>811.27700000000186</v>
      </c>
      <c r="ADD39" s="20">
        <f t="shared" si="626"/>
        <v>922.35299999994459</v>
      </c>
      <c r="ADE39" s="20">
        <f t="shared" si="626"/>
        <v>929.40700000006473</v>
      </c>
      <c r="ADF39" s="20">
        <f t="shared" si="626"/>
        <v>953.45200000004843</v>
      </c>
      <c r="ADG39" s="20">
        <f t="shared" si="626"/>
        <v>935.15700000000652</v>
      </c>
      <c r="ADH39" s="20">
        <f t="shared" si="626"/>
        <v>870.54300000000512</v>
      </c>
      <c r="ADI39" s="127">
        <f t="shared" si="276"/>
        <v>30873.888000000006</v>
      </c>
      <c r="ADJ39" s="20">
        <f t="shared" ref="ADJ39:AEM39" si="627">ADJ7</f>
        <v>881.49900000001071</v>
      </c>
      <c r="ADK39" s="20">
        <f t="shared" si="627"/>
        <v>968.6459999998915</v>
      </c>
      <c r="ADL39" s="20">
        <f t="shared" si="627"/>
        <v>1153.9450000001234</v>
      </c>
      <c r="ADM39" s="20">
        <f t="shared" si="627"/>
        <v>1012.7579999999143</v>
      </c>
      <c r="ADN39" s="20">
        <f t="shared" si="627"/>
        <v>1094.0920000000042</v>
      </c>
      <c r="ADO39" s="20">
        <f t="shared" si="627"/>
        <v>1094.5490000000573</v>
      </c>
      <c r="ADP39" s="20">
        <f t="shared" si="627"/>
        <v>853.69099999993341</v>
      </c>
      <c r="ADQ39" s="20">
        <f t="shared" si="627"/>
        <v>729.05100000003586</v>
      </c>
      <c r="ADR39" s="20">
        <f t="shared" si="627"/>
        <v>1089.2539999999572</v>
      </c>
      <c r="ADS39" s="20">
        <f t="shared" si="627"/>
        <v>915.7170000000624</v>
      </c>
      <c r="ADT39" s="20">
        <f t="shared" si="627"/>
        <v>1054.3559999999707</v>
      </c>
      <c r="ADU39" s="20">
        <f t="shared" si="627"/>
        <v>1035.8429999999935</v>
      </c>
      <c r="ADV39" s="20">
        <f t="shared" si="627"/>
        <v>1198.4330000000773</v>
      </c>
      <c r="ADW39" s="20">
        <f t="shared" si="627"/>
        <v>706.33600000001024</v>
      </c>
      <c r="ADX39" s="20">
        <f t="shared" si="627"/>
        <v>1200.4289999999455</v>
      </c>
      <c r="ADY39" s="20">
        <f t="shared" si="627"/>
        <v>995.06999999989057</v>
      </c>
      <c r="ADZ39" s="20">
        <f t="shared" si="627"/>
        <v>898.84500000008848</v>
      </c>
      <c r="AEA39" s="20">
        <f t="shared" si="627"/>
        <v>945.08599999989383</v>
      </c>
      <c r="AEB39" s="20">
        <f t="shared" si="627"/>
        <v>838.63400000007823</v>
      </c>
      <c r="AEC39" s="20">
        <f t="shared" si="627"/>
        <v>1125.310999999987</v>
      </c>
      <c r="AED39" s="20">
        <f t="shared" si="627"/>
        <v>887.08000000007451</v>
      </c>
      <c r="AEE39" s="20">
        <f t="shared" si="627"/>
        <v>1058.9859999999753</v>
      </c>
      <c r="AEF39" s="20">
        <f t="shared" si="627"/>
        <v>929.60699999995995</v>
      </c>
      <c r="AEG39" s="20">
        <f t="shared" si="627"/>
        <v>720.41200000001118</v>
      </c>
      <c r="AEH39" s="20">
        <f t="shared" si="627"/>
        <v>704.53200000000652</v>
      </c>
      <c r="AEI39" s="20">
        <f t="shared" si="627"/>
        <v>1024.6019999999553</v>
      </c>
      <c r="AEJ39" s="20">
        <f t="shared" si="627"/>
        <v>1044.0000000000582</v>
      </c>
      <c r="AEK39" s="20">
        <f t="shared" si="627"/>
        <v>621.80099999997765</v>
      </c>
      <c r="AEL39" s="20">
        <f t="shared" si="627"/>
        <v>726.85699999995995</v>
      </c>
      <c r="AEM39" s="20">
        <f t="shared" si="627"/>
        <v>1133.2900000000373</v>
      </c>
      <c r="AEN39" s="127">
        <f t="shared" si="581"/>
        <v>28642.711999999941</v>
      </c>
      <c r="AEO39" s="20">
        <f t="shared" ref="AEO39:AFS39" si="628">AEO7</f>
        <v>786.64000000001397</v>
      </c>
      <c r="AEP39" s="20">
        <f t="shared" si="628"/>
        <v>843.50999999995111</v>
      </c>
      <c r="AEQ39" s="20">
        <f t="shared" si="628"/>
        <v>736.2620000000461</v>
      </c>
      <c r="AER39" s="20">
        <f t="shared" si="628"/>
        <v>826.22299999993993</v>
      </c>
      <c r="AES39" s="20">
        <f t="shared" si="628"/>
        <v>851.86599999997998</v>
      </c>
      <c r="AET39" s="20">
        <f t="shared" si="628"/>
        <v>952.83200000011129</v>
      </c>
      <c r="AEU39" s="20">
        <f t="shared" si="628"/>
        <v>794.62800000002608</v>
      </c>
      <c r="AEV39" s="20">
        <f t="shared" si="628"/>
        <v>964.70699999993667</v>
      </c>
      <c r="AEW39" s="20">
        <f t="shared" si="628"/>
        <v>956.34999999997672</v>
      </c>
      <c r="AEX39" s="20">
        <f t="shared" si="628"/>
        <v>905.94000000006054</v>
      </c>
      <c r="AEY39" s="20">
        <f t="shared" si="628"/>
        <v>850.18699999991804</v>
      </c>
      <c r="AEZ39" s="20">
        <f t="shared" si="628"/>
        <v>573.41300000005867</v>
      </c>
      <c r="AFA39" s="20">
        <f t="shared" si="628"/>
        <v>890.85899999999674</v>
      </c>
      <c r="AFB39" s="20">
        <f t="shared" si="628"/>
        <v>683.20599999994738</v>
      </c>
      <c r="AFC39" s="20">
        <f t="shared" si="628"/>
        <v>916.48300000000745</v>
      </c>
      <c r="AFD39" s="20">
        <f t="shared" si="628"/>
        <v>871.59200000000419</v>
      </c>
      <c r="AFE39" s="20">
        <f t="shared" si="628"/>
        <v>989.76699999999255</v>
      </c>
      <c r="AFF39" s="20">
        <f t="shared" si="628"/>
        <v>1063.0949999999721</v>
      </c>
      <c r="AFG39" s="20">
        <f t="shared" si="628"/>
        <v>965.31600000004983</v>
      </c>
      <c r="AFH39" s="20">
        <f t="shared" si="628"/>
        <v>1000.6960000000545</v>
      </c>
      <c r="AFI39" s="20">
        <f t="shared" si="628"/>
        <v>765.95199999993201</v>
      </c>
      <c r="AFJ39" s="20">
        <f t="shared" si="628"/>
        <v>648.32900000002701</v>
      </c>
      <c r="AFK39" s="20">
        <f t="shared" si="628"/>
        <v>840.30200000002515</v>
      </c>
      <c r="AFL39" s="20">
        <f t="shared" si="628"/>
        <v>707.88199999998324</v>
      </c>
      <c r="AFM39" s="20">
        <f t="shared" si="628"/>
        <v>1037.8040000000037</v>
      </c>
      <c r="AFN39" s="20">
        <f t="shared" si="628"/>
        <v>748.07600000000093</v>
      </c>
      <c r="AFO39" s="20">
        <f t="shared" si="628"/>
        <v>832.41199999995297</v>
      </c>
      <c r="AFP39" s="20">
        <f t="shared" si="628"/>
        <v>851.45199999999022</v>
      </c>
      <c r="AFQ39" s="20">
        <f t="shared" si="628"/>
        <v>592.16800000006333</v>
      </c>
      <c r="AFR39" s="20">
        <f t="shared" si="628"/>
        <v>980.77399999991758</v>
      </c>
      <c r="AFS39" s="20">
        <f t="shared" si="628"/>
        <v>720.36600000003818</v>
      </c>
      <c r="AFT39" s="127">
        <f t="shared" si="279"/>
        <v>26149.088999999978</v>
      </c>
      <c r="AFU39" s="20">
        <f t="shared" ref="AFU39:AGX39" si="629">AFU7</f>
        <v>836.66599999996834</v>
      </c>
      <c r="AFV39" s="20">
        <f t="shared" si="629"/>
        <v>752.18400000006659</v>
      </c>
      <c r="AFW39" s="20">
        <f t="shared" si="629"/>
        <v>850.18599999998696</v>
      </c>
      <c r="AFX39" s="20">
        <f t="shared" si="629"/>
        <v>707.6239999999525</v>
      </c>
      <c r="AFY39" s="20">
        <f t="shared" si="629"/>
        <v>874.33000000007451</v>
      </c>
      <c r="AFZ39" s="20">
        <f t="shared" si="629"/>
        <v>673.04700000002049</v>
      </c>
      <c r="AGA39" s="20">
        <f t="shared" si="629"/>
        <v>868.3520000000135</v>
      </c>
      <c r="AGB39" s="20">
        <f t="shared" si="629"/>
        <v>712.84299999993527</v>
      </c>
      <c r="AGC39" s="20">
        <f t="shared" si="629"/>
        <v>739.97500000003492</v>
      </c>
      <c r="AGD39" s="20">
        <f t="shared" si="629"/>
        <v>784.4890000000014</v>
      </c>
      <c r="AGE39" s="20">
        <f t="shared" si="629"/>
        <v>857.478000000061</v>
      </c>
      <c r="AGF39" s="20">
        <f t="shared" si="629"/>
        <v>827.25899999990361</v>
      </c>
      <c r="AGG39" s="20">
        <f t="shared" si="629"/>
        <v>738.49199999996927</v>
      </c>
      <c r="AGH39" s="20">
        <f t="shared" si="629"/>
        <v>785.95800000004238</v>
      </c>
      <c r="AGI39" s="20">
        <f t="shared" si="629"/>
        <v>707.8859999999404</v>
      </c>
      <c r="AGJ39" s="20">
        <f t="shared" si="629"/>
        <v>849.18100000004051</v>
      </c>
      <c r="AGK39" s="20">
        <f t="shared" si="629"/>
        <v>610.32700000010664</v>
      </c>
      <c r="AGL39" s="20">
        <f t="shared" si="629"/>
        <v>783.43899999983842</v>
      </c>
      <c r="AGM39" s="20">
        <f t="shared" si="629"/>
        <v>715.25500000012107</v>
      </c>
      <c r="AGN39" s="20">
        <f t="shared" si="629"/>
        <v>884.9189999999362</v>
      </c>
      <c r="AGO39" s="20">
        <f t="shared" si="629"/>
        <v>933.02899999998044</v>
      </c>
      <c r="AGP39" s="20">
        <f t="shared" si="629"/>
        <v>1176.2470000000321</v>
      </c>
      <c r="AGQ39" s="20">
        <f t="shared" si="629"/>
        <v>1014.6000000000931</v>
      </c>
      <c r="AGR39" s="20">
        <f t="shared" si="629"/>
        <v>741.90199999988545</v>
      </c>
      <c r="AGS39" s="20">
        <f t="shared" si="629"/>
        <v>718.58199999999488</v>
      </c>
      <c r="AGT39" s="20">
        <f t="shared" si="629"/>
        <v>914.19799999997485</v>
      </c>
      <c r="AGU39" s="20">
        <f t="shared" si="629"/>
        <v>813.30400000012014</v>
      </c>
      <c r="AGV39" s="20">
        <f t="shared" si="629"/>
        <v>1102.4629999999888</v>
      </c>
      <c r="AGW39" s="20">
        <f t="shared" si="629"/>
        <v>1079.707999999926</v>
      </c>
      <c r="AGX39" s="20">
        <f t="shared" si="629"/>
        <v>838.25700000004144</v>
      </c>
      <c r="AGY39" s="127">
        <f t="shared" si="586"/>
        <v>24892.180000000051</v>
      </c>
      <c r="AGZ39" s="20">
        <f t="shared" ref="AGZ39:AID39" si="630">AGZ7</f>
        <v>883.01899999997113</v>
      </c>
      <c r="AHA39" s="20">
        <f t="shared" si="630"/>
        <v>905.17300000000978</v>
      </c>
      <c r="AHB39" s="20">
        <f t="shared" si="630"/>
        <v>1090.8220000000438</v>
      </c>
      <c r="AHC39" s="20">
        <f t="shared" si="630"/>
        <v>852.69899999996414</v>
      </c>
      <c r="AHD39" s="20">
        <f t="shared" si="630"/>
        <v>1446.9400000000023</v>
      </c>
      <c r="AHE39" s="20">
        <f t="shared" si="630"/>
        <v>756.43800000002375</v>
      </c>
      <c r="AHF39" s="20">
        <f t="shared" si="630"/>
        <v>866.68599999992875</v>
      </c>
      <c r="AHG39" s="20">
        <f t="shared" si="630"/>
        <v>818.64299999998184</v>
      </c>
      <c r="AHH39" s="20">
        <f t="shared" si="630"/>
        <v>1098.4720000000088</v>
      </c>
      <c r="AHI39" s="20">
        <f t="shared" si="630"/>
        <v>828.08300000004238</v>
      </c>
      <c r="AHJ39" s="20">
        <f t="shared" si="630"/>
        <v>521.46599999995669</v>
      </c>
      <c r="AHK39" s="20">
        <f t="shared" si="630"/>
        <v>1065.9040000000386</v>
      </c>
      <c r="AHL39" s="20">
        <f t="shared" si="630"/>
        <v>874.81400000001304</v>
      </c>
      <c r="AHM39" s="20">
        <f t="shared" si="630"/>
        <v>612.55400000000373</v>
      </c>
      <c r="AHN39" s="20">
        <f t="shared" si="630"/>
        <v>1001.0109999999404</v>
      </c>
      <c r="AHO39" s="20">
        <f t="shared" si="630"/>
        <v>880.14400000014575</v>
      </c>
      <c r="AHP39" s="20">
        <f t="shared" si="630"/>
        <v>853.10699999990175</v>
      </c>
      <c r="AHQ39" s="20">
        <f t="shared" si="630"/>
        <v>971.29800000000978</v>
      </c>
      <c r="AHR39" s="20">
        <f t="shared" si="630"/>
        <v>882.69099999999162</v>
      </c>
      <c r="AHS39" s="20">
        <f t="shared" si="630"/>
        <v>763.18199999991339</v>
      </c>
      <c r="AHT39" s="20">
        <f t="shared" si="630"/>
        <v>937.89300000015646</v>
      </c>
      <c r="AHU39" s="20">
        <f t="shared" si="630"/>
        <v>985.66699999984121</v>
      </c>
      <c r="AHV39" s="20">
        <f t="shared" si="630"/>
        <v>1065.2700000000186</v>
      </c>
      <c r="AHW39" s="20">
        <f t="shared" si="630"/>
        <v>815.38200000009965</v>
      </c>
      <c r="AHX39" s="20">
        <f t="shared" si="630"/>
        <v>600.60799999994924</v>
      </c>
      <c r="AHY39" s="20">
        <f t="shared" si="630"/>
        <v>560.87000000005355</v>
      </c>
      <c r="AHZ39" s="20">
        <f t="shared" si="630"/>
        <v>659.44699999998556</v>
      </c>
      <c r="AIA39" s="20">
        <f t="shared" si="630"/>
        <v>514.03000000002794</v>
      </c>
      <c r="AIB39" s="20">
        <f t="shared" si="630"/>
        <v>721.43099999986589</v>
      </c>
      <c r="AIC39" s="20">
        <f t="shared" si="630"/>
        <v>757.94500000006519</v>
      </c>
      <c r="AID39" s="20">
        <f t="shared" si="630"/>
        <v>926.10499999998137</v>
      </c>
      <c r="AIE39" s="127">
        <f t="shared" si="519"/>
        <v>26517.793999999936</v>
      </c>
      <c r="AIF39" s="20">
        <f t="shared" ref="AIF39:AJJ39" si="631">AIF7</f>
        <v>728.31300000002375</v>
      </c>
      <c r="AIG39" s="20">
        <f t="shared" si="631"/>
        <v>772.38500000000931</v>
      </c>
      <c r="AIH39" s="20">
        <f t="shared" si="631"/>
        <v>822.99499999999534</v>
      </c>
      <c r="AII39" s="20">
        <f t="shared" si="631"/>
        <v>582.65600000007544</v>
      </c>
      <c r="AIJ39" s="20">
        <f t="shared" si="631"/>
        <v>760.96099999995204</v>
      </c>
      <c r="AIK39" s="20">
        <f t="shared" si="631"/>
        <v>921.43400000006659</v>
      </c>
      <c r="AIL39" s="20">
        <f t="shared" si="631"/>
        <v>862.73199999995995</v>
      </c>
      <c r="AIM39" s="20">
        <f t="shared" si="631"/>
        <v>916.17799999995623</v>
      </c>
      <c r="AIN39" s="20">
        <f t="shared" si="631"/>
        <v>920.64600000000792</v>
      </c>
      <c r="AIO39" s="20">
        <f t="shared" si="631"/>
        <v>1144.1980000000331</v>
      </c>
      <c r="AIP39" s="20">
        <f t="shared" si="631"/>
        <v>603.65399999998044</v>
      </c>
      <c r="AIQ39" s="20">
        <f t="shared" si="631"/>
        <v>697.22999999998137</v>
      </c>
      <c r="AIR39" s="20">
        <f t="shared" si="631"/>
        <v>634.02299999992829</v>
      </c>
      <c r="AIS39" s="20">
        <f t="shared" si="631"/>
        <v>698.56000000011409</v>
      </c>
      <c r="AIT39" s="20">
        <f t="shared" si="631"/>
        <v>282.21399999997811</v>
      </c>
      <c r="AIU39" s="20">
        <f t="shared" si="631"/>
        <v>320.6940000000177</v>
      </c>
      <c r="AIV39" s="20">
        <f t="shared" si="631"/>
        <v>326.36399999994319</v>
      </c>
      <c r="AIW39" s="20">
        <f t="shared" si="631"/>
        <v>499.32500000001164</v>
      </c>
      <c r="AIX39" s="20">
        <f t="shared" si="631"/>
        <v>757.2489999999525</v>
      </c>
      <c r="AIY39" s="20">
        <f t="shared" si="631"/>
        <v>702.27900000003865</v>
      </c>
      <c r="AIZ39" s="20">
        <f t="shared" si="631"/>
        <v>847.18600000004517</v>
      </c>
      <c r="AJA39" s="20">
        <f t="shared" si="631"/>
        <v>651.90299999987474</v>
      </c>
      <c r="AJB39" s="20">
        <f t="shared" si="631"/>
        <v>710.97500000003492</v>
      </c>
      <c r="AJC39" s="20">
        <f t="shared" si="631"/>
        <v>842.51500000007218</v>
      </c>
      <c r="AJD39" s="20">
        <f t="shared" si="631"/>
        <v>502.46199999988312</v>
      </c>
      <c r="AJE39" s="20">
        <f t="shared" si="631"/>
        <v>675.4100000000908</v>
      </c>
      <c r="AJF39" s="20">
        <f t="shared" si="631"/>
        <v>793.8179999999702</v>
      </c>
      <c r="AJG39" s="20">
        <f t="shared" si="631"/>
        <v>931.67500000004657</v>
      </c>
      <c r="AJH39" s="20">
        <f t="shared" si="631"/>
        <v>755.52800000004936</v>
      </c>
      <c r="AJI39" s="20">
        <f t="shared" si="631"/>
        <v>927.5209999998915</v>
      </c>
      <c r="AJJ39" s="20">
        <f t="shared" si="631"/>
        <v>827.27800000004936</v>
      </c>
      <c r="AJK39" s="127">
        <f t="shared" si="520"/>
        <v>22420.361000000034</v>
      </c>
      <c r="AJL39" s="20">
        <f t="shared" ref="AJL39:AKM39" si="632">AJL7</f>
        <v>697.27899999998044</v>
      </c>
      <c r="AJM39" s="20">
        <f t="shared" si="632"/>
        <v>812.05800000001909</v>
      </c>
      <c r="AJN39" s="20">
        <f t="shared" si="632"/>
        <v>760.31700000003912</v>
      </c>
      <c r="AJO39" s="20">
        <f t="shared" si="632"/>
        <v>764.27500000002328</v>
      </c>
      <c r="AJP39" s="20">
        <f t="shared" si="632"/>
        <v>1008.4789999999339</v>
      </c>
      <c r="AJQ39" s="20">
        <f t="shared" si="632"/>
        <v>705.75399999995716</v>
      </c>
      <c r="AJR39" s="20">
        <f t="shared" si="632"/>
        <v>690.44800000009127</v>
      </c>
      <c r="AJS39" s="20">
        <f t="shared" si="632"/>
        <v>1010.2399999999907</v>
      </c>
      <c r="AJT39" s="20">
        <f t="shared" si="632"/>
        <v>909.59400000004098</v>
      </c>
      <c r="AJU39" s="20">
        <f t="shared" si="632"/>
        <v>819.23299999994924</v>
      </c>
      <c r="AJV39" s="20">
        <f t="shared" si="632"/>
        <v>834.04299999988871</v>
      </c>
      <c r="AJW39" s="20">
        <f t="shared" si="632"/>
        <v>1048.0770000001066</v>
      </c>
      <c r="AJX39" s="20">
        <f t="shared" si="632"/>
        <v>935.15000000002328</v>
      </c>
      <c r="AJY39" s="20">
        <f t="shared" si="632"/>
        <v>765.97099999990314</v>
      </c>
      <c r="AJZ39" s="20">
        <f t="shared" si="632"/>
        <v>762.92799999995623</v>
      </c>
      <c r="AKA39" s="20">
        <f t="shared" si="632"/>
        <v>785.90200000011828</v>
      </c>
      <c r="AKB39" s="20">
        <f t="shared" si="632"/>
        <v>679.55200000002515</v>
      </c>
      <c r="AKC39" s="20">
        <f t="shared" si="632"/>
        <v>701.63899999990826</v>
      </c>
      <c r="AKD39" s="20">
        <f t="shared" si="632"/>
        <v>714.63400000002002</v>
      </c>
      <c r="AKE39" s="20">
        <f t="shared" si="632"/>
        <v>984.84799999999814</v>
      </c>
      <c r="AKF39" s="20">
        <f t="shared" si="632"/>
        <v>651.4320000000065</v>
      </c>
      <c r="AKG39" s="20">
        <f t="shared" si="632"/>
        <v>621.62100000010105</v>
      </c>
      <c r="AKH39" s="20">
        <f t="shared" si="632"/>
        <v>881.54899999994086</v>
      </c>
      <c r="AKI39" s="20">
        <f t="shared" si="632"/>
        <v>948.36599999997998</v>
      </c>
      <c r="AKJ39" s="20">
        <f t="shared" si="632"/>
        <v>841.37899999995716</v>
      </c>
      <c r="AKK39" s="20">
        <f t="shared" si="632"/>
        <v>664.00200000009499</v>
      </c>
      <c r="AKL39" s="20">
        <f t="shared" si="632"/>
        <v>811.85800000006566</v>
      </c>
      <c r="AKM39" s="20">
        <f t="shared" si="632"/>
        <v>948.2029999998631</v>
      </c>
      <c r="AKN39" s="127">
        <f t="shared" si="11"/>
        <v>22758.830999999984</v>
      </c>
      <c r="AKO39" s="20">
        <f t="shared" ref="AKO39:ALS39" si="633">AKO7</f>
        <v>800.99500000005355</v>
      </c>
      <c r="AKP39" s="20">
        <f t="shared" si="633"/>
        <v>851.20199999999022</v>
      </c>
      <c r="AKQ39" s="20">
        <f t="shared" si="633"/>
        <v>826.86600000003818</v>
      </c>
      <c r="AKR39" s="20">
        <f t="shared" si="633"/>
        <v>604.01899999985471</v>
      </c>
      <c r="AKS39" s="20">
        <f t="shared" si="633"/>
        <v>765.35300000000279</v>
      </c>
      <c r="AKT39" s="20">
        <f t="shared" si="633"/>
        <v>687.48100000014529</v>
      </c>
      <c r="AKU39" s="20">
        <f t="shared" si="633"/>
        <v>1491.4949999999953</v>
      </c>
      <c r="AKV39" s="20">
        <f t="shared" si="633"/>
        <v>819.86699999991106</v>
      </c>
      <c r="AKW39" s="20">
        <f t="shared" si="633"/>
        <v>786.46300000001258</v>
      </c>
      <c r="AKX39" s="20">
        <f t="shared" si="633"/>
        <v>581.05099999997765</v>
      </c>
      <c r="AKY39" s="20">
        <f t="shared" si="633"/>
        <v>728.21500000008382</v>
      </c>
      <c r="AKZ39" s="20">
        <f t="shared" si="633"/>
        <v>729.78399999992689</v>
      </c>
      <c r="ALA39" s="20">
        <f t="shared" si="633"/>
        <v>817.44200000009732</v>
      </c>
      <c r="ALB39" s="20">
        <f t="shared" si="633"/>
        <v>1017.5439999999362</v>
      </c>
      <c r="ALC39" s="20">
        <f t="shared" si="633"/>
        <v>1085.2970000000205</v>
      </c>
      <c r="ALD39" s="20">
        <f t="shared" si="633"/>
        <v>1014.942999999912</v>
      </c>
      <c r="ALE39" s="20">
        <f t="shared" si="633"/>
        <v>811.62000000011176</v>
      </c>
      <c r="ALF39" s="20">
        <f t="shared" si="633"/>
        <v>867.54300000000512</v>
      </c>
      <c r="ALG39" s="20">
        <f t="shared" si="633"/>
        <v>884.08699999999953</v>
      </c>
      <c r="ALH39" s="20">
        <f t="shared" si="633"/>
        <v>788.68399999995017</v>
      </c>
      <c r="ALI39" s="20">
        <f t="shared" si="633"/>
        <v>1015.0559999999823</v>
      </c>
      <c r="ALJ39" s="20">
        <f t="shared" si="633"/>
        <v>1127.9960000000428</v>
      </c>
      <c r="ALK39" s="20">
        <f t="shared" si="633"/>
        <v>5162.3579999999492</v>
      </c>
      <c r="ALL39" s="20">
        <f t="shared" si="633"/>
        <v>817.00200000003679</v>
      </c>
      <c r="ALM39" s="20">
        <f t="shared" si="633"/>
        <v>885.20000000001164</v>
      </c>
      <c r="ALN39" s="20">
        <f t="shared" si="633"/>
        <v>708.42599999997765</v>
      </c>
      <c r="ALO39" s="20">
        <f t="shared" si="633"/>
        <v>931.39999999996508</v>
      </c>
      <c r="ALP39" s="20">
        <f t="shared" si="633"/>
        <v>846.40400000003865</v>
      </c>
      <c r="ALQ39" s="20">
        <f t="shared" si="633"/>
        <v>859.62499999994179</v>
      </c>
      <c r="ALR39" s="20">
        <f t="shared" si="633"/>
        <v>888.00000000011642</v>
      </c>
      <c r="ALS39" s="20">
        <f t="shared" si="633"/>
        <v>731.77599999989616</v>
      </c>
      <c r="ALT39" s="127">
        <f t="shared" si="12"/>
        <v>30933.193999999981</v>
      </c>
      <c r="ALU39" s="20">
        <f t="shared" ref="ALU39:AMX39" si="634">ALU7</f>
        <v>1001.4370000000345</v>
      </c>
      <c r="ALV39" s="20">
        <f t="shared" si="634"/>
        <v>802.94399999995949</v>
      </c>
      <c r="ALW39" s="20">
        <f t="shared" si="634"/>
        <v>876.89000000007218</v>
      </c>
      <c r="ALX39" s="20">
        <f t="shared" si="634"/>
        <v>976.41800000000512</v>
      </c>
      <c r="ALY39" s="20">
        <f t="shared" si="634"/>
        <v>406.01999999996042</v>
      </c>
      <c r="ALZ39" s="20">
        <f t="shared" si="634"/>
        <v>686.65299999999115</v>
      </c>
      <c r="AMA39" s="20">
        <f t="shared" si="634"/>
        <v>846.60799999989104</v>
      </c>
      <c r="AMB39" s="20">
        <f t="shared" si="634"/>
        <v>849.11100000020815</v>
      </c>
      <c r="AMC39" s="20">
        <f t="shared" si="634"/>
        <v>877.65200000000186</v>
      </c>
      <c r="AMD39" s="20">
        <f t="shared" si="634"/>
        <v>898.32600000000093</v>
      </c>
      <c r="AME39" s="20">
        <f t="shared" si="634"/>
        <v>1195.9879999998957</v>
      </c>
      <c r="AMF39" s="20">
        <f t="shared" si="634"/>
        <v>834.98199999995995</v>
      </c>
      <c r="AMG39" s="20">
        <f t="shared" si="634"/>
        <v>864.72300000005635</v>
      </c>
      <c r="AMH39" s="20">
        <f t="shared" si="634"/>
        <v>869.46899999998277</v>
      </c>
      <c r="AMI39" s="20">
        <f t="shared" si="634"/>
        <v>1066.1760000000359</v>
      </c>
      <c r="AMJ39" s="20">
        <f t="shared" si="634"/>
        <v>1166.4409999999916</v>
      </c>
      <c r="AMK39" s="20">
        <f t="shared" si="634"/>
        <v>831.13100000005215</v>
      </c>
      <c r="AML39" s="20">
        <f t="shared" si="634"/>
        <v>901.78899999993155</v>
      </c>
      <c r="AMM39" s="20">
        <f t="shared" si="634"/>
        <v>906.55600000004051</v>
      </c>
      <c r="AMN39" s="20">
        <f t="shared" si="634"/>
        <v>768.17299999989336</v>
      </c>
      <c r="AMO39" s="20">
        <f t="shared" si="634"/>
        <v>691.01700000005076</v>
      </c>
      <c r="AMP39" s="20">
        <f t="shared" si="634"/>
        <v>938.04200000001583</v>
      </c>
      <c r="AMQ39" s="20">
        <f t="shared" si="634"/>
        <v>1028.2919999998994</v>
      </c>
      <c r="AMR39" s="20">
        <f t="shared" si="634"/>
        <v>1005.1510000002454</v>
      </c>
      <c r="AMS39" s="20">
        <f t="shared" si="634"/>
        <v>1045.2869999998366</v>
      </c>
      <c r="AMT39" s="20">
        <f t="shared" si="634"/>
        <v>919.37100000010105</v>
      </c>
      <c r="AMU39" s="20">
        <f t="shared" si="634"/>
        <v>1076.2379999999539</v>
      </c>
      <c r="AMV39" s="20">
        <f t="shared" si="634"/>
        <v>1084.8800000000047</v>
      </c>
      <c r="AMW39" s="20">
        <f t="shared" si="634"/>
        <v>941.60500000009779</v>
      </c>
      <c r="AMX39" s="20">
        <f t="shared" si="634"/>
        <v>798.64999999990687</v>
      </c>
      <c r="AMY39" s="127">
        <f t="shared" si="13"/>
        <v>27156.020000000077</v>
      </c>
      <c r="AMZ39" s="20">
        <f t="shared" ref="AMZ39:AOC39" si="635">AMZ7</f>
        <v>729.91200000006938</v>
      </c>
      <c r="ANA39" s="20">
        <f t="shared" si="635"/>
        <v>708.31199999991804</v>
      </c>
      <c r="ANB39" s="20">
        <f t="shared" si="635"/>
        <v>398.75200000003679</v>
      </c>
      <c r="ANC39" s="20">
        <f t="shared" si="635"/>
        <v>623.59999999990407</v>
      </c>
      <c r="AND39" s="20">
        <f t="shared" si="635"/>
        <v>427.31300000002375</v>
      </c>
      <c r="ANE39" s="20">
        <f t="shared" si="635"/>
        <v>609.82000000000698</v>
      </c>
      <c r="ANF39" s="20">
        <f t="shared" si="635"/>
        <v>475.71800000005169</v>
      </c>
      <c r="ANG39" s="20">
        <f t="shared" si="635"/>
        <v>554.54299999988871</v>
      </c>
      <c r="ANH39" s="20">
        <f t="shared" si="635"/>
        <v>613.97000000008848</v>
      </c>
      <c r="ANI39" s="20">
        <f t="shared" si="635"/>
        <v>724.70900000003166</v>
      </c>
      <c r="ANJ39" s="20">
        <f t="shared" si="635"/>
        <v>679.0789999999688</v>
      </c>
      <c r="ANK39" s="20">
        <f t="shared" si="635"/>
        <v>370.93000000005122</v>
      </c>
      <c r="ANL39" s="20">
        <f t="shared" si="635"/>
        <v>652.17599999986123</v>
      </c>
      <c r="ANM39" s="20">
        <f t="shared" si="635"/>
        <v>607.71200000011595</v>
      </c>
      <c r="ANN39" s="20">
        <f t="shared" si="635"/>
        <v>778.65100000001257</v>
      </c>
      <c r="ANO39" s="20">
        <f t="shared" si="635"/>
        <v>717.18400000000838</v>
      </c>
      <c r="ANP39" s="20">
        <f t="shared" si="635"/>
        <v>537.418999999878</v>
      </c>
      <c r="ANQ39" s="20">
        <f t="shared" si="635"/>
        <v>667.64900000003399</v>
      </c>
      <c r="ANR39" s="20">
        <f t="shared" si="635"/>
        <v>666.3070000000298</v>
      </c>
      <c r="ANS39" s="20">
        <f t="shared" si="635"/>
        <v>793.68999999988591</v>
      </c>
      <c r="ANT39" s="20">
        <f t="shared" si="635"/>
        <v>603.58300000015879</v>
      </c>
      <c r="ANU39" s="20">
        <f t="shared" si="635"/>
        <v>1104.5489999999409</v>
      </c>
      <c r="ANV39" s="20">
        <f t="shared" si="635"/>
        <v>872.37599999998929</v>
      </c>
      <c r="ANW39" s="20">
        <f t="shared" si="635"/>
        <v>654.46799999993527</v>
      </c>
      <c r="ANX39" s="20">
        <f t="shared" si="635"/>
        <v>894.59500000008848</v>
      </c>
      <c r="ANY39" s="20">
        <f t="shared" si="635"/>
        <v>1194.0719999999856</v>
      </c>
      <c r="ANZ39" s="20">
        <f t="shared" si="635"/>
        <v>756.01800000004005</v>
      </c>
      <c r="AOA39" s="20">
        <f t="shared" si="635"/>
        <v>794.99099999997998</v>
      </c>
      <c r="AOB39" s="20">
        <f t="shared" si="635"/>
        <v>1184.1470000000554</v>
      </c>
      <c r="AOC39" s="20">
        <f t="shared" si="635"/>
        <v>640.47199999995064</v>
      </c>
    </row>
    <row r="40" spans="1:1069" x14ac:dyDescent="0.2">
      <c r="A40" s="160"/>
      <c r="B40" s="34" t="s">
        <v>1528</v>
      </c>
      <c r="C40" s="35">
        <f t="shared" ref="C40:AG40" si="636">C38-C39</f>
        <v>13321.202000000001</v>
      </c>
      <c r="D40" s="35">
        <f t="shared" si="636"/>
        <v>12329.73</v>
      </c>
      <c r="E40" s="35">
        <f t="shared" si="636"/>
        <v>11623.754999999999</v>
      </c>
      <c r="F40" s="35">
        <f t="shared" si="636"/>
        <v>10598.373</v>
      </c>
      <c r="G40" s="35">
        <f t="shared" si="636"/>
        <v>9217.4970000000321</v>
      </c>
      <c r="H40" s="35">
        <f t="shared" si="636"/>
        <v>8389.5619999999672</v>
      </c>
      <c r="I40" s="35">
        <f t="shared" si="636"/>
        <v>7328.3940000000002</v>
      </c>
      <c r="J40" s="35">
        <f t="shared" si="636"/>
        <v>6358.9830000000075</v>
      </c>
      <c r="K40" s="35">
        <f t="shared" si="636"/>
        <v>5480.3669999999665</v>
      </c>
      <c r="L40" s="35">
        <f t="shared" si="636"/>
        <v>4565.2280000000028</v>
      </c>
      <c r="M40" s="35">
        <f t="shared" si="636"/>
        <v>16576.95100000003</v>
      </c>
      <c r="N40" s="35">
        <f t="shared" si="636"/>
        <v>15913.12599999996</v>
      </c>
      <c r="O40" s="35">
        <f t="shared" si="636"/>
        <v>15186.578000000038</v>
      </c>
      <c r="P40" s="35">
        <f t="shared" si="636"/>
        <v>14300.539000000019</v>
      </c>
      <c r="Q40" s="35">
        <f t="shared" si="636"/>
        <v>13508.707999999984</v>
      </c>
      <c r="R40" s="35">
        <f t="shared" si="636"/>
        <v>12793.092999999935</v>
      </c>
      <c r="S40" s="35">
        <f t="shared" si="636"/>
        <v>11588.744000000064</v>
      </c>
      <c r="T40" s="35">
        <f t="shared" si="636"/>
        <v>10798.364000000001</v>
      </c>
      <c r="U40" s="35">
        <f t="shared" si="636"/>
        <v>10111.666999999958</v>
      </c>
      <c r="V40" s="35">
        <f t="shared" si="636"/>
        <v>9222.4190000000817</v>
      </c>
      <c r="W40" s="35">
        <f t="shared" si="636"/>
        <v>8303.7949999999546</v>
      </c>
      <c r="X40" s="35">
        <f t="shared" si="636"/>
        <v>7415.8189999999886</v>
      </c>
      <c r="Y40" s="35">
        <f t="shared" si="636"/>
        <v>6444.6169999999693</v>
      </c>
      <c r="Z40" s="35">
        <f t="shared" si="636"/>
        <v>5636.1690000000817</v>
      </c>
      <c r="AA40" s="35">
        <f t="shared" si="636"/>
        <v>14412.399999999936</v>
      </c>
      <c r="AB40" s="35">
        <f t="shared" si="636"/>
        <v>13409.965000000026</v>
      </c>
      <c r="AC40" s="35">
        <f t="shared" si="636"/>
        <v>12469.244999999966</v>
      </c>
      <c r="AD40" s="35">
        <f t="shared" si="636"/>
        <v>11621.119000000035</v>
      </c>
      <c r="AE40" s="35">
        <f t="shared" si="636"/>
        <v>10333.364000000031</v>
      </c>
      <c r="AF40" s="35">
        <f t="shared" si="636"/>
        <v>9024.314999999915</v>
      </c>
      <c r="AG40" s="35">
        <f t="shared" si="636"/>
        <v>7861.6500000000233</v>
      </c>
      <c r="AH40" s="94">
        <f t="shared" si="523"/>
        <v>326145.73800000013</v>
      </c>
      <c r="AI40" s="35">
        <f t="shared" ref="AI40:BL40" si="637">AI38-AI39</f>
        <v>16752.216000000044</v>
      </c>
      <c r="AJ40" s="35">
        <f t="shared" si="637"/>
        <v>15337.587</v>
      </c>
      <c r="AK40" s="35">
        <f t="shared" si="637"/>
        <v>14089.595999999961</v>
      </c>
      <c r="AL40" s="35">
        <f t="shared" si="637"/>
        <v>12585.790000000008</v>
      </c>
      <c r="AM40" s="35">
        <f t="shared" si="637"/>
        <v>11043.919000000024</v>
      </c>
      <c r="AN40" s="35">
        <f t="shared" si="637"/>
        <v>9203.2849999999744</v>
      </c>
      <c r="AO40" s="35">
        <f t="shared" si="637"/>
        <v>7554.7169999999751</v>
      </c>
      <c r="AP40" s="35">
        <f t="shared" si="637"/>
        <v>5570.707000000024</v>
      </c>
      <c r="AQ40" s="35">
        <f t="shared" si="637"/>
        <v>14490.143999999971</v>
      </c>
      <c r="AR40" s="35">
        <f t="shared" si="637"/>
        <v>13178.821000000054</v>
      </c>
      <c r="AS40" s="35">
        <f t="shared" si="637"/>
        <v>11804.215999999986</v>
      </c>
      <c r="AT40" s="35">
        <f t="shared" si="637"/>
        <v>10615.131999999983</v>
      </c>
      <c r="AU40" s="35">
        <f t="shared" si="637"/>
        <v>9688.4079999999958</v>
      </c>
      <c r="AV40" s="35">
        <f t="shared" si="637"/>
        <v>8750.957000000024</v>
      </c>
      <c r="AW40" s="35">
        <f t="shared" si="637"/>
        <v>7715.7889999999898</v>
      </c>
      <c r="AX40" s="35">
        <f t="shared" si="637"/>
        <v>6755.7439999999769</v>
      </c>
      <c r="AY40" s="35">
        <f t="shared" si="637"/>
        <v>5786.106000000058</v>
      </c>
      <c r="AZ40" s="35">
        <f t="shared" si="637"/>
        <v>4579.8240000000169</v>
      </c>
      <c r="BA40" s="35">
        <f t="shared" si="637"/>
        <v>3631.0769999999911</v>
      </c>
      <c r="BB40" s="35">
        <f t="shared" si="637"/>
        <v>15774.391999999963</v>
      </c>
      <c r="BC40" s="35">
        <f t="shared" si="637"/>
        <v>14806.909999999974</v>
      </c>
      <c r="BD40" s="35">
        <f t="shared" si="637"/>
        <v>13604.203999999998</v>
      </c>
      <c r="BE40" s="35">
        <f t="shared" si="637"/>
        <v>12352.632000000012</v>
      </c>
      <c r="BF40" s="35">
        <f t="shared" si="637"/>
        <v>11355.729000000021</v>
      </c>
      <c r="BG40" s="35">
        <f t="shared" si="637"/>
        <v>10383.256999999983</v>
      </c>
      <c r="BH40" s="35">
        <f t="shared" si="637"/>
        <v>9294.6150000000198</v>
      </c>
      <c r="BI40" s="35">
        <f t="shared" si="637"/>
        <v>8191.5779999999795</v>
      </c>
      <c r="BJ40" s="35">
        <f t="shared" si="637"/>
        <v>7066.3109999999579</v>
      </c>
      <c r="BK40" s="35">
        <f t="shared" si="637"/>
        <v>5852.6110000000626</v>
      </c>
      <c r="BL40" s="35">
        <f t="shared" si="637"/>
        <v>16858.205999999976</v>
      </c>
      <c r="BM40" s="97">
        <f t="shared" si="527"/>
        <v>314674.48</v>
      </c>
      <c r="BN40" s="35">
        <f t="shared" ref="BN40:CR40" si="638">BN38-BN39</f>
        <v>16095.198000000004</v>
      </c>
      <c r="BO40" s="35">
        <f t="shared" si="638"/>
        <v>15207.718000000023</v>
      </c>
      <c r="BP40" s="35">
        <f t="shared" si="638"/>
        <v>14027.169999999955</v>
      </c>
      <c r="BQ40" s="35">
        <f t="shared" si="638"/>
        <v>13068.674999999988</v>
      </c>
      <c r="BR40" s="35">
        <f t="shared" si="638"/>
        <v>11491.393000000069</v>
      </c>
      <c r="BS40" s="35">
        <f t="shared" si="638"/>
        <v>10266.66499999995</v>
      </c>
      <c r="BT40" s="35">
        <f t="shared" si="638"/>
        <v>9195.0540000000619</v>
      </c>
      <c r="BU40" s="35">
        <f t="shared" si="638"/>
        <v>8410.134999999922</v>
      </c>
      <c r="BV40" s="35">
        <f t="shared" si="638"/>
        <v>7100.7680000000983</v>
      </c>
      <c r="BW40" s="35">
        <f t="shared" si="638"/>
        <v>6068.7229999999108</v>
      </c>
      <c r="BX40" s="35">
        <f t="shared" si="638"/>
        <v>5065.3729999999923</v>
      </c>
      <c r="BY40" s="35">
        <f t="shared" si="638"/>
        <v>4225.9230000000098</v>
      </c>
      <c r="BZ40" s="35">
        <f t="shared" si="638"/>
        <v>3061.0960000000196</v>
      </c>
      <c r="CA40" s="35">
        <f t="shared" si="638"/>
        <v>7026.4419999999809</v>
      </c>
      <c r="CB40" s="35">
        <f t="shared" si="638"/>
        <v>6197.5050000000047</v>
      </c>
      <c r="CC40" s="35">
        <f t="shared" si="638"/>
        <v>5185.2330000000075</v>
      </c>
      <c r="CD40" s="35">
        <f t="shared" si="638"/>
        <v>4118.926999999996</v>
      </c>
      <c r="CE40" s="35">
        <f t="shared" si="638"/>
        <v>12044.603000000061</v>
      </c>
      <c r="CF40" s="35">
        <f t="shared" si="638"/>
        <v>11400.61599999998</v>
      </c>
      <c r="CG40" s="35">
        <f t="shared" si="638"/>
        <v>10435.192999999941</v>
      </c>
      <c r="CH40" s="35">
        <f t="shared" si="638"/>
        <v>9627.1389999999956</v>
      </c>
      <c r="CI40" s="35">
        <f t="shared" si="638"/>
        <v>8798.0170000000217</v>
      </c>
      <c r="CJ40" s="35">
        <f t="shared" si="638"/>
        <v>7944.1150000000489</v>
      </c>
      <c r="CK40" s="35">
        <f t="shared" si="638"/>
        <v>6900.3139999999548</v>
      </c>
      <c r="CL40" s="35">
        <f t="shared" si="638"/>
        <v>16127.503000000055</v>
      </c>
      <c r="CM40" s="35">
        <f t="shared" si="638"/>
        <v>15347.460999999952</v>
      </c>
      <c r="CN40" s="35">
        <f t="shared" si="638"/>
        <v>14574.341000000044</v>
      </c>
      <c r="CO40" s="35">
        <f t="shared" si="638"/>
        <v>13437.694000000018</v>
      </c>
      <c r="CP40" s="35">
        <f t="shared" si="638"/>
        <v>12595.426999999938</v>
      </c>
      <c r="CQ40" s="35">
        <f t="shared" si="638"/>
        <v>11679.185000000027</v>
      </c>
      <c r="CR40" s="35">
        <f t="shared" si="638"/>
        <v>10740.786999999953</v>
      </c>
      <c r="CS40" s="111">
        <f t="shared" si="208"/>
        <v>307464.39299999998</v>
      </c>
      <c r="CT40" s="35">
        <f t="shared" ref="CT40:DW40" si="639">CT38-CT39</f>
        <v>9779.9650000000838</v>
      </c>
      <c r="CU40" s="35">
        <f t="shared" si="639"/>
        <v>8804.9159999999392</v>
      </c>
      <c r="CV40" s="35">
        <f t="shared" si="639"/>
        <v>7972.9690000000119</v>
      </c>
      <c r="CW40" s="35">
        <f t="shared" si="639"/>
        <v>6740.2930000000051</v>
      </c>
      <c r="CX40" s="35">
        <f t="shared" si="639"/>
        <v>5780.8269999999902</v>
      </c>
      <c r="CY40" s="35">
        <f t="shared" si="639"/>
        <v>4753.2670000000217</v>
      </c>
      <c r="CZ40" s="35">
        <f t="shared" si="639"/>
        <v>13660.855999999942</v>
      </c>
      <c r="DA40" s="35">
        <f t="shared" si="639"/>
        <v>12569.79899999997</v>
      </c>
      <c r="DB40" s="35">
        <f t="shared" si="639"/>
        <v>11457.815000000061</v>
      </c>
      <c r="DC40" s="35">
        <f t="shared" si="639"/>
        <v>10552.002000000008</v>
      </c>
      <c r="DD40" s="35">
        <f t="shared" si="639"/>
        <v>9314.4779999999737</v>
      </c>
      <c r="DE40" s="35">
        <f t="shared" si="639"/>
        <v>8777.5690000000759</v>
      </c>
      <c r="DF40" s="35">
        <f t="shared" si="639"/>
        <v>8274.5879999999597</v>
      </c>
      <c r="DG40" s="35">
        <f t="shared" si="639"/>
        <v>7323.6510000000071</v>
      </c>
      <c r="DH40" s="35">
        <f t="shared" si="639"/>
        <v>15645.574000000022</v>
      </c>
      <c r="DI40" s="35">
        <f t="shared" si="639"/>
        <v>14948.573999999935</v>
      </c>
      <c r="DJ40" s="35">
        <f t="shared" si="639"/>
        <v>13081.645000000019</v>
      </c>
      <c r="DK40" s="35">
        <f t="shared" si="639"/>
        <v>12242.39499999999</v>
      </c>
      <c r="DL40" s="35">
        <f t="shared" si="639"/>
        <v>11635.937999999995</v>
      </c>
      <c r="DM40" s="35">
        <f t="shared" si="639"/>
        <v>10200.010000000038</v>
      </c>
      <c r="DN40" s="35">
        <f t="shared" si="639"/>
        <v>9302.4290000000037</v>
      </c>
      <c r="DO40" s="35">
        <f t="shared" si="639"/>
        <v>8125.2150000000256</v>
      </c>
      <c r="DP40" s="35">
        <f t="shared" si="639"/>
        <v>7209.7499999999709</v>
      </c>
      <c r="DQ40" s="35">
        <f t="shared" si="639"/>
        <v>6214.877999999997</v>
      </c>
      <c r="DR40" s="35">
        <f t="shared" si="639"/>
        <v>14355.964999999938</v>
      </c>
      <c r="DS40" s="35">
        <f t="shared" si="639"/>
        <v>13541.967000000033</v>
      </c>
      <c r="DT40" s="35">
        <f t="shared" si="639"/>
        <v>12303.732000000047</v>
      </c>
      <c r="DU40" s="35">
        <f t="shared" si="639"/>
        <v>11030.953000000009</v>
      </c>
      <c r="DV40" s="35">
        <f t="shared" si="639"/>
        <v>9938.609999999986</v>
      </c>
      <c r="DW40" s="35">
        <f t="shared" si="639"/>
        <v>8940.4239999999991</v>
      </c>
      <c r="DX40" s="119"/>
      <c r="DY40" s="35">
        <f t="shared" ref="DY40:FC40" si="640">DY38-DY39</f>
        <v>8049.8569999999891</v>
      </c>
      <c r="DZ40" s="35">
        <f t="shared" si="640"/>
        <v>6824.7110000000393</v>
      </c>
      <c r="EA40" s="35">
        <f t="shared" si="640"/>
        <v>6027.402999999962</v>
      </c>
      <c r="EB40" s="35">
        <f t="shared" si="640"/>
        <v>5050.9260000000068</v>
      </c>
      <c r="EC40" s="35">
        <f t="shared" si="640"/>
        <v>4019.0460000000312</v>
      </c>
      <c r="ED40" s="35">
        <f t="shared" si="640"/>
        <v>3062.9359999999579</v>
      </c>
      <c r="EE40" s="35">
        <f t="shared" si="640"/>
        <v>8935.8790000000445</v>
      </c>
      <c r="EF40" s="35">
        <f t="shared" si="640"/>
        <v>7850.4359999999288</v>
      </c>
      <c r="EG40" s="35">
        <f t="shared" si="640"/>
        <v>6476.9430000000284</v>
      </c>
      <c r="EH40" s="35">
        <f t="shared" si="640"/>
        <v>5362.0339999999851</v>
      </c>
      <c r="EI40" s="35">
        <f t="shared" si="640"/>
        <v>4115.3399999999965</v>
      </c>
      <c r="EJ40" s="35">
        <f t="shared" si="640"/>
        <v>2638.1990000000224</v>
      </c>
      <c r="EK40" s="35">
        <f t="shared" si="640"/>
        <v>1555.7769999999518</v>
      </c>
      <c r="EL40" s="35">
        <f t="shared" si="640"/>
        <v>10069.676000000065</v>
      </c>
      <c r="EM40" s="35">
        <f t="shared" si="640"/>
        <v>8561.3929999999527</v>
      </c>
      <c r="EN40" s="35">
        <f t="shared" si="640"/>
        <v>7509.5020000000368</v>
      </c>
      <c r="EO40" s="35">
        <f t="shared" si="640"/>
        <v>6426.829000000027</v>
      </c>
      <c r="EP40" s="35">
        <f t="shared" si="640"/>
        <v>5158.3559999999707</v>
      </c>
      <c r="EQ40" s="35">
        <f t="shared" si="640"/>
        <v>4144.0929999999935</v>
      </c>
      <c r="ER40" s="35">
        <f t="shared" si="640"/>
        <v>15817.757999999973</v>
      </c>
      <c r="ES40" s="35">
        <f t="shared" si="640"/>
        <v>14152.23000000001</v>
      </c>
      <c r="ET40" s="35">
        <f t="shared" si="640"/>
        <v>12569.998999999982</v>
      </c>
      <c r="EU40" s="35">
        <f t="shared" si="640"/>
        <v>10658.410000000033</v>
      </c>
      <c r="EV40" s="35">
        <f t="shared" si="640"/>
        <v>9525.0850000000501</v>
      </c>
      <c r="EW40" s="35">
        <f t="shared" si="640"/>
        <v>8949.5399999999499</v>
      </c>
      <c r="EX40" s="35">
        <f t="shared" si="640"/>
        <v>8064.0179999999527</v>
      </c>
      <c r="EY40" s="35">
        <f t="shared" si="640"/>
        <v>7244.4900000000489</v>
      </c>
      <c r="EZ40" s="35">
        <f t="shared" si="640"/>
        <v>6266.6729999999807</v>
      </c>
      <c r="FA40" s="35">
        <f t="shared" si="640"/>
        <v>15304.152000000002</v>
      </c>
      <c r="FB40" s="35">
        <f t="shared" si="640"/>
        <v>14059.523999999947</v>
      </c>
      <c r="FC40" s="35">
        <f t="shared" si="640"/>
        <v>13156.465000000084</v>
      </c>
      <c r="FD40" s="128"/>
      <c r="FE40" s="35">
        <f t="shared" ref="FE40:GI40" si="641">FE38-FE39</f>
        <v>12269.505999999936</v>
      </c>
      <c r="FF40" s="35">
        <f t="shared" si="641"/>
        <v>11398.375999999989</v>
      </c>
      <c r="FG40" s="35">
        <f t="shared" si="641"/>
        <v>10173.419000000053</v>
      </c>
      <c r="FH40" s="35">
        <f t="shared" si="641"/>
        <v>9057.0150000000431</v>
      </c>
      <c r="FI40" s="35">
        <f t="shared" si="641"/>
        <v>8031.6249999999418</v>
      </c>
      <c r="FJ40" s="35">
        <f t="shared" si="641"/>
        <v>6899.4250000000175</v>
      </c>
      <c r="FK40" s="35">
        <f t="shared" si="641"/>
        <v>5906.8409999999567</v>
      </c>
      <c r="FL40" s="35">
        <f t="shared" si="641"/>
        <v>5054.9650000000838</v>
      </c>
      <c r="FM40" s="35">
        <f t="shared" si="641"/>
        <v>3859.9009999999544</v>
      </c>
      <c r="FN40" s="35">
        <f t="shared" si="641"/>
        <v>3050.6670000000158</v>
      </c>
      <c r="FO40" s="35">
        <f t="shared" si="641"/>
        <v>8982.2909999999392</v>
      </c>
      <c r="FP40" s="35">
        <f t="shared" si="641"/>
        <v>7369.2970000000787</v>
      </c>
      <c r="FQ40" s="35">
        <f t="shared" si="641"/>
        <v>6515.2789999999222</v>
      </c>
      <c r="FR40" s="35">
        <f t="shared" si="641"/>
        <v>5303.0560000000405</v>
      </c>
      <c r="FS40" s="35">
        <f t="shared" si="641"/>
        <v>3931.6669999999576</v>
      </c>
      <c r="FT40" s="35">
        <f t="shared" si="641"/>
        <v>3049.4640000000945</v>
      </c>
      <c r="FU40" s="35">
        <f t="shared" si="641"/>
        <v>1756.2379999998957</v>
      </c>
      <c r="FV40" s="35">
        <f t="shared" si="641"/>
        <v>8663.2530000000843</v>
      </c>
      <c r="FW40" s="35">
        <f t="shared" si="641"/>
        <v>7505.286999999953</v>
      </c>
      <c r="FX40" s="35">
        <f t="shared" si="641"/>
        <v>6293.231000000058</v>
      </c>
      <c r="FY40" s="35">
        <f t="shared" si="641"/>
        <v>5310.5209999999497</v>
      </c>
      <c r="FZ40" s="35">
        <f t="shared" si="641"/>
        <v>4074.4180000000342</v>
      </c>
      <c r="GA40" s="35">
        <f t="shared" si="641"/>
        <v>2591.49099999998</v>
      </c>
      <c r="GB40" s="35">
        <f t="shared" si="641"/>
        <v>9626.3340000000317</v>
      </c>
      <c r="GC40" s="35">
        <f t="shared" si="641"/>
        <v>8725.1549999999115</v>
      </c>
      <c r="GD40" s="35">
        <f t="shared" si="641"/>
        <v>7481.4490000000224</v>
      </c>
      <c r="GE40" s="35">
        <f t="shared" si="641"/>
        <v>6310.9130000000005</v>
      </c>
      <c r="GF40" s="35">
        <f t="shared" si="641"/>
        <v>5138.4300000000221</v>
      </c>
      <c r="GG40" s="35">
        <f t="shared" si="641"/>
        <v>3710.3239999999932</v>
      </c>
      <c r="GH40" s="35">
        <f t="shared" si="641"/>
        <v>2363.4190000000235</v>
      </c>
      <c r="GI40" s="35">
        <f t="shared" si="641"/>
        <v>1190.3479999999981</v>
      </c>
      <c r="GJ40" s="127">
        <f t="shared" si="99"/>
        <v>191593.60499999998</v>
      </c>
      <c r="GK40" s="35">
        <f t="shared" ref="GK40:HM40" si="642">GK38-GK39</f>
        <v>8084.2979999999807</v>
      </c>
      <c r="GL40" s="35">
        <f t="shared" si="642"/>
        <v>6746.2059999999765</v>
      </c>
      <c r="GM40" s="35">
        <f t="shared" si="642"/>
        <v>5715.3640000000305</v>
      </c>
      <c r="GN40" s="35">
        <f t="shared" si="642"/>
        <v>4882.1460000000079</v>
      </c>
      <c r="GO40" s="35">
        <f t="shared" si="642"/>
        <v>3831.9099999999453</v>
      </c>
      <c r="GP40" s="35">
        <f t="shared" si="642"/>
        <v>10932.915000000037</v>
      </c>
      <c r="GQ40" s="35">
        <f t="shared" si="642"/>
        <v>9628.207000000024</v>
      </c>
      <c r="GR40" s="35">
        <f t="shared" si="642"/>
        <v>8419.4639999999781</v>
      </c>
      <c r="GS40" s="35">
        <f t="shared" si="642"/>
        <v>7612.2760000000126</v>
      </c>
      <c r="GT40" s="35">
        <f t="shared" si="642"/>
        <v>6231.3239999999932</v>
      </c>
      <c r="GU40" s="35">
        <f t="shared" si="642"/>
        <v>5292.2980000000098</v>
      </c>
      <c r="GV40" s="35">
        <f t="shared" si="642"/>
        <v>4313.091000000044</v>
      </c>
      <c r="GW40" s="35">
        <f t="shared" si="642"/>
        <v>3500.6269999999786</v>
      </c>
      <c r="GX40" s="35">
        <f t="shared" si="642"/>
        <v>10491.705000000016</v>
      </c>
      <c r="GY40" s="35">
        <f t="shared" si="642"/>
        <v>9559.1789999999455</v>
      </c>
      <c r="GZ40" s="35">
        <f t="shared" si="642"/>
        <v>8544.7240000000456</v>
      </c>
      <c r="HA40" s="35">
        <f t="shared" si="642"/>
        <v>7713.2609999999404</v>
      </c>
      <c r="HB40" s="35">
        <f t="shared" si="642"/>
        <v>6960.4619999999995</v>
      </c>
      <c r="HC40" s="35">
        <f t="shared" si="642"/>
        <v>5589.8479999999981</v>
      </c>
      <c r="HD40" s="35">
        <f t="shared" si="642"/>
        <v>10668.705000000016</v>
      </c>
      <c r="HE40" s="35">
        <f t="shared" si="642"/>
        <v>9777.2009999999718</v>
      </c>
      <c r="HF40" s="35">
        <f t="shared" si="642"/>
        <v>8838.9670000000624</v>
      </c>
      <c r="HG40" s="35">
        <f t="shared" si="642"/>
        <v>7760.5109999999695</v>
      </c>
      <c r="HH40" s="35">
        <f t="shared" si="642"/>
        <v>6227.7950000000128</v>
      </c>
      <c r="HI40" s="35">
        <f t="shared" si="642"/>
        <v>5417.8129999999655</v>
      </c>
      <c r="HJ40" s="35">
        <f t="shared" si="642"/>
        <v>4396.2910000000265</v>
      </c>
      <c r="HK40" s="35">
        <f t="shared" si="642"/>
        <v>3526.5700000000361</v>
      </c>
      <c r="HL40" s="35">
        <f t="shared" si="642"/>
        <v>15575.570999999967</v>
      </c>
      <c r="HM40" s="35">
        <f t="shared" si="642"/>
        <v>14668.445000000065</v>
      </c>
      <c r="HN40" s="127">
        <f t="shared" si="253"/>
        <v>220907.17400000006</v>
      </c>
      <c r="HO40" s="35">
        <f t="shared" ref="HO40:IS40" si="643">HO38-HO39</f>
        <v>13561.795999999915</v>
      </c>
      <c r="HP40" s="35">
        <f t="shared" si="643"/>
        <v>12211.774000000034</v>
      </c>
      <c r="HQ40" s="35">
        <f t="shared" si="643"/>
        <v>11354.064000000013</v>
      </c>
      <c r="HR40" s="35">
        <f t="shared" si="643"/>
        <v>9754.4129999999423</v>
      </c>
      <c r="HS40" s="35">
        <f t="shared" si="643"/>
        <v>15609.502000000066</v>
      </c>
      <c r="HT40" s="35">
        <f t="shared" si="643"/>
        <v>14311.660999999935</v>
      </c>
      <c r="HU40" s="35">
        <f t="shared" si="643"/>
        <v>12895.483000000037</v>
      </c>
      <c r="HV40" s="35">
        <f t="shared" si="643"/>
        <v>11885.195000000007</v>
      </c>
      <c r="HW40" s="35">
        <f t="shared" si="643"/>
        <v>10464.563000000053</v>
      </c>
      <c r="HX40" s="35">
        <f t="shared" si="643"/>
        <v>9362.936999999918</v>
      </c>
      <c r="HY40" s="35">
        <f t="shared" si="643"/>
        <v>8211.76800000004</v>
      </c>
      <c r="HZ40" s="35">
        <f t="shared" si="643"/>
        <v>7191.3720000000321</v>
      </c>
      <c r="IA40" s="35">
        <f t="shared" si="643"/>
        <v>6331.3469999999506</v>
      </c>
      <c r="IB40" s="35">
        <f t="shared" si="643"/>
        <v>5175.1969999999856</v>
      </c>
      <c r="IC40" s="35">
        <f t="shared" si="643"/>
        <v>4202.536000000051</v>
      </c>
      <c r="ID40" s="35">
        <f t="shared" si="643"/>
        <v>12304.400999999954</v>
      </c>
      <c r="IE40" s="35">
        <f t="shared" si="643"/>
        <v>11403.974999999948</v>
      </c>
      <c r="IF40" s="35">
        <f t="shared" si="643"/>
        <v>10318.783000000054</v>
      </c>
      <c r="IG40" s="35">
        <f t="shared" si="643"/>
        <v>9145.1199999999953</v>
      </c>
      <c r="IH40" s="35">
        <f t="shared" si="643"/>
        <v>8282.4980000000214</v>
      </c>
      <c r="II40" s="35">
        <f t="shared" si="643"/>
        <v>7275.4659999999276</v>
      </c>
      <c r="IJ40" s="35">
        <f t="shared" si="643"/>
        <v>6064.6449999999895</v>
      </c>
      <c r="IK40" s="35">
        <f t="shared" si="643"/>
        <v>4855.8670000000566</v>
      </c>
      <c r="IL40" s="35">
        <f t="shared" si="643"/>
        <v>4157.6270000000368</v>
      </c>
      <c r="IM40" s="35">
        <f t="shared" si="643"/>
        <v>2805.4709999999905</v>
      </c>
      <c r="IN40" s="35">
        <f t="shared" si="643"/>
        <v>1753.9780000000028</v>
      </c>
      <c r="IO40" s="35">
        <f t="shared" si="643"/>
        <v>11610.403999999951</v>
      </c>
      <c r="IP40" s="35">
        <f t="shared" si="643"/>
        <v>10427.576000000094</v>
      </c>
      <c r="IQ40" s="35">
        <f t="shared" si="643"/>
        <v>8851.1169999999402</v>
      </c>
      <c r="IR40" s="35">
        <f t="shared" si="643"/>
        <v>8067.3990000000049</v>
      </c>
      <c r="IS40" s="35">
        <f t="shared" si="643"/>
        <v>7331.8899999999558</v>
      </c>
      <c r="IT40" s="127">
        <f t="shared" si="22"/>
        <v>277179.8249999999</v>
      </c>
      <c r="IU40" s="35">
        <f t="shared" ref="IU40:JX40" si="644">IU38-IU39</f>
        <v>6460.2340000000841</v>
      </c>
      <c r="IV40" s="35">
        <f t="shared" si="644"/>
        <v>5206.6039999999339</v>
      </c>
      <c r="IW40" s="35">
        <f t="shared" si="644"/>
        <v>4364.1350000000093</v>
      </c>
      <c r="IX40" s="35">
        <f t="shared" si="644"/>
        <v>3294.4700000000303</v>
      </c>
      <c r="IY40" s="35">
        <f t="shared" si="644"/>
        <v>10096.93299999999</v>
      </c>
      <c r="IZ40" s="35">
        <f t="shared" si="644"/>
        <v>9249.30799999999</v>
      </c>
      <c r="JA40" s="35">
        <f t="shared" si="644"/>
        <v>8534.1659999999683</v>
      </c>
      <c r="JB40" s="35">
        <f t="shared" si="644"/>
        <v>7137.7259999999987</v>
      </c>
      <c r="JC40" s="35">
        <f t="shared" si="644"/>
        <v>8202.5550000000803</v>
      </c>
      <c r="JD40" s="35">
        <f t="shared" si="644"/>
        <v>7270.6409999999742</v>
      </c>
      <c r="JE40" s="35">
        <f t="shared" si="644"/>
        <v>6183.7169999999751</v>
      </c>
      <c r="JF40" s="35">
        <f t="shared" si="644"/>
        <v>5116.6419999999634</v>
      </c>
      <c r="JG40" s="35">
        <f t="shared" si="644"/>
        <v>15707.578000000009</v>
      </c>
      <c r="JH40" s="35">
        <f t="shared" si="644"/>
        <v>14878.562999999966</v>
      </c>
      <c r="JI40" s="35">
        <f t="shared" si="644"/>
        <v>13802.302000000025</v>
      </c>
      <c r="JJ40" s="35">
        <f t="shared" si="644"/>
        <v>12895.480000000127</v>
      </c>
      <c r="JK40" s="35">
        <f t="shared" si="644"/>
        <v>11779.275999999838</v>
      </c>
      <c r="JL40" s="35">
        <f t="shared" si="644"/>
        <v>10783.610000000073</v>
      </c>
      <c r="JM40" s="35">
        <f t="shared" si="644"/>
        <v>9717.6150000000198</v>
      </c>
      <c r="JN40" s="35">
        <f t="shared" si="644"/>
        <v>8690.1059999999416</v>
      </c>
      <c r="JO40" s="35">
        <f t="shared" si="644"/>
        <v>8096.1780000000435</v>
      </c>
      <c r="JP40" s="35">
        <f t="shared" si="644"/>
        <v>6638.9589999999444</v>
      </c>
      <c r="JQ40" s="35">
        <f t="shared" si="644"/>
        <v>5738.6580000000249</v>
      </c>
      <c r="JR40" s="35">
        <f t="shared" si="644"/>
        <v>4878.4130000000005</v>
      </c>
      <c r="JS40" s="35">
        <f t="shared" si="644"/>
        <v>4025.3800000001211</v>
      </c>
      <c r="JT40" s="35">
        <f t="shared" si="644"/>
        <v>3005.0599999999686</v>
      </c>
      <c r="JU40" s="35">
        <f t="shared" si="644"/>
        <v>12128.179999999906</v>
      </c>
      <c r="JV40" s="35">
        <f t="shared" si="644"/>
        <v>11241.020000000106</v>
      </c>
      <c r="JW40" s="35">
        <f t="shared" si="644"/>
        <v>10135.907999999996</v>
      </c>
      <c r="JX40" s="35">
        <f t="shared" si="644"/>
        <v>9184.9989999999234</v>
      </c>
      <c r="JY40" s="127">
        <f t="shared" si="58"/>
        <v>254444.41600000003</v>
      </c>
      <c r="JZ40" s="35">
        <f t="shared" ref="JZ40:LD40" si="645">JZ38-JZ39</f>
        <v>8551.6310000000522</v>
      </c>
      <c r="KA40" s="35">
        <f t="shared" si="645"/>
        <v>7558.6969999999856</v>
      </c>
      <c r="KB40" s="35">
        <f t="shared" si="645"/>
        <v>16198.087</v>
      </c>
      <c r="KC40" s="35">
        <f t="shared" si="645"/>
        <v>15355.113999999972</v>
      </c>
      <c r="KD40" s="35">
        <f t="shared" si="645"/>
        <v>14329.39499999999</v>
      </c>
      <c r="KE40" s="35">
        <f t="shared" si="645"/>
        <v>13343.314000000013</v>
      </c>
      <c r="KF40" s="35">
        <f t="shared" si="645"/>
        <v>12015.396999999997</v>
      </c>
      <c r="KG40" s="35">
        <f t="shared" si="645"/>
        <v>10938.664000000019</v>
      </c>
      <c r="KH40" s="35">
        <f t="shared" si="645"/>
        <v>9542.5639999999839</v>
      </c>
      <c r="KI40" s="35">
        <f t="shared" si="645"/>
        <v>8173.9070000000065</v>
      </c>
      <c r="KJ40" s="35">
        <f t="shared" si="645"/>
        <v>6970.5109999999986</v>
      </c>
      <c r="KK40" s="35">
        <f t="shared" si="645"/>
        <v>6143.0369999999239</v>
      </c>
      <c r="KL40" s="35">
        <f t="shared" si="645"/>
        <v>3986.4620000001159</v>
      </c>
      <c r="KM40" s="35">
        <f t="shared" si="645"/>
        <v>2568.9559999999474</v>
      </c>
      <c r="KN40" s="35">
        <f t="shared" si="645"/>
        <v>1643.7579999999434</v>
      </c>
      <c r="KO40" s="35">
        <f t="shared" si="645"/>
        <v>9536.3300000000745</v>
      </c>
      <c r="KP40" s="35">
        <f t="shared" si="645"/>
        <v>8135.3249999999534</v>
      </c>
      <c r="KQ40" s="35">
        <f t="shared" si="645"/>
        <v>6610.7730000000447</v>
      </c>
      <c r="KR40" s="35">
        <f t="shared" si="645"/>
        <v>5629.7369999999355</v>
      </c>
      <c r="KS40" s="35">
        <f t="shared" si="645"/>
        <v>4235.8820000000414</v>
      </c>
      <c r="KT40" s="35">
        <f t="shared" si="645"/>
        <v>2382.5819999999949</v>
      </c>
      <c r="KU40" s="35">
        <f t="shared" si="645"/>
        <v>6693.0590000000957</v>
      </c>
      <c r="KV40" s="35">
        <f t="shared" si="645"/>
        <v>4102.6759999999776</v>
      </c>
      <c r="KW40" s="35">
        <f t="shared" si="645"/>
        <v>2682.6799999999057</v>
      </c>
      <c r="KX40" s="35">
        <f t="shared" si="645"/>
        <v>9308.9700000000012</v>
      </c>
      <c r="KY40" s="35">
        <f t="shared" si="645"/>
        <v>8442.7440000000061</v>
      </c>
      <c r="KZ40" s="35">
        <f t="shared" si="645"/>
        <v>7190.7870000000694</v>
      </c>
      <c r="LA40" s="35">
        <f t="shared" si="645"/>
        <v>5657.4350000000268</v>
      </c>
      <c r="LB40" s="35">
        <f t="shared" si="645"/>
        <v>4078.0769999999029</v>
      </c>
      <c r="LC40" s="35">
        <f t="shared" si="645"/>
        <v>7993.2490000000107</v>
      </c>
      <c r="LD40" s="35">
        <f t="shared" si="645"/>
        <v>11395.871999999974</v>
      </c>
      <c r="LE40" s="127">
        <f t="shared" si="60"/>
        <v>232844.04099999991</v>
      </c>
      <c r="LF40" s="35">
        <f t="shared" ref="LF40:MI40" si="646">LF38-LF39</f>
        <v>10099.942000000039</v>
      </c>
      <c r="LG40" s="35">
        <f t="shared" si="646"/>
        <v>8853.5140000000538</v>
      </c>
      <c r="LH40" s="35">
        <f t="shared" si="646"/>
        <v>7152.0070000000414</v>
      </c>
      <c r="LI40" s="35">
        <f t="shared" si="646"/>
        <v>5455.073999999935</v>
      </c>
      <c r="LJ40" s="35">
        <f t="shared" si="646"/>
        <v>4176.8680000000168</v>
      </c>
      <c r="LK40" s="35">
        <f t="shared" si="646"/>
        <v>2905.4829999999783</v>
      </c>
      <c r="LL40" s="35">
        <f t="shared" si="646"/>
        <v>11195.361999999965</v>
      </c>
      <c r="LM40" s="35">
        <f t="shared" si="646"/>
        <v>9590.429999999993</v>
      </c>
      <c r="LN40" s="35">
        <f t="shared" si="646"/>
        <v>8616.3839999999909</v>
      </c>
      <c r="LO40" s="35">
        <f t="shared" si="646"/>
        <v>7245.1650000000373</v>
      </c>
      <c r="LP40" s="35">
        <f t="shared" si="646"/>
        <v>5564.8479999999108</v>
      </c>
      <c r="LQ40" s="35">
        <f t="shared" si="646"/>
        <v>4256.5560000001278</v>
      </c>
      <c r="LR40" s="35">
        <f t="shared" si="646"/>
        <v>2831.5960000000196</v>
      </c>
      <c r="LS40" s="35">
        <f t="shared" si="646"/>
        <v>8159.2559999999066</v>
      </c>
      <c r="LT40" s="35">
        <f t="shared" si="646"/>
        <v>6899.9260000000359</v>
      </c>
      <c r="LU40" s="35">
        <f t="shared" si="646"/>
        <v>5920.6660000000556</v>
      </c>
      <c r="LV40" s="35">
        <f t="shared" si="646"/>
        <v>4796.7199999999721</v>
      </c>
      <c r="LW40" s="35">
        <f t="shared" si="646"/>
        <v>3479.4449999999488</v>
      </c>
      <c r="LX40" s="35">
        <f t="shared" si="646"/>
        <v>2017.710000000021</v>
      </c>
      <c r="LY40" s="35">
        <f t="shared" si="646"/>
        <v>8641.2209999999614</v>
      </c>
      <c r="LZ40" s="35">
        <f t="shared" si="646"/>
        <v>7161.1300000000338</v>
      </c>
      <c r="MA40" s="35">
        <f t="shared" si="646"/>
        <v>5946.1500000000233</v>
      </c>
      <c r="MB40" s="35">
        <f t="shared" si="646"/>
        <v>5096.6839999999502</v>
      </c>
      <c r="MC40" s="35">
        <f t="shared" si="646"/>
        <v>4022.5800000000454</v>
      </c>
      <c r="MD40" s="35">
        <f t="shared" si="646"/>
        <v>2848.3609999999171</v>
      </c>
      <c r="ME40" s="35">
        <f t="shared" si="646"/>
        <v>8544.5370000000403</v>
      </c>
      <c r="MF40" s="35">
        <f t="shared" si="646"/>
        <v>7420.2839999999851</v>
      </c>
      <c r="MG40" s="35">
        <f t="shared" si="646"/>
        <v>6233.3319999999949</v>
      </c>
      <c r="MH40" s="35">
        <f t="shared" si="646"/>
        <v>5190.8930000000109</v>
      </c>
      <c r="MI40" s="35">
        <f t="shared" si="646"/>
        <v>3887.917000000074</v>
      </c>
      <c r="MJ40" s="127">
        <f t="shared" si="62"/>
        <v>184210.04100000008</v>
      </c>
      <c r="MK40" s="35">
        <f t="shared" ref="MK40:NO40" si="647">MK38-MK39</f>
        <v>2605.7819999999774</v>
      </c>
      <c r="ML40" s="35">
        <f t="shared" si="647"/>
        <v>1236.5369999999916</v>
      </c>
      <c r="MM40" s="35">
        <f t="shared" si="647"/>
        <v>5387.6440000000293</v>
      </c>
      <c r="MN40" s="35">
        <f t="shared" si="647"/>
        <v>4254.4469999999101</v>
      </c>
      <c r="MO40" s="35">
        <f t="shared" si="647"/>
        <v>2837.4180000000342</v>
      </c>
      <c r="MP40" s="35">
        <f t="shared" si="647"/>
        <v>9822.9630000000143</v>
      </c>
      <c r="MQ40" s="35">
        <f t="shared" si="647"/>
        <v>8485.9109999999637</v>
      </c>
      <c r="MR40" s="35">
        <f t="shared" si="647"/>
        <v>7376.423000000068</v>
      </c>
      <c r="MS40" s="35">
        <f t="shared" si="647"/>
        <v>6378.3119999999317</v>
      </c>
      <c r="MT40" s="35">
        <f t="shared" si="647"/>
        <v>5728.7450000000053</v>
      </c>
      <c r="MU40" s="35">
        <f t="shared" si="647"/>
        <v>4375.403000000103</v>
      </c>
      <c r="MV40" s="35">
        <f t="shared" si="647"/>
        <v>8251.8159999998752</v>
      </c>
      <c r="MW40" s="35">
        <f t="shared" si="647"/>
        <v>6939.7490000000398</v>
      </c>
      <c r="MX40" s="35">
        <f t="shared" si="647"/>
        <v>5955.3300000000163</v>
      </c>
      <c r="MY40" s="35">
        <f t="shared" si="647"/>
        <v>4730.2559999999648</v>
      </c>
      <c r="MZ40" s="35">
        <f t="shared" si="647"/>
        <v>3428.9390000000712</v>
      </c>
      <c r="NA40" s="35">
        <f t="shared" si="647"/>
        <v>2213.8779999999679</v>
      </c>
      <c r="NB40" s="35">
        <f t="shared" si="647"/>
        <v>1141.8459999999905</v>
      </c>
      <c r="NC40" s="35">
        <f t="shared" si="647"/>
        <v>7813.2469999999739</v>
      </c>
      <c r="ND40" s="35">
        <f t="shared" si="647"/>
        <v>6745.9920000000275</v>
      </c>
      <c r="NE40" s="35">
        <f t="shared" si="647"/>
        <v>6008.9310000000696</v>
      </c>
      <c r="NF40" s="35">
        <f t="shared" si="647"/>
        <v>4832.0899999998801</v>
      </c>
      <c r="NG40" s="35">
        <f t="shared" si="647"/>
        <v>3875.3820000000123</v>
      </c>
      <c r="NH40" s="35">
        <f t="shared" si="647"/>
        <v>2902.3440000000119</v>
      </c>
      <c r="NI40" s="35">
        <f t="shared" si="647"/>
        <v>12554.909000000043</v>
      </c>
      <c r="NJ40" s="35">
        <f t="shared" si="647"/>
        <v>11067.786000000022</v>
      </c>
      <c r="NK40" s="35">
        <f t="shared" si="647"/>
        <v>10254.510999999969</v>
      </c>
      <c r="NL40" s="35">
        <f t="shared" si="647"/>
        <v>9160.3879999999772</v>
      </c>
      <c r="NM40" s="35">
        <f t="shared" si="647"/>
        <v>8099.2879999999423</v>
      </c>
      <c r="NN40" s="35">
        <f t="shared" si="647"/>
        <v>6909.905000000057</v>
      </c>
      <c r="NO40" s="35">
        <f t="shared" si="647"/>
        <v>5872.8769999999495</v>
      </c>
      <c r="NP40" s="127">
        <f t="shared" si="64"/>
        <v>184643.26699999991</v>
      </c>
      <c r="NQ40" s="35">
        <f t="shared" ref="NQ40:OU40" si="648">NQ38-NQ39</f>
        <v>4887.0630000001111</v>
      </c>
      <c r="NR40" s="35">
        <f t="shared" si="648"/>
        <v>3584.256999999925</v>
      </c>
      <c r="NS40" s="35">
        <f t="shared" si="648"/>
        <v>10317.509000000049</v>
      </c>
      <c r="NT40" s="35">
        <f t="shared" si="648"/>
        <v>9413.8700000000244</v>
      </c>
      <c r="NU40" s="35">
        <f t="shared" si="648"/>
        <v>8378.6130000000121</v>
      </c>
      <c r="NV40" s="35">
        <f t="shared" si="648"/>
        <v>6960.1279999999097</v>
      </c>
      <c r="NW40" s="35">
        <f t="shared" si="648"/>
        <v>5622.2339999999967</v>
      </c>
      <c r="NX40" s="35">
        <f t="shared" si="648"/>
        <v>4369.164999999979</v>
      </c>
      <c r="NY40" s="35">
        <f t="shared" si="648"/>
        <v>3227.0940000000119</v>
      </c>
      <c r="NZ40" s="35">
        <f t="shared" si="648"/>
        <v>6299.9180000000342</v>
      </c>
      <c r="OA40" s="35">
        <f t="shared" si="648"/>
        <v>5248.0560000000987</v>
      </c>
      <c r="OB40" s="35">
        <f t="shared" si="648"/>
        <v>4386.6869999998889</v>
      </c>
      <c r="OC40" s="35">
        <f t="shared" si="648"/>
        <v>3358.2210000000487</v>
      </c>
      <c r="OD40" s="35">
        <f t="shared" si="648"/>
        <v>2135.5509999999485</v>
      </c>
      <c r="OE40" s="35">
        <f t="shared" si="648"/>
        <v>8029.0069999999832</v>
      </c>
      <c r="OF40" s="35">
        <f t="shared" si="648"/>
        <v>6906.3830000000016</v>
      </c>
      <c r="OG40" s="35">
        <f t="shared" si="648"/>
        <v>5899.5420000000449</v>
      </c>
      <c r="OH40" s="35">
        <f t="shared" si="648"/>
        <v>4874.2999999999593</v>
      </c>
      <c r="OI40" s="35">
        <f t="shared" si="648"/>
        <v>3762.7440000000643</v>
      </c>
      <c r="OJ40" s="35">
        <f t="shared" si="648"/>
        <v>2761.8549999999523</v>
      </c>
      <c r="OK40" s="35">
        <f t="shared" si="648"/>
        <v>11743.155000000028</v>
      </c>
      <c r="OL40" s="35">
        <f t="shared" si="648"/>
        <v>10286.759000000078</v>
      </c>
      <c r="OM40" s="35">
        <f t="shared" si="648"/>
        <v>8997.603999999963</v>
      </c>
      <c r="ON40" s="35">
        <f t="shared" si="648"/>
        <v>7843.5369999998948</v>
      </c>
      <c r="OO40" s="35">
        <f t="shared" si="648"/>
        <v>7182.8830000000016</v>
      </c>
      <c r="OP40" s="35">
        <f t="shared" si="648"/>
        <v>5971.8360000000102</v>
      </c>
      <c r="OQ40" s="35">
        <f t="shared" si="648"/>
        <v>4875.5470000000787</v>
      </c>
      <c r="OR40" s="35">
        <f t="shared" si="648"/>
        <v>3710.2389999999141</v>
      </c>
      <c r="OS40" s="35">
        <f t="shared" si="648"/>
        <v>2655.9400000000314</v>
      </c>
      <c r="OT40" s="35">
        <f t="shared" si="648"/>
        <v>13880.630000000034</v>
      </c>
      <c r="OU40" s="35">
        <f t="shared" si="648"/>
        <v>12350.756999999925</v>
      </c>
      <c r="OV40" s="127">
        <f t="shared" si="66"/>
        <v>195034.02099999989</v>
      </c>
      <c r="OW40" s="35">
        <f t="shared" ref="OW40:PZ40" si="649">OW38-OW39</f>
        <v>11470.516000000032</v>
      </c>
      <c r="OX40" s="35">
        <f t="shared" si="649"/>
        <v>9792.3220000000438</v>
      </c>
      <c r="OY40" s="35">
        <f t="shared" si="649"/>
        <v>8606.5770000000484</v>
      </c>
      <c r="OZ40" s="35">
        <f t="shared" si="649"/>
        <v>7671.7449999998498</v>
      </c>
      <c r="PA40" s="35">
        <f t="shared" si="649"/>
        <v>6336.1510000000708</v>
      </c>
      <c r="PB40" s="35">
        <f t="shared" si="649"/>
        <v>14039.521999999968</v>
      </c>
      <c r="PC40" s="35">
        <f t="shared" si="649"/>
        <v>12640.159000000072</v>
      </c>
      <c r="PD40" s="35">
        <f t="shared" si="649"/>
        <v>11431.908999999956</v>
      </c>
      <c r="PE40" s="35">
        <f t="shared" si="649"/>
        <v>10523.105000000111</v>
      </c>
      <c r="PF40" s="35">
        <f t="shared" si="649"/>
        <v>9359.3229999998584</v>
      </c>
      <c r="PG40" s="35">
        <f t="shared" si="649"/>
        <v>8104.9830000000366</v>
      </c>
      <c r="PH40" s="35">
        <f t="shared" si="649"/>
        <v>6985.8730000000214</v>
      </c>
      <c r="PI40" s="35">
        <f t="shared" si="649"/>
        <v>5484.1749999999884</v>
      </c>
      <c r="PJ40" s="35">
        <f t="shared" si="649"/>
        <v>4387.7620000000461</v>
      </c>
      <c r="PK40" s="35">
        <f t="shared" si="649"/>
        <v>3433.0059999999648</v>
      </c>
      <c r="PL40" s="35">
        <f t="shared" si="649"/>
        <v>2408.0709999999672</v>
      </c>
      <c r="PM40" s="35">
        <f t="shared" si="649"/>
        <v>1423.7390000000305</v>
      </c>
      <c r="PN40" s="35">
        <f t="shared" si="649"/>
        <v>8569.7960000000021</v>
      </c>
      <c r="PO40" s="35">
        <f t="shared" si="649"/>
        <v>7290.1939999999013</v>
      </c>
      <c r="PP40" s="35">
        <f t="shared" si="649"/>
        <v>6169.7170000000333</v>
      </c>
      <c r="PQ40" s="35">
        <f t="shared" si="649"/>
        <v>5147.966000000044</v>
      </c>
      <c r="PR40" s="35">
        <f t="shared" si="649"/>
        <v>4274.0480000000098</v>
      </c>
      <c r="PS40" s="35">
        <f t="shared" si="649"/>
        <v>3385.6679999999596</v>
      </c>
      <c r="PT40" s="35">
        <f t="shared" si="649"/>
        <v>2361.0210000001025</v>
      </c>
      <c r="PU40" s="35">
        <f t="shared" si="649"/>
        <v>11478.487999999896</v>
      </c>
      <c r="PV40" s="35">
        <f t="shared" si="649"/>
        <v>10331.688000000082</v>
      </c>
      <c r="PW40" s="35">
        <f t="shared" si="649"/>
        <v>9269.5829999999842</v>
      </c>
      <c r="PX40" s="35">
        <f t="shared" si="649"/>
        <v>7888.6029999999446</v>
      </c>
      <c r="PY40" s="35">
        <f t="shared" si="649"/>
        <v>7176.3320000000531</v>
      </c>
      <c r="PZ40" s="35">
        <f t="shared" si="649"/>
        <v>5876.8519999999262</v>
      </c>
      <c r="QA40" s="127">
        <f t="shared" si="68"/>
        <v>223318.89399999997</v>
      </c>
      <c r="QB40" s="35">
        <f t="shared" ref="QB40:RF40" si="650">QB38-QB39</f>
        <v>5910</v>
      </c>
      <c r="QC40" s="35">
        <f t="shared" si="650"/>
        <v>3925.7939999999944</v>
      </c>
      <c r="QD40" s="35">
        <f t="shared" si="650"/>
        <v>2872.0939999999828</v>
      </c>
      <c r="QE40" s="35">
        <f t="shared" si="650"/>
        <v>11626.708000000071</v>
      </c>
      <c r="QF40" s="35">
        <f t="shared" si="650"/>
        <v>10520.591999999946</v>
      </c>
      <c r="QG40" s="35">
        <f t="shared" si="650"/>
        <v>9803.9160000000556</v>
      </c>
      <c r="QH40" s="35">
        <f t="shared" si="650"/>
        <v>8729.8940000000002</v>
      </c>
      <c r="QI40" s="35">
        <f t="shared" si="650"/>
        <v>7731.1849999999686</v>
      </c>
      <c r="QJ40" s="35">
        <f t="shared" si="650"/>
        <v>6638.4219999999623</v>
      </c>
      <c r="QK40" s="35">
        <f t="shared" si="650"/>
        <v>5691.4970000000612</v>
      </c>
      <c r="QL40" s="35">
        <f t="shared" si="650"/>
        <v>4542.8189999999886</v>
      </c>
      <c r="QM40" s="35">
        <f t="shared" si="650"/>
        <v>13324.561000000016</v>
      </c>
      <c r="QN40" s="35">
        <f t="shared" si="650"/>
        <v>12108.93399999995</v>
      </c>
      <c r="QO40" s="35">
        <f t="shared" si="650"/>
        <v>10732.265999999945</v>
      </c>
      <c r="QP40" s="35">
        <f t="shared" si="650"/>
        <v>9807.1220000000903</v>
      </c>
      <c r="QQ40" s="35">
        <f t="shared" si="650"/>
        <v>8795.3729999999632</v>
      </c>
      <c r="QR40" s="35">
        <f t="shared" si="650"/>
        <v>7787.5999999999767</v>
      </c>
      <c r="QS40" s="35">
        <f t="shared" si="650"/>
        <v>6278.1620000000112</v>
      </c>
      <c r="QT40" s="35">
        <f t="shared" si="650"/>
        <v>12133.630000000005</v>
      </c>
      <c r="QU40" s="35">
        <f t="shared" si="650"/>
        <v>11410.570000000007</v>
      </c>
      <c r="QV40" s="35">
        <f t="shared" si="650"/>
        <v>10421.625000000029</v>
      </c>
      <c r="QW40" s="35">
        <f t="shared" si="650"/>
        <v>9417.9229999999516</v>
      </c>
      <c r="QX40" s="35">
        <f t="shared" si="650"/>
        <v>8541.3000000000175</v>
      </c>
      <c r="QY40" s="35">
        <f t="shared" si="650"/>
        <v>6672.280000000057</v>
      </c>
      <c r="QZ40" s="35">
        <f t="shared" si="650"/>
        <v>5290.6269999999786</v>
      </c>
      <c r="RA40" s="35">
        <f t="shared" si="650"/>
        <v>13398.049999999901</v>
      </c>
      <c r="RB40" s="35">
        <f t="shared" si="650"/>
        <v>12579.837000000058</v>
      </c>
      <c r="RC40" s="35">
        <f t="shared" si="650"/>
        <v>11677.705000000016</v>
      </c>
      <c r="RD40" s="35">
        <f t="shared" si="650"/>
        <v>10655.269</v>
      </c>
      <c r="RE40" s="35">
        <f t="shared" si="650"/>
        <v>9680.7940000000526</v>
      </c>
      <c r="RF40" s="35">
        <f t="shared" si="650"/>
        <v>8372.6599999999453</v>
      </c>
      <c r="RG40" s="127">
        <f t="shared" si="495"/>
        <v>271169.20900000003</v>
      </c>
      <c r="RH40" s="35">
        <f t="shared" ref="RH40:SK40" si="651">RH38-RH39</f>
        <v>7415.2629999999772</v>
      </c>
      <c r="RI40" s="35">
        <f t="shared" si="651"/>
        <v>6430.5699999999779</v>
      </c>
      <c r="RJ40" s="35">
        <f t="shared" si="651"/>
        <v>5397.3890000000829</v>
      </c>
      <c r="RK40" s="35">
        <f t="shared" si="651"/>
        <v>3759.8349999999336</v>
      </c>
      <c r="RL40" s="35">
        <f t="shared" si="651"/>
        <v>2607.7070000001113</v>
      </c>
      <c r="RM40" s="35">
        <f t="shared" si="651"/>
        <v>9873.6689999999362</v>
      </c>
      <c r="RN40" s="35">
        <f t="shared" si="651"/>
        <v>8886.9099999999453</v>
      </c>
      <c r="RO40" s="35">
        <f t="shared" si="651"/>
        <v>7896.7840000000142</v>
      </c>
      <c r="RP40" s="35">
        <f t="shared" si="651"/>
        <v>6891.7880000000878</v>
      </c>
      <c r="RQ40" s="35">
        <f t="shared" si="651"/>
        <v>6041.1849999999104</v>
      </c>
      <c r="RR40" s="35">
        <f t="shared" si="651"/>
        <v>4827.6290000000154</v>
      </c>
      <c r="RS40" s="35">
        <f t="shared" si="651"/>
        <v>3863.8199999999779</v>
      </c>
      <c r="RT40" s="35">
        <f t="shared" si="651"/>
        <v>2576.6910000001371</v>
      </c>
      <c r="RU40" s="35">
        <f t="shared" si="651"/>
        <v>11399.871999999916</v>
      </c>
      <c r="RV40" s="35">
        <f t="shared" si="651"/>
        <v>10267.789000000077</v>
      </c>
      <c r="RW40" s="35">
        <f t="shared" si="651"/>
        <v>9050.0139999998501</v>
      </c>
      <c r="RX40" s="35">
        <f t="shared" si="651"/>
        <v>8010.045000000071</v>
      </c>
      <c r="RY40" s="35">
        <f t="shared" si="651"/>
        <v>7142.9810000000289</v>
      </c>
      <c r="RZ40" s="35">
        <f t="shared" si="651"/>
        <v>6225.6039999999339</v>
      </c>
      <c r="SA40" s="35">
        <f t="shared" si="651"/>
        <v>5250.2459999999555</v>
      </c>
      <c r="SB40" s="35">
        <f t="shared" si="651"/>
        <v>4197.8390000000654</v>
      </c>
      <c r="SC40" s="35">
        <f t="shared" si="651"/>
        <v>13231.860999999975</v>
      </c>
      <c r="SD40" s="35">
        <f t="shared" si="651"/>
        <v>12287.675000000105</v>
      </c>
      <c r="SE40" s="35">
        <f t="shared" si="651"/>
        <v>11546.868999999919</v>
      </c>
      <c r="SF40" s="35">
        <f t="shared" si="651"/>
        <v>10334.245000000024</v>
      </c>
      <c r="SG40" s="35">
        <f t="shared" si="651"/>
        <v>9103.4799999999232</v>
      </c>
      <c r="SH40" s="35">
        <f t="shared" si="651"/>
        <v>8216.731000000058</v>
      </c>
      <c r="SI40" s="35">
        <f t="shared" si="651"/>
        <v>6687.2119999999704</v>
      </c>
      <c r="SJ40" s="35">
        <f t="shared" si="651"/>
        <v>5626.404000000126</v>
      </c>
      <c r="SK40" s="35">
        <f t="shared" si="651"/>
        <v>12634.668999999965</v>
      </c>
      <c r="SL40" s="127">
        <f t="shared" si="497"/>
        <v>227682.77600000007</v>
      </c>
      <c r="SM40" s="35">
        <f t="shared" ref="SM40:TQ40" si="652">SM38-SM39</f>
        <v>12058.407999999938</v>
      </c>
      <c r="SN40" s="35">
        <f t="shared" si="652"/>
        <v>10181.431000000011</v>
      </c>
      <c r="SO40" s="35">
        <f t="shared" si="652"/>
        <v>7022.8700000000244</v>
      </c>
      <c r="SP40" s="35">
        <f t="shared" si="652"/>
        <v>5660.6889999999839</v>
      </c>
      <c r="SQ40" s="35">
        <f t="shared" si="652"/>
        <v>4362.1849999999104</v>
      </c>
      <c r="SR40" s="35">
        <f t="shared" si="652"/>
        <v>3252.5840000000899</v>
      </c>
      <c r="SS40" s="35">
        <f t="shared" si="652"/>
        <v>7250.6640000000143</v>
      </c>
      <c r="ST40" s="35">
        <f t="shared" si="652"/>
        <v>6180.3519999999553</v>
      </c>
      <c r="SU40" s="35">
        <f t="shared" si="652"/>
        <v>4446.8880000000936</v>
      </c>
      <c r="SV40" s="35">
        <f t="shared" si="652"/>
        <v>3339.4599999999336</v>
      </c>
      <c r="SW40" s="35">
        <f t="shared" si="652"/>
        <v>14629.916999999899</v>
      </c>
      <c r="SX40" s="35">
        <f t="shared" si="652"/>
        <v>13653.93100000007</v>
      </c>
      <c r="SY40" s="35">
        <f t="shared" si="652"/>
        <v>12004.479999999981</v>
      </c>
      <c r="SZ40" s="35">
        <f t="shared" si="652"/>
        <v>10839.973000000085</v>
      </c>
      <c r="TA40" s="35">
        <f t="shared" si="652"/>
        <v>9634.4639999999781</v>
      </c>
      <c r="TB40" s="35">
        <f t="shared" si="652"/>
        <v>8017.2039999999688</v>
      </c>
      <c r="TC40" s="35">
        <f t="shared" si="652"/>
        <v>6971.8200000000361</v>
      </c>
      <c r="TD40" s="35">
        <f t="shared" si="652"/>
        <v>5730.2339999999676</v>
      </c>
      <c r="TE40" s="35">
        <f t="shared" si="652"/>
        <v>4339.1960000000545</v>
      </c>
      <c r="TF40" s="35">
        <f t="shared" si="652"/>
        <v>15037.750999999989</v>
      </c>
      <c r="TG40" s="35">
        <f t="shared" si="652"/>
        <v>13878.374000000011</v>
      </c>
      <c r="TH40" s="35">
        <f t="shared" si="652"/>
        <v>12598.962999999872</v>
      </c>
      <c r="TI40" s="35">
        <f t="shared" si="652"/>
        <v>11550.93100000007</v>
      </c>
      <c r="TJ40" s="35">
        <f t="shared" si="652"/>
        <v>10368.254000000015</v>
      </c>
      <c r="TK40" s="35">
        <f t="shared" si="652"/>
        <v>9860.0410000000265</v>
      </c>
      <c r="TL40" s="35">
        <f t="shared" si="652"/>
        <v>9131.0639999999839</v>
      </c>
      <c r="TM40" s="35">
        <f t="shared" si="652"/>
        <v>8180.2559999999648</v>
      </c>
      <c r="TN40" s="35">
        <f t="shared" si="652"/>
        <v>7195.920000000071</v>
      </c>
      <c r="TO40" s="35">
        <f t="shared" si="652"/>
        <v>6353.9109999998764</v>
      </c>
      <c r="TP40" s="35">
        <f t="shared" si="652"/>
        <v>5343.9890000000014</v>
      </c>
      <c r="TQ40" s="35">
        <f t="shared" si="652"/>
        <v>11211.025000000111</v>
      </c>
      <c r="TR40" s="127">
        <f t="shared" si="499"/>
        <v>258228.82100000005</v>
      </c>
      <c r="TS40" s="35">
        <f t="shared" ref="TS40:UW40" si="653">TS38-TS39</f>
        <v>10543.675999999978</v>
      </c>
      <c r="TT40" s="35">
        <f t="shared" si="653"/>
        <v>9548.2109999999811</v>
      </c>
      <c r="TU40" s="35">
        <f t="shared" si="653"/>
        <v>8670.3400000000256</v>
      </c>
      <c r="TV40" s="35">
        <f t="shared" si="653"/>
        <v>7710.747000000003</v>
      </c>
      <c r="TW40" s="35">
        <f t="shared" si="653"/>
        <v>6970.3439999999537</v>
      </c>
      <c r="TX40" s="35">
        <f t="shared" si="653"/>
        <v>5870.3940000000002</v>
      </c>
      <c r="TY40" s="35">
        <f t="shared" si="653"/>
        <v>4860.1700000000128</v>
      </c>
      <c r="TZ40" s="35">
        <f t="shared" si="653"/>
        <v>14240.731</v>
      </c>
      <c r="UA40" s="35">
        <f t="shared" si="653"/>
        <v>13195.779000000039</v>
      </c>
      <c r="UB40" s="35">
        <f t="shared" si="653"/>
        <v>12004.651000000042</v>
      </c>
      <c r="UC40" s="35">
        <f t="shared" si="653"/>
        <v>10996.576999999903</v>
      </c>
      <c r="UD40" s="35">
        <f t="shared" si="653"/>
        <v>10002.227000000014</v>
      </c>
      <c r="UE40" s="35">
        <f t="shared" si="653"/>
        <v>8316.5479999999807</v>
      </c>
      <c r="UF40" s="35">
        <f t="shared" si="653"/>
        <v>7342.222999999969</v>
      </c>
      <c r="UG40" s="35">
        <f t="shared" si="653"/>
        <v>6323.9970000000612</v>
      </c>
      <c r="UH40" s="35">
        <f t="shared" si="653"/>
        <v>5293.3429999999935</v>
      </c>
      <c r="UI40" s="35">
        <f t="shared" si="653"/>
        <v>4108.5889999999781</v>
      </c>
      <c r="UJ40" s="35">
        <f t="shared" si="653"/>
        <v>12825.432000000001</v>
      </c>
      <c r="UK40" s="35">
        <f t="shared" si="653"/>
        <v>11903.902999999962</v>
      </c>
      <c r="UL40" s="35">
        <f t="shared" si="653"/>
        <v>10664.169000000082</v>
      </c>
      <c r="UM40" s="35">
        <f t="shared" si="653"/>
        <v>9531.7620000000461</v>
      </c>
      <c r="UN40" s="35">
        <f t="shared" si="653"/>
        <v>8063.8539999999048</v>
      </c>
      <c r="UO40" s="35">
        <f t="shared" si="653"/>
        <v>7037.8780000000843</v>
      </c>
      <c r="UP40" s="35">
        <f t="shared" si="653"/>
        <v>5656.3509999999951</v>
      </c>
      <c r="UQ40" s="35">
        <f t="shared" si="653"/>
        <v>4209.3289999999688</v>
      </c>
      <c r="UR40" s="35">
        <f t="shared" si="653"/>
        <v>2759.1719999999914</v>
      </c>
      <c r="US40" s="35">
        <f t="shared" si="653"/>
        <v>1616.3589999999676</v>
      </c>
      <c r="UT40" s="35">
        <f t="shared" si="653"/>
        <v>635.78199999994104</v>
      </c>
      <c r="UU40" s="35">
        <f t="shared" si="653"/>
        <v>410</v>
      </c>
      <c r="UV40" s="35">
        <f t="shared" si="653"/>
        <v>9598.7460000000883</v>
      </c>
      <c r="UW40" s="35">
        <f t="shared" si="653"/>
        <v>8568.439999999955</v>
      </c>
      <c r="UX40" s="127">
        <f t="shared" si="501"/>
        <v>228936.04799999995</v>
      </c>
      <c r="UY40" s="35">
        <f t="shared" ref="UY40:VZ40" si="654">UY38-UY39</f>
        <v>7364.9640000000654</v>
      </c>
      <c r="UZ40" s="35">
        <f t="shared" si="654"/>
        <v>6372.0979999999981</v>
      </c>
      <c r="VA40" s="35">
        <f t="shared" si="654"/>
        <v>4538.0089999999618</v>
      </c>
      <c r="VB40" s="35">
        <f t="shared" si="654"/>
        <v>6395.8679999999586</v>
      </c>
      <c r="VC40" s="35">
        <f t="shared" si="654"/>
        <v>10135.71700000015</v>
      </c>
      <c r="VD40" s="35">
        <f t="shared" si="654"/>
        <v>9270.9839999998512</v>
      </c>
      <c r="VE40" s="35">
        <f t="shared" si="654"/>
        <v>7932.8290000000852</v>
      </c>
      <c r="VF40" s="35">
        <f t="shared" si="654"/>
        <v>6353.0039999999572</v>
      </c>
      <c r="VG40" s="35">
        <f t="shared" si="654"/>
        <v>5537.5570000000007</v>
      </c>
      <c r="VH40" s="35">
        <f t="shared" si="654"/>
        <v>4385.1070000000764</v>
      </c>
      <c r="VI40" s="35">
        <f t="shared" si="654"/>
        <v>10794.659999999916</v>
      </c>
      <c r="VJ40" s="35">
        <f t="shared" si="654"/>
        <v>9897.8259999999718</v>
      </c>
      <c r="VK40" s="35">
        <f t="shared" si="654"/>
        <v>8685.3780000000843</v>
      </c>
      <c r="VL40" s="35">
        <f t="shared" si="654"/>
        <v>7531.0270000000019</v>
      </c>
      <c r="VM40" s="35">
        <f t="shared" si="654"/>
        <v>6483.2779999999329</v>
      </c>
      <c r="VN40" s="35">
        <f t="shared" si="654"/>
        <v>5679.2500000000291</v>
      </c>
      <c r="VO40" s="35">
        <f t="shared" si="654"/>
        <v>4623.2550000000047</v>
      </c>
      <c r="VP40" s="35">
        <f t="shared" si="654"/>
        <v>3575.9960000000137</v>
      </c>
      <c r="VQ40" s="35">
        <f t="shared" si="654"/>
        <v>9993.6909999999916</v>
      </c>
      <c r="VR40" s="35">
        <f t="shared" si="654"/>
        <v>8771.2090000000317</v>
      </c>
      <c r="VS40" s="35">
        <f t="shared" si="654"/>
        <v>7628.8660000000091</v>
      </c>
      <c r="VT40" s="35">
        <f t="shared" si="654"/>
        <v>13412.898999999947</v>
      </c>
      <c r="VU40" s="35">
        <f t="shared" si="654"/>
        <v>12390.971999999951</v>
      </c>
      <c r="VV40" s="35">
        <f t="shared" si="654"/>
        <v>11212.586000000098</v>
      </c>
      <c r="VW40" s="35">
        <f t="shared" si="654"/>
        <v>9933.5059999999066</v>
      </c>
      <c r="VX40" s="35">
        <f t="shared" si="654"/>
        <v>8755.0420000000158</v>
      </c>
      <c r="VY40" s="35">
        <f t="shared" si="654"/>
        <v>7577.5260000000999</v>
      </c>
      <c r="VZ40" s="35">
        <f t="shared" si="654"/>
        <v>6464.1440000000002</v>
      </c>
      <c r="WA40" s="127">
        <f t="shared" si="503"/>
        <v>459201.73600000015</v>
      </c>
      <c r="WB40" s="35">
        <f t="shared" ref="WB40:XF40" si="655">WB38-WB39</f>
        <v>5214.2469999999157</v>
      </c>
      <c r="WC40" s="35">
        <f t="shared" si="655"/>
        <v>4379.908999999956</v>
      </c>
      <c r="WD40" s="35">
        <f t="shared" si="655"/>
        <v>2960.9850000000442</v>
      </c>
      <c r="WE40" s="35">
        <f t="shared" si="655"/>
        <v>1791.8979999999865</v>
      </c>
      <c r="WF40" s="35">
        <f t="shared" si="655"/>
        <v>801.04899999996996</v>
      </c>
      <c r="WG40" s="35">
        <f t="shared" si="655"/>
        <v>788.60000000009313</v>
      </c>
      <c r="WH40" s="35">
        <f t="shared" si="655"/>
        <v>7750.9180000000051</v>
      </c>
      <c r="WI40" s="35">
        <f t="shared" si="655"/>
        <v>6261.4549999999872</v>
      </c>
      <c r="WJ40" s="35">
        <f t="shared" si="655"/>
        <v>5138.6920000000391</v>
      </c>
      <c r="WK40" s="35">
        <f t="shared" si="655"/>
        <v>3954.9529999999795</v>
      </c>
      <c r="WL40" s="35">
        <f t="shared" si="655"/>
        <v>10605.719999999914</v>
      </c>
      <c r="WM40" s="35">
        <f t="shared" si="655"/>
        <v>9631.966000000044</v>
      </c>
      <c r="WN40" s="35">
        <f t="shared" si="655"/>
        <v>8683.2920000000158</v>
      </c>
      <c r="WO40" s="35">
        <f t="shared" si="655"/>
        <v>7638.7790000000095</v>
      </c>
      <c r="WP40" s="35">
        <f t="shared" si="655"/>
        <v>6276.9619999999413</v>
      </c>
      <c r="WQ40" s="35">
        <f t="shared" si="655"/>
        <v>5520.3370000000868</v>
      </c>
      <c r="WR40" s="35">
        <f t="shared" si="655"/>
        <v>4265.0639999999257</v>
      </c>
      <c r="WS40" s="35">
        <f t="shared" si="655"/>
        <v>3509.0259999999835</v>
      </c>
      <c r="WT40" s="35">
        <f t="shared" si="655"/>
        <v>2317.8760000000952</v>
      </c>
      <c r="WU40" s="35">
        <f t="shared" si="655"/>
        <v>1405.207999999926</v>
      </c>
      <c r="WV40" s="35">
        <f t="shared" si="655"/>
        <v>7905.5430000000051</v>
      </c>
      <c r="WW40" s="35">
        <f t="shared" si="655"/>
        <v>6882.2449999999953</v>
      </c>
      <c r="WX40" s="35">
        <f t="shared" si="655"/>
        <v>5893.271999999939</v>
      </c>
      <c r="WY40" s="35">
        <f t="shared" si="655"/>
        <v>4497.7850000000617</v>
      </c>
      <c r="WZ40" s="35">
        <f t="shared" si="655"/>
        <v>11414.690000000031</v>
      </c>
      <c r="XA40" s="35">
        <f t="shared" si="655"/>
        <v>10624.743999999948</v>
      </c>
      <c r="XB40" s="35">
        <f t="shared" si="655"/>
        <v>9538.1830000000482</v>
      </c>
      <c r="XC40" s="35">
        <f t="shared" si="655"/>
        <v>8564.454000000027</v>
      </c>
      <c r="XD40" s="35">
        <f t="shared" si="655"/>
        <v>7194.4629999999306</v>
      </c>
      <c r="XE40" s="35">
        <f t="shared" si="655"/>
        <v>6709.7669999999634</v>
      </c>
      <c r="XF40" s="35">
        <f t="shared" si="655"/>
        <v>4962.9130000000296</v>
      </c>
      <c r="XG40" s="127">
        <f t="shared" si="566"/>
        <v>183084.99499999991</v>
      </c>
      <c r="XH40" s="35">
        <f t="shared" ref="XH40:YK40" si="656">XH38-XH39</f>
        <v>12116.169999999984</v>
      </c>
      <c r="XI40" s="35">
        <f t="shared" si="656"/>
        <v>11010.290000000066</v>
      </c>
      <c r="XJ40" s="35">
        <f t="shared" si="656"/>
        <v>10119.010000000038</v>
      </c>
      <c r="XK40" s="35">
        <f t="shared" si="656"/>
        <v>9073.0319999999192</v>
      </c>
      <c r="XL40" s="35">
        <f t="shared" si="656"/>
        <v>7950.902999999962</v>
      </c>
      <c r="XM40" s="35">
        <f t="shared" si="656"/>
        <v>6922.493000000075</v>
      </c>
      <c r="XN40" s="35">
        <f t="shared" si="656"/>
        <v>5792.3390000000363</v>
      </c>
      <c r="XO40" s="35">
        <f t="shared" si="656"/>
        <v>4683.5520000000251</v>
      </c>
      <c r="XP40" s="35">
        <f t="shared" si="656"/>
        <v>3813.7609999999113</v>
      </c>
      <c r="XQ40" s="35">
        <f t="shared" si="656"/>
        <v>2804.6849999999977</v>
      </c>
      <c r="XR40" s="35">
        <f t="shared" si="656"/>
        <v>8927.2290000000212</v>
      </c>
      <c r="XS40" s="35">
        <f t="shared" si="656"/>
        <v>7730.198999999935</v>
      </c>
      <c r="XT40" s="35">
        <f t="shared" si="656"/>
        <v>7004.3100000000559</v>
      </c>
      <c r="XU40" s="35">
        <f t="shared" si="656"/>
        <v>6102.24099999998</v>
      </c>
      <c r="XV40" s="35">
        <f t="shared" si="656"/>
        <v>5041.5649999999732</v>
      </c>
      <c r="XW40" s="35">
        <f t="shared" si="656"/>
        <v>3994.3480000001437</v>
      </c>
      <c r="XX40" s="35">
        <f t="shared" si="656"/>
        <v>3006.3159999999043</v>
      </c>
      <c r="XY40" s="35">
        <f t="shared" si="656"/>
        <v>2106.3340000000026</v>
      </c>
      <c r="XZ40" s="35">
        <f t="shared" si="656"/>
        <v>8398.8670000000275</v>
      </c>
      <c r="YA40" s="35">
        <f t="shared" si="656"/>
        <v>7601.2690000000584</v>
      </c>
      <c r="YB40" s="35">
        <f t="shared" si="656"/>
        <v>6805.5729999999166</v>
      </c>
      <c r="YC40" s="35">
        <f t="shared" si="656"/>
        <v>5809.0119999999879</v>
      </c>
      <c r="YD40" s="35">
        <f t="shared" si="656"/>
        <v>4638.8050000000221</v>
      </c>
      <c r="YE40" s="35">
        <f t="shared" si="656"/>
        <v>3703.1309999999357</v>
      </c>
      <c r="YF40" s="35">
        <f t="shared" si="656"/>
        <v>12812.628000000055</v>
      </c>
      <c r="YG40" s="35">
        <f t="shared" si="656"/>
        <v>11924.807999999961</v>
      </c>
      <c r="YH40" s="35">
        <f t="shared" si="656"/>
        <v>10998.849000000017</v>
      </c>
      <c r="YI40" s="35">
        <f t="shared" si="656"/>
        <v>10108.857000000018</v>
      </c>
      <c r="YJ40" s="35">
        <f t="shared" si="656"/>
        <v>9381.9429999999702</v>
      </c>
      <c r="YK40" s="35">
        <f t="shared" si="656"/>
        <v>8686.2660000000324</v>
      </c>
      <c r="YL40" s="127">
        <f t="shared" si="569"/>
        <v>219068.78500000003</v>
      </c>
      <c r="YM40" s="35">
        <f t="shared" ref="YM40:ZQ40" si="657">YM38-YM39</f>
        <v>7464.2400000000489</v>
      </c>
      <c r="YN40" s="35">
        <f t="shared" si="657"/>
        <v>6149.0739999999932</v>
      </c>
      <c r="YO40" s="35">
        <f t="shared" si="657"/>
        <v>5140.1270000000077</v>
      </c>
      <c r="YP40" s="35">
        <f t="shared" si="657"/>
        <v>4349.6719999999332</v>
      </c>
      <c r="YQ40" s="35">
        <f t="shared" si="657"/>
        <v>3398.1570000000356</v>
      </c>
      <c r="YR40" s="35">
        <f t="shared" si="657"/>
        <v>2614.1620000000112</v>
      </c>
      <c r="YS40" s="35">
        <f t="shared" si="657"/>
        <v>1698.576999999932</v>
      </c>
      <c r="YT40" s="35">
        <f t="shared" si="657"/>
        <v>1254.4809999999998</v>
      </c>
      <c r="YU40" s="35">
        <f t="shared" si="657"/>
        <v>7140.3820000001288</v>
      </c>
      <c r="YV40" s="35">
        <f t="shared" si="657"/>
        <v>6282.1339999999036</v>
      </c>
      <c r="YW40" s="35">
        <f t="shared" si="657"/>
        <v>5370.6589999999269</v>
      </c>
      <c r="YX40" s="35">
        <f t="shared" si="657"/>
        <v>14618.176000000036</v>
      </c>
      <c r="YY40" s="35">
        <f t="shared" si="657"/>
        <v>13554.49900000004</v>
      </c>
      <c r="YZ40" s="35">
        <f t="shared" si="657"/>
        <v>12537.599999999919</v>
      </c>
      <c r="ZA40" s="35">
        <f t="shared" si="657"/>
        <v>11741.615000000107</v>
      </c>
      <c r="ZB40" s="35">
        <f t="shared" si="657"/>
        <v>10883.732999999949</v>
      </c>
      <c r="ZC40" s="35">
        <f t="shared" si="657"/>
        <v>9647.2099999999919</v>
      </c>
      <c r="ZD40" s="35">
        <f t="shared" si="657"/>
        <v>8906.6020000000717</v>
      </c>
      <c r="ZE40" s="35">
        <f t="shared" si="657"/>
        <v>7864.661999999953</v>
      </c>
      <c r="ZF40" s="35">
        <f t="shared" si="657"/>
        <v>7107.8269999999902</v>
      </c>
      <c r="ZG40" s="35">
        <f t="shared" si="657"/>
        <v>5797.7060000000347</v>
      </c>
      <c r="ZH40" s="35">
        <f t="shared" si="657"/>
        <v>4654.6909999999916</v>
      </c>
      <c r="ZI40" s="35">
        <f t="shared" si="657"/>
        <v>9744.2969999999332</v>
      </c>
      <c r="ZJ40" s="35">
        <f t="shared" si="657"/>
        <v>8368.0350000000617</v>
      </c>
      <c r="ZK40" s="35">
        <f t="shared" si="657"/>
        <v>7645.8959999999788</v>
      </c>
      <c r="ZL40" s="35">
        <f t="shared" si="657"/>
        <v>6433.8709999999846</v>
      </c>
      <c r="ZM40" s="35">
        <f t="shared" si="657"/>
        <v>5369.3690000000352</v>
      </c>
      <c r="ZN40" s="35">
        <f t="shared" si="657"/>
        <v>13880.531000000046</v>
      </c>
      <c r="ZO40" s="35">
        <f t="shared" si="657"/>
        <v>12891.577999999921</v>
      </c>
      <c r="ZP40" s="35">
        <f t="shared" si="657"/>
        <v>11651.973000000056</v>
      </c>
      <c r="ZQ40" s="35">
        <f t="shared" si="657"/>
        <v>10747.284999999974</v>
      </c>
      <c r="ZR40" s="127">
        <f t="shared" si="356"/>
        <v>244908.821</v>
      </c>
      <c r="ZS40" s="35">
        <f t="shared" ref="ZS40:AAV40" si="658">ZS38-ZS39</f>
        <v>9573.6709999999439</v>
      </c>
      <c r="ZT40" s="35">
        <f t="shared" si="658"/>
        <v>8448.6130000000703</v>
      </c>
      <c r="ZU40" s="35">
        <f t="shared" si="658"/>
        <v>7599.0759999999718</v>
      </c>
      <c r="ZV40" s="35">
        <f t="shared" si="658"/>
        <v>6731.7480000000505</v>
      </c>
      <c r="ZW40" s="35">
        <f t="shared" si="658"/>
        <v>15716.027000000002</v>
      </c>
      <c r="ZX40" s="35">
        <f t="shared" si="658"/>
        <v>14646.969000000012</v>
      </c>
      <c r="ZY40" s="35">
        <f t="shared" si="658"/>
        <v>13492.536999999953</v>
      </c>
      <c r="ZZ40" s="35">
        <f t="shared" si="658"/>
        <v>12529.573999999964</v>
      </c>
      <c r="AAA40" s="35">
        <f t="shared" si="658"/>
        <v>11749.33500000005</v>
      </c>
      <c r="AAB40" s="35">
        <f t="shared" si="658"/>
        <v>9837.4979999999632</v>
      </c>
      <c r="AAC40" s="35">
        <f t="shared" si="658"/>
        <v>8464.5120000000752</v>
      </c>
      <c r="AAD40" s="35">
        <f t="shared" si="658"/>
        <v>7464.6329999999143</v>
      </c>
      <c r="AAE40" s="35">
        <f t="shared" si="658"/>
        <v>6338.9700000000303</v>
      </c>
      <c r="AAF40" s="35">
        <f t="shared" si="658"/>
        <v>5214.4369999999471</v>
      </c>
      <c r="AAG40" s="35">
        <f t="shared" si="658"/>
        <v>4190.0450000000128</v>
      </c>
      <c r="AAH40" s="35">
        <f t="shared" si="658"/>
        <v>3174.8680000000168</v>
      </c>
      <c r="AAI40" s="35">
        <f t="shared" si="658"/>
        <v>12318.497000000032</v>
      </c>
      <c r="AAJ40" s="35">
        <f t="shared" si="658"/>
        <v>10870.388000000035</v>
      </c>
      <c r="AAK40" s="35">
        <f t="shared" si="658"/>
        <v>9900.1950000000361</v>
      </c>
      <c r="AAL40" s="35">
        <f t="shared" si="658"/>
        <v>8829.7789999999513</v>
      </c>
      <c r="AAM40" s="35">
        <f t="shared" si="658"/>
        <v>7634.8799999999756</v>
      </c>
      <c r="AAN40" s="35">
        <f t="shared" si="658"/>
        <v>6843.8569999999891</v>
      </c>
      <c r="AAO40" s="35">
        <f t="shared" si="658"/>
        <v>5649.6550000000861</v>
      </c>
      <c r="AAP40" s="35">
        <f t="shared" si="658"/>
        <v>4809.628999999899</v>
      </c>
      <c r="AAQ40" s="35">
        <f t="shared" si="658"/>
        <v>3977.9140000000771</v>
      </c>
      <c r="AAR40" s="35">
        <f t="shared" si="658"/>
        <v>13015.53099999993</v>
      </c>
      <c r="AAS40" s="35">
        <f t="shared" si="658"/>
        <v>11983.910000000003</v>
      </c>
      <c r="AAT40" s="35">
        <f t="shared" si="658"/>
        <v>10926.844999999943</v>
      </c>
      <c r="AAU40" s="35">
        <f t="shared" si="658"/>
        <v>10152.886000000086</v>
      </c>
      <c r="AAV40" s="35">
        <f t="shared" si="658"/>
        <v>9353.6529999999912</v>
      </c>
      <c r="AAW40" s="127">
        <f t="shared" si="574"/>
        <v>271440.13199999998</v>
      </c>
      <c r="AAX40" s="35">
        <f t="shared" ref="AAX40:ACB40" si="659">AAX38-AAX39</f>
        <v>8198.0760000000009</v>
      </c>
      <c r="AAY40" s="35">
        <f t="shared" si="659"/>
        <v>7405.94200000001</v>
      </c>
      <c r="AAZ40" s="35">
        <f t="shared" si="659"/>
        <v>6317.0789999999688</v>
      </c>
      <c r="ABA40" s="35">
        <f t="shared" si="659"/>
        <v>5364.6550000000279</v>
      </c>
      <c r="ABB40" s="35">
        <f t="shared" si="659"/>
        <v>12392.551000000007</v>
      </c>
      <c r="ABC40" s="35">
        <f t="shared" si="659"/>
        <v>11450.582999999926</v>
      </c>
      <c r="ABD40" s="35">
        <f t="shared" si="659"/>
        <v>10447.919000000024</v>
      </c>
      <c r="ABE40" s="35">
        <f t="shared" si="659"/>
        <v>9330.68299999999</v>
      </c>
      <c r="ABF40" s="35">
        <f t="shared" si="659"/>
        <v>8616.7970000000496</v>
      </c>
      <c r="ABG40" s="35">
        <f t="shared" si="659"/>
        <v>13404.156999999919</v>
      </c>
      <c r="ABH40" s="35">
        <f t="shared" si="659"/>
        <v>12239.412000000098</v>
      </c>
      <c r="ABI40" s="35">
        <f t="shared" si="659"/>
        <v>11369.789000000019</v>
      </c>
      <c r="ABJ40" s="35">
        <f t="shared" si="659"/>
        <v>10425.342999999935</v>
      </c>
      <c r="ABK40" s="35">
        <f t="shared" si="659"/>
        <v>9209.8270000000193</v>
      </c>
      <c r="ABL40" s="35">
        <f t="shared" si="659"/>
        <v>8308.7109999999811</v>
      </c>
      <c r="ABM40" s="35">
        <f t="shared" si="659"/>
        <v>7371.2280000000319</v>
      </c>
      <c r="ABN40" s="35">
        <f t="shared" si="659"/>
        <v>6404.9929999999595</v>
      </c>
      <c r="ABO40" s="35">
        <f t="shared" si="659"/>
        <v>5080.2080000000133</v>
      </c>
      <c r="ABP40" s="35">
        <f t="shared" si="659"/>
        <v>3883.3040000000619</v>
      </c>
      <c r="ABQ40" s="35">
        <f t="shared" si="659"/>
        <v>12970.173999999941</v>
      </c>
      <c r="ABR40" s="35">
        <f t="shared" si="659"/>
        <v>12340.116999999998</v>
      </c>
      <c r="ABS40" s="35">
        <f t="shared" si="659"/>
        <v>11653.145000000048</v>
      </c>
      <c r="ABT40" s="35">
        <f t="shared" si="659"/>
        <v>10681.914999999979</v>
      </c>
      <c r="ABU40" s="35">
        <f t="shared" si="659"/>
        <v>9820.6219999999448</v>
      </c>
      <c r="ABV40" s="35">
        <f t="shared" si="659"/>
        <v>8768.247000000003</v>
      </c>
      <c r="ABW40" s="35">
        <f t="shared" si="659"/>
        <v>7849.2560000001104</v>
      </c>
      <c r="ABX40" s="35">
        <f t="shared" si="659"/>
        <v>7064.9509999999427</v>
      </c>
      <c r="ABY40" s="35">
        <f t="shared" si="659"/>
        <v>5663.8540000000503</v>
      </c>
      <c r="ABZ40" s="35">
        <f t="shared" si="659"/>
        <v>4630.199999999837</v>
      </c>
      <c r="ACA40" s="35">
        <f t="shared" si="659"/>
        <v>15766.946000000113</v>
      </c>
      <c r="ACB40" s="35">
        <f t="shared" si="659"/>
        <v>14942.516999999934</v>
      </c>
      <c r="ACC40" s="127">
        <f t="shared" si="274"/>
        <v>289373.20099999994</v>
      </c>
      <c r="ACD40" s="35">
        <f t="shared" ref="ACD40:ADH40" si="660">ACD38-ACD39</f>
        <v>13763.943000000116</v>
      </c>
      <c r="ACE40" s="35">
        <f t="shared" si="660"/>
        <v>12521.853999999934</v>
      </c>
      <c r="ACF40" s="35">
        <f t="shared" si="660"/>
        <v>11473.238000000012</v>
      </c>
      <c r="ACG40" s="35">
        <f t="shared" si="660"/>
        <v>10506.859999999986</v>
      </c>
      <c r="ACH40" s="35">
        <f t="shared" si="660"/>
        <v>9544.8709999999846</v>
      </c>
      <c r="ACI40" s="35">
        <f t="shared" si="660"/>
        <v>8530.9199999999837</v>
      </c>
      <c r="ACJ40" s="35">
        <f t="shared" si="660"/>
        <v>7594.533000000054</v>
      </c>
      <c r="ACK40" s="35">
        <f t="shared" si="660"/>
        <v>6448.3250000000116</v>
      </c>
      <c r="ACL40" s="35">
        <f t="shared" si="660"/>
        <v>13334.700000000012</v>
      </c>
      <c r="ACM40" s="35">
        <f t="shared" si="660"/>
        <v>12569.440999999992</v>
      </c>
      <c r="ACN40" s="35">
        <f t="shared" si="660"/>
        <v>11473.84799999994</v>
      </c>
      <c r="ACO40" s="35">
        <f t="shared" si="660"/>
        <v>10515.556000000041</v>
      </c>
      <c r="ACP40" s="35">
        <f t="shared" si="660"/>
        <v>9614.5569999999134</v>
      </c>
      <c r="ACQ40" s="35">
        <f t="shared" si="660"/>
        <v>8356.2080000001006</v>
      </c>
      <c r="ACR40" s="35">
        <f t="shared" si="660"/>
        <v>7447.6330000000307</v>
      </c>
      <c r="ACS40" s="35">
        <f t="shared" si="660"/>
        <v>6321.4749999999767</v>
      </c>
      <c r="ACT40" s="35">
        <f t="shared" si="660"/>
        <v>5374.0199999999022</v>
      </c>
      <c r="ACU40" s="35">
        <f t="shared" si="660"/>
        <v>4195.6520000000601</v>
      </c>
      <c r="ACV40" s="35">
        <f t="shared" si="660"/>
        <v>3188.3280000000377</v>
      </c>
      <c r="ACW40" s="35">
        <f t="shared" si="660"/>
        <v>2289.6479999999283</v>
      </c>
      <c r="ACX40" s="35">
        <f t="shared" si="660"/>
        <v>1456.1660000000265</v>
      </c>
      <c r="ACY40" s="35">
        <f t="shared" si="660"/>
        <v>10406.610999999975</v>
      </c>
      <c r="ACZ40" s="35">
        <f t="shared" si="660"/>
        <v>9446.5300000000861</v>
      </c>
      <c r="ADA40" s="35">
        <f t="shared" si="660"/>
        <v>8415.3619999999064</v>
      </c>
      <c r="ADB40" s="35">
        <f t="shared" si="660"/>
        <v>7391.0220000000554</v>
      </c>
      <c r="ADC40" s="35">
        <f t="shared" si="660"/>
        <v>16499.722999999998</v>
      </c>
      <c r="ADD40" s="35">
        <f t="shared" si="660"/>
        <v>15557.647000000055</v>
      </c>
      <c r="ADE40" s="35">
        <f t="shared" si="660"/>
        <v>14650.592999999935</v>
      </c>
      <c r="ADF40" s="35">
        <f t="shared" si="660"/>
        <v>13672.547999999952</v>
      </c>
      <c r="ADG40" s="35">
        <f t="shared" si="660"/>
        <v>12746.842999999993</v>
      </c>
      <c r="ADH40" s="35">
        <f t="shared" si="660"/>
        <v>11957.456999999995</v>
      </c>
      <c r="ADI40" s="127">
        <f t="shared" si="276"/>
        <v>297266.11200000002</v>
      </c>
      <c r="ADJ40" s="35">
        <f t="shared" ref="ADJ40:AEM40" si="661">ADJ38-ADJ39</f>
        <v>10995.500999999989</v>
      </c>
      <c r="ADK40" s="35">
        <f t="shared" si="661"/>
        <v>10078.354000000108</v>
      </c>
      <c r="ADL40" s="35">
        <f t="shared" si="661"/>
        <v>8901.0549999998766</v>
      </c>
      <c r="ADM40" s="35">
        <f t="shared" si="661"/>
        <v>7912.2420000000857</v>
      </c>
      <c r="ADN40" s="35">
        <f t="shared" si="661"/>
        <v>6816.9079999999958</v>
      </c>
      <c r="ADO40" s="35">
        <f t="shared" si="661"/>
        <v>13726.450999999943</v>
      </c>
      <c r="ADP40" s="35">
        <f t="shared" si="661"/>
        <v>12804.309000000067</v>
      </c>
      <c r="ADQ40" s="35">
        <f t="shared" si="661"/>
        <v>12120.948999999964</v>
      </c>
      <c r="ADR40" s="35">
        <f t="shared" si="661"/>
        <v>11015.746000000043</v>
      </c>
      <c r="ADS40" s="35">
        <f t="shared" si="661"/>
        <v>10084.282999999938</v>
      </c>
      <c r="ADT40" s="35">
        <f t="shared" si="661"/>
        <v>9022.6440000000293</v>
      </c>
      <c r="ADU40" s="35">
        <f t="shared" si="661"/>
        <v>7997.1570000000065</v>
      </c>
      <c r="ADV40" s="35">
        <f t="shared" si="661"/>
        <v>6832.5669999999227</v>
      </c>
      <c r="ADW40" s="35">
        <f t="shared" si="661"/>
        <v>6070.6639999999898</v>
      </c>
      <c r="ADX40" s="35">
        <f t="shared" si="661"/>
        <v>4865.5710000000545</v>
      </c>
      <c r="ADY40" s="35">
        <f t="shared" si="661"/>
        <v>11908.930000000109</v>
      </c>
      <c r="ADZ40" s="35">
        <f t="shared" si="661"/>
        <v>10989.154999999912</v>
      </c>
      <c r="AEA40" s="35">
        <f t="shared" si="661"/>
        <v>10054.914000000106</v>
      </c>
      <c r="AEB40" s="35">
        <f t="shared" si="661"/>
        <v>9205.3659999999218</v>
      </c>
      <c r="AEC40" s="35">
        <f t="shared" si="661"/>
        <v>8109.689000000013</v>
      </c>
      <c r="AED40" s="35">
        <f t="shared" si="661"/>
        <v>7196.9199999999255</v>
      </c>
      <c r="AEE40" s="35">
        <f t="shared" si="661"/>
        <v>6141.0140000000247</v>
      </c>
      <c r="AEF40" s="35">
        <f t="shared" si="661"/>
        <v>5192.39300000004</v>
      </c>
      <c r="AEG40" s="35">
        <f t="shared" si="661"/>
        <v>4515.5879999999888</v>
      </c>
      <c r="AEH40" s="35">
        <f t="shared" si="661"/>
        <v>3821.4679999999935</v>
      </c>
      <c r="AEI40" s="35">
        <f t="shared" si="661"/>
        <v>10775.398000000045</v>
      </c>
      <c r="AEJ40" s="35">
        <f t="shared" si="661"/>
        <v>9672.9999999999418</v>
      </c>
      <c r="AEK40" s="35">
        <f t="shared" si="661"/>
        <v>9001.1990000000224</v>
      </c>
      <c r="AEL40" s="35">
        <f t="shared" si="661"/>
        <v>8295.14300000004</v>
      </c>
      <c r="AEM40" s="35">
        <f t="shared" si="661"/>
        <v>7203.7099999999627</v>
      </c>
      <c r="AEN40" s="127">
        <f t="shared" si="581"/>
        <v>261328.28800000006</v>
      </c>
      <c r="AEO40" s="35">
        <f t="shared" ref="AEO40:AFS40" si="662">AEO38-AEO39</f>
        <v>6413.359999999986</v>
      </c>
      <c r="AEP40" s="35">
        <f t="shared" si="662"/>
        <v>5567.4900000000489</v>
      </c>
      <c r="AEQ40" s="35">
        <f t="shared" si="662"/>
        <v>9786.7379999999539</v>
      </c>
      <c r="AER40" s="35">
        <f t="shared" si="662"/>
        <v>8973.7770000000601</v>
      </c>
      <c r="AES40" s="35">
        <f t="shared" si="662"/>
        <v>8100.13400000002</v>
      </c>
      <c r="AET40" s="35">
        <f t="shared" si="662"/>
        <v>7173.1679999998887</v>
      </c>
      <c r="AEU40" s="35">
        <f t="shared" si="662"/>
        <v>6393.3719999999739</v>
      </c>
      <c r="AEV40" s="35">
        <f t="shared" si="662"/>
        <v>5412.2930000000633</v>
      </c>
      <c r="AEW40" s="35">
        <f t="shared" si="662"/>
        <v>4453.6500000000233</v>
      </c>
      <c r="AEX40" s="35">
        <f t="shared" si="662"/>
        <v>3578.0599999999395</v>
      </c>
      <c r="AEY40" s="35">
        <f t="shared" si="662"/>
        <v>10659.813000000082</v>
      </c>
      <c r="AEZ40" s="35">
        <f t="shared" si="662"/>
        <v>10049.586999999941</v>
      </c>
      <c r="AFA40" s="35">
        <f t="shared" si="662"/>
        <v>9142.1410000000033</v>
      </c>
      <c r="AFB40" s="35">
        <f t="shared" si="662"/>
        <v>8505.7940000000526</v>
      </c>
      <c r="AFC40" s="35">
        <f t="shared" si="662"/>
        <v>7593.5169999999925</v>
      </c>
      <c r="AFD40" s="35">
        <f t="shared" si="662"/>
        <v>6704.4079999999958</v>
      </c>
      <c r="AFE40" s="35">
        <f t="shared" si="662"/>
        <v>13697.233000000007</v>
      </c>
      <c r="AFF40" s="35">
        <f t="shared" si="662"/>
        <v>12653.905000000028</v>
      </c>
      <c r="AFG40" s="35">
        <f t="shared" si="662"/>
        <v>11622.68399999995</v>
      </c>
      <c r="AFH40" s="35">
        <f t="shared" si="662"/>
        <v>10639.303999999946</v>
      </c>
      <c r="AFI40" s="35">
        <f t="shared" si="662"/>
        <v>9881.048000000068</v>
      </c>
      <c r="AFJ40" s="35">
        <f t="shared" si="662"/>
        <v>9217.670999999973</v>
      </c>
      <c r="AFK40" s="35">
        <f t="shared" si="662"/>
        <v>8394.6979999999749</v>
      </c>
      <c r="AFL40" s="35">
        <f t="shared" si="662"/>
        <v>7702.1180000000168</v>
      </c>
      <c r="AFM40" s="35">
        <f t="shared" si="662"/>
        <v>6632.1959999999963</v>
      </c>
      <c r="AFN40" s="35">
        <f t="shared" si="662"/>
        <v>5873.9239999999991</v>
      </c>
      <c r="AFO40" s="35">
        <f t="shared" si="662"/>
        <v>5027.588000000047</v>
      </c>
      <c r="AFP40" s="35">
        <f t="shared" si="662"/>
        <v>4228.5480000000098</v>
      </c>
      <c r="AFQ40" s="35">
        <f t="shared" si="662"/>
        <v>3617.8319999999367</v>
      </c>
      <c r="AFR40" s="35">
        <f t="shared" si="662"/>
        <v>2437.2260000000824</v>
      </c>
      <c r="AFS40" s="35">
        <f t="shared" si="662"/>
        <v>1861.6339999999618</v>
      </c>
      <c r="AFT40" s="127">
        <f t="shared" si="279"/>
        <v>231994.91100000002</v>
      </c>
      <c r="AFU40" s="35">
        <f t="shared" ref="AFU40:AGX40" si="663">AFU38-AFU39</f>
        <v>13971.334000000032</v>
      </c>
      <c r="AFV40" s="35">
        <f t="shared" si="663"/>
        <v>13247.815999999933</v>
      </c>
      <c r="AFW40" s="35">
        <f t="shared" si="663"/>
        <v>12393.814000000013</v>
      </c>
      <c r="AFX40" s="35">
        <f t="shared" si="663"/>
        <v>11750.376000000047</v>
      </c>
      <c r="AFY40" s="35">
        <f t="shared" si="663"/>
        <v>10875.669999999925</v>
      </c>
      <c r="AFZ40" s="35">
        <f t="shared" si="663"/>
        <v>10181.95299999998</v>
      </c>
      <c r="AGA40" s="35">
        <f t="shared" si="663"/>
        <v>9319.6479999999865</v>
      </c>
      <c r="AGB40" s="35">
        <f t="shared" si="663"/>
        <v>8651.1570000000647</v>
      </c>
      <c r="AGC40" s="35">
        <f t="shared" si="663"/>
        <v>7860.0249999999651</v>
      </c>
      <c r="AGD40" s="35">
        <f t="shared" si="663"/>
        <v>7081.5109999999986</v>
      </c>
      <c r="AGE40" s="35">
        <f t="shared" si="663"/>
        <v>6253.521999999939</v>
      </c>
      <c r="AGF40" s="35">
        <f t="shared" si="663"/>
        <v>5416.7410000000964</v>
      </c>
      <c r="AGG40" s="35">
        <f t="shared" si="663"/>
        <v>4661.5080000000307</v>
      </c>
      <c r="AGH40" s="35">
        <f t="shared" si="663"/>
        <v>11857.041999999958</v>
      </c>
      <c r="AGI40" s="35">
        <f t="shared" si="663"/>
        <v>11147.11400000006</v>
      </c>
      <c r="AGJ40" s="35">
        <f t="shared" si="663"/>
        <v>10279.818999999959</v>
      </c>
      <c r="AGK40" s="35">
        <f t="shared" si="663"/>
        <v>9836.6729999998934</v>
      </c>
      <c r="AGL40" s="35">
        <f t="shared" si="663"/>
        <v>8886.5610000001616</v>
      </c>
      <c r="AGM40" s="35">
        <f t="shared" si="663"/>
        <v>8189.7449999998789</v>
      </c>
      <c r="AGN40" s="35">
        <f t="shared" si="663"/>
        <v>7304.0810000000638</v>
      </c>
      <c r="AGO40" s="35">
        <f t="shared" si="663"/>
        <v>6366.9710000000196</v>
      </c>
      <c r="AGP40" s="35">
        <f t="shared" si="663"/>
        <v>5156.7529999999679</v>
      </c>
      <c r="AGQ40" s="35">
        <f t="shared" si="663"/>
        <v>9121.3999999999069</v>
      </c>
      <c r="AGR40" s="35">
        <f t="shared" si="663"/>
        <v>8424.0980000001146</v>
      </c>
      <c r="AGS40" s="35">
        <f t="shared" si="663"/>
        <v>7731.4180000000051</v>
      </c>
      <c r="AGT40" s="35">
        <f t="shared" si="663"/>
        <v>6802.8020000000251</v>
      </c>
      <c r="AGU40" s="35">
        <f t="shared" si="663"/>
        <v>5996.6959999998799</v>
      </c>
      <c r="AGV40" s="35">
        <f t="shared" si="663"/>
        <v>4867.5370000000112</v>
      </c>
      <c r="AGW40" s="35">
        <f t="shared" si="663"/>
        <v>10798.292000000074</v>
      </c>
      <c r="AGX40" s="35">
        <f t="shared" si="663"/>
        <v>9961.7429999999586</v>
      </c>
      <c r="AGY40" s="127">
        <f t="shared" si="586"/>
        <v>264393.81999999995</v>
      </c>
      <c r="AGZ40" s="35">
        <f t="shared" ref="AGZ40:AID40" si="664">AGZ38-AGZ39</f>
        <v>9049.9810000000289</v>
      </c>
      <c r="AHA40" s="35">
        <f t="shared" si="664"/>
        <v>8194.8269999999902</v>
      </c>
      <c r="AHB40" s="35">
        <f t="shared" si="664"/>
        <v>7098.1779999999562</v>
      </c>
      <c r="AHC40" s="35">
        <f t="shared" si="664"/>
        <v>6247.3010000000359</v>
      </c>
      <c r="AHD40" s="35">
        <f t="shared" si="664"/>
        <v>4786.0599999999977</v>
      </c>
      <c r="AHE40" s="35">
        <f t="shared" si="664"/>
        <v>11994.561999999976</v>
      </c>
      <c r="AHF40" s="35">
        <f t="shared" si="664"/>
        <v>11066.314000000071</v>
      </c>
      <c r="AHG40" s="35">
        <f t="shared" si="664"/>
        <v>10239.357000000018</v>
      </c>
      <c r="AHH40" s="35">
        <f t="shared" si="664"/>
        <v>9138.5279999999912</v>
      </c>
      <c r="AHI40" s="35">
        <f t="shared" si="664"/>
        <v>8337.9169999999576</v>
      </c>
      <c r="AHJ40" s="35">
        <f t="shared" si="664"/>
        <v>15828.534000000043</v>
      </c>
      <c r="AHK40" s="35">
        <f t="shared" si="664"/>
        <v>14681.095999999961</v>
      </c>
      <c r="AHL40" s="35">
        <f t="shared" si="664"/>
        <v>13777.185999999987</v>
      </c>
      <c r="AHM40" s="35">
        <f t="shared" si="664"/>
        <v>13207.445999999996</v>
      </c>
      <c r="AHN40" s="35">
        <f t="shared" si="664"/>
        <v>12198.98900000006</v>
      </c>
      <c r="AHO40" s="35">
        <f t="shared" si="664"/>
        <v>11350.855999999854</v>
      </c>
      <c r="AHP40" s="35">
        <f t="shared" si="664"/>
        <v>10546.893000000098</v>
      </c>
      <c r="AHQ40" s="35">
        <f t="shared" si="664"/>
        <v>9522.7019999999902</v>
      </c>
      <c r="AHR40" s="35">
        <f t="shared" si="664"/>
        <v>8640.3090000000084</v>
      </c>
      <c r="AHS40" s="35">
        <f t="shared" si="664"/>
        <v>7847.8180000000866</v>
      </c>
      <c r="AHT40" s="35">
        <f t="shared" si="664"/>
        <v>6939.1069999998435</v>
      </c>
      <c r="AHU40" s="35">
        <f t="shared" si="664"/>
        <v>5929.3330000001588</v>
      </c>
      <c r="AHV40" s="35">
        <f t="shared" si="664"/>
        <v>4874.7299999999814</v>
      </c>
      <c r="AHW40" s="35">
        <f t="shared" si="664"/>
        <v>12008.6179999999</v>
      </c>
      <c r="AHX40" s="35">
        <f t="shared" si="664"/>
        <v>11434.392000000051</v>
      </c>
      <c r="AHY40" s="35">
        <f t="shared" si="664"/>
        <v>10905.129999999946</v>
      </c>
      <c r="AHZ40" s="35">
        <f t="shared" si="664"/>
        <v>10206.553000000014</v>
      </c>
      <c r="AIA40" s="35">
        <f t="shared" si="664"/>
        <v>9685.9699999999721</v>
      </c>
      <c r="AIB40" s="35">
        <f t="shared" si="664"/>
        <v>8948.5690000001341</v>
      </c>
      <c r="AIC40" s="35">
        <f t="shared" si="664"/>
        <v>8242.0549999999348</v>
      </c>
      <c r="AID40" s="35">
        <f t="shared" si="664"/>
        <v>10261.895000000019</v>
      </c>
      <c r="AIE40" s="127">
        <f t="shared" si="519"/>
        <v>303191.20600000006</v>
      </c>
      <c r="AIF40" s="35">
        <f t="shared" ref="AIF40:AJJ40" si="665">AIF38-AIF39</f>
        <v>9529.6869999999763</v>
      </c>
      <c r="AIG40" s="35">
        <f t="shared" si="665"/>
        <v>8710.6149999999907</v>
      </c>
      <c r="AIH40" s="35">
        <f t="shared" si="665"/>
        <v>7954.0050000000047</v>
      </c>
      <c r="AII40" s="35">
        <f t="shared" si="665"/>
        <v>10376.343999999925</v>
      </c>
      <c r="AIJ40" s="35">
        <f t="shared" si="665"/>
        <v>9544.039000000048</v>
      </c>
      <c r="AIK40" s="35">
        <f t="shared" si="665"/>
        <v>8504.5659999999334</v>
      </c>
      <c r="AIL40" s="35">
        <f t="shared" si="665"/>
        <v>7825.26800000004</v>
      </c>
      <c r="AIM40" s="35">
        <f t="shared" si="665"/>
        <v>6916.8220000000438</v>
      </c>
      <c r="AIN40" s="35">
        <f t="shared" si="665"/>
        <v>5994.3539999999921</v>
      </c>
      <c r="AIO40" s="35">
        <f t="shared" si="665"/>
        <v>4815.8019999999669</v>
      </c>
      <c r="AIP40" s="35">
        <f t="shared" si="665"/>
        <v>4217.3460000000196</v>
      </c>
      <c r="AIQ40" s="35">
        <f t="shared" si="665"/>
        <v>3502.7700000000186</v>
      </c>
      <c r="AIR40" s="35">
        <f t="shared" si="665"/>
        <v>7867.9770000000717</v>
      </c>
      <c r="AIS40" s="35">
        <f t="shared" si="665"/>
        <v>7134.4399999998859</v>
      </c>
      <c r="AIT40" s="35">
        <f t="shared" si="665"/>
        <v>6879.7860000000219</v>
      </c>
      <c r="AIU40" s="35">
        <f t="shared" si="665"/>
        <v>6531.3059999999823</v>
      </c>
      <c r="AIV40" s="35">
        <f t="shared" si="665"/>
        <v>6173.6360000000568</v>
      </c>
      <c r="AIW40" s="35">
        <f t="shared" si="665"/>
        <v>5644.6749999999884</v>
      </c>
      <c r="AIX40" s="35">
        <f t="shared" si="665"/>
        <v>4900.7510000000475</v>
      </c>
      <c r="AIY40" s="35">
        <f t="shared" si="665"/>
        <v>4265.7209999999614</v>
      </c>
      <c r="AIZ40" s="35">
        <f t="shared" si="665"/>
        <v>3394.8139999999548</v>
      </c>
      <c r="AJA40" s="35">
        <f t="shared" si="665"/>
        <v>2728.0970000001253</v>
      </c>
      <c r="AJB40" s="35">
        <f t="shared" si="665"/>
        <v>11937.024999999965</v>
      </c>
      <c r="AJC40" s="35">
        <f t="shared" si="665"/>
        <v>11192.484999999928</v>
      </c>
      <c r="AJD40" s="35">
        <f t="shared" si="665"/>
        <v>10673.538000000117</v>
      </c>
      <c r="AJE40" s="35">
        <f t="shared" si="665"/>
        <v>9994.5899999999092</v>
      </c>
      <c r="AJF40" s="35">
        <f t="shared" si="665"/>
        <v>9217.1820000000298</v>
      </c>
      <c r="AJG40" s="35">
        <f t="shared" si="665"/>
        <v>8303.3249999999534</v>
      </c>
      <c r="AJH40" s="35">
        <f t="shared" si="665"/>
        <v>7544.4719999999506</v>
      </c>
      <c r="AJI40" s="35">
        <f t="shared" si="665"/>
        <v>13534.479000000108</v>
      </c>
      <c r="AJJ40" s="35">
        <f t="shared" si="665"/>
        <v>13112.721999999951</v>
      </c>
      <c r="AJK40" s="127">
        <f t="shared" si="520"/>
        <v>238922.63899999997</v>
      </c>
      <c r="AJL40" s="35">
        <f t="shared" ref="AJL40:AKM40" si="666">AJL38-AJL39</f>
        <v>12407.72100000002</v>
      </c>
      <c r="AJM40" s="35">
        <f t="shared" si="666"/>
        <v>11609.941999999981</v>
      </c>
      <c r="AJN40" s="35">
        <f t="shared" si="666"/>
        <v>10897.682999999961</v>
      </c>
      <c r="AJO40" s="35">
        <f t="shared" si="666"/>
        <v>10101.724999999977</v>
      </c>
      <c r="AJP40" s="35">
        <f t="shared" si="666"/>
        <v>9073.5210000000661</v>
      </c>
      <c r="AJQ40" s="35">
        <f t="shared" si="666"/>
        <v>8337.2460000000428</v>
      </c>
      <c r="AJR40" s="35">
        <f t="shared" si="666"/>
        <v>7681.5519999999087</v>
      </c>
      <c r="AJS40" s="35">
        <f t="shared" si="666"/>
        <v>6694.7600000000093</v>
      </c>
      <c r="AJT40" s="35">
        <f t="shared" si="666"/>
        <v>5778.405999999959</v>
      </c>
      <c r="AJU40" s="35">
        <f t="shared" si="666"/>
        <v>4944.7670000000508</v>
      </c>
      <c r="AJV40" s="35">
        <f t="shared" si="666"/>
        <v>4133.9570000001113</v>
      </c>
      <c r="AJW40" s="35">
        <f t="shared" si="666"/>
        <v>8048.9229999998934</v>
      </c>
      <c r="AJX40" s="35">
        <f t="shared" si="666"/>
        <v>7148.8499999999767</v>
      </c>
      <c r="AJY40" s="35">
        <f t="shared" si="666"/>
        <v>6378.0290000000969</v>
      </c>
      <c r="AJZ40" s="35">
        <f t="shared" si="666"/>
        <v>5603.0720000000438</v>
      </c>
      <c r="AKA40" s="35">
        <f t="shared" si="666"/>
        <v>4794.0979999998817</v>
      </c>
      <c r="AKB40" s="35">
        <f t="shared" si="666"/>
        <v>4173.4479999999749</v>
      </c>
      <c r="AKC40" s="35">
        <f t="shared" si="666"/>
        <v>3450.3610000000917</v>
      </c>
      <c r="AKD40" s="35">
        <f t="shared" si="666"/>
        <v>10182.36599999998</v>
      </c>
      <c r="AKE40" s="35">
        <f t="shared" si="666"/>
        <v>9215.1520000000019</v>
      </c>
      <c r="AKF40" s="35">
        <f t="shared" si="666"/>
        <v>8603.5679999999938</v>
      </c>
      <c r="AKG40" s="35">
        <f t="shared" si="666"/>
        <v>7958.378999999899</v>
      </c>
      <c r="AKH40" s="35">
        <f t="shared" si="666"/>
        <v>7084.4510000000591</v>
      </c>
      <c r="AKI40" s="35">
        <f t="shared" si="666"/>
        <v>6103.63400000002</v>
      </c>
      <c r="AKJ40" s="35">
        <f t="shared" si="666"/>
        <v>5324.6210000000428</v>
      </c>
      <c r="AKK40" s="35">
        <f t="shared" si="666"/>
        <v>9593.997999999905</v>
      </c>
      <c r="AKL40" s="35">
        <f t="shared" si="666"/>
        <v>8788.1419999999343</v>
      </c>
      <c r="AKM40" s="35">
        <f t="shared" si="666"/>
        <v>7851.7970000001369</v>
      </c>
      <c r="AKN40" s="127">
        <f t="shared" si="11"/>
        <v>211964.16900000002</v>
      </c>
      <c r="AKO40" s="35">
        <f t="shared" ref="AKO40:ALS40" si="667">AKO38-AKO39</f>
        <v>7065.0049999999464</v>
      </c>
      <c r="AKP40" s="35">
        <f t="shared" si="667"/>
        <v>6148.7980000000098</v>
      </c>
      <c r="AKQ40" s="35">
        <f t="shared" si="667"/>
        <v>5373.1339999999618</v>
      </c>
      <c r="AKR40" s="35">
        <f t="shared" si="667"/>
        <v>4775.9810000001453</v>
      </c>
      <c r="AKS40" s="35">
        <f t="shared" si="667"/>
        <v>4012.6469999999972</v>
      </c>
      <c r="AKT40" s="35">
        <f t="shared" si="667"/>
        <v>3331.5189999998547</v>
      </c>
      <c r="AKU40" s="35">
        <f t="shared" si="667"/>
        <v>7802.5050000000047</v>
      </c>
      <c r="AKV40" s="35">
        <f t="shared" si="667"/>
        <v>7024.1330000000889</v>
      </c>
      <c r="AKW40" s="35">
        <f t="shared" si="667"/>
        <v>6191.5369999999875</v>
      </c>
      <c r="AKX40" s="35">
        <f t="shared" si="667"/>
        <v>15576.949000000022</v>
      </c>
      <c r="AKY40" s="35">
        <f t="shared" si="667"/>
        <v>14781.784999999916</v>
      </c>
      <c r="AKZ40" s="35">
        <f t="shared" si="667"/>
        <v>14009.216000000073</v>
      </c>
      <c r="ALA40" s="35">
        <f t="shared" si="667"/>
        <v>13224.557999999903</v>
      </c>
      <c r="ALB40" s="35">
        <f t="shared" si="667"/>
        <v>12237.456000000064</v>
      </c>
      <c r="ALC40" s="35">
        <f t="shared" si="667"/>
        <v>11145.70299999998</v>
      </c>
      <c r="ALD40" s="35">
        <f t="shared" si="667"/>
        <v>10129.057000000088</v>
      </c>
      <c r="ALE40" s="35">
        <f t="shared" si="667"/>
        <v>9310.3799999998882</v>
      </c>
      <c r="ALF40" s="35">
        <f t="shared" si="667"/>
        <v>8484.4569999999949</v>
      </c>
      <c r="ALG40" s="35">
        <f t="shared" si="667"/>
        <v>12545.913</v>
      </c>
      <c r="ALH40" s="35">
        <f t="shared" si="667"/>
        <v>11766.31600000005</v>
      </c>
      <c r="ALI40" s="35">
        <f t="shared" si="667"/>
        <v>10762.944000000018</v>
      </c>
      <c r="ALJ40" s="35">
        <f t="shared" si="667"/>
        <v>9613.0039999999572</v>
      </c>
      <c r="ALK40" s="35">
        <f t="shared" si="667"/>
        <v>4437.6420000000508</v>
      </c>
      <c r="ALL40" s="35">
        <f t="shared" si="667"/>
        <v>3666.9979999999632</v>
      </c>
      <c r="ALM40" s="35">
        <f t="shared" si="667"/>
        <v>2771.7999999999884</v>
      </c>
      <c r="ALN40" s="35">
        <f t="shared" si="667"/>
        <v>13992.574000000022</v>
      </c>
      <c r="ALO40" s="35">
        <f t="shared" si="667"/>
        <v>13099.600000000035</v>
      </c>
      <c r="ALP40" s="35">
        <f t="shared" si="667"/>
        <v>12208.595999999961</v>
      </c>
      <c r="ALQ40" s="35">
        <f t="shared" si="667"/>
        <v>11392.375000000058</v>
      </c>
      <c r="ALR40" s="35">
        <f t="shared" si="667"/>
        <v>10563.999999999884</v>
      </c>
      <c r="ALS40" s="35">
        <f t="shared" si="667"/>
        <v>9762.2240000001038</v>
      </c>
      <c r="ALT40" s="127">
        <f t="shared" si="12"/>
        <v>287208.80600000004</v>
      </c>
      <c r="ALU40" s="35">
        <f t="shared" ref="ALU40:AMX40" si="668">ALU38-ALU39</f>
        <v>8750.5629999999655</v>
      </c>
      <c r="ALV40" s="35">
        <f t="shared" si="668"/>
        <v>15420.056000000041</v>
      </c>
      <c r="ALW40" s="35">
        <f t="shared" si="668"/>
        <v>14553.109999999928</v>
      </c>
      <c r="ALX40" s="35">
        <f t="shared" si="668"/>
        <v>13568.581999999995</v>
      </c>
      <c r="ALY40" s="35">
        <f t="shared" si="668"/>
        <v>13170.98000000004</v>
      </c>
      <c r="ALZ40" s="35">
        <f t="shared" si="668"/>
        <v>12490.347000000009</v>
      </c>
      <c r="AMA40" s="35">
        <f t="shared" si="668"/>
        <v>11641.392000000109</v>
      </c>
      <c r="AMB40" s="35">
        <f t="shared" si="668"/>
        <v>10810.888999999792</v>
      </c>
      <c r="AMC40" s="35">
        <f t="shared" si="668"/>
        <v>9922.3479999999981</v>
      </c>
      <c r="AMD40" s="35">
        <f t="shared" si="668"/>
        <v>13994.673999999999</v>
      </c>
      <c r="AME40" s="35">
        <f t="shared" si="668"/>
        <v>12774.012000000104</v>
      </c>
      <c r="AMF40" s="35">
        <f t="shared" si="668"/>
        <v>12000.01800000004</v>
      </c>
      <c r="AMG40" s="35">
        <f t="shared" si="668"/>
        <v>11101.276999999944</v>
      </c>
      <c r="AMH40" s="35">
        <f t="shared" si="668"/>
        <v>10235.531000000017</v>
      </c>
      <c r="AMI40" s="35">
        <f t="shared" si="668"/>
        <v>9133.8239999999641</v>
      </c>
      <c r="AMJ40" s="35">
        <f t="shared" si="668"/>
        <v>8010.5590000000084</v>
      </c>
      <c r="AMK40" s="35">
        <f t="shared" si="668"/>
        <v>7168.8689999999478</v>
      </c>
      <c r="AML40" s="35">
        <f t="shared" si="668"/>
        <v>6286.2110000000685</v>
      </c>
      <c r="AMM40" s="35">
        <f t="shared" si="668"/>
        <v>5359.4439999999595</v>
      </c>
      <c r="AMN40" s="35">
        <f t="shared" si="668"/>
        <v>4585.8270000001066</v>
      </c>
      <c r="AMO40" s="35">
        <f t="shared" si="668"/>
        <v>11889.982999999949</v>
      </c>
      <c r="AMP40" s="35">
        <f t="shared" si="668"/>
        <v>10949.957999999984</v>
      </c>
      <c r="AMQ40" s="35">
        <f t="shared" si="668"/>
        <v>9926.7080000001006</v>
      </c>
      <c r="AMR40" s="35">
        <f t="shared" si="668"/>
        <v>8971.8489999997546</v>
      </c>
      <c r="AMS40" s="35">
        <f t="shared" si="668"/>
        <v>15835.713000000163</v>
      </c>
      <c r="AMT40" s="35">
        <f t="shared" si="668"/>
        <v>14868.628999999899</v>
      </c>
      <c r="AMU40" s="35">
        <f t="shared" si="668"/>
        <v>13763.762000000046</v>
      </c>
      <c r="AMV40" s="35">
        <f t="shared" si="668"/>
        <v>12715.119999999995</v>
      </c>
      <c r="AMW40" s="35">
        <f t="shared" si="668"/>
        <v>11803.394999999902</v>
      </c>
      <c r="AMX40" s="35">
        <f t="shared" si="668"/>
        <v>10969.350000000093</v>
      </c>
      <c r="AMY40" s="127">
        <f t="shared" si="13"/>
        <v>332672.97999999992</v>
      </c>
      <c r="AMZ40" s="35">
        <f t="shared" ref="AMZ40:AOC40" si="669">AMZ38-AMZ39</f>
        <v>10236.087999999931</v>
      </c>
      <c r="ANA40" s="35">
        <f t="shared" si="669"/>
        <v>9538.688000000082</v>
      </c>
      <c r="ANB40" s="35">
        <f t="shared" si="669"/>
        <v>9143.2479999999632</v>
      </c>
      <c r="ANC40" s="35">
        <f t="shared" si="669"/>
        <v>8531.400000000096</v>
      </c>
      <c r="AND40" s="35">
        <f t="shared" si="669"/>
        <v>8076.6869999999763</v>
      </c>
      <c r="ANE40" s="35">
        <f t="shared" si="669"/>
        <v>12474.179999999993</v>
      </c>
      <c r="ANF40" s="35">
        <f t="shared" si="669"/>
        <v>11990.281999999948</v>
      </c>
      <c r="ANG40" s="35">
        <f t="shared" si="669"/>
        <v>11445.457000000111</v>
      </c>
      <c r="ANH40" s="35">
        <f t="shared" si="669"/>
        <v>10856.029999999912</v>
      </c>
      <c r="ANI40" s="35">
        <f t="shared" si="669"/>
        <v>10152.290999999968</v>
      </c>
      <c r="ANJ40" s="35">
        <f t="shared" si="669"/>
        <v>9408.9210000000312</v>
      </c>
      <c r="ANK40" s="35">
        <f t="shared" si="669"/>
        <v>9048.0699999999488</v>
      </c>
      <c r="ANL40" s="35">
        <f t="shared" si="669"/>
        <v>8402.8240000001388</v>
      </c>
      <c r="ANM40" s="35">
        <f t="shared" si="669"/>
        <v>12788.287999999884</v>
      </c>
      <c r="ANN40" s="35">
        <f t="shared" si="669"/>
        <v>12035.348999999987</v>
      </c>
      <c r="ANO40" s="35">
        <f t="shared" si="669"/>
        <v>11250.815999999992</v>
      </c>
      <c r="ANP40" s="35">
        <f t="shared" si="669"/>
        <v>10724.581000000122</v>
      </c>
      <c r="ANQ40" s="35">
        <f t="shared" si="669"/>
        <v>10061.350999999966</v>
      </c>
      <c r="ANR40" s="35">
        <f t="shared" si="669"/>
        <v>9441.6929999999702</v>
      </c>
      <c r="ANS40" s="35">
        <f t="shared" si="669"/>
        <v>8615.3100000001141</v>
      </c>
      <c r="ANT40" s="35">
        <f t="shared" si="669"/>
        <v>7996.4169999998412</v>
      </c>
      <c r="ANU40" s="35">
        <f t="shared" si="669"/>
        <v>11869.451000000059</v>
      </c>
      <c r="ANV40" s="35">
        <f t="shared" si="669"/>
        <v>10993.624000000011</v>
      </c>
      <c r="ANW40" s="35">
        <f t="shared" si="669"/>
        <v>10345.532000000065</v>
      </c>
      <c r="ANX40" s="35">
        <f t="shared" si="669"/>
        <v>9434.4049999999115</v>
      </c>
      <c r="ANY40" s="35">
        <f t="shared" si="669"/>
        <v>8262.9280000000144</v>
      </c>
      <c r="ANZ40" s="35">
        <f t="shared" si="669"/>
        <v>7505.98199999996</v>
      </c>
      <c r="AOA40" s="35">
        <f t="shared" si="669"/>
        <v>6692.00900000002</v>
      </c>
      <c r="AOB40" s="35">
        <f t="shared" si="669"/>
        <v>5526.8529999999446</v>
      </c>
      <c r="AOC40" s="35">
        <f t="shared" si="669"/>
        <v>12850.528000000049</v>
      </c>
    </row>
    <row r="41" spans="1:1069" x14ac:dyDescent="0.2">
      <c r="A41" s="160"/>
      <c r="B41" s="5" t="s">
        <v>1529</v>
      </c>
      <c r="C41" s="20">
        <v>13333.33</v>
      </c>
      <c r="D41" s="20">
        <v>12320</v>
      </c>
      <c r="E41" s="20">
        <v>11640</v>
      </c>
      <c r="F41" s="20">
        <v>10588</v>
      </c>
      <c r="G41" s="20">
        <v>9211.76</v>
      </c>
      <c r="H41" s="20">
        <v>8400</v>
      </c>
      <c r="I41" s="20">
        <v>7320</v>
      </c>
      <c r="J41" s="20">
        <v>6344.44</v>
      </c>
      <c r="K41" s="20">
        <v>5480</v>
      </c>
      <c r="L41" s="20">
        <v>4600</v>
      </c>
      <c r="M41" s="20">
        <v>16600</v>
      </c>
      <c r="N41" s="20">
        <v>15910</v>
      </c>
      <c r="O41" s="20">
        <v>15147</v>
      </c>
      <c r="P41" s="20">
        <v>14350</v>
      </c>
      <c r="Q41" s="20">
        <v>13488</v>
      </c>
      <c r="R41" s="20">
        <v>12878</v>
      </c>
      <c r="S41" s="20">
        <v>11547</v>
      </c>
      <c r="T41" s="20">
        <v>10788</v>
      </c>
      <c r="U41" s="20">
        <v>10077</v>
      </c>
      <c r="V41" s="20">
        <v>9247</v>
      </c>
      <c r="W41" s="20">
        <v>8325</v>
      </c>
      <c r="X41" s="20">
        <v>7380</v>
      </c>
      <c r="Y41" s="20">
        <v>6477</v>
      </c>
      <c r="Z41" s="20">
        <v>5600</v>
      </c>
      <c r="AA41" s="20">
        <v>14445</v>
      </c>
      <c r="AB41" s="20">
        <v>13355</v>
      </c>
      <c r="AC41" s="20">
        <v>12466</v>
      </c>
      <c r="AD41" s="20">
        <v>11673</v>
      </c>
      <c r="AE41" s="20">
        <v>10305</v>
      </c>
      <c r="AF41" s="20">
        <v>9044</v>
      </c>
      <c r="AG41" s="20">
        <v>7877</v>
      </c>
      <c r="AH41" s="94">
        <f t="shared" si="523"/>
        <v>326216.53000000003</v>
      </c>
      <c r="AI41" s="20">
        <v>16730</v>
      </c>
      <c r="AJ41" s="20">
        <v>15341</v>
      </c>
      <c r="AK41" s="20">
        <v>14077</v>
      </c>
      <c r="AL41" s="20">
        <v>12600</v>
      </c>
      <c r="AM41" s="20">
        <v>11070</v>
      </c>
      <c r="AN41" s="20">
        <v>9200</v>
      </c>
      <c r="AO41" s="20">
        <v>7541</v>
      </c>
      <c r="AP41" s="20">
        <v>5568</v>
      </c>
      <c r="AQ41" s="20">
        <v>14422</v>
      </c>
      <c r="AR41" s="20">
        <v>13100</v>
      </c>
      <c r="AS41" s="20">
        <v>11768</v>
      </c>
      <c r="AT41" s="20">
        <v>10623</v>
      </c>
      <c r="AU41" s="20">
        <v>9670</v>
      </c>
      <c r="AV41" s="20">
        <v>8777</v>
      </c>
      <c r="AW41" s="20">
        <v>7742</v>
      </c>
      <c r="AX41" s="20">
        <v>6733</v>
      </c>
      <c r="AY41" s="20">
        <v>5705</v>
      </c>
      <c r="AZ41" s="20">
        <v>4670</v>
      </c>
      <c r="BA41" s="20">
        <v>3600</v>
      </c>
      <c r="BB41" s="20">
        <v>15800</v>
      </c>
      <c r="BC41" s="20">
        <v>14800</v>
      </c>
      <c r="BD41" s="20">
        <v>13658</v>
      </c>
      <c r="BE41" s="20">
        <v>12326</v>
      </c>
      <c r="BF41" s="20">
        <v>11373</v>
      </c>
      <c r="BG41" s="20">
        <v>10376</v>
      </c>
      <c r="BH41" s="20">
        <v>9294</v>
      </c>
      <c r="BI41" s="20">
        <v>8212</v>
      </c>
      <c r="BJ41" s="20">
        <v>7044</v>
      </c>
      <c r="BK41" s="20">
        <v>5850</v>
      </c>
      <c r="BL41" s="20">
        <v>16904</v>
      </c>
      <c r="BM41" s="97">
        <f t="shared" si="527"/>
        <v>314574</v>
      </c>
      <c r="BN41" s="20">
        <v>16110</v>
      </c>
      <c r="BO41" s="20">
        <v>15200</v>
      </c>
      <c r="BP41" s="20">
        <v>14052</v>
      </c>
      <c r="BQ41" s="20">
        <v>13055</v>
      </c>
      <c r="BR41" s="20">
        <v>11530</v>
      </c>
      <c r="BS41" s="20">
        <v>10250</v>
      </c>
      <c r="BT41" s="20">
        <v>9188</v>
      </c>
      <c r="BU41" s="20">
        <v>8421</v>
      </c>
      <c r="BV41" s="20">
        <v>7100</v>
      </c>
      <c r="BW41" s="20">
        <v>6066</v>
      </c>
      <c r="BX41" s="20">
        <v>5100</v>
      </c>
      <c r="BY41" s="20">
        <v>4200</v>
      </c>
      <c r="BZ41" s="20">
        <v>3054</v>
      </c>
      <c r="CA41" s="20">
        <v>6968</v>
      </c>
      <c r="CB41" s="20">
        <v>6177</v>
      </c>
      <c r="CC41" s="20">
        <v>5219</v>
      </c>
      <c r="CD41" s="20">
        <v>4100</v>
      </c>
      <c r="CE41" s="20">
        <v>12117</v>
      </c>
      <c r="CF41" s="20">
        <v>11430</v>
      </c>
      <c r="CG41" s="20">
        <v>10458</v>
      </c>
      <c r="CH41" s="20">
        <v>9560</v>
      </c>
      <c r="CI41" s="20">
        <v>8811</v>
      </c>
      <c r="CJ41" s="20">
        <v>7977</v>
      </c>
      <c r="CK41" s="20">
        <v>6884</v>
      </c>
      <c r="CL41" s="20">
        <v>16201</v>
      </c>
      <c r="CM41" s="20">
        <v>15400</v>
      </c>
      <c r="CN41" s="20">
        <v>14581</v>
      </c>
      <c r="CO41" s="20">
        <v>13377</v>
      </c>
      <c r="CP41" s="20">
        <v>12660</v>
      </c>
      <c r="CQ41" s="20">
        <v>11660</v>
      </c>
      <c r="CR41" s="20">
        <v>10741</v>
      </c>
      <c r="CS41" s="111">
        <f t="shared" si="208"/>
        <v>307647</v>
      </c>
      <c r="CT41" s="20">
        <v>9752</v>
      </c>
      <c r="CU41" s="20">
        <v>8900</v>
      </c>
      <c r="CV41" s="20">
        <v>7911</v>
      </c>
      <c r="CW41" s="20">
        <v>6733</v>
      </c>
      <c r="CX41" s="20">
        <v>5764</v>
      </c>
      <c r="CY41" s="20">
        <v>4780</v>
      </c>
      <c r="CZ41" s="20">
        <v>13588</v>
      </c>
      <c r="DA41" s="20">
        <v>12577</v>
      </c>
      <c r="DB41" s="20">
        <v>11500</v>
      </c>
      <c r="DC41" s="20">
        <v>10512</v>
      </c>
      <c r="DD41" s="20">
        <v>9329</v>
      </c>
      <c r="DE41" s="20">
        <v>8777</v>
      </c>
      <c r="DF41" s="20">
        <v>8300</v>
      </c>
      <c r="DG41" s="20">
        <v>7300</v>
      </c>
      <c r="DH41" s="20">
        <v>15726</v>
      </c>
      <c r="DI41" s="20">
        <v>14866</v>
      </c>
      <c r="DJ41" s="20">
        <v>13188</v>
      </c>
      <c r="DK41" s="20">
        <v>12273</v>
      </c>
      <c r="DL41" s="20">
        <v>11578</v>
      </c>
      <c r="DM41" s="20">
        <v>10166</v>
      </c>
      <c r="DN41" s="20">
        <v>9329</v>
      </c>
      <c r="DO41" s="20">
        <v>8115</v>
      </c>
      <c r="DP41" s="20">
        <v>7200</v>
      </c>
      <c r="DQ41" s="20">
        <v>6222</v>
      </c>
      <c r="DR41" s="20">
        <v>14445</v>
      </c>
      <c r="DS41" s="20">
        <v>13500</v>
      </c>
      <c r="DT41" s="20">
        <v>12326</v>
      </c>
      <c r="DU41" s="20">
        <v>11023</v>
      </c>
      <c r="DV41" s="20">
        <v>9922</v>
      </c>
      <c r="DW41" s="20">
        <v>8988</v>
      </c>
      <c r="DX41" s="119"/>
      <c r="DY41" s="20">
        <v>8031</v>
      </c>
      <c r="DZ41" s="20">
        <v>6810</v>
      </c>
      <c r="EA41" s="20">
        <v>6011</v>
      </c>
      <c r="EB41" s="20">
        <v>5100</v>
      </c>
      <c r="EC41" s="20">
        <v>4019</v>
      </c>
      <c r="ED41" s="20">
        <v>3036</v>
      </c>
      <c r="EE41" s="20">
        <v>8905</v>
      </c>
      <c r="EF41" s="20">
        <v>7866</v>
      </c>
      <c r="EG41" s="20">
        <v>6455</v>
      </c>
      <c r="EH41" s="20">
        <v>5354</v>
      </c>
      <c r="EI41" s="20">
        <v>4145</v>
      </c>
      <c r="EJ41" s="20">
        <v>2652</v>
      </c>
      <c r="EK41" s="20">
        <v>1538</v>
      </c>
      <c r="EL41" s="20">
        <v>9966</v>
      </c>
      <c r="EM41" s="20">
        <v>8580</v>
      </c>
      <c r="EN41" s="20">
        <v>7494</v>
      </c>
      <c r="EO41" s="20">
        <v>6455</v>
      </c>
      <c r="EP41" s="20">
        <v>5160</v>
      </c>
      <c r="EQ41" s="20">
        <v>4133</v>
      </c>
      <c r="ER41" s="20">
        <v>15940</v>
      </c>
      <c r="ES41" s="20">
        <v>14084</v>
      </c>
      <c r="ET41" s="20">
        <v>12576</v>
      </c>
      <c r="EU41" s="20">
        <v>10647</v>
      </c>
      <c r="EV41" s="20">
        <v>9514</v>
      </c>
      <c r="EW41" s="20">
        <v>8952</v>
      </c>
      <c r="EX41" s="20">
        <v>8084</v>
      </c>
      <c r="EY41" s="20">
        <v>7240</v>
      </c>
      <c r="EZ41" s="20">
        <v>6255</v>
      </c>
      <c r="FA41" s="20">
        <v>15258</v>
      </c>
      <c r="FB41" s="20">
        <v>14094</v>
      </c>
      <c r="FC41" s="20">
        <v>13155</v>
      </c>
      <c r="FD41" s="128"/>
      <c r="FE41" s="20">
        <v>12242</v>
      </c>
      <c r="FF41" s="20">
        <v>11430</v>
      </c>
      <c r="FG41" s="20">
        <v>10122</v>
      </c>
      <c r="FH41" s="20">
        <v>9066</v>
      </c>
      <c r="FI41" s="20">
        <v>8042</v>
      </c>
      <c r="FJ41" s="20">
        <v>6884</v>
      </c>
      <c r="FK41" s="20">
        <v>5900</v>
      </c>
      <c r="FL41" s="20">
        <v>5100</v>
      </c>
      <c r="FM41" s="20">
        <v>3831</v>
      </c>
      <c r="FN41" s="20">
        <v>3054</v>
      </c>
      <c r="FO41" s="20">
        <v>8975</v>
      </c>
      <c r="FP41" s="20">
        <v>7342</v>
      </c>
      <c r="FQ41" s="20">
        <v>6511</v>
      </c>
      <c r="FR41" s="20">
        <v>5304</v>
      </c>
      <c r="FS41" s="20">
        <v>3947</v>
      </c>
      <c r="FT41" s="20">
        <v>3045</v>
      </c>
      <c r="FU41" s="20">
        <v>1746</v>
      </c>
      <c r="FV41" s="20">
        <v>8590</v>
      </c>
      <c r="FW41" s="20">
        <v>7494</v>
      </c>
      <c r="FX41" s="20">
        <v>6300</v>
      </c>
      <c r="FY41" s="20">
        <v>5318</v>
      </c>
      <c r="FZ41" s="20">
        <v>4090</v>
      </c>
      <c r="GA41" s="20">
        <v>2582</v>
      </c>
      <c r="GB41" s="20">
        <v>9611</v>
      </c>
      <c r="GC41" s="20">
        <v>8744</v>
      </c>
      <c r="GD41" s="20">
        <v>7475</v>
      </c>
      <c r="GE41" s="20">
        <v>6300</v>
      </c>
      <c r="GF41" s="20">
        <v>5170</v>
      </c>
      <c r="GG41" s="20">
        <v>3700</v>
      </c>
      <c r="GH41" s="20">
        <v>2362</v>
      </c>
      <c r="GI41" s="20">
        <v>1177</v>
      </c>
      <c r="GJ41" s="127">
        <f t="shared" si="99"/>
        <v>191454</v>
      </c>
      <c r="GK41" s="20">
        <v>8094</v>
      </c>
      <c r="GL41" s="20">
        <v>6744</v>
      </c>
      <c r="GM41" s="20">
        <v>5670</v>
      </c>
      <c r="GN41" s="20">
        <v>4915</v>
      </c>
      <c r="GO41" s="20">
        <v>3821</v>
      </c>
      <c r="GP41" s="20">
        <v>10833</v>
      </c>
      <c r="GQ41" s="20">
        <v>9647</v>
      </c>
      <c r="GR41" s="20">
        <v>8460</v>
      </c>
      <c r="GS41" s="20">
        <v>7576</v>
      </c>
      <c r="GT41" s="20">
        <v>6233</v>
      </c>
      <c r="GU41" s="20">
        <v>5300</v>
      </c>
      <c r="GV41" s="20">
        <v>4326</v>
      </c>
      <c r="GW41" s="20">
        <v>3495</v>
      </c>
      <c r="GX41" s="20">
        <v>10435</v>
      </c>
      <c r="GY41" s="20">
        <v>9561</v>
      </c>
      <c r="GZ41" s="20">
        <v>8520</v>
      </c>
      <c r="HA41" s="20">
        <v>7729</v>
      </c>
      <c r="HB41" s="20">
        <v>6968</v>
      </c>
      <c r="HC41" s="20">
        <v>5577</v>
      </c>
      <c r="HD41" s="20">
        <v>10682</v>
      </c>
      <c r="HE41" s="20">
        <v>9777</v>
      </c>
      <c r="HF41" s="20">
        <v>8811</v>
      </c>
      <c r="HG41" s="20">
        <v>7776</v>
      </c>
      <c r="HH41" s="20">
        <v>6200</v>
      </c>
      <c r="HI41" s="20">
        <v>5410</v>
      </c>
      <c r="HJ41" s="20">
        <v>4442</v>
      </c>
      <c r="HK41" s="20">
        <v>3523</v>
      </c>
      <c r="HL41" s="20">
        <v>15642</v>
      </c>
      <c r="HM41" s="20">
        <v>14590</v>
      </c>
      <c r="HN41" s="127">
        <f t="shared" si="253"/>
        <v>220757</v>
      </c>
      <c r="HO41" s="20">
        <v>13577</v>
      </c>
      <c r="HP41" s="20">
        <v>12242</v>
      </c>
      <c r="HQ41" s="20">
        <v>11373</v>
      </c>
      <c r="HR41" s="20">
        <v>9705</v>
      </c>
      <c r="HS41" s="20">
        <v>15631</v>
      </c>
      <c r="HT41" s="20">
        <v>14325</v>
      </c>
      <c r="HU41" s="20">
        <v>12892</v>
      </c>
      <c r="HV41" s="20">
        <v>11866</v>
      </c>
      <c r="HW41" s="20">
        <v>10435</v>
      </c>
      <c r="HX41" s="20">
        <v>9376</v>
      </c>
      <c r="HY41" s="20">
        <v>8200</v>
      </c>
      <c r="HZ41" s="20">
        <v>7219</v>
      </c>
      <c r="IA41" s="20">
        <v>6322</v>
      </c>
      <c r="IB41" s="20">
        <v>5200</v>
      </c>
      <c r="IC41" s="20">
        <v>4200</v>
      </c>
      <c r="ID41" s="20">
        <v>12315</v>
      </c>
      <c r="IE41" s="20">
        <v>11450</v>
      </c>
      <c r="IF41" s="20">
        <v>10294</v>
      </c>
      <c r="IG41" s="20">
        <v>9144</v>
      </c>
      <c r="IH41" s="20">
        <v>8294</v>
      </c>
      <c r="II41" s="20">
        <v>7257</v>
      </c>
      <c r="IJ41" s="20">
        <v>6066</v>
      </c>
      <c r="IK41" s="20">
        <v>4873</v>
      </c>
      <c r="IL41" s="20">
        <v>4142</v>
      </c>
      <c r="IM41" s="20">
        <v>2800</v>
      </c>
      <c r="IN41" s="20">
        <v>1769</v>
      </c>
      <c r="IO41" s="20">
        <v>11663</v>
      </c>
      <c r="IP41" s="20">
        <v>10410</v>
      </c>
      <c r="IQ41" s="20">
        <v>8850</v>
      </c>
      <c r="IR41" s="20">
        <v>8063</v>
      </c>
      <c r="IS41" s="20">
        <v>7320</v>
      </c>
      <c r="IT41" s="127">
        <f t="shared" si="22"/>
        <v>277273</v>
      </c>
      <c r="IU41" s="20">
        <v>6477</v>
      </c>
      <c r="IV41" s="20">
        <v>5209</v>
      </c>
      <c r="IW41" s="20">
        <v>4357</v>
      </c>
      <c r="IX41" s="20">
        <v>3304</v>
      </c>
      <c r="IY41" s="20">
        <v>10055</v>
      </c>
      <c r="IZ41" s="20">
        <v>9294</v>
      </c>
      <c r="JA41" s="20">
        <v>8502</v>
      </c>
      <c r="JB41" s="20">
        <v>7144</v>
      </c>
      <c r="JC41" s="20">
        <v>8157</v>
      </c>
      <c r="JD41" s="20">
        <v>7266</v>
      </c>
      <c r="JE41" s="20">
        <v>6211</v>
      </c>
      <c r="JF41" s="20">
        <v>5140</v>
      </c>
      <c r="JG41" s="20">
        <v>15705</v>
      </c>
      <c r="JH41" s="20">
        <v>14813</v>
      </c>
      <c r="JI41" s="20">
        <v>13872</v>
      </c>
      <c r="JJ41" s="20">
        <v>12928</v>
      </c>
      <c r="JK41" s="20">
        <v>11778</v>
      </c>
      <c r="JL41" s="20">
        <v>10776</v>
      </c>
      <c r="JM41" s="20">
        <v>9694</v>
      </c>
      <c r="JN41" s="20">
        <v>8711</v>
      </c>
      <c r="JO41" s="20">
        <v>8105</v>
      </c>
      <c r="JP41" s="20">
        <v>6644</v>
      </c>
      <c r="JQ41" s="20">
        <v>5752</v>
      </c>
      <c r="JR41" s="20">
        <v>4905</v>
      </c>
      <c r="JS41" s="20">
        <v>4009</v>
      </c>
      <c r="JT41" s="20">
        <v>3000</v>
      </c>
      <c r="JU41" s="20">
        <v>12188</v>
      </c>
      <c r="JV41" s="20">
        <v>11253</v>
      </c>
      <c r="JW41" s="20">
        <v>10100</v>
      </c>
      <c r="JX41" s="20">
        <v>9235</v>
      </c>
      <c r="JY41" s="127">
        <f t="shared" si="58"/>
        <v>254584</v>
      </c>
      <c r="JZ41" s="20">
        <v>8530</v>
      </c>
      <c r="KA41" s="20">
        <v>7552</v>
      </c>
      <c r="KB41" s="20">
        <v>16247</v>
      </c>
      <c r="KC41" s="20">
        <v>15329</v>
      </c>
      <c r="KD41" s="20">
        <v>14350</v>
      </c>
      <c r="KE41" s="20">
        <v>13322</v>
      </c>
      <c r="KF41" s="20">
        <v>12047</v>
      </c>
      <c r="KG41" s="20">
        <v>10933</v>
      </c>
      <c r="KH41" s="20">
        <v>9517</v>
      </c>
      <c r="KI41" s="20">
        <v>8212</v>
      </c>
      <c r="KJ41" s="20">
        <v>6989</v>
      </c>
      <c r="KK41" s="20">
        <v>6111</v>
      </c>
      <c r="KL41" s="20">
        <v>4028</v>
      </c>
      <c r="KM41" s="20">
        <v>2556</v>
      </c>
      <c r="KN41" s="20">
        <v>1646</v>
      </c>
      <c r="KO41" s="20">
        <v>9523</v>
      </c>
      <c r="KP41" s="20">
        <v>8147</v>
      </c>
      <c r="KQ41" s="20">
        <v>6622</v>
      </c>
      <c r="KR41" s="20">
        <v>5611</v>
      </c>
      <c r="KS41" s="20">
        <v>4263</v>
      </c>
      <c r="KT41" s="20">
        <v>2381</v>
      </c>
      <c r="KU41" s="20">
        <v>6655</v>
      </c>
      <c r="KV41" s="20">
        <v>4127</v>
      </c>
      <c r="KW41" s="20">
        <v>2660</v>
      </c>
      <c r="KX41" s="20">
        <v>9400</v>
      </c>
      <c r="KY41" s="20">
        <v>8450</v>
      </c>
      <c r="KZ41" s="20">
        <v>7177</v>
      </c>
      <c r="LA41" s="20">
        <v>5647</v>
      </c>
      <c r="LB41" s="20">
        <v>4114</v>
      </c>
      <c r="LC41" s="20">
        <v>7922</v>
      </c>
      <c r="LD41" s="20">
        <v>11410</v>
      </c>
      <c r="LE41" s="127">
        <f t="shared" si="60"/>
        <v>232948</v>
      </c>
      <c r="LF41" s="20">
        <v>10042</v>
      </c>
      <c r="LG41" s="20">
        <v>8870</v>
      </c>
      <c r="LH41" s="20">
        <v>7166</v>
      </c>
      <c r="LI41" s="20">
        <v>5440</v>
      </c>
      <c r="LJ41" s="20">
        <v>4200</v>
      </c>
      <c r="LK41" s="20">
        <v>2910</v>
      </c>
      <c r="LL41" s="20">
        <v>11166</v>
      </c>
      <c r="LM41" s="20">
        <v>9571</v>
      </c>
      <c r="LN41" s="20">
        <v>8633</v>
      </c>
      <c r="LO41" s="20">
        <v>7247</v>
      </c>
      <c r="LP41" s="20">
        <v>5557</v>
      </c>
      <c r="LQ41" s="20">
        <v>4294</v>
      </c>
      <c r="LR41" s="20">
        <v>2800</v>
      </c>
      <c r="LS41" s="20">
        <v>8168</v>
      </c>
      <c r="LT41" s="20">
        <v>6989</v>
      </c>
      <c r="LU41" s="20">
        <v>5861</v>
      </c>
      <c r="LV41" s="20">
        <v>4800</v>
      </c>
      <c r="LW41" s="20">
        <v>3457</v>
      </c>
      <c r="LX41" s="20">
        <v>2052</v>
      </c>
      <c r="LY41" s="20">
        <v>8550</v>
      </c>
      <c r="LZ41" s="20">
        <v>7155</v>
      </c>
      <c r="MA41" s="20">
        <v>5920</v>
      </c>
      <c r="MB41" s="20">
        <v>5130</v>
      </c>
      <c r="MC41" s="20">
        <v>4027</v>
      </c>
      <c r="MD41" s="20">
        <v>2830</v>
      </c>
      <c r="ME41" s="20">
        <v>8557</v>
      </c>
      <c r="MF41" s="20">
        <v>7390</v>
      </c>
      <c r="MG41" s="20">
        <v>6255</v>
      </c>
      <c r="MH41" s="20">
        <v>5190</v>
      </c>
      <c r="MI41" s="20">
        <v>3894</v>
      </c>
      <c r="MJ41" s="127">
        <f t="shared" si="62"/>
        <v>184121</v>
      </c>
      <c r="MK41" s="20">
        <v>2600</v>
      </c>
      <c r="ML41" s="20">
        <v>1244</v>
      </c>
      <c r="MM41" s="20">
        <v>5336</v>
      </c>
      <c r="MN41" s="20">
        <v>4249</v>
      </c>
      <c r="MO41" s="20">
        <v>2839</v>
      </c>
      <c r="MP41" s="20">
        <v>9752</v>
      </c>
      <c r="MQ41" s="20">
        <v>8520</v>
      </c>
      <c r="MR41" s="20">
        <v>7360</v>
      </c>
      <c r="MS41" s="20">
        <v>6400</v>
      </c>
      <c r="MT41" s="20">
        <v>5720</v>
      </c>
      <c r="MU41" s="20">
        <v>4378</v>
      </c>
      <c r="MV41" s="20">
        <v>8200</v>
      </c>
      <c r="MW41" s="20">
        <v>6915</v>
      </c>
      <c r="MX41" s="20">
        <v>5960</v>
      </c>
      <c r="MY41" s="20">
        <v>4770</v>
      </c>
      <c r="MZ41" s="20">
        <v>3403</v>
      </c>
      <c r="NA41" s="20">
        <v>2262</v>
      </c>
      <c r="NB41" s="20">
        <v>1109</v>
      </c>
      <c r="NC41" s="20">
        <v>7764</v>
      </c>
      <c r="ND41" s="20">
        <v>6744</v>
      </c>
      <c r="NE41" s="20">
        <v>6000</v>
      </c>
      <c r="NF41" s="20">
        <v>4873</v>
      </c>
      <c r="NG41" s="20">
        <v>3852</v>
      </c>
      <c r="NH41" s="20">
        <v>2900</v>
      </c>
      <c r="NI41" s="20">
        <v>12566</v>
      </c>
      <c r="NJ41" s="20">
        <v>11082</v>
      </c>
      <c r="NK41" s="20">
        <v>10234</v>
      </c>
      <c r="NL41" s="20">
        <v>9177</v>
      </c>
      <c r="NM41" s="20">
        <v>8075</v>
      </c>
      <c r="NN41" s="20">
        <v>6926</v>
      </c>
      <c r="NO41" s="20">
        <v>5890</v>
      </c>
      <c r="NP41" s="127">
        <f t="shared" si="64"/>
        <v>184500</v>
      </c>
      <c r="NQ41" s="20">
        <v>4915</v>
      </c>
      <c r="NR41" s="20">
        <v>3542</v>
      </c>
      <c r="NS41" s="20">
        <v>10329</v>
      </c>
      <c r="NT41" s="20">
        <v>9440</v>
      </c>
      <c r="NU41" s="20">
        <v>8400</v>
      </c>
      <c r="NV41" s="20">
        <v>6968</v>
      </c>
      <c r="NW41" s="20">
        <v>5600</v>
      </c>
      <c r="NX41" s="20">
        <v>4410</v>
      </c>
      <c r="NY41" s="20">
        <v>3209</v>
      </c>
      <c r="NZ41" s="20">
        <v>6277</v>
      </c>
      <c r="OA41" s="20">
        <v>5263</v>
      </c>
      <c r="OB41" s="20">
        <v>4400</v>
      </c>
      <c r="OC41" s="20">
        <v>3352</v>
      </c>
      <c r="OD41" s="20">
        <v>2206</v>
      </c>
      <c r="OE41" s="20">
        <v>8021</v>
      </c>
      <c r="OF41" s="20">
        <v>6905</v>
      </c>
      <c r="OG41" s="20">
        <v>5870</v>
      </c>
      <c r="OH41" s="20">
        <v>4905</v>
      </c>
      <c r="OI41" s="20">
        <v>3761</v>
      </c>
      <c r="OJ41" s="20">
        <v>2763</v>
      </c>
      <c r="OK41" s="20">
        <v>11705</v>
      </c>
      <c r="OL41" s="20">
        <v>10258</v>
      </c>
      <c r="OM41" s="20">
        <v>9022</v>
      </c>
      <c r="ON41" s="20">
        <v>7858</v>
      </c>
      <c r="OO41" s="20">
        <v>7177</v>
      </c>
      <c r="OP41" s="20">
        <v>5980</v>
      </c>
      <c r="OQ41" s="20">
        <v>4905</v>
      </c>
      <c r="OR41" s="20">
        <v>3695</v>
      </c>
      <c r="OS41" s="20">
        <v>2645</v>
      </c>
      <c r="OT41" s="20">
        <v>13970</v>
      </c>
      <c r="OU41" s="20">
        <v>12326</v>
      </c>
      <c r="OV41" s="127">
        <f t="shared" si="66"/>
        <v>195162</v>
      </c>
      <c r="OW41" s="20">
        <v>11500</v>
      </c>
      <c r="OX41" s="20">
        <v>9764</v>
      </c>
      <c r="OY41" s="20">
        <v>8621</v>
      </c>
      <c r="OZ41" s="20">
        <v>7658</v>
      </c>
      <c r="PA41" s="20">
        <v>6376</v>
      </c>
      <c r="PB41" s="20">
        <v>13970</v>
      </c>
      <c r="PC41" s="20">
        <v>12600</v>
      </c>
      <c r="PD41" s="20">
        <v>11473</v>
      </c>
      <c r="PE41" s="20">
        <v>10496</v>
      </c>
      <c r="PF41" s="20">
        <v>9400</v>
      </c>
      <c r="PG41" s="20">
        <v>8084</v>
      </c>
      <c r="PH41" s="20">
        <v>7000</v>
      </c>
      <c r="PI41" s="20">
        <v>5460</v>
      </c>
      <c r="PJ41" s="20">
        <v>4410</v>
      </c>
      <c r="PK41" s="20">
        <v>3419</v>
      </c>
      <c r="PL41" s="20">
        <v>2417</v>
      </c>
      <c r="PM41" s="20">
        <v>1430</v>
      </c>
      <c r="PN41" s="20">
        <v>8560</v>
      </c>
      <c r="PO41" s="20">
        <v>7285</v>
      </c>
      <c r="PP41" s="20">
        <v>6177</v>
      </c>
      <c r="PQ41" s="20">
        <v>5150</v>
      </c>
      <c r="PR41" s="20">
        <v>4273</v>
      </c>
      <c r="PS41" s="20">
        <v>3361</v>
      </c>
      <c r="PT41" s="20">
        <v>2382</v>
      </c>
      <c r="PU41" s="20">
        <v>11450</v>
      </c>
      <c r="PV41" s="20">
        <v>10282</v>
      </c>
      <c r="PW41" s="20">
        <v>9329</v>
      </c>
      <c r="PX41" s="20">
        <v>7855</v>
      </c>
      <c r="PY41" s="20">
        <v>7177</v>
      </c>
      <c r="PZ41" s="20">
        <v>5910</v>
      </c>
      <c r="QA41" s="127">
        <f t="shared" si="68"/>
        <v>223269</v>
      </c>
      <c r="QB41" s="20">
        <v>4800</v>
      </c>
      <c r="QC41" s="20">
        <v>3899</v>
      </c>
      <c r="QD41" s="20">
        <v>2876</v>
      </c>
      <c r="QE41" s="20">
        <v>11652</v>
      </c>
      <c r="QF41" s="20">
        <v>10482</v>
      </c>
      <c r="QG41" s="20">
        <v>9800</v>
      </c>
      <c r="QH41" s="20">
        <v>8755</v>
      </c>
      <c r="QI41" s="20">
        <v>7717</v>
      </c>
      <c r="QJ41" s="20">
        <v>6666</v>
      </c>
      <c r="QK41" s="20">
        <v>5682</v>
      </c>
      <c r="QL41" s="20">
        <v>4578</v>
      </c>
      <c r="QM41" s="20">
        <v>13266</v>
      </c>
      <c r="QN41" s="20">
        <v>12117</v>
      </c>
      <c r="QO41" s="20">
        <v>10741</v>
      </c>
      <c r="QP41" s="20">
        <v>9787</v>
      </c>
      <c r="QQ41" s="20">
        <v>8800</v>
      </c>
      <c r="QR41" s="20">
        <v>7811</v>
      </c>
      <c r="QS41" s="20">
        <v>6266</v>
      </c>
      <c r="QT41" s="20">
        <v>12129</v>
      </c>
      <c r="QU41" s="20">
        <v>11452</v>
      </c>
      <c r="QV41" s="20">
        <v>10376</v>
      </c>
      <c r="QW41" s="20">
        <v>9438</v>
      </c>
      <c r="QX41" s="20">
        <v>8530</v>
      </c>
      <c r="QY41" s="20">
        <v>6688</v>
      </c>
      <c r="QZ41" s="20">
        <v>5295</v>
      </c>
      <c r="RA41" s="20">
        <v>13400</v>
      </c>
      <c r="RB41" s="20">
        <v>12600</v>
      </c>
      <c r="RC41" s="20">
        <v>11694</v>
      </c>
      <c r="RD41" s="20">
        <v>10655</v>
      </c>
      <c r="RE41" s="20">
        <v>9658</v>
      </c>
      <c r="RF41" s="20">
        <v>8410</v>
      </c>
      <c r="RG41" s="127">
        <f t="shared" si="495"/>
        <v>271220</v>
      </c>
      <c r="RH41" s="20">
        <v>7380</v>
      </c>
      <c r="RI41" s="20">
        <v>6444</v>
      </c>
      <c r="RJ41" s="20">
        <v>5420</v>
      </c>
      <c r="RK41" s="20">
        <v>3731</v>
      </c>
      <c r="RL41" s="20">
        <v>2617</v>
      </c>
      <c r="RM41" s="20">
        <v>9866</v>
      </c>
      <c r="RN41" s="20">
        <v>8912</v>
      </c>
      <c r="RO41" s="20">
        <v>7877</v>
      </c>
      <c r="RP41" s="20">
        <v>6894</v>
      </c>
      <c r="RQ41" s="20">
        <v>6136</v>
      </c>
      <c r="RR41" s="20">
        <v>4770</v>
      </c>
      <c r="RS41" s="20">
        <v>3842</v>
      </c>
      <c r="RT41" s="20">
        <v>2563</v>
      </c>
      <c r="RU41" s="20">
        <v>11430</v>
      </c>
      <c r="RV41" s="20">
        <v>10244</v>
      </c>
      <c r="RW41" s="20">
        <v>9022</v>
      </c>
      <c r="RX41" s="20">
        <v>8021</v>
      </c>
      <c r="RY41" s="20">
        <v>7144</v>
      </c>
      <c r="RZ41" s="20">
        <v>6211</v>
      </c>
      <c r="SA41" s="20">
        <v>5276</v>
      </c>
      <c r="SB41" s="20">
        <v>4190</v>
      </c>
      <c r="SC41" s="20">
        <v>13244</v>
      </c>
      <c r="SD41" s="20">
        <v>12305</v>
      </c>
      <c r="SE41" s="20">
        <v>11560</v>
      </c>
      <c r="SF41" s="20">
        <v>10305</v>
      </c>
      <c r="SG41" s="20">
        <v>9111</v>
      </c>
      <c r="SH41" s="20">
        <v>8200</v>
      </c>
      <c r="SI41" s="20">
        <v>6688</v>
      </c>
      <c r="SJ41" s="20">
        <v>5611</v>
      </c>
      <c r="SK41" s="20">
        <v>12720</v>
      </c>
      <c r="SL41" s="127">
        <f t="shared" si="497"/>
        <v>227734</v>
      </c>
      <c r="SM41" s="20">
        <v>11988</v>
      </c>
      <c r="SN41" s="20">
        <v>10177</v>
      </c>
      <c r="SO41" s="20">
        <v>7022</v>
      </c>
      <c r="SP41" s="20">
        <v>5623</v>
      </c>
      <c r="SQ41" s="20">
        <v>4421</v>
      </c>
      <c r="SR41" s="20">
        <v>3257</v>
      </c>
      <c r="SS41" s="20">
        <v>7210</v>
      </c>
      <c r="ST41" s="20">
        <v>6144</v>
      </c>
      <c r="SU41" s="20">
        <v>4463</v>
      </c>
      <c r="SV41" s="20">
        <v>3352</v>
      </c>
      <c r="SW41" s="20">
        <v>14634</v>
      </c>
      <c r="SX41" s="20">
        <v>13682</v>
      </c>
      <c r="SY41" s="20">
        <v>12000</v>
      </c>
      <c r="SZ41" s="20">
        <v>10855</v>
      </c>
      <c r="TA41" s="20">
        <v>9611</v>
      </c>
      <c r="TB41" s="20">
        <v>8063</v>
      </c>
      <c r="TC41" s="20">
        <v>6957</v>
      </c>
      <c r="TD41" s="20">
        <v>5705</v>
      </c>
      <c r="TE41" s="20">
        <v>4357</v>
      </c>
      <c r="TF41" s="20">
        <v>15073</v>
      </c>
      <c r="TG41" s="20">
        <v>13900</v>
      </c>
      <c r="TH41" s="20">
        <v>12618</v>
      </c>
      <c r="TI41" s="20">
        <v>11590</v>
      </c>
      <c r="TJ41" s="20">
        <v>10337</v>
      </c>
      <c r="TK41" s="20">
        <v>9855</v>
      </c>
      <c r="TL41" s="20">
        <v>9155</v>
      </c>
      <c r="TM41" s="20">
        <v>8136</v>
      </c>
      <c r="TN41" s="20">
        <v>7200</v>
      </c>
      <c r="TO41" s="20">
        <v>6344</v>
      </c>
      <c r="TP41" s="20">
        <v>5363</v>
      </c>
      <c r="TQ41" s="20">
        <v>11200</v>
      </c>
      <c r="TR41" s="127">
        <f t="shared" si="499"/>
        <v>258304</v>
      </c>
      <c r="TS41" s="20">
        <v>10517</v>
      </c>
      <c r="TT41" s="20">
        <v>9561</v>
      </c>
      <c r="TU41" s="20">
        <v>8670</v>
      </c>
      <c r="TV41" s="20">
        <v>7725</v>
      </c>
      <c r="TW41" s="20">
        <v>6957</v>
      </c>
      <c r="TX41" s="20">
        <v>5890</v>
      </c>
      <c r="TY41" s="20">
        <v>4844</v>
      </c>
      <c r="TZ41" s="20">
        <v>14300</v>
      </c>
      <c r="UA41" s="20">
        <v>13200</v>
      </c>
      <c r="UB41" s="20">
        <v>12023</v>
      </c>
      <c r="UC41" s="20">
        <v>10988</v>
      </c>
      <c r="UD41" s="20">
        <v>9988</v>
      </c>
      <c r="UE41" s="20">
        <v>8325</v>
      </c>
      <c r="UF41" s="20">
        <v>7340</v>
      </c>
      <c r="UG41" s="20">
        <v>6341</v>
      </c>
      <c r="UH41" s="20">
        <v>5290</v>
      </c>
      <c r="UI41" s="20">
        <v>4118</v>
      </c>
      <c r="UJ41" s="20">
        <v>12925</v>
      </c>
      <c r="UK41" s="20">
        <v>11870</v>
      </c>
      <c r="UL41" s="20">
        <v>10658</v>
      </c>
      <c r="UM41" s="20">
        <v>9510</v>
      </c>
      <c r="UN41" s="20">
        <v>8084</v>
      </c>
      <c r="UO41" s="20">
        <v>7055</v>
      </c>
      <c r="UP41" s="20">
        <v>5635</v>
      </c>
      <c r="UQ41" s="20">
        <v>4221</v>
      </c>
      <c r="UR41" s="20">
        <v>2745</v>
      </c>
      <c r="US41" s="20">
        <v>1650</v>
      </c>
      <c r="UT41" s="20">
        <v>410</v>
      </c>
      <c r="UU41" s="20">
        <v>410</v>
      </c>
      <c r="UV41" s="20">
        <v>9705</v>
      </c>
      <c r="UW41" s="20">
        <v>8590</v>
      </c>
      <c r="UX41" s="127">
        <f t="shared" si="501"/>
        <v>229028</v>
      </c>
      <c r="UY41" s="20">
        <v>7320</v>
      </c>
      <c r="UZ41" s="20">
        <v>6433</v>
      </c>
      <c r="VA41" s="20">
        <v>4547</v>
      </c>
      <c r="VB41" s="20">
        <v>6355</v>
      </c>
      <c r="VC41" s="20">
        <v>10144</v>
      </c>
      <c r="VD41" s="20">
        <v>9258</v>
      </c>
      <c r="VE41" s="20">
        <v>7955</v>
      </c>
      <c r="VF41" s="20">
        <v>6317</v>
      </c>
      <c r="VG41" s="20">
        <v>5520</v>
      </c>
      <c r="VH41" s="20">
        <v>4421</v>
      </c>
      <c r="VI41" s="20">
        <v>10822</v>
      </c>
      <c r="VJ41" s="20">
        <v>9888</v>
      </c>
      <c r="VK41" s="20">
        <v>8700</v>
      </c>
      <c r="VL41" s="20">
        <v>7517</v>
      </c>
      <c r="VM41" s="20">
        <v>6488</v>
      </c>
      <c r="VN41" s="20">
        <v>5670</v>
      </c>
      <c r="VO41" s="20">
        <v>4670</v>
      </c>
      <c r="VP41" s="20">
        <v>3552</v>
      </c>
      <c r="VQ41" s="20">
        <v>10000</v>
      </c>
      <c r="VR41" s="20">
        <v>8789</v>
      </c>
      <c r="VS41" s="20">
        <v>7635</v>
      </c>
      <c r="VT41" s="20">
        <v>13433</v>
      </c>
      <c r="VU41" s="20">
        <v>12400</v>
      </c>
      <c r="VV41" s="20">
        <v>11240</v>
      </c>
      <c r="VW41" s="20">
        <v>9966</v>
      </c>
      <c r="VX41" s="20">
        <v>8722</v>
      </c>
      <c r="VY41" s="20">
        <v>7552</v>
      </c>
      <c r="VZ41" s="20">
        <v>6500</v>
      </c>
      <c r="WA41" s="127">
        <f t="shared" si="503"/>
        <v>459432</v>
      </c>
      <c r="WB41" s="20">
        <v>5209</v>
      </c>
      <c r="WC41" s="20">
        <v>4378</v>
      </c>
      <c r="WD41" s="20">
        <v>2940</v>
      </c>
      <c r="WE41" s="20">
        <v>1810</v>
      </c>
      <c r="WF41" s="20">
        <v>788</v>
      </c>
      <c r="WG41" s="20">
        <v>788</v>
      </c>
      <c r="WH41" s="20">
        <v>7822</v>
      </c>
      <c r="WI41" s="20">
        <v>6233</v>
      </c>
      <c r="WJ41" s="20">
        <v>5160</v>
      </c>
      <c r="WK41" s="20">
        <v>3968</v>
      </c>
      <c r="WL41" s="20">
        <v>10576</v>
      </c>
      <c r="WM41" s="20">
        <v>9647</v>
      </c>
      <c r="WN41" s="20">
        <v>8666</v>
      </c>
      <c r="WO41" s="20">
        <v>7658</v>
      </c>
      <c r="WP41" s="20">
        <v>6270</v>
      </c>
      <c r="WQ41" s="20">
        <v>5500</v>
      </c>
      <c r="WR41" s="20">
        <v>4305</v>
      </c>
      <c r="WS41" s="20">
        <v>3495.23</v>
      </c>
      <c r="WT41" s="20">
        <v>2325</v>
      </c>
      <c r="WU41" s="20">
        <v>1400</v>
      </c>
      <c r="WV41" s="20">
        <v>7933</v>
      </c>
      <c r="WW41" s="20">
        <v>6873</v>
      </c>
      <c r="WX41" s="20">
        <v>5870</v>
      </c>
      <c r="WY41" s="20">
        <v>4536</v>
      </c>
      <c r="WZ41" s="20">
        <v>11390</v>
      </c>
      <c r="XA41" s="20">
        <v>10655</v>
      </c>
      <c r="XB41" s="20">
        <v>9504</v>
      </c>
      <c r="XC41" s="20">
        <v>8590</v>
      </c>
      <c r="XD41" s="20">
        <v>7576</v>
      </c>
      <c r="XE41" s="20">
        <v>6390</v>
      </c>
      <c r="XF41" s="20">
        <v>4905</v>
      </c>
      <c r="XG41" s="127">
        <f t="shared" si="566"/>
        <v>183160.22999999998</v>
      </c>
      <c r="XH41" s="20">
        <v>12000</v>
      </c>
      <c r="XI41" s="20">
        <v>11023</v>
      </c>
      <c r="XJ41" s="20">
        <v>10100</v>
      </c>
      <c r="XK41" s="20">
        <v>9088</v>
      </c>
      <c r="XL41" s="20">
        <v>7955</v>
      </c>
      <c r="XM41" s="20">
        <v>6915</v>
      </c>
      <c r="XN41" s="20">
        <v>5810</v>
      </c>
      <c r="XO41" s="20">
        <v>4680</v>
      </c>
      <c r="XP41" s="20">
        <v>3790</v>
      </c>
      <c r="XQ41" s="20">
        <v>2810</v>
      </c>
      <c r="XR41" s="20">
        <v>8823</v>
      </c>
      <c r="XS41" s="20">
        <v>7729</v>
      </c>
      <c r="XT41" s="20">
        <v>7000</v>
      </c>
      <c r="XU41" s="20">
        <v>6111</v>
      </c>
      <c r="XV41" s="20">
        <v>5050</v>
      </c>
      <c r="XW41" s="20">
        <v>4011</v>
      </c>
      <c r="XX41" s="20">
        <v>2970</v>
      </c>
      <c r="XY41" s="20">
        <v>2155</v>
      </c>
      <c r="XZ41" s="20">
        <v>8375</v>
      </c>
      <c r="YA41" s="20">
        <v>7576</v>
      </c>
      <c r="YB41" s="20">
        <v>6810</v>
      </c>
      <c r="YC41" s="20">
        <v>5820</v>
      </c>
      <c r="YD41" s="20">
        <v>4630</v>
      </c>
      <c r="YE41" s="20">
        <v>3714</v>
      </c>
      <c r="YF41" s="20">
        <v>12871</v>
      </c>
      <c r="YG41" s="20">
        <v>11888</v>
      </c>
      <c r="YH41" s="20">
        <v>11000</v>
      </c>
      <c r="YI41" s="20">
        <v>10077</v>
      </c>
      <c r="YJ41" s="20">
        <v>9409</v>
      </c>
      <c r="YK41" s="20">
        <v>8711</v>
      </c>
      <c r="YL41" s="127">
        <f t="shared" si="569"/>
        <v>218901</v>
      </c>
      <c r="YM41" s="20">
        <v>7458</v>
      </c>
      <c r="YN41" s="20">
        <v>6122</v>
      </c>
      <c r="YO41" s="20">
        <v>5170</v>
      </c>
      <c r="YP41" s="20">
        <v>4347</v>
      </c>
      <c r="YQ41" s="20">
        <v>3390</v>
      </c>
      <c r="YR41" s="20">
        <v>2600</v>
      </c>
      <c r="YS41" s="20">
        <v>1712</v>
      </c>
      <c r="YT41" s="20">
        <v>1237</v>
      </c>
      <c r="YU41" s="20">
        <v>7177</v>
      </c>
      <c r="YV41" s="20">
        <v>6288</v>
      </c>
      <c r="YW41" s="20">
        <v>5354</v>
      </c>
      <c r="YX41" s="20">
        <v>14591</v>
      </c>
      <c r="YY41" s="20">
        <v>13526</v>
      </c>
      <c r="YZ41" s="20">
        <v>12555</v>
      </c>
      <c r="ZA41" s="20">
        <v>11778</v>
      </c>
      <c r="ZB41" s="20">
        <v>10866</v>
      </c>
      <c r="ZC41" s="20">
        <v>9623</v>
      </c>
      <c r="ZD41" s="20">
        <v>8929</v>
      </c>
      <c r="ZE41" s="20">
        <v>7866</v>
      </c>
      <c r="ZF41" s="20">
        <v>7105</v>
      </c>
      <c r="ZG41" s="20">
        <v>5820</v>
      </c>
      <c r="ZH41" s="20">
        <v>4680</v>
      </c>
      <c r="ZI41" s="20">
        <v>9635</v>
      </c>
      <c r="ZJ41" s="20">
        <v>8410</v>
      </c>
      <c r="ZK41" s="20">
        <v>7623</v>
      </c>
      <c r="ZL41" s="20">
        <v>6433</v>
      </c>
      <c r="ZM41" s="20">
        <v>5371</v>
      </c>
      <c r="ZN41" s="20">
        <v>13870</v>
      </c>
      <c r="ZO41" s="20">
        <v>12844</v>
      </c>
      <c r="ZP41" s="20">
        <v>11680</v>
      </c>
      <c r="ZQ41" s="20">
        <v>10840</v>
      </c>
      <c r="ZR41" s="127">
        <f t="shared" si="356"/>
        <v>244900</v>
      </c>
      <c r="ZS41" s="20">
        <v>9476</v>
      </c>
      <c r="ZT41" s="20">
        <v>8500</v>
      </c>
      <c r="ZU41" s="20">
        <v>7576</v>
      </c>
      <c r="ZV41" s="20">
        <v>6755</v>
      </c>
      <c r="ZW41" s="20">
        <v>15631</v>
      </c>
      <c r="ZX41" s="20">
        <v>14643</v>
      </c>
      <c r="ZY41" s="20">
        <v>13511</v>
      </c>
      <c r="ZZ41" s="20">
        <v>12544</v>
      </c>
      <c r="AAA41" s="20">
        <v>11780</v>
      </c>
      <c r="AAB41" s="20">
        <v>9822</v>
      </c>
      <c r="AAC41" s="20">
        <v>8500</v>
      </c>
      <c r="AAD41" s="20">
        <v>7435</v>
      </c>
      <c r="AAE41" s="20">
        <v>6344</v>
      </c>
      <c r="AAF41" s="20">
        <v>5209</v>
      </c>
      <c r="AAG41" s="20">
        <v>4181</v>
      </c>
      <c r="AAH41" s="20">
        <v>3190</v>
      </c>
      <c r="AAI41" s="20">
        <v>12378</v>
      </c>
      <c r="AAJ41" s="20">
        <v>10866</v>
      </c>
      <c r="AAK41" s="20">
        <v>9855</v>
      </c>
      <c r="AAL41" s="20">
        <v>8894</v>
      </c>
      <c r="AAM41" s="20">
        <v>7600</v>
      </c>
      <c r="AAN41" s="20">
        <v>6863</v>
      </c>
      <c r="AAO41" s="20">
        <v>5658</v>
      </c>
      <c r="AAP41" s="20">
        <v>4810</v>
      </c>
      <c r="AAQ41" s="20">
        <v>3989</v>
      </c>
      <c r="AAR41" s="20">
        <v>12935</v>
      </c>
      <c r="AAS41" s="20">
        <v>11968</v>
      </c>
      <c r="AAT41" s="20">
        <v>10933</v>
      </c>
      <c r="AAU41" s="20">
        <v>10133</v>
      </c>
      <c r="AAV41" s="20">
        <v>9305</v>
      </c>
      <c r="AAW41" s="127">
        <f t="shared" si="574"/>
        <v>271284</v>
      </c>
      <c r="AAX41" s="20">
        <v>8262</v>
      </c>
      <c r="AAY41" s="20">
        <v>7380</v>
      </c>
      <c r="AAZ41" s="20">
        <v>6322</v>
      </c>
      <c r="ABA41" s="20">
        <v>5373</v>
      </c>
      <c r="ABB41" s="20">
        <v>12336</v>
      </c>
      <c r="ABC41" s="20">
        <v>11490</v>
      </c>
      <c r="ABD41" s="20">
        <v>10411</v>
      </c>
      <c r="ABE41" s="20">
        <v>9376</v>
      </c>
      <c r="ABF41" s="20">
        <v>8600</v>
      </c>
      <c r="ABG41" s="20">
        <v>13366</v>
      </c>
      <c r="ABH41" s="20">
        <v>12260</v>
      </c>
      <c r="ABI41" s="20">
        <v>11386</v>
      </c>
      <c r="ABJ41" s="20">
        <v>10376</v>
      </c>
      <c r="ABK41" s="20">
        <v>9258</v>
      </c>
      <c r="ABL41" s="20">
        <v>8312</v>
      </c>
      <c r="ABM41" s="20">
        <v>7333</v>
      </c>
      <c r="ABN41" s="20">
        <v>6411</v>
      </c>
      <c r="ABO41" s="20">
        <v>5095</v>
      </c>
      <c r="ABP41" s="20">
        <v>3842</v>
      </c>
      <c r="ABQ41" s="20">
        <v>12985</v>
      </c>
      <c r="ABR41" s="20">
        <v>12378</v>
      </c>
      <c r="ABS41" s="20">
        <v>11660</v>
      </c>
      <c r="ABT41" s="20">
        <v>10670</v>
      </c>
      <c r="ABU41" s="20">
        <v>9810</v>
      </c>
      <c r="ABV41" s="20">
        <v>8769</v>
      </c>
      <c r="ABW41" s="20">
        <v>7855</v>
      </c>
      <c r="ABX41" s="20">
        <v>7055</v>
      </c>
      <c r="ABY41" s="20">
        <v>5670</v>
      </c>
      <c r="ABZ41" s="20">
        <v>4670</v>
      </c>
      <c r="ACA41" s="20">
        <v>15778</v>
      </c>
      <c r="ACB41" s="20">
        <v>14920</v>
      </c>
      <c r="ACC41" s="127">
        <f t="shared" si="274"/>
        <v>289409</v>
      </c>
      <c r="ACD41" s="20">
        <v>13800</v>
      </c>
      <c r="ACE41" s="20">
        <v>12488</v>
      </c>
      <c r="ACF41" s="20">
        <v>11505</v>
      </c>
      <c r="ACG41" s="20">
        <v>10482</v>
      </c>
      <c r="ACH41" s="20">
        <v>9552</v>
      </c>
      <c r="ACI41" s="20">
        <v>8550</v>
      </c>
      <c r="ACJ41" s="20">
        <v>7576</v>
      </c>
      <c r="ACK41" s="20">
        <v>6422</v>
      </c>
      <c r="ACL41" s="20">
        <v>13344</v>
      </c>
      <c r="ACM41" s="20">
        <v>12555</v>
      </c>
      <c r="ACN41" s="20">
        <v>11520</v>
      </c>
      <c r="ACO41" s="20">
        <v>10470</v>
      </c>
      <c r="ACP41" s="20">
        <v>9600</v>
      </c>
      <c r="ACQ41" s="20">
        <v>8410</v>
      </c>
      <c r="ACR41" s="20">
        <v>7440</v>
      </c>
      <c r="ACS41" s="20">
        <v>6277</v>
      </c>
      <c r="ACT41" s="20">
        <v>5381</v>
      </c>
      <c r="ACU41" s="20">
        <v>4221</v>
      </c>
      <c r="ACV41" s="20">
        <v>3190</v>
      </c>
      <c r="ACW41" s="20">
        <v>2312</v>
      </c>
      <c r="ACX41" s="20">
        <v>1423</v>
      </c>
      <c r="ACY41" s="20">
        <v>10458</v>
      </c>
      <c r="ACZ41" s="20">
        <v>9447</v>
      </c>
      <c r="ADA41" s="20">
        <v>8420</v>
      </c>
      <c r="ADB41" s="20">
        <v>7380</v>
      </c>
      <c r="ADC41" s="20">
        <v>16480</v>
      </c>
      <c r="ADD41" s="20">
        <v>15580</v>
      </c>
      <c r="ADE41" s="20">
        <v>14626</v>
      </c>
      <c r="ADF41" s="20">
        <v>13682</v>
      </c>
      <c r="ADG41" s="20">
        <v>12828</v>
      </c>
      <c r="ADH41" s="20">
        <v>11877</v>
      </c>
      <c r="ADI41" s="127">
        <f t="shared" si="276"/>
        <v>297296</v>
      </c>
      <c r="ADJ41" s="20">
        <v>11047</v>
      </c>
      <c r="ADK41" s="20">
        <v>10055</v>
      </c>
      <c r="ADL41" s="20">
        <v>8925</v>
      </c>
      <c r="ADM41" s="20">
        <v>7911</v>
      </c>
      <c r="ADN41" s="20">
        <v>6821</v>
      </c>
      <c r="ADO41" s="20">
        <v>13658</v>
      </c>
      <c r="ADP41" s="20">
        <v>12850</v>
      </c>
      <c r="ADQ41" s="20">
        <v>12105</v>
      </c>
      <c r="ADR41" s="20">
        <v>11000</v>
      </c>
      <c r="ADS41" s="20">
        <v>10077</v>
      </c>
      <c r="ADT41" s="20">
        <v>9033</v>
      </c>
      <c r="ADU41" s="20">
        <v>8031</v>
      </c>
      <c r="ADV41" s="20">
        <v>6777</v>
      </c>
      <c r="ADW41" s="20">
        <v>6066</v>
      </c>
      <c r="ADX41" s="20">
        <v>4936</v>
      </c>
      <c r="ADY41" s="20">
        <v>11888</v>
      </c>
      <c r="ADZ41" s="20">
        <v>11000</v>
      </c>
      <c r="AEA41" s="20">
        <v>10044</v>
      </c>
      <c r="AEB41" s="20">
        <v>9235</v>
      </c>
      <c r="AEC41" s="20">
        <v>8084</v>
      </c>
      <c r="AED41" s="20">
        <v>7200</v>
      </c>
      <c r="AEE41" s="20">
        <v>6122</v>
      </c>
      <c r="AEF41" s="20">
        <v>5236</v>
      </c>
      <c r="AEG41" s="20">
        <v>4526</v>
      </c>
      <c r="AEH41" s="20">
        <v>3800</v>
      </c>
      <c r="AEI41" s="20">
        <v>10717</v>
      </c>
      <c r="AEJ41" s="20">
        <v>9623</v>
      </c>
      <c r="AEK41" s="20">
        <v>9022</v>
      </c>
      <c r="AEL41" s="20">
        <v>8337</v>
      </c>
      <c r="AEM41" s="20">
        <v>7200</v>
      </c>
      <c r="AEN41" s="127">
        <f t="shared" si="581"/>
        <v>261326</v>
      </c>
      <c r="AEO41" s="20">
        <v>6411</v>
      </c>
      <c r="AEP41" s="20">
        <v>5550</v>
      </c>
      <c r="AEQ41" s="20">
        <v>9800</v>
      </c>
      <c r="AER41" s="20">
        <v>8952</v>
      </c>
      <c r="AES41" s="20">
        <v>8126</v>
      </c>
      <c r="AET41" s="20">
        <v>7188</v>
      </c>
      <c r="AEU41" s="20">
        <v>6377</v>
      </c>
      <c r="AEV41" s="20">
        <v>5410</v>
      </c>
      <c r="AEW41" s="20">
        <v>4484</v>
      </c>
      <c r="AEX41" s="20">
        <v>3560</v>
      </c>
      <c r="AEY41" s="20">
        <v>10623</v>
      </c>
      <c r="AEZ41" s="20">
        <v>10033</v>
      </c>
      <c r="AFA41" s="20">
        <v>9189</v>
      </c>
      <c r="AFB41" s="20">
        <v>8510</v>
      </c>
      <c r="AFC41" s="20">
        <v>7576</v>
      </c>
      <c r="AFD41" s="20">
        <v>6733</v>
      </c>
      <c r="AFE41" s="20">
        <v>13717</v>
      </c>
      <c r="AFF41" s="20">
        <v>12588</v>
      </c>
      <c r="AFG41" s="20">
        <v>11640</v>
      </c>
      <c r="AFH41" s="20">
        <v>10647</v>
      </c>
      <c r="AFI41" s="20">
        <v>9866</v>
      </c>
      <c r="AFJ41" s="20">
        <v>9235</v>
      </c>
      <c r="AFK41" s="20">
        <v>8410</v>
      </c>
      <c r="AFL41" s="20">
        <v>7670</v>
      </c>
      <c r="AFM41" s="20">
        <v>6622</v>
      </c>
      <c r="AFN41" s="20">
        <v>5860</v>
      </c>
      <c r="AFO41" s="20">
        <v>5080</v>
      </c>
      <c r="AFP41" s="20">
        <v>4210</v>
      </c>
      <c r="AFQ41" s="20">
        <v>3418</v>
      </c>
      <c r="AFR41" s="20">
        <v>2582</v>
      </c>
      <c r="AFS41" s="20">
        <v>1876</v>
      </c>
      <c r="AFT41" s="127">
        <f t="shared" si="279"/>
        <v>231943</v>
      </c>
      <c r="AFU41" s="20">
        <v>14000</v>
      </c>
      <c r="AFV41" s="20">
        <v>13244</v>
      </c>
      <c r="AFW41" s="20">
        <v>12458</v>
      </c>
      <c r="AFX41" s="20">
        <v>11750</v>
      </c>
      <c r="AFY41" s="20">
        <v>10855</v>
      </c>
      <c r="AFZ41" s="20">
        <v>10188</v>
      </c>
      <c r="AGA41" s="20">
        <v>9364</v>
      </c>
      <c r="AGB41" s="20">
        <v>8600</v>
      </c>
      <c r="AGC41" s="20">
        <v>7866</v>
      </c>
      <c r="AGD41" s="20">
        <v>7111</v>
      </c>
      <c r="AGE41" s="20">
        <v>6244</v>
      </c>
      <c r="AGF41" s="20">
        <v>5400</v>
      </c>
      <c r="AGG41" s="20">
        <v>4700</v>
      </c>
      <c r="AGH41" s="20">
        <v>11855</v>
      </c>
      <c r="AGI41" s="20">
        <v>11129</v>
      </c>
      <c r="AGJ41" s="20">
        <v>10447</v>
      </c>
      <c r="AGK41" s="20">
        <v>9670</v>
      </c>
      <c r="AGL41" s="20">
        <v>8905</v>
      </c>
      <c r="AGM41" s="20">
        <v>8189</v>
      </c>
      <c r="AGN41" s="20">
        <v>7300</v>
      </c>
      <c r="AGO41" s="20">
        <v>6333</v>
      </c>
      <c r="AGP41" s="20">
        <v>5170</v>
      </c>
      <c r="AGQ41" s="20">
        <v>9166</v>
      </c>
      <c r="AGR41" s="20">
        <v>8450</v>
      </c>
      <c r="AGS41" s="20">
        <v>7717</v>
      </c>
      <c r="AGT41" s="20">
        <v>6810</v>
      </c>
      <c r="AGU41" s="20">
        <v>5970</v>
      </c>
      <c r="AGV41" s="20">
        <v>4926</v>
      </c>
      <c r="AGW41" s="20">
        <v>10800</v>
      </c>
      <c r="AGX41" s="20">
        <v>9933</v>
      </c>
      <c r="AGY41" s="127">
        <f t="shared" si="586"/>
        <v>264550</v>
      </c>
      <c r="AGZ41" s="20">
        <v>9100</v>
      </c>
      <c r="AHA41" s="20">
        <v>8189</v>
      </c>
      <c r="AHB41" s="20">
        <v>7100</v>
      </c>
      <c r="AHC41" s="20">
        <v>6233</v>
      </c>
      <c r="AHD41" s="20">
        <v>4810</v>
      </c>
      <c r="AHE41" s="20">
        <v>11933</v>
      </c>
      <c r="AHF41" s="20">
        <v>11058</v>
      </c>
      <c r="AHG41" s="20">
        <v>10237</v>
      </c>
      <c r="AHH41" s="20">
        <v>9166</v>
      </c>
      <c r="AHI41" s="20">
        <v>8350</v>
      </c>
      <c r="AHJ41" s="20">
        <v>15747</v>
      </c>
      <c r="AHK41" s="20">
        <v>14652</v>
      </c>
      <c r="AHL41" s="20">
        <v>13820</v>
      </c>
      <c r="AHM41" s="20">
        <v>13200</v>
      </c>
      <c r="AHN41" s="20">
        <v>12231</v>
      </c>
      <c r="AHO41" s="20">
        <v>11400</v>
      </c>
      <c r="AHP41" s="20">
        <v>10494</v>
      </c>
      <c r="AHQ41" s="20">
        <v>9523</v>
      </c>
      <c r="AHR41" s="20">
        <v>8611</v>
      </c>
      <c r="AHS41" s="20">
        <v>7877</v>
      </c>
      <c r="AHT41" s="20">
        <v>6915</v>
      </c>
      <c r="AHU41" s="20">
        <v>5940</v>
      </c>
      <c r="AHV41" s="20">
        <v>4873</v>
      </c>
      <c r="AHW41" s="20">
        <v>12035</v>
      </c>
      <c r="AHX41" s="20">
        <v>11466</v>
      </c>
      <c r="AHY41" s="20">
        <v>10866</v>
      </c>
      <c r="AHZ41" s="20">
        <v>10200</v>
      </c>
      <c r="AIA41" s="20">
        <v>9670</v>
      </c>
      <c r="AIB41" s="20">
        <v>9000</v>
      </c>
      <c r="AIC41" s="20">
        <v>8200</v>
      </c>
      <c r="AID41" s="20">
        <v>10258</v>
      </c>
      <c r="AIE41" s="127">
        <f t="shared" si="519"/>
        <v>303154</v>
      </c>
      <c r="AIF41" s="20">
        <v>9483</v>
      </c>
      <c r="AIG41" s="20">
        <v>8777</v>
      </c>
      <c r="AIH41" s="20">
        <v>7977</v>
      </c>
      <c r="AII41" s="20">
        <v>10305</v>
      </c>
      <c r="AIJ41" s="20">
        <v>9426</v>
      </c>
      <c r="AIK41" s="20">
        <v>8688</v>
      </c>
      <c r="AIL41" s="20">
        <v>7833</v>
      </c>
      <c r="AIM41" s="20">
        <v>6915</v>
      </c>
      <c r="AIN41" s="20">
        <v>5960</v>
      </c>
      <c r="AIO41" s="20">
        <v>4821</v>
      </c>
      <c r="AIP41" s="20">
        <v>4200</v>
      </c>
      <c r="AIQ41" s="20">
        <v>3533</v>
      </c>
      <c r="AIR41" s="20">
        <v>7833</v>
      </c>
      <c r="AIS41" s="20">
        <v>7162</v>
      </c>
      <c r="AIT41" s="20">
        <v>6852</v>
      </c>
      <c r="AIU41" s="20">
        <v>6500</v>
      </c>
      <c r="AIV41" s="20">
        <v>6144</v>
      </c>
      <c r="AIW41" s="20">
        <v>5658</v>
      </c>
      <c r="AIX41" s="20">
        <v>4968</v>
      </c>
      <c r="AIY41" s="20">
        <v>4242</v>
      </c>
      <c r="AIZ41" s="20">
        <v>3380</v>
      </c>
      <c r="AJA41" s="20">
        <v>2721</v>
      </c>
      <c r="AJB41" s="20">
        <v>12035</v>
      </c>
      <c r="AJC41" s="20">
        <v>11176</v>
      </c>
      <c r="AJD41" s="20">
        <v>10670</v>
      </c>
      <c r="AJE41" s="20">
        <v>10011</v>
      </c>
      <c r="AJF41" s="20">
        <v>9235</v>
      </c>
      <c r="AJG41" s="20">
        <v>8300</v>
      </c>
      <c r="AJH41" s="20">
        <v>7529</v>
      </c>
      <c r="AJI41" s="20">
        <v>13940</v>
      </c>
      <c r="AJJ41" s="20">
        <v>13105</v>
      </c>
      <c r="AJK41" s="127">
        <f t="shared" si="520"/>
        <v>239379</v>
      </c>
      <c r="AJL41" s="20">
        <v>12422</v>
      </c>
      <c r="AJM41" s="20">
        <v>11658</v>
      </c>
      <c r="AJN41" s="20">
        <v>10866</v>
      </c>
      <c r="AJO41" s="20">
        <v>10082</v>
      </c>
      <c r="AJP41" s="20">
        <v>9043</v>
      </c>
      <c r="AJQ41" s="20">
        <v>8372</v>
      </c>
      <c r="AJR41" s="20">
        <v>7705</v>
      </c>
      <c r="AJS41" s="20">
        <v>6688</v>
      </c>
      <c r="AJT41" s="20">
        <v>5764</v>
      </c>
      <c r="AJU41" s="20">
        <v>4968</v>
      </c>
      <c r="AJV41" s="20">
        <v>4123</v>
      </c>
      <c r="AJW41" s="20">
        <v>8084</v>
      </c>
      <c r="AJX41" s="20">
        <v>7144</v>
      </c>
      <c r="AJY41" s="20">
        <v>6366</v>
      </c>
      <c r="AJZ41" s="20">
        <v>5580</v>
      </c>
      <c r="AKA41" s="20">
        <v>4853</v>
      </c>
      <c r="AKB41" s="20">
        <v>4152</v>
      </c>
      <c r="AKC41" s="20">
        <v>3438</v>
      </c>
      <c r="AKD41" s="20">
        <v>10200</v>
      </c>
      <c r="AKE41" s="20">
        <v>9255</v>
      </c>
      <c r="AKF41" s="20">
        <v>8580</v>
      </c>
      <c r="AKG41" s="20">
        <v>7966</v>
      </c>
      <c r="AKH41" s="20">
        <v>7052</v>
      </c>
      <c r="AKI41" s="20">
        <v>6166</v>
      </c>
      <c r="AKJ41" s="20">
        <v>5281</v>
      </c>
      <c r="AKK41" s="20">
        <v>9600</v>
      </c>
      <c r="AKL41" s="20">
        <v>8800</v>
      </c>
      <c r="AKM41" s="20">
        <v>7866</v>
      </c>
      <c r="AKN41" s="127">
        <f t="shared" si="11"/>
        <v>212074</v>
      </c>
      <c r="AKO41" s="20">
        <v>7000</v>
      </c>
      <c r="AKP41" s="20">
        <v>6200</v>
      </c>
      <c r="AKQ41" s="20">
        <v>5380</v>
      </c>
      <c r="AKR41" s="20">
        <v>4778</v>
      </c>
      <c r="AKS41" s="20">
        <v>4019</v>
      </c>
      <c r="AKT41" s="20">
        <v>3314</v>
      </c>
      <c r="AKU41" s="20">
        <v>7844</v>
      </c>
      <c r="AKV41" s="20">
        <v>6978</v>
      </c>
      <c r="AKW41" s="20">
        <v>6200</v>
      </c>
      <c r="AKX41" s="20">
        <v>15510</v>
      </c>
      <c r="AKY41" s="20">
        <v>14739</v>
      </c>
      <c r="AKZ41" s="20">
        <v>14042</v>
      </c>
      <c r="ALA41" s="20">
        <v>13255</v>
      </c>
      <c r="ALB41" s="20">
        <v>12231</v>
      </c>
      <c r="ALC41" s="20">
        <v>11144</v>
      </c>
      <c r="ALD41" s="20">
        <v>10122</v>
      </c>
      <c r="ALE41" s="20">
        <v>9352</v>
      </c>
      <c r="ALF41" s="20">
        <v>8460</v>
      </c>
      <c r="ALG41" s="20">
        <v>12555</v>
      </c>
      <c r="ALH41" s="20">
        <v>11778</v>
      </c>
      <c r="ALI41" s="20">
        <v>10741</v>
      </c>
      <c r="ALJ41" s="20">
        <v>9600</v>
      </c>
      <c r="ALK41" s="20">
        <v>4484</v>
      </c>
      <c r="ALL41" s="20">
        <v>3657</v>
      </c>
      <c r="ALM41" s="20">
        <v>2756</v>
      </c>
      <c r="ALN41" s="20">
        <v>14031</v>
      </c>
      <c r="ALO41" s="20">
        <v>13055</v>
      </c>
      <c r="ALP41" s="20">
        <v>12252</v>
      </c>
      <c r="ALQ41" s="20">
        <v>11452</v>
      </c>
      <c r="ALR41" s="20">
        <v>10494</v>
      </c>
      <c r="ALS41" s="20">
        <v>9752</v>
      </c>
      <c r="ALT41" s="127">
        <f t="shared" si="12"/>
        <v>287175</v>
      </c>
      <c r="ALU41" s="20">
        <v>8766</v>
      </c>
      <c r="ALV41" s="20">
        <v>15430</v>
      </c>
      <c r="ALW41" s="20">
        <v>14545</v>
      </c>
      <c r="ALX41" s="20">
        <v>13577</v>
      </c>
      <c r="ALY41" s="20">
        <v>13177</v>
      </c>
      <c r="ALZ41" s="20">
        <v>12488</v>
      </c>
      <c r="AMA41" s="20">
        <v>11660</v>
      </c>
      <c r="AMB41" s="20">
        <v>10800</v>
      </c>
      <c r="AMC41" s="20">
        <v>9922</v>
      </c>
      <c r="AMD41" s="20">
        <v>13970</v>
      </c>
      <c r="AME41" s="20">
        <v>12835</v>
      </c>
      <c r="AMF41" s="20">
        <v>11966</v>
      </c>
      <c r="AMG41" s="20">
        <v>11105</v>
      </c>
      <c r="AMH41" s="20">
        <v>10200</v>
      </c>
      <c r="AMI41" s="20">
        <v>9177</v>
      </c>
      <c r="AMJ41" s="20">
        <v>8000</v>
      </c>
      <c r="AMK41" s="20">
        <v>7188</v>
      </c>
      <c r="AML41" s="20">
        <v>6266</v>
      </c>
      <c r="AMM41" s="20">
        <v>5354</v>
      </c>
      <c r="AMN41" s="20">
        <v>4620</v>
      </c>
      <c r="AMO41" s="20">
        <v>11888</v>
      </c>
      <c r="AMP41" s="20">
        <v>10955</v>
      </c>
      <c r="AMQ41" s="20">
        <v>9977</v>
      </c>
      <c r="AMR41" s="20">
        <v>8917</v>
      </c>
      <c r="AMS41" s="20">
        <v>15788</v>
      </c>
      <c r="AMT41" s="20">
        <v>14840</v>
      </c>
      <c r="AMU41" s="20">
        <v>13800</v>
      </c>
      <c r="AMV41" s="20">
        <v>12745</v>
      </c>
      <c r="AMW41" s="20">
        <v>11768</v>
      </c>
      <c r="AMX41" s="20">
        <v>10966</v>
      </c>
      <c r="AMY41" s="127">
        <f t="shared" si="13"/>
        <v>332690</v>
      </c>
      <c r="AMZ41" s="20">
        <v>10247</v>
      </c>
      <c r="ANA41" s="20">
        <v>9542</v>
      </c>
      <c r="ANB41" s="20">
        <v>9155</v>
      </c>
      <c r="ANC41" s="20">
        <v>8504</v>
      </c>
      <c r="AND41" s="20">
        <v>8084</v>
      </c>
      <c r="ANE41" s="20">
        <v>12466</v>
      </c>
      <c r="ANF41" s="20">
        <v>12000</v>
      </c>
      <c r="ANG41" s="20">
        <v>11470</v>
      </c>
      <c r="ANH41" s="20">
        <v>10877</v>
      </c>
      <c r="ANI41" s="20">
        <v>10088</v>
      </c>
      <c r="ANJ41" s="20">
        <v>9419</v>
      </c>
      <c r="ANK41" s="20">
        <v>9055</v>
      </c>
      <c r="ANL41" s="20">
        <v>8430</v>
      </c>
      <c r="ANM41" s="20">
        <v>12814</v>
      </c>
      <c r="ANN41" s="20">
        <v>11968</v>
      </c>
      <c r="ANO41" s="20">
        <v>11262</v>
      </c>
      <c r="ANP41" s="20">
        <v>10729</v>
      </c>
      <c r="ANQ41" s="20">
        <v>10108</v>
      </c>
      <c r="ANR41" s="20">
        <v>9409</v>
      </c>
      <c r="ANS41" s="20">
        <v>8600</v>
      </c>
      <c r="ANT41" s="20">
        <v>8000</v>
      </c>
      <c r="ANU41" s="20">
        <v>11866</v>
      </c>
      <c r="ANV41" s="20">
        <v>11000</v>
      </c>
      <c r="ANW41" s="20">
        <v>10329</v>
      </c>
      <c r="ANX41" s="20">
        <v>9457</v>
      </c>
      <c r="ANY41" s="20">
        <v>8262</v>
      </c>
      <c r="ANZ41" s="20">
        <v>7487</v>
      </c>
      <c r="AOA41" s="20">
        <v>6711</v>
      </c>
      <c r="AOB41" s="20">
        <v>5530</v>
      </c>
      <c r="AOC41" s="20">
        <v>12577</v>
      </c>
    </row>
    <row r="42" spans="1:1069" x14ac:dyDescent="0.2">
      <c r="A42" s="160"/>
      <c r="B42" s="34" t="s">
        <v>1530</v>
      </c>
      <c r="C42" s="35">
        <f t="shared" ref="C42:AG42" si="670">C41-C40</f>
        <v>12.127999999998792</v>
      </c>
      <c r="D42" s="35">
        <f t="shared" si="670"/>
        <v>-9.7299999999995634</v>
      </c>
      <c r="E42" s="35">
        <f t="shared" si="670"/>
        <v>16.2450000000008</v>
      </c>
      <c r="F42" s="35">
        <f t="shared" si="670"/>
        <v>-10.372999999999593</v>
      </c>
      <c r="G42" s="35">
        <f t="shared" si="670"/>
        <v>-5.7370000000319124</v>
      </c>
      <c r="H42" s="35">
        <f t="shared" si="670"/>
        <v>10.438000000032844</v>
      </c>
      <c r="I42" s="35">
        <f t="shared" si="670"/>
        <v>-8.3940000000002328</v>
      </c>
      <c r="J42" s="35">
        <f t="shared" si="670"/>
        <v>-14.543000000007851</v>
      </c>
      <c r="K42" s="35">
        <f t="shared" si="670"/>
        <v>-0.36699999996653787</v>
      </c>
      <c r="L42" s="35">
        <f t="shared" si="670"/>
        <v>34.771999999997206</v>
      </c>
      <c r="M42" s="35">
        <f t="shared" si="670"/>
        <v>23.048999999969965</v>
      </c>
      <c r="N42" s="35">
        <f t="shared" si="670"/>
        <v>-3.125999999960186</v>
      </c>
      <c r="O42" s="35">
        <f t="shared" si="670"/>
        <v>-39.578000000037719</v>
      </c>
      <c r="P42" s="35">
        <f t="shared" si="670"/>
        <v>49.460999999981141</v>
      </c>
      <c r="Q42" s="35">
        <f t="shared" si="670"/>
        <v>-20.707999999984168</v>
      </c>
      <c r="R42" s="35">
        <f t="shared" si="670"/>
        <v>84.907000000064727</v>
      </c>
      <c r="S42" s="35">
        <f t="shared" si="670"/>
        <v>-41.744000000064261</v>
      </c>
      <c r="T42" s="35">
        <f t="shared" si="670"/>
        <v>-10.364000000001397</v>
      </c>
      <c r="U42" s="35">
        <f t="shared" si="670"/>
        <v>-34.666999999957625</v>
      </c>
      <c r="V42" s="35">
        <f t="shared" si="670"/>
        <v>24.580999999918276</v>
      </c>
      <c r="W42" s="35">
        <f t="shared" si="670"/>
        <v>21.205000000045402</v>
      </c>
      <c r="X42" s="35">
        <f t="shared" si="670"/>
        <v>-35.818999999988591</v>
      </c>
      <c r="Y42" s="35">
        <f t="shared" si="670"/>
        <v>32.383000000030734</v>
      </c>
      <c r="Z42" s="35">
        <f t="shared" si="670"/>
        <v>-36.169000000081724</v>
      </c>
      <c r="AA42" s="35">
        <f t="shared" si="670"/>
        <v>32.600000000064028</v>
      </c>
      <c r="AB42" s="35">
        <f t="shared" si="670"/>
        <v>-54.965000000025611</v>
      </c>
      <c r="AC42" s="35">
        <f t="shared" si="670"/>
        <v>-3.2449999999662396</v>
      </c>
      <c r="AD42" s="35">
        <f t="shared" si="670"/>
        <v>51.880999999964843</v>
      </c>
      <c r="AE42" s="35">
        <f t="shared" si="670"/>
        <v>-28.364000000030501</v>
      </c>
      <c r="AF42" s="35">
        <f t="shared" si="670"/>
        <v>19.685000000084983</v>
      </c>
      <c r="AG42" s="35">
        <f t="shared" si="670"/>
        <v>15.349999999976717</v>
      </c>
      <c r="AH42" s="94">
        <f t="shared" si="523"/>
        <v>70.792000000026746</v>
      </c>
      <c r="AI42" s="35">
        <f t="shared" ref="AI42:BL42" si="671">AI41-AI40</f>
        <v>-22.216000000044005</v>
      </c>
      <c r="AJ42" s="35">
        <f t="shared" si="671"/>
        <v>3.4130000000004657</v>
      </c>
      <c r="AK42" s="35">
        <f t="shared" si="671"/>
        <v>-12.59599999996135</v>
      </c>
      <c r="AL42" s="35">
        <f t="shared" si="671"/>
        <v>14.209999999991851</v>
      </c>
      <c r="AM42" s="35">
        <f t="shared" si="671"/>
        <v>26.080999999976484</v>
      </c>
      <c r="AN42" s="35">
        <f t="shared" si="671"/>
        <v>-3.2849999999743886</v>
      </c>
      <c r="AO42" s="35">
        <f t="shared" si="671"/>
        <v>-13.716999999975087</v>
      </c>
      <c r="AP42" s="35">
        <f t="shared" si="671"/>
        <v>-2.7070000000239816</v>
      </c>
      <c r="AQ42" s="35">
        <f t="shared" si="671"/>
        <v>-68.143999999971129</v>
      </c>
      <c r="AR42" s="35">
        <f t="shared" si="671"/>
        <v>-78.821000000054482</v>
      </c>
      <c r="AS42" s="35">
        <f t="shared" si="671"/>
        <v>-36.215999999985797</v>
      </c>
      <c r="AT42" s="35">
        <f t="shared" si="671"/>
        <v>7.8680000000167638</v>
      </c>
      <c r="AU42" s="35">
        <f t="shared" si="671"/>
        <v>-18.407999999995809</v>
      </c>
      <c r="AV42" s="35">
        <f t="shared" si="671"/>
        <v>26.042999999976018</v>
      </c>
      <c r="AW42" s="35">
        <f t="shared" si="671"/>
        <v>26.211000000010245</v>
      </c>
      <c r="AX42" s="35">
        <f t="shared" si="671"/>
        <v>-22.74399999997695</v>
      </c>
      <c r="AY42" s="35">
        <f t="shared" si="671"/>
        <v>-81.106000000057975</v>
      </c>
      <c r="AZ42" s="35">
        <f t="shared" si="671"/>
        <v>90.175999999983105</v>
      </c>
      <c r="BA42" s="35">
        <f t="shared" si="671"/>
        <v>-31.076999999991131</v>
      </c>
      <c r="BB42" s="35">
        <f t="shared" si="671"/>
        <v>25.608000000036554</v>
      </c>
      <c r="BC42" s="35">
        <f t="shared" si="671"/>
        <v>-6.9099999999743886</v>
      </c>
      <c r="BD42" s="35">
        <f t="shared" si="671"/>
        <v>53.796000000002095</v>
      </c>
      <c r="BE42" s="35">
        <f t="shared" si="671"/>
        <v>-26.63200000001234</v>
      </c>
      <c r="BF42" s="35">
        <f t="shared" si="671"/>
        <v>17.270999999978812</v>
      </c>
      <c r="BG42" s="35">
        <f t="shared" si="671"/>
        <v>-7.2569999999832362</v>
      </c>
      <c r="BH42" s="35">
        <f t="shared" si="671"/>
        <v>-0.6150000000197906</v>
      </c>
      <c r="BI42" s="35">
        <f t="shared" si="671"/>
        <v>20.422000000020489</v>
      </c>
      <c r="BJ42" s="35">
        <f t="shared" si="671"/>
        <v>-22.310999999957858</v>
      </c>
      <c r="BK42" s="35">
        <f t="shared" si="671"/>
        <v>-2.6110000000626314</v>
      </c>
      <c r="BL42" s="35">
        <f t="shared" si="671"/>
        <v>45.794000000023516</v>
      </c>
      <c r="BM42" s="97">
        <f t="shared" si="527"/>
        <v>-100.48000000000593</v>
      </c>
      <c r="BN42" s="35">
        <f t="shared" ref="BN42:CR42" si="672">BN41-BN40</f>
        <v>14.801999999996042</v>
      </c>
      <c r="BO42" s="35">
        <f t="shared" si="672"/>
        <v>-7.7180000000225846</v>
      </c>
      <c r="BP42" s="35">
        <f t="shared" si="672"/>
        <v>24.830000000045402</v>
      </c>
      <c r="BQ42" s="35">
        <f t="shared" si="672"/>
        <v>-13.674999999988358</v>
      </c>
      <c r="BR42" s="35">
        <f t="shared" si="672"/>
        <v>38.606999999930849</v>
      </c>
      <c r="BS42" s="35">
        <f t="shared" si="672"/>
        <v>-16.664999999949941</v>
      </c>
      <c r="BT42" s="35">
        <f t="shared" si="672"/>
        <v>-7.054000000061933</v>
      </c>
      <c r="BU42" s="35">
        <f t="shared" si="672"/>
        <v>10.865000000077998</v>
      </c>
      <c r="BV42" s="35">
        <f t="shared" si="672"/>
        <v>-0.76800000009825453</v>
      </c>
      <c r="BW42" s="35">
        <f t="shared" si="672"/>
        <v>-2.7229999999108259</v>
      </c>
      <c r="BX42" s="35">
        <f t="shared" si="672"/>
        <v>34.627000000007683</v>
      </c>
      <c r="BY42" s="35">
        <f t="shared" si="672"/>
        <v>-25.923000000009779</v>
      </c>
      <c r="BZ42" s="35">
        <f t="shared" si="672"/>
        <v>-7.0960000000195578</v>
      </c>
      <c r="CA42" s="35">
        <f t="shared" si="672"/>
        <v>-58.441999999980908</v>
      </c>
      <c r="CB42" s="35">
        <f t="shared" si="672"/>
        <v>-20.505000000004657</v>
      </c>
      <c r="CC42" s="35">
        <f t="shared" si="672"/>
        <v>33.766999999992549</v>
      </c>
      <c r="CD42" s="35">
        <f t="shared" si="672"/>
        <v>-18.926999999996042</v>
      </c>
      <c r="CE42" s="35">
        <f t="shared" si="672"/>
        <v>72.396999999938998</v>
      </c>
      <c r="CF42" s="35">
        <f t="shared" si="672"/>
        <v>29.384000000020023</v>
      </c>
      <c r="CG42" s="35">
        <f t="shared" si="672"/>
        <v>22.807000000058906</v>
      </c>
      <c r="CH42" s="35">
        <f t="shared" si="672"/>
        <v>-67.138999999995576</v>
      </c>
      <c r="CI42" s="35">
        <f t="shared" si="672"/>
        <v>12.982999999978347</v>
      </c>
      <c r="CJ42" s="35">
        <f t="shared" si="672"/>
        <v>32.884999999951106</v>
      </c>
      <c r="CK42" s="35">
        <f t="shared" si="672"/>
        <v>-16.313999999954831</v>
      </c>
      <c r="CL42" s="35">
        <f t="shared" si="672"/>
        <v>73.496999999944819</v>
      </c>
      <c r="CM42" s="35">
        <f t="shared" si="672"/>
        <v>52.539000000047963</v>
      </c>
      <c r="CN42" s="35">
        <f t="shared" si="672"/>
        <v>6.658999999955995</v>
      </c>
      <c r="CO42" s="35">
        <f t="shared" si="672"/>
        <v>-60.694000000017695</v>
      </c>
      <c r="CP42" s="35">
        <f t="shared" si="672"/>
        <v>64.573000000062166</v>
      </c>
      <c r="CQ42" s="35">
        <f t="shared" si="672"/>
        <v>-19.185000000026776</v>
      </c>
      <c r="CR42" s="35">
        <f t="shared" si="672"/>
        <v>0.21300000004703179</v>
      </c>
      <c r="CS42" s="111">
        <f t="shared" si="208"/>
        <v>182.60700000001816</v>
      </c>
      <c r="CT42" s="35">
        <f t="shared" ref="CT42:DW42" si="673">CT41-CT40</f>
        <v>-27.965000000083819</v>
      </c>
      <c r="CU42" s="35">
        <f t="shared" si="673"/>
        <v>95.084000000060769</v>
      </c>
      <c r="CV42" s="35">
        <f t="shared" si="673"/>
        <v>-61.969000000011874</v>
      </c>
      <c r="CW42" s="35">
        <f t="shared" si="673"/>
        <v>-7.2930000000051223</v>
      </c>
      <c r="CX42" s="35">
        <f t="shared" si="673"/>
        <v>-16.826999999990221</v>
      </c>
      <c r="CY42" s="35">
        <f t="shared" si="673"/>
        <v>26.732999999978347</v>
      </c>
      <c r="CZ42" s="35">
        <f t="shared" si="673"/>
        <v>-72.85599999994156</v>
      </c>
      <c r="DA42" s="35">
        <f t="shared" si="673"/>
        <v>7.2010000000300352</v>
      </c>
      <c r="DB42" s="35">
        <f t="shared" si="673"/>
        <v>42.184999999939464</v>
      </c>
      <c r="DC42" s="35">
        <f t="shared" si="673"/>
        <v>-40.002000000007683</v>
      </c>
      <c r="DD42" s="35">
        <f t="shared" si="673"/>
        <v>14.52200000002631</v>
      </c>
      <c r="DE42" s="35">
        <f t="shared" si="673"/>
        <v>-0.56900000007590279</v>
      </c>
      <c r="DF42" s="35">
        <f t="shared" si="673"/>
        <v>25.41200000004028</v>
      </c>
      <c r="DG42" s="35">
        <f t="shared" si="673"/>
        <v>-23.651000000007116</v>
      </c>
      <c r="DH42" s="35">
        <f t="shared" si="673"/>
        <v>80.425999999977648</v>
      </c>
      <c r="DI42" s="35">
        <f t="shared" si="673"/>
        <v>-82.57399999993504</v>
      </c>
      <c r="DJ42" s="35">
        <f t="shared" si="673"/>
        <v>106.35499999998137</v>
      </c>
      <c r="DK42" s="35">
        <f t="shared" si="673"/>
        <v>30.605000000010477</v>
      </c>
      <c r="DL42" s="35">
        <f t="shared" si="673"/>
        <v>-57.937999999994645</v>
      </c>
      <c r="DM42" s="35">
        <f t="shared" si="673"/>
        <v>-34.010000000038417</v>
      </c>
      <c r="DN42" s="35">
        <f t="shared" si="673"/>
        <v>26.570999999996275</v>
      </c>
      <c r="DO42" s="35">
        <f t="shared" si="673"/>
        <v>-10.215000000025611</v>
      </c>
      <c r="DP42" s="35">
        <f t="shared" si="673"/>
        <v>-9.7499999999708962</v>
      </c>
      <c r="DQ42" s="35">
        <f t="shared" si="673"/>
        <v>7.1220000000030268</v>
      </c>
      <c r="DR42" s="35">
        <f t="shared" si="673"/>
        <v>89.0350000000617</v>
      </c>
      <c r="DS42" s="35">
        <f t="shared" si="673"/>
        <v>-41.967000000033295</v>
      </c>
      <c r="DT42" s="35">
        <f t="shared" si="673"/>
        <v>22.267999999952735</v>
      </c>
      <c r="DU42" s="35">
        <f t="shared" si="673"/>
        <v>-7.9530000000086147</v>
      </c>
      <c r="DV42" s="35">
        <f t="shared" si="673"/>
        <v>-16.60999999998603</v>
      </c>
      <c r="DW42" s="35">
        <f t="shared" si="673"/>
        <v>47.576000000000931</v>
      </c>
      <c r="DX42" s="119">
        <f>SUM(CT42:DW42)</f>
        <v>108.94599999994352</v>
      </c>
      <c r="DY42" s="35">
        <f t="shared" ref="DY42:FC42" si="674">DY41-DY40</f>
        <v>-18.856999999989057</v>
      </c>
      <c r="DZ42" s="35">
        <f t="shared" si="674"/>
        <v>-14.711000000039348</v>
      </c>
      <c r="EA42" s="35">
        <f t="shared" si="674"/>
        <v>-16.402999999962049</v>
      </c>
      <c r="EB42" s="35">
        <f t="shared" si="674"/>
        <v>49.073999999993248</v>
      </c>
      <c r="EC42" s="35">
        <f t="shared" si="674"/>
        <v>-4.6000000031199306E-2</v>
      </c>
      <c r="ED42" s="35">
        <f t="shared" si="674"/>
        <v>-26.935999999957858</v>
      </c>
      <c r="EE42" s="35">
        <f t="shared" si="674"/>
        <v>-30.879000000044471</v>
      </c>
      <c r="EF42" s="35">
        <f t="shared" si="674"/>
        <v>15.564000000071246</v>
      </c>
      <c r="EG42" s="35">
        <f t="shared" si="674"/>
        <v>-21.943000000028405</v>
      </c>
      <c r="EH42" s="35">
        <f t="shared" si="674"/>
        <v>-8.0339999999850988</v>
      </c>
      <c r="EI42" s="35">
        <f t="shared" si="674"/>
        <v>29.660000000003492</v>
      </c>
      <c r="EJ42" s="35">
        <f t="shared" si="674"/>
        <v>13.800999999977648</v>
      </c>
      <c r="EK42" s="35">
        <f t="shared" si="674"/>
        <v>-17.77699999995184</v>
      </c>
      <c r="EL42" s="35">
        <f t="shared" si="674"/>
        <v>-103.67600000006496</v>
      </c>
      <c r="EM42" s="35">
        <f t="shared" si="674"/>
        <v>18.607000000047265</v>
      </c>
      <c r="EN42" s="35">
        <f t="shared" si="674"/>
        <v>-15.502000000036787</v>
      </c>
      <c r="EO42" s="35">
        <f t="shared" si="674"/>
        <v>28.170999999972992</v>
      </c>
      <c r="EP42" s="35">
        <f t="shared" si="674"/>
        <v>1.6440000000293367</v>
      </c>
      <c r="EQ42" s="35">
        <f t="shared" si="674"/>
        <v>-11.092999999993481</v>
      </c>
      <c r="ER42" s="35">
        <f t="shared" si="674"/>
        <v>122.24200000002747</v>
      </c>
      <c r="ES42" s="35">
        <f t="shared" si="674"/>
        <v>-68.230000000010477</v>
      </c>
      <c r="ET42" s="35">
        <f t="shared" si="674"/>
        <v>6.0010000000183936</v>
      </c>
      <c r="EU42" s="35">
        <f t="shared" si="674"/>
        <v>-11.410000000032596</v>
      </c>
      <c r="EV42" s="35">
        <f t="shared" si="674"/>
        <v>-11.085000000050059</v>
      </c>
      <c r="EW42" s="35">
        <f t="shared" si="674"/>
        <v>2.4600000000500586</v>
      </c>
      <c r="EX42" s="35">
        <f t="shared" si="674"/>
        <v>19.982000000047265</v>
      </c>
      <c r="EY42" s="35">
        <f t="shared" si="674"/>
        <v>-4.4900000000488944</v>
      </c>
      <c r="EZ42" s="35">
        <f t="shared" si="674"/>
        <v>-11.672999999980675</v>
      </c>
      <c r="FA42" s="35">
        <f t="shared" si="674"/>
        <v>-46.152000000001863</v>
      </c>
      <c r="FB42" s="35">
        <f t="shared" si="674"/>
        <v>34.476000000053318</v>
      </c>
      <c r="FC42" s="35">
        <f t="shared" si="674"/>
        <v>-1.465000000083819</v>
      </c>
      <c r="FD42" s="128">
        <f>SUM(DY42:FC42)</f>
        <v>-98.680000000001201</v>
      </c>
      <c r="FE42" s="35">
        <f t="shared" ref="FE42:GI42" si="675">FE41-FE40</f>
        <v>-27.505999999935739</v>
      </c>
      <c r="FF42" s="35">
        <f t="shared" si="675"/>
        <v>31.62400000001071</v>
      </c>
      <c r="FG42" s="35">
        <f t="shared" si="675"/>
        <v>-51.41900000005262</v>
      </c>
      <c r="FH42" s="35">
        <f t="shared" si="675"/>
        <v>8.9849999999569263</v>
      </c>
      <c r="FI42" s="35">
        <f t="shared" si="675"/>
        <v>10.375000000058208</v>
      </c>
      <c r="FJ42" s="35">
        <f t="shared" si="675"/>
        <v>-15.425000000017462</v>
      </c>
      <c r="FK42" s="35">
        <f t="shared" si="675"/>
        <v>-6.8409999999566935</v>
      </c>
      <c r="FL42" s="35">
        <f t="shared" si="675"/>
        <v>45.034999999916181</v>
      </c>
      <c r="FM42" s="35">
        <f t="shared" si="675"/>
        <v>-28.900999999954365</v>
      </c>
      <c r="FN42" s="35">
        <f t="shared" si="675"/>
        <v>3.3329999999841675</v>
      </c>
      <c r="FO42" s="35">
        <f t="shared" si="675"/>
        <v>-7.2909999999392312</v>
      </c>
      <c r="FP42" s="35">
        <f t="shared" si="675"/>
        <v>-27.297000000078697</v>
      </c>
      <c r="FQ42" s="35">
        <f t="shared" si="675"/>
        <v>-4.2789999999222346</v>
      </c>
      <c r="FR42" s="35">
        <f t="shared" si="675"/>
        <v>0.94399999995948747</v>
      </c>
      <c r="FS42" s="35">
        <f t="shared" si="675"/>
        <v>15.333000000042375</v>
      </c>
      <c r="FT42" s="35">
        <f t="shared" si="675"/>
        <v>-4.4640000000945292</v>
      </c>
      <c r="FU42" s="35">
        <f t="shared" si="675"/>
        <v>-10.237999999895692</v>
      </c>
      <c r="FV42" s="35">
        <f t="shared" si="675"/>
        <v>-73.253000000084285</v>
      </c>
      <c r="FW42" s="35">
        <f t="shared" si="675"/>
        <v>-11.286999999952968</v>
      </c>
      <c r="FX42" s="35">
        <f t="shared" si="675"/>
        <v>6.7689999999420252</v>
      </c>
      <c r="FY42" s="35">
        <f t="shared" si="675"/>
        <v>7.4790000000502914</v>
      </c>
      <c r="FZ42" s="35">
        <f t="shared" si="675"/>
        <v>15.581999999965774</v>
      </c>
      <c r="GA42" s="35">
        <f t="shared" si="675"/>
        <v>-9.4909999999799766</v>
      </c>
      <c r="GB42" s="35">
        <f t="shared" si="675"/>
        <v>-15.334000000031665</v>
      </c>
      <c r="GC42" s="35">
        <f t="shared" si="675"/>
        <v>18.845000000088476</v>
      </c>
      <c r="GD42" s="35">
        <f t="shared" si="675"/>
        <v>-6.4490000000223517</v>
      </c>
      <c r="GE42" s="35">
        <f t="shared" si="675"/>
        <v>-10.913000000000466</v>
      </c>
      <c r="GF42" s="35">
        <f t="shared" si="675"/>
        <v>31.569999999977881</v>
      </c>
      <c r="GG42" s="35">
        <f t="shared" si="675"/>
        <v>-10.323999999993248</v>
      </c>
      <c r="GH42" s="35">
        <f t="shared" si="675"/>
        <v>-1.4190000000235159</v>
      </c>
      <c r="GI42" s="35">
        <f t="shared" si="675"/>
        <v>-13.347999999998137</v>
      </c>
      <c r="GJ42" s="127">
        <f t="shared" si="99"/>
        <v>-139.60499999998137</v>
      </c>
      <c r="GK42" s="35">
        <f t="shared" ref="GK42:HM42" si="676">GK41-GK40</f>
        <v>9.7020000000193249</v>
      </c>
      <c r="GL42" s="35">
        <f t="shared" si="676"/>
        <v>-2.2059999999764841</v>
      </c>
      <c r="GM42" s="35">
        <f t="shared" si="676"/>
        <v>-45.364000000030501</v>
      </c>
      <c r="GN42" s="35">
        <f t="shared" si="676"/>
        <v>32.853999999992084</v>
      </c>
      <c r="GO42" s="35">
        <f t="shared" si="676"/>
        <v>-10.909999999945285</v>
      </c>
      <c r="GP42" s="35">
        <f t="shared" si="676"/>
        <v>-99.915000000037253</v>
      </c>
      <c r="GQ42" s="35">
        <f t="shared" si="676"/>
        <v>18.792999999976018</v>
      </c>
      <c r="GR42" s="35">
        <f t="shared" si="676"/>
        <v>40.536000000021886</v>
      </c>
      <c r="GS42" s="35">
        <f t="shared" si="676"/>
        <v>-36.276000000012573</v>
      </c>
      <c r="GT42" s="35">
        <f t="shared" si="676"/>
        <v>1.6760000000067521</v>
      </c>
      <c r="GU42" s="35">
        <f t="shared" si="676"/>
        <v>7.7019999999902211</v>
      </c>
      <c r="GV42" s="35">
        <f t="shared" si="676"/>
        <v>12.908999999955995</v>
      </c>
      <c r="GW42" s="35">
        <f t="shared" si="676"/>
        <v>-5.6269999999785796</v>
      </c>
      <c r="GX42" s="35">
        <f t="shared" si="676"/>
        <v>-56.705000000016298</v>
      </c>
      <c r="GY42" s="35">
        <f t="shared" si="676"/>
        <v>1.8210000000544824</v>
      </c>
      <c r="GZ42" s="35">
        <f t="shared" si="676"/>
        <v>-24.724000000045635</v>
      </c>
      <c r="HA42" s="35">
        <f t="shared" si="676"/>
        <v>15.739000000059605</v>
      </c>
      <c r="HB42" s="35">
        <f t="shared" si="676"/>
        <v>7.5380000000004657</v>
      </c>
      <c r="HC42" s="35">
        <f t="shared" si="676"/>
        <v>-12.847999999998137</v>
      </c>
      <c r="HD42" s="35">
        <f t="shared" si="676"/>
        <v>13.294999999983702</v>
      </c>
      <c r="HE42" s="35">
        <f t="shared" si="676"/>
        <v>-0.20099999997182749</v>
      </c>
      <c r="HF42" s="35">
        <f t="shared" si="676"/>
        <v>-27.967000000062399</v>
      </c>
      <c r="HG42" s="35">
        <f t="shared" si="676"/>
        <v>15.489000000030501</v>
      </c>
      <c r="HH42" s="35">
        <f t="shared" si="676"/>
        <v>-27.795000000012806</v>
      </c>
      <c r="HI42" s="35">
        <f t="shared" si="676"/>
        <v>-7.8129999999655411</v>
      </c>
      <c r="HJ42" s="35">
        <f t="shared" si="676"/>
        <v>45.708999999973457</v>
      </c>
      <c r="HK42" s="35">
        <f t="shared" si="676"/>
        <v>-3.5700000000360887</v>
      </c>
      <c r="HL42" s="35">
        <f t="shared" si="676"/>
        <v>66.429000000032829</v>
      </c>
      <c r="HM42" s="35">
        <f t="shared" si="676"/>
        <v>-78.445000000065193</v>
      </c>
      <c r="HN42" s="127">
        <f t="shared" si="253"/>
        <v>-150.17400000005728</v>
      </c>
      <c r="HO42" s="35">
        <f t="shared" ref="HO42:IS42" si="677">HO41-HO40</f>
        <v>15.204000000085216</v>
      </c>
      <c r="HP42" s="35">
        <f t="shared" si="677"/>
        <v>30.225999999966007</v>
      </c>
      <c r="HQ42" s="35">
        <f t="shared" si="677"/>
        <v>18.935999999986961</v>
      </c>
      <c r="HR42" s="35">
        <f t="shared" si="677"/>
        <v>-49.412999999942258</v>
      </c>
      <c r="HS42" s="35">
        <f t="shared" si="677"/>
        <v>21.497999999934109</v>
      </c>
      <c r="HT42" s="35">
        <f t="shared" si="677"/>
        <v>13.339000000065425</v>
      </c>
      <c r="HU42" s="35">
        <f t="shared" si="677"/>
        <v>-3.4830000000365544</v>
      </c>
      <c r="HV42" s="35">
        <f t="shared" si="677"/>
        <v>-19.195000000006985</v>
      </c>
      <c r="HW42" s="35">
        <f t="shared" si="677"/>
        <v>-29.563000000052853</v>
      </c>
      <c r="HX42" s="35">
        <f t="shared" si="677"/>
        <v>13.063000000081956</v>
      </c>
      <c r="HY42" s="35">
        <f t="shared" si="677"/>
        <v>-11.768000000040047</v>
      </c>
      <c r="HZ42" s="35">
        <f t="shared" si="677"/>
        <v>27.627999999967869</v>
      </c>
      <c r="IA42" s="35">
        <f t="shared" si="677"/>
        <v>-9.3469999999506399</v>
      </c>
      <c r="IB42" s="35">
        <f t="shared" si="677"/>
        <v>24.803000000014435</v>
      </c>
      <c r="IC42" s="35">
        <f t="shared" si="677"/>
        <v>-2.5360000000509899</v>
      </c>
      <c r="ID42" s="35">
        <f t="shared" si="677"/>
        <v>10.599000000045635</v>
      </c>
      <c r="IE42" s="35">
        <f t="shared" si="677"/>
        <v>46.025000000052387</v>
      </c>
      <c r="IF42" s="35">
        <f t="shared" si="677"/>
        <v>-24.783000000054017</v>
      </c>
      <c r="IG42" s="35">
        <f t="shared" si="677"/>
        <v>-1.1199999999953434</v>
      </c>
      <c r="IH42" s="35">
        <f t="shared" si="677"/>
        <v>11.50199999997858</v>
      </c>
      <c r="II42" s="35">
        <f t="shared" si="677"/>
        <v>-18.46599999992759</v>
      </c>
      <c r="IJ42" s="35">
        <f t="shared" si="677"/>
        <v>1.3550000000104774</v>
      </c>
      <c r="IK42" s="35">
        <f t="shared" si="677"/>
        <v>17.132999999943422</v>
      </c>
      <c r="IL42" s="35">
        <f t="shared" si="677"/>
        <v>-15.627000000036787</v>
      </c>
      <c r="IM42" s="35">
        <f t="shared" si="677"/>
        <v>-5.4709999999904539</v>
      </c>
      <c r="IN42" s="35">
        <f t="shared" si="677"/>
        <v>15.021999999997206</v>
      </c>
      <c r="IO42" s="35">
        <f t="shared" si="677"/>
        <v>52.596000000048662</v>
      </c>
      <c r="IP42" s="35">
        <f t="shared" si="677"/>
        <v>-17.5760000000937</v>
      </c>
      <c r="IQ42" s="35">
        <f t="shared" si="677"/>
        <v>-1.1169999999401625</v>
      </c>
      <c r="IR42" s="35">
        <f t="shared" si="677"/>
        <v>-4.3990000000048894</v>
      </c>
      <c r="IS42" s="35">
        <f t="shared" si="677"/>
        <v>-11.889999999955762</v>
      </c>
      <c r="IT42" s="127">
        <f t="shared" si="22"/>
        <v>93.175000000099317</v>
      </c>
      <c r="IU42" s="35">
        <f t="shared" ref="IU42:JX42" si="678">IU41-IU40</f>
        <v>16.765999999915948</v>
      </c>
      <c r="IV42" s="35">
        <f t="shared" si="678"/>
        <v>2.3960000000661239</v>
      </c>
      <c r="IW42" s="35">
        <f t="shared" si="678"/>
        <v>-7.1350000000093132</v>
      </c>
      <c r="IX42" s="35">
        <f t="shared" si="678"/>
        <v>9.529999999969732</v>
      </c>
      <c r="IY42" s="35">
        <f t="shared" si="678"/>
        <v>-41.932999999989988</v>
      </c>
      <c r="IZ42" s="35">
        <f t="shared" si="678"/>
        <v>44.692000000010012</v>
      </c>
      <c r="JA42" s="35">
        <f t="shared" si="678"/>
        <v>-32.165999999968335</v>
      </c>
      <c r="JB42" s="35">
        <f t="shared" si="678"/>
        <v>6.2740000000012515</v>
      </c>
      <c r="JC42" s="35">
        <f t="shared" si="678"/>
        <v>-45.555000000080327</v>
      </c>
      <c r="JD42" s="35">
        <f t="shared" si="678"/>
        <v>-4.6409999999741558</v>
      </c>
      <c r="JE42" s="35">
        <f t="shared" si="678"/>
        <v>27.283000000024913</v>
      </c>
      <c r="JF42" s="35">
        <f t="shared" si="678"/>
        <v>23.358000000036554</v>
      </c>
      <c r="JG42" s="35">
        <f t="shared" si="678"/>
        <v>-2.5780000000086147</v>
      </c>
      <c r="JH42" s="35">
        <f t="shared" si="678"/>
        <v>-65.562999999965541</v>
      </c>
      <c r="JI42" s="35">
        <f t="shared" si="678"/>
        <v>69.697999999974854</v>
      </c>
      <c r="JJ42" s="35">
        <f t="shared" si="678"/>
        <v>32.519999999873107</v>
      </c>
      <c r="JK42" s="35">
        <f t="shared" si="678"/>
        <v>-1.2759999998379499</v>
      </c>
      <c r="JL42" s="35">
        <f t="shared" si="678"/>
        <v>-7.6100000000733417</v>
      </c>
      <c r="JM42" s="35">
        <f t="shared" si="678"/>
        <v>-23.615000000019791</v>
      </c>
      <c r="JN42" s="35">
        <f t="shared" si="678"/>
        <v>20.89400000005844</v>
      </c>
      <c r="JO42" s="35">
        <f t="shared" si="678"/>
        <v>8.8219999999564607</v>
      </c>
      <c r="JP42" s="35">
        <f t="shared" si="678"/>
        <v>5.0410000000556465</v>
      </c>
      <c r="JQ42" s="35">
        <f t="shared" si="678"/>
        <v>13.341999999975087</v>
      </c>
      <c r="JR42" s="35">
        <f t="shared" si="678"/>
        <v>26.586999999999534</v>
      </c>
      <c r="JS42" s="35">
        <f t="shared" si="678"/>
        <v>-16.380000000121072</v>
      </c>
      <c r="JT42" s="35">
        <f t="shared" si="678"/>
        <v>-5.0599999999685679</v>
      </c>
      <c r="JU42" s="35">
        <f t="shared" si="678"/>
        <v>59.820000000094296</v>
      </c>
      <c r="JV42" s="35">
        <f t="shared" si="678"/>
        <v>11.979999999894062</v>
      </c>
      <c r="JW42" s="35">
        <f t="shared" si="678"/>
        <v>-35.907999999995809</v>
      </c>
      <c r="JX42" s="35">
        <f t="shared" si="678"/>
        <v>50.001000000076601</v>
      </c>
      <c r="JY42" s="127">
        <f t="shared" si="58"/>
        <v>139.58399999996982</v>
      </c>
      <c r="JZ42" s="35">
        <f t="shared" ref="JZ42:LD42" si="679">JZ41-JZ40</f>
        <v>-21.631000000052154</v>
      </c>
      <c r="KA42" s="35">
        <f t="shared" si="679"/>
        <v>-6.6969999999855645</v>
      </c>
      <c r="KB42" s="35">
        <f t="shared" si="679"/>
        <v>48.913000000000466</v>
      </c>
      <c r="KC42" s="35">
        <f t="shared" si="679"/>
        <v>-26.113999999972293</v>
      </c>
      <c r="KD42" s="35">
        <f t="shared" si="679"/>
        <v>20.605000000010477</v>
      </c>
      <c r="KE42" s="35">
        <f t="shared" si="679"/>
        <v>-21.314000000013039</v>
      </c>
      <c r="KF42" s="35">
        <f t="shared" si="679"/>
        <v>31.603000000002794</v>
      </c>
      <c r="KG42" s="35">
        <f t="shared" si="679"/>
        <v>-5.6640000000188593</v>
      </c>
      <c r="KH42" s="35">
        <f t="shared" si="679"/>
        <v>-25.563999999983935</v>
      </c>
      <c r="KI42" s="35">
        <f t="shared" si="679"/>
        <v>38.092999999993481</v>
      </c>
      <c r="KJ42" s="35">
        <f t="shared" si="679"/>
        <v>18.489000000001397</v>
      </c>
      <c r="KK42" s="35">
        <f t="shared" si="679"/>
        <v>-32.036999999923864</v>
      </c>
      <c r="KL42" s="35">
        <f t="shared" si="679"/>
        <v>41.53799999988405</v>
      </c>
      <c r="KM42" s="35">
        <f t="shared" si="679"/>
        <v>-12.95599999994738</v>
      </c>
      <c r="KN42" s="35">
        <f t="shared" si="679"/>
        <v>2.2420000000565778</v>
      </c>
      <c r="KO42" s="35">
        <f t="shared" si="679"/>
        <v>-13.330000000074506</v>
      </c>
      <c r="KP42" s="35">
        <f t="shared" si="679"/>
        <v>11.675000000046566</v>
      </c>
      <c r="KQ42" s="35">
        <f t="shared" si="679"/>
        <v>11.226999999955297</v>
      </c>
      <c r="KR42" s="35">
        <f t="shared" si="679"/>
        <v>-18.736999999935506</v>
      </c>
      <c r="KS42" s="35">
        <f t="shared" si="679"/>
        <v>27.117999999958556</v>
      </c>
      <c r="KT42" s="35">
        <f t="shared" si="679"/>
        <v>-1.5819999999948777</v>
      </c>
      <c r="KU42" s="35">
        <f t="shared" si="679"/>
        <v>-38.059000000095693</v>
      </c>
      <c r="KV42" s="35">
        <f t="shared" si="679"/>
        <v>24.324000000022352</v>
      </c>
      <c r="KW42" s="35">
        <f t="shared" si="679"/>
        <v>-22.679999999905704</v>
      </c>
      <c r="KX42" s="35">
        <f t="shared" si="679"/>
        <v>91.029999999998836</v>
      </c>
      <c r="KY42" s="35">
        <f t="shared" si="679"/>
        <v>7.2559999999939464</v>
      </c>
      <c r="KZ42" s="35">
        <f t="shared" si="679"/>
        <v>-13.787000000069384</v>
      </c>
      <c r="LA42" s="35">
        <f t="shared" si="679"/>
        <v>-10.435000000026776</v>
      </c>
      <c r="LB42" s="35">
        <f t="shared" si="679"/>
        <v>35.92300000009709</v>
      </c>
      <c r="LC42" s="35">
        <f t="shared" si="679"/>
        <v>-71.24900000001071</v>
      </c>
      <c r="LD42" s="35">
        <f t="shared" si="679"/>
        <v>14.128000000026077</v>
      </c>
      <c r="LE42" s="127">
        <f t="shared" si="60"/>
        <v>103.95900000008987</v>
      </c>
      <c r="LF42" s="35">
        <f t="shared" ref="LF42:MI42" si="680">LF41-LF40</f>
        <v>-57.942000000039116</v>
      </c>
      <c r="LG42" s="35">
        <f t="shared" si="680"/>
        <v>16.485999999946216</v>
      </c>
      <c r="LH42" s="35">
        <f t="shared" si="680"/>
        <v>13.992999999958556</v>
      </c>
      <c r="LI42" s="35">
        <f t="shared" si="680"/>
        <v>-15.07399999993504</v>
      </c>
      <c r="LJ42" s="35">
        <f t="shared" si="680"/>
        <v>23.131999999983236</v>
      </c>
      <c r="LK42" s="35">
        <f t="shared" si="680"/>
        <v>4.5170000000216532</v>
      </c>
      <c r="LL42" s="35">
        <f t="shared" si="680"/>
        <v>-29.36199999996461</v>
      </c>
      <c r="LM42" s="35">
        <f t="shared" si="680"/>
        <v>-19.429999999993015</v>
      </c>
      <c r="LN42" s="35">
        <f t="shared" si="680"/>
        <v>16.61600000000908</v>
      </c>
      <c r="LO42" s="35">
        <f t="shared" si="680"/>
        <v>1.8349999999627471</v>
      </c>
      <c r="LP42" s="35">
        <f t="shared" si="680"/>
        <v>-7.8479999999108259</v>
      </c>
      <c r="LQ42" s="35">
        <f t="shared" si="680"/>
        <v>37.443999999872176</v>
      </c>
      <c r="LR42" s="35">
        <f t="shared" si="680"/>
        <v>-31.596000000019558</v>
      </c>
      <c r="LS42" s="35">
        <f t="shared" si="680"/>
        <v>8.7440000000933651</v>
      </c>
      <c r="LT42" s="35">
        <f t="shared" si="680"/>
        <v>89.073999999964144</v>
      </c>
      <c r="LU42" s="35">
        <f t="shared" si="680"/>
        <v>-59.666000000055647</v>
      </c>
      <c r="LV42" s="35">
        <f t="shared" si="680"/>
        <v>3.2800000000279397</v>
      </c>
      <c r="LW42" s="35">
        <f t="shared" si="680"/>
        <v>-22.444999999948777</v>
      </c>
      <c r="LX42" s="35">
        <f t="shared" si="680"/>
        <v>34.289999999979045</v>
      </c>
      <c r="LY42" s="35">
        <f t="shared" si="680"/>
        <v>-91.22099999996135</v>
      </c>
      <c r="LZ42" s="35">
        <f t="shared" si="680"/>
        <v>-6.1300000000337604</v>
      </c>
      <c r="MA42" s="35">
        <f t="shared" si="680"/>
        <v>-26.150000000023283</v>
      </c>
      <c r="MB42" s="35">
        <f t="shared" si="680"/>
        <v>33.316000000049826</v>
      </c>
      <c r="MC42" s="35">
        <f t="shared" si="680"/>
        <v>4.419999999954598</v>
      </c>
      <c r="MD42" s="35">
        <f t="shared" si="680"/>
        <v>-18.360999999917112</v>
      </c>
      <c r="ME42" s="35">
        <f t="shared" si="680"/>
        <v>12.46299999995972</v>
      </c>
      <c r="MF42" s="35">
        <f t="shared" si="680"/>
        <v>-30.283999999985099</v>
      </c>
      <c r="MG42" s="35">
        <f t="shared" si="680"/>
        <v>21.668000000005122</v>
      </c>
      <c r="MH42" s="35">
        <f t="shared" si="680"/>
        <v>-0.89300000001094304</v>
      </c>
      <c r="MI42" s="35">
        <f t="shared" si="680"/>
        <v>6.0829999999259599</v>
      </c>
      <c r="MJ42" s="127">
        <f t="shared" si="62"/>
        <v>-89.04100000008475</v>
      </c>
      <c r="MK42" s="35">
        <f t="shared" ref="MK42:NO42" si="681">MK41-MK40</f>
        <v>-5.7819999999774154</v>
      </c>
      <c r="ML42" s="35">
        <f t="shared" si="681"/>
        <v>7.4630000000083783</v>
      </c>
      <c r="MM42" s="35">
        <f t="shared" si="681"/>
        <v>-51.644000000029337</v>
      </c>
      <c r="MN42" s="35">
        <f t="shared" si="681"/>
        <v>-5.4469999999100764</v>
      </c>
      <c r="MO42" s="35">
        <f t="shared" si="681"/>
        <v>1.5819999999657739</v>
      </c>
      <c r="MP42" s="35">
        <f t="shared" si="681"/>
        <v>-70.96300000001429</v>
      </c>
      <c r="MQ42" s="35">
        <f t="shared" si="681"/>
        <v>34.089000000036322</v>
      </c>
      <c r="MR42" s="35">
        <f t="shared" si="681"/>
        <v>-16.423000000067987</v>
      </c>
      <c r="MS42" s="35">
        <f t="shared" si="681"/>
        <v>21.688000000068314</v>
      </c>
      <c r="MT42" s="35">
        <f t="shared" si="681"/>
        <v>-8.7450000000053478</v>
      </c>
      <c r="MU42" s="35">
        <f t="shared" si="681"/>
        <v>2.5969999998969797</v>
      </c>
      <c r="MV42" s="35">
        <f t="shared" si="681"/>
        <v>-51.815999999875203</v>
      </c>
      <c r="MW42" s="35">
        <f t="shared" si="681"/>
        <v>-24.749000000039814</v>
      </c>
      <c r="MX42" s="35">
        <f t="shared" si="681"/>
        <v>4.6699999999837019</v>
      </c>
      <c r="MY42" s="35">
        <f t="shared" si="681"/>
        <v>39.744000000035157</v>
      </c>
      <c r="MZ42" s="35">
        <f t="shared" si="681"/>
        <v>-25.939000000071246</v>
      </c>
      <c r="NA42" s="35">
        <f t="shared" si="681"/>
        <v>48.122000000032131</v>
      </c>
      <c r="NB42" s="35">
        <f t="shared" si="681"/>
        <v>-32.845999999990454</v>
      </c>
      <c r="NC42" s="35">
        <f t="shared" si="681"/>
        <v>-49.246999999973923</v>
      </c>
      <c r="ND42" s="35">
        <f t="shared" si="681"/>
        <v>-1.992000000027474</v>
      </c>
      <c r="NE42" s="35">
        <f t="shared" si="681"/>
        <v>-8.9310000000696164</v>
      </c>
      <c r="NF42" s="35">
        <f t="shared" si="681"/>
        <v>40.910000000119908</v>
      </c>
      <c r="NG42" s="35">
        <f t="shared" si="681"/>
        <v>-23.38200000001234</v>
      </c>
      <c r="NH42" s="35">
        <f t="shared" si="681"/>
        <v>-2.3440000000118744</v>
      </c>
      <c r="NI42" s="35">
        <f t="shared" si="681"/>
        <v>11.090999999956694</v>
      </c>
      <c r="NJ42" s="35">
        <f t="shared" si="681"/>
        <v>14.213999999978114</v>
      </c>
      <c r="NK42" s="35">
        <f t="shared" si="681"/>
        <v>-20.510999999969499</v>
      </c>
      <c r="NL42" s="35">
        <f t="shared" si="681"/>
        <v>16.612000000022817</v>
      </c>
      <c r="NM42" s="35">
        <f t="shared" si="681"/>
        <v>-24.287999999942258</v>
      </c>
      <c r="NN42" s="35">
        <f t="shared" si="681"/>
        <v>16.094999999942956</v>
      </c>
      <c r="NO42" s="35">
        <f t="shared" si="681"/>
        <v>17.123000000050524</v>
      </c>
      <c r="NP42" s="127">
        <f t="shared" si="64"/>
        <v>-143.26699999991297</v>
      </c>
      <c r="NQ42" s="35">
        <f t="shared" ref="NQ42:OU42" si="682">NQ41-NQ40</f>
        <v>27.93699999988894</v>
      </c>
      <c r="NR42" s="35">
        <f t="shared" si="682"/>
        <v>-42.256999999925029</v>
      </c>
      <c r="NS42" s="35">
        <f t="shared" si="682"/>
        <v>11.490999999950873</v>
      </c>
      <c r="NT42" s="35">
        <f t="shared" si="682"/>
        <v>26.129999999975553</v>
      </c>
      <c r="NU42" s="35">
        <f t="shared" si="682"/>
        <v>21.386999999987893</v>
      </c>
      <c r="NV42" s="35">
        <f t="shared" si="682"/>
        <v>7.8720000000903383</v>
      </c>
      <c r="NW42" s="35">
        <f t="shared" si="682"/>
        <v>-22.23399999999674</v>
      </c>
      <c r="NX42" s="35">
        <f t="shared" si="682"/>
        <v>40.835000000020955</v>
      </c>
      <c r="NY42" s="35">
        <f t="shared" si="682"/>
        <v>-18.094000000011874</v>
      </c>
      <c r="NZ42" s="35">
        <f t="shared" si="682"/>
        <v>-22.918000000034226</v>
      </c>
      <c r="OA42" s="35">
        <f t="shared" si="682"/>
        <v>14.94399999990128</v>
      </c>
      <c r="OB42" s="35">
        <f t="shared" si="682"/>
        <v>13.31300000011106</v>
      </c>
      <c r="OC42" s="35">
        <f t="shared" si="682"/>
        <v>-6.2210000000486616</v>
      </c>
      <c r="OD42" s="35">
        <f t="shared" si="682"/>
        <v>70.449000000051456</v>
      </c>
      <c r="OE42" s="35">
        <f t="shared" si="682"/>
        <v>-8.0069999999832362</v>
      </c>
      <c r="OF42" s="35">
        <f t="shared" si="682"/>
        <v>-1.3830000000016298</v>
      </c>
      <c r="OG42" s="35">
        <f t="shared" si="682"/>
        <v>-29.542000000044936</v>
      </c>
      <c r="OH42" s="35">
        <f t="shared" si="682"/>
        <v>30.700000000040745</v>
      </c>
      <c r="OI42" s="35">
        <f t="shared" si="682"/>
        <v>-1.7440000000642613</v>
      </c>
      <c r="OJ42" s="35">
        <f t="shared" si="682"/>
        <v>1.1450000000477303</v>
      </c>
      <c r="OK42" s="35">
        <f t="shared" si="682"/>
        <v>-38.15500000002794</v>
      </c>
      <c r="OL42" s="35">
        <f t="shared" si="682"/>
        <v>-28.759000000078231</v>
      </c>
      <c r="OM42" s="35">
        <f t="shared" si="682"/>
        <v>24.39600000003702</v>
      </c>
      <c r="ON42" s="35">
        <f t="shared" si="682"/>
        <v>14.463000000105239</v>
      </c>
      <c r="OO42" s="35">
        <f t="shared" si="682"/>
        <v>-5.8830000000016298</v>
      </c>
      <c r="OP42" s="35">
        <f t="shared" si="682"/>
        <v>8.1639999999897555</v>
      </c>
      <c r="OQ42" s="35">
        <f t="shared" si="682"/>
        <v>29.452999999921303</v>
      </c>
      <c r="OR42" s="35">
        <f t="shared" si="682"/>
        <v>-15.238999999914085</v>
      </c>
      <c r="OS42" s="35">
        <f t="shared" si="682"/>
        <v>-10.940000000031432</v>
      </c>
      <c r="OT42" s="35">
        <f t="shared" si="682"/>
        <v>89.36999999996624</v>
      </c>
      <c r="OU42" s="35">
        <f t="shared" si="682"/>
        <v>-24.756999999925029</v>
      </c>
      <c r="OV42" s="127">
        <f t="shared" si="66"/>
        <v>127.9790000001085</v>
      </c>
      <c r="OW42" s="35">
        <f t="shared" ref="OW42:PZ42" si="683">OW41-OW40</f>
        <v>29.483999999967637</v>
      </c>
      <c r="OX42" s="35">
        <f t="shared" si="683"/>
        <v>-28.322000000043772</v>
      </c>
      <c r="OY42" s="35">
        <f t="shared" si="683"/>
        <v>14.422999999951571</v>
      </c>
      <c r="OZ42" s="35">
        <f t="shared" si="683"/>
        <v>-13.744999999849824</v>
      </c>
      <c r="PA42" s="35">
        <f t="shared" si="683"/>
        <v>39.848999999929219</v>
      </c>
      <c r="PB42" s="35">
        <f t="shared" si="683"/>
        <v>-69.521999999968102</v>
      </c>
      <c r="PC42" s="35">
        <f t="shared" si="683"/>
        <v>-40.15900000007241</v>
      </c>
      <c r="PD42" s="35">
        <f t="shared" si="683"/>
        <v>41.091000000044005</v>
      </c>
      <c r="PE42" s="35">
        <f t="shared" si="683"/>
        <v>-27.105000000110522</v>
      </c>
      <c r="PF42" s="35">
        <f t="shared" si="683"/>
        <v>40.677000000141561</v>
      </c>
      <c r="PG42" s="35">
        <f t="shared" si="683"/>
        <v>-20.983000000036554</v>
      </c>
      <c r="PH42" s="35">
        <f t="shared" si="683"/>
        <v>14.12699999997858</v>
      </c>
      <c r="PI42" s="35">
        <f t="shared" si="683"/>
        <v>-24.174999999988358</v>
      </c>
      <c r="PJ42" s="35">
        <f t="shared" si="683"/>
        <v>22.2379999999539</v>
      </c>
      <c r="PK42" s="35">
        <f t="shared" si="683"/>
        <v>-14.005999999964843</v>
      </c>
      <c r="PL42" s="35">
        <f t="shared" si="683"/>
        <v>8.9290000000328291</v>
      </c>
      <c r="PM42" s="35">
        <f t="shared" si="683"/>
        <v>6.2609999999694992</v>
      </c>
      <c r="PN42" s="35">
        <f t="shared" si="683"/>
        <v>-9.7960000000020955</v>
      </c>
      <c r="PO42" s="35">
        <f t="shared" si="683"/>
        <v>-5.1939999999012798</v>
      </c>
      <c r="PP42" s="35">
        <f t="shared" si="683"/>
        <v>7.2829999999667052</v>
      </c>
      <c r="PQ42" s="35">
        <f t="shared" si="683"/>
        <v>2.033999999955995</v>
      </c>
      <c r="PR42" s="35">
        <f t="shared" si="683"/>
        <v>-1.0480000000097789</v>
      </c>
      <c r="PS42" s="35">
        <f t="shared" si="683"/>
        <v>-24.667999999959648</v>
      </c>
      <c r="PT42" s="35">
        <f t="shared" si="683"/>
        <v>20.978999999897496</v>
      </c>
      <c r="PU42" s="35">
        <f t="shared" si="683"/>
        <v>-28.487999999895692</v>
      </c>
      <c r="PV42" s="35">
        <f t="shared" si="683"/>
        <v>-49.688000000081956</v>
      </c>
      <c r="PW42" s="35">
        <f t="shared" si="683"/>
        <v>59.417000000015832</v>
      </c>
      <c r="PX42" s="35">
        <f t="shared" si="683"/>
        <v>-33.602999999944586</v>
      </c>
      <c r="PY42" s="35">
        <f t="shared" si="683"/>
        <v>0.66799999994691461</v>
      </c>
      <c r="PZ42" s="35">
        <f t="shared" si="683"/>
        <v>33.148000000073807</v>
      </c>
      <c r="QA42" s="127">
        <f t="shared" si="68"/>
        <v>-49.894000000003871</v>
      </c>
      <c r="QB42" s="35">
        <f t="shared" ref="QB42:RF42" si="684">QB41-QB40</f>
        <v>-1110</v>
      </c>
      <c r="QC42" s="35">
        <f t="shared" si="684"/>
        <v>-26.793999999994412</v>
      </c>
      <c r="QD42" s="35">
        <f t="shared" si="684"/>
        <v>3.9060000000172295</v>
      </c>
      <c r="QE42" s="35">
        <f t="shared" si="684"/>
        <v>25.291999999928521</v>
      </c>
      <c r="QF42" s="35">
        <f t="shared" si="684"/>
        <v>-38.591999999945983</v>
      </c>
      <c r="QG42" s="35">
        <f t="shared" si="684"/>
        <v>-3.9160000000556465</v>
      </c>
      <c r="QH42" s="35">
        <f t="shared" si="684"/>
        <v>25.105999999999767</v>
      </c>
      <c r="QI42" s="35">
        <f t="shared" si="684"/>
        <v>-14.184999999968568</v>
      </c>
      <c r="QJ42" s="35">
        <f t="shared" si="684"/>
        <v>27.578000000037719</v>
      </c>
      <c r="QK42" s="35">
        <f t="shared" si="684"/>
        <v>-9.4970000000612345</v>
      </c>
      <c r="QL42" s="35">
        <f t="shared" si="684"/>
        <v>35.181000000011409</v>
      </c>
      <c r="QM42" s="35">
        <f t="shared" si="684"/>
        <v>-58.561000000016065</v>
      </c>
      <c r="QN42" s="35">
        <f t="shared" si="684"/>
        <v>8.0660000000498258</v>
      </c>
      <c r="QO42" s="35">
        <f t="shared" si="684"/>
        <v>8.734000000054948</v>
      </c>
      <c r="QP42" s="35">
        <f t="shared" si="684"/>
        <v>-20.122000000090338</v>
      </c>
      <c r="QQ42" s="35">
        <f t="shared" si="684"/>
        <v>4.6270000000367872</v>
      </c>
      <c r="QR42" s="35">
        <f t="shared" si="684"/>
        <v>23.400000000023283</v>
      </c>
      <c r="QS42" s="35">
        <f t="shared" si="684"/>
        <v>-12.162000000011176</v>
      </c>
      <c r="QT42" s="35">
        <f t="shared" si="684"/>
        <v>-4.6300000000046566</v>
      </c>
      <c r="QU42" s="35">
        <f t="shared" si="684"/>
        <v>41.429999999993015</v>
      </c>
      <c r="QV42" s="35">
        <f t="shared" si="684"/>
        <v>-45.625000000029104</v>
      </c>
      <c r="QW42" s="35">
        <f t="shared" si="684"/>
        <v>20.077000000048429</v>
      </c>
      <c r="QX42" s="35">
        <f t="shared" si="684"/>
        <v>-11.300000000017462</v>
      </c>
      <c r="QY42" s="35">
        <f t="shared" si="684"/>
        <v>15.719999999942956</v>
      </c>
      <c r="QZ42" s="35">
        <f t="shared" si="684"/>
        <v>4.3730000000214204</v>
      </c>
      <c r="RA42" s="35">
        <f t="shared" si="684"/>
        <v>1.950000000098953</v>
      </c>
      <c r="RB42" s="35">
        <f t="shared" si="684"/>
        <v>20.162999999942258</v>
      </c>
      <c r="RC42" s="35">
        <f t="shared" si="684"/>
        <v>16.294999999983702</v>
      </c>
      <c r="RD42" s="35">
        <f t="shared" si="684"/>
        <v>-0.26900000000023283</v>
      </c>
      <c r="RE42" s="35">
        <f t="shared" si="684"/>
        <v>-22.79400000005262</v>
      </c>
      <c r="RF42" s="35">
        <f t="shared" si="684"/>
        <v>37.340000000054715</v>
      </c>
      <c r="RG42" s="127">
        <f t="shared" si="495"/>
        <v>50.790999999997439</v>
      </c>
      <c r="RH42" s="35">
        <f t="shared" ref="RH42:SK42" si="685">RH41-RH40</f>
        <v>-35.262999999977183</v>
      </c>
      <c r="RI42" s="35">
        <f t="shared" si="685"/>
        <v>13.430000000022119</v>
      </c>
      <c r="RJ42" s="35">
        <f t="shared" si="685"/>
        <v>22.610999999917112</v>
      </c>
      <c r="RK42" s="35">
        <f t="shared" si="685"/>
        <v>-28.834999999933643</v>
      </c>
      <c r="RL42" s="35">
        <f t="shared" si="685"/>
        <v>9.292999999888707</v>
      </c>
      <c r="RM42" s="35">
        <f t="shared" si="685"/>
        <v>-7.6689999999362044</v>
      </c>
      <c r="RN42" s="35">
        <f t="shared" si="685"/>
        <v>25.090000000054715</v>
      </c>
      <c r="RO42" s="35">
        <f t="shared" si="685"/>
        <v>-19.784000000014203</v>
      </c>
      <c r="RP42" s="35">
        <f t="shared" si="685"/>
        <v>2.2119999999122228</v>
      </c>
      <c r="RQ42" s="35">
        <f t="shared" si="685"/>
        <v>94.81500000008964</v>
      </c>
      <c r="RR42" s="35">
        <f t="shared" si="685"/>
        <v>-57.629000000015367</v>
      </c>
      <c r="RS42" s="35">
        <f t="shared" si="685"/>
        <v>-21.819999999977881</v>
      </c>
      <c r="RT42" s="35">
        <f t="shared" si="685"/>
        <v>-13.691000000137137</v>
      </c>
      <c r="RU42" s="35">
        <f t="shared" si="685"/>
        <v>30.128000000084285</v>
      </c>
      <c r="RV42" s="35">
        <f t="shared" si="685"/>
        <v>-23.789000000077067</v>
      </c>
      <c r="RW42" s="35">
        <f t="shared" si="685"/>
        <v>-28.013999999850057</v>
      </c>
      <c r="RX42" s="35">
        <f t="shared" si="685"/>
        <v>10.954999999928987</v>
      </c>
      <c r="RY42" s="35">
        <f t="shared" si="685"/>
        <v>1.018999999971129</v>
      </c>
      <c r="RZ42" s="35">
        <f t="shared" si="685"/>
        <v>-14.603999999933876</v>
      </c>
      <c r="SA42" s="35">
        <f t="shared" si="685"/>
        <v>25.754000000044471</v>
      </c>
      <c r="SB42" s="35">
        <f t="shared" si="685"/>
        <v>-7.8390000000654254</v>
      </c>
      <c r="SC42" s="35">
        <f t="shared" si="685"/>
        <v>12.13900000002468</v>
      </c>
      <c r="SD42" s="35">
        <f t="shared" si="685"/>
        <v>17.324999999895226</v>
      </c>
      <c r="SE42" s="35">
        <f t="shared" si="685"/>
        <v>13.131000000081258</v>
      </c>
      <c r="SF42" s="35">
        <f t="shared" si="685"/>
        <v>-29.245000000024447</v>
      </c>
      <c r="SG42" s="35">
        <f t="shared" si="685"/>
        <v>7.5200000000768341</v>
      </c>
      <c r="SH42" s="35">
        <f t="shared" si="685"/>
        <v>-16.731000000057975</v>
      </c>
      <c r="SI42" s="35">
        <f t="shared" si="685"/>
        <v>0.78800000002956949</v>
      </c>
      <c r="SJ42" s="35">
        <f t="shared" si="685"/>
        <v>-15.404000000125961</v>
      </c>
      <c r="SK42" s="35">
        <f t="shared" si="685"/>
        <v>85.331000000034692</v>
      </c>
      <c r="SL42" s="127">
        <f t="shared" si="497"/>
        <v>51.223999999929219</v>
      </c>
      <c r="SM42" s="35">
        <f t="shared" ref="SM42:TQ42" si="686">SM41-SM40</f>
        <v>-70.407999999937601</v>
      </c>
      <c r="SN42" s="35">
        <f t="shared" si="686"/>
        <v>-4.4310000000114087</v>
      </c>
      <c r="SO42" s="35">
        <f t="shared" si="686"/>
        <v>-0.87000000002444722</v>
      </c>
      <c r="SP42" s="35">
        <f t="shared" si="686"/>
        <v>-37.688999999983935</v>
      </c>
      <c r="SQ42" s="35">
        <f t="shared" si="686"/>
        <v>58.81500000008964</v>
      </c>
      <c r="SR42" s="35">
        <f t="shared" si="686"/>
        <v>4.4159999999101274</v>
      </c>
      <c r="SS42" s="35">
        <f t="shared" si="686"/>
        <v>-40.664000000014312</v>
      </c>
      <c r="ST42" s="35">
        <f t="shared" si="686"/>
        <v>-36.351999999955297</v>
      </c>
      <c r="SU42" s="35">
        <f t="shared" si="686"/>
        <v>16.111999999906402</v>
      </c>
      <c r="SV42" s="35">
        <f t="shared" si="686"/>
        <v>12.540000000066357</v>
      </c>
      <c r="SW42" s="35">
        <f t="shared" si="686"/>
        <v>4.0830000001005828</v>
      </c>
      <c r="SX42" s="35">
        <f t="shared" si="686"/>
        <v>28.068999999930384</v>
      </c>
      <c r="SY42" s="35">
        <f t="shared" si="686"/>
        <v>-4.4799999999813735</v>
      </c>
      <c r="SZ42" s="35">
        <f t="shared" si="686"/>
        <v>15.026999999914551</v>
      </c>
      <c r="TA42" s="35">
        <f t="shared" si="686"/>
        <v>-23.463999999978114</v>
      </c>
      <c r="TB42" s="35">
        <f t="shared" si="686"/>
        <v>45.796000000031199</v>
      </c>
      <c r="TC42" s="35">
        <f t="shared" si="686"/>
        <v>-14.820000000036089</v>
      </c>
      <c r="TD42" s="35">
        <f t="shared" si="686"/>
        <v>-25.233999999967637</v>
      </c>
      <c r="TE42" s="35">
        <f t="shared" si="686"/>
        <v>17.803999999945518</v>
      </c>
      <c r="TF42" s="35">
        <f t="shared" si="686"/>
        <v>35.24900000001071</v>
      </c>
      <c r="TG42" s="35">
        <f t="shared" si="686"/>
        <v>21.62599999998929</v>
      </c>
      <c r="TH42" s="35">
        <f t="shared" si="686"/>
        <v>19.037000000127591</v>
      </c>
      <c r="TI42" s="35">
        <f t="shared" si="686"/>
        <v>39.068999999930384</v>
      </c>
      <c r="TJ42" s="35">
        <f t="shared" si="686"/>
        <v>-31.254000000015367</v>
      </c>
      <c r="TK42" s="35">
        <f t="shared" si="686"/>
        <v>-5.0410000000265427</v>
      </c>
      <c r="TL42" s="35">
        <f t="shared" si="686"/>
        <v>23.936000000016065</v>
      </c>
      <c r="TM42" s="35">
        <f t="shared" si="686"/>
        <v>-44.255999999964843</v>
      </c>
      <c r="TN42" s="35">
        <f t="shared" si="686"/>
        <v>4.0799999999289867</v>
      </c>
      <c r="TO42" s="35">
        <f t="shared" si="686"/>
        <v>-9.9109999998763669</v>
      </c>
      <c r="TP42" s="35">
        <f t="shared" si="686"/>
        <v>19.010999999998603</v>
      </c>
      <c r="TQ42" s="35">
        <f t="shared" si="686"/>
        <v>-11.025000000110595</v>
      </c>
      <c r="TR42" s="127">
        <f t="shared" si="499"/>
        <v>75.178999999950065</v>
      </c>
      <c r="TS42" s="35">
        <f t="shared" ref="TS42:UW42" si="687">TS41-TS40</f>
        <v>-26.675999999977648</v>
      </c>
      <c r="TT42" s="35">
        <f t="shared" si="687"/>
        <v>12.789000000018859</v>
      </c>
      <c r="TU42" s="35">
        <f t="shared" si="687"/>
        <v>-0.34000000002561137</v>
      </c>
      <c r="TV42" s="35">
        <f t="shared" si="687"/>
        <v>14.252999999996973</v>
      </c>
      <c r="TW42" s="35">
        <f t="shared" si="687"/>
        <v>-13.343999999953667</v>
      </c>
      <c r="TX42" s="35">
        <f t="shared" si="687"/>
        <v>19.605999999999767</v>
      </c>
      <c r="TY42" s="35">
        <f t="shared" si="687"/>
        <v>-16.170000000012806</v>
      </c>
      <c r="TZ42" s="35">
        <f t="shared" si="687"/>
        <v>59.269000000000233</v>
      </c>
      <c r="UA42" s="35">
        <f t="shared" si="687"/>
        <v>4.2209999999613501</v>
      </c>
      <c r="UB42" s="35">
        <f t="shared" si="687"/>
        <v>18.348999999958323</v>
      </c>
      <c r="UC42" s="35">
        <f t="shared" si="687"/>
        <v>-8.5769999999029096</v>
      </c>
      <c r="UD42" s="35">
        <f t="shared" si="687"/>
        <v>-14.227000000013504</v>
      </c>
      <c r="UE42" s="35">
        <f t="shared" si="687"/>
        <v>8.4520000000193249</v>
      </c>
      <c r="UF42" s="35">
        <f t="shared" si="687"/>
        <v>-2.2229999999690335</v>
      </c>
      <c r="UG42" s="35">
        <f t="shared" si="687"/>
        <v>17.002999999938766</v>
      </c>
      <c r="UH42" s="35">
        <f t="shared" si="687"/>
        <v>-3.3429999999934807</v>
      </c>
      <c r="UI42" s="35">
        <f t="shared" si="687"/>
        <v>9.4110000000218861</v>
      </c>
      <c r="UJ42" s="35">
        <f t="shared" si="687"/>
        <v>99.567999999999302</v>
      </c>
      <c r="UK42" s="35">
        <f t="shared" si="687"/>
        <v>-33.902999999962049</v>
      </c>
      <c r="UL42" s="35">
        <f t="shared" si="687"/>
        <v>-6.1690000000817236</v>
      </c>
      <c r="UM42" s="35">
        <f t="shared" si="687"/>
        <v>-21.7620000000461</v>
      </c>
      <c r="UN42" s="35">
        <f t="shared" si="687"/>
        <v>20.146000000095228</v>
      </c>
      <c r="UO42" s="35">
        <f t="shared" si="687"/>
        <v>17.121999999915715</v>
      </c>
      <c r="UP42" s="35">
        <f t="shared" si="687"/>
        <v>-21.350999999995111</v>
      </c>
      <c r="UQ42" s="35">
        <f t="shared" si="687"/>
        <v>11.671000000031199</v>
      </c>
      <c r="UR42" s="35">
        <f t="shared" si="687"/>
        <v>-14.171999999991385</v>
      </c>
      <c r="US42" s="35">
        <f t="shared" si="687"/>
        <v>33.641000000032363</v>
      </c>
      <c r="UT42" s="35">
        <f t="shared" si="687"/>
        <v>-225.78199999994104</v>
      </c>
      <c r="UU42" s="35">
        <f t="shared" si="687"/>
        <v>0</v>
      </c>
      <c r="UV42" s="35">
        <f t="shared" si="687"/>
        <v>106.25399999991168</v>
      </c>
      <c r="UW42" s="35">
        <f t="shared" si="687"/>
        <v>21.560000000044965</v>
      </c>
      <c r="UX42" s="127">
        <f t="shared" si="501"/>
        <v>91.952000000057524</v>
      </c>
      <c r="UY42" s="35">
        <f t="shared" ref="UY42:VZ42" si="688">UY41-UY40</f>
        <v>-44.964000000065425</v>
      </c>
      <c r="UZ42" s="35">
        <f t="shared" si="688"/>
        <v>60.902000000001863</v>
      </c>
      <c r="VA42" s="35">
        <f t="shared" si="688"/>
        <v>8.9910000000381842</v>
      </c>
      <c r="VB42" s="35">
        <f t="shared" si="688"/>
        <v>-40.867999999958556</v>
      </c>
      <c r="VC42" s="35">
        <f t="shared" si="688"/>
        <v>8.2829999998502899</v>
      </c>
      <c r="VD42" s="35">
        <f t="shared" si="688"/>
        <v>-12.983999999851221</v>
      </c>
      <c r="VE42" s="35">
        <f t="shared" si="688"/>
        <v>22.170999999914784</v>
      </c>
      <c r="VF42" s="35">
        <f t="shared" si="688"/>
        <v>-36.003999999957159</v>
      </c>
      <c r="VG42" s="35">
        <f t="shared" si="688"/>
        <v>-17.557000000000698</v>
      </c>
      <c r="VH42" s="35">
        <f t="shared" si="688"/>
        <v>35.892999999923632</v>
      </c>
      <c r="VI42" s="35">
        <f t="shared" si="688"/>
        <v>27.340000000083819</v>
      </c>
      <c r="VJ42" s="35">
        <f t="shared" si="688"/>
        <v>-9.8259999999718275</v>
      </c>
      <c r="VK42" s="35">
        <f t="shared" si="688"/>
        <v>14.621999999915715</v>
      </c>
      <c r="VL42" s="35">
        <f t="shared" si="688"/>
        <v>-14.027000000001863</v>
      </c>
      <c r="VM42" s="35">
        <f t="shared" si="688"/>
        <v>4.7220000000670552</v>
      </c>
      <c r="VN42" s="35">
        <f t="shared" si="688"/>
        <v>-9.2500000000291038</v>
      </c>
      <c r="VO42" s="35">
        <f t="shared" si="688"/>
        <v>46.744999999995343</v>
      </c>
      <c r="VP42" s="35">
        <f t="shared" si="688"/>
        <v>-23.996000000013737</v>
      </c>
      <c r="VQ42" s="35">
        <f t="shared" si="688"/>
        <v>6.3090000000083819</v>
      </c>
      <c r="VR42" s="35">
        <f t="shared" si="688"/>
        <v>17.790999999968335</v>
      </c>
      <c r="VS42" s="35">
        <f t="shared" si="688"/>
        <v>6.1339999999909196</v>
      </c>
      <c r="VT42" s="35">
        <f t="shared" si="688"/>
        <v>20.101000000053318</v>
      </c>
      <c r="VU42" s="35">
        <f t="shared" si="688"/>
        <v>9.0280000000493601</v>
      </c>
      <c r="VV42" s="35">
        <f t="shared" si="688"/>
        <v>27.413999999902444</v>
      </c>
      <c r="VW42" s="35">
        <f t="shared" si="688"/>
        <v>32.494000000093365</v>
      </c>
      <c r="VX42" s="35">
        <f t="shared" si="688"/>
        <v>-33.042000000015832</v>
      </c>
      <c r="VY42" s="35">
        <f t="shared" si="688"/>
        <v>-25.526000000099884</v>
      </c>
      <c r="VZ42" s="35">
        <f t="shared" si="688"/>
        <v>35.855999999999767</v>
      </c>
      <c r="WA42" s="127">
        <f>SUM(UY42:VZ42)</f>
        <v>116.75199999989127</v>
      </c>
      <c r="WB42" s="35">
        <f t="shared" ref="WB42:XF42" si="689">WB41-WB40</f>
        <v>-5.2469999999157153</v>
      </c>
      <c r="WC42" s="35">
        <f t="shared" si="689"/>
        <v>-1.908999999955995</v>
      </c>
      <c r="WD42" s="35">
        <f t="shared" si="689"/>
        <v>-20.985000000044238</v>
      </c>
      <c r="WE42" s="35">
        <f t="shared" si="689"/>
        <v>18.102000000013504</v>
      </c>
      <c r="WF42" s="35">
        <f t="shared" si="689"/>
        <v>-13.048999999969965</v>
      </c>
      <c r="WG42" s="35">
        <f t="shared" si="689"/>
        <v>-0.60000000009313226</v>
      </c>
      <c r="WH42" s="35">
        <f t="shared" si="689"/>
        <v>71.081999999994878</v>
      </c>
      <c r="WI42" s="35">
        <f t="shared" si="689"/>
        <v>-28.454999999987194</v>
      </c>
      <c r="WJ42" s="35">
        <f t="shared" si="689"/>
        <v>21.307999999960884</v>
      </c>
      <c r="WK42" s="35">
        <f t="shared" si="689"/>
        <v>13.047000000020489</v>
      </c>
      <c r="WL42" s="35">
        <f t="shared" si="689"/>
        <v>-29.719999999913853</v>
      </c>
      <c r="WM42" s="35">
        <f t="shared" si="689"/>
        <v>15.033999999955995</v>
      </c>
      <c r="WN42" s="35">
        <f t="shared" si="689"/>
        <v>-17.292000000015832</v>
      </c>
      <c r="WO42" s="35">
        <f t="shared" si="689"/>
        <v>19.220999999990454</v>
      </c>
      <c r="WP42" s="35">
        <f t="shared" si="689"/>
        <v>-6.9619999999413267</v>
      </c>
      <c r="WQ42" s="35">
        <f t="shared" si="689"/>
        <v>-20.337000000086846</v>
      </c>
      <c r="WR42" s="35">
        <f t="shared" si="689"/>
        <v>39.936000000074273</v>
      </c>
      <c r="WS42" s="35">
        <f t="shared" si="689"/>
        <v>-13.795999999983451</v>
      </c>
      <c r="WT42" s="35">
        <f t="shared" si="689"/>
        <v>7.1239999999047541</v>
      </c>
      <c r="WU42" s="35">
        <f t="shared" si="689"/>
        <v>-5.2079999999259599</v>
      </c>
      <c r="WV42" s="35">
        <f t="shared" si="689"/>
        <v>27.456999999994878</v>
      </c>
      <c r="WW42" s="35">
        <f t="shared" si="689"/>
        <v>-9.2449999999953434</v>
      </c>
      <c r="WX42" s="35">
        <f t="shared" si="689"/>
        <v>-23.271999999938998</v>
      </c>
      <c r="WY42" s="35">
        <f t="shared" si="689"/>
        <v>38.2149999999383</v>
      </c>
      <c r="WZ42" s="35">
        <f t="shared" si="689"/>
        <v>-24.690000000031432</v>
      </c>
      <c r="XA42" s="35">
        <f t="shared" si="689"/>
        <v>30.256000000052154</v>
      </c>
      <c r="XB42" s="35">
        <f t="shared" si="689"/>
        <v>-34.183000000048196</v>
      </c>
      <c r="XC42" s="35">
        <f t="shared" si="689"/>
        <v>25.545999999972992</v>
      </c>
      <c r="XD42" s="35">
        <f t="shared" si="689"/>
        <v>381.53700000006938</v>
      </c>
      <c r="XE42" s="35">
        <f t="shared" si="689"/>
        <v>-319.76699999996345</v>
      </c>
      <c r="XF42" s="35">
        <f t="shared" si="689"/>
        <v>-57.913000000029569</v>
      </c>
      <c r="XG42" s="127">
        <f t="shared" si="566"/>
        <v>75.235000000102445</v>
      </c>
      <c r="XH42" s="35">
        <f t="shared" ref="XH42:YK42" si="690">XH41-XH40</f>
        <v>-116.1699999999837</v>
      </c>
      <c r="XI42" s="35">
        <f t="shared" si="690"/>
        <v>12.709999999933643</v>
      </c>
      <c r="XJ42" s="35">
        <f t="shared" si="690"/>
        <v>-19.010000000038417</v>
      </c>
      <c r="XK42" s="35">
        <f t="shared" si="690"/>
        <v>14.968000000080792</v>
      </c>
      <c r="XL42" s="35">
        <f t="shared" si="690"/>
        <v>4.0970000000379514</v>
      </c>
      <c r="XM42" s="35">
        <f t="shared" si="690"/>
        <v>-7.4930000000749715</v>
      </c>
      <c r="XN42" s="35">
        <f t="shared" si="690"/>
        <v>17.660999999963678</v>
      </c>
      <c r="XO42" s="35">
        <f t="shared" si="690"/>
        <v>-3.5520000000251457</v>
      </c>
      <c r="XP42" s="35">
        <f t="shared" si="690"/>
        <v>-23.760999999911292</v>
      </c>
      <c r="XQ42" s="35">
        <f t="shared" si="690"/>
        <v>5.3150000000023283</v>
      </c>
      <c r="XR42" s="35">
        <f t="shared" si="690"/>
        <v>-104.22900000002119</v>
      </c>
      <c r="XS42" s="35">
        <f t="shared" si="690"/>
        <v>-1.1989999999350403</v>
      </c>
      <c r="XT42" s="35">
        <f t="shared" si="690"/>
        <v>-4.3100000000558794</v>
      </c>
      <c r="XU42" s="35">
        <f t="shared" si="690"/>
        <v>8.7590000000200234</v>
      </c>
      <c r="XV42" s="35">
        <f t="shared" si="690"/>
        <v>8.4350000000267755</v>
      </c>
      <c r="XW42" s="35">
        <f t="shared" si="690"/>
        <v>16.651999999856343</v>
      </c>
      <c r="XX42" s="35">
        <f t="shared" si="690"/>
        <v>-36.315999999904307</v>
      </c>
      <c r="XY42" s="35">
        <f t="shared" si="690"/>
        <v>48.665999999997439</v>
      </c>
      <c r="XZ42" s="35">
        <f t="shared" si="690"/>
        <v>-23.867000000027474</v>
      </c>
      <c r="YA42" s="35">
        <f t="shared" si="690"/>
        <v>-25.26900000005844</v>
      </c>
      <c r="YB42" s="35">
        <f t="shared" si="690"/>
        <v>4.4270000000833534</v>
      </c>
      <c r="YC42" s="35">
        <f t="shared" si="690"/>
        <v>10.988000000012107</v>
      </c>
      <c r="YD42" s="35">
        <f t="shared" si="690"/>
        <v>-8.8050000000221189</v>
      </c>
      <c r="YE42" s="35">
        <f t="shared" si="690"/>
        <v>10.869000000064261</v>
      </c>
      <c r="YF42" s="35">
        <f t="shared" si="690"/>
        <v>58.371999999944819</v>
      </c>
      <c r="YG42" s="35">
        <f t="shared" si="690"/>
        <v>-36.807999999960884</v>
      </c>
      <c r="YH42" s="35">
        <f t="shared" si="690"/>
        <v>1.150999999983469</v>
      </c>
      <c r="YI42" s="35">
        <f t="shared" si="690"/>
        <v>-31.857000000018161</v>
      </c>
      <c r="YJ42" s="35">
        <f t="shared" si="690"/>
        <v>27.057000000029802</v>
      </c>
      <c r="YK42" s="35">
        <f t="shared" si="690"/>
        <v>24.733999999967637</v>
      </c>
      <c r="YL42" s="127">
        <f t="shared" si="569"/>
        <v>-167.7850000000326</v>
      </c>
      <c r="YM42" s="35">
        <f t="shared" ref="YM42:ZQ42" si="691">YM41-YM40</f>
        <v>-6.2400000000488944</v>
      </c>
      <c r="YN42" s="35">
        <f t="shared" si="691"/>
        <v>-27.073999999993248</v>
      </c>
      <c r="YO42" s="35">
        <f t="shared" si="691"/>
        <v>29.872999999992317</v>
      </c>
      <c r="YP42" s="35">
        <f t="shared" si="691"/>
        <v>-2.6719999999331776</v>
      </c>
      <c r="YQ42" s="35">
        <f t="shared" si="691"/>
        <v>-8.1570000000356231</v>
      </c>
      <c r="YR42" s="35">
        <f t="shared" si="691"/>
        <v>-14.162000000011176</v>
      </c>
      <c r="YS42" s="35">
        <f t="shared" si="691"/>
        <v>13.423000000067987</v>
      </c>
      <c r="YT42" s="35">
        <f t="shared" si="691"/>
        <v>-17.480999999999767</v>
      </c>
      <c r="YU42" s="35">
        <f t="shared" si="691"/>
        <v>36.617999999871245</v>
      </c>
      <c r="YV42" s="35">
        <f t="shared" si="691"/>
        <v>5.8660000000963919</v>
      </c>
      <c r="YW42" s="35">
        <f t="shared" si="691"/>
        <v>-16.658999999926891</v>
      </c>
      <c r="YX42" s="35">
        <f t="shared" si="691"/>
        <v>-27.176000000035856</v>
      </c>
      <c r="YY42" s="35">
        <f t="shared" si="691"/>
        <v>-28.499000000039814</v>
      </c>
      <c r="YZ42" s="35">
        <f t="shared" si="691"/>
        <v>17.400000000081491</v>
      </c>
      <c r="ZA42" s="35">
        <f t="shared" si="691"/>
        <v>36.384999999892898</v>
      </c>
      <c r="ZB42" s="35">
        <f t="shared" si="691"/>
        <v>-17.732999999949243</v>
      </c>
      <c r="ZC42" s="35">
        <f t="shared" si="691"/>
        <v>-24.209999999991851</v>
      </c>
      <c r="ZD42" s="35">
        <f t="shared" si="691"/>
        <v>22.397999999928288</v>
      </c>
      <c r="ZE42" s="35">
        <f t="shared" si="691"/>
        <v>1.3380000000470318</v>
      </c>
      <c r="ZF42" s="35">
        <f t="shared" si="691"/>
        <v>-2.8269999999902211</v>
      </c>
      <c r="ZG42" s="35">
        <f t="shared" si="691"/>
        <v>22.293999999965308</v>
      </c>
      <c r="ZH42" s="35">
        <f t="shared" si="691"/>
        <v>25.309000000008382</v>
      </c>
      <c r="ZI42" s="35">
        <f t="shared" si="691"/>
        <v>-109.29699999993318</v>
      </c>
      <c r="ZJ42" s="35">
        <f t="shared" si="691"/>
        <v>41.9649999999383</v>
      </c>
      <c r="ZK42" s="35">
        <f t="shared" si="691"/>
        <v>-22.895999999978812</v>
      </c>
      <c r="ZL42" s="35">
        <f t="shared" si="691"/>
        <v>-0.87099999998463318</v>
      </c>
      <c r="ZM42" s="35">
        <f t="shared" si="691"/>
        <v>1.6309999999648426</v>
      </c>
      <c r="ZN42" s="35">
        <f t="shared" si="691"/>
        <v>-10.531000000046333</v>
      </c>
      <c r="ZO42" s="35">
        <f t="shared" si="691"/>
        <v>-47.577999999921303</v>
      </c>
      <c r="ZP42" s="35">
        <f t="shared" si="691"/>
        <v>28.026999999943655</v>
      </c>
      <c r="ZQ42" s="35">
        <f t="shared" si="691"/>
        <v>92.715000000025611</v>
      </c>
      <c r="ZR42" s="127">
        <f t="shared" si="356"/>
        <v>-8.8209999999962747</v>
      </c>
      <c r="ZS42" s="35">
        <f t="shared" ref="ZS42:AAV42" si="692">ZS41-ZS40</f>
        <v>-97.670999999943888</v>
      </c>
      <c r="ZT42" s="35">
        <f t="shared" si="692"/>
        <v>51.386999999929685</v>
      </c>
      <c r="ZU42" s="35">
        <f t="shared" si="692"/>
        <v>-23.075999999971827</v>
      </c>
      <c r="ZV42" s="35">
        <f t="shared" si="692"/>
        <v>23.251999999949476</v>
      </c>
      <c r="ZW42" s="35">
        <f t="shared" si="692"/>
        <v>-85.027000000001863</v>
      </c>
      <c r="ZX42" s="35">
        <f t="shared" si="692"/>
        <v>-3.9690000000118744</v>
      </c>
      <c r="ZY42" s="35">
        <f t="shared" si="692"/>
        <v>18.463000000047032</v>
      </c>
      <c r="ZZ42" s="35">
        <f t="shared" si="692"/>
        <v>14.426000000035856</v>
      </c>
      <c r="AAA42" s="35">
        <f t="shared" si="692"/>
        <v>30.664999999949941</v>
      </c>
      <c r="AAB42" s="35">
        <f t="shared" si="692"/>
        <v>-15.497999999963213</v>
      </c>
      <c r="AAC42" s="35">
        <f t="shared" si="692"/>
        <v>35.487999999924796</v>
      </c>
      <c r="AAD42" s="35">
        <f t="shared" si="692"/>
        <v>-29.632999999914318</v>
      </c>
      <c r="AAE42" s="35">
        <f t="shared" si="692"/>
        <v>5.029999999969732</v>
      </c>
      <c r="AAF42" s="35">
        <f t="shared" si="692"/>
        <v>-5.4369999999471474</v>
      </c>
      <c r="AAG42" s="35">
        <f t="shared" si="692"/>
        <v>-9.0450000000128057</v>
      </c>
      <c r="AAH42" s="35">
        <f t="shared" si="692"/>
        <v>15.131999999983236</v>
      </c>
      <c r="AAI42" s="35">
        <f t="shared" si="692"/>
        <v>59.502999999967869</v>
      </c>
      <c r="AAJ42" s="35">
        <f t="shared" si="692"/>
        <v>-4.3880000000353903</v>
      </c>
      <c r="AAK42" s="35">
        <f t="shared" si="692"/>
        <v>-45.195000000036089</v>
      </c>
      <c r="AAL42" s="35">
        <f t="shared" si="692"/>
        <v>64.221000000048662</v>
      </c>
      <c r="AAM42" s="35">
        <f t="shared" si="692"/>
        <v>-34.879999999975553</v>
      </c>
      <c r="AAN42" s="35">
        <f t="shared" si="692"/>
        <v>19.143000000010943</v>
      </c>
      <c r="AAO42" s="35">
        <f t="shared" si="692"/>
        <v>8.3449999999138527</v>
      </c>
      <c r="AAP42" s="35">
        <f t="shared" si="692"/>
        <v>0.3710000001010485</v>
      </c>
      <c r="AAQ42" s="35">
        <f t="shared" si="692"/>
        <v>11.085999999922933</v>
      </c>
      <c r="AAR42" s="35">
        <f t="shared" si="692"/>
        <v>-80.530999999929918</v>
      </c>
      <c r="AAS42" s="35">
        <f t="shared" si="692"/>
        <v>-15.910000000003492</v>
      </c>
      <c r="AAT42" s="35">
        <f t="shared" si="692"/>
        <v>6.1550000000570435</v>
      </c>
      <c r="AAU42" s="35">
        <f t="shared" si="692"/>
        <v>-19.886000000085915</v>
      </c>
      <c r="AAV42" s="35">
        <f t="shared" si="692"/>
        <v>-48.652999999991152</v>
      </c>
      <c r="AAW42" s="127">
        <f t="shared" si="574"/>
        <v>-156.13200000001234</v>
      </c>
      <c r="AAX42" s="35">
        <f t="shared" ref="AAX42:ACB42" si="693">AAX41-AAX40</f>
        <v>63.923999999999069</v>
      </c>
      <c r="AAY42" s="35">
        <f t="shared" si="693"/>
        <v>-25.942000000010012</v>
      </c>
      <c r="AAZ42" s="35">
        <f t="shared" si="693"/>
        <v>4.9210000000311993</v>
      </c>
      <c r="ABA42" s="35">
        <f t="shared" si="693"/>
        <v>8.3449999999720603</v>
      </c>
      <c r="ABB42" s="35">
        <f t="shared" si="693"/>
        <v>-56.551000000006752</v>
      </c>
      <c r="ABC42" s="35">
        <f t="shared" si="693"/>
        <v>39.41700000007404</v>
      </c>
      <c r="ABD42" s="35">
        <f t="shared" si="693"/>
        <v>-36.919000000023516</v>
      </c>
      <c r="ABE42" s="35">
        <f t="shared" si="693"/>
        <v>45.317000000010012</v>
      </c>
      <c r="ABF42" s="35">
        <f t="shared" si="693"/>
        <v>-16.797000000049593</v>
      </c>
      <c r="ABG42" s="35">
        <f t="shared" si="693"/>
        <v>-38.156999999919208</v>
      </c>
      <c r="ABH42" s="35">
        <f t="shared" si="693"/>
        <v>20.587999999901513</v>
      </c>
      <c r="ABI42" s="35">
        <f t="shared" si="693"/>
        <v>16.210999999981141</v>
      </c>
      <c r="ABJ42" s="35">
        <f t="shared" si="693"/>
        <v>-49.342999999935273</v>
      </c>
      <c r="ABK42" s="35">
        <f t="shared" si="693"/>
        <v>48.172999999980675</v>
      </c>
      <c r="ABL42" s="35">
        <f t="shared" si="693"/>
        <v>3.2890000000188593</v>
      </c>
      <c r="ABM42" s="35">
        <f t="shared" si="693"/>
        <v>-38.228000000031898</v>
      </c>
      <c r="ABN42" s="35">
        <f t="shared" si="693"/>
        <v>6.0070000000405344</v>
      </c>
      <c r="ABO42" s="35">
        <f t="shared" si="693"/>
        <v>14.791999999986729</v>
      </c>
      <c r="ABP42" s="35">
        <f t="shared" si="693"/>
        <v>-41.304000000061933</v>
      </c>
      <c r="ABQ42" s="35">
        <f t="shared" si="693"/>
        <v>14.826000000059139</v>
      </c>
      <c r="ABR42" s="35">
        <f t="shared" si="693"/>
        <v>37.88300000000163</v>
      </c>
      <c r="ABS42" s="35">
        <f t="shared" si="693"/>
        <v>6.8549999999522697</v>
      </c>
      <c r="ABT42" s="35">
        <f t="shared" si="693"/>
        <v>-11.914999999979045</v>
      </c>
      <c r="ABU42" s="35">
        <f t="shared" si="693"/>
        <v>-10.621999999944819</v>
      </c>
      <c r="ABV42" s="35">
        <f t="shared" si="693"/>
        <v>0.7529999999969732</v>
      </c>
      <c r="ABW42" s="35">
        <f t="shared" si="693"/>
        <v>5.7439999998896383</v>
      </c>
      <c r="ABX42" s="35">
        <f t="shared" si="693"/>
        <v>-9.9509999999427237</v>
      </c>
      <c r="ABY42" s="35">
        <f t="shared" si="693"/>
        <v>6.1459999999497086</v>
      </c>
      <c r="ABZ42" s="35">
        <f t="shared" si="693"/>
        <v>39.800000000162981</v>
      </c>
      <c r="ACA42" s="35">
        <f t="shared" si="693"/>
        <v>11.05399999988731</v>
      </c>
      <c r="ACB42" s="35">
        <f t="shared" si="693"/>
        <v>-22.516999999934342</v>
      </c>
      <c r="ACC42" s="127">
        <f t="shared" si="274"/>
        <v>35.799000000056367</v>
      </c>
      <c r="ACD42" s="35">
        <f t="shared" ref="ACD42:ADH42" si="694">ACD41-ACD40</f>
        <v>36.056999999884283</v>
      </c>
      <c r="ACE42" s="35">
        <f t="shared" si="694"/>
        <v>-33.853999999933876</v>
      </c>
      <c r="ACF42" s="35">
        <f t="shared" si="694"/>
        <v>31.761999999987893</v>
      </c>
      <c r="ACG42" s="35">
        <f t="shared" si="694"/>
        <v>-24.85999999998603</v>
      </c>
      <c r="ACH42" s="35">
        <f t="shared" si="694"/>
        <v>7.1290000000153668</v>
      </c>
      <c r="ACI42" s="35">
        <f t="shared" si="694"/>
        <v>19.080000000016298</v>
      </c>
      <c r="ACJ42" s="35">
        <f t="shared" si="694"/>
        <v>-18.533000000054017</v>
      </c>
      <c r="ACK42" s="35">
        <f t="shared" si="694"/>
        <v>-26.325000000011642</v>
      </c>
      <c r="ACL42" s="35">
        <f t="shared" si="694"/>
        <v>9.2999999999883585</v>
      </c>
      <c r="ACM42" s="35">
        <f t="shared" si="694"/>
        <v>-14.440999999991618</v>
      </c>
      <c r="ACN42" s="35">
        <f t="shared" si="694"/>
        <v>46.15200000006007</v>
      </c>
      <c r="ACO42" s="35">
        <f t="shared" si="694"/>
        <v>-45.556000000040513</v>
      </c>
      <c r="ACP42" s="35">
        <f t="shared" si="694"/>
        <v>-14.556999999913387</v>
      </c>
      <c r="ACQ42" s="35">
        <f t="shared" si="694"/>
        <v>53.791999999899417</v>
      </c>
      <c r="ACR42" s="35">
        <f t="shared" si="694"/>
        <v>-7.6330000000307336</v>
      </c>
      <c r="ACS42" s="35">
        <f t="shared" si="694"/>
        <v>-44.474999999976717</v>
      </c>
      <c r="ACT42" s="35">
        <f t="shared" si="694"/>
        <v>6.9800000000977889</v>
      </c>
      <c r="ACU42" s="35">
        <f t="shared" si="694"/>
        <v>25.34799999993993</v>
      </c>
      <c r="ACV42" s="35">
        <f t="shared" si="694"/>
        <v>1.6719999999622814</v>
      </c>
      <c r="ACW42" s="35">
        <f t="shared" si="694"/>
        <v>22.352000000071712</v>
      </c>
      <c r="ACX42" s="35">
        <f t="shared" si="694"/>
        <v>-33.166000000026543</v>
      </c>
      <c r="ACY42" s="35">
        <f t="shared" si="694"/>
        <v>51.38900000002468</v>
      </c>
      <c r="ACZ42" s="35">
        <f t="shared" si="694"/>
        <v>0.46999999991385266</v>
      </c>
      <c r="ADA42" s="35">
        <f t="shared" si="694"/>
        <v>4.6380000000935979</v>
      </c>
      <c r="ADB42" s="35">
        <f t="shared" si="694"/>
        <v>-11.022000000055414</v>
      </c>
      <c r="ADC42" s="35">
        <f t="shared" si="694"/>
        <v>-19.722999999998137</v>
      </c>
      <c r="ADD42" s="35">
        <f t="shared" si="694"/>
        <v>22.352999999944586</v>
      </c>
      <c r="ADE42" s="35">
        <f t="shared" si="694"/>
        <v>-24.592999999935273</v>
      </c>
      <c r="ADF42" s="35">
        <f t="shared" si="694"/>
        <v>9.4520000000484288</v>
      </c>
      <c r="ADG42" s="35">
        <f t="shared" si="694"/>
        <v>81.157000000006519</v>
      </c>
      <c r="ADH42" s="35">
        <f t="shared" si="694"/>
        <v>-80.456999999994878</v>
      </c>
      <c r="ADI42" s="127">
        <f t="shared" si="276"/>
        <v>29.888000000006286</v>
      </c>
      <c r="ADJ42" s="35">
        <f t="shared" ref="ADJ42:AEM42" si="695">ADJ41-ADJ40</f>
        <v>51.49900000001071</v>
      </c>
      <c r="ADK42" s="35">
        <f t="shared" si="695"/>
        <v>-23.354000000108499</v>
      </c>
      <c r="ADL42" s="35">
        <f t="shared" si="695"/>
        <v>23.9450000001234</v>
      </c>
      <c r="ADM42" s="35">
        <f t="shared" si="695"/>
        <v>-1.2420000000856817</v>
      </c>
      <c r="ADN42" s="35">
        <f t="shared" si="695"/>
        <v>4.092000000004191</v>
      </c>
      <c r="ADO42" s="35">
        <f t="shared" si="695"/>
        <v>-68.450999999942724</v>
      </c>
      <c r="ADP42" s="35">
        <f t="shared" si="695"/>
        <v>45.69099999993341</v>
      </c>
      <c r="ADQ42" s="35">
        <f t="shared" si="695"/>
        <v>-15.948999999964144</v>
      </c>
      <c r="ADR42" s="35">
        <f t="shared" si="695"/>
        <v>-15.746000000042841</v>
      </c>
      <c r="ADS42" s="35">
        <f t="shared" si="695"/>
        <v>-7.2829999999376014</v>
      </c>
      <c r="ADT42" s="35">
        <f t="shared" si="695"/>
        <v>10.355999999970663</v>
      </c>
      <c r="ADU42" s="35">
        <f t="shared" si="695"/>
        <v>33.842999999993481</v>
      </c>
      <c r="ADV42" s="35">
        <f t="shared" si="695"/>
        <v>-55.5669999999227</v>
      </c>
      <c r="ADW42" s="35">
        <f t="shared" si="695"/>
        <v>-4.6639999999897555</v>
      </c>
      <c r="ADX42" s="35">
        <f t="shared" si="695"/>
        <v>70.428999999945518</v>
      </c>
      <c r="ADY42" s="35">
        <f t="shared" si="695"/>
        <v>-20.93000000010943</v>
      </c>
      <c r="ADZ42" s="35">
        <f t="shared" si="695"/>
        <v>10.845000000088476</v>
      </c>
      <c r="AEA42" s="35">
        <f t="shared" si="695"/>
        <v>-10.914000000106171</v>
      </c>
      <c r="AEB42" s="35">
        <f t="shared" si="695"/>
        <v>29.634000000078231</v>
      </c>
      <c r="AEC42" s="35">
        <f t="shared" si="695"/>
        <v>-25.689000000013039</v>
      </c>
      <c r="AED42" s="35">
        <f t="shared" si="695"/>
        <v>3.0800000000745058</v>
      </c>
      <c r="AEE42" s="35">
        <f t="shared" si="695"/>
        <v>-19.01400000002468</v>
      </c>
      <c r="AEF42" s="35">
        <f t="shared" si="695"/>
        <v>43.606999999959953</v>
      </c>
      <c r="AEG42" s="35">
        <f t="shared" si="695"/>
        <v>10.412000000011176</v>
      </c>
      <c r="AEH42" s="35">
        <f t="shared" si="695"/>
        <v>-21.467999999993481</v>
      </c>
      <c r="AEI42" s="35">
        <f t="shared" si="695"/>
        <v>-58.398000000044703</v>
      </c>
      <c r="AEJ42" s="35">
        <f t="shared" si="695"/>
        <v>-49.999999999941792</v>
      </c>
      <c r="AEK42" s="35">
        <f t="shared" si="695"/>
        <v>20.800999999977648</v>
      </c>
      <c r="AEL42" s="35">
        <f t="shared" si="695"/>
        <v>41.856999999959953</v>
      </c>
      <c r="AEM42" s="35">
        <f t="shared" si="695"/>
        <v>-3.7099999999627471</v>
      </c>
      <c r="AEN42" s="127">
        <f t="shared" si="581"/>
        <v>-2.2880000000586733</v>
      </c>
      <c r="AEO42" s="35">
        <f t="shared" ref="AEO42:AFS42" si="696">AEO41-AEO40</f>
        <v>-2.3599999999860302</v>
      </c>
      <c r="AEP42" s="35">
        <f t="shared" si="696"/>
        <v>-17.490000000048894</v>
      </c>
      <c r="AEQ42" s="35">
        <f t="shared" si="696"/>
        <v>13.2620000000461</v>
      </c>
      <c r="AER42" s="35">
        <f t="shared" si="696"/>
        <v>-21.77700000006007</v>
      </c>
      <c r="AES42" s="35">
        <f t="shared" si="696"/>
        <v>25.865999999979977</v>
      </c>
      <c r="AET42" s="35">
        <f t="shared" si="696"/>
        <v>14.832000000111293</v>
      </c>
      <c r="AEU42" s="35">
        <f t="shared" si="696"/>
        <v>-16.371999999973923</v>
      </c>
      <c r="AEV42" s="35">
        <f t="shared" si="696"/>
        <v>-2.2930000000633299</v>
      </c>
      <c r="AEW42" s="35">
        <f t="shared" si="696"/>
        <v>30.349999999976717</v>
      </c>
      <c r="AEX42" s="35">
        <f t="shared" si="696"/>
        <v>-18.059999999939464</v>
      </c>
      <c r="AEY42" s="35">
        <f t="shared" si="696"/>
        <v>-36.813000000081956</v>
      </c>
      <c r="AEZ42" s="35">
        <f t="shared" si="696"/>
        <v>-16.586999999941327</v>
      </c>
      <c r="AFA42" s="35">
        <f t="shared" si="696"/>
        <v>46.85899999999674</v>
      </c>
      <c r="AFB42" s="35">
        <f t="shared" si="696"/>
        <v>4.2059999999473803</v>
      </c>
      <c r="AFC42" s="35">
        <f t="shared" si="696"/>
        <v>-17.516999999992549</v>
      </c>
      <c r="AFD42" s="35">
        <f t="shared" si="696"/>
        <v>28.592000000004191</v>
      </c>
      <c r="AFE42" s="35">
        <f t="shared" si="696"/>
        <v>19.766999999992549</v>
      </c>
      <c r="AFF42" s="35">
        <f t="shared" si="696"/>
        <v>-65.90500000002794</v>
      </c>
      <c r="AFG42" s="35">
        <f t="shared" si="696"/>
        <v>17.316000000049826</v>
      </c>
      <c r="AFH42" s="35">
        <f t="shared" si="696"/>
        <v>7.6960000000544824</v>
      </c>
      <c r="AFI42" s="35">
        <f t="shared" si="696"/>
        <v>-15.048000000067987</v>
      </c>
      <c r="AFJ42" s="35">
        <f t="shared" si="696"/>
        <v>17.329000000027008</v>
      </c>
      <c r="AFK42" s="35">
        <f t="shared" si="696"/>
        <v>15.302000000025146</v>
      </c>
      <c r="AFL42" s="35">
        <f t="shared" si="696"/>
        <v>-32.118000000016764</v>
      </c>
      <c r="AFM42" s="35">
        <f t="shared" si="696"/>
        <v>-10.195999999996275</v>
      </c>
      <c r="AFN42" s="35">
        <f t="shared" si="696"/>
        <v>-13.923999999999069</v>
      </c>
      <c r="AFO42" s="35">
        <f t="shared" si="696"/>
        <v>52.411999999952968</v>
      </c>
      <c r="AFP42" s="35">
        <f t="shared" si="696"/>
        <v>-18.548000000009779</v>
      </c>
      <c r="AFQ42" s="35">
        <f t="shared" si="696"/>
        <v>-199.83199999993667</v>
      </c>
      <c r="AFR42" s="35">
        <f t="shared" si="696"/>
        <v>144.77399999991758</v>
      </c>
      <c r="AFS42" s="35">
        <f t="shared" si="696"/>
        <v>14.366000000038184</v>
      </c>
      <c r="AFT42" s="127">
        <f t="shared" si="279"/>
        <v>-51.911000000021886</v>
      </c>
      <c r="AFU42" s="35">
        <f t="shared" ref="AFU42:AGX42" si="697">AFU41-AFU40</f>
        <v>28.665999999968335</v>
      </c>
      <c r="AFV42" s="35">
        <f t="shared" si="697"/>
        <v>-3.8159999999334104</v>
      </c>
      <c r="AFW42" s="35">
        <f t="shared" si="697"/>
        <v>64.185999999986961</v>
      </c>
      <c r="AFX42" s="35">
        <f t="shared" si="697"/>
        <v>-0.37600000004749745</v>
      </c>
      <c r="AFY42" s="35">
        <f t="shared" si="697"/>
        <v>-20.669999999925494</v>
      </c>
      <c r="AFZ42" s="35">
        <f t="shared" si="697"/>
        <v>6.0470000000204891</v>
      </c>
      <c r="AGA42" s="35">
        <f t="shared" si="697"/>
        <v>44.352000000013504</v>
      </c>
      <c r="AGB42" s="35">
        <f t="shared" si="697"/>
        <v>-51.157000000064727</v>
      </c>
      <c r="AGC42" s="35">
        <f t="shared" si="697"/>
        <v>5.9750000000349246</v>
      </c>
      <c r="AGD42" s="35">
        <f t="shared" si="697"/>
        <v>29.489000000001397</v>
      </c>
      <c r="AGE42" s="35">
        <f t="shared" si="697"/>
        <v>-9.5219999999389984</v>
      </c>
      <c r="AGF42" s="35">
        <f t="shared" si="697"/>
        <v>-16.741000000096392</v>
      </c>
      <c r="AGG42" s="35">
        <f t="shared" si="697"/>
        <v>38.491999999969266</v>
      </c>
      <c r="AGH42" s="35">
        <f t="shared" si="697"/>
        <v>-2.0419999999576248</v>
      </c>
      <c r="AGI42" s="35">
        <f t="shared" si="697"/>
        <v>-18.114000000059605</v>
      </c>
      <c r="AGJ42" s="35">
        <f t="shared" si="697"/>
        <v>167.18100000004051</v>
      </c>
      <c r="AGK42" s="35">
        <f t="shared" si="697"/>
        <v>-166.67299999989336</v>
      </c>
      <c r="AGL42" s="35">
        <f t="shared" si="697"/>
        <v>18.438999999838416</v>
      </c>
      <c r="AGM42" s="35">
        <f t="shared" si="697"/>
        <v>-0.74499999987892807</v>
      </c>
      <c r="AGN42" s="35">
        <f t="shared" si="697"/>
        <v>-4.0810000000637956</v>
      </c>
      <c r="AGO42" s="35">
        <f t="shared" si="697"/>
        <v>-33.971000000019558</v>
      </c>
      <c r="AGP42" s="35">
        <f t="shared" si="697"/>
        <v>13.247000000032131</v>
      </c>
      <c r="AGQ42" s="35">
        <f t="shared" si="697"/>
        <v>44.600000000093132</v>
      </c>
      <c r="AGR42" s="35">
        <f t="shared" si="697"/>
        <v>25.901999999885447</v>
      </c>
      <c r="AGS42" s="35">
        <f t="shared" si="697"/>
        <v>-14.418000000005122</v>
      </c>
      <c r="AGT42" s="35">
        <f t="shared" si="697"/>
        <v>7.1979999999748543</v>
      </c>
      <c r="AGU42" s="35">
        <f t="shared" si="697"/>
        <v>-26.695999999879859</v>
      </c>
      <c r="AGV42" s="35">
        <f t="shared" si="697"/>
        <v>58.462999999988824</v>
      </c>
      <c r="AGW42" s="35">
        <f t="shared" si="697"/>
        <v>1.7079999999259599</v>
      </c>
      <c r="AGX42" s="35">
        <f t="shared" si="697"/>
        <v>-28.742999999958556</v>
      </c>
      <c r="AGY42" s="127">
        <f t="shared" si="586"/>
        <v>156.18000000005122</v>
      </c>
      <c r="AGZ42" s="35">
        <f t="shared" ref="AGZ42:AID42" si="698">AGZ41-AGZ40</f>
        <v>50.018999999971129</v>
      </c>
      <c r="AHA42" s="35">
        <f t="shared" si="698"/>
        <v>-5.8269999999902211</v>
      </c>
      <c r="AHB42" s="35">
        <f t="shared" si="698"/>
        <v>1.8220000000437722</v>
      </c>
      <c r="AHC42" s="35">
        <f t="shared" si="698"/>
        <v>-14.301000000035856</v>
      </c>
      <c r="AHD42" s="35">
        <f t="shared" si="698"/>
        <v>23.940000000002328</v>
      </c>
      <c r="AHE42" s="35">
        <f t="shared" si="698"/>
        <v>-61.561999999976251</v>
      </c>
      <c r="AHF42" s="35">
        <f t="shared" si="698"/>
        <v>-8.3140000000712462</v>
      </c>
      <c r="AHG42" s="35">
        <f t="shared" si="698"/>
        <v>-2.3570000000181608</v>
      </c>
      <c r="AHH42" s="35">
        <f t="shared" si="698"/>
        <v>27.472000000008848</v>
      </c>
      <c r="AHI42" s="35">
        <f t="shared" si="698"/>
        <v>12.083000000042375</v>
      </c>
      <c r="AHJ42" s="35">
        <f t="shared" si="698"/>
        <v>-81.534000000043306</v>
      </c>
      <c r="AHK42" s="35">
        <f t="shared" si="698"/>
        <v>-29.09599999996135</v>
      </c>
      <c r="AHL42" s="35">
        <f t="shared" si="698"/>
        <v>42.814000000013039</v>
      </c>
      <c r="AHM42" s="35">
        <f t="shared" si="698"/>
        <v>-7.4459999999962747</v>
      </c>
      <c r="AHN42" s="35">
        <f t="shared" si="698"/>
        <v>32.010999999940395</v>
      </c>
      <c r="AHO42" s="35">
        <f t="shared" si="698"/>
        <v>49.144000000145752</v>
      </c>
      <c r="AHP42" s="35">
        <f t="shared" si="698"/>
        <v>-52.893000000098255</v>
      </c>
      <c r="AHQ42" s="35">
        <f t="shared" si="698"/>
        <v>0.29800000000977889</v>
      </c>
      <c r="AHR42" s="35">
        <f t="shared" si="698"/>
        <v>-29.309000000008382</v>
      </c>
      <c r="AHS42" s="35">
        <f t="shared" si="698"/>
        <v>29.181999999913387</v>
      </c>
      <c r="AHT42" s="35">
        <f t="shared" si="698"/>
        <v>-24.106999999843538</v>
      </c>
      <c r="AHU42" s="35">
        <f t="shared" si="698"/>
        <v>10.66699999984121</v>
      </c>
      <c r="AHV42" s="35">
        <f t="shared" si="698"/>
        <v>-1.7299999999813735</v>
      </c>
      <c r="AHW42" s="35">
        <f t="shared" si="698"/>
        <v>26.382000000099652</v>
      </c>
      <c r="AHX42" s="35">
        <f t="shared" si="698"/>
        <v>31.607999999949243</v>
      </c>
      <c r="AHY42" s="35">
        <f t="shared" si="698"/>
        <v>-39.129999999946449</v>
      </c>
      <c r="AHZ42" s="35">
        <f t="shared" si="698"/>
        <v>-6.5530000000144355</v>
      </c>
      <c r="AIA42" s="35">
        <f t="shared" si="698"/>
        <v>-15.96999999997206</v>
      </c>
      <c r="AIB42" s="35">
        <f t="shared" si="698"/>
        <v>51.43099999986589</v>
      </c>
      <c r="AIC42" s="35">
        <f t="shared" si="698"/>
        <v>-42.054999999934807</v>
      </c>
      <c r="AID42" s="35">
        <f t="shared" si="698"/>
        <v>-3.8950000000186265</v>
      </c>
      <c r="AIE42" s="127">
        <f t="shared" si="519"/>
        <v>-37.206000000063796</v>
      </c>
      <c r="AIF42" s="35">
        <f t="shared" ref="AIF42:AJJ42" si="699">AIF41-AIF40</f>
        <v>-46.686999999976251</v>
      </c>
      <c r="AIG42" s="35">
        <f t="shared" si="699"/>
        <v>66.385000000009313</v>
      </c>
      <c r="AIH42" s="35">
        <f t="shared" si="699"/>
        <v>22.994999999995343</v>
      </c>
      <c r="AII42" s="35">
        <f t="shared" si="699"/>
        <v>-71.343999999924563</v>
      </c>
      <c r="AIJ42" s="35">
        <f t="shared" si="699"/>
        <v>-118.03900000004796</v>
      </c>
      <c r="AIK42" s="35">
        <f t="shared" si="699"/>
        <v>183.43400000006659</v>
      </c>
      <c r="AIL42" s="35">
        <f t="shared" si="699"/>
        <v>7.7319999999599531</v>
      </c>
      <c r="AIM42" s="35">
        <f t="shared" si="699"/>
        <v>-1.8220000000437722</v>
      </c>
      <c r="AIN42" s="35">
        <f t="shared" si="699"/>
        <v>-34.353999999992084</v>
      </c>
      <c r="AIO42" s="35">
        <f t="shared" si="699"/>
        <v>5.198000000033062</v>
      </c>
      <c r="AIP42" s="35">
        <f t="shared" si="699"/>
        <v>-17.346000000019558</v>
      </c>
      <c r="AIQ42" s="35">
        <f t="shared" si="699"/>
        <v>30.229999999981374</v>
      </c>
      <c r="AIR42" s="35">
        <f t="shared" si="699"/>
        <v>-34.977000000071712</v>
      </c>
      <c r="AIS42" s="35">
        <f t="shared" si="699"/>
        <v>27.560000000114087</v>
      </c>
      <c r="AIT42" s="35">
        <f t="shared" si="699"/>
        <v>-27.786000000021886</v>
      </c>
      <c r="AIU42" s="35">
        <f t="shared" si="699"/>
        <v>-31.305999999982305</v>
      </c>
      <c r="AIV42" s="35">
        <f t="shared" si="699"/>
        <v>-29.636000000056811</v>
      </c>
      <c r="AIW42" s="35">
        <f t="shared" si="699"/>
        <v>13.325000000011642</v>
      </c>
      <c r="AIX42" s="35">
        <f t="shared" si="699"/>
        <v>67.248999999952503</v>
      </c>
      <c r="AIY42" s="35">
        <f t="shared" si="699"/>
        <v>-23.72099999996135</v>
      </c>
      <c r="AIZ42" s="35">
        <f t="shared" si="699"/>
        <v>-14.813999999954831</v>
      </c>
      <c r="AJA42" s="35">
        <f t="shared" si="699"/>
        <v>-7.0970000001252629</v>
      </c>
      <c r="AJB42" s="35">
        <f t="shared" si="699"/>
        <v>97.975000000034925</v>
      </c>
      <c r="AJC42" s="35">
        <f t="shared" si="699"/>
        <v>-16.484999999927823</v>
      </c>
      <c r="AJD42" s="35">
        <f t="shared" si="699"/>
        <v>-3.538000000116881</v>
      </c>
      <c r="AJE42" s="35">
        <f t="shared" si="699"/>
        <v>16.410000000090804</v>
      </c>
      <c r="AJF42" s="35">
        <f t="shared" si="699"/>
        <v>17.817999999970198</v>
      </c>
      <c r="AJG42" s="35">
        <f t="shared" si="699"/>
        <v>-3.3249999999534339</v>
      </c>
      <c r="AJH42" s="35">
        <f t="shared" si="699"/>
        <v>-15.47199999995064</v>
      </c>
      <c r="AJI42" s="35">
        <f t="shared" si="699"/>
        <v>405.5209999998915</v>
      </c>
      <c r="AJJ42" s="35">
        <f t="shared" si="699"/>
        <v>-7.7219999999506399</v>
      </c>
      <c r="AJK42" s="127">
        <f t="shared" si="520"/>
        <v>456.36100000003353</v>
      </c>
      <c r="AJL42" s="35">
        <f t="shared" ref="AJL42:AKM42" si="700">AJL41-AJL40</f>
        <v>14.278999999980442</v>
      </c>
      <c r="AJM42" s="35">
        <f t="shared" si="700"/>
        <v>48.058000000019092</v>
      </c>
      <c r="AJN42" s="35">
        <f t="shared" si="700"/>
        <v>-31.682999999960884</v>
      </c>
      <c r="AJO42" s="35">
        <f t="shared" si="700"/>
        <v>-19.724999999976717</v>
      </c>
      <c r="AJP42" s="35">
        <f t="shared" si="700"/>
        <v>-30.521000000066124</v>
      </c>
      <c r="AJQ42" s="35">
        <f t="shared" si="700"/>
        <v>34.753999999957159</v>
      </c>
      <c r="AJR42" s="35">
        <f t="shared" si="700"/>
        <v>23.44800000009127</v>
      </c>
      <c r="AJS42" s="35">
        <f t="shared" si="700"/>
        <v>-6.7600000000093132</v>
      </c>
      <c r="AJT42" s="35">
        <f t="shared" si="700"/>
        <v>-14.405999999959022</v>
      </c>
      <c r="AJU42" s="35">
        <f t="shared" si="700"/>
        <v>23.232999999949243</v>
      </c>
      <c r="AJV42" s="35">
        <f t="shared" si="700"/>
        <v>-10.957000000111293</v>
      </c>
      <c r="AJW42" s="35">
        <f t="shared" si="700"/>
        <v>35.077000000106636</v>
      </c>
      <c r="AJX42" s="35">
        <f t="shared" si="700"/>
        <v>-4.8499999999767169</v>
      </c>
      <c r="AJY42" s="35">
        <f t="shared" si="700"/>
        <v>-12.029000000096858</v>
      </c>
      <c r="AJZ42" s="35">
        <f t="shared" si="700"/>
        <v>-23.072000000043772</v>
      </c>
      <c r="AKA42" s="35">
        <f t="shared" si="700"/>
        <v>58.902000000118278</v>
      </c>
      <c r="AKB42" s="35">
        <f t="shared" si="700"/>
        <v>-21.447999999974854</v>
      </c>
      <c r="AKC42" s="35">
        <f t="shared" si="700"/>
        <v>-12.361000000091735</v>
      </c>
      <c r="AKD42" s="35">
        <f t="shared" si="700"/>
        <v>17.634000000020023</v>
      </c>
      <c r="AKE42" s="35">
        <f t="shared" si="700"/>
        <v>39.847999999998137</v>
      </c>
      <c r="AKF42" s="35">
        <f t="shared" si="700"/>
        <v>-23.567999999993845</v>
      </c>
      <c r="AKG42" s="35">
        <f t="shared" si="700"/>
        <v>7.6210000001010485</v>
      </c>
      <c r="AKH42" s="35">
        <f t="shared" si="700"/>
        <v>-32.451000000059139</v>
      </c>
      <c r="AKI42" s="35">
        <f t="shared" si="700"/>
        <v>62.365999999979977</v>
      </c>
      <c r="AKJ42" s="35">
        <f t="shared" si="700"/>
        <v>-43.621000000042841</v>
      </c>
      <c r="AKK42" s="35">
        <f t="shared" si="700"/>
        <v>6.0020000000949949</v>
      </c>
      <c r="AKL42" s="35">
        <f t="shared" si="700"/>
        <v>11.858000000065658</v>
      </c>
      <c r="AKM42" s="35">
        <f t="shared" si="700"/>
        <v>14.202999999863096</v>
      </c>
      <c r="AKN42" s="127">
        <f t="shared" si="11"/>
        <v>109.83099999998194</v>
      </c>
      <c r="AKO42" s="35">
        <f t="shared" ref="AKO42:ALS42" si="701">AKO41-AKO40</f>
        <v>-65.004999999946449</v>
      </c>
      <c r="AKP42" s="35">
        <f t="shared" si="701"/>
        <v>51.201999999990221</v>
      </c>
      <c r="AKQ42" s="35">
        <f t="shared" si="701"/>
        <v>6.8660000000381842</v>
      </c>
      <c r="AKR42" s="35">
        <f t="shared" si="701"/>
        <v>2.0189999998547137</v>
      </c>
      <c r="AKS42" s="35">
        <f t="shared" si="701"/>
        <v>6.353000000002794</v>
      </c>
      <c r="AKT42" s="35">
        <f t="shared" si="701"/>
        <v>-17.518999999854714</v>
      </c>
      <c r="AKU42" s="35">
        <f t="shared" si="701"/>
        <v>41.494999999995343</v>
      </c>
      <c r="AKV42" s="35">
        <f t="shared" si="701"/>
        <v>-46.133000000088941</v>
      </c>
      <c r="AKW42" s="35">
        <f t="shared" si="701"/>
        <v>8.463000000012471</v>
      </c>
      <c r="AKX42" s="35">
        <f t="shared" si="701"/>
        <v>-66.949000000022352</v>
      </c>
      <c r="AKY42" s="35">
        <f t="shared" si="701"/>
        <v>-42.784999999916181</v>
      </c>
      <c r="AKZ42" s="35">
        <f t="shared" si="701"/>
        <v>32.783999999926891</v>
      </c>
      <c r="ALA42" s="35">
        <f t="shared" si="701"/>
        <v>30.442000000097323</v>
      </c>
      <c r="ALB42" s="35">
        <f t="shared" si="701"/>
        <v>-6.4560000000637956</v>
      </c>
      <c r="ALC42" s="35">
        <f t="shared" si="701"/>
        <v>-1.7029999999795109</v>
      </c>
      <c r="ALD42" s="35">
        <f t="shared" si="701"/>
        <v>-7.05700000008801</v>
      </c>
      <c r="ALE42" s="35">
        <f t="shared" si="701"/>
        <v>41.620000000111759</v>
      </c>
      <c r="ALF42" s="35">
        <f t="shared" si="701"/>
        <v>-24.456999999994878</v>
      </c>
      <c r="ALG42" s="35">
        <f t="shared" si="701"/>
        <v>9.0869999999995343</v>
      </c>
      <c r="ALH42" s="35">
        <f t="shared" si="701"/>
        <v>11.683999999950174</v>
      </c>
      <c r="ALI42" s="35">
        <f t="shared" si="701"/>
        <v>-21.944000000017695</v>
      </c>
      <c r="ALJ42" s="35">
        <f t="shared" si="701"/>
        <v>-13.003999999957159</v>
      </c>
      <c r="ALK42" s="35">
        <f t="shared" si="701"/>
        <v>46.357999999949243</v>
      </c>
      <c r="ALL42" s="35">
        <f t="shared" si="701"/>
        <v>-9.9979999999632128</v>
      </c>
      <c r="ALM42" s="35">
        <f t="shared" si="701"/>
        <v>-15.799999999988358</v>
      </c>
      <c r="ALN42" s="35">
        <f t="shared" si="701"/>
        <v>38.425999999977648</v>
      </c>
      <c r="ALO42" s="35">
        <f t="shared" si="701"/>
        <v>-44.600000000034925</v>
      </c>
      <c r="ALP42" s="35">
        <f t="shared" si="701"/>
        <v>43.40400000003865</v>
      </c>
      <c r="ALQ42" s="35">
        <f t="shared" si="701"/>
        <v>59.624999999941792</v>
      </c>
      <c r="ALR42" s="35">
        <f t="shared" si="701"/>
        <v>-69.999999999883585</v>
      </c>
      <c r="ALS42" s="35">
        <f t="shared" si="701"/>
        <v>-10.224000000103842</v>
      </c>
      <c r="ALT42" s="127">
        <f t="shared" si="12"/>
        <v>-33.806000000016866</v>
      </c>
      <c r="ALU42" s="35">
        <f t="shared" ref="ALU42:AMX42" si="702">ALU41-ALU40</f>
        <v>15.437000000034459</v>
      </c>
      <c r="ALV42" s="35">
        <f t="shared" si="702"/>
        <v>9.9439999999594875</v>
      </c>
      <c r="ALW42" s="35">
        <f t="shared" si="702"/>
        <v>-8.1099999999278225</v>
      </c>
      <c r="ALX42" s="35">
        <f t="shared" si="702"/>
        <v>8.4180000000051223</v>
      </c>
      <c r="ALY42" s="35">
        <f t="shared" si="702"/>
        <v>6.0199999999604188</v>
      </c>
      <c r="ALZ42" s="35">
        <f t="shared" si="702"/>
        <v>-2.3470000000088476</v>
      </c>
      <c r="AMA42" s="35">
        <f t="shared" si="702"/>
        <v>18.607999999891035</v>
      </c>
      <c r="AMB42" s="35">
        <f t="shared" si="702"/>
        <v>-10.888999999791849</v>
      </c>
      <c r="AMC42" s="35">
        <f t="shared" si="702"/>
        <v>-0.34799999999813735</v>
      </c>
      <c r="AMD42" s="35">
        <f t="shared" si="702"/>
        <v>-24.673999999999069</v>
      </c>
      <c r="AME42" s="35">
        <f t="shared" si="702"/>
        <v>60.987999999895692</v>
      </c>
      <c r="AMF42" s="35">
        <f t="shared" si="702"/>
        <v>-34.018000000040047</v>
      </c>
      <c r="AMG42" s="35">
        <f t="shared" si="702"/>
        <v>3.723000000056345</v>
      </c>
      <c r="AMH42" s="35">
        <f t="shared" si="702"/>
        <v>-35.531000000017229</v>
      </c>
      <c r="AMI42" s="35">
        <f t="shared" si="702"/>
        <v>43.176000000035856</v>
      </c>
      <c r="AMJ42" s="35">
        <f t="shared" si="702"/>
        <v>-10.559000000008382</v>
      </c>
      <c r="AMK42" s="35">
        <f t="shared" si="702"/>
        <v>19.131000000052154</v>
      </c>
      <c r="AML42" s="35">
        <f t="shared" si="702"/>
        <v>-20.211000000068452</v>
      </c>
      <c r="AMM42" s="35">
        <f t="shared" si="702"/>
        <v>-5.4439999999594875</v>
      </c>
      <c r="AMN42" s="35">
        <f t="shared" si="702"/>
        <v>34.172999999893364</v>
      </c>
      <c r="AMO42" s="35">
        <f t="shared" si="702"/>
        <v>-1.9829999999492429</v>
      </c>
      <c r="AMP42" s="35">
        <f t="shared" si="702"/>
        <v>5.0420000000158325</v>
      </c>
      <c r="AMQ42" s="35">
        <f t="shared" si="702"/>
        <v>50.291999999899417</v>
      </c>
      <c r="AMR42" s="35">
        <f t="shared" si="702"/>
        <v>-54.848999999754597</v>
      </c>
      <c r="AMS42" s="35">
        <f t="shared" si="702"/>
        <v>-47.713000000163447</v>
      </c>
      <c r="AMT42" s="35">
        <f t="shared" si="702"/>
        <v>-28.628999999898952</v>
      </c>
      <c r="AMU42" s="35">
        <f t="shared" si="702"/>
        <v>36.2379999999539</v>
      </c>
      <c r="AMV42" s="35">
        <f t="shared" si="702"/>
        <v>29.880000000004657</v>
      </c>
      <c r="AMW42" s="35">
        <f t="shared" si="702"/>
        <v>-35.394999999902211</v>
      </c>
      <c r="AMX42" s="35">
        <f t="shared" si="702"/>
        <v>-3.3500000000931323</v>
      </c>
      <c r="AMY42" s="127">
        <f t="shared" si="13"/>
        <v>17.020000000076834</v>
      </c>
      <c r="AMZ42" s="35">
        <f t="shared" ref="AMZ42:AOC42" si="703">AMZ41-AMZ40</f>
        <v>10.912000000069384</v>
      </c>
      <c r="ANA42" s="35">
        <f t="shared" si="703"/>
        <v>3.3119999999180436</v>
      </c>
      <c r="ANB42" s="35">
        <f t="shared" si="703"/>
        <v>11.752000000036787</v>
      </c>
      <c r="ANC42" s="35">
        <f t="shared" si="703"/>
        <v>-27.400000000096043</v>
      </c>
      <c r="AND42" s="35">
        <f t="shared" si="703"/>
        <v>7.3130000000237487</v>
      </c>
      <c r="ANE42" s="35">
        <f t="shared" si="703"/>
        <v>-8.1799999999930151</v>
      </c>
      <c r="ANF42" s="35">
        <f t="shared" si="703"/>
        <v>9.7180000000516884</v>
      </c>
      <c r="ANG42" s="35">
        <f t="shared" si="703"/>
        <v>24.542999999888707</v>
      </c>
      <c r="ANH42" s="35">
        <f t="shared" si="703"/>
        <v>20.970000000088476</v>
      </c>
      <c r="ANI42" s="35">
        <f t="shared" si="703"/>
        <v>-64.290999999968335</v>
      </c>
      <c r="ANJ42" s="35">
        <f t="shared" si="703"/>
        <v>10.078999999968801</v>
      </c>
      <c r="ANK42" s="35">
        <f t="shared" si="703"/>
        <v>6.9300000000512227</v>
      </c>
      <c r="ANL42" s="35">
        <f t="shared" si="703"/>
        <v>27.175999999861233</v>
      </c>
      <c r="ANM42" s="35">
        <f t="shared" si="703"/>
        <v>25.71200000011595</v>
      </c>
      <c r="ANN42" s="35">
        <f t="shared" si="703"/>
        <v>-67.348999999987427</v>
      </c>
      <c r="ANO42" s="35">
        <f t="shared" si="703"/>
        <v>11.184000000008382</v>
      </c>
      <c r="ANP42" s="35">
        <f t="shared" si="703"/>
        <v>4.4189999998779967</v>
      </c>
      <c r="ANQ42" s="35">
        <f t="shared" si="703"/>
        <v>46.649000000033993</v>
      </c>
      <c r="ANR42" s="35">
        <f t="shared" si="703"/>
        <v>-32.692999999970198</v>
      </c>
      <c r="ANS42" s="35">
        <f t="shared" si="703"/>
        <v>-15.310000000114087</v>
      </c>
      <c r="ANT42" s="35">
        <f t="shared" si="703"/>
        <v>3.5830000001587905</v>
      </c>
      <c r="ANU42" s="35">
        <f t="shared" si="703"/>
        <v>-3.451000000059139</v>
      </c>
      <c r="ANV42" s="35">
        <f t="shared" si="703"/>
        <v>6.3759999999892898</v>
      </c>
      <c r="ANW42" s="35">
        <f t="shared" si="703"/>
        <v>-16.532000000064727</v>
      </c>
      <c r="ANX42" s="35">
        <f t="shared" si="703"/>
        <v>22.595000000088476</v>
      </c>
      <c r="ANY42" s="35">
        <f t="shared" si="703"/>
        <v>-0.9280000000144355</v>
      </c>
      <c r="ANZ42" s="35">
        <f t="shared" si="703"/>
        <v>-18.981999999959953</v>
      </c>
      <c r="AOA42" s="35">
        <f t="shared" si="703"/>
        <v>18.990999999979977</v>
      </c>
      <c r="AOB42" s="35">
        <f t="shared" si="703"/>
        <v>3.1470000000554137</v>
      </c>
      <c r="AOC42" s="35">
        <f t="shared" si="703"/>
        <v>-273.52800000004936</v>
      </c>
    </row>
    <row r="43" spans="1:1069" x14ac:dyDescent="0.2">
      <c r="A43" s="160"/>
      <c r="B43" s="36" t="s">
        <v>1531</v>
      </c>
      <c r="C43" s="43">
        <f t="shared" ref="C43:AG43" si="704">C42*C8</f>
        <v>55667.51999999446</v>
      </c>
      <c r="D43" s="43">
        <f t="shared" si="704"/>
        <v>-44660.699999997996</v>
      </c>
      <c r="E43" s="43">
        <f t="shared" si="704"/>
        <v>74564.55000000367</v>
      </c>
      <c r="F43" s="43">
        <f t="shared" si="704"/>
        <v>-47612.06999999813</v>
      </c>
      <c r="G43" s="43">
        <f t="shared" si="704"/>
        <v>-26332.830000146478</v>
      </c>
      <c r="H43" s="43">
        <f t="shared" si="704"/>
        <v>47910.420000150756</v>
      </c>
      <c r="I43" s="43">
        <f t="shared" si="704"/>
        <v>-38528.460000001069</v>
      </c>
      <c r="J43" s="43">
        <f t="shared" si="704"/>
        <v>-67624.950000036508</v>
      </c>
      <c r="K43" s="43">
        <f t="shared" si="704"/>
        <v>-1706.5499998444011</v>
      </c>
      <c r="L43" s="43">
        <f t="shared" si="704"/>
        <v>161689.79999998701</v>
      </c>
      <c r="M43" s="43">
        <f t="shared" si="704"/>
        <v>107177.84999986034</v>
      </c>
      <c r="N43" s="43">
        <f t="shared" si="704"/>
        <v>-14535.899999814865</v>
      </c>
      <c r="O43" s="43">
        <f t="shared" si="704"/>
        <v>-184037.70000017539</v>
      </c>
      <c r="P43" s="43">
        <f t="shared" si="704"/>
        <v>229993.6499999123</v>
      </c>
      <c r="Q43" s="43">
        <f t="shared" si="704"/>
        <v>-96292.199999926379</v>
      </c>
      <c r="R43" s="43">
        <f t="shared" si="704"/>
        <v>394817.55000030098</v>
      </c>
      <c r="S43" s="43">
        <f t="shared" si="704"/>
        <v>-194109.60000029881</v>
      </c>
      <c r="T43" s="43">
        <f t="shared" si="704"/>
        <v>-48192.600000006496</v>
      </c>
      <c r="U43" s="43">
        <f t="shared" si="704"/>
        <v>-161201.54999980296</v>
      </c>
      <c r="V43" s="43">
        <f t="shared" si="704"/>
        <v>114301.64999961999</v>
      </c>
      <c r="W43" s="43">
        <f t="shared" si="704"/>
        <v>98603.250000211119</v>
      </c>
      <c r="X43" s="43">
        <f t="shared" si="704"/>
        <v>-166558.34999994695</v>
      </c>
      <c r="Y43" s="43">
        <f t="shared" si="704"/>
        <v>150580.95000014291</v>
      </c>
      <c r="Z43" s="43">
        <f t="shared" si="704"/>
        <v>-168185.85000038001</v>
      </c>
      <c r="AA43" s="43">
        <f t="shared" si="704"/>
        <v>151590.00000029773</v>
      </c>
      <c r="AB43" s="43">
        <f t="shared" si="704"/>
        <v>-255587.25000011909</v>
      </c>
      <c r="AC43" s="43">
        <f t="shared" si="704"/>
        <v>-15089.249999843014</v>
      </c>
      <c r="AD43" s="43">
        <f t="shared" si="704"/>
        <v>241246.64999983652</v>
      </c>
      <c r="AE43" s="43">
        <f t="shared" si="704"/>
        <v>-133027.16000014305</v>
      </c>
      <c r="AF43" s="43">
        <f t="shared" si="704"/>
        <v>92322.650000398571</v>
      </c>
      <c r="AG43" s="43">
        <f t="shared" si="704"/>
        <v>71991.499999890802</v>
      </c>
      <c r="AH43" s="94">
        <f t="shared" si="523"/>
        <v>329175.02000012557</v>
      </c>
      <c r="AI43" s="43">
        <f t="shared" ref="AI43:BL43" si="705">AI42*AI8</f>
        <v>-104193.04000020638</v>
      </c>
      <c r="AJ43" s="43">
        <f t="shared" si="705"/>
        <v>16006.970000002184</v>
      </c>
      <c r="AK43" s="43">
        <f t="shared" si="705"/>
        <v>-59075.239999818732</v>
      </c>
      <c r="AL43" s="43">
        <f t="shared" si="705"/>
        <v>66644.899999961781</v>
      </c>
      <c r="AM43" s="43">
        <f t="shared" si="705"/>
        <v>122319.88999988971</v>
      </c>
      <c r="AN43" s="43">
        <f t="shared" si="705"/>
        <v>-15406.649999879883</v>
      </c>
      <c r="AO43" s="43">
        <f t="shared" si="705"/>
        <v>-64332.729999883159</v>
      </c>
      <c r="AP43" s="43">
        <f t="shared" si="705"/>
        <v>-12695.830000112473</v>
      </c>
      <c r="AQ43" s="43">
        <f t="shared" si="705"/>
        <v>-330498.39999985998</v>
      </c>
      <c r="AR43" s="43">
        <f t="shared" si="705"/>
        <v>-382281.85000026424</v>
      </c>
      <c r="AS43" s="43">
        <f t="shared" si="705"/>
        <v>-175647.59999993112</v>
      </c>
      <c r="AT43" s="43">
        <f t="shared" si="705"/>
        <v>38159.800000081304</v>
      </c>
      <c r="AU43" s="43">
        <f t="shared" si="705"/>
        <v>-89278.799999979674</v>
      </c>
      <c r="AV43" s="43">
        <f t="shared" si="705"/>
        <v>127610.69999988249</v>
      </c>
      <c r="AW43" s="43">
        <f t="shared" si="705"/>
        <v>128433.9000000502</v>
      </c>
      <c r="AX43" s="43">
        <f t="shared" si="705"/>
        <v>-111445.59999988705</v>
      </c>
      <c r="AY43" s="43">
        <f t="shared" si="705"/>
        <v>-397419.40000028408</v>
      </c>
      <c r="AZ43" s="43">
        <f t="shared" si="705"/>
        <v>441862.39999991719</v>
      </c>
      <c r="BA43" s="43">
        <f t="shared" si="705"/>
        <v>-152277.29999995654</v>
      </c>
      <c r="BB43" s="43">
        <f t="shared" si="705"/>
        <v>125479.20000017912</v>
      </c>
      <c r="BC43" s="43">
        <f t="shared" si="705"/>
        <v>-33858.999999874504</v>
      </c>
      <c r="BD43" s="43">
        <f t="shared" si="705"/>
        <v>263600.40000001027</v>
      </c>
      <c r="BE43" s="43">
        <f t="shared" si="705"/>
        <v>-130496.80000006047</v>
      </c>
      <c r="BF43" s="43">
        <f t="shared" si="705"/>
        <v>84627.899999896181</v>
      </c>
      <c r="BG43" s="43">
        <f t="shared" si="705"/>
        <v>-35559.299999917857</v>
      </c>
      <c r="BH43" s="43">
        <f t="shared" si="705"/>
        <v>-3013.500000096974</v>
      </c>
      <c r="BI43" s="43">
        <f t="shared" si="705"/>
        <v>100067.8000001004</v>
      </c>
      <c r="BJ43" s="43">
        <f t="shared" si="705"/>
        <v>-110439.4499997914</v>
      </c>
      <c r="BK43" s="43">
        <f t="shared" si="705"/>
        <v>-12924.450000310026</v>
      </c>
      <c r="BL43" s="43">
        <f t="shared" si="705"/>
        <v>226680.3000001164</v>
      </c>
      <c r="BM43" s="97">
        <f t="shared" si="527"/>
        <v>-479350.78000002733</v>
      </c>
      <c r="BN43" s="43">
        <f t="shared" ref="BN43:CR43" si="706">BN42*BN8</f>
        <v>73269.899999980407</v>
      </c>
      <c r="BO43" s="43">
        <f t="shared" si="706"/>
        <v>-38204.100000111794</v>
      </c>
      <c r="BP43" s="43">
        <f t="shared" si="706"/>
        <v>122908.50000022474</v>
      </c>
      <c r="BQ43" s="43">
        <f t="shared" si="706"/>
        <v>-67691.249999942374</v>
      </c>
      <c r="BR43" s="43">
        <f t="shared" si="706"/>
        <v>191104.6499996577</v>
      </c>
      <c r="BS43" s="43">
        <f t="shared" si="706"/>
        <v>-82491.74999975221</v>
      </c>
      <c r="BT43" s="43">
        <f t="shared" si="706"/>
        <v>-34917.300000306568</v>
      </c>
      <c r="BU43" s="43">
        <f t="shared" si="706"/>
        <v>53781.750000386091</v>
      </c>
      <c r="BV43" s="43">
        <f t="shared" si="706"/>
        <v>-3801.6000004863599</v>
      </c>
      <c r="BW43" s="43">
        <f t="shared" si="706"/>
        <v>-13478.849999558588</v>
      </c>
      <c r="BX43" s="43">
        <f t="shared" si="706"/>
        <v>171403.65000003803</v>
      </c>
      <c r="BY43" s="43">
        <f t="shared" si="706"/>
        <v>-128318.85000004841</v>
      </c>
      <c r="BZ43" s="43">
        <f t="shared" si="706"/>
        <v>-35125.200000096811</v>
      </c>
      <c r="CA43" s="43">
        <f t="shared" si="706"/>
        <v>-289287.89999990549</v>
      </c>
      <c r="CB43" s="43">
        <f t="shared" si="706"/>
        <v>-101499.75000002305</v>
      </c>
      <c r="CC43" s="43">
        <f t="shared" si="706"/>
        <v>167146.64999996312</v>
      </c>
      <c r="CD43" s="43">
        <f t="shared" si="706"/>
        <v>-93688.649999980407</v>
      </c>
      <c r="CE43" s="43">
        <f t="shared" si="706"/>
        <v>358365.14999969804</v>
      </c>
      <c r="CF43" s="43">
        <f t="shared" si="706"/>
        <v>145450.80000009912</v>
      </c>
      <c r="CG43" s="43">
        <f t="shared" si="706"/>
        <v>112894.65000029159</v>
      </c>
      <c r="CH43" s="43">
        <f t="shared" si="706"/>
        <v>-332338.0499999781</v>
      </c>
      <c r="CI43" s="43">
        <f t="shared" si="706"/>
        <v>64265.849999892816</v>
      </c>
      <c r="CJ43" s="43">
        <f t="shared" si="706"/>
        <v>162780.74999975797</v>
      </c>
      <c r="CK43" s="43">
        <f t="shared" si="706"/>
        <v>-80754.299999776413</v>
      </c>
      <c r="CL43" s="43">
        <f t="shared" si="706"/>
        <v>363810.14999972685</v>
      </c>
      <c r="CM43" s="43">
        <f t="shared" si="706"/>
        <v>260068.05000023742</v>
      </c>
      <c r="CN43" s="43">
        <f t="shared" si="706"/>
        <v>32962.049999782175</v>
      </c>
      <c r="CO43" s="43">
        <f t="shared" si="706"/>
        <v>-300435.30000008759</v>
      </c>
      <c r="CP43" s="43">
        <f t="shared" si="706"/>
        <v>319636.35000030772</v>
      </c>
      <c r="CQ43" s="43">
        <f t="shared" si="706"/>
        <v>-94965.750000132539</v>
      </c>
      <c r="CR43" s="43">
        <f t="shared" si="706"/>
        <v>1054.3500002328074</v>
      </c>
      <c r="CS43" s="111">
        <f t="shared" si="208"/>
        <v>903904.6500000899</v>
      </c>
      <c r="CT43" s="43">
        <f t="shared" ref="CT43:DW43" si="707">CT42*CT8</f>
        <v>-138426.7500004149</v>
      </c>
      <c r="CU43" s="43">
        <f t="shared" si="707"/>
        <v>470665.80000030081</v>
      </c>
      <c r="CV43" s="43">
        <f t="shared" si="707"/>
        <v>-306746.55000005878</v>
      </c>
      <c r="CW43" s="43">
        <f t="shared" si="707"/>
        <v>-36100.350000025355</v>
      </c>
      <c r="CX43" s="43">
        <f t="shared" si="707"/>
        <v>-83293.649999951595</v>
      </c>
      <c r="CY43" s="43">
        <f t="shared" si="707"/>
        <v>132328.34999989282</v>
      </c>
      <c r="CZ43" s="43">
        <f t="shared" si="707"/>
        <v>-360637.19999971072</v>
      </c>
      <c r="DA43" s="43">
        <f t="shared" si="707"/>
        <v>35644.950000148674</v>
      </c>
      <c r="DB43" s="43">
        <f t="shared" si="707"/>
        <v>208815.74999970035</v>
      </c>
      <c r="DC43" s="43">
        <f t="shared" si="707"/>
        <v>-198009.90000003803</v>
      </c>
      <c r="DD43" s="43">
        <f t="shared" si="707"/>
        <v>71883.900000130234</v>
      </c>
      <c r="DE43" s="43">
        <f t="shared" si="707"/>
        <v>-2816.5500003757188</v>
      </c>
      <c r="DF43" s="43">
        <f t="shared" si="707"/>
        <v>125789.40000019938</v>
      </c>
      <c r="DG43" s="43">
        <f t="shared" si="707"/>
        <v>-117072.45000003523</v>
      </c>
      <c r="DH43" s="43">
        <f t="shared" si="707"/>
        <v>401325.73999988846</v>
      </c>
      <c r="DI43" s="43">
        <f t="shared" si="707"/>
        <v>-412044.25999967585</v>
      </c>
      <c r="DJ43" s="43">
        <f t="shared" si="707"/>
        <v>530711.44999990705</v>
      </c>
      <c r="DK43" s="43">
        <f t="shared" si="707"/>
        <v>152718.95000005228</v>
      </c>
      <c r="DL43" s="43">
        <f t="shared" si="707"/>
        <v>-289110.61999997328</v>
      </c>
      <c r="DM43" s="43">
        <f t="shared" si="707"/>
        <v>-169709.9000001917</v>
      </c>
      <c r="DN43" s="43">
        <f t="shared" si="707"/>
        <v>132589.28999998141</v>
      </c>
      <c r="DO43" s="43">
        <f t="shared" si="707"/>
        <v>-50972.850000127801</v>
      </c>
      <c r="DP43" s="43">
        <f t="shared" si="707"/>
        <v>-48652.499999854772</v>
      </c>
      <c r="DQ43" s="43">
        <f t="shared" si="707"/>
        <v>35538.780000015104</v>
      </c>
      <c r="DR43" s="43">
        <f t="shared" si="707"/>
        <v>444284.65000030788</v>
      </c>
      <c r="DS43" s="43">
        <f t="shared" si="707"/>
        <v>-209415.33000016614</v>
      </c>
      <c r="DT43" s="43">
        <f t="shared" si="707"/>
        <v>111117.31999976415</v>
      </c>
      <c r="DU43" s="43">
        <f t="shared" si="707"/>
        <v>-39685.470000042988</v>
      </c>
      <c r="DV43" s="43">
        <f t="shared" si="707"/>
        <v>-82883.899999930291</v>
      </c>
      <c r="DW43" s="43">
        <f t="shared" si="707"/>
        <v>237404.24000000465</v>
      </c>
      <c r="DX43" s="119">
        <f>SUM(CT43:DW43)</f>
        <v>545240.33999972022</v>
      </c>
      <c r="DY43" s="43">
        <f t="shared" ref="DY43:FC43" si="708">DY42*DY8</f>
        <v>-94096.429999945394</v>
      </c>
      <c r="DZ43" s="43">
        <f t="shared" si="708"/>
        <v>-73407.890000196348</v>
      </c>
      <c r="EA43" s="43">
        <f t="shared" si="708"/>
        <v>-81850.969999810623</v>
      </c>
      <c r="EB43" s="43">
        <f t="shared" si="708"/>
        <v>244879.25999996631</v>
      </c>
      <c r="EC43" s="43">
        <f t="shared" si="708"/>
        <v>-229.54000015568454</v>
      </c>
      <c r="ED43" s="43">
        <f t="shared" si="708"/>
        <v>-134410.63999978971</v>
      </c>
      <c r="EE43" s="43">
        <f t="shared" si="708"/>
        <v>-154086.21000022191</v>
      </c>
      <c r="EF43" s="43">
        <f t="shared" si="708"/>
        <v>77664.360000355518</v>
      </c>
      <c r="EG43" s="43">
        <f t="shared" si="708"/>
        <v>-106423.55000013777</v>
      </c>
      <c r="EH43" s="43">
        <f t="shared" si="708"/>
        <v>-38964.899999927729</v>
      </c>
      <c r="EI43" s="43">
        <f t="shared" si="708"/>
        <v>143851.00000001694</v>
      </c>
      <c r="EJ43" s="43">
        <f t="shared" si="708"/>
        <v>66934.849999891594</v>
      </c>
      <c r="EK43" s="43">
        <f t="shared" si="708"/>
        <v>-86218.449999766424</v>
      </c>
      <c r="EL43" s="43">
        <f t="shared" si="708"/>
        <v>-502828.60000031505</v>
      </c>
      <c r="EM43" s="43">
        <f t="shared" si="708"/>
        <v>90243.950000229233</v>
      </c>
      <c r="EN43" s="43">
        <f t="shared" si="708"/>
        <v>-75184.700000178418</v>
      </c>
      <c r="EO43" s="43">
        <f t="shared" si="708"/>
        <v>136629.34999986901</v>
      </c>
      <c r="EP43" s="43">
        <f t="shared" si="708"/>
        <v>7973.4000001422828</v>
      </c>
      <c r="EQ43" s="43">
        <f t="shared" si="708"/>
        <v>-53801.049999968382</v>
      </c>
      <c r="ER43" s="43">
        <f t="shared" si="708"/>
        <v>592873.70000013325</v>
      </c>
      <c r="ES43" s="43">
        <f t="shared" si="708"/>
        <v>-330915.50000005082</v>
      </c>
      <c r="ET43" s="43">
        <f t="shared" si="708"/>
        <v>29104.850000089209</v>
      </c>
      <c r="EU43" s="43">
        <f t="shared" si="708"/>
        <v>-55338.500000158092</v>
      </c>
      <c r="EV43" s="43">
        <f t="shared" si="708"/>
        <v>-53762.250000242784</v>
      </c>
      <c r="EW43" s="43">
        <f t="shared" si="708"/>
        <v>11931.000000242784</v>
      </c>
      <c r="EX43" s="43">
        <f t="shared" si="708"/>
        <v>96912.700000229233</v>
      </c>
      <c r="EY43" s="43">
        <f t="shared" si="708"/>
        <v>-21776.500000237138</v>
      </c>
      <c r="EZ43" s="43">
        <f t="shared" si="708"/>
        <v>-56614.049999906274</v>
      </c>
      <c r="FA43" s="43">
        <f t="shared" si="708"/>
        <v>-223837.20000000903</v>
      </c>
      <c r="FB43" s="43">
        <f t="shared" si="708"/>
        <v>167208.60000025859</v>
      </c>
      <c r="FC43" s="43">
        <f t="shared" si="708"/>
        <v>-7105.2500004065223</v>
      </c>
      <c r="FD43" s="128">
        <f>SUM(DY43:FC43)</f>
        <v>-484645.16000000009</v>
      </c>
      <c r="FE43" s="43">
        <f t="shared" ref="FE43:GI43" si="709">FE42*FE8</f>
        <v>-133404.09999968833</v>
      </c>
      <c r="FF43" s="43">
        <f t="shared" si="709"/>
        <v>153376.40000005194</v>
      </c>
      <c r="FG43" s="43">
        <f t="shared" si="709"/>
        <v>-249382.15000025521</v>
      </c>
      <c r="FH43" s="43">
        <f t="shared" si="709"/>
        <v>43577.249999791093</v>
      </c>
      <c r="FI43" s="43">
        <f t="shared" si="709"/>
        <v>50318.750000282307</v>
      </c>
      <c r="FJ43" s="43">
        <f t="shared" si="709"/>
        <v>-74811.250000084692</v>
      </c>
      <c r="FK43" s="43">
        <f t="shared" si="709"/>
        <v>-33178.849999789963</v>
      </c>
      <c r="FL43" s="43">
        <f t="shared" si="709"/>
        <v>218419.74999959348</v>
      </c>
      <c r="FM43" s="43">
        <f t="shared" si="709"/>
        <v>-140169.84999977867</v>
      </c>
      <c r="FN43" s="43">
        <f t="shared" si="709"/>
        <v>16165.049999923212</v>
      </c>
      <c r="FO43" s="43">
        <f t="shared" si="709"/>
        <v>-35361.349999705271</v>
      </c>
      <c r="FP43" s="43">
        <f t="shared" si="709"/>
        <v>-132390.45000038168</v>
      </c>
      <c r="FQ43" s="43">
        <f t="shared" si="709"/>
        <v>-20753.149999622838</v>
      </c>
      <c r="FR43" s="43">
        <f t="shared" si="709"/>
        <v>4578.3999998035142</v>
      </c>
      <c r="FS43" s="43">
        <f t="shared" si="709"/>
        <v>74365.05000020552</v>
      </c>
      <c r="FT43" s="43">
        <f t="shared" si="709"/>
        <v>-21650.400000458467</v>
      </c>
      <c r="FU43" s="43">
        <f t="shared" si="709"/>
        <v>-49654.299999494106</v>
      </c>
      <c r="FV43" s="43">
        <f t="shared" si="709"/>
        <v>-355277.05000040878</v>
      </c>
      <c r="FW43" s="43">
        <f t="shared" si="709"/>
        <v>-54741.949999771896</v>
      </c>
      <c r="FX43" s="43">
        <f t="shared" si="709"/>
        <v>32829.649999718822</v>
      </c>
      <c r="FY43" s="43">
        <f t="shared" si="709"/>
        <v>36273.150000243913</v>
      </c>
      <c r="FZ43" s="43">
        <f t="shared" si="709"/>
        <v>75572.699999834003</v>
      </c>
      <c r="GA43" s="43">
        <f t="shared" si="709"/>
        <v>-46031.349999902886</v>
      </c>
      <c r="GB43" s="43">
        <f t="shared" si="709"/>
        <v>-74369.900000153575</v>
      </c>
      <c r="GC43" s="43">
        <f t="shared" si="709"/>
        <v>91398.250000429107</v>
      </c>
      <c r="GD43" s="43">
        <f t="shared" si="709"/>
        <v>-31277.650000108406</v>
      </c>
      <c r="GE43" s="43">
        <f t="shared" si="709"/>
        <v>-52928.050000002258</v>
      </c>
      <c r="GF43" s="43">
        <f t="shared" si="709"/>
        <v>153114.49999989272</v>
      </c>
      <c r="GG43" s="43">
        <f t="shared" si="709"/>
        <v>-50071.399999967252</v>
      </c>
      <c r="GH43" s="43">
        <f t="shared" si="709"/>
        <v>-6882.1500001140521</v>
      </c>
      <c r="GI43" s="43">
        <f t="shared" si="709"/>
        <v>-64737.799999990966</v>
      </c>
      <c r="GJ43" s="127"/>
      <c r="GK43" s="43">
        <f t="shared" ref="GK43:HM43" si="710">GK42*GK8</f>
        <v>47054.700000093726</v>
      </c>
      <c r="GL43" s="43">
        <f t="shared" si="710"/>
        <v>-10699.099999885948</v>
      </c>
      <c r="GM43" s="43">
        <f t="shared" si="710"/>
        <v>-220015.40000014793</v>
      </c>
      <c r="GN43" s="43">
        <f t="shared" si="710"/>
        <v>159341.89999996161</v>
      </c>
      <c r="GO43" s="43">
        <f t="shared" si="710"/>
        <v>-52913.499999734631</v>
      </c>
      <c r="GP43" s="43">
        <f t="shared" si="710"/>
        <v>-484587.75000018068</v>
      </c>
      <c r="GQ43" s="43">
        <f t="shared" si="710"/>
        <v>91146.049999883689</v>
      </c>
      <c r="GR43" s="43">
        <f t="shared" si="710"/>
        <v>196599.60000010615</v>
      </c>
      <c r="GS43" s="43">
        <f t="shared" si="710"/>
        <v>-175938.60000006098</v>
      </c>
      <c r="GT43" s="43">
        <f t="shared" si="710"/>
        <v>8128.6000000327476</v>
      </c>
      <c r="GU43" s="43">
        <f t="shared" si="710"/>
        <v>37354.699999952572</v>
      </c>
      <c r="GV43" s="43">
        <f t="shared" si="710"/>
        <v>62608.649999786576</v>
      </c>
      <c r="GW43" s="43">
        <f t="shared" si="710"/>
        <v>-27290.949999896111</v>
      </c>
      <c r="GX43" s="43">
        <f t="shared" si="710"/>
        <v>-275019.25000007905</v>
      </c>
      <c r="GY43" s="43">
        <f t="shared" si="710"/>
        <v>8831.8500002642395</v>
      </c>
      <c r="GZ43" s="43">
        <f t="shared" si="710"/>
        <v>-119911.40000022133</v>
      </c>
      <c r="HA43" s="43">
        <f t="shared" si="710"/>
        <v>76334.150000289083</v>
      </c>
      <c r="HB43" s="43">
        <f t="shared" si="710"/>
        <v>36559.300000002258</v>
      </c>
      <c r="HC43" s="43">
        <f t="shared" si="710"/>
        <v>-62312.799999990966</v>
      </c>
      <c r="HD43" s="43">
        <f t="shared" si="710"/>
        <v>64480.749999920954</v>
      </c>
      <c r="HE43" s="43">
        <f t="shared" si="710"/>
        <v>-974.84999986336334</v>
      </c>
      <c r="HF43" s="43">
        <f t="shared" si="710"/>
        <v>-135639.95000030263</v>
      </c>
      <c r="HG43" s="43">
        <f t="shared" si="710"/>
        <v>75121.650000147929</v>
      </c>
      <c r="HH43" s="43">
        <f t="shared" si="710"/>
        <v>-134805.75000006211</v>
      </c>
      <c r="HI43" s="43">
        <f t="shared" si="710"/>
        <v>-37893.049999832874</v>
      </c>
      <c r="HJ43" s="43">
        <f t="shared" si="710"/>
        <v>221688.64999987127</v>
      </c>
      <c r="HK43" s="43">
        <f t="shared" si="710"/>
        <v>-17314.50000017503</v>
      </c>
      <c r="HL43" s="43">
        <f t="shared" si="710"/>
        <v>322180.65000015922</v>
      </c>
      <c r="HM43" s="43">
        <f t="shared" si="710"/>
        <v>-380458.25000031618</v>
      </c>
      <c r="HN43" s="127">
        <f t="shared" si="253"/>
        <v>-728343.90000027767</v>
      </c>
      <c r="HO43" s="43">
        <f t="shared" ref="HO43:IS43" si="711">HO42*HO8</f>
        <v>73739.400000413298</v>
      </c>
      <c r="HP43" s="43">
        <f t="shared" si="711"/>
        <v>146596.09999983513</v>
      </c>
      <c r="HQ43" s="43">
        <f t="shared" si="711"/>
        <v>91839.599999936763</v>
      </c>
      <c r="HR43" s="43">
        <f t="shared" si="711"/>
        <v>-239653.04999971995</v>
      </c>
      <c r="HS43" s="43">
        <f t="shared" si="711"/>
        <v>104265.29999968043</v>
      </c>
      <c r="HT43" s="43">
        <f t="shared" si="711"/>
        <v>64694.150000317313</v>
      </c>
      <c r="HU43" s="43">
        <f t="shared" si="711"/>
        <v>-16892.550000177289</v>
      </c>
      <c r="HV43" s="43">
        <f t="shared" si="711"/>
        <v>-93095.750000033877</v>
      </c>
      <c r="HW43" s="43">
        <f t="shared" si="711"/>
        <v>-143380.55000025633</v>
      </c>
      <c r="HX43" s="43">
        <f t="shared" si="711"/>
        <v>63355.550000397488</v>
      </c>
      <c r="HY43" s="43">
        <f t="shared" si="711"/>
        <v>-57074.800000194227</v>
      </c>
      <c r="HZ43" s="43">
        <f t="shared" si="711"/>
        <v>136758.59999984095</v>
      </c>
      <c r="IA43" s="43">
        <f t="shared" si="711"/>
        <v>-46267.649999755668</v>
      </c>
      <c r="IB43" s="43">
        <f t="shared" si="711"/>
        <v>122774.85000007146</v>
      </c>
      <c r="IC43" s="43">
        <f t="shared" si="711"/>
        <v>-12553.2000002524</v>
      </c>
      <c r="ID43" s="43">
        <f t="shared" si="711"/>
        <v>52465.050000225892</v>
      </c>
      <c r="IE43" s="43">
        <f t="shared" si="711"/>
        <v>227823.75000025932</v>
      </c>
      <c r="IF43" s="43">
        <f t="shared" si="711"/>
        <v>-122675.85000026738</v>
      </c>
      <c r="IG43" s="43">
        <f t="shared" si="711"/>
        <v>-5543.9999999769498</v>
      </c>
      <c r="IH43" s="43">
        <f t="shared" si="711"/>
        <v>56934.899999893969</v>
      </c>
      <c r="II43" s="43">
        <f t="shared" si="711"/>
        <v>-91406.699999641569</v>
      </c>
      <c r="IJ43" s="43">
        <f t="shared" si="711"/>
        <v>6707.250000051863</v>
      </c>
      <c r="IK43" s="43">
        <f t="shared" si="711"/>
        <v>84808.34999971994</v>
      </c>
      <c r="IL43" s="43">
        <f t="shared" si="711"/>
        <v>-77353.650000182097</v>
      </c>
      <c r="IM43" s="43">
        <f t="shared" si="711"/>
        <v>-27081.449999952747</v>
      </c>
      <c r="IN43" s="43">
        <f t="shared" si="711"/>
        <v>74358.89999998617</v>
      </c>
      <c r="IO43" s="43">
        <f t="shared" si="711"/>
        <v>262454.04000024282</v>
      </c>
      <c r="IP43" s="43">
        <f t="shared" si="711"/>
        <v>-87704.240000467558</v>
      </c>
      <c r="IQ43" s="43">
        <f t="shared" si="711"/>
        <v>-5573.829999701411</v>
      </c>
      <c r="IR43" s="43">
        <f t="shared" si="711"/>
        <v>-21951.010000024398</v>
      </c>
      <c r="IS43" s="43">
        <f t="shared" si="711"/>
        <v>-59331.099999779253</v>
      </c>
      <c r="IT43" s="127">
        <f t="shared" si="22"/>
        <v>462036.41000048973</v>
      </c>
      <c r="IU43" s="43">
        <f t="shared" ref="IU43:JX43" si="712">IU42*IU8</f>
        <v>83662.339999580581</v>
      </c>
      <c r="IV43" s="43">
        <f t="shared" si="712"/>
        <v>11956.040000329958</v>
      </c>
      <c r="IW43" s="43">
        <f t="shared" si="712"/>
        <v>-35603.650000046473</v>
      </c>
      <c r="IX43" s="43">
        <f t="shared" si="712"/>
        <v>47554.699999848963</v>
      </c>
      <c r="IY43" s="43">
        <f t="shared" si="712"/>
        <v>-209245.66999995004</v>
      </c>
      <c r="IZ43" s="43">
        <f t="shared" si="712"/>
        <v>223013.08000004996</v>
      </c>
      <c r="JA43" s="43">
        <f t="shared" si="712"/>
        <v>-160508.33999984199</v>
      </c>
      <c r="JB43" s="43">
        <f t="shared" si="712"/>
        <v>31307.260000006245</v>
      </c>
      <c r="JC43" s="43">
        <f t="shared" si="712"/>
        <v>-227319.45000040083</v>
      </c>
      <c r="JD43" s="43">
        <f t="shared" si="712"/>
        <v>-23158.589999871037</v>
      </c>
      <c r="JE43" s="43">
        <f t="shared" si="712"/>
        <v>136142.17000012432</v>
      </c>
      <c r="JF43" s="43">
        <f t="shared" si="712"/>
        <v>116556.42000018241</v>
      </c>
      <c r="JG43" s="43">
        <f t="shared" si="712"/>
        <v>-12864.220000042988</v>
      </c>
      <c r="JH43" s="43">
        <f t="shared" si="712"/>
        <v>-327159.36999982805</v>
      </c>
      <c r="JI43" s="43">
        <f t="shared" si="712"/>
        <v>347793.01999987452</v>
      </c>
      <c r="JJ43" s="43">
        <f t="shared" si="712"/>
        <v>162274.79999936681</v>
      </c>
      <c r="JK43" s="43">
        <f t="shared" si="712"/>
        <v>-6367.2399991913699</v>
      </c>
      <c r="JL43" s="43">
        <f t="shared" si="712"/>
        <v>-37973.900000365975</v>
      </c>
      <c r="JM43" s="43">
        <f t="shared" si="712"/>
        <v>-117838.85000009876</v>
      </c>
      <c r="JN43" s="43">
        <f t="shared" si="712"/>
        <v>104261.06000029162</v>
      </c>
      <c r="JO43" s="43">
        <f t="shared" si="712"/>
        <v>44021.779999782739</v>
      </c>
      <c r="JP43" s="43">
        <f t="shared" si="712"/>
        <v>25154.590000277676</v>
      </c>
      <c r="JQ43" s="43">
        <f t="shared" si="712"/>
        <v>66576.579999875685</v>
      </c>
      <c r="JR43" s="43">
        <f t="shared" si="712"/>
        <v>132669.12999999768</v>
      </c>
      <c r="JS43" s="43">
        <f t="shared" si="712"/>
        <v>-81736.200000604149</v>
      </c>
      <c r="JT43" s="43">
        <f t="shared" si="712"/>
        <v>-25249.399999843154</v>
      </c>
      <c r="JU43" s="43">
        <f t="shared" si="712"/>
        <v>292519.80000046111</v>
      </c>
      <c r="JV43" s="43">
        <f t="shared" si="712"/>
        <v>58582.199999481963</v>
      </c>
      <c r="JW43" s="43">
        <f t="shared" si="712"/>
        <v>-175590.11999997951</v>
      </c>
      <c r="JX43" s="43">
        <f t="shared" si="712"/>
        <v>244504.89000037458</v>
      </c>
      <c r="JY43" s="127">
        <f t="shared" si="58"/>
        <v>687934.85999984248</v>
      </c>
      <c r="JZ43" s="43">
        <f t="shared" ref="JZ43:LD43" si="713">JZ42*JZ8</f>
        <v>-105775.59000025503</v>
      </c>
      <c r="KA43" s="43">
        <f t="shared" si="713"/>
        <v>-32748.32999992941</v>
      </c>
      <c r="KB43" s="43">
        <f t="shared" si="713"/>
        <v>239184.57000000228</v>
      </c>
      <c r="KC43" s="43">
        <f t="shared" si="713"/>
        <v>-127697.45999986451</v>
      </c>
      <c r="KD43" s="43">
        <f t="shared" si="713"/>
        <v>100758.45000005123</v>
      </c>
      <c r="KE43" s="43">
        <f t="shared" si="713"/>
        <v>-104225.46000006376</v>
      </c>
      <c r="KF43" s="43">
        <f t="shared" si="713"/>
        <v>154538.67000001366</v>
      </c>
      <c r="KG43" s="43">
        <f t="shared" si="713"/>
        <v>-27696.960000092222</v>
      </c>
      <c r="KH43" s="43">
        <f t="shared" si="713"/>
        <v>-125007.95999992144</v>
      </c>
      <c r="KI43" s="43">
        <f t="shared" si="713"/>
        <v>186274.76999996812</v>
      </c>
      <c r="KJ43" s="43">
        <f t="shared" si="713"/>
        <v>90411.210000006831</v>
      </c>
      <c r="KK43" s="43">
        <f t="shared" si="713"/>
        <v>-156660.9299996277</v>
      </c>
      <c r="KL43" s="43">
        <f t="shared" si="713"/>
        <v>203120.81999943301</v>
      </c>
      <c r="KM43" s="43">
        <f t="shared" si="713"/>
        <v>-63354.83999974269</v>
      </c>
      <c r="KN43" s="43">
        <f t="shared" si="713"/>
        <v>10963.380000276666</v>
      </c>
      <c r="KO43" s="43">
        <f t="shared" si="713"/>
        <v>-65183.700000364333</v>
      </c>
      <c r="KP43" s="43">
        <f t="shared" si="713"/>
        <v>57090.750000227708</v>
      </c>
      <c r="KQ43" s="43">
        <f t="shared" si="713"/>
        <v>54900.0299997814</v>
      </c>
      <c r="KR43" s="43">
        <f t="shared" si="713"/>
        <v>-91623.929999684624</v>
      </c>
      <c r="KS43" s="43">
        <f t="shared" si="713"/>
        <v>132607.01999979734</v>
      </c>
      <c r="KT43" s="43">
        <f t="shared" si="713"/>
        <v>-7735.9799999749521</v>
      </c>
      <c r="KU43" s="43">
        <f t="shared" si="713"/>
        <v>-186108.51000046794</v>
      </c>
      <c r="KV43" s="43">
        <f t="shared" si="713"/>
        <v>118944.3600001093</v>
      </c>
      <c r="KW43" s="43">
        <f t="shared" si="713"/>
        <v>-110905.19999953889</v>
      </c>
      <c r="KX43" s="43">
        <f t="shared" si="713"/>
        <v>445136.69999999431</v>
      </c>
      <c r="KY43" s="43">
        <f t="shared" si="713"/>
        <v>35481.839999970398</v>
      </c>
      <c r="KZ43" s="43">
        <f t="shared" si="713"/>
        <v>-67418.430000339285</v>
      </c>
      <c r="LA43" s="43">
        <f t="shared" si="713"/>
        <v>-51027.150000130932</v>
      </c>
      <c r="LB43" s="43">
        <f t="shared" si="713"/>
        <v>174226.55000047089</v>
      </c>
      <c r="LC43" s="43">
        <f t="shared" si="713"/>
        <v>-345557.65000005194</v>
      </c>
      <c r="LD43" s="43">
        <f t="shared" si="713"/>
        <v>68520.800000126474</v>
      </c>
      <c r="LE43" s="127">
        <f t="shared" si="60"/>
        <v>509207.43000043498</v>
      </c>
      <c r="LF43" s="43">
        <f t="shared" ref="LF43:MI43" si="714">LF42*LF8</f>
        <v>-281018.70000018971</v>
      </c>
      <c r="LG43" s="43">
        <f t="shared" si="714"/>
        <v>79957.099999739148</v>
      </c>
      <c r="LH43" s="43">
        <f t="shared" si="714"/>
        <v>67866.049999798997</v>
      </c>
      <c r="LI43" s="43">
        <f t="shared" si="714"/>
        <v>-73108.899999684945</v>
      </c>
      <c r="LJ43" s="43">
        <f t="shared" si="714"/>
        <v>112190.1999999187</v>
      </c>
      <c r="LK43" s="43">
        <f t="shared" si="714"/>
        <v>21907.450000105018</v>
      </c>
      <c r="LL43" s="43">
        <f t="shared" si="714"/>
        <v>-142405.69999982836</v>
      </c>
      <c r="LM43" s="43">
        <f t="shared" si="714"/>
        <v>-94235.499999966123</v>
      </c>
      <c r="LN43" s="43">
        <f t="shared" si="714"/>
        <v>80587.60000004404</v>
      </c>
      <c r="LO43" s="43">
        <f t="shared" si="714"/>
        <v>8899.7499998193234</v>
      </c>
      <c r="LP43" s="43">
        <f t="shared" si="714"/>
        <v>-38062.799999567505</v>
      </c>
      <c r="LQ43" s="43">
        <f t="shared" si="714"/>
        <v>181603.39999938005</v>
      </c>
      <c r="LR43" s="43">
        <f t="shared" si="714"/>
        <v>-153240.60000009486</v>
      </c>
      <c r="LS43" s="43">
        <f t="shared" si="714"/>
        <v>42408.400000452821</v>
      </c>
      <c r="LT43" s="43">
        <f t="shared" si="714"/>
        <v>432008.8999998261</v>
      </c>
      <c r="LU43" s="43">
        <f t="shared" si="714"/>
        <v>-289380.10000026989</v>
      </c>
      <c r="LV43" s="43">
        <f t="shared" si="714"/>
        <v>15908.000000135507</v>
      </c>
      <c r="LW43" s="43">
        <f t="shared" si="714"/>
        <v>-108858.24999975157</v>
      </c>
      <c r="LX43" s="43">
        <f t="shared" si="714"/>
        <v>166306.49999989837</v>
      </c>
      <c r="LY43" s="43">
        <f t="shared" si="714"/>
        <v>-442421.84999981255</v>
      </c>
      <c r="LZ43" s="43">
        <f t="shared" si="714"/>
        <v>-29730.500000163738</v>
      </c>
      <c r="MA43" s="43">
        <f t="shared" si="714"/>
        <v>-126827.50000011292</v>
      </c>
      <c r="MB43" s="43">
        <f t="shared" si="714"/>
        <v>161582.60000024165</v>
      </c>
      <c r="MC43" s="43">
        <f t="shared" si="714"/>
        <v>21436.9999997798</v>
      </c>
      <c r="MD43" s="43">
        <f t="shared" si="714"/>
        <v>-89050.849999597995</v>
      </c>
      <c r="ME43" s="43">
        <f t="shared" si="714"/>
        <v>60445.549999804643</v>
      </c>
      <c r="MF43" s="43">
        <f t="shared" si="714"/>
        <v>-146877.39999992773</v>
      </c>
      <c r="MG43" s="43">
        <f t="shared" si="714"/>
        <v>105089.80000002484</v>
      </c>
      <c r="MH43" s="43">
        <f t="shared" si="714"/>
        <v>-4331.0500000530737</v>
      </c>
      <c r="MI43" s="43">
        <f t="shared" si="714"/>
        <v>29502.549999640905</v>
      </c>
      <c r="MJ43" s="127">
        <f t="shared" si="62"/>
        <v>-431848.8500004111</v>
      </c>
      <c r="MK43" s="43">
        <f t="shared" ref="MK43:NO43" si="715">MK42*MK8</f>
        <v>-28042.699999890465</v>
      </c>
      <c r="ML43" s="43">
        <f t="shared" si="715"/>
        <v>36195.550000040632</v>
      </c>
      <c r="MM43" s="43">
        <f t="shared" si="715"/>
        <v>-250473.40000014228</v>
      </c>
      <c r="MN43" s="43">
        <f t="shared" si="715"/>
        <v>-26417.949999563869</v>
      </c>
      <c r="MO43" s="43">
        <f t="shared" si="715"/>
        <v>7672.6999998340034</v>
      </c>
      <c r="MP43" s="43">
        <f t="shared" si="715"/>
        <v>-344170.55000006931</v>
      </c>
      <c r="MQ43" s="43">
        <f t="shared" si="715"/>
        <v>165331.65000017616</v>
      </c>
      <c r="MR43" s="43">
        <f t="shared" si="715"/>
        <v>-79651.550000329735</v>
      </c>
      <c r="MS43" s="43">
        <f t="shared" si="715"/>
        <v>105186.80000033132</v>
      </c>
      <c r="MT43" s="43">
        <f t="shared" si="715"/>
        <v>-42413.250000025939</v>
      </c>
      <c r="MU43" s="43">
        <f t="shared" si="715"/>
        <v>12595.449999500352</v>
      </c>
      <c r="MV43" s="43">
        <f t="shared" si="715"/>
        <v>-248664.9839994011</v>
      </c>
      <c r="MW43" s="43">
        <f t="shared" si="715"/>
        <v>-118770.45100019107</v>
      </c>
      <c r="MX43" s="43">
        <f t="shared" si="715"/>
        <v>22411.329999921785</v>
      </c>
      <c r="MY43" s="43">
        <f t="shared" si="715"/>
        <v>190731.45600016872</v>
      </c>
      <c r="MZ43" s="43">
        <f t="shared" si="715"/>
        <v>-124481.26100034191</v>
      </c>
      <c r="NA43" s="43">
        <f t="shared" si="715"/>
        <v>230937.47800015419</v>
      </c>
      <c r="NB43" s="43">
        <f t="shared" si="715"/>
        <v>-157627.95399995419</v>
      </c>
      <c r="NC43" s="43">
        <f t="shared" si="715"/>
        <v>-236336.35299987486</v>
      </c>
      <c r="ND43" s="43">
        <f t="shared" si="715"/>
        <v>-9559.6080001318478</v>
      </c>
      <c r="NE43" s="43">
        <f t="shared" si="715"/>
        <v>-42859.869000334089</v>
      </c>
      <c r="NF43" s="43">
        <f t="shared" si="715"/>
        <v>196327.09000057544</v>
      </c>
      <c r="NG43" s="43">
        <f t="shared" si="715"/>
        <v>-112210.21800005922</v>
      </c>
      <c r="NH43" s="43">
        <f t="shared" si="715"/>
        <v>-11248.856000056985</v>
      </c>
      <c r="NI43" s="43">
        <f t="shared" si="715"/>
        <v>53225.708999792172</v>
      </c>
      <c r="NJ43" s="43">
        <f t="shared" si="715"/>
        <v>68212.985999894969</v>
      </c>
      <c r="NK43" s="43">
        <f t="shared" si="715"/>
        <v>-98432.288999853627</v>
      </c>
      <c r="NL43" s="43">
        <f t="shared" si="715"/>
        <v>79720.988000109501</v>
      </c>
      <c r="NM43" s="43">
        <f t="shared" si="715"/>
        <v>-116558.1119997229</v>
      </c>
      <c r="NN43" s="43">
        <f t="shared" si="715"/>
        <v>77239.904999726248</v>
      </c>
      <c r="NO43" s="43">
        <f t="shared" si="715"/>
        <v>82173.277000242466</v>
      </c>
      <c r="NP43" s="127">
        <f t="shared" si="64"/>
        <v>-691914.28599958483</v>
      </c>
      <c r="NQ43" s="43">
        <f t="shared" ref="NQ43:OU43" si="716">NQ42*NQ8</f>
        <v>134069.66299946702</v>
      </c>
      <c r="NR43" s="43">
        <f t="shared" si="716"/>
        <v>-202791.34299964021</v>
      </c>
      <c r="NS43" s="43">
        <f t="shared" si="716"/>
        <v>54570.758999766695</v>
      </c>
      <c r="NT43" s="43">
        <f t="shared" si="716"/>
        <v>124091.3699998839</v>
      </c>
      <c r="NU43" s="43">
        <f t="shared" si="716"/>
        <v>101566.8629999425</v>
      </c>
      <c r="NV43" s="43">
        <f t="shared" si="716"/>
        <v>37384.128000429017</v>
      </c>
      <c r="NW43" s="43">
        <f t="shared" si="716"/>
        <v>-105589.26599998452</v>
      </c>
      <c r="NX43" s="43">
        <f t="shared" si="716"/>
        <v>193925.41500009951</v>
      </c>
      <c r="NY43" s="43">
        <f t="shared" si="716"/>
        <v>-85928.406000056391</v>
      </c>
      <c r="NZ43" s="43">
        <f t="shared" si="716"/>
        <v>-108837.58200016254</v>
      </c>
      <c r="OA43" s="43">
        <f t="shared" si="716"/>
        <v>70969.055999531178</v>
      </c>
      <c r="OB43" s="43">
        <f t="shared" si="716"/>
        <v>63223.437000527425</v>
      </c>
      <c r="OC43" s="43">
        <f t="shared" si="716"/>
        <v>-29543.529000231094</v>
      </c>
      <c r="OD43" s="43">
        <f t="shared" si="716"/>
        <v>334562.30100024433</v>
      </c>
      <c r="OE43" s="43">
        <f t="shared" si="716"/>
        <v>-38025.242999920389</v>
      </c>
      <c r="OF43" s="43">
        <f t="shared" si="716"/>
        <v>-6567.86700000774</v>
      </c>
      <c r="OG43" s="43">
        <f t="shared" si="716"/>
        <v>-140294.9580002134</v>
      </c>
      <c r="OH43" s="43">
        <f t="shared" si="716"/>
        <v>145794.3000001935</v>
      </c>
      <c r="OI43" s="43">
        <f t="shared" si="716"/>
        <v>-8282.2560003051767</v>
      </c>
      <c r="OJ43" s="43">
        <f t="shared" si="716"/>
        <v>5437.6050002266711</v>
      </c>
      <c r="OK43" s="43">
        <f t="shared" si="716"/>
        <v>-181198.09500013269</v>
      </c>
      <c r="OL43" s="43">
        <f t="shared" si="716"/>
        <v>-136576.49100037152</v>
      </c>
      <c r="OM43" s="43">
        <f t="shared" si="716"/>
        <v>115856.60400017581</v>
      </c>
      <c r="ON43" s="43">
        <f t="shared" si="716"/>
        <v>68684.787000499782</v>
      </c>
      <c r="OO43" s="43">
        <f t="shared" si="716"/>
        <v>-27938.36700000774</v>
      </c>
      <c r="OP43" s="43">
        <f t="shared" si="716"/>
        <v>38770.835999951349</v>
      </c>
      <c r="OQ43" s="43">
        <f t="shared" si="716"/>
        <v>139872.29699962627</v>
      </c>
      <c r="OR43" s="43">
        <f t="shared" si="716"/>
        <v>-72370.010999591992</v>
      </c>
      <c r="OS43" s="43">
        <f t="shared" si="716"/>
        <v>-51954.060000149271</v>
      </c>
      <c r="OT43" s="43">
        <f t="shared" si="716"/>
        <v>424418.1299998397</v>
      </c>
      <c r="OU43" s="43">
        <f t="shared" si="716"/>
        <v>-117570.99299964396</v>
      </c>
      <c r="OV43" s="127">
        <f t="shared" si="66"/>
        <v>605659.42100051907</v>
      </c>
      <c r="OW43" s="43">
        <f t="shared" ref="OW43:PZ43" si="717">OW42*OW8</f>
        <v>140019.51599984631</v>
      </c>
      <c r="OX43" s="43">
        <f t="shared" si="717"/>
        <v>-134501.17800020787</v>
      </c>
      <c r="OY43" s="43">
        <f t="shared" si="717"/>
        <v>68494.826999770012</v>
      </c>
      <c r="OZ43" s="43">
        <f t="shared" si="717"/>
        <v>-65275.004999286815</v>
      </c>
      <c r="PA43" s="43">
        <f t="shared" si="717"/>
        <v>189242.90099966386</v>
      </c>
      <c r="PB43" s="43">
        <f t="shared" si="717"/>
        <v>-330159.97799984855</v>
      </c>
      <c r="PC43" s="43">
        <f t="shared" si="717"/>
        <v>-190715.09100034388</v>
      </c>
      <c r="PD43" s="43">
        <f t="shared" si="717"/>
        <v>195141.15900020898</v>
      </c>
      <c r="PE43" s="43">
        <f t="shared" si="717"/>
        <v>-128721.64500052486</v>
      </c>
      <c r="PF43" s="43">
        <f t="shared" si="717"/>
        <v>193175.07300067227</v>
      </c>
      <c r="PG43" s="43">
        <f t="shared" si="717"/>
        <v>-99648.267000173597</v>
      </c>
      <c r="PH43" s="43">
        <f t="shared" si="717"/>
        <v>67089.122999898274</v>
      </c>
      <c r="PI43" s="43">
        <f t="shared" si="717"/>
        <v>-114807.07499994471</v>
      </c>
      <c r="PJ43" s="43">
        <f t="shared" si="717"/>
        <v>105608.26199978107</v>
      </c>
      <c r="PK43" s="43">
        <f t="shared" si="717"/>
        <v>-66514.493999833037</v>
      </c>
      <c r="PL43" s="43">
        <f t="shared" si="717"/>
        <v>42403.821000155905</v>
      </c>
      <c r="PM43" s="43">
        <f t="shared" si="717"/>
        <v>29733.488999855152</v>
      </c>
      <c r="PN43" s="43">
        <f t="shared" si="717"/>
        <v>-46521.204000009951</v>
      </c>
      <c r="PO43" s="43">
        <f t="shared" si="717"/>
        <v>-24666.305999531178</v>
      </c>
      <c r="PP43" s="43">
        <f t="shared" si="717"/>
        <v>34586.966999841883</v>
      </c>
      <c r="PQ43" s="43">
        <f t="shared" si="717"/>
        <v>9659.4659997910203</v>
      </c>
      <c r="PR43" s="43">
        <f t="shared" si="717"/>
        <v>-4976.9520000464399</v>
      </c>
      <c r="PS43" s="43">
        <f t="shared" si="717"/>
        <v>-117148.33199980836</v>
      </c>
      <c r="PT43" s="43">
        <f t="shared" si="717"/>
        <v>99629.270999513217</v>
      </c>
      <c r="PU43" s="43">
        <f t="shared" si="717"/>
        <v>-135289.51199950464</v>
      </c>
      <c r="PV43" s="43">
        <f t="shared" si="717"/>
        <v>-235968.31200038921</v>
      </c>
      <c r="PW43" s="43">
        <f t="shared" si="717"/>
        <v>282171.33300007519</v>
      </c>
      <c r="PX43" s="43">
        <f t="shared" si="717"/>
        <v>-159580.64699973684</v>
      </c>
      <c r="PY43" s="43">
        <f t="shared" si="717"/>
        <v>3172.3319997478975</v>
      </c>
      <c r="PZ43" s="43">
        <f t="shared" si="717"/>
        <v>157419.85200035051</v>
      </c>
      <c r="QA43" s="127">
        <f t="shared" si="68"/>
        <v>-236946.60600001834</v>
      </c>
      <c r="QB43" s="43">
        <f t="shared" ref="QB43:RF43" si="718">QB42*QB8</f>
        <v>-5271390</v>
      </c>
      <c r="QC43" s="43">
        <f t="shared" si="718"/>
        <v>-127244.70599997346</v>
      </c>
      <c r="QD43" s="43">
        <f t="shared" si="718"/>
        <v>18549.594000081823</v>
      </c>
      <c r="QE43" s="43">
        <f t="shared" si="718"/>
        <v>120111.70799966055</v>
      </c>
      <c r="QF43" s="43">
        <f t="shared" si="718"/>
        <v>-183273.40799974347</v>
      </c>
      <c r="QG43" s="43">
        <f t="shared" si="718"/>
        <v>-18597.084000264265</v>
      </c>
      <c r="QH43" s="43">
        <f t="shared" si="718"/>
        <v>119228.39399999889</v>
      </c>
      <c r="QI43" s="43">
        <f t="shared" si="718"/>
        <v>-67364.564999850729</v>
      </c>
      <c r="QJ43" s="43">
        <f t="shared" si="718"/>
        <v>126831.22200017347</v>
      </c>
      <c r="QK43" s="43">
        <f t="shared" si="718"/>
        <v>-43676.703000281617</v>
      </c>
      <c r="QL43" s="43">
        <f t="shared" si="718"/>
        <v>161797.41900005247</v>
      </c>
      <c r="QM43" s="43">
        <f t="shared" si="718"/>
        <v>-269322.03900007391</v>
      </c>
      <c r="QN43" s="43">
        <f t="shared" si="718"/>
        <v>37095.534000229149</v>
      </c>
      <c r="QO43" s="43">
        <f t="shared" si="718"/>
        <v>40167.666000252706</v>
      </c>
      <c r="QP43" s="43">
        <f t="shared" si="718"/>
        <v>-92541.078000415466</v>
      </c>
      <c r="QQ43" s="43">
        <f t="shared" si="718"/>
        <v>21279.573000169185</v>
      </c>
      <c r="QR43" s="43">
        <f t="shared" si="718"/>
        <v>107616.60000010708</v>
      </c>
      <c r="QS43" s="43">
        <f t="shared" si="718"/>
        <v>-55933.038000051398</v>
      </c>
      <c r="QT43" s="43">
        <f t="shared" si="718"/>
        <v>-21293.370000021416</v>
      </c>
      <c r="QU43" s="43">
        <f t="shared" si="718"/>
        <v>190536.56999996788</v>
      </c>
      <c r="QV43" s="43">
        <f t="shared" si="718"/>
        <v>-209829.37500013385</v>
      </c>
      <c r="QW43" s="43">
        <f t="shared" si="718"/>
        <v>92334.123000222724</v>
      </c>
      <c r="QX43" s="43">
        <f t="shared" si="718"/>
        <v>-51968.700000080309</v>
      </c>
      <c r="QY43" s="43">
        <f t="shared" si="718"/>
        <v>72296.279999737657</v>
      </c>
      <c r="QZ43" s="43">
        <f t="shared" si="718"/>
        <v>20111.427000098513</v>
      </c>
      <c r="RA43" s="43">
        <f t="shared" si="718"/>
        <v>8968.050000455085</v>
      </c>
      <c r="RB43" s="43">
        <f t="shared" si="718"/>
        <v>92729.636999734445</v>
      </c>
      <c r="RC43" s="43">
        <f t="shared" si="718"/>
        <v>74940.704999925045</v>
      </c>
      <c r="RD43" s="43">
        <f t="shared" si="718"/>
        <v>-1237.1310000010708</v>
      </c>
      <c r="RE43" s="43">
        <f t="shared" si="718"/>
        <v>-104829.606000242</v>
      </c>
      <c r="RF43" s="43">
        <f t="shared" si="718"/>
        <v>171726.66000025164</v>
      </c>
      <c r="RG43" s="127">
        <f t="shared" si="495"/>
        <v>229210.35899998533</v>
      </c>
      <c r="RH43" s="43">
        <f t="shared" ref="RH43:SK43" si="719">RH42*RH8</f>
        <v>-162174.53699989506</v>
      </c>
      <c r="RI43" s="43">
        <f t="shared" si="719"/>
        <v>61764.570000101725</v>
      </c>
      <c r="RJ43" s="43">
        <f t="shared" si="719"/>
        <v>103987.9889996188</v>
      </c>
      <c r="RK43" s="43">
        <f t="shared" si="719"/>
        <v>-132612.16499969483</v>
      </c>
      <c r="RL43" s="43">
        <f t="shared" si="719"/>
        <v>42738.506999488163</v>
      </c>
      <c r="RM43" s="43">
        <f t="shared" si="719"/>
        <v>-35269.730999706604</v>
      </c>
      <c r="RN43" s="43">
        <f t="shared" si="719"/>
        <v>115388.91000025164</v>
      </c>
      <c r="RO43" s="43">
        <f t="shared" si="719"/>
        <v>-90986.616000065318</v>
      </c>
      <c r="RP43" s="43">
        <f t="shared" si="719"/>
        <v>9887.6399996076361</v>
      </c>
      <c r="RQ43" s="43">
        <f t="shared" si="719"/>
        <v>423823.05000040069</v>
      </c>
      <c r="RR43" s="43">
        <f t="shared" si="719"/>
        <v>-257601.63000006869</v>
      </c>
      <c r="RS43" s="43">
        <f t="shared" si="719"/>
        <v>-97535.399999901128</v>
      </c>
      <c r="RT43" s="43">
        <f t="shared" si="719"/>
        <v>-61198.770000613004</v>
      </c>
      <c r="RU43" s="43">
        <f t="shared" si="719"/>
        <v>134672.16000037675</v>
      </c>
      <c r="RV43" s="43">
        <f t="shared" si="719"/>
        <v>-106336.83000034449</v>
      </c>
      <c r="RW43" s="43">
        <f t="shared" si="719"/>
        <v>-125222.57999932976</v>
      </c>
      <c r="RX43" s="43">
        <f t="shared" si="719"/>
        <v>48968.84999968257</v>
      </c>
      <c r="RY43" s="43">
        <f t="shared" si="719"/>
        <v>4554.9299998709466</v>
      </c>
      <c r="RZ43" s="43">
        <f t="shared" si="719"/>
        <v>-65279.879999704426</v>
      </c>
      <c r="SA43" s="43">
        <f t="shared" si="719"/>
        <v>115120.38000019878</v>
      </c>
      <c r="SB43" s="43">
        <f t="shared" si="719"/>
        <v>-35040.330000292452</v>
      </c>
      <c r="SC43" s="43">
        <f t="shared" si="719"/>
        <v>54261.33000011032</v>
      </c>
      <c r="SD43" s="43">
        <f t="shared" si="719"/>
        <v>77442.749999531661</v>
      </c>
      <c r="SE43" s="43">
        <f t="shared" si="719"/>
        <v>58695.570000363223</v>
      </c>
      <c r="SF43" s="43">
        <f t="shared" si="719"/>
        <v>-130725.15000010928</v>
      </c>
      <c r="SG43" s="43">
        <f t="shared" si="719"/>
        <v>33614.400000343448</v>
      </c>
      <c r="SH43" s="43">
        <f t="shared" si="719"/>
        <v>-74787.570000259147</v>
      </c>
      <c r="SI43" s="43">
        <f t="shared" si="719"/>
        <v>3522.3600001321756</v>
      </c>
      <c r="SJ43" s="43">
        <f t="shared" si="719"/>
        <v>-68855.880000563047</v>
      </c>
      <c r="SK43" s="43">
        <f t="shared" si="719"/>
        <v>381429.57000015507</v>
      </c>
      <c r="SL43" s="127">
        <f t="shared" si="497"/>
        <v>226245.89699968637</v>
      </c>
      <c r="SM43" s="43">
        <f t="shared" ref="SM43:TQ43" si="720">SM42*SM8</f>
        <v>-314723.75999972108</v>
      </c>
      <c r="SN43" s="43">
        <f t="shared" si="720"/>
        <v>-19806.570000050997</v>
      </c>
      <c r="SO43" s="43">
        <f t="shared" si="720"/>
        <v>-3888.9000001092791</v>
      </c>
      <c r="SP43" s="43">
        <f t="shared" si="720"/>
        <v>-168469.82999992819</v>
      </c>
      <c r="SQ43" s="43">
        <f t="shared" si="720"/>
        <v>262903.05000040069</v>
      </c>
      <c r="SR43" s="43">
        <f t="shared" si="720"/>
        <v>19739.519999598269</v>
      </c>
      <c r="SS43" s="43">
        <f t="shared" si="720"/>
        <v>-181768.08000006399</v>
      </c>
      <c r="ST43" s="43">
        <f t="shared" si="720"/>
        <v>-162493.43999980018</v>
      </c>
      <c r="SU43" s="43">
        <f t="shared" si="720"/>
        <v>72020.639999581617</v>
      </c>
      <c r="SV43" s="43">
        <f t="shared" si="720"/>
        <v>56053.800000296615</v>
      </c>
      <c r="SW43" s="43">
        <f t="shared" si="720"/>
        <v>18251.010000449605</v>
      </c>
      <c r="SX43" s="43">
        <f t="shared" si="720"/>
        <v>125468.42999968881</v>
      </c>
      <c r="SY43" s="43">
        <f t="shared" si="720"/>
        <v>-20025.59999991674</v>
      </c>
      <c r="SZ43" s="43">
        <f t="shared" si="720"/>
        <v>67170.689999618044</v>
      </c>
      <c r="TA43" s="43">
        <f t="shared" si="720"/>
        <v>-104884.07999990217</v>
      </c>
      <c r="TB43" s="43">
        <f t="shared" si="720"/>
        <v>204708.12000013946</v>
      </c>
      <c r="TC43" s="43">
        <f t="shared" si="720"/>
        <v>-66245.400000161317</v>
      </c>
      <c r="TD43" s="43">
        <f t="shared" si="720"/>
        <v>-112795.97999985534</v>
      </c>
      <c r="TE43" s="43">
        <f t="shared" si="720"/>
        <v>79583.879999756464</v>
      </c>
      <c r="TF43" s="43">
        <f t="shared" si="720"/>
        <v>157563.03000004787</v>
      </c>
      <c r="TG43" s="43">
        <f t="shared" si="720"/>
        <v>96668.219999952125</v>
      </c>
      <c r="TH43" s="43">
        <f t="shared" si="720"/>
        <v>85095.390000570333</v>
      </c>
      <c r="TI43" s="43">
        <f t="shared" si="720"/>
        <v>174638.42999968881</v>
      </c>
      <c r="TJ43" s="43">
        <f t="shared" si="720"/>
        <v>-139705.38000006869</v>
      </c>
      <c r="TK43" s="43">
        <f t="shared" si="720"/>
        <v>-22533.270000118646</v>
      </c>
      <c r="TL43" s="43">
        <f t="shared" si="720"/>
        <v>106993.92000007181</v>
      </c>
      <c r="TM43" s="43">
        <f t="shared" si="720"/>
        <v>-197824.31999984285</v>
      </c>
      <c r="TN43" s="43">
        <f t="shared" si="720"/>
        <v>18237.59999968257</v>
      </c>
      <c r="TO43" s="43">
        <f t="shared" si="720"/>
        <v>-44302.16999944736</v>
      </c>
      <c r="TP43" s="43">
        <f t="shared" si="720"/>
        <v>84979.169999993755</v>
      </c>
      <c r="TQ43" s="43">
        <f t="shared" si="720"/>
        <v>-49281.750000494358</v>
      </c>
      <c r="TR43" s="127">
        <f t="shared" si="499"/>
        <v>336050.12999977678</v>
      </c>
      <c r="TS43" s="43">
        <f t="shared" ref="TS43:UW43" si="721">TS42*TS8</f>
        <v>-119241.71999990009</v>
      </c>
      <c r="TT43" s="43">
        <f t="shared" si="721"/>
        <v>57166.830000084301</v>
      </c>
      <c r="TU43" s="43">
        <f t="shared" si="721"/>
        <v>-1519.8000001144828</v>
      </c>
      <c r="TV43" s="43">
        <f t="shared" si="721"/>
        <v>63710.90999998647</v>
      </c>
      <c r="TW43" s="43">
        <f t="shared" si="721"/>
        <v>-59647.67999979289</v>
      </c>
      <c r="TX43" s="43">
        <f t="shared" si="721"/>
        <v>87638.819999998959</v>
      </c>
      <c r="TY43" s="43">
        <f t="shared" si="721"/>
        <v>-72279.900000057241</v>
      </c>
      <c r="TZ43" s="43">
        <f t="shared" si="721"/>
        <v>264932.43000000104</v>
      </c>
      <c r="UA43" s="43">
        <f t="shared" si="721"/>
        <v>18867.869999827235</v>
      </c>
      <c r="UB43" s="43">
        <f t="shared" si="721"/>
        <v>82020.029999813705</v>
      </c>
      <c r="UC43" s="43">
        <f t="shared" si="721"/>
        <v>-38339.189999566006</v>
      </c>
      <c r="UD43" s="43">
        <f t="shared" si="721"/>
        <v>-63594.690000060364</v>
      </c>
      <c r="UE43" s="43">
        <f t="shared" si="721"/>
        <v>37780.440000086382</v>
      </c>
      <c r="UF43" s="43">
        <f t="shared" si="721"/>
        <v>-9936.8099998615799</v>
      </c>
      <c r="UG43" s="43">
        <f t="shared" si="721"/>
        <v>76343.469999725057</v>
      </c>
      <c r="UH43" s="43">
        <f t="shared" si="721"/>
        <v>-15010.069999970729</v>
      </c>
      <c r="UI43" s="43">
        <f t="shared" si="721"/>
        <v>42255.390000098269</v>
      </c>
      <c r="UJ43" s="43">
        <f t="shared" si="721"/>
        <v>447060.31999999686</v>
      </c>
      <c r="UK43" s="43">
        <f t="shared" si="721"/>
        <v>-152224.4699998296</v>
      </c>
      <c r="UL43" s="43">
        <f t="shared" si="721"/>
        <v>-27698.810000366939</v>
      </c>
      <c r="UM43" s="43">
        <f t="shared" si="721"/>
        <v>-97711.380000206991</v>
      </c>
      <c r="UN43" s="43">
        <f t="shared" si="721"/>
        <v>90455.540000427573</v>
      </c>
      <c r="UO43" s="43">
        <f t="shared" si="721"/>
        <v>76877.779999621562</v>
      </c>
      <c r="UP43" s="43">
        <f t="shared" si="721"/>
        <v>-95865.989999978046</v>
      </c>
      <c r="UQ43" s="43">
        <f t="shared" si="721"/>
        <v>52402.790000140085</v>
      </c>
      <c r="UR43" s="43">
        <f t="shared" si="721"/>
        <v>-63632.27999996132</v>
      </c>
      <c r="US43" s="43">
        <f t="shared" si="721"/>
        <v>151048.09000014531</v>
      </c>
      <c r="UT43" s="43">
        <f t="shared" si="721"/>
        <v>-1013761.1799997352</v>
      </c>
      <c r="UU43" s="43">
        <f t="shared" si="721"/>
        <v>0</v>
      </c>
      <c r="UV43" s="43">
        <f t="shared" si="721"/>
        <v>477080.45999960345</v>
      </c>
      <c r="UW43" s="43">
        <f t="shared" si="721"/>
        <v>96804.400000201887</v>
      </c>
      <c r="UX43" s="127">
        <f t="shared" si="501"/>
        <v>411223.32000025699</v>
      </c>
      <c r="UY43" s="43">
        <f t="shared" ref="UY43:VZ43" si="722">UY42*UY8</f>
        <v>-201888.36000029376</v>
      </c>
      <c r="UZ43" s="43">
        <f t="shared" si="722"/>
        <v>273449.98000000836</v>
      </c>
      <c r="VA43" s="43">
        <f t="shared" si="722"/>
        <v>40369.590000171447</v>
      </c>
      <c r="VB43" s="43">
        <f t="shared" si="722"/>
        <v>-183497.31999981392</v>
      </c>
      <c r="VC43" s="43">
        <f t="shared" si="722"/>
        <v>37190.669999327802</v>
      </c>
      <c r="VD43" s="43">
        <f t="shared" si="722"/>
        <v>-58298.159999331983</v>
      </c>
      <c r="VE43" s="43">
        <f t="shared" si="722"/>
        <v>99991.209999615676</v>
      </c>
      <c r="VF43" s="43">
        <f t="shared" si="722"/>
        <v>-162378.03999980679</v>
      </c>
      <c r="VG43" s="43">
        <f t="shared" si="722"/>
        <v>-79182.07000000315</v>
      </c>
      <c r="VH43" s="43">
        <f t="shared" si="722"/>
        <v>161877.42999965558</v>
      </c>
      <c r="VI43" s="43">
        <f t="shared" si="722"/>
        <v>124397.00000038138</v>
      </c>
      <c r="VJ43" s="43">
        <f t="shared" si="722"/>
        <v>-44708.299999871815</v>
      </c>
      <c r="VK43" s="43">
        <f t="shared" si="722"/>
        <v>66530.099999616505</v>
      </c>
      <c r="VL43" s="43">
        <f t="shared" si="722"/>
        <v>-63822.850000008475</v>
      </c>
      <c r="VM43" s="43">
        <f t="shared" si="722"/>
        <v>21485.100000305101</v>
      </c>
      <c r="VN43" s="43">
        <f t="shared" si="722"/>
        <v>-42087.500000132422</v>
      </c>
      <c r="VO43" s="43">
        <f t="shared" si="722"/>
        <v>212689.74999997881</v>
      </c>
      <c r="VP43" s="43">
        <f t="shared" si="722"/>
        <v>-109181.8000000625</v>
      </c>
      <c r="VQ43" s="43">
        <f t="shared" si="722"/>
        <v>28705.950000038138</v>
      </c>
      <c r="VR43" s="43">
        <f t="shared" si="722"/>
        <v>80949.049999855924</v>
      </c>
      <c r="VS43" s="43">
        <f t="shared" si="722"/>
        <v>27909.699999958684</v>
      </c>
      <c r="VT43" s="43">
        <f t="shared" si="722"/>
        <v>91459.550000242598</v>
      </c>
      <c r="VU43" s="43">
        <f t="shared" si="722"/>
        <v>41077.400000224588</v>
      </c>
      <c r="VV43" s="43">
        <f t="shared" si="722"/>
        <v>124733.69999955612</v>
      </c>
      <c r="VW43" s="43">
        <f t="shared" si="722"/>
        <v>147847.70000042481</v>
      </c>
      <c r="VX43" s="43">
        <f t="shared" si="722"/>
        <v>-150341.10000007204</v>
      </c>
      <c r="VY43" s="43">
        <f t="shared" si="722"/>
        <v>-116143.30000045447</v>
      </c>
      <c r="VZ43" s="43">
        <f t="shared" si="722"/>
        <v>163144.79999999894</v>
      </c>
      <c r="WA43" s="127">
        <f t="shared" ref="WA43:WA48" si="723">SUM(UW43:VZ43)</f>
        <v>1040307.5999999682</v>
      </c>
      <c r="WB43" s="43">
        <f t="shared" ref="WB43:XF43" si="724">WB42*WB8</f>
        <v>-23873.849999616505</v>
      </c>
      <c r="WC43" s="43">
        <f t="shared" si="724"/>
        <v>-8685.9499997997773</v>
      </c>
      <c r="WD43" s="43">
        <f t="shared" si="724"/>
        <v>-95481.750000201282</v>
      </c>
      <c r="WE43" s="43">
        <f t="shared" si="724"/>
        <v>82364.100000061444</v>
      </c>
      <c r="WF43" s="43">
        <f t="shared" si="724"/>
        <v>-59372.94999986334</v>
      </c>
      <c r="WG43" s="43">
        <f t="shared" si="724"/>
        <v>-2730.0000004237518</v>
      </c>
      <c r="WH43" s="43">
        <f t="shared" si="724"/>
        <v>323423.09999997669</v>
      </c>
      <c r="WI43" s="43">
        <f t="shared" si="724"/>
        <v>-129470.24999994173</v>
      </c>
      <c r="WJ43" s="43">
        <f t="shared" si="724"/>
        <v>96951.399999822024</v>
      </c>
      <c r="WK43" s="43">
        <f t="shared" si="724"/>
        <v>59363.850000093225</v>
      </c>
      <c r="WL43" s="43">
        <f t="shared" si="724"/>
        <v>-135225.99999960803</v>
      </c>
      <c r="WM43" s="43">
        <f t="shared" si="724"/>
        <v>68404.699999799777</v>
      </c>
      <c r="WN43" s="43">
        <f t="shared" si="724"/>
        <v>-78678.600000072038</v>
      </c>
      <c r="WO43" s="43">
        <f t="shared" si="724"/>
        <v>87455.549999956565</v>
      </c>
      <c r="WP43" s="43">
        <f t="shared" si="724"/>
        <v>-31677.099999733036</v>
      </c>
      <c r="WQ43" s="43">
        <f t="shared" si="724"/>
        <v>-92533.350000395149</v>
      </c>
      <c r="WR43" s="43">
        <f t="shared" si="724"/>
        <v>181708.80000033794</v>
      </c>
      <c r="WS43" s="43">
        <f t="shared" si="724"/>
        <v>-62771.799999924704</v>
      </c>
      <c r="WT43" s="43">
        <f t="shared" si="724"/>
        <v>32414.19999956663</v>
      </c>
      <c r="WU43" s="43">
        <f t="shared" si="724"/>
        <v>-23696.399999663117</v>
      </c>
      <c r="WV43" s="43">
        <f t="shared" si="724"/>
        <v>124929.34999997669</v>
      </c>
      <c r="WW43" s="43">
        <f t="shared" si="724"/>
        <v>-42064.749999978812</v>
      </c>
      <c r="WX43" s="43">
        <f t="shared" si="724"/>
        <v>-105887.59999972244</v>
      </c>
      <c r="WY43" s="43">
        <f t="shared" si="724"/>
        <v>173878.24999971926</v>
      </c>
      <c r="WZ43" s="43">
        <f t="shared" si="724"/>
        <v>-112339.50000014302</v>
      </c>
      <c r="XA43" s="43">
        <f t="shared" si="724"/>
        <v>137664.8000002373</v>
      </c>
      <c r="XB43" s="43">
        <f t="shared" si="724"/>
        <v>-156899.97000022122</v>
      </c>
      <c r="XC43" s="43">
        <f t="shared" si="724"/>
        <v>117256.13999987603</v>
      </c>
      <c r="XD43" s="43">
        <f t="shared" si="724"/>
        <v>1751254.8300003186</v>
      </c>
      <c r="XE43" s="43">
        <f t="shared" si="724"/>
        <v>-1467730.5299998322</v>
      </c>
      <c r="XF43" s="43">
        <f t="shared" si="724"/>
        <v>-265820.67000013572</v>
      </c>
      <c r="XG43" s="127">
        <f t="shared" si="566"/>
        <v>342128.05000046635</v>
      </c>
      <c r="XH43" s="43">
        <f t="shared" ref="XH43:YK43" si="725">XH42*XH8</f>
        <v>-533220.29999992519</v>
      </c>
      <c r="XI43" s="43">
        <f t="shared" si="725"/>
        <v>58338.899999695423</v>
      </c>
      <c r="XJ43" s="43">
        <f t="shared" si="725"/>
        <v>-87255.900000176334</v>
      </c>
      <c r="XK43" s="43">
        <f t="shared" si="725"/>
        <v>68703.120000370836</v>
      </c>
      <c r="XL43" s="43">
        <f t="shared" si="725"/>
        <v>18805.230000174197</v>
      </c>
      <c r="XM43" s="43">
        <f t="shared" si="725"/>
        <v>-34392.870000344119</v>
      </c>
      <c r="XN43" s="43">
        <f t="shared" si="725"/>
        <v>81063.989999833284</v>
      </c>
      <c r="XO43" s="43">
        <f t="shared" si="725"/>
        <v>-16303.680000115419</v>
      </c>
      <c r="XP43" s="43">
        <f t="shared" si="725"/>
        <v>-109062.98999959283</v>
      </c>
      <c r="XQ43" s="43">
        <f t="shared" si="725"/>
        <v>24395.850000010687</v>
      </c>
      <c r="XR43" s="43">
        <f t="shared" si="725"/>
        <v>-478411.11000009725</v>
      </c>
      <c r="XS43" s="43">
        <f t="shared" si="725"/>
        <v>-5503.4099997018347</v>
      </c>
      <c r="XT43" s="43">
        <f t="shared" si="725"/>
        <v>-19782.900000256486</v>
      </c>
      <c r="XU43" s="43">
        <f t="shared" si="725"/>
        <v>40203.810000091908</v>
      </c>
      <c r="XV43" s="43">
        <f t="shared" si="725"/>
        <v>38716.6500001229</v>
      </c>
      <c r="XW43" s="43">
        <f t="shared" si="725"/>
        <v>76432.679999340617</v>
      </c>
      <c r="XX43" s="43">
        <f t="shared" si="725"/>
        <v>-168869.39999955503</v>
      </c>
      <c r="XY43" s="43">
        <f t="shared" si="725"/>
        <v>226296.89999998809</v>
      </c>
      <c r="XZ43" s="43">
        <f t="shared" si="725"/>
        <v>-110981.55000012775</v>
      </c>
      <c r="YA43" s="43">
        <f t="shared" si="725"/>
        <v>-117500.85000027175</v>
      </c>
      <c r="YB43" s="43">
        <f t="shared" si="725"/>
        <v>20585.550000387593</v>
      </c>
      <c r="YC43" s="43">
        <f t="shared" si="725"/>
        <v>51094.200000056298</v>
      </c>
      <c r="YD43" s="43">
        <f t="shared" si="725"/>
        <v>-40943.250000102853</v>
      </c>
      <c r="YE43" s="43">
        <f t="shared" si="725"/>
        <v>50540.850000298815</v>
      </c>
      <c r="YF43" s="43">
        <f t="shared" si="725"/>
        <v>271429.79999974341</v>
      </c>
      <c r="YG43" s="43">
        <f t="shared" si="725"/>
        <v>-171157.19999981811</v>
      </c>
      <c r="YH43" s="43">
        <f t="shared" si="725"/>
        <v>5352.149999923131</v>
      </c>
      <c r="YI43" s="43">
        <f t="shared" si="725"/>
        <v>-148135.05000008445</v>
      </c>
      <c r="YJ43" s="43">
        <f t="shared" si="725"/>
        <v>125815.05000013858</v>
      </c>
      <c r="YK43" s="43">
        <f t="shared" si="725"/>
        <v>115013.09999984951</v>
      </c>
      <c r="YL43" s="127">
        <f t="shared" si="569"/>
        <v>-768732.63000014401</v>
      </c>
      <c r="YM43" s="43">
        <f t="shared" ref="YM43:ZQ43" si="726">YM42*YM8</f>
        <v>-29016.000000227359</v>
      </c>
      <c r="YN43" s="43">
        <f t="shared" si="726"/>
        <v>-125894.0999999686</v>
      </c>
      <c r="YO43" s="43">
        <f t="shared" si="726"/>
        <v>138909.44999996427</v>
      </c>
      <c r="YP43" s="43">
        <f t="shared" si="726"/>
        <v>-12424.799999689276</v>
      </c>
      <c r="YQ43" s="43">
        <f t="shared" si="726"/>
        <v>-37930.050000165647</v>
      </c>
      <c r="YR43" s="43">
        <f t="shared" si="726"/>
        <v>-65853.300000051968</v>
      </c>
      <c r="YS43" s="43">
        <f t="shared" si="726"/>
        <v>62416.950000316137</v>
      </c>
      <c r="YT43" s="43">
        <f t="shared" si="726"/>
        <v>-81286.649999998917</v>
      </c>
      <c r="YU43" s="43">
        <f t="shared" si="726"/>
        <v>170273.69999940129</v>
      </c>
      <c r="YV43" s="43">
        <f t="shared" si="726"/>
        <v>27276.900000448222</v>
      </c>
      <c r="YW43" s="43">
        <f t="shared" si="726"/>
        <v>-77464.349999660044</v>
      </c>
      <c r="YX43" s="43">
        <f t="shared" si="726"/>
        <v>-126368.40000016673</v>
      </c>
      <c r="YY43" s="43">
        <f t="shared" si="726"/>
        <v>-132520.35000018514</v>
      </c>
      <c r="YZ43" s="43">
        <f t="shared" si="726"/>
        <v>80910.000000378932</v>
      </c>
      <c r="ZA43" s="43">
        <f t="shared" si="726"/>
        <v>169190.24999950198</v>
      </c>
      <c r="ZB43" s="43">
        <f t="shared" si="726"/>
        <v>-82458.44999976398</v>
      </c>
      <c r="ZC43" s="43">
        <f t="shared" si="726"/>
        <v>-112576.49999996211</v>
      </c>
      <c r="ZD43" s="43">
        <f t="shared" si="726"/>
        <v>104150.69999966654</v>
      </c>
      <c r="ZE43" s="43">
        <f t="shared" si="726"/>
        <v>6221.7000002186978</v>
      </c>
      <c r="ZF43" s="43">
        <f t="shared" si="726"/>
        <v>-13145.549999954528</v>
      </c>
      <c r="ZG43" s="43">
        <f t="shared" si="726"/>
        <v>103667.09999983868</v>
      </c>
      <c r="ZH43" s="43">
        <f t="shared" si="726"/>
        <v>117686.85000003898</v>
      </c>
      <c r="ZI43" s="43">
        <f t="shared" si="726"/>
        <v>-508231.04999968928</v>
      </c>
      <c r="ZJ43" s="43">
        <f t="shared" si="726"/>
        <v>195137.24999971309</v>
      </c>
      <c r="ZK43" s="43">
        <f t="shared" si="726"/>
        <v>-106466.39999990148</v>
      </c>
      <c r="ZL43" s="43">
        <f t="shared" si="726"/>
        <v>-4050.1499999285443</v>
      </c>
      <c r="ZM43" s="43">
        <f t="shared" si="726"/>
        <v>7584.149999836518</v>
      </c>
      <c r="ZN43" s="43">
        <f t="shared" si="726"/>
        <v>-48969.15000021545</v>
      </c>
      <c r="ZO43" s="43">
        <f t="shared" si="726"/>
        <v>-221237.69999963406</v>
      </c>
      <c r="ZP43" s="43">
        <f t="shared" si="726"/>
        <v>130325.549999738</v>
      </c>
      <c r="ZQ43" s="43">
        <f t="shared" si="726"/>
        <v>431124.75000011909</v>
      </c>
      <c r="ZR43" s="127">
        <f t="shared" si="356"/>
        <v>-41017.649999982677</v>
      </c>
      <c r="ZS43" s="43">
        <f t="shared" ref="ZS43:AAV43" si="727">ZS42*ZS8</f>
        <v>-454170.14999973908</v>
      </c>
      <c r="ZT43" s="43">
        <f t="shared" si="727"/>
        <v>238949.54999967304</v>
      </c>
      <c r="ZU43" s="43">
        <f t="shared" si="727"/>
        <v>-107303.399999869</v>
      </c>
      <c r="ZV43" s="43">
        <f t="shared" si="727"/>
        <v>108121.79999976506</v>
      </c>
      <c r="ZW43" s="43">
        <f t="shared" si="727"/>
        <v>-395375.55000000866</v>
      </c>
      <c r="ZX43" s="43">
        <f t="shared" si="727"/>
        <v>-18455.850000055216</v>
      </c>
      <c r="ZY43" s="43">
        <f t="shared" si="727"/>
        <v>85852.950000218698</v>
      </c>
      <c r="ZZ43" s="43">
        <f t="shared" si="727"/>
        <v>67080.90000016673</v>
      </c>
      <c r="AAA43" s="43">
        <f t="shared" si="727"/>
        <v>142592.24999976723</v>
      </c>
      <c r="AAB43" s="43">
        <f t="shared" si="727"/>
        <v>-72065.699999828939</v>
      </c>
      <c r="AAC43" s="43">
        <f t="shared" si="727"/>
        <v>165019.1999996503</v>
      </c>
      <c r="AAD43" s="43">
        <f t="shared" si="727"/>
        <v>-137793.44999960158</v>
      </c>
      <c r="AAE43" s="43">
        <f t="shared" si="727"/>
        <v>23389.499999859254</v>
      </c>
      <c r="AAF43" s="43">
        <f t="shared" si="727"/>
        <v>-25282.049999754236</v>
      </c>
      <c r="AAG43" s="43">
        <f t="shared" si="727"/>
        <v>-42059.250000059546</v>
      </c>
      <c r="AAH43" s="43">
        <f t="shared" si="727"/>
        <v>70363.799999922048</v>
      </c>
      <c r="AAI43" s="43">
        <f t="shared" si="727"/>
        <v>276688.94999985059</v>
      </c>
      <c r="AAJ43" s="43">
        <f t="shared" si="727"/>
        <v>-20404.200000164565</v>
      </c>
      <c r="AAK43" s="43">
        <f t="shared" si="727"/>
        <v>-210156.75000016781</v>
      </c>
      <c r="AAL43" s="43">
        <f t="shared" si="727"/>
        <v>298627.65000022628</v>
      </c>
      <c r="AAM43" s="43">
        <f t="shared" si="727"/>
        <v>-162191.99999988632</v>
      </c>
      <c r="AAN43" s="43">
        <f t="shared" si="727"/>
        <v>89014.950000050885</v>
      </c>
      <c r="AAO43" s="43">
        <f t="shared" si="727"/>
        <v>38804.249999599415</v>
      </c>
      <c r="AAP43" s="43">
        <f t="shared" si="727"/>
        <v>1725.1500004698755</v>
      </c>
      <c r="AAQ43" s="43">
        <f t="shared" si="727"/>
        <v>51549.899999641639</v>
      </c>
      <c r="AAR43" s="43">
        <f t="shared" si="727"/>
        <v>-374469.14999967412</v>
      </c>
      <c r="AAS43" s="43">
        <f t="shared" si="727"/>
        <v>-73981.50000001624</v>
      </c>
      <c r="AAT43" s="43">
        <f t="shared" si="727"/>
        <v>28620.750000265252</v>
      </c>
      <c r="AAU43" s="43">
        <f t="shared" si="727"/>
        <v>-92469.900000399502</v>
      </c>
      <c r="AAV43" s="43">
        <f t="shared" si="727"/>
        <v>-226236.44999995886</v>
      </c>
      <c r="AAW43" s="127">
        <f t="shared" si="574"/>
        <v>-726013.80000005732</v>
      </c>
      <c r="AAX43" s="43">
        <f t="shared" ref="AAX43:ACB43" si="728">AAX42*AAX8</f>
        <v>297246.59999999567</v>
      </c>
      <c r="AAY43" s="43">
        <f t="shared" si="728"/>
        <v>-120630.30000004655</v>
      </c>
      <c r="AAZ43" s="43">
        <f t="shared" si="728"/>
        <v>22882.650000145077</v>
      </c>
      <c r="ABA43" s="43">
        <f t="shared" si="728"/>
        <v>38804.249999870081</v>
      </c>
      <c r="ABB43" s="43">
        <f t="shared" si="728"/>
        <v>-262962.1500000314</v>
      </c>
      <c r="ABC43" s="43">
        <f t="shared" si="728"/>
        <v>183289.05000034429</v>
      </c>
      <c r="ABD43" s="43">
        <f t="shared" si="728"/>
        <v>-171673.35000010935</v>
      </c>
      <c r="ABE43" s="43">
        <f t="shared" si="728"/>
        <v>210724.05000004655</v>
      </c>
      <c r="ABF43" s="43">
        <f t="shared" si="728"/>
        <v>-78106.050000230607</v>
      </c>
      <c r="ABG43" s="43">
        <f t="shared" si="728"/>
        <v>-177430.04999962432</v>
      </c>
      <c r="ABH43" s="43">
        <f t="shared" si="728"/>
        <v>95734.199999542034</v>
      </c>
      <c r="ABI43" s="43">
        <f t="shared" si="728"/>
        <v>75381.149999912304</v>
      </c>
      <c r="ABJ43" s="43">
        <f t="shared" si="728"/>
        <v>-229444.94999969902</v>
      </c>
      <c r="ABK43" s="43">
        <f t="shared" si="728"/>
        <v>224004.44999991014</v>
      </c>
      <c r="ABL43" s="43">
        <f t="shared" si="728"/>
        <v>15293.850000087696</v>
      </c>
      <c r="ABM43" s="43">
        <f t="shared" si="728"/>
        <v>-177760.20000014832</v>
      </c>
      <c r="ABN43" s="43">
        <f t="shared" si="728"/>
        <v>27932.550000188487</v>
      </c>
      <c r="ABO43" s="43">
        <f t="shared" si="728"/>
        <v>68782.799999938288</v>
      </c>
      <c r="ABP43" s="43">
        <f t="shared" si="728"/>
        <v>-192063.60000028799</v>
      </c>
      <c r="ABQ43" s="43">
        <f t="shared" si="728"/>
        <v>68940.900000274996</v>
      </c>
      <c r="ABR43" s="43">
        <f t="shared" si="728"/>
        <v>176155.95000000758</v>
      </c>
      <c r="ABS43" s="43">
        <f t="shared" si="728"/>
        <v>31875.749999778054</v>
      </c>
      <c r="ABT43" s="43">
        <f t="shared" si="728"/>
        <v>-55404.74999990256</v>
      </c>
      <c r="ABU43" s="43">
        <f t="shared" si="728"/>
        <v>-49392.299999743409</v>
      </c>
      <c r="ABV43" s="43">
        <f t="shared" si="728"/>
        <v>3501.4499999859254</v>
      </c>
      <c r="ABW43" s="43">
        <f t="shared" si="728"/>
        <v>26709.599999486818</v>
      </c>
      <c r="ABX43" s="43">
        <f t="shared" si="728"/>
        <v>-46272.149999733665</v>
      </c>
      <c r="ABY43" s="43">
        <f t="shared" si="728"/>
        <v>28578.899999766145</v>
      </c>
      <c r="ABZ43" s="43">
        <f t="shared" si="728"/>
        <v>185070.00000075786</v>
      </c>
      <c r="ACA43" s="43">
        <f t="shared" si="728"/>
        <v>51401.099999475991</v>
      </c>
      <c r="ACB43" s="43">
        <f t="shared" si="728"/>
        <v>-104704.04999969469</v>
      </c>
      <c r="ACC43" s="127">
        <f t="shared" si="274"/>
        <v>166465.35000026214</v>
      </c>
      <c r="ACD43" s="43">
        <f t="shared" ref="ACD43:ADH43" si="729">ACD42*ACD8</f>
        <v>167665.04999946192</v>
      </c>
      <c r="ACE43" s="43">
        <f t="shared" si="729"/>
        <v>-157421.09999969252</v>
      </c>
      <c r="ACF43" s="43">
        <f t="shared" si="729"/>
        <v>147693.2999999437</v>
      </c>
      <c r="ACG43" s="43">
        <f t="shared" si="729"/>
        <v>-115598.99999993504</v>
      </c>
      <c r="ACH43" s="43">
        <f t="shared" si="729"/>
        <v>33149.850000071456</v>
      </c>
      <c r="ACI43" s="43">
        <f t="shared" si="729"/>
        <v>88722.000000075786</v>
      </c>
      <c r="ACJ43" s="43">
        <f t="shared" si="729"/>
        <v>-86178.450000251178</v>
      </c>
      <c r="ACK43" s="43">
        <f t="shared" si="729"/>
        <v>-122411.25000005413</v>
      </c>
      <c r="ACL43" s="43">
        <f t="shared" si="729"/>
        <v>43244.999999945867</v>
      </c>
      <c r="ACM43" s="43">
        <f t="shared" si="729"/>
        <v>-67150.649999961024</v>
      </c>
      <c r="ACN43" s="43">
        <f t="shared" si="729"/>
        <v>214606.80000027933</v>
      </c>
      <c r="ACO43" s="43">
        <f t="shared" si="729"/>
        <v>-211835.40000018838</v>
      </c>
      <c r="ACP43" s="43">
        <f t="shared" si="729"/>
        <v>-67690.04999959725</v>
      </c>
      <c r="ACQ43" s="43">
        <f t="shared" si="729"/>
        <v>250132.79999953229</v>
      </c>
      <c r="ACR43" s="43">
        <f t="shared" si="729"/>
        <v>-35493.450000142911</v>
      </c>
      <c r="ACS43" s="43">
        <f t="shared" si="729"/>
        <v>-206808.74999989173</v>
      </c>
      <c r="ACT43" s="43">
        <f t="shared" si="729"/>
        <v>32457.000000454718</v>
      </c>
      <c r="ACU43" s="43">
        <f t="shared" si="729"/>
        <v>117868.19999972067</v>
      </c>
      <c r="ACV43" s="43">
        <f t="shared" si="729"/>
        <v>7774.7999998246087</v>
      </c>
      <c r="ACW43" s="43">
        <f t="shared" si="729"/>
        <v>103936.80000033346</v>
      </c>
      <c r="ACX43" s="43">
        <f t="shared" si="729"/>
        <v>-154221.90000012342</v>
      </c>
      <c r="ACY43" s="43">
        <f t="shared" si="729"/>
        <v>238958.85000011476</v>
      </c>
      <c r="ACZ43" s="43">
        <f t="shared" si="729"/>
        <v>2185.4999995994149</v>
      </c>
      <c r="ADA43" s="43">
        <f t="shared" si="729"/>
        <v>21566.70000043523</v>
      </c>
      <c r="ADB43" s="43">
        <f t="shared" si="729"/>
        <v>-51252.300000257674</v>
      </c>
      <c r="ADC43" s="43">
        <f t="shared" si="729"/>
        <v>-91711.949999991339</v>
      </c>
      <c r="ADD43" s="43">
        <f t="shared" si="729"/>
        <v>103941.44999974233</v>
      </c>
      <c r="ADE43" s="43">
        <f t="shared" si="729"/>
        <v>-114357.44999969902</v>
      </c>
      <c r="ADF43" s="43">
        <f t="shared" si="729"/>
        <v>43951.800000225194</v>
      </c>
      <c r="ADG43" s="43">
        <f t="shared" si="729"/>
        <v>377380.05000003031</v>
      </c>
      <c r="ADH43" s="43">
        <f t="shared" si="729"/>
        <v>-374125.04999997618</v>
      </c>
      <c r="ADI43" s="127">
        <f t="shared" si="276"/>
        <v>138979.20000002923</v>
      </c>
      <c r="ADJ43" s="43">
        <f t="shared" ref="ADJ43:AEM43" si="730">ADJ42*ADJ8</f>
        <v>239470.3500000498</v>
      </c>
      <c r="ADK43" s="43">
        <f t="shared" si="730"/>
        <v>-108596.10000050452</v>
      </c>
      <c r="ADL43" s="43">
        <f t="shared" si="730"/>
        <v>111344.25000057381</v>
      </c>
      <c r="ADM43" s="43">
        <f t="shared" si="730"/>
        <v>-5775.3000003984198</v>
      </c>
      <c r="ADN43" s="43">
        <f t="shared" si="730"/>
        <v>19027.800000019488</v>
      </c>
      <c r="ADO43" s="43">
        <f t="shared" si="730"/>
        <v>-318297.14999973367</v>
      </c>
      <c r="ADP43" s="43">
        <f t="shared" si="730"/>
        <v>212463.14999969036</v>
      </c>
      <c r="ADQ43" s="43">
        <f t="shared" si="730"/>
        <v>-74162.84999983327</v>
      </c>
      <c r="ADR43" s="43">
        <f t="shared" si="730"/>
        <v>-73218.90000019921</v>
      </c>
      <c r="ADS43" s="43">
        <f t="shared" si="730"/>
        <v>-33865.949999709846</v>
      </c>
      <c r="ADT43" s="43">
        <f t="shared" si="730"/>
        <v>48155.399999863585</v>
      </c>
      <c r="ADU43" s="43">
        <f t="shared" si="730"/>
        <v>157369.94999996969</v>
      </c>
      <c r="ADV43" s="43">
        <f t="shared" si="730"/>
        <v>-258386.54999964056</v>
      </c>
      <c r="ADW43" s="43">
        <f t="shared" si="730"/>
        <v>-21687.599999952363</v>
      </c>
      <c r="ADX43" s="43">
        <f t="shared" si="730"/>
        <v>327494.84999974666</v>
      </c>
      <c r="ADY43" s="43">
        <f t="shared" si="730"/>
        <v>-97324.500000508851</v>
      </c>
      <c r="ADZ43" s="43">
        <f t="shared" si="730"/>
        <v>50429.250000411412</v>
      </c>
      <c r="AEA43" s="43">
        <f t="shared" si="730"/>
        <v>-50750.100000493694</v>
      </c>
      <c r="AEB43" s="43">
        <f t="shared" si="730"/>
        <v>137798.10000036377</v>
      </c>
      <c r="AEC43" s="43">
        <f t="shared" si="730"/>
        <v>-119453.85000006063</v>
      </c>
      <c r="AED43" s="43">
        <f t="shared" si="730"/>
        <v>14322.000000346452</v>
      </c>
      <c r="AEE43" s="43">
        <f t="shared" si="730"/>
        <v>-88415.100000114762</v>
      </c>
      <c r="AEF43" s="43">
        <f t="shared" si="730"/>
        <v>202772.54999981378</v>
      </c>
      <c r="AEG43" s="43">
        <f t="shared" si="730"/>
        <v>48415.800000051968</v>
      </c>
      <c r="AEH43" s="43">
        <f t="shared" si="730"/>
        <v>-99826.199999969685</v>
      </c>
      <c r="AEI43" s="43">
        <f t="shared" si="730"/>
        <v>-271550.70000020787</v>
      </c>
      <c r="AEJ43" s="43">
        <f t="shared" si="730"/>
        <v>-232499.99999972933</v>
      </c>
      <c r="AEK43" s="43">
        <f t="shared" si="730"/>
        <v>96724.649999896064</v>
      </c>
      <c r="AEL43" s="43">
        <f t="shared" si="730"/>
        <v>194635.04999981378</v>
      </c>
      <c r="AEM43" s="43">
        <f t="shared" si="730"/>
        <v>-17251.499999826774</v>
      </c>
      <c r="AEN43" s="127">
        <f t="shared" si="581"/>
        <v>-10639.200000272831</v>
      </c>
      <c r="AEO43" s="43">
        <f t="shared" ref="AEO43:AFS43" si="731">AEO42*AEO8</f>
        <v>-10973.99999993504</v>
      </c>
      <c r="AEP43" s="43">
        <f t="shared" si="731"/>
        <v>-81328.500000227359</v>
      </c>
      <c r="AEQ43" s="43">
        <f t="shared" si="731"/>
        <v>61668.300000214367</v>
      </c>
      <c r="AER43" s="43">
        <f t="shared" si="731"/>
        <v>-101263.05000027933</v>
      </c>
      <c r="AES43" s="43">
        <f t="shared" si="731"/>
        <v>120276.89999990689</v>
      </c>
      <c r="AET43" s="43">
        <f t="shared" si="731"/>
        <v>68968.800000517513</v>
      </c>
      <c r="AEU43" s="43">
        <f t="shared" si="731"/>
        <v>-76129.799999878742</v>
      </c>
      <c r="AEV43" s="43">
        <f t="shared" si="731"/>
        <v>-10662.450000294484</v>
      </c>
      <c r="AEW43" s="43">
        <f t="shared" si="731"/>
        <v>141127.49999989173</v>
      </c>
      <c r="AEX43" s="43">
        <f t="shared" si="731"/>
        <v>-83978.999999718508</v>
      </c>
      <c r="AEY43" s="43">
        <f t="shared" si="731"/>
        <v>-171180.4500003811</v>
      </c>
      <c r="AEZ43" s="43">
        <f t="shared" si="731"/>
        <v>-77129.549999727169</v>
      </c>
      <c r="AFA43" s="43">
        <f t="shared" si="731"/>
        <v>217894.34999998484</v>
      </c>
      <c r="AFB43" s="43">
        <f t="shared" si="731"/>
        <v>19557.899999755318</v>
      </c>
      <c r="AFC43" s="43">
        <f t="shared" si="731"/>
        <v>-81454.049999965355</v>
      </c>
      <c r="AFD43" s="43">
        <f t="shared" si="731"/>
        <v>132952.80000001949</v>
      </c>
      <c r="AFE43" s="43">
        <f t="shared" si="731"/>
        <v>91916.549999965355</v>
      </c>
      <c r="AFF43" s="43">
        <f t="shared" si="731"/>
        <v>-306458.25000012992</v>
      </c>
      <c r="AFG43" s="43">
        <f t="shared" si="731"/>
        <v>80519.40000023169</v>
      </c>
      <c r="AFH43" s="43">
        <f t="shared" si="731"/>
        <v>35786.400000253343</v>
      </c>
      <c r="AFI43" s="43">
        <f t="shared" si="731"/>
        <v>-69973.200000316137</v>
      </c>
      <c r="AFJ43" s="43">
        <f t="shared" si="731"/>
        <v>80579.850000125589</v>
      </c>
      <c r="AFK43" s="43">
        <f t="shared" si="731"/>
        <v>71154.300000116928</v>
      </c>
      <c r="AFL43" s="43">
        <f t="shared" si="731"/>
        <v>-149348.70000007795</v>
      </c>
      <c r="AFM43" s="43">
        <f t="shared" si="731"/>
        <v>-47411.399999982677</v>
      </c>
      <c r="AFN43" s="43">
        <f t="shared" si="731"/>
        <v>-64746.599999995669</v>
      </c>
      <c r="AFO43" s="43">
        <f t="shared" si="731"/>
        <v>243715.7999997813</v>
      </c>
      <c r="AFP43" s="43">
        <f t="shared" si="731"/>
        <v>-86248.200000045472</v>
      </c>
      <c r="AFQ43" s="43">
        <f t="shared" si="731"/>
        <v>-929218.79999970552</v>
      </c>
      <c r="AFR43" s="43">
        <f t="shared" si="731"/>
        <v>673199.09999961674</v>
      </c>
      <c r="AFS43" s="43">
        <f t="shared" si="731"/>
        <v>66801.900000177557</v>
      </c>
      <c r="AFT43" s="127">
        <f t="shared" si="279"/>
        <v>-241386.15000010177</v>
      </c>
      <c r="AFU43" s="43">
        <f t="shared" ref="AFU43:AGX43" si="732">AFU42*AFU8</f>
        <v>133296.89999985276</v>
      </c>
      <c r="AFV43" s="43">
        <f t="shared" si="732"/>
        <v>-17744.399999690359</v>
      </c>
      <c r="AFW43" s="43">
        <f t="shared" si="732"/>
        <v>298464.89999993937</v>
      </c>
      <c r="AFX43" s="43">
        <f t="shared" si="732"/>
        <v>-1748.4000002208631</v>
      </c>
      <c r="AFY43" s="43">
        <f t="shared" si="732"/>
        <v>-96115.499999653548</v>
      </c>
      <c r="AFZ43" s="43">
        <f t="shared" si="732"/>
        <v>28118.550000095274</v>
      </c>
      <c r="AGA43" s="43">
        <f t="shared" si="732"/>
        <v>206236.80000006279</v>
      </c>
      <c r="AGB43" s="43">
        <f t="shared" si="732"/>
        <v>-237880.05000030098</v>
      </c>
      <c r="AGC43" s="43">
        <f t="shared" si="732"/>
        <v>27783.750000162399</v>
      </c>
      <c r="AGD43" s="43">
        <f t="shared" si="732"/>
        <v>137123.8500000065</v>
      </c>
      <c r="AGE43" s="43">
        <f t="shared" si="732"/>
        <v>-44277.299999716342</v>
      </c>
      <c r="AGF43" s="43">
        <f t="shared" si="732"/>
        <v>-77845.650000448222</v>
      </c>
      <c r="AGG43" s="43">
        <f t="shared" si="732"/>
        <v>178987.79999985709</v>
      </c>
      <c r="AGH43" s="43">
        <f t="shared" si="732"/>
        <v>-9495.2999998029554</v>
      </c>
      <c r="AGI43" s="43">
        <f t="shared" si="732"/>
        <v>-84230.100000277162</v>
      </c>
      <c r="AGJ43" s="43">
        <f t="shared" si="732"/>
        <v>777391.65000018838</v>
      </c>
      <c r="AGK43" s="43">
        <f t="shared" si="732"/>
        <v>-775029.44999950414</v>
      </c>
      <c r="AGL43" s="43">
        <f t="shared" si="732"/>
        <v>85741.349999248632</v>
      </c>
      <c r="AGM43" s="43">
        <f t="shared" si="732"/>
        <v>-3464.2499994370155</v>
      </c>
      <c r="AGN43" s="43">
        <f t="shared" si="732"/>
        <v>-18976.65000029665</v>
      </c>
      <c r="AGO43" s="43">
        <f t="shared" si="732"/>
        <v>-157965.15000009094</v>
      </c>
      <c r="AGP43" s="43">
        <f t="shared" si="732"/>
        <v>60260.603000146162</v>
      </c>
      <c r="AGQ43" s="43">
        <f t="shared" si="732"/>
        <v>202885.40000042366</v>
      </c>
      <c r="AGR43" s="43">
        <f t="shared" si="732"/>
        <v>117828.1979994789</v>
      </c>
      <c r="AGS43" s="43">
        <f t="shared" si="732"/>
        <v>-65587.482000023301</v>
      </c>
      <c r="AGT43" s="43">
        <f t="shared" si="732"/>
        <v>32743.701999885612</v>
      </c>
      <c r="AGU43" s="43">
        <f t="shared" si="732"/>
        <v>-121440.10399945348</v>
      </c>
      <c r="AGV43" s="43">
        <f t="shared" si="732"/>
        <v>265948.18699994916</v>
      </c>
      <c r="AGW43" s="43">
        <f t="shared" si="732"/>
        <v>7769.6919996631914</v>
      </c>
      <c r="AGX43" s="43">
        <f t="shared" si="732"/>
        <v>-130751.90699981147</v>
      </c>
      <c r="AGY43" s="127">
        <f t="shared" si="586"/>
        <v>718029.63900023233</v>
      </c>
      <c r="AGZ43" s="43">
        <f t="shared" ref="AGZ43:AID43" si="733">AGZ42*AGZ8</f>
        <v>227536.43099986867</v>
      </c>
      <c r="AHA43" s="43">
        <f t="shared" si="733"/>
        <v>-26507.022999955516</v>
      </c>
      <c r="AHB43" s="43">
        <f t="shared" si="733"/>
        <v>8288.2780001991196</v>
      </c>
      <c r="AHC43" s="43">
        <f t="shared" si="733"/>
        <v>-65627.289000164543</v>
      </c>
      <c r="AHD43" s="43">
        <f t="shared" si="733"/>
        <v>109860.66000001068</v>
      </c>
      <c r="AHE43" s="43">
        <f t="shared" si="733"/>
        <v>-282508.01799989102</v>
      </c>
      <c r="AHF43" s="43">
        <f t="shared" si="733"/>
        <v>-38152.946000326949</v>
      </c>
      <c r="AHG43" s="43">
        <f t="shared" si="733"/>
        <v>-10816.27300008334</v>
      </c>
      <c r="AHH43" s="43">
        <f t="shared" si="733"/>
        <v>126069.0080000406</v>
      </c>
      <c r="AHI43" s="43">
        <f t="shared" si="733"/>
        <v>55448.88700019446</v>
      </c>
      <c r="AHJ43" s="43">
        <f t="shared" si="733"/>
        <v>-374159.52600019873</v>
      </c>
      <c r="AHK43" s="43">
        <f t="shared" si="733"/>
        <v>-133521.54399982264</v>
      </c>
      <c r="AHL43" s="43">
        <f t="shared" si="733"/>
        <v>196473.44600005983</v>
      </c>
      <c r="AHM43" s="43">
        <f t="shared" si="733"/>
        <v>-34169.693999982905</v>
      </c>
      <c r="AHN43" s="43">
        <f t="shared" si="733"/>
        <v>146898.47899972647</v>
      </c>
      <c r="AHO43" s="43">
        <f t="shared" si="733"/>
        <v>225521.81600066886</v>
      </c>
      <c r="AHP43" s="43">
        <f t="shared" si="733"/>
        <v>-242725.97700045089</v>
      </c>
      <c r="AHQ43" s="43">
        <f t="shared" si="733"/>
        <v>1367.5220000448753</v>
      </c>
      <c r="AHR43" s="43">
        <f t="shared" si="733"/>
        <v>-134499.00100003846</v>
      </c>
      <c r="AHS43" s="43">
        <f t="shared" si="733"/>
        <v>133916.19799960253</v>
      </c>
      <c r="AHT43" s="43">
        <f t="shared" si="733"/>
        <v>-110627.02299928199</v>
      </c>
      <c r="AHU43" s="43">
        <f t="shared" si="733"/>
        <v>48950.86299927131</v>
      </c>
      <c r="AHV43" s="43">
        <f t="shared" si="733"/>
        <v>-7938.9699999145232</v>
      </c>
      <c r="AHW43" s="43">
        <f t="shared" si="733"/>
        <v>121066.9980004573</v>
      </c>
      <c r="AHX43" s="43">
        <f t="shared" si="733"/>
        <v>145049.11199976708</v>
      </c>
      <c r="AHY43" s="43">
        <f t="shared" si="733"/>
        <v>-179567.56999975425</v>
      </c>
      <c r="AHZ43" s="43">
        <f t="shared" si="733"/>
        <v>-30071.717000066245</v>
      </c>
      <c r="AIA43" s="43">
        <f t="shared" si="733"/>
        <v>-73286.329999871785</v>
      </c>
      <c r="AIB43" s="43">
        <f t="shared" si="733"/>
        <v>236016.85899938457</v>
      </c>
      <c r="AIC43" s="43">
        <f t="shared" si="733"/>
        <v>-192990.39499970083</v>
      </c>
      <c r="AID43" s="43">
        <f t="shared" si="733"/>
        <v>-17874.155000085477</v>
      </c>
      <c r="AIE43" s="127">
        <f t="shared" si="519"/>
        <v>-172578.89400029375</v>
      </c>
      <c r="AIF43" s="43">
        <f t="shared" ref="AIF43:AJJ43" si="734">AIF42*AIF8</f>
        <v>-214246.64299989102</v>
      </c>
      <c r="AIG43" s="43">
        <f t="shared" si="734"/>
        <v>304640.76500004274</v>
      </c>
      <c r="AIH43" s="43">
        <f t="shared" si="734"/>
        <v>105524.05499997863</v>
      </c>
      <c r="AII43" s="43">
        <f t="shared" si="734"/>
        <v>-327397.61599965382</v>
      </c>
      <c r="AIJ43" s="43">
        <f t="shared" si="734"/>
        <v>-541680.97100022016</v>
      </c>
      <c r="AIK43" s="43">
        <f t="shared" si="734"/>
        <v>841778.62600030564</v>
      </c>
      <c r="AIL43" s="43">
        <f t="shared" si="734"/>
        <v>35482.147999816225</v>
      </c>
      <c r="AIM43" s="43">
        <f t="shared" si="734"/>
        <v>-8361.1580002008704</v>
      </c>
      <c r="AIN43" s="43">
        <f t="shared" si="734"/>
        <v>-157650.50599996367</v>
      </c>
      <c r="AIO43" s="43">
        <f t="shared" si="734"/>
        <v>23853.622000151721</v>
      </c>
      <c r="AIP43" s="43">
        <f t="shared" si="734"/>
        <v>-79600.794000089751</v>
      </c>
      <c r="AIQ43" s="43">
        <f t="shared" si="734"/>
        <v>138725.46999991452</v>
      </c>
      <c r="AIR43" s="43">
        <f t="shared" si="734"/>
        <v>-160509.45300032909</v>
      </c>
      <c r="AIS43" s="43">
        <f t="shared" si="734"/>
        <v>126748.44000052469</v>
      </c>
      <c r="AIT43" s="43">
        <f t="shared" si="734"/>
        <v>-127787.81400010065</v>
      </c>
      <c r="AIU43" s="43">
        <f t="shared" si="734"/>
        <v>-143976.29399991862</v>
      </c>
      <c r="AIV43" s="43">
        <f t="shared" si="734"/>
        <v>-136295.96400026127</v>
      </c>
      <c r="AIW43" s="43">
        <f t="shared" si="734"/>
        <v>61281.675000053539</v>
      </c>
      <c r="AIX43" s="43">
        <f t="shared" si="734"/>
        <v>309278.15099978156</v>
      </c>
      <c r="AIY43" s="43">
        <f t="shared" si="734"/>
        <v>-109092.87899982225</v>
      </c>
      <c r="AIZ43" s="43">
        <f t="shared" si="734"/>
        <v>-68129.585999792267</v>
      </c>
      <c r="AJA43" s="43">
        <f t="shared" si="734"/>
        <v>-32639.103000576084</v>
      </c>
      <c r="AJB43" s="43">
        <f t="shared" si="734"/>
        <v>450587.02500016062</v>
      </c>
      <c r="AJC43" s="43">
        <f t="shared" si="734"/>
        <v>-75814.514999668056</v>
      </c>
      <c r="AJD43" s="43">
        <f t="shared" si="734"/>
        <v>-16271.262000537536</v>
      </c>
      <c r="AJE43" s="43">
        <f t="shared" si="734"/>
        <v>75469.590000417607</v>
      </c>
      <c r="AJF43" s="43">
        <f t="shared" si="734"/>
        <v>81944.981999862939</v>
      </c>
      <c r="AJG43" s="43">
        <f t="shared" si="734"/>
        <v>-15291.674999785842</v>
      </c>
      <c r="AJH43" s="43">
        <f t="shared" si="734"/>
        <v>-71155.727999772993</v>
      </c>
      <c r="AJI43" s="43">
        <f t="shared" si="734"/>
        <v>1864991.078999501</v>
      </c>
      <c r="AJJ43" s="43">
        <f t="shared" si="734"/>
        <v>-35513.477999772993</v>
      </c>
      <c r="AJK43" s="127">
        <f t="shared" si="520"/>
        <v>2098890.1890001548</v>
      </c>
      <c r="AJL43" s="43">
        <f t="shared" ref="AJL43:AKM43" si="735">AJL42*AJL8</f>
        <v>65669.120999910054</v>
      </c>
      <c r="AJM43" s="43">
        <f t="shared" si="735"/>
        <v>221018.7420000878</v>
      </c>
      <c r="AJN43" s="43">
        <f t="shared" si="735"/>
        <v>-145710.11699982011</v>
      </c>
      <c r="AJO43" s="43">
        <f t="shared" si="735"/>
        <v>-90715.274999892921</v>
      </c>
      <c r="AJP43" s="43">
        <f t="shared" si="735"/>
        <v>-140366.0790003041</v>
      </c>
      <c r="AJQ43" s="43">
        <f t="shared" si="735"/>
        <v>159833.64599980297</v>
      </c>
      <c r="AJR43" s="43">
        <f t="shared" si="735"/>
        <v>107837.35200041975</v>
      </c>
      <c r="AJS43" s="43">
        <f t="shared" si="735"/>
        <v>-31089.240000042832</v>
      </c>
      <c r="AJT43" s="43">
        <f t="shared" si="735"/>
        <v>-66253.193999811541</v>
      </c>
      <c r="AJU43" s="43">
        <f t="shared" si="735"/>
        <v>106848.56699976657</v>
      </c>
      <c r="AJV43" s="43">
        <f t="shared" si="735"/>
        <v>-50391.243000511837</v>
      </c>
      <c r="AJW43" s="43">
        <f t="shared" si="735"/>
        <v>161319.12300049042</v>
      </c>
      <c r="AJX43" s="43">
        <f t="shared" si="735"/>
        <v>-22305.149999892921</v>
      </c>
      <c r="AJY43" s="43">
        <f t="shared" si="735"/>
        <v>-55321.371000445448</v>
      </c>
      <c r="AJZ43" s="43">
        <f t="shared" si="735"/>
        <v>-106108.12800020131</v>
      </c>
      <c r="AKA43" s="43">
        <f t="shared" si="735"/>
        <v>270890.29800054396</v>
      </c>
      <c r="AKB43" s="43">
        <f t="shared" si="735"/>
        <v>-98639.351999884355</v>
      </c>
      <c r="AKC43" s="43">
        <f t="shared" si="735"/>
        <v>-56848.239000421891</v>
      </c>
      <c r="AKD43" s="43">
        <f t="shared" si="735"/>
        <v>81098.766000092088</v>
      </c>
      <c r="AKE43" s="43">
        <f t="shared" si="735"/>
        <v>183260.95199999143</v>
      </c>
      <c r="AKF43" s="43">
        <f t="shared" si="735"/>
        <v>-108389.23199997169</v>
      </c>
      <c r="AKG43" s="43">
        <f t="shared" si="735"/>
        <v>35048.979000464722</v>
      </c>
      <c r="AKH43" s="43">
        <f t="shared" si="735"/>
        <v>-149242.14900027198</v>
      </c>
      <c r="AKI43" s="43">
        <f t="shared" si="735"/>
        <v>286821.23399990791</v>
      </c>
      <c r="AKJ43" s="43">
        <f t="shared" si="735"/>
        <v>-200612.97900019703</v>
      </c>
      <c r="AKK43" s="43">
        <f t="shared" si="735"/>
        <v>27603.198000436882</v>
      </c>
      <c r="AKL43" s="43">
        <f t="shared" si="735"/>
        <v>54534.942000301962</v>
      </c>
      <c r="AKM43" s="43">
        <f t="shared" si="735"/>
        <v>65319.596999370377</v>
      </c>
      <c r="AKN43" s="127">
        <f t="shared" si="11"/>
        <v>505112.76899991703</v>
      </c>
      <c r="AKO43" s="43">
        <f t="shared" ref="AKO43:ALS43" si="736">AKO42*AKO8</f>
        <v>-298957.99499975372</v>
      </c>
      <c r="AKP43" s="43">
        <f t="shared" si="736"/>
        <v>235477.99799995503</v>
      </c>
      <c r="AKQ43" s="43">
        <f t="shared" si="736"/>
        <v>31576.734000175609</v>
      </c>
      <c r="AKR43" s="43">
        <f t="shared" si="736"/>
        <v>9285.3809993318282</v>
      </c>
      <c r="AKS43" s="43">
        <f t="shared" si="736"/>
        <v>29217.447000012849</v>
      </c>
      <c r="AKT43" s="43">
        <f t="shared" si="736"/>
        <v>-80569.880999331828</v>
      </c>
      <c r="AKU43" s="43">
        <f t="shared" si="736"/>
        <v>190835.50499997858</v>
      </c>
      <c r="AKV43" s="43">
        <f t="shared" si="736"/>
        <v>-212165.66700040904</v>
      </c>
      <c r="AKW43" s="43">
        <f t="shared" si="736"/>
        <v>38921.337000057356</v>
      </c>
      <c r="AKX43" s="43">
        <f t="shared" si="736"/>
        <v>-307898.4510001028</v>
      </c>
      <c r="AKY43" s="43">
        <f t="shared" si="736"/>
        <v>-198907.46499961033</v>
      </c>
      <c r="AKZ43" s="43">
        <f t="shared" si="736"/>
        <v>152412.81599966012</v>
      </c>
      <c r="ALA43" s="43">
        <f t="shared" si="736"/>
        <v>141524.85800045246</v>
      </c>
      <c r="ALB43" s="43">
        <f t="shared" si="736"/>
        <v>-30013.944000296586</v>
      </c>
      <c r="ALC43" s="43">
        <f t="shared" si="736"/>
        <v>-7917.2469999047462</v>
      </c>
      <c r="ALD43" s="43">
        <f t="shared" si="736"/>
        <v>-32807.993000409158</v>
      </c>
      <c r="ALE43" s="43">
        <f t="shared" si="736"/>
        <v>193491.38000051957</v>
      </c>
      <c r="ALF43" s="43">
        <f t="shared" si="736"/>
        <v>-114923.44299997593</v>
      </c>
      <c r="ALG43" s="43">
        <f t="shared" si="736"/>
        <v>42699.812999997812</v>
      </c>
      <c r="ALH43" s="43">
        <f t="shared" si="736"/>
        <v>54903.115999765869</v>
      </c>
      <c r="ALI43" s="43">
        <f t="shared" si="736"/>
        <v>-103114.85600008315</v>
      </c>
      <c r="ALJ43" s="43">
        <f t="shared" si="736"/>
        <v>-61105.795999798691</v>
      </c>
      <c r="ALK43" s="43">
        <f t="shared" si="736"/>
        <v>217836.24199976149</v>
      </c>
      <c r="ALL43" s="43">
        <f t="shared" si="736"/>
        <v>-49989.999999816064</v>
      </c>
      <c r="ALM43" s="43">
        <f t="shared" si="736"/>
        <v>-78999.999999941792</v>
      </c>
      <c r="ALN43" s="43">
        <f t="shared" si="736"/>
        <v>192129.99999988824</v>
      </c>
      <c r="ALO43" s="43">
        <f t="shared" si="736"/>
        <v>-223000.00000017462</v>
      </c>
      <c r="ALP43" s="43">
        <f t="shared" si="736"/>
        <v>217020.00000019325</v>
      </c>
      <c r="ALQ43" s="43">
        <f t="shared" si="736"/>
        <v>298124.99999970896</v>
      </c>
      <c r="ALR43" s="43">
        <f t="shared" si="736"/>
        <v>-349999.99999941792</v>
      </c>
      <c r="ALS43" s="43">
        <f t="shared" si="736"/>
        <v>-51620.976000524301</v>
      </c>
      <c r="ALT43" s="127">
        <f t="shared" si="12"/>
        <v>-156536.08700009162</v>
      </c>
      <c r="ALU43" s="43">
        <f t="shared" ref="ALU43:AMX43" si="737">ALU42*ALU8</f>
        <v>77941.413000173983</v>
      </c>
      <c r="ALV43" s="43">
        <f t="shared" si="737"/>
        <v>50207.255999795452</v>
      </c>
      <c r="ALW43" s="43">
        <f t="shared" si="737"/>
        <v>-41758.389999628358</v>
      </c>
      <c r="ALX43" s="43">
        <f t="shared" si="737"/>
        <v>43344.282000026375</v>
      </c>
      <c r="ALY43" s="43">
        <f t="shared" si="737"/>
        <v>30996.979999796196</v>
      </c>
      <c r="ALZ43" s="43">
        <f t="shared" si="737"/>
        <v>-12084.703000045556</v>
      </c>
      <c r="AMA43" s="43">
        <f t="shared" si="737"/>
        <v>95812.591999438941</v>
      </c>
      <c r="AMB43" s="43">
        <f t="shared" si="737"/>
        <v>-56067.460998928233</v>
      </c>
      <c r="AMC43" s="43">
        <f t="shared" si="737"/>
        <v>-1791.8519999904092</v>
      </c>
      <c r="AMD43" s="43">
        <f t="shared" si="737"/>
        <v>-127046.4259999952</v>
      </c>
      <c r="AME43" s="43">
        <f t="shared" si="737"/>
        <v>314027.21199946292</v>
      </c>
      <c r="AMF43" s="43">
        <f t="shared" si="737"/>
        <v>-175158.6820002062</v>
      </c>
      <c r="AMG43" s="43">
        <f t="shared" si="737"/>
        <v>19169.72700029012</v>
      </c>
      <c r="AMH43" s="43">
        <f t="shared" si="737"/>
        <v>-182949.11900008871</v>
      </c>
      <c r="AMI43" s="43">
        <f t="shared" si="737"/>
        <v>224472.02400018641</v>
      </c>
      <c r="AMJ43" s="43">
        <f t="shared" si="737"/>
        <v>-54896.241000043578</v>
      </c>
      <c r="AMK43" s="43">
        <f t="shared" si="737"/>
        <v>100418.61900027376</v>
      </c>
      <c r="AML43" s="43">
        <f t="shared" si="737"/>
        <v>-106087.53900035931</v>
      </c>
      <c r="AMM43" s="43">
        <f t="shared" si="737"/>
        <v>-28575.55599978735</v>
      </c>
      <c r="AMN43" s="43">
        <f t="shared" si="737"/>
        <v>179374.07699944027</v>
      </c>
      <c r="AMO43" s="43">
        <f t="shared" si="737"/>
        <v>-10408.766999733576</v>
      </c>
      <c r="AMP43" s="43">
        <f t="shared" si="737"/>
        <v>26465.458000083105</v>
      </c>
      <c r="AMQ43" s="43">
        <f t="shared" si="737"/>
        <v>263982.70799947204</v>
      </c>
      <c r="AMR43" s="43">
        <f t="shared" si="737"/>
        <v>-287902.40099871188</v>
      </c>
      <c r="AMS43" s="43">
        <f t="shared" si="737"/>
        <v>-250445.53700085793</v>
      </c>
      <c r="AMT43" s="43">
        <f t="shared" si="737"/>
        <v>-150273.6209994696</v>
      </c>
      <c r="AMU43" s="43">
        <f t="shared" si="737"/>
        <v>190213.26199975802</v>
      </c>
      <c r="AMV43" s="43">
        <f t="shared" si="737"/>
        <v>156840.12000002444</v>
      </c>
      <c r="AMW43" s="43">
        <f t="shared" si="737"/>
        <v>-188619.95499947888</v>
      </c>
      <c r="AMX43" s="43">
        <f t="shared" si="737"/>
        <v>-17852.150000496302</v>
      </c>
      <c r="AMY43" s="127">
        <f t="shared" si="13"/>
        <v>81347.330000400892</v>
      </c>
      <c r="AMZ43" s="43">
        <f t="shared" ref="AMZ43:AOC43" si="738">AMZ42*AMZ8</f>
        <v>61423.64800039056</v>
      </c>
      <c r="ANA43" s="43">
        <f t="shared" si="738"/>
        <v>18643.247999538668</v>
      </c>
      <c r="ANB43" s="43">
        <f t="shared" si="738"/>
        <v>66152.008000207075</v>
      </c>
      <c r="ANC43" s="43">
        <f t="shared" si="738"/>
        <v>-154234.60000054061</v>
      </c>
      <c r="AND43" s="43">
        <f t="shared" si="738"/>
        <v>41164.877000133682</v>
      </c>
      <c r="ANE43" s="43">
        <f t="shared" si="738"/>
        <v>-46045.219999960682</v>
      </c>
      <c r="ANF43" s="43">
        <f t="shared" si="738"/>
        <v>54702.622000290954</v>
      </c>
      <c r="ANG43" s="43">
        <f t="shared" si="738"/>
        <v>138152.54699937353</v>
      </c>
      <c r="ANH43" s="43">
        <f t="shared" si="738"/>
        <v>118040.13000049803</v>
      </c>
      <c r="ANI43" s="43">
        <f t="shared" si="738"/>
        <v>-361894.03899982176</v>
      </c>
      <c r="ANJ43" s="43">
        <f t="shared" si="738"/>
        <v>56734.690999824379</v>
      </c>
      <c r="ANK43" s="43">
        <f t="shared" si="738"/>
        <v>39008.970000288333</v>
      </c>
      <c r="ANL43" s="43">
        <f t="shared" si="738"/>
        <v>152973.70399921888</v>
      </c>
      <c r="ANM43" s="43">
        <f t="shared" si="738"/>
        <v>144732.84800065268</v>
      </c>
      <c r="ANN43" s="43">
        <f t="shared" si="738"/>
        <v>-379107.52099992923</v>
      </c>
      <c r="ANO43" s="43">
        <f t="shared" si="738"/>
        <v>62954.736000047182</v>
      </c>
      <c r="ANP43" s="43">
        <f t="shared" si="738"/>
        <v>26072.099999280181</v>
      </c>
      <c r="ANQ43" s="43">
        <f t="shared" si="738"/>
        <v>275229.10000020056</v>
      </c>
      <c r="ANR43" s="43">
        <f t="shared" si="738"/>
        <v>-192888.69999982417</v>
      </c>
      <c r="ANS43" s="43">
        <f t="shared" si="738"/>
        <v>-90329.000000673113</v>
      </c>
      <c r="ANT43" s="43">
        <f t="shared" si="738"/>
        <v>21139.700000936864</v>
      </c>
      <c r="ANU43" s="43">
        <f t="shared" si="738"/>
        <v>-20360.90000034892</v>
      </c>
      <c r="ANV43" s="43">
        <f t="shared" si="738"/>
        <v>41118.82399993093</v>
      </c>
      <c r="ANW43" s="43">
        <f t="shared" si="738"/>
        <v>-106614.86800041742</v>
      </c>
      <c r="ANX43" s="43">
        <f t="shared" si="738"/>
        <v>145715.15500057058</v>
      </c>
      <c r="ANY43" s="43">
        <f t="shared" si="738"/>
        <v>-5984.6720000930945</v>
      </c>
      <c r="ANZ43" s="43">
        <f t="shared" si="738"/>
        <v>-122414.91799974174</v>
      </c>
      <c r="AOA43" s="43">
        <f t="shared" si="738"/>
        <v>122472.95899987087</v>
      </c>
      <c r="AOB43" s="43">
        <f t="shared" si="738"/>
        <v>20424.030000359635</v>
      </c>
      <c r="AOC43" s="43">
        <f t="shared" si="738"/>
        <v>-1775196.7200003203</v>
      </c>
    </row>
    <row r="44" spans="1:1069" x14ac:dyDescent="0.2">
      <c r="A44" s="4"/>
      <c r="B44" s="5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94"/>
      <c r="BM44" s="97"/>
      <c r="CS44" s="111">
        <f t="shared" si="208"/>
        <v>0</v>
      </c>
      <c r="DX44" s="117"/>
      <c r="FD44" s="128"/>
      <c r="GJ44" s="127">
        <f>SUM(FE44:GI44)</f>
        <v>0</v>
      </c>
      <c r="HN44" s="127">
        <f t="shared" si="253"/>
        <v>0</v>
      </c>
      <c r="IT44" s="127">
        <f t="shared" si="22"/>
        <v>0</v>
      </c>
      <c r="JY44" s="127">
        <f t="shared" si="58"/>
        <v>0</v>
      </c>
      <c r="LE44" s="127">
        <f t="shared" si="60"/>
        <v>0</v>
      </c>
      <c r="MJ44" s="127">
        <f t="shared" si="62"/>
        <v>0</v>
      </c>
      <c r="NP44" s="127">
        <f t="shared" si="64"/>
        <v>0</v>
      </c>
      <c r="OV44" s="127">
        <f t="shared" si="66"/>
        <v>0</v>
      </c>
      <c r="QA44" s="127">
        <f t="shared" si="68"/>
        <v>0</v>
      </c>
      <c r="RG44" s="127">
        <f t="shared" si="495"/>
        <v>0</v>
      </c>
      <c r="SL44" s="127">
        <f t="shared" si="497"/>
        <v>0</v>
      </c>
      <c r="TR44" s="127">
        <f t="shared" si="499"/>
        <v>0</v>
      </c>
      <c r="UX44" s="127">
        <f t="shared" si="501"/>
        <v>0</v>
      </c>
      <c r="WA44" s="127">
        <f t="shared" si="723"/>
        <v>0</v>
      </c>
      <c r="XG44" s="127">
        <f>SUM(WC44:XF44)</f>
        <v>0</v>
      </c>
      <c r="YL44" s="127">
        <f>SUM(XI44:YK44)</f>
        <v>0</v>
      </c>
      <c r="ZR44" s="127">
        <f t="shared" si="356"/>
        <v>0</v>
      </c>
      <c r="AAW44" s="127">
        <f>SUM(ZR44:AAV44)</f>
        <v>0</v>
      </c>
      <c r="ACC44" s="127">
        <f t="shared" si="274"/>
        <v>0</v>
      </c>
      <c r="ADI44" s="127">
        <f t="shared" si="276"/>
        <v>0</v>
      </c>
      <c r="AEN44" s="127">
        <f>SUM(ADI44:AEM44)</f>
        <v>0</v>
      </c>
      <c r="AFT44" s="127">
        <f t="shared" si="279"/>
        <v>0</v>
      </c>
      <c r="AGY44" s="127">
        <f>SUM(AFT44:AGX44)</f>
        <v>0</v>
      </c>
      <c r="AIE44" s="127">
        <f t="shared" si="519"/>
        <v>0</v>
      </c>
      <c r="AJK44" s="127">
        <f t="shared" si="520"/>
        <v>0</v>
      </c>
      <c r="AKN44" s="127">
        <f t="shared" si="11"/>
        <v>0</v>
      </c>
      <c r="ALT44" s="127">
        <f t="shared" si="12"/>
        <v>0</v>
      </c>
      <c r="AMY44" s="127">
        <f t="shared" si="13"/>
        <v>0</v>
      </c>
    </row>
    <row r="45" spans="1:1069" x14ac:dyDescent="0.2">
      <c r="A45" s="4"/>
      <c r="B45" s="29" t="s">
        <v>1533</v>
      </c>
      <c r="C45" s="30">
        <f t="shared" ref="C45:AG45" si="739">C43+C36</f>
        <v>-44120.480000004638</v>
      </c>
      <c r="D45" s="30">
        <f t="shared" si="739"/>
        <v>63221.299999999792</v>
      </c>
      <c r="E45" s="30">
        <f t="shared" si="739"/>
        <v>26746.300000007956</v>
      </c>
      <c r="F45" s="30">
        <f t="shared" si="739"/>
        <v>-176645.81999999797</v>
      </c>
      <c r="G45" s="30">
        <f t="shared" si="739"/>
        <v>255019.16999989661</v>
      </c>
      <c r="H45" s="30">
        <f t="shared" si="739"/>
        <v>-109998.58000018042</v>
      </c>
      <c r="I45" s="30">
        <f t="shared" si="739"/>
        <v>58053.290000334135</v>
      </c>
      <c r="J45" s="30">
        <f t="shared" si="739"/>
        <v>-78158.010000007576</v>
      </c>
      <c r="K45" s="30">
        <f t="shared" si="739"/>
        <v>-714644.09999990708</v>
      </c>
      <c r="L45" s="30">
        <f t="shared" si="739"/>
        <v>296340.83999995171</v>
      </c>
      <c r="M45" s="30">
        <f t="shared" si="739"/>
        <v>221124.62999955635</v>
      </c>
      <c r="N45" s="30">
        <f t="shared" si="739"/>
        <v>-25553.069999230793</v>
      </c>
      <c r="O45" s="30">
        <f t="shared" si="739"/>
        <v>114966.24000000564</v>
      </c>
      <c r="P45" s="30">
        <f t="shared" si="739"/>
        <v>-18667.740000206104</v>
      </c>
      <c r="Q45" s="30">
        <f t="shared" si="739"/>
        <v>314678.06999981403</v>
      </c>
      <c r="R45" s="30">
        <f t="shared" si="739"/>
        <v>522187.38000040117</v>
      </c>
      <c r="S45" s="30">
        <f t="shared" si="739"/>
        <v>-174314.880000251</v>
      </c>
      <c r="T45" s="30">
        <f t="shared" si="739"/>
        <v>-203406.09000062017</v>
      </c>
      <c r="U45" s="30">
        <f t="shared" si="739"/>
        <v>-374335.30999974901</v>
      </c>
      <c r="V45" s="30">
        <f t="shared" si="739"/>
        <v>500601.659999853</v>
      </c>
      <c r="W45" s="30">
        <f t="shared" si="739"/>
        <v>171710.22000063123</v>
      </c>
      <c r="X45" s="30">
        <f t="shared" si="739"/>
        <v>-132309.64000030508</v>
      </c>
      <c r="Y45" s="30">
        <f t="shared" si="739"/>
        <v>133260.50000064628</v>
      </c>
      <c r="Z45" s="30">
        <f t="shared" si="739"/>
        <v>-293623.68000024231</v>
      </c>
      <c r="AA45" s="30">
        <f t="shared" si="739"/>
        <v>334167.91999974113</v>
      </c>
      <c r="AB45" s="30">
        <f t="shared" si="739"/>
        <v>-98674.410000046191</v>
      </c>
      <c r="AC45" s="30">
        <f t="shared" si="739"/>
        <v>-48522.439999765484</v>
      </c>
      <c r="AD45" s="30">
        <f t="shared" si="739"/>
        <v>60348.589999614342</v>
      </c>
      <c r="AE45" s="30">
        <f t="shared" si="739"/>
        <v>72243.779999547987</v>
      </c>
      <c r="AF45" s="30">
        <f t="shared" si="739"/>
        <v>-71055.849998877093</v>
      </c>
      <c r="AG45" s="30">
        <f t="shared" si="739"/>
        <v>171737.29999939445</v>
      </c>
      <c r="AH45" s="94">
        <f>SUM(C45:AG45)</f>
        <v>752377.09000000497</v>
      </c>
      <c r="AI45" s="30">
        <f t="shared" ref="AI45:BL45" si="740">AI43+AI36</f>
        <v>-98287.239999782469</v>
      </c>
      <c r="AJ45" s="30">
        <f t="shared" si="740"/>
        <v>562446.47000009718</v>
      </c>
      <c r="AK45" s="30">
        <f t="shared" si="740"/>
        <v>-51833.240000050282</v>
      </c>
      <c r="AL45" s="30">
        <f t="shared" si="740"/>
        <v>463282.10000024439</v>
      </c>
      <c r="AM45" s="30">
        <f t="shared" si="740"/>
        <v>-214085.53000055981</v>
      </c>
      <c r="AN45" s="30">
        <f t="shared" si="740"/>
        <v>28428.090000100783</v>
      </c>
      <c r="AO45" s="30">
        <f t="shared" si="740"/>
        <v>-186136.84000009584</v>
      </c>
      <c r="AP45" s="30">
        <f t="shared" si="740"/>
        <v>-83394.010000128183</v>
      </c>
      <c r="AQ45" s="30">
        <f t="shared" si="740"/>
        <v>-389894.51999956684</v>
      </c>
      <c r="AR45" s="30">
        <f t="shared" si="740"/>
        <v>-114327.48000000312</v>
      </c>
      <c r="AS45" s="30">
        <f t="shared" si="740"/>
        <v>-261308.5700003893</v>
      </c>
      <c r="AT45" s="30">
        <f t="shared" si="740"/>
        <v>543055.35000066296</v>
      </c>
      <c r="AU45" s="30">
        <f t="shared" si="740"/>
        <v>-181678.65000048914</v>
      </c>
      <c r="AV45" s="30">
        <f t="shared" si="740"/>
        <v>-632474.50000019593</v>
      </c>
      <c r="AW45" s="30">
        <f t="shared" si="740"/>
        <v>154771.95000056963</v>
      </c>
      <c r="AX45" s="30">
        <f t="shared" si="740"/>
        <v>-67003.150000039022</v>
      </c>
      <c r="AY45" s="30">
        <f t="shared" si="740"/>
        <v>-429225.15000016574</v>
      </c>
      <c r="AZ45" s="30">
        <f t="shared" si="740"/>
        <v>406466.79999995622</v>
      </c>
      <c r="BA45" s="30">
        <f t="shared" si="740"/>
        <v>-241055.20000040933</v>
      </c>
      <c r="BB45" s="30">
        <f t="shared" si="740"/>
        <v>-335450.04999997036</v>
      </c>
      <c r="BC45" s="30">
        <f t="shared" si="740"/>
        <v>196479.90000092395</v>
      </c>
      <c r="BD45" s="30">
        <f t="shared" si="740"/>
        <v>80871.149999860791</v>
      </c>
      <c r="BE45" s="30">
        <f t="shared" si="740"/>
        <v>32362.549999427574</v>
      </c>
      <c r="BF45" s="30">
        <f t="shared" si="740"/>
        <v>-81890.849999792408</v>
      </c>
      <c r="BG45" s="30">
        <f t="shared" si="740"/>
        <v>27099.899999612535</v>
      </c>
      <c r="BH45" s="30">
        <f t="shared" si="740"/>
        <v>582744.74999999709</v>
      </c>
      <c r="BI45" s="30">
        <f t="shared" si="740"/>
        <v>66552.780000449275</v>
      </c>
      <c r="BJ45" s="30">
        <f t="shared" si="740"/>
        <v>-44767.689999746217</v>
      </c>
      <c r="BK45" s="30">
        <f t="shared" si="740"/>
        <v>207483.42999980669</v>
      </c>
      <c r="BL45" s="30">
        <f t="shared" si="740"/>
        <v>209459.24999992189</v>
      </c>
      <c r="BM45" s="97">
        <f>SUM(AI45:BL45)</f>
        <v>148691.80000024737</v>
      </c>
      <c r="BN45" s="30">
        <f t="shared" ref="BN45:CR45" si="741">BN43+BN36</f>
        <v>-454076.91999980243</v>
      </c>
      <c r="BO45" s="30">
        <f t="shared" si="741"/>
        <v>54676.379999829223</v>
      </c>
      <c r="BP45" s="30">
        <f t="shared" si="741"/>
        <v>-3928.979999810399</v>
      </c>
      <c r="BQ45" s="30">
        <f t="shared" si="741"/>
        <v>-46481.600000111794</v>
      </c>
      <c r="BR45" s="30">
        <f t="shared" si="741"/>
        <v>252658.44999956986</v>
      </c>
      <c r="BS45" s="30">
        <f t="shared" si="741"/>
        <v>-108379.91999951628</v>
      </c>
      <c r="BT45" s="30">
        <f t="shared" si="741"/>
        <v>499997.07999921404</v>
      </c>
      <c r="BU45" s="30">
        <f t="shared" si="741"/>
        <v>90401.410000826581</v>
      </c>
      <c r="BV45" s="30">
        <f t="shared" si="741"/>
        <v>15327.50999966549</v>
      </c>
      <c r="BW45" s="30">
        <f t="shared" si="741"/>
        <v>-144552.86999986856</v>
      </c>
      <c r="BX45" s="30">
        <f t="shared" si="741"/>
        <v>199517.89000027522</v>
      </c>
      <c r="BY45" s="30">
        <f t="shared" si="741"/>
        <v>-257630.34000041109</v>
      </c>
      <c r="BZ45" s="30">
        <f t="shared" si="741"/>
        <v>-17295.079999837035</v>
      </c>
      <c r="CA45" s="30">
        <f t="shared" si="741"/>
        <v>-692260.47000009625</v>
      </c>
      <c r="CB45" s="30">
        <f t="shared" si="741"/>
        <v>-72797.999999960302</v>
      </c>
      <c r="CC45" s="30">
        <f t="shared" si="741"/>
        <v>29297.400000370981</v>
      </c>
      <c r="CD45" s="30">
        <f t="shared" si="741"/>
        <v>-182515.85000035062</v>
      </c>
      <c r="CE45" s="30">
        <f t="shared" si="741"/>
        <v>-16363.819999758562</v>
      </c>
      <c r="CF45" s="30">
        <f t="shared" si="741"/>
        <v>126278.56999946787</v>
      </c>
      <c r="CG45" s="30">
        <f t="shared" si="741"/>
        <v>15432.670000319195</v>
      </c>
      <c r="CH45" s="30">
        <f t="shared" si="741"/>
        <v>7264.2899996755295</v>
      </c>
      <c r="CI45" s="30">
        <f t="shared" si="741"/>
        <v>112608.76000011369</v>
      </c>
      <c r="CJ45" s="30">
        <f t="shared" si="741"/>
        <v>6384.5100003188709</v>
      </c>
      <c r="CK45" s="30">
        <f t="shared" si="741"/>
        <v>106057.7099999864</v>
      </c>
      <c r="CL45" s="30">
        <f t="shared" si="741"/>
        <v>340034.8600000795</v>
      </c>
      <c r="CM45" s="30">
        <f t="shared" si="741"/>
        <v>286010.12000020855</v>
      </c>
      <c r="CN45" s="30">
        <f t="shared" si="741"/>
        <v>-39571.180000503955</v>
      </c>
      <c r="CO45" s="30">
        <f t="shared" si="741"/>
        <v>-891249.3700006234</v>
      </c>
      <c r="CP45" s="30">
        <f t="shared" si="741"/>
        <v>283722.78000077582</v>
      </c>
      <c r="CQ45" s="30">
        <f t="shared" si="741"/>
        <v>-37670.050000264309</v>
      </c>
      <c r="CR45" s="30">
        <f t="shared" si="741"/>
        <v>-239126.45099984444</v>
      </c>
      <c r="CS45" s="111">
        <f t="shared" si="208"/>
        <v>-778230.51100006269</v>
      </c>
      <c r="CT45" s="30">
        <f t="shared" ref="CT45:DW45" si="742">CT43+CT36</f>
        <v>-102360.74100028953</v>
      </c>
      <c r="CU45" s="30">
        <f t="shared" si="742"/>
        <v>-390605.2889998309</v>
      </c>
      <c r="CV45" s="30">
        <f t="shared" si="742"/>
        <v>-198689.93699990935</v>
      </c>
      <c r="CW45" s="30">
        <f t="shared" si="742"/>
        <v>-73069.2329999785</v>
      </c>
      <c r="CX45" s="30">
        <f t="shared" si="742"/>
        <v>32415.636000074999</v>
      </c>
      <c r="CY45" s="30">
        <f t="shared" si="742"/>
        <v>553703.99700019928</v>
      </c>
      <c r="CZ45" s="30">
        <f t="shared" si="742"/>
        <v>-1227858.554999907</v>
      </c>
      <c r="DA45" s="30">
        <f t="shared" si="742"/>
        <v>-118806.33299999443</v>
      </c>
      <c r="DB45" s="30">
        <f t="shared" si="742"/>
        <v>293299.73699936096</v>
      </c>
      <c r="DC45" s="30">
        <f t="shared" si="742"/>
        <v>-107630.03699973031</v>
      </c>
      <c r="DD45" s="30">
        <f t="shared" si="742"/>
        <v>155840.30400005932</v>
      </c>
      <c r="DE45" s="30">
        <f t="shared" si="742"/>
        <v>-22739.607000694843</v>
      </c>
      <c r="DF45" s="30">
        <f t="shared" si="742"/>
        <v>232741.89600030196</v>
      </c>
      <c r="DG45" s="30">
        <f t="shared" si="742"/>
        <v>-59810.657999766758</v>
      </c>
      <c r="DH45" s="30">
        <f t="shared" si="742"/>
        <v>199211.38999996212</v>
      </c>
      <c r="DI45" s="30">
        <f t="shared" si="742"/>
        <v>-72256.609999363136</v>
      </c>
      <c r="DJ45" s="30">
        <f t="shared" si="742"/>
        <v>228647.14999970805</v>
      </c>
      <c r="DK45" s="30">
        <f t="shared" si="742"/>
        <v>297873.64999945916</v>
      </c>
      <c r="DL45" s="30">
        <f t="shared" si="742"/>
        <v>-304806.02000018262</v>
      </c>
      <c r="DM45" s="30">
        <f t="shared" si="742"/>
        <v>-104047.85000016069</v>
      </c>
      <c r="DN45" s="30">
        <f t="shared" si="742"/>
        <v>55566.390000159736</v>
      </c>
      <c r="DO45" s="30">
        <f t="shared" si="742"/>
        <v>-85921.199999756936</v>
      </c>
      <c r="DP45" s="30">
        <f t="shared" si="742"/>
        <v>-112605.14999929524</v>
      </c>
      <c r="DQ45" s="30">
        <f t="shared" si="742"/>
        <v>241793.42999921006</v>
      </c>
      <c r="DR45" s="30">
        <f t="shared" si="742"/>
        <v>849689.95000080415</v>
      </c>
      <c r="DS45" s="30">
        <f t="shared" si="742"/>
        <v>-500118.7800000899</v>
      </c>
      <c r="DT45" s="30">
        <f t="shared" si="742"/>
        <v>67616.419999503123</v>
      </c>
      <c r="DU45" s="30">
        <f t="shared" si="742"/>
        <v>-96317.669999708305</v>
      </c>
      <c r="DV45" s="30">
        <f t="shared" si="742"/>
        <v>-159967.85000006726</v>
      </c>
      <c r="DW45" s="30">
        <f t="shared" si="742"/>
        <v>638941.18999945023</v>
      </c>
      <c r="DX45" s="122"/>
      <c r="DY45" s="30">
        <f t="shared" ref="DY45:FC45" si="743">DY43+DY36</f>
        <v>-428145.37999985623</v>
      </c>
      <c r="DZ45" s="30">
        <f t="shared" si="743"/>
        <v>97310.109999532287</v>
      </c>
      <c r="EA45" s="30">
        <f t="shared" si="743"/>
        <v>-90564.469999203284</v>
      </c>
      <c r="EB45" s="30">
        <f t="shared" si="743"/>
        <v>395966.90999979444</v>
      </c>
      <c r="EC45" s="30">
        <f t="shared" si="743"/>
        <v>-286237.69000013242</v>
      </c>
      <c r="ED45" s="30">
        <f t="shared" si="743"/>
        <v>-195110.99000030401</v>
      </c>
      <c r="EE45" s="30">
        <f t="shared" si="743"/>
        <v>-524010.3600001728</v>
      </c>
      <c r="EF45" s="30">
        <f t="shared" si="743"/>
        <v>160192.86000081425</v>
      </c>
      <c r="EG45" s="30">
        <f t="shared" si="743"/>
        <v>-136122.45000018796</v>
      </c>
      <c r="EH45" s="30">
        <f t="shared" si="743"/>
        <v>66846.190000039642</v>
      </c>
      <c r="EI45" s="30">
        <f t="shared" si="743"/>
        <v>213559.86999980611</v>
      </c>
      <c r="EJ45" s="30">
        <f t="shared" si="743"/>
        <v>85859.140000825282</v>
      </c>
      <c r="EK45" s="30">
        <f t="shared" si="743"/>
        <v>-2053.5999998166226</v>
      </c>
      <c r="EL45" s="30">
        <f t="shared" si="743"/>
        <v>-569950.27000036149</v>
      </c>
      <c r="EM45" s="30">
        <f t="shared" si="743"/>
        <v>-184796.97000019369</v>
      </c>
      <c r="EN45" s="30">
        <f t="shared" si="743"/>
        <v>61958.45999928948</v>
      </c>
      <c r="EO45" s="30">
        <f t="shared" si="743"/>
        <v>44896.940000808972</v>
      </c>
      <c r="EP45" s="30">
        <f t="shared" si="743"/>
        <v>-17564.420000236714</v>
      </c>
      <c r="EQ45" s="30">
        <f t="shared" si="743"/>
        <v>125017.58999991114</v>
      </c>
      <c r="ER45" s="30">
        <f t="shared" si="743"/>
        <v>614638.51999982202</v>
      </c>
      <c r="ES45" s="30">
        <f t="shared" si="743"/>
        <v>-390539.67999992281</v>
      </c>
      <c r="ET45" s="30">
        <f t="shared" si="743"/>
        <v>120341.38000038161</v>
      </c>
      <c r="EU45" s="30">
        <f t="shared" si="743"/>
        <v>288468.03999995987</v>
      </c>
      <c r="EV45" s="30">
        <f t="shared" si="743"/>
        <v>-109543.36000064563</v>
      </c>
      <c r="EW45" s="30">
        <f t="shared" si="743"/>
        <v>97330.160000620526</v>
      </c>
      <c r="EX45" s="30">
        <f t="shared" si="743"/>
        <v>-187727.80999997281</v>
      </c>
      <c r="EY45" s="30">
        <f t="shared" si="743"/>
        <v>128717.68999977416</v>
      </c>
      <c r="EZ45" s="30">
        <f t="shared" si="743"/>
        <v>105571.04999991803</v>
      </c>
      <c r="FA45" s="30">
        <f t="shared" si="743"/>
        <v>-307915.80999994127</v>
      </c>
      <c r="FB45" s="30">
        <f t="shared" si="743"/>
        <v>279439.18000096513</v>
      </c>
      <c r="FC45" s="30">
        <f t="shared" si="743"/>
        <v>30694.819998529274</v>
      </c>
      <c r="FD45" s="128">
        <f>SUM(DY45:FC45)</f>
        <v>-513474.35000015527</v>
      </c>
      <c r="FE45" s="30">
        <f t="shared" ref="FE45:GI45" si="744">FE43+FE36</f>
        <v>-102465.49999958166</v>
      </c>
      <c r="FF45" s="30">
        <f t="shared" si="744"/>
        <v>43980.960000354389</v>
      </c>
      <c r="FG45" s="30">
        <f t="shared" si="744"/>
        <v>-230129.07000017614</v>
      </c>
      <c r="FH45" s="30">
        <f t="shared" si="744"/>
        <v>-25517.160000774893</v>
      </c>
      <c r="FI45" s="30">
        <f t="shared" si="744"/>
        <v>-64946.399999140413</v>
      </c>
      <c r="FJ45" s="30">
        <f t="shared" si="744"/>
        <v>116436.72999954259</v>
      </c>
      <c r="FK45" s="30">
        <f t="shared" si="744"/>
        <v>75284.120000482362</v>
      </c>
      <c r="FL45" s="30">
        <f t="shared" si="744"/>
        <v>-7750.0400001480011</v>
      </c>
      <c r="FM45" s="30">
        <f t="shared" si="744"/>
        <v>128839.66000029788</v>
      </c>
      <c r="FN45" s="30">
        <f t="shared" si="744"/>
        <v>-226271.75999972038</v>
      </c>
      <c r="FO45" s="30">
        <f t="shared" si="744"/>
        <v>228241.99000007386</v>
      </c>
      <c r="FP45" s="30">
        <f t="shared" si="744"/>
        <v>-124159.92000099912</v>
      </c>
      <c r="FQ45" s="30">
        <f t="shared" si="744"/>
        <v>98387.410000961972</v>
      </c>
      <c r="FR45" s="30">
        <f t="shared" si="744"/>
        <v>141446.67000001937</v>
      </c>
      <c r="FS45" s="30">
        <f t="shared" si="744"/>
        <v>-23274.800000371761</v>
      </c>
      <c r="FT45" s="30">
        <f t="shared" si="744"/>
        <v>-128852.10999996401</v>
      </c>
      <c r="FU45" s="30">
        <f t="shared" si="744"/>
        <v>127730.59999926976</v>
      </c>
      <c r="FV45" s="30">
        <f t="shared" si="744"/>
        <v>-311456.34999928559</v>
      </c>
      <c r="FW45" s="30">
        <f t="shared" si="744"/>
        <v>-74674.16999963636</v>
      </c>
      <c r="FX45" s="30">
        <f t="shared" si="744"/>
        <v>323523.12999909511</v>
      </c>
      <c r="FY45" s="30">
        <f t="shared" si="744"/>
        <v>-252776.38000026811</v>
      </c>
      <c r="FZ45" s="30">
        <f t="shared" si="744"/>
        <v>51463.23000125587</v>
      </c>
      <c r="GA45" s="30">
        <f t="shared" si="744"/>
        <v>153932.25999877439</v>
      </c>
      <c r="GB45" s="30">
        <f t="shared" si="744"/>
        <v>144803.67000079015</v>
      </c>
      <c r="GC45" s="30">
        <f t="shared" si="744"/>
        <v>219426.91999994218</v>
      </c>
      <c r="GD45" s="30">
        <f t="shared" si="744"/>
        <v>-46245.680000432185</v>
      </c>
      <c r="GE45" s="30">
        <f t="shared" si="744"/>
        <v>-134236.19999886025</v>
      </c>
      <c r="GF45" s="30">
        <f t="shared" si="744"/>
        <v>372988.76999897911</v>
      </c>
      <c r="GG45" s="30">
        <f t="shared" si="744"/>
        <v>-241594.26999916031</v>
      </c>
      <c r="GH45" s="30">
        <f t="shared" si="744"/>
        <v>83589.000000061642</v>
      </c>
      <c r="GI45" s="30">
        <f t="shared" si="744"/>
        <v>-198130.44000022375</v>
      </c>
      <c r="GJ45" s="127">
        <f>SUM(FE45:GI45)</f>
        <v>117594.87000115769</v>
      </c>
      <c r="GK45" s="30">
        <f t="shared" ref="GK45:HM45" si="745">GK43+GK36</f>
        <v>-79984.65000090393</v>
      </c>
      <c r="GL45" s="30">
        <f t="shared" si="745"/>
        <v>-14439.129999089055</v>
      </c>
      <c r="GM45" s="30">
        <f t="shared" si="745"/>
        <v>140111.92999982438</v>
      </c>
      <c r="GN45" s="30">
        <f t="shared" si="745"/>
        <v>-121885.08000102127</v>
      </c>
      <c r="GO45" s="30">
        <f t="shared" si="745"/>
        <v>111266.94000084302</v>
      </c>
      <c r="GP45" s="30">
        <f t="shared" si="745"/>
        <v>-955482.39000065974</v>
      </c>
      <c r="GQ45" s="30">
        <f t="shared" si="745"/>
        <v>147272.9500008875</v>
      </c>
      <c r="GR45" s="30">
        <f t="shared" si="745"/>
        <v>154803.30999957776</v>
      </c>
      <c r="GS45" s="30">
        <f t="shared" si="745"/>
        <v>-129635.23000053887</v>
      </c>
      <c r="GT45" s="30">
        <f t="shared" si="745"/>
        <v>221966.27000008448</v>
      </c>
      <c r="GU45" s="30">
        <f t="shared" si="745"/>
        <v>86456.480000602896</v>
      </c>
      <c r="GV45" s="30">
        <f t="shared" si="745"/>
        <v>26694.839999378892</v>
      </c>
      <c r="GW45" s="30">
        <f t="shared" si="745"/>
        <v>-26354.619999301212</v>
      </c>
      <c r="GX45" s="30">
        <f t="shared" si="745"/>
        <v>-343471.85000116908</v>
      </c>
      <c r="GY45" s="30">
        <f t="shared" si="745"/>
        <v>-6720.7499992861995</v>
      </c>
      <c r="GZ45" s="30">
        <f t="shared" si="745"/>
        <v>-53511.320000088308</v>
      </c>
      <c r="HA45" s="30">
        <f t="shared" si="745"/>
        <v>298186.16999995284</v>
      </c>
      <c r="HB45" s="30">
        <f t="shared" si="745"/>
        <v>110174.94000045059</v>
      </c>
      <c r="HC45" s="30">
        <f t="shared" si="745"/>
        <v>-197593.97000031982</v>
      </c>
      <c r="HD45" s="30">
        <f t="shared" si="745"/>
        <v>127675.09000020917</v>
      </c>
      <c r="HE45" s="30">
        <f t="shared" si="745"/>
        <v>-64550.070000075211</v>
      </c>
      <c r="HF45" s="30">
        <f t="shared" si="745"/>
        <v>-200537.66999959073</v>
      </c>
      <c r="HG45" s="30">
        <f t="shared" si="745"/>
        <v>661116.10999986599</v>
      </c>
      <c r="HH45" s="30">
        <f t="shared" si="745"/>
        <v>-60232.619999861345</v>
      </c>
      <c r="HI45" s="30">
        <f t="shared" si="745"/>
        <v>171585.6599997927</v>
      </c>
      <c r="HJ45" s="30">
        <f t="shared" si="745"/>
        <v>-6733.5499997838633</v>
      </c>
      <c r="HK45" s="30">
        <f t="shared" si="745"/>
        <v>-53349.980000511277</v>
      </c>
      <c r="HL45" s="30">
        <f t="shared" si="745"/>
        <v>395584.69000056444</v>
      </c>
      <c r="HM45" s="30">
        <f t="shared" si="745"/>
        <v>-387906.57000102533</v>
      </c>
      <c r="HN45" s="127">
        <f t="shared" si="253"/>
        <v>-49494.070001190761</v>
      </c>
      <c r="HO45" s="30">
        <f t="shared" ref="HO45:IS45" si="746">HO43+HO36</f>
        <v>104342.05000085516</v>
      </c>
      <c r="HP45" s="30">
        <f t="shared" si="746"/>
        <v>283839.85999977478</v>
      </c>
      <c r="HQ45" s="30">
        <f t="shared" si="746"/>
        <v>24936.969999489665</v>
      </c>
      <c r="HR45" s="30">
        <f t="shared" si="746"/>
        <v>-412435.02999916323</v>
      </c>
      <c r="HS45" s="30">
        <f t="shared" si="746"/>
        <v>248391.35000027163</v>
      </c>
      <c r="HT45" s="30">
        <f t="shared" si="746"/>
        <v>201080.93000019784</v>
      </c>
      <c r="HU45" s="30">
        <f t="shared" si="746"/>
        <v>-120851.63000049506</v>
      </c>
      <c r="HV45" s="30">
        <f t="shared" si="746"/>
        <v>-72528.230000154581</v>
      </c>
      <c r="HW45" s="30">
        <f t="shared" si="746"/>
        <v>-178564.34000001493</v>
      </c>
      <c r="HX45" s="30">
        <f t="shared" si="746"/>
        <v>194965.4600000169</v>
      </c>
      <c r="HY45" s="30">
        <f t="shared" si="746"/>
        <v>252659.98999968753</v>
      </c>
      <c r="HZ45" s="30">
        <f t="shared" si="746"/>
        <v>24376.500000340457</v>
      </c>
      <c r="IA45" s="30">
        <f t="shared" si="746"/>
        <v>98605.000000233122</v>
      </c>
      <c r="IB45" s="30">
        <f t="shared" si="746"/>
        <v>115873.34999956074</v>
      </c>
      <c r="IC45" s="30">
        <f t="shared" si="746"/>
        <v>-116621.40000035579</v>
      </c>
      <c r="ID45" s="30">
        <f t="shared" si="746"/>
        <v>541968.65000061085</v>
      </c>
      <c r="IE45" s="30">
        <f t="shared" si="746"/>
        <v>92869.999999293941</v>
      </c>
      <c r="IF45" s="30">
        <f t="shared" si="746"/>
        <v>88686.600000110047</v>
      </c>
      <c r="IG45" s="30">
        <f t="shared" si="746"/>
        <v>-170307.94999930804</v>
      </c>
      <c r="IH45" s="30">
        <f t="shared" si="746"/>
        <v>-103431.35000044858</v>
      </c>
      <c r="II45" s="30">
        <f t="shared" si="746"/>
        <v>-22568.249999183172</v>
      </c>
      <c r="IJ45" s="30">
        <f t="shared" si="746"/>
        <v>-95285.15000048501</v>
      </c>
      <c r="IK45" s="30">
        <f t="shared" si="746"/>
        <v>437779.95000047231</v>
      </c>
      <c r="IL45" s="30">
        <f t="shared" si="746"/>
        <v>-35484.550000644231</v>
      </c>
      <c r="IM45" s="30">
        <f t="shared" si="746"/>
        <v>-215989.95000071882</v>
      </c>
      <c r="IN45" s="30">
        <f t="shared" si="746"/>
        <v>73551.049999918905</v>
      </c>
      <c r="IO45" s="30">
        <f t="shared" si="746"/>
        <v>208290.64000111975</v>
      </c>
      <c r="IP45" s="30">
        <f t="shared" si="746"/>
        <v>-58220.390000786443</v>
      </c>
      <c r="IQ45" s="30">
        <f t="shared" si="746"/>
        <v>183382.82000070467</v>
      </c>
      <c r="IR45" s="30">
        <f t="shared" si="746"/>
        <v>174581.23999958945</v>
      </c>
      <c r="IS45" s="30">
        <f t="shared" si="746"/>
        <v>-154764.39999987517</v>
      </c>
      <c r="IT45" s="127">
        <f t="shared" si="22"/>
        <v>1593129.7900006145</v>
      </c>
      <c r="IU45" s="30">
        <f t="shared" ref="IU45:JX45" si="747">IU43+IU36</f>
        <v>206696.28999959677</v>
      </c>
      <c r="IV45" s="30">
        <f t="shared" si="747"/>
        <v>-146088.30999965634</v>
      </c>
      <c r="IW45" s="30">
        <f t="shared" si="747"/>
        <v>52441.300000237534</v>
      </c>
      <c r="IX45" s="30">
        <f t="shared" si="747"/>
        <v>-217420.10000041511</v>
      </c>
      <c r="IY45" s="30">
        <f t="shared" si="747"/>
        <v>-41533.870000271418</v>
      </c>
      <c r="IZ45" s="30">
        <f t="shared" si="747"/>
        <v>98978.680000160821</v>
      </c>
      <c r="JA45" s="30">
        <f t="shared" si="747"/>
        <v>-238094.0399998831</v>
      </c>
      <c r="JB45" s="30">
        <f t="shared" si="747"/>
        <v>171070.66000006354</v>
      </c>
      <c r="JC45" s="30">
        <f t="shared" si="747"/>
        <v>-3277.5000002040179</v>
      </c>
      <c r="JD45" s="30">
        <f t="shared" si="747"/>
        <v>-267541.23999942385</v>
      </c>
      <c r="JE45" s="30">
        <f t="shared" si="747"/>
        <v>86890.069999783009</v>
      </c>
      <c r="JF45" s="30">
        <f t="shared" si="747"/>
        <v>111463.22000101325</v>
      </c>
      <c r="JG45" s="30">
        <f t="shared" si="747"/>
        <v>207534.37999884714</v>
      </c>
      <c r="JH45" s="30">
        <f t="shared" si="747"/>
        <v>-711952.76999873319</v>
      </c>
      <c r="JI45" s="30">
        <f t="shared" si="747"/>
        <v>632503.96999880695</v>
      </c>
      <c r="JJ45" s="30">
        <f t="shared" si="747"/>
        <v>35217.649999776622</v>
      </c>
      <c r="JK45" s="30">
        <f t="shared" si="747"/>
        <v>125456.76000057196</v>
      </c>
      <c r="JL45" s="30">
        <f t="shared" si="747"/>
        <v>-284266.49999939313</v>
      </c>
      <c r="JM45" s="30">
        <f t="shared" si="747"/>
        <v>100783.54999897449</v>
      </c>
      <c r="JN45" s="30">
        <f t="shared" si="747"/>
        <v>56373.210000753752</v>
      </c>
      <c r="JO45" s="30">
        <f t="shared" si="747"/>
        <v>110902.12999988114</v>
      </c>
      <c r="JP45" s="30">
        <f t="shared" si="747"/>
        <v>51241.18999975326</v>
      </c>
      <c r="JQ45" s="30">
        <f t="shared" si="747"/>
        <v>82562.380000251869</v>
      </c>
      <c r="JR45" s="30">
        <f t="shared" si="747"/>
        <v>12090.830000618007</v>
      </c>
      <c r="JS45" s="30">
        <f t="shared" si="747"/>
        <v>144766.74999861483</v>
      </c>
      <c r="JT45" s="30">
        <f t="shared" si="747"/>
        <v>-190612.55000023055</v>
      </c>
      <c r="JU45" s="30">
        <f t="shared" si="747"/>
        <v>252464.35000002763</v>
      </c>
      <c r="JV45" s="30">
        <f t="shared" si="747"/>
        <v>426175.34999980708</v>
      </c>
      <c r="JW45" s="30">
        <f t="shared" si="747"/>
        <v>-87732.420000181301</v>
      </c>
      <c r="JX45" s="30">
        <f t="shared" si="747"/>
        <v>28225.790000649868</v>
      </c>
      <c r="JY45" s="127">
        <f t="shared" si="58"/>
        <v>805319.20999979752</v>
      </c>
      <c r="JZ45" s="30">
        <f t="shared" ref="JZ45:LD45" si="748">JZ43+JZ36</f>
        <v>58228.659999738738</v>
      </c>
      <c r="KA45" s="30">
        <f t="shared" si="748"/>
        <v>-187695.02999961551</v>
      </c>
      <c r="KB45" s="30">
        <f t="shared" si="748"/>
        <v>424583.46999927482</v>
      </c>
      <c r="KC45" s="30">
        <f t="shared" si="748"/>
        <v>-297035.65999987448</v>
      </c>
      <c r="KD45" s="30">
        <f t="shared" si="748"/>
        <v>89780.250000539527</v>
      </c>
      <c r="KE45" s="30">
        <f t="shared" si="748"/>
        <v>-19893.409999095893</v>
      </c>
      <c r="KF45" s="30">
        <f t="shared" si="748"/>
        <v>-4329.5800001794123</v>
      </c>
      <c r="KG45" s="30">
        <f t="shared" si="748"/>
        <v>169461.23999904579</v>
      </c>
      <c r="KH45" s="30">
        <f t="shared" si="748"/>
        <v>-75654.2099998903</v>
      </c>
      <c r="KI45" s="30">
        <f t="shared" si="748"/>
        <v>242620.9700001587</v>
      </c>
      <c r="KJ45" s="30">
        <f t="shared" si="748"/>
        <v>377000.0100001588</v>
      </c>
      <c r="KK45" s="30">
        <f t="shared" si="748"/>
        <v>-365899.43000002007</v>
      </c>
      <c r="KL45" s="30">
        <f t="shared" si="748"/>
        <v>106515.86999880645</v>
      </c>
      <c r="KM45" s="30">
        <f t="shared" si="748"/>
        <v>-1193.1899981532479</v>
      </c>
      <c r="KN45" s="30">
        <f t="shared" si="748"/>
        <v>29329.930000223103</v>
      </c>
      <c r="KO45" s="30">
        <f t="shared" si="748"/>
        <v>-213715.75000055367</v>
      </c>
      <c r="KP45" s="30">
        <f t="shared" si="748"/>
        <v>293122.04999953887</v>
      </c>
      <c r="KQ45" s="30">
        <f t="shared" si="748"/>
        <v>102718.32999959704</v>
      </c>
      <c r="KR45" s="30">
        <f t="shared" si="748"/>
        <v>-681054.82999952394</v>
      </c>
      <c r="KS45" s="30">
        <f t="shared" si="748"/>
        <v>178691.92000073905</v>
      </c>
      <c r="KT45" s="30">
        <f t="shared" si="748"/>
        <v>-22935.33000052179</v>
      </c>
      <c r="KU45" s="30">
        <f t="shared" si="748"/>
        <v>-576257.26000118419</v>
      </c>
      <c r="KV45" s="30">
        <f t="shared" si="748"/>
        <v>129457.11000102485</v>
      </c>
      <c r="KW45" s="30">
        <f t="shared" si="748"/>
        <v>-257639.64999998483</v>
      </c>
      <c r="KX45" s="30">
        <f t="shared" si="748"/>
        <v>669162.5999998959</v>
      </c>
      <c r="KY45" s="30">
        <f t="shared" si="748"/>
        <v>-96299.35999978421</v>
      </c>
      <c r="KZ45" s="30">
        <f t="shared" si="748"/>
        <v>45364.91999969061</v>
      </c>
      <c r="LA45" s="30">
        <f t="shared" si="748"/>
        <v>90212.849999993632</v>
      </c>
      <c r="LB45" s="30">
        <f t="shared" si="748"/>
        <v>200136.6000002803</v>
      </c>
      <c r="LC45" s="30">
        <f t="shared" si="748"/>
        <v>-212123.3000005639</v>
      </c>
      <c r="LD45" s="30">
        <f t="shared" si="748"/>
        <v>184276.58000080759</v>
      </c>
      <c r="LE45" s="127">
        <f t="shared" si="60"/>
        <v>320708.71000082965</v>
      </c>
      <c r="LF45" s="30">
        <f t="shared" ref="LF45:MI45" si="749">LF43+LF36</f>
        <v>-272327.23000043974</v>
      </c>
      <c r="LG45" s="30">
        <f t="shared" si="749"/>
        <v>42895.359999617212</v>
      </c>
      <c r="LH45" s="30">
        <f t="shared" si="749"/>
        <v>89782.520000472723</v>
      </c>
      <c r="LI45" s="30">
        <f t="shared" si="749"/>
        <v>-169111.81999992143</v>
      </c>
      <c r="LJ45" s="30">
        <f t="shared" si="749"/>
        <v>216593.63999886438</v>
      </c>
      <c r="LK45" s="30">
        <f t="shared" si="749"/>
        <v>270246.50000029593</v>
      </c>
      <c r="LL45" s="30">
        <f t="shared" si="749"/>
        <v>83091.130000982084</v>
      </c>
      <c r="LM45" s="30">
        <f t="shared" si="749"/>
        <v>-327434.57000003633</v>
      </c>
      <c r="LN45" s="30">
        <f t="shared" si="749"/>
        <v>68198.420000637707</v>
      </c>
      <c r="LO45" s="30">
        <f t="shared" si="749"/>
        <v>127961.77999942272</v>
      </c>
      <c r="LP45" s="30">
        <f t="shared" si="749"/>
        <v>38166.099999373255</v>
      </c>
      <c r="LQ45" s="30">
        <f t="shared" si="749"/>
        <v>536953.86000029882</v>
      </c>
      <c r="LR45" s="30">
        <f t="shared" si="749"/>
        <v>-111772.29000098043</v>
      </c>
      <c r="LS45" s="30">
        <f t="shared" si="749"/>
        <v>-8714.1599984152708</v>
      </c>
      <c r="LT45" s="30">
        <f t="shared" si="749"/>
        <v>443890.23999943689</v>
      </c>
      <c r="LU45" s="30">
        <f t="shared" si="749"/>
        <v>-362593.70000055933</v>
      </c>
      <c r="LV45" s="30">
        <f t="shared" si="749"/>
        <v>41046.079999868234</v>
      </c>
      <c r="LW45" s="30">
        <f t="shared" si="749"/>
        <v>-383493.88999896822</v>
      </c>
      <c r="LX45" s="30">
        <f t="shared" si="749"/>
        <v>374986.42000038119</v>
      </c>
      <c r="LY45" s="30">
        <f t="shared" si="749"/>
        <v>-412194.79000100604</v>
      </c>
      <c r="LZ45" s="30">
        <f t="shared" si="749"/>
        <v>390665.80000045826</v>
      </c>
      <c r="MA45" s="30">
        <f t="shared" si="749"/>
        <v>-130324.1900009985</v>
      </c>
      <c r="MB45" s="30">
        <f t="shared" si="749"/>
        <v>112010.01000109274</v>
      </c>
      <c r="MC45" s="30">
        <f t="shared" si="749"/>
        <v>-177493.44999965979</v>
      </c>
      <c r="MD45" s="30">
        <f t="shared" si="749"/>
        <v>-167316.3999998197</v>
      </c>
      <c r="ME45" s="30">
        <f t="shared" si="749"/>
        <v>299950.29999915801</v>
      </c>
      <c r="MF45" s="30">
        <f t="shared" si="749"/>
        <v>574927.22999999591</v>
      </c>
      <c r="MG45" s="30">
        <f t="shared" si="749"/>
        <v>194675.9500004744</v>
      </c>
      <c r="MH45" s="30">
        <f t="shared" si="749"/>
        <v>-220787.26999961829</v>
      </c>
      <c r="MI45" s="30">
        <f t="shared" si="749"/>
        <v>220397.4899989253</v>
      </c>
      <c r="MJ45" s="127">
        <f t="shared" si="62"/>
        <v>1382875.0699993328</v>
      </c>
      <c r="MK45" s="30">
        <f t="shared" ref="MK45:NO45" si="750">MK43+MK36</f>
        <v>35151.640000397747</v>
      </c>
      <c r="ML45" s="30">
        <f t="shared" si="750"/>
        <v>189542.06999995071</v>
      </c>
      <c r="MM45" s="30">
        <f t="shared" si="750"/>
        <v>-386204.21999981219</v>
      </c>
      <c r="MN45" s="30">
        <f t="shared" si="750"/>
        <v>-56269.419999621758</v>
      </c>
      <c r="MO45" s="30">
        <f t="shared" si="750"/>
        <v>62551.159999274823</v>
      </c>
      <c r="MP45" s="30">
        <f t="shared" si="750"/>
        <v>-659941.22999950638</v>
      </c>
      <c r="MQ45" s="30">
        <f t="shared" si="750"/>
        <v>-141192.1100008412</v>
      </c>
      <c r="MR45" s="30">
        <f t="shared" si="750"/>
        <v>73335.250000199885</v>
      </c>
      <c r="MS45" s="30">
        <f t="shared" si="750"/>
        <v>-1263.8699994740746</v>
      </c>
      <c r="MT45" s="30">
        <f t="shared" si="750"/>
        <v>-153371.00000052823</v>
      </c>
      <c r="MU45" s="30">
        <f t="shared" si="750"/>
        <v>-62527.839999701107</v>
      </c>
      <c r="MV45" s="30">
        <f t="shared" si="750"/>
        <v>-1235646.7339999245</v>
      </c>
      <c r="MW45" s="30">
        <f t="shared" si="750"/>
        <v>-420649.5910001467</v>
      </c>
      <c r="MX45" s="30">
        <f t="shared" si="750"/>
        <v>251753.98999957199</v>
      </c>
      <c r="MY45" s="30">
        <f t="shared" si="750"/>
        <v>109953.15600099394</v>
      </c>
      <c r="MZ45" s="30">
        <f t="shared" si="750"/>
        <v>-266755.81100105628</v>
      </c>
      <c r="NA45" s="30">
        <f t="shared" si="750"/>
        <v>326892.78800074663</v>
      </c>
      <c r="NB45" s="30">
        <f t="shared" si="750"/>
        <v>-189685.35400086563</v>
      </c>
      <c r="NC45" s="30">
        <f t="shared" si="750"/>
        <v>-256036.31299888459</v>
      </c>
      <c r="ND45" s="30">
        <f t="shared" si="750"/>
        <v>44239.691999320057</v>
      </c>
      <c r="NE45" s="30">
        <f t="shared" si="750"/>
        <v>512209.2509997423</v>
      </c>
      <c r="NF45" s="30">
        <f t="shared" si="750"/>
        <v>-176279.34999981747</v>
      </c>
      <c r="NG45" s="30">
        <f t="shared" si="750"/>
        <v>-107821.41799878675</v>
      </c>
      <c r="NH45" s="30">
        <f t="shared" si="750"/>
        <v>-92041.256001023139</v>
      </c>
      <c r="NI45" s="30">
        <f t="shared" si="750"/>
        <v>-25351.490999776812</v>
      </c>
      <c r="NJ45" s="30">
        <f t="shared" si="750"/>
        <v>310184.58599911648</v>
      </c>
      <c r="NK45" s="30">
        <f t="shared" si="750"/>
        <v>-205489.88899964417</v>
      </c>
      <c r="NL45" s="30">
        <f t="shared" si="750"/>
        <v>102621.78800121852</v>
      </c>
      <c r="NM45" s="30">
        <f t="shared" si="750"/>
        <v>-90844.112000594614</v>
      </c>
      <c r="NN45" s="30">
        <f t="shared" si="750"/>
        <v>-182167.29499981247</v>
      </c>
      <c r="NO45" s="30">
        <f t="shared" si="750"/>
        <v>175154.47699990831</v>
      </c>
      <c r="NP45" s="127">
        <f t="shared" si="64"/>
        <v>-2551100.0959997745</v>
      </c>
      <c r="NQ45" s="30">
        <f t="shared" ref="NQ45:OU45" si="751">NQ43+NQ36</f>
        <v>173880.8629991026</v>
      </c>
      <c r="NR45" s="30">
        <f t="shared" si="751"/>
        <v>-139143.34299908328</v>
      </c>
      <c r="NS45" s="30">
        <f t="shared" si="751"/>
        <v>129227.15900001247</v>
      </c>
      <c r="NT45" s="30">
        <f t="shared" si="751"/>
        <v>125353.11999985992</v>
      </c>
      <c r="NU45" s="30">
        <f t="shared" si="751"/>
        <v>34101.862999312987</v>
      </c>
      <c r="NV45" s="30">
        <f t="shared" si="751"/>
        <v>207746.12800021318</v>
      </c>
      <c r="NW45" s="30">
        <f t="shared" si="751"/>
        <v>-670060.16599953361</v>
      </c>
      <c r="NX45" s="30">
        <f t="shared" si="751"/>
        <v>205682.86499992805</v>
      </c>
      <c r="NY45" s="30">
        <f t="shared" si="751"/>
        <v>-210074.30599990531</v>
      </c>
      <c r="NZ45" s="30">
        <f t="shared" si="751"/>
        <v>-81104.832000414346</v>
      </c>
      <c r="OA45" s="30">
        <f t="shared" si="751"/>
        <v>156057.35599981656</v>
      </c>
      <c r="OB45" s="30">
        <f t="shared" si="751"/>
        <v>-74137.362999278324</v>
      </c>
      <c r="OC45" s="30">
        <f t="shared" si="751"/>
        <v>120841.62099947393</v>
      </c>
      <c r="OD45" s="30">
        <f t="shared" si="751"/>
        <v>199225.45100094459</v>
      </c>
      <c r="OE45" s="30">
        <f t="shared" si="751"/>
        <v>-197664.9430010799</v>
      </c>
      <c r="OF45" s="30">
        <f t="shared" si="751"/>
        <v>223080.93300076327</v>
      </c>
      <c r="OG45" s="30">
        <f t="shared" si="751"/>
        <v>-31614.508000049129</v>
      </c>
      <c r="OH45" s="30">
        <f t="shared" si="751"/>
        <v>50210.299999306182</v>
      </c>
      <c r="OI45" s="30">
        <f t="shared" si="751"/>
        <v>-58474.155999326729</v>
      </c>
      <c r="OJ45" s="30">
        <f t="shared" si="751"/>
        <v>44242.855000244657</v>
      </c>
      <c r="OK45" s="30">
        <f t="shared" si="751"/>
        <v>-120905.86500089639</v>
      </c>
      <c r="OL45" s="30">
        <f t="shared" si="751"/>
        <v>-105317.12099983741</v>
      </c>
      <c r="OM45" s="30">
        <f t="shared" si="751"/>
        <v>195658.04400057337</v>
      </c>
      <c r="ON45" s="30">
        <f t="shared" si="751"/>
        <v>-67334.733000626438</v>
      </c>
      <c r="OO45" s="30">
        <f t="shared" si="751"/>
        <v>-77004.626999996864</v>
      </c>
      <c r="OP45" s="30">
        <f t="shared" si="751"/>
        <v>148513.38599929278</v>
      </c>
      <c r="OQ45" s="30">
        <f t="shared" si="751"/>
        <v>52176.86700100021</v>
      </c>
      <c r="OR45" s="30">
        <f t="shared" si="751"/>
        <v>-2683.8809997635835</v>
      </c>
      <c r="OS45" s="30">
        <f t="shared" si="751"/>
        <v>-11010.150000172231</v>
      </c>
      <c r="OT45" s="30">
        <f t="shared" si="751"/>
        <v>461666.75999981916</v>
      </c>
      <c r="OU45" s="30">
        <f t="shared" si="751"/>
        <v>-43141.203000472917</v>
      </c>
      <c r="OV45" s="127">
        <f t="shared" si="66"/>
        <v>464113.5110001248</v>
      </c>
      <c r="OW45" s="30">
        <f t="shared" ref="OW45:PZ45" si="752">OW43+OW36</f>
        <v>189869.46600050488</v>
      </c>
      <c r="OX45" s="30">
        <f t="shared" si="752"/>
        <v>-267339.22800021392</v>
      </c>
      <c r="OY45" s="30">
        <f t="shared" si="752"/>
        <v>-87542.523000091023</v>
      </c>
      <c r="OZ45" s="30">
        <f t="shared" si="752"/>
        <v>8962.7550004304212</v>
      </c>
      <c r="PA45" s="30">
        <f t="shared" si="752"/>
        <v>228816.65099966386</v>
      </c>
      <c r="PB45" s="30">
        <f t="shared" si="752"/>
        <v>-225514.00799909089</v>
      </c>
      <c r="PC45" s="30">
        <f t="shared" si="752"/>
        <v>-375416.81100134319</v>
      </c>
      <c r="PD45" s="30">
        <f t="shared" si="752"/>
        <v>198566.55900128445</v>
      </c>
      <c r="PE45" s="30">
        <f t="shared" si="752"/>
        <v>-177881.32500147709</v>
      </c>
      <c r="PF45" s="30">
        <f t="shared" si="752"/>
        <v>134663.01300140214</v>
      </c>
      <c r="PG45" s="30">
        <f t="shared" si="752"/>
        <v>-176372.03700045394</v>
      </c>
      <c r="PH45" s="30">
        <f t="shared" si="752"/>
        <v>114261.03299993573</v>
      </c>
      <c r="PI45" s="30">
        <f t="shared" si="752"/>
        <v>-134586.16500017914</v>
      </c>
      <c r="PJ45" s="30">
        <f t="shared" si="752"/>
        <v>255838.00200021488</v>
      </c>
      <c r="PK45" s="30">
        <f t="shared" si="752"/>
        <v>-201568.67400012063</v>
      </c>
      <c r="PL45" s="30">
        <f t="shared" si="752"/>
        <v>178096.37100010153</v>
      </c>
      <c r="PM45" s="30">
        <f t="shared" si="752"/>
        <v>460192.08899941412</v>
      </c>
      <c r="PN45" s="30">
        <f t="shared" si="752"/>
        <v>-515884.04399903596</v>
      </c>
      <c r="PO45" s="30">
        <f t="shared" si="752"/>
        <v>-61453.025999926322</v>
      </c>
      <c r="PP45" s="30">
        <f t="shared" si="752"/>
        <v>-10976.043000207661</v>
      </c>
      <c r="PQ45" s="30">
        <f t="shared" si="752"/>
        <v>229762.17599910949</v>
      </c>
      <c r="PR45" s="30">
        <f t="shared" si="752"/>
        <v>-126075.22199920902</v>
      </c>
      <c r="PS45" s="30">
        <f t="shared" si="752"/>
        <v>-104790.94200044397</v>
      </c>
      <c r="PT45" s="30">
        <f t="shared" si="752"/>
        <v>58457.000999706783</v>
      </c>
      <c r="PU45" s="30">
        <f t="shared" si="752"/>
        <v>-186016.57199907687</v>
      </c>
      <c r="PV45" s="30">
        <f t="shared" si="752"/>
        <v>-232278.22200078919</v>
      </c>
      <c r="PW45" s="30">
        <f t="shared" si="752"/>
        <v>417230.70299955196</v>
      </c>
      <c r="PX45" s="30">
        <f t="shared" si="752"/>
        <v>-26882.72699913627</v>
      </c>
      <c r="PY45" s="30">
        <f t="shared" si="752"/>
        <v>-76167.198000026896</v>
      </c>
      <c r="PZ45" s="30">
        <f t="shared" si="752"/>
        <v>475873.06199972937</v>
      </c>
      <c r="QA45" s="127">
        <f t="shared" si="68"/>
        <v>-36155.885999772232</v>
      </c>
      <c r="QB45" s="30">
        <f t="shared" ref="QB45:RF45" si="753">QB43+QB36</f>
        <v>-5546444.4299995629</v>
      </c>
      <c r="QC45" s="30">
        <f t="shared" si="753"/>
        <v>-263025.48600033356</v>
      </c>
      <c r="QD45" s="30">
        <f t="shared" si="753"/>
        <v>-64005.405999183597</v>
      </c>
      <c r="QE45" s="30">
        <f t="shared" si="753"/>
        <v>266466.70799926354</v>
      </c>
      <c r="QF45" s="30">
        <f t="shared" si="753"/>
        <v>-243958.40799968294</v>
      </c>
      <c r="QG45" s="30">
        <f t="shared" si="753"/>
        <v>-204867.08400005006</v>
      </c>
      <c r="QH45" s="30">
        <f t="shared" si="753"/>
        <v>336498.39400027948</v>
      </c>
      <c r="QI45" s="30">
        <f t="shared" si="753"/>
        <v>-97864.565000170871</v>
      </c>
      <c r="QJ45" s="30">
        <f t="shared" si="753"/>
        <v>146316.22200030502</v>
      </c>
      <c r="QK45" s="30">
        <f t="shared" si="753"/>
        <v>82043.296998991951</v>
      </c>
      <c r="QL45" s="30">
        <f t="shared" si="753"/>
        <v>-19582.580999719357</v>
      </c>
      <c r="QM45" s="30">
        <f t="shared" si="753"/>
        <v>-194622.03899918916</v>
      </c>
      <c r="QN45" s="30">
        <f t="shared" si="753"/>
        <v>11530.533999732055</v>
      </c>
      <c r="QO45" s="30">
        <f t="shared" si="753"/>
        <v>-87647.333999866038</v>
      </c>
      <c r="QP45" s="30">
        <f t="shared" si="753"/>
        <v>18388.921999228303</v>
      </c>
      <c r="QQ45" s="30">
        <f t="shared" si="753"/>
        <v>233814.57300066744</v>
      </c>
      <c r="QR45" s="30">
        <f t="shared" si="753"/>
        <v>-19933.399999648449</v>
      </c>
      <c r="QS45" s="30">
        <f t="shared" si="753"/>
        <v>81206.961999147665</v>
      </c>
      <c r="QT45" s="30">
        <f t="shared" si="753"/>
        <v>-154323.36999929266</v>
      </c>
      <c r="QU45" s="30">
        <f t="shared" si="753"/>
        <v>228441.56999970478</v>
      </c>
      <c r="QV45" s="30">
        <f t="shared" si="753"/>
        <v>-271899.37500037369</v>
      </c>
      <c r="QW45" s="30">
        <f t="shared" si="753"/>
        <v>-108505.87700009393</v>
      </c>
      <c r="QX45" s="30">
        <f t="shared" si="753"/>
        <v>231386.3000009488</v>
      </c>
      <c r="QY45" s="30">
        <f t="shared" si="753"/>
        <v>132366.27999927898</v>
      </c>
      <c r="QZ45" s="30">
        <f t="shared" si="753"/>
        <v>-63818.573000592995</v>
      </c>
      <c r="RA45" s="30">
        <f t="shared" si="753"/>
        <v>510853.05000093009</v>
      </c>
      <c r="RB45" s="30">
        <f t="shared" si="753"/>
        <v>-192550.36299988604</v>
      </c>
      <c r="RC45" s="30">
        <f t="shared" si="753"/>
        <v>-186639.29500090616</v>
      </c>
      <c r="RD45" s="30">
        <f t="shared" si="753"/>
        <v>158982.86899997099</v>
      </c>
      <c r="RE45" s="30">
        <f t="shared" si="753"/>
        <v>319050.80099999264</v>
      </c>
      <c r="RF45" s="30">
        <f t="shared" si="753"/>
        <v>319386.0930002958</v>
      </c>
      <c r="RG45" s="127">
        <f t="shared" si="495"/>
        <v>903489.41899974807</v>
      </c>
      <c r="RH45" s="30">
        <f t="shared" ref="RH45:SK45" si="754">RH43+RH36</f>
        <v>-318370.14899911912</v>
      </c>
      <c r="RI45" s="30">
        <f t="shared" si="754"/>
        <v>17362.469999695168</v>
      </c>
      <c r="RJ45" s="30">
        <f t="shared" si="754"/>
        <v>259500.10799977445</v>
      </c>
      <c r="RK45" s="30">
        <f t="shared" si="754"/>
        <v>-274299.76500039175</v>
      </c>
      <c r="RL45" s="30">
        <f t="shared" si="754"/>
        <v>82670.463000436022</v>
      </c>
      <c r="RM45" s="30">
        <f t="shared" si="754"/>
        <v>-145097.57699982973</v>
      </c>
      <c r="RN45" s="30">
        <f t="shared" si="754"/>
        <v>85414.997999227111</v>
      </c>
      <c r="RO45" s="30">
        <f t="shared" si="754"/>
        <v>-72547.271999503108</v>
      </c>
      <c r="RP45" s="30">
        <f t="shared" si="754"/>
        <v>188768.23499980511</v>
      </c>
      <c r="RQ45" s="30">
        <f t="shared" si="754"/>
        <v>286276.32000007544</v>
      </c>
      <c r="RR45" s="30">
        <f t="shared" si="754"/>
        <v>-377043.27900002687</v>
      </c>
      <c r="RS45" s="30">
        <f t="shared" si="754"/>
        <v>-157972.1459996177</v>
      </c>
      <c r="RT45" s="30">
        <f t="shared" si="754"/>
        <v>208082.50499898044</v>
      </c>
      <c r="RU45" s="30">
        <f t="shared" si="754"/>
        <v>-130373.45399898902</v>
      </c>
      <c r="RV45" s="30">
        <f t="shared" si="754"/>
        <v>-102799.62900047691</v>
      </c>
      <c r="RW45" s="30">
        <f t="shared" si="754"/>
        <v>-124838.42699966894</v>
      </c>
      <c r="RX45" s="30">
        <f t="shared" si="754"/>
        <v>183053.21399962914</v>
      </c>
      <c r="RY45" s="30">
        <f t="shared" si="754"/>
        <v>-179406.86999953701</v>
      </c>
      <c r="RZ45" s="30">
        <f t="shared" si="754"/>
        <v>1649.5499993255362</v>
      </c>
      <c r="SA45" s="30">
        <f t="shared" si="754"/>
        <v>258314.25000046293</v>
      </c>
      <c r="SB45" s="30">
        <f t="shared" si="754"/>
        <v>-94933.050000112562</v>
      </c>
      <c r="SC45" s="30">
        <f t="shared" si="754"/>
        <v>55342.020000205957</v>
      </c>
      <c r="SD45" s="30">
        <f t="shared" si="754"/>
        <v>88860.89999963413</v>
      </c>
      <c r="SE45" s="30">
        <f t="shared" si="754"/>
        <v>-210674.96999940224</v>
      </c>
      <c r="SF45" s="30">
        <f t="shared" si="754"/>
        <v>-35614.650000052352</v>
      </c>
      <c r="SG45" s="30">
        <f t="shared" si="754"/>
        <v>59516.729999589734</v>
      </c>
      <c r="SH45" s="30">
        <f t="shared" si="754"/>
        <v>-236724.8099998766</v>
      </c>
      <c r="SI45" s="30">
        <f t="shared" si="754"/>
        <v>262765.71000020049</v>
      </c>
      <c r="SJ45" s="30">
        <f t="shared" si="754"/>
        <v>-269370.33000115509</v>
      </c>
      <c r="SK45" s="30">
        <f t="shared" si="754"/>
        <v>471958.1400008974</v>
      </c>
      <c r="SL45" s="127">
        <f t="shared" si="497"/>
        <v>-220530.76499982009</v>
      </c>
      <c r="SM45" s="30">
        <f t="shared" ref="SM45:TQ45" si="755">SM43+SM36</f>
        <v>-316044.05999924289</v>
      </c>
      <c r="SN45" s="30">
        <f t="shared" si="755"/>
        <v>87519.149998972134</v>
      </c>
      <c r="SO45" s="30">
        <f t="shared" si="755"/>
        <v>-37585.889999555948</v>
      </c>
      <c r="SP45" s="30">
        <f t="shared" si="755"/>
        <v>-32987.490000754769</v>
      </c>
      <c r="SQ45" s="30">
        <f t="shared" si="755"/>
        <v>124726.32000105194</v>
      </c>
      <c r="SR45" s="30">
        <f t="shared" si="755"/>
        <v>-129777.11999983701</v>
      </c>
      <c r="SS45" s="30">
        <f t="shared" si="755"/>
        <v>-173836.50000104541</v>
      </c>
      <c r="ST45" s="30">
        <f t="shared" si="755"/>
        <v>-155236.67999953148</v>
      </c>
      <c r="SU45" s="30">
        <f t="shared" si="755"/>
        <v>93913.169999363017</v>
      </c>
      <c r="SV45" s="30">
        <f t="shared" si="755"/>
        <v>73217.700000626792</v>
      </c>
      <c r="SW45" s="30">
        <f t="shared" si="755"/>
        <v>-94996.500000046799</v>
      </c>
      <c r="SX45" s="30">
        <f t="shared" si="755"/>
        <v>98338.710000210267</v>
      </c>
      <c r="SY45" s="30">
        <f t="shared" si="755"/>
        <v>135627.98999954131</v>
      </c>
      <c r="SZ45" s="30">
        <f t="shared" si="755"/>
        <v>-73402.139998831262</v>
      </c>
      <c r="TA45" s="30">
        <f t="shared" si="755"/>
        <v>-149828.07000043045</v>
      </c>
      <c r="TB45" s="30">
        <f t="shared" si="755"/>
        <v>32423.639999196748</v>
      </c>
      <c r="TC45" s="30">
        <f t="shared" si="755"/>
        <v>63481.410000596952</v>
      </c>
      <c r="TD45" s="30">
        <f t="shared" si="755"/>
        <v>-149896.41000042233</v>
      </c>
      <c r="TE45" s="30">
        <f t="shared" si="755"/>
        <v>120439.82999909611</v>
      </c>
      <c r="TF45" s="30">
        <f t="shared" si="755"/>
        <v>256262.79000094277</v>
      </c>
      <c r="TG45" s="30">
        <f t="shared" si="755"/>
        <v>-90388.949999890756</v>
      </c>
      <c r="TH45" s="30">
        <f t="shared" si="755"/>
        <v>45261.450000246987</v>
      </c>
      <c r="TI45" s="30">
        <f t="shared" si="755"/>
        <v>357098.99999980495</v>
      </c>
      <c r="TJ45" s="30">
        <f t="shared" si="755"/>
        <v>-201964.8600010114</v>
      </c>
      <c r="TK45" s="30">
        <f t="shared" si="755"/>
        <v>-234593.0099997361</v>
      </c>
      <c r="TL45" s="30">
        <f t="shared" si="755"/>
        <v>152495.37000032229</v>
      </c>
      <c r="TM45" s="30">
        <f t="shared" si="755"/>
        <v>-150215.27999939426</v>
      </c>
      <c r="TN45" s="30">
        <f t="shared" si="755"/>
        <v>90917.67000002641</v>
      </c>
      <c r="TO45" s="30">
        <f t="shared" si="755"/>
        <v>-83984.519999971089</v>
      </c>
      <c r="TP45" s="30">
        <f t="shared" si="755"/>
        <v>10255.08000076341</v>
      </c>
      <c r="TQ45" s="30">
        <f t="shared" si="755"/>
        <v>128587.10999841947</v>
      </c>
      <c r="TR45" s="127">
        <f t="shared" si="499"/>
        <v>111872.96999872249</v>
      </c>
      <c r="TS45" s="30">
        <f t="shared" ref="TS45:UW45" si="756">TS43+TS36</f>
        <v>-51270.719998932327</v>
      </c>
      <c r="TT45" s="30">
        <f t="shared" si="756"/>
        <v>-63322.769999984012</v>
      </c>
      <c r="TU45" s="30">
        <f t="shared" si="756"/>
        <v>247562.12999976939</v>
      </c>
      <c r="TV45" s="30">
        <f t="shared" si="756"/>
        <v>5607.9299986452679</v>
      </c>
      <c r="TW45" s="30">
        <f t="shared" si="756"/>
        <v>-1080723.6899992647</v>
      </c>
      <c r="TX45" s="30">
        <f t="shared" si="756"/>
        <v>43951.559999957972</v>
      </c>
      <c r="TY45" s="30">
        <f t="shared" si="756"/>
        <v>-137189.7599996542</v>
      </c>
      <c r="TZ45" s="30">
        <f t="shared" si="756"/>
        <v>353387.63999989402</v>
      </c>
      <c r="UA45" s="30">
        <f t="shared" si="756"/>
        <v>-20227.679999011452</v>
      </c>
      <c r="UB45" s="30">
        <f t="shared" si="756"/>
        <v>83648.399999451649</v>
      </c>
      <c r="UC45" s="30">
        <f t="shared" si="756"/>
        <v>74918.100000256381</v>
      </c>
      <c r="UD45" s="30">
        <f t="shared" si="756"/>
        <v>-47237.640000196989</v>
      </c>
      <c r="UE45" s="30">
        <f t="shared" si="756"/>
        <v>231781.40999984957</v>
      </c>
      <c r="UF45" s="30">
        <f t="shared" si="756"/>
        <v>-93404.220000232744</v>
      </c>
      <c r="UG45" s="30">
        <f t="shared" si="756"/>
        <v>76455.939999943657</v>
      </c>
      <c r="UH45" s="30">
        <f t="shared" si="756"/>
        <v>-594.35000009369105</v>
      </c>
      <c r="UI45" s="30">
        <f t="shared" si="756"/>
        <v>76040.399999740766</v>
      </c>
      <c r="UJ45" s="30">
        <f t="shared" si="756"/>
        <v>536747.81000063894</v>
      </c>
      <c r="UK45" s="30">
        <f t="shared" si="756"/>
        <v>-284846.16000003909</v>
      </c>
      <c r="UL45" s="30">
        <f t="shared" si="756"/>
        <v>65416.569999425847</v>
      </c>
      <c r="UM45" s="30">
        <f t="shared" si="756"/>
        <v>10915.080000255257</v>
      </c>
      <c r="UN45" s="30">
        <f t="shared" si="756"/>
        <v>-198235.38999934244</v>
      </c>
      <c r="UO45" s="30">
        <f t="shared" si="756"/>
        <v>188804.98999888834</v>
      </c>
      <c r="UP45" s="30">
        <f t="shared" si="756"/>
        <v>-258781.22999879852</v>
      </c>
      <c r="UQ45" s="30">
        <f t="shared" si="756"/>
        <v>117141.49999872374</v>
      </c>
      <c r="UR45" s="30">
        <f t="shared" si="756"/>
        <v>-193315.0799991985</v>
      </c>
      <c r="US45" s="30">
        <f t="shared" si="756"/>
        <v>404149.59999995859</v>
      </c>
      <c r="UT45" s="30">
        <f t="shared" si="756"/>
        <v>-1060988.7999994301</v>
      </c>
      <c r="UU45" s="30">
        <f t="shared" si="756"/>
        <v>-406314.99000064214</v>
      </c>
      <c r="UV45" s="30">
        <f t="shared" si="756"/>
        <v>595134.83999956702</v>
      </c>
      <c r="UW45" s="30">
        <f t="shared" si="756"/>
        <v>66887.380000689183</v>
      </c>
      <c r="UX45" s="127">
        <f t="shared" si="501"/>
        <v>-666630.48000023293</v>
      </c>
      <c r="UY45" s="30">
        <f t="shared" ref="UY45:VZ45" si="757">UY43+UY36</f>
        <v>-319209.24000014347</v>
      </c>
      <c r="UZ45" s="30">
        <f t="shared" si="757"/>
        <v>312755.799999726</v>
      </c>
      <c r="VA45" s="30">
        <f t="shared" si="757"/>
        <v>141509.45999998017</v>
      </c>
      <c r="VB45" s="30">
        <f t="shared" si="757"/>
        <v>-53638.479999900446</v>
      </c>
      <c r="VC45" s="30">
        <f t="shared" si="757"/>
        <v>73347.329999755893</v>
      </c>
      <c r="VD45" s="30">
        <f t="shared" si="757"/>
        <v>49433.430000467633</v>
      </c>
      <c r="VE45" s="30">
        <f t="shared" si="757"/>
        <v>-130722.29600058508</v>
      </c>
      <c r="VF45" s="30">
        <f t="shared" si="757"/>
        <v>82273.121000257088</v>
      </c>
      <c r="VG45" s="30">
        <f t="shared" si="757"/>
        <v>-136662.03699975449</v>
      </c>
      <c r="VH45" s="30">
        <f t="shared" si="757"/>
        <v>164983.39599918335</v>
      </c>
      <c r="VI45" s="30">
        <f t="shared" si="757"/>
        <v>105001.85900022625</v>
      </c>
      <c r="VJ45" s="30">
        <f t="shared" si="757"/>
        <v>68713.348000422469</v>
      </c>
      <c r="VK45" s="30">
        <f t="shared" si="757"/>
        <v>85788.069000385294</v>
      </c>
      <c r="VL45" s="30">
        <f t="shared" si="757"/>
        <v>12199.831999047077</v>
      </c>
      <c r="VM45" s="30">
        <f t="shared" si="757"/>
        <v>-145507.11299883714</v>
      </c>
      <c r="VN45" s="30">
        <f t="shared" si="757"/>
        <v>1626.2769982045284</v>
      </c>
      <c r="VO45" s="30">
        <f t="shared" si="757"/>
        <v>103706.59600105215</v>
      </c>
      <c r="VP45" s="30">
        <f t="shared" si="757"/>
        <v>-54254.212000349944</v>
      </c>
      <c r="VQ45" s="30">
        <f t="shared" si="757"/>
        <v>41399.258999825979</v>
      </c>
      <c r="VR45" s="30">
        <f t="shared" si="757"/>
        <v>150563.8400005289</v>
      </c>
      <c r="VS45" s="30">
        <f t="shared" si="757"/>
        <v>-70550.40200031735</v>
      </c>
      <c r="VT45" s="30">
        <f t="shared" si="757"/>
        <v>33210.439999889</v>
      </c>
      <c r="VU45" s="30">
        <f t="shared" si="757"/>
        <v>6666.8240000580554</v>
      </c>
      <c r="VV45" s="30">
        <f t="shared" si="757"/>
        <v>201922.34400038194</v>
      </c>
      <c r="VW45" s="30">
        <f t="shared" si="757"/>
        <v>77968.364000018744</v>
      </c>
      <c r="VX45" s="30">
        <f t="shared" si="757"/>
        <v>-72897.708000263665</v>
      </c>
      <c r="VY45" s="30">
        <f t="shared" si="757"/>
        <v>328847.56699946796</v>
      </c>
      <c r="VZ45" s="30">
        <f t="shared" si="757"/>
        <v>335937.42900060804</v>
      </c>
      <c r="WA45" s="127">
        <f t="shared" si="723"/>
        <v>794669.99699979124</v>
      </c>
      <c r="WB45" s="30">
        <f t="shared" ref="WB45:XF45" si="758">WB43+WB36</f>
        <v>-443566.28099958913</v>
      </c>
      <c r="WC45" s="30">
        <f t="shared" si="758"/>
        <v>-152897.81299968343</v>
      </c>
      <c r="WD45" s="30">
        <f t="shared" si="758"/>
        <v>236523.47999903449</v>
      </c>
      <c r="WE45" s="30">
        <f t="shared" si="758"/>
        <v>-268933.39199872036</v>
      </c>
      <c r="WF45" s="30">
        <f t="shared" si="758"/>
        <v>-23507.371000451909</v>
      </c>
      <c r="WG45" s="30">
        <f t="shared" si="758"/>
        <v>139331.20200025151</v>
      </c>
      <c r="WH45" s="30">
        <f t="shared" si="758"/>
        <v>179514.97499883606</v>
      </c>
      <c r="WI45" s="30">
        <f t="shared" si="758"/>
        <v>-181419.24599961779</v>
      </c>
      <c r="WJ45" s="30">
        <f t="shared" si="758"/>
        <v>76684.237000166497</v>
      </c>
      <c r="WK45" s="30">
        <f t="shared" si="758"/>
        <v>12299.157000289415</v>
      </c>
      <c r="WL45" s="30">
        <f t="shared" si="758"/>
        <v>-204120.6369988689</v>
      </c>
      <c r="WM45" s="30">
        <f t="shared" si="758"/>
        <v>36747.361999802059</v>
      </c>
      <c r="WN45" s="30">
        <f t="shared" si="758"/>
        <v>119686.80899982987</v>
      </c>
      <c r="WO45" s="30">
        <f t="shared" si="758"/>
        <v>-109013.94600143045</v>
      </c>
      <c r="WP45" s="30">
        <f t="shared" si="758"/>
        <v>87848.701999915647</v>
      </c>
      <c r="WQ45" s="30">
        <f t="shared" si="758"/>
        <v>-248835.94500024687</v>
      </c>
      <c r="WR45" s="30">
        <f t="shared" si="758"/>
        <v>272634.24000032654</v>
      </c>
      <c r="WS45" s="30">
        <f t="shared" si="758"/>
        <v>221639.64499964009</v>
      </c>
      <c r="WT45" s="30">
        <f t="shared" si="758"/>
        <v>-253275.88399885068</v>
      </c>
      <c r="WU45" s="30">
        <f t="shared" si="758"/>
        <v>162039.38699976885</v>
      </c>
      <c r="WV45" s="30">
        <f t="shared" si="758"/>
        <v>-26964.145000331278</v>
      </c>
      <c r="WW45" s="30">
        <f t="shared" si="758"/>
        <v>-97056.024999864749</v>
      </c>
      <c r="WX45" s="30">
        <f t="shared" si="758"/>
        <v>-980.41400005778996</v>
      </c>
      <c r="WY45" s="30">
        <f t="shared" si="758"/>
        <v>164736.71600038768</v>
      </c>
      <c r="WZ45" s="30">
        <f t="shared" si="758"/>
        <v>-72035.4269997917</v>
      </c>
      <c r="XA45" s="30">
        <f t="shared" si="758"/>
        <v>1805.7320001483313</v>
      </c>
      <c r="XB45" s="30">
        <f t="shared" si="758"/>
        <v>140944.53300016432</v>
      </c>
      <c r="XC45" s="30">
        <f t="shared" si="758"/>
        <v>239260.83599892474</v>
      </c>
      <c r="XD45" s="30">
        <f t="shared" si="758"/>
        <v>1496354.9610002341</v>
      </c>
      <c r="XE45" s="30">
        <f t="shared" si="758"/>
        <v>-1630093.1879989402</v>
      </c>
      <c r="XF45" s="30">
        <f t="shared" si="758"/>
        <v>60183.284999499272</v>
      </c>
      <c r="XG45" s="127">
        <f>SUM(WB45:XF45)</f>
        <v>-64464.454999225738</v>
      </c>
      <c r="XH45" s="30">
        <f t="shared" ref="XH45:YK45" si="759">XH43+XH36</f>
        <v>-507544.64100087876</v>
      </c>
      <c r="XI45" s="30">
        <f t="shared" si="759"/>
        <v>162212.39699988021</v>
      </c>
      <c r="XJ45" s="30">
        <f t="shared" si="759"/>
        <v>-294824.43499979418</v>
      </c>
      <c r="XK45" s="30">
        <f t="shared" si="759"/>
        <v>236532.18000022753</v>
      </c>
      <c r="XL45" s="30">
        <f t="shared" si="759"/>
        <v>-48676.159999320807</v>
      </c>
      <c r="XM45" s="30">
        <f t="shared" si="759"/>
        <v>39668.615000047139</v>
      </c>
      <c r="XN45" s="30">
        <f t="shared" si="759"/>
        <v>18037.719998686807</v>
      </c>
      <c r="XO45" s="30">
        <f t="shared" si="759"/>
        <v>116177.51999986183</v>
      </c>
      <c r="XP45" s="30">
        <f t="shared" si="759"/>
        <v>-726111.76499903551</v>
      </c>
      <c r="XQ45" s="30">
        <f t="shared" si="759"/>
        <v>3380.5799998878501</v>
      </c>
      <c r="XR45" s="30">
        <f t="shared" si="759"/>
        <v>-405605.07000019279</v>
      </c>
      <c r="XS45" s="30">
        <f t="shared" si="759"/>
        <v>59887.20000086003</v>
      </c>
      <c r="XT45" s="30">
        <f t="shared" si="759"/>
        <v>-100869.0150010481</v>
      </c>
      <c r="XU45" s="30">
        <f t="shared" si="759"/>
        <v>194193.66500031028</v>
      </c>
      <c r="XV45" s="30">
        <f t="shared" si="759"/>
        <v>105914.71000066202</v>
      </c>
      <c r="XW45" s="30">
        <f t="shared" si="759"/>
        <v>77043.304998203239</v>
      </c>
      <c r="XX45" s="30">
        <f t="shared" si="759"/>
        <v>-201083.99999884277</v>
      </c>
      <c r="XY45" s="30">
        <f t="shared" si="759"/>
        <v>105264.44999969535</v>
      </c>
      <c r="XZ45" s="30">
        <f t="shared" si="759"/>
        <v>-322866.30000038131</v>
      </c>
      <c r="YA45" s="30">
        <f t="shared" si="759"/>
        <v>-209254.0499995157</v>
      </c>
      <c r="YB45" s="30">
        <f t="shared" si="759"/>
        <v>247800.44999982056</v>
      </c>
      <c r="YC45" s="30">
        <f t="shared" si="759"/>
        <v>-146564.24999956798</v>
      </c>
      <c r="YD45" s="30">
        <f t="shared" si="759"/>
        <v>-144502.19999910478</v>
      </c>
      <c r="YE45" s="30">
        <f t="shared" si="759"/>
        <v>184710.5999990541</v>
      </c>
      <c r="YF45" s="30">
        <f t="shared" si="759"/>
        <v>156975.89999987249</v>
      </c>
      <c r="YG45" s="30">
        <f t="shared" si="759"/>
        <v>-74394.600000345963</v>
      </c>
      <c r="YH45" s="30">
        <f t="shared" si="759"/>
        <v>88972.500000985747</v>
      </c>
      <c r="YI45" s="30">
        <f t="shared" si="759"/>
        <v>-250322.85000138218</v>
      </c>
      <c r="YJ45" s="30">
        <f t="shared" si="759"/>
        <v>420810.30000000028</v>
      </c>
      <c r="YK45" s="30">
        <f t="shared" si="759"/>
        <v>11968.950001096528</v>
      </c>
      <c r="YL45" s="127">
        <f>SUM(XH45:YK45)</f>
        <v>-1203068.2940002589</v>
      </c>
      <c r="YM45" s="30">
        <f t="shared" ref="YM45:ZQ45" si="760">YM43+YM36</f>
        <v>-52969.050000695279</v>
      </c>
      <c r="YN45" s="30">
        <f t="shared" si="760"/>
        <v>-6514.9500001207343</v>
      </c>
      <c r="YO45" s="30">
        <f t="shared" si="760"/>
        <v>93760.500000328466</v>
      </c>
      <c r="YP45" s="30">
        <f t="shared" si="760"/>
        <v>-116805.44999968697</v>
      </c>
      <c r="YQ45" s="30">
        <f t="shared" si="760"/>
        <v>149254.19999898149</v>
      </c>
      <c r="YR45" s="30">
        <f t="shared" si="760"/>
        <v>-295414.49999971082</v>
      </c>
      <c r="YS45" s="30">
        <f t="shared" si="760"/>
        <v>-69183.749998582061</v>
      </c>
      <c r="YT45" s="30">
        <f t="shared" si="760"/>
        <v>-81286.649999998917</v>
      </c>
      <c r="YU45" s="30">
        <f t="shared" si="760"/>
        <v>43662.599999214581</v>
      </c>
      <c r="YV45" s="30">
        <f t="shared" si="760"/>
        <v>-1156688.84999954</v>
      </c>
      <c r="YW45" s="30">
        <f t="shared" si="760"/>
        <v>1054694.6999996784</v>
      </c>
      <c r="YX45" s="30">
        <f t="shared" si="760"/>
        <v>-74091.449999943143</v>
      </c>
      <c r="YY45" s="30">
        <f t="shared" si="760"/>
        <v>-273461.69999988779</v>
      </c>
      <c r="YZ45" s="30">
        <f t="shared" si="760"/>
        <v>295235.10000013921</v>
      </c>
      <c r="ZA45" s="30">
        <f t="shared" si="760"/>
        <v>-97124.700000963639</v>
      </c>
      <c r="ZB45" s="30">
        <f t="shared" si="760"/>
        <v>219382.65000053798</v>
      </c>
      <c r="ZC45" s="30">
        <f t="shared" si="760"/>
        <v>-244068.29999973852</v>
      </c>
      <c r="ZD45" s="30">
        <f t="shared" si="760"/>
        <v>286983.89999989013</v>
      </c>
      <c r="ZE45" s="30">
        <f t="shared" si="760"/>
        <v>56592.900000396185</v>
      </c>
      <c r="ZF45" s="30">
        <f t="shared" si="760"/>
        <v>-27357.000000454718</v>
      </c>
      <c r="ZG45" s="30">
        <f t="shared" si="760"/>
        <v>-103074.60000075371</v>
      </c>
      <c r="ZH45" s="30">
        <f t="shared" si="760"/>
        <v>216805.65000020724</v>
      </c>
      <c r="ZI45" s="30">
        <f t="shared" si="760"/>
        <v>-480337.79999935505</v>
      </c>
      <c r="ZJ45" s="30">
        <f t="shared" si="760"/>
        <v>1213485.8999994919</v>
      </c>
      <c r="ZK45" s="30">
        <f t="shared" si="760"/>
        <v>-1362761.5500005791</v>
      </c>
      <c r="ZL45" s="30">
        <f t="shared" si="760"/>
        <v>143479.65000066615</v>
      </c>
      <c r="ZM45" s="30">
        <f t="shared" si="760"/>
        <v>377418.00000037096</v>
      </c>
      <c r="ZN45" s="30">
        <f t="shared" si="760"/>
        <v>14653.34999978455</v>
      </c>
      <c r="ZO45" s="30">
        <f t="shared" si="760"/>
        <v>-554679.47999956203</v>
      </c>
      <c r="ZP45" s="30">
        <f t="shared" si="760"/>
        <v>-72353.279999818187</v>
      </c>
      <c r="ZQ45" s="30">
        <f t="shared" si="760"/>
        <v>568649.15000010747</v>
      </c>
      <c r="ZR45" s="127">
        <f t="shared" si="356"/>
        <v>-334114.80999959598</v>
      </c>
      <c r="ZS45" s="30">
        <f t="shared" ref="ZS45:AAV45" si="761">ZS43+ZS36</f>
        <v>-184216.14000009227</v>
      </c>
      <c r="ZT45" s="30">
        <f t="shared" si="761"/>
        <v>14798.749998882995</v>
      </c>
      <c r="ZU45" s="30">
        <f t="shared" si="761"/>
        <v>-195252.14999957854</v>
      </c>
      <c r="ZV45" s="30">
        <f t="shared" si="761"/>
        <v>13351.719999918423</v>
      </c>
      <c r="ZW45" s="30">
        <f t="shared" si="761"/>
        <v>-284193.35999934177</v>
      </c>
      <c r="ZX45" s="30">
        <f t="shared" si="761"/>
        <v>67272.349999038561</v>
      </c>
      <c r="ZY45" s="30">
        <f t="shared" si="761"/>
        <v>-55778.219999934663</v>
      </c>
      <c r="ZZ45" s="30">
        <f t="shared" si="761"/>
        <v>903.52000167942606</v>
      </c>
      <c r="AAA45" s="30">
        <f t="shared" si="761"/>
        <v>168859.6099984381</v>
      </c>
      <c r="AAB45" s="30">
        <f t="shared" si="761"/>
        <v>-234979.2199994711</v>
      </c>
      <c r="AAC45" s="30">
        <f t="shared" si="761"/>
        <v>144370.57999976416</v>
      </c>
      <c r="AAD45" s="30">
        <f t="shared" si="761"/>
        <v>273931.45000073535</v>
      </c>
      <c r="AAE45" s="30">
        <f t="shared" si="761"/>
        <v>65764.579998544068</v>
      </c>
      <c r="AAF45" s="30">
        <f t="shared" si="761"/>
        <v>122816.16000142618</v>
      </c>
      <c r="AAG45" s="30">
        <f t="shared" si="761"/>
        <v>5625.1899992712424</v>
      </c>
      <c r="AAH45" s="30">
        <f t="shared" si="761"/>
        <v>-103767.23999924609</v>
      </c>
      <c r="AAI45" s="30">
        <f t="shared" si="761"/>
        <v>215586.399998712</v>
      </c>
      <c r="AAJ45" s="30">
        <f t="shared" si="761"/>
        <v>277613.57000127842</v>
      </c>
      <c r="AAK45" s="30">
        <f t="shared" si="761"/>
        <v>-207701.670001483</v>
      </c>
      <c r="AAL45" s="30">
        <f t="shared" si="761"/>
        <v>434076.21000124404</v>
      </c>
      <c r="AAM45" s="30">
        <f t="shared" si="761"/>
        <v>-317021.71999984217</v>
      </c>
      <c r="AAN45" s="30">
        <f t="shared" si="761"/>
        <v>133176.44999964425</v>
      </c>
      <c r="AAO45" s="30">
        <f t="shared" si="761"/>
        <v>194756.71999856771</v>
      </c>
      <c r="AAP45" s="30">
        <f t="shared" si="761"/>
        <v>-109392.1699994395</v>
      </c>
      <c r="AAQ45" s="30">
        <f t="shared" si="761"/>
        <v>-61782.980000646494</v>
      </c>
      <c r="AAR45" s="30">
        <f t="shared" si="761"/>
        <v>-301171.03999873769</v>
      </c>
      <c r="AAS45" s="30">
        <f t="shared" si="761"/>
        <v>71711.529999911727</v>
      </c>
      <c r="AAT45" s="30">
        <f t="shared" si="761"/>
        <v>109997.67000036052</v>
      </c>
      <c r="AAU45" s="30">
        <f t="shared" si="761"/>
        <v>-261610.93999869627</v>
      </c>
      <c r="AAV45" s="30">
        <f t="shared" si="761"/>
        <v>-222493.95000112068</v>
      </c>
      <c r="AAW45" s="127">
        <f>SUM(ZS45:AAV45)</f>
        <v>-224748.34000021307</v>
      </c>
      <c r="AAX45" s="30">
        <f t="shared" ref="AAX45:ACB45" si="762">AAX43+AAX36</f>
        <v>185091.36000045575</v>
      </c>
      <c r="AAY45" s="30">
        <f t="shared" si="762"/>
        <v>44952.869999758259</v>
      </c>
      <c r="AAZ45" s="30">
        <f t="shared" si="762"/>
        <v>36475.409999501426</v>
      </c>
      <c r="ABA45" s="30">
        <f t="shared" si="762"/>
        <v>-187367.50000018801</v>
      </c>
      <c r="ABB45" s="30">
        <f t="shared" si="762"/>
        <v>-110657.36999946443</v>
      </c>
      <c r="ABC45" s="30">
        <f t="shared" si="762"/>
        <v>125729.39999989117</v>
      </c>
      <c r="ABD45" s="30">
        <f t="shared" si="762"/>
        <v>-213589.35000022553</v>
      </c>
      <c r="ABE45" s="30">
        <f t="shared" si="762"/>
        <v>486296.80000022083</v>
      </c>
      <c r="ABF45" s="30">
        <f t="shared" si="762"/>
        <v>113390.18999913504</v>
      </c>
      <c r="ABG45" s="30">
        <f t="shared" si="762"/>
        <v>-50100.21999849967</v>
      </c>
      <c r="ABH45" s="30">
        <f t="shared" si="762"/>
        <v>2635.7699983476778</v>
      </c>
      <c r="ABI45" s="30">
        <f t="shared" si="762"/>
        <v>-218634.64000053384</v>
      </c>
      <c r="ABJ45" s="30">
        <f t="shared" si="762"/>
        <v>-64924.64999896707</v>
      </c>
      <c r="ABK45" s="30">
        <f t="shared" si="762"/>
        <v>101574.79999974748</v>
      </c>
      <c r="ABL45" s="30">
        <f t="shared" si="762"/>
        <v>-60569.119999229151</v>
      </c>
      <c r="ABM45" s="30">
        <f t="shared" si="762"/>
        <v>-381985.93000114517</v>
      </c>
      <c r="ABN45" s="30">
        <f t="shared" si="762"/>
        <v>130137.73000086003</v>
      </c>
      <c r="ABO45" s="30">
        <f t="shared" si="762"/>
        <v>74895.550000112562</v>
      </c>
      <c r="ABP45" s="30">
        <f t="shared" si="762"/>
        <v>-917639.53999979305</v>
      </c>
      <c r="ABQ45" s="30">
        <f t="shared" si="762"/>
        <v>157049.32999943616</v>
      </c>
      <c r="ABR45" s="30">
        <f t="shared" si="762"/>
        <v>138626.16000083945</v>
      </c>
      <c r="ABS45" s="30">
        <f t="shared" si="762"/>
        <v>-141312.18000135821</v>
      </c>
      <c r="ABT45" s="30">
        <f t="shared" si="762"/>
        <v>271829.47000057611</v>
      </c>
      <c r="ABU45" s="30">
        <f t="shared" si="762"/>
        <v>-334805.32999938092</v>
      </c>
      <c r="ABV45" s="30">
        <f t="shared" si="762"/>
        <v>-77815.590001022967</v>
      </c>
      <c r="ABW45" s="30">
        <f t="shared" si="762"/>
        <v>51340.240001164493</v>
      </c>
      <c r="ABX45" s="30">
        <f t="shared" si="762"/>
        <v>123821.97999910219</v>
      </c>
      <c r="ABY45" s="30">
        <f t="shared" si="762"/>
        <v>-55727.150000326801</v>
      </c>
      <c r="ABZ45" s="30">
        <f t="shared" si="762"/>
        <v>206626.80000021181</v>
      </c>
      <c r="ACA45" s="30">
        <f t="shared" si="762"/>
        <v>25962.080000647111</v>
      </c>
      <c r="ACB45" s="30">
        <f t="shared" si="762"/>
        <v>76592.629999989294</v>
      </c>
      <c r="ACC45" s="127">
        <f t="shared" si="274"/>
        <v>-462100.00000013795</v>
      </c>
      <c r="ACD45" s="30">
        <f t="shared" ref="ACD45:ADH45" si="763">ACD43+ACD36</f>
        <v>67700.379999773286</v>
      </c>
      <c r="ACE45" s="30">
        <f t="shared" si="763"/>
        <v>-117650.79999954149</v>
      </c>
      <c r="ACF45" s="30">
        <f t="shared" si="763"/>
        <v>-48468.590000572149</v>
      </c>
      <c r="ACG45" s="30">
        <f t="shared" si="763"/>
        <v>-181786.35999976774</v>
      </c>
      <c r="ACH45" s="30">
        <f t="shared" si="763"/>
        <v>-71520.390000049374</v>
      </c>
      <c r="ACI45" s="30">
        <f t="shared" si="763"/>
        <v>834677.10000061023</v>
      </c>
      <c r="ACJ45" s="30">
        <f t="shared" si="763"/>
        <v>-435746.7809998375</v>
      </c>
      <c r="ACK45" s="30">
        <f t="shared" si="763"/>
        <v>-153634.44900132087</v>
      </c>
      <c r="ACL45" s="30">
        <f t="shared" si="763"/>
        <v>-38228.426999507239</v>
      </c>
      <c r="ACM45" s="30">
        <f t="shared" si="763"/>
        <v>-112657.92300074163</v>
      </c>
      <c r="ACN45" s="30">
        <f t="shared" si="763"/>
        <v>668660.67300117679</v>
      </c>
      <c r="ACO45" s="30">
        <f t="shared" si="763"/>
        <v>-708400.20300094562</v>
      </c>
      <c r="ACP45" s="30">
        <f t="shared" si="763"/>
        <v>423062.75100088888</v>
      </c>
      <c r="ACQ45" s="30">
        <f t="shared" si="763"/>
        <v>141983.38799948321</v>
      </c>
      <c r="ACR45" s="30">
        <f t="shared" si="763"/>
        <v>8061.4319996373961</v>
      </c>
      <c r="ACS45" s="30">
        <f t="shared" si="763"/>
        <v>39523.769999897922</v>
      </c>
      <c r="ACT45" s="30">
        <f t="shared" si="763"/>
        <v>-130454.72099853563</v>
      </c>
      <c r="ACU45" s="30">
        <f t="shared" si="763"/>
        <v>-34925.217000714038</v>
      </c>
      <c r="ACV45" s="30">
        <f t="shared" si="763"/>
        <v>-210310.78800012631</v>
      </c>
      <c r="ACW45" s="30">
        <f t="shared" si="763"/>
        <v>159381.69300014415</v>
      </c>
      <c r="ACX45" s="30">
        <f t="shared" si="763"/>
        <v>-122286.00300093909</v>
      </c>
      <c r="ACY45" s="30">
        <f t="shared" si="763"/>
        <v>337291.09800042794</v>
      </c>
      <c r="ACZ45" s="30">
        <f t="shared" si="763"/>
        <v>-50774.987999942503</v>
      </c>
      <c r="ADA45" s="30">
        <f t="shared" si="763"/>
        <v>3091.7610008161864</v>
      </c>
      <c r="ADB45" s="30">
        <f t="shared" si="763"/>
        <v>-204924.04199975752</v>
      </c>
      <c r="ADC45" s="30">
        <f t="shared" si="763"/>
        <v>-138614.50500072754</v>
      </c>
      <c r="ADD45" s="30">
        <f t="shared" si="763"/>
        <v>187598.14199976804</v>
      </c>
      <c r="ADE45" s="30">
        <f t="shared" si="763"/>
        <v>-174259.21499910305</v>
      </c>
      <c r="ADF45" s="30">
        <f t="shared" si="763"/>
        <v>-36041.02200047829</v>
      </c>
      <c r="ADG45" s="30">
        <f t="shared" si="763"/>
        <v>437833.90500024066</v>
      </c>
      <c r="ADH45" s="30">
        <f t="shared" si="763"/>
        <v>-562603.55700034078</v>
      </c>
      <c r="ADI45" s="127">
        <f t="shared" si="276"/>
        <v>-224421.88800008368</v>
      </c>
      <c r="ADJ45" s="30">
        <f t="shared" ref="ADJ45:AEM45" si="764">ADJ43+ADJ36</f>
        <v>387550.92599983478</v>
      </c>
      <c r="ADK45" s="30">
        <f t="shared" si="764"/>
        <v>-202039.84200000437</v>
      </c>
      <c r="ADL45" s="30">
        <f t="shared" si="764"/>
        <v>162317.21400036814</v>
      </c>
      <c r="ADM45" s="30">
        <f t="shared" si="764"/>
        <v>-138854.08500017639</v>
      </c>
      <c r="ADN45" s="30">
        <f t="shared" si="764"/>
        <v>-270417.930000483</v>
      </c>
      <c r="ADO45" s="30">
        <f t="shared" si="764"/>
        <v>-124849.83299883152</v>
      </c>
      <c r="ADP45" s="30">
        <f t="shared" si="764"/>
        <v>113930.1419997745</v>
      </c>
      <c r="ADQ45" s="30">
        <f t="shared" si="764"/>
        <v>-30221.505000686331</v>
      </c>
      <c r="ADR45" s="30">
        <f t="shared" si="764"/>
        <v>-184480.09199993277</v>
      </c>
      <c r="ADS45" s="30">
        <f t="shared" si="764"/>
        <v>-15240.440999950573</v>
      </c>
      <c r="ADT45" s="30">
        <f t="shared" si="764"/>
        <v>-60455.759999914386</v>
      </c>
      <c r="ADU45" s="30">
        <f t="shared" si="764"/>
        <v>294915.64500098635</v>
      </c>
      <c r="ADV45" s="30">
        <f t="shared" si="764"/>
        <v>-179789.01000122982</v>
      </c>
      <c r="ADW45" s="30">
        <f t="shared" si="764"/>
        <v>-7569.1530001253122</v>
      </c>
      <c r="ADX45" s="30">
        <f t="shared" si="764"/>
        <v>318902.32199945685</v>
      </c>
      <c r="ADY45" s="30">
        <f t="shared" si="764"/>
        <v>50520.183001218305</v>
      </c>
      <c r="ADZ45" s="30">
        <f t="shared" si="764"/>
        <v>-132899.76300018223</v>
      </c>
      <c r="AEA45" s="30">
        <f t="shared" si="764"/>
        <v>-18437.778000958788</v>
      </c>
      <c r="AEB45" s="30">
        <f t="shared" si="764"/>
        <v>-186604.96499880654</v>
      </c>
      <c r="AEC45" s="30">
        <f t="shared" si="764"/>
        <v>34950.665998894663</v>
      </c>
      <c r="AED45" s="30">
        <f t="shared" si="764"/>
        <v>149528.84100099618</v>
      </c>
      <c r="AEE45" s="30">
        <f t="shared" si="764"/>
        <v>-285515.67200020514</v>
      </c>
      <c r="AEF45" s="30">
        <f t="shared" si="764"/>
        <v>474923.1089994809</v>
      </c>
      <c r="AEG45" s="30">
        <f t="shared" si="764"/>
        <v>-191036.29999977344</v>
      </c>
      <c r="AEH45" s="30">
        <f t="shared" si="764"/>
        <v>-107759.6129993854</v>
      </c>
      <c r="AEI45" s="30">
        <f t="shared" si="764"/>
        <v>-428879.2280002521</v>
      </c>
      <c r="AEJ45" s="30">
        <f t="shared" si="764"/>
        <v>15900.309999700345</v>
      </c>
      <c r="AEK45" s="30">
        <f t="shared" si="764"/>
        <v>150208.95100029878</v>
      </c>
      <c r="AEL45" s="30">
        <f t="shared" si="764"/>
        <v>216700.63600005355</v>
      </c>
      <c r="AEM45" s="30">
        <f t="shared" si="764"/>
        <v>-80273.8930007905</v>
      </c>
      <c r="AEN45" s="127">
        <f>SUM(ADJ45:AEM45)</f>
        <v>-274975.91800062533</v>
      </c>
      <c r="AEO45" s="30">
        <f t="shared" ref="AEO45:AFS45" si="765">AEO43+AEO36</f>
        <v>-45567.079999271606</v>
      </c>
      <c r="AEP45" s="30">
        <f t="shared" si="765"/>
        <v>-24189.930000844237</v>
      </c>
      <c r="AEQ45" s="30">
        <f t="shared" si="765"/>
        <v>157674.09500000486</v>
      </c>
      <c r="AER45" s="30">
        <f t="shared" si="765"/>
        <v>-132521.79699953675</v>
      </c>
      <c r="AES45" s="30">
        <f t="shared" si="765"/>
        <v>310693.80899998138</v>
      </c>
      <c r="AET45" s="30">
        <f t="shared" si="765"/>
        <v>414484.6830000729</v>
      </c>
      <c r="AEU45" s="30">
        <f t="shared" si="765"/>
        <v>-258748.26899938291</v>
      </c>
      <c r="AEV45" s="30">
        <f t="shared" si="765"/>
        <v>85728.268000029086</v>
      </c>
      <c r="AEW45" s="30">
        <f t="shared" si="765"/>
        <v>-476753.89900052035</v>
      </c>
      <c r="AEX45" s="30">
        <f t="shared" si="765"/>
        <v>-77820.231999918702</v>
      </c>
      <c r="AEY45" s="30">
        <f t="shared" si="765"/>
        <v>-363227.03300016926</v>
      </c>
      <c r="AEZ45" s="30">
        <f t="shared" si="765"/>
        <v>18496.32100005867</v>
      </c>
      <c r="AFA45" s="30">
        <f t="shared" si="765"/>
        <v>358861.15100009658</v>
      </c>
      <c r="AFB45" s="30">
        <f t="shared" si="765"/>
        <v>77956.21799961332</v>
      </c>
      <c r="AFC45" s="30">
        <f t="shared" si="765"/>
        <v>-147725.79299929959</v>
      </c>
      <c r="AFD45" s="30">
        <f t="shared" si="765"/>
        <v>246325.12100003811</v>
      </c>
      <c r="AFE45" s="30">
        <f t="shared" si="765"/>
        <v>276459.63399980706</v>
      </c>
      <c r="AFF45" s="30">
        <f t="shared" si="765"/>
        <v>-562906.95000007167</v>
      </c>
      <c r="AFG45" s="30">
        <f t="shared" si="765"/>
        <v>108323.83800069493</v>
      </c>
      <c r="AFH45" s="30">
        <f t="shared" si="765"/>
        <v>-95787.280000654515</v>
      </c>
      <c r="AFI45" s="30">
        <f t="shared" si="765"/>
        <v>-26636.868999762111</v>
      </c>
      <c r="AFJ45" s="30">
        <f t="shared" si="765"/>
        <v>-89716.084001287411</v>
      </c>
      <c r="AFK45" s="30">
        <f t="shared" si="765"/>
        <v>245484.42700109695</v>
      </c>
      <c r="AFL45" s="30">
        <f t="shared" si="765"/>
        <v>-337806.00100018969</v>
      </c>
      <c r="AFM45" s="30">
        <f t="shared" si="765"/>
        <v>-39682.946000117692</v>
      </c>
      <c r="AFN45" s="30">
        <f t="shared" si="765"/>
        <v>104354.57299937349</v>
      </c>
      <c r="AFO45" s="30">
        <f t="shared" si="765"/>
        <v>1298.9329997444293</v>
      </c>
      <c r="AFP45" s="30">
        <f t="shared" si="765"/>
        <v>37664.862001397181</v>
      </c>
      <c r="AFQ45" s="30">
        <f t="shared" si="765"/>
        <v>-1105883.2530013626</v>
      </c>
      <c r="AFR45" s="30">
        <f t="shared" si="765"/>
        <v>711830.99400096945</v>
      </c>
      <c r="AFS45" s="30">
        <f t="shared" si="765"/>
        <v>176719.19000028126</v>
      </c>
      <c r="AFT45" s="127">
        <f t="shared" si="279"/>
        <v>-452617.29899912927</v>
      </c>
      <c r="AFU45" s="30">
        <f t="shared" ref="AFU45:AGX45" si="766">AFU43+AFU36</f>
        <v>336270.2369991637</v>
      </c>
      <c r="AFV45" s="30">
        <f t="shared" si="766"/>
        <v>29434.41700086504</v>
      </c>
      <c r="AFW45" s="30">
        <f t="shared" si="766"/>
        <v>321467.85200016061</v>
      </c>
      <c r="AFX45" s="30">
        <f t="shared" si="766"/>
        <v>30593.314999076247</v>
      </c>
      <c r="AFY45" s="30">
        <f t="shared" si="766"/>
        <v>-219533.66200063529</v>
      </c>
      <c r="AFZ45" s="30">
        <f t="shared" si="766"/>
        <v>247077.15700161859</v>
      </c>
      <c r="AGA45" s="30">
        <f t="shared" si="766"/>
        <v>132546.18999912945</v>
      </c>
      <c r="AGB45" s="30">
        <f t="shared" si="766"/>
        <v>-137850.86199943908</v>
      </c>
      <c r="AGC45" s="30">
        <f t="shared" si="766"/>
        <v>88186.29499909078</v>
      </c>
      <c r="AGD45" s="30">
        <f t="shared" si="766"/>
        <v>109612.35900082922</v>
      </c>
      <c r="AGE45" s="30">
        <f t="shared" si="766"/>
        <v>270300.93600034819</v>
      </c>
      <c r="AGF45" s="30">
        <f t="shared" si="766"/>
        <v>-205881.22900066024</v>
      </c>
      <c r="AGG45" s="30">
        <f t="shared" si="766"/>
        <v>116081.06099923025</v>
      </c>
      <c r="AGH45" s="30">
        <f t="shared" si="766"/>
        <v>584295.61800128617</v>
      </c>
      <c r="AGI45" s="30">
        <f t="shared" si="766"/>
        <v>-719894.50700070581</v>
      </c>
      <c r="AGJ45" s="30">
        <f t="shared" si="766"/>
        <v>876614.15100018377</v>
      </c>
      <c r="AGK45" s="30">
        <f t="shared" si="766"/>
        <v>-762275.87699897634</v>
      </c>
      <c r="AGL45" s="30">
        <f t="shared" si="766"/>
        <v>111396.96599929011</v>
      </c>
      <c r="AGM45" s="30">
        <f t="shared" si="766"/>
        <v>-104354.56400058238</v>
      </c>
      <c r="AGN45" s="30">
        <f t="shared" si="766"/>
        <v>-121787.17600046488</v>
      </c>
      <c r="AGO45" s="30">
        <f t="shared" si="766"/>
        <v>48051.822000902321</v>
      </c>
      <c r="AGP45" s="30">
        <f t="shared" si="766"/>
        <v>89212.252998878655</v>
      </c>
      <c r="AGQ45" s="30">
        <f t="shared" si="766"/>
        <v>262496.10500120721</v>
      </c>
      <c r="AGR45" s="30">
        <f t="shared" si="766"/>
        <v>182100.86100045603</v>
      </c>
      <c r="AGS45" s="30">
        <f t="shared" si="766"/>
        <v>-134532.00100137608</v>
      </c>
      <c r="AGT45" s="30">
        <f t="shared" si="766"/>
        <v>368251.2590004871</v>
      </c>
      <c r="AGU45" s="30">
        <f t="shared" si="766"/>
        <v>-91345.234999425826</v>
      </c>
      <c r="AGV45" s="30">
        <f t="shared" si="766"/>
        <v>456375.80900025106</v>
      </c>
      <c r="AGW45" s="30">
        <f t="shared" si="766"/>
        <v>99469.712998702191</v>
      </c>
      <c r="AGX45" s="30">
        <f t="shared" si="766"/>
        <v>-225639.08399928373</v>
      </c>
      <c r="AGY45" s="127">
        <f>SUM(AFU45:AGX45)</f>
        <v>2036740.178999607</v>
      </c>
      <c r="AGZ45" s="30">
        <f t="shared" ref="AGZ45:AID45" si="767">AGZ43+AGZ36</f>
        <v>468562.62899924413</v>
      </c>
      <c r="AHA45" s="30">
        <f t="shared" si="767"/>
        <v>1632.9909996918868</v>
      </c>
      <c r="AHB45" s="30">
        <f t="shared" si="767"/>
        <v>333496.96600134909</v>
      </c>
      <c r="AHC45" s="30">
        <f t="shared" si="767"/>
        <v>45398.5769993008</v>
      </c>
      <c r="AHD45" s="30">
        <f t="shared" si="767"/>
        <v>132343.96700090024</v>
      </c>
      <c r="AHE45" s="30">
        <f t="shared" si="767"/>
        <v>-174149.66300037497</v>
      </c>
      <c r="AHF45" s="30">
        <f t="shared" si="767"/>
        <v>45306.990000256104</v>
      </c>
      <c r="AHG45" s="30">
        <f t="shared" si="767"/>
        <v>94542.987998713681</v>
      </c>
      <c r="AHH45" s="30">
        <f t="shared" si="767"/>
        <v>153966.52100055682</v>
      </c>
      <c r="AHI45" s="30">
        <f t="shared" si="767"/>
        <v>-38225.784999588912</v>
      </c>
      <c r="AHJ45" s="30">
        <f t="shared" si="767"/>
        <v>261202.99199943029</v>
      </c>
      <c r="AHK45" s="30">
        <f t="shared" si="767"/>
        <v>-188559.37300003465</v>
      </c>
      <c r="AHL45" s="30">
        <f t="shared" si="767"/>
        <v>193390.21899995382</v>
      </c>
      <c r="AHM45" s="30">
        <f t="shared" si="767"/>
        <v>-15546.606998655479</v>
      </c>
      <c r="AHN45" s="30">
        <f t="shared" si="767"/>
        <v>178730.44699929783</v>
      </c>
      <c r="AHO45" s="30">
        <f t="shared" si="767"/>
        <v>132030.25699978851</v>
      </c>
      <c r="AHP45" s="30">
        <f t="shared" si="767"/>
        <v>-496490.90099936083</v>
      </c>
      <c r="AHQ45" s="30">
        <f t="shared" si="767"/>
        <v>216272.89800004027</v>
      </c>
      <c r="AHR45" s="30">
        <f t="shared" si="767"/>
        <v>-127704.02400050859</v>
      </c>
      <c r="AHS45" s="30">
        <f t="shared" si="767"/>
        <v>127997.19399990904</v>
      </c>
      <c r="AHT45" s="30">
        <f t="shared" si="767"/>
        <v>-156439.91599891096</v>
      </c>
      <c r="AHU45" s="30">
        <f t="shared" si="767"/>
        <v>32510.284998766612</v>
      </c>
      <c r="AHV45" s="30">
        <f t="shared" si="767"/>
        <v>139862.91500032746</v>
      </c>
      <c r="AHW45" s="30">
        <f t="shared" si="767"/>
        <v>674968.9760005587</v>
      </c>
      <c r="AHX45" s="30">
        <f t="shared" si="767"/>
        <v>303714.05200004362</v>
      </c>
      <c r="AHY45" s="30">
        <f t="shared" si="767"/>
        <v>-74307.288999609067</v>
      </c>
      <c r="AHZ45" s="30">
        <f t="shared" si="767"/>
        <v>-42275.951001580339</v>
      </c>
      <c r="AIA45" s="30">
        <f t="shared" si="767"/>
        <v>-33560.706998998357</v>
      </c>
      <c r="AIB45" s="30">
        <f t="shared" si="767"/>
        <v>180004.07699924399</v>
      </c>
      <c r="AIC45" s="30">
        <f t="shared" si="767"/>
        <v>-332022.65200024471</v>
      </c>
      <c r="AID45" s="30">
        <f t="shared" si="767"/>
        <v>-186308.42099943559</v>
      </c>
      <c r="AIE45" s="127">
        <f t="shared" si="519"/>
        <v>1850344.6520000705</v>
      </c>
      <c r="AIF45" s="30">
        <f t="shared" ref="AIF45:AJJ45" si="768">AIF43+AIF36</f>
        <v>-197766.4730003865</v>
      </c>
      <c r="AIG45" s="30">
        <f t="shared" si="768"/>
        <v>369650.82899974776</v>
      </c>
      <c r="AIH45" s="30">
        <f t="shared" si="768"/>
        <v>93161.4530010249</v>
      </c>
      <c r="AII45" s="30">
        <f t="shared" si="768"/>
        <v>-464128.58799920673</v>
      </c>
      <c r="AIJ45" s="30">
        <f t="shared" si="768"/>
        <v>-153550.69700234727</v>
      </c>
      <c r="AIK45" s="30">
        <f t="shared" si="768"/>
        <v>582455.97500186577</v>
      </c>
      <c r="AIL45" s="30">
        <f t="shared" si="768"/>
        <v>53194.61899966182</v>
      </c>
      <c r="AIM45" s="30">
        <f t="shared" si="768"/>
        <v>1917.9150003268733</v>
      </c>
      <c r="AIN45" s="30">
        <f t="shared" si="768"/>
        <v>-146079.74400088319</v>
      </c>
      <c r="AIO45" s="30">
        <f t="shared" si="768"/>
        <v>142639.51999946957</v>
      </c>
      <c r="AIP45" s="30">
        <f t="shared" si="768"/>
        <v>-3504.9699987024069</v>
      </c>
      <c r="AIQ45" s="30">
        <f t="shared" si="768"/>
        <v>150776.28499903879</v>
      </c>
      <c r="AIR45" s="30">
        <f t="shared" si="768"/>
        <v>-326048.5540004397</v>
      </c>
      <c r="AIS45" s="30">
        <f t="shared" si="768"/>
        <v>277818.22000096698</v>
      </c>
      <c r="AIT45" s="30">
        <f t="shared" si="768"/>
        <v>-141605.04999964207</v>
      </c>
      <c r="AIU45" s="30">
        <f t="shared" si="768"/>
        <v>-122080.67399960436</v>
      </c>
      <c r="AIV45" s="30">
        <f t="shared" si="768"/>
        <v>-240035.21200044517</v>
      </c>
      <c r="AIW45" s="30">
        <f t="shared" si="768"/>
        <v>94415.046999310958</v>
      </c>
      <c r="AIX45" s="30">
        <f t="shared" si="768"/>
        <v>297820.44300028437</v>
      </c>
      <c r="AIY45" s="30">
        <f t="shared" si="768"/>
        <v>-326924.30400017143</v>
      </c>
      <c r="AIZ45" s="30">
        <f t="shared" si="768"/>
        <v>93728.036000047112</v>
      </c>
      <c r="AJA45" s="30">
        <f t="shared" si="768"/>
        <v>920850.16099930042</v>
      </c>
      <c r="AJB45" s="30">
        <f t="shared" si="768"/>
        <v>182145.72400092182</v>
      </c>
      <c r="AJC45" s="30">
        <f t="shared" si="768"/>
        <v>106459.02299945668</v>
      </c>
      <c r="AJD45" s="30">
        <f t="shared" si="768"/>
        <v>-202928.92300013715</v>
      </c>
      <c r="AJE45" s="30">
        <f t="shared" si="768"/>
        <v>-111567.99500035058</v>
      </c>
      <c r="AJF45" s="30">
        <f t="shared" si="768"/>
        <v>160644.23900081968</v>
      </c>
      <c r="AJG45" s="30">
        <f t="shared" si="768"/>
        <v>-145250.67800052842</v>
      </c>
      <c r="AJH45" s="30">
        <f t="shared" si="768"/>
        <v>-155797.16399901593</v>
      </c>
      <c r="AJI45" s="30">
        <f t="shared" si="768"/>
        <v>2870075.3129994585</v>
      </c>
      <c r="AJJ45" s="30">
        <f t="shared" si="768"/>
        <v>-121169.76300049009</v>
      </c>
      <c r="AJK45" s="127">
        <f t="shared" si="520"/>
        <v>3539314.0129993511</v>
      </c>
      <c r="AJL45" s="30">
        <f t="shared" ref="AJL45:AKM45" si="769">AJL43+AJL36</f>
        <v>-23067.053999560943</v>
      </c>
      <c r="AJM45" s="30">
        <f t="shared" si="769"/>
        <v>800113.79700100468</v>
      </c>
      <c r="AJN45" s="30">
        <f t="shared" si="769"/>
        <v>-768009.46500088752</v>
      </c>
      <c r="AJO45" s="30">
        <f t="shared" si="769"/>
        <v>212093.45100151305</v>
      </c>
      <c r="AJP45" s="30">
        <f t="shared" si="769"/>
        <v>-337246.78500062856</v>
      </c>
      <c r="AJQ45" s="30">
        <f t="shared" si="769"/>
        <v>586327.72499902011</v>
      </c>
      <c r="AJR45" s="30">
        <f t="shared" si="769"/>
        <v>-816972.83099907241</v>
      </c>
      <c r="AJS45" s="30">
        <f t="shared" si="769"/>
        <v>31503.2129987675</v>
      </c>
      <c r="AJT45" s="30">
        <f t="shared" si="769"/>
        <v>-56811.563999247272</v>
      </c>
      <c r="AJU45" s="30">
        <f t="shared" si="769"/>
        <v>89732.456999989925</v>
      </c>
      <c r="AJV45" s="30">
        <f t="shared" si="769"/>
        <v>-8095.7700015016599</v>
      </c>
      <c r="AJW45" s="30">
        <f t="shared" si="769"/>
        <v>85735.593000631488</v>
      </c>
      <c r="AJX45" s="30">
        <f t="shared" si="769"/>
        <v>52142.355000377458</v>
      </c>
      <c r="AJY45" s="30">
        <f t="shared" si="769"/>
        <v>3186.4410000859061</v>
      </c>
      <c r="AJZ45" s="30">
        <f t="shared" si="769"/>
        <v>-164484.66599978751</v>
      </c>
      <c r="AKA45" s="30">
        <f t="shared" si="769"/>
        <v>331528.7880000032</v>
      </c>
      <c r="AKB45" s="30">
        <f t="shared" si="769"/>
        <v>-148993.02900046273</v>
      </c>
      <c r="AKC45" s="30">
        <f t="shared" si="769"/>
        <v>-8913.0329995096545</v>
      </c>
      <c r="AKD45" s="30">
        <f t="shared" si="769"/>
        <v>239359.67100024491</v>
      </c>
      <c r="AKE45" s="30">
        <f t="shared" si="769"/>
        <v>108879.08400048752</v>
      </c>
      <c r="AKF45" s="30">
        <f t="shared" si="769"/>
        <v>-144782.42400174693</v>
      </c>
      <c r="AKG45" s="30">
        <f t="shared" si="769"/>
        <v>-169364.834998529</v>
      </c>
      <c r="AKH45" s="30">
        <f t="shared" si="769"/>
        <v>-27101.79000002041</v>
      </c>
      <c r="AKI45" s="30">
        <f t="shared" si="769"/>
        <v>183049.13699895336</v>
      </c>
      <c r="AKJ45" s="30">
        <f t="shared" si="769"/>
        <v>-150178.51799901441</v>
      </c>
      <c r="AKK45" s="30">
        <f t="shared" si="769"/>
        <v>155650.88700031227</v>
      </c>
      <c r="AKL45" s="30">
        <f t="shared" si="769"/>
        <v>-81737.568000826577</v>
      </c>
      <c r="AKM45" s="30">
        <f t="shared" si="769"/>
        <v>151612.05599944561</v>
      </c>
      <c r="AKN45" s="127">
        <f t="shared" si="11"/>
        <v>125155.32300004148</v>
      </c>
      <c r="AKO45" s="30">
        <f t="shared" ref="AKO45:ALS45" si="770">AKO43+AKO36</f>
        <v>-567852.58799996297</v>
      </c>
      <c r="AKP45" s="30">
        <f t="shared" si="770"/>
        <v>721444.24799995497</v>
      </c>
      <c r="AKQ45" s="30">
        <f t="shared" si="770"/>
        <v>-116141.85899856419</v>
      </c>
      <c r="AKR45" s="30">
        <f t="shared" si="770"/>
        <v>308893.04099946114</v>
      </c>
      <c r="AKS45" s="30">
        <f t="shared" si="770"/>
        <v>-274414.26600110158</v>
      </c>
      <c r="AKT45" s="30">
        <f t="shared" si="770"/>
        <v>-86467.112998476019</v>
      </c>
      <c r="AKU45" s="30">
        <f t="shared" si="770"/>
        <v>219715.78499866195</v>
      </c>
      <c r="AKV45" s="30">
        <f t="shared" si="770"/>
        <v>-126514.43099993176</v>
      </c>
      <c r="AKW45" s="30">
        <f t="shared" si="770"/>
        <v>216393.68700101066</v>
      </c>
      <c r="AKX45" s="30">
        <f t="shared" si="770"/>
        <v>-589435.74000068358</v>
      </c>
      <c r="AKY45" s="30">
        <f t="shared" si="770"/>
        <v>-197143.2109995106</v>
      </c>
      <c r="AKZ45" s="30">
        <f t="shared" si="770"/>
        <v>-22034.172000634309</v>
      </c>
      <c r="ALA45" s="30">
        <f t="shared" si="770"/>
        <v>820002.89700157312</v>
      </c>
      <c r="ALB45" s="30">
        <f t="shared" si="770"/>
        <v>-17327.632000531652</v>
      </c>
      <c r="ALC45" s="30">
        <f t="shared" si="770"/>
        <v>154179.962999098</v>
      </c>
      <c r="ALD45" s="30">
        <f t="shared" si="770"/>
        <v>-263843.68299980368</v>
      </c>
      <c r="ALE45" s="30">
        <f t="shared" si="770"/>
        <v>142582.96400053619</v>
      </c>
      <c r="ALF45" s="30">
        <f t="shared" si="770"/>
        <v>-153077.5330010429</v>
      </c>
      <c r="ALG45" s="30">
        <f t="shared" si="770"/>
        <v>107160.14400044858</v>
      </c>
      <c r="ALH45" s="30">
        <f t="shared" si="770"/>
        <v>16162.04000019026</v>
      </c>
      <c r="ALI45" s="30">
        <f t="shared" si="770"/>
        <v>-98738.206000203034</v>
      </c>
      <c r="ALJ45" s="30">
        <f t="shared" si="770"/>
        <v>-6742.6539997003856</v>
      </c>
      <c r="ALK45" s="30">
        <f t="shared" si="770"/>
        <v>136651.95899890072</v>
      </c>
      <c r="ALL45" s="30">
        <f t="shared" si="770"/>
        <v>46778.98700175999</v>
      </c>
      <c r="ALM45" s="30">
        <f t="shared" si="770"/>
        <v>-204883.38700109418</v>
      </c>
      <c r="ALN45" s="30">
        <f t="shared" si="770"/>
        <v>65269.200999822875</v>
      </c>
      <c r="ALO45" s="30">
        <f t="shared" si="770"/>
        <v>-438566.13699860341</v>
      </c>
      <c r="ALP45" s="30">
        <f t="shared" si="770"/>
        <v>238034.35799967032</v>
      </c>
      <c r="ALQ45" s="30">
        <f t="shared" si="770"/>
        <v>387386.63099967991</v>
      </c>
      <c r="ALR45" s="30">
        <f t="shared" si="770"/>
        <v>-260649.98600009095</v>
      </c>
      <c r="ALS45" s="30">
        <f t="shared" si="770"/>
        <v>36959.195999588992</v>
      </c>
      <c r="ALT45" s="127">
        <f t="shared" si="12"/>
        <v>193782.5030004225</v>
      </c>
      <c r="ALU45" s="30">
        <f t="shared" ref="ALU45:AMX45" si="771">ALU43+ALU36</f>
        <v>-215650.97700018313</v>
      </c>
      <c r="ALV45" s="30">
        <f t="shared" si="771"/>
        <v>47911.82999975112</v>
      </c>
      <c r="ALW45" s="30">
        <f t="shared" si="771"/>
        <v>-474388.01199937222</v>
      </c>
      <c r="ALX45" s="30">
        <f t="shared" si="771"/>
        <v>111069.92699998943</v>
      </c>
      <c r="ALY45" s="30">
        <f t="shared" si="771"/>
        <v>58557.959000773961</v>
      </c>
      <c r="ALZ45" s="30">
        <f t="shared" si="771"/>
        <v>-85839.808000255667</v>
      </c>
      <c r="AMA45" s="30">
        <f t="shared" si="771"/>
        <v>17403.166999993089</v>
      </c>
      <c r="AMB45" s="30">
        <f t="shared" si="771"/>
        <v>-304058.09300096257</v>
      </c>
      <c r="AMC45" s="30">
        <f t="shared" si="771"/>
        <v>38272.323000686883</v>
      </c>
      <c r="AMD45" s="30">
        <f t="shared" si="771"/>
        <v>-37218.050000628165</v>
      </c>
      <c r="AME45" s="30">
        <f t="shared" si="771"/>
        <v>159937.48600028059</v>
      </c>
      <c r="AMF45" s="30">
        <f t="shared" si="771"/>
        <v>-325953.36099989095</v>
      </c>
      <c r="AMG45" s="30">
        <f t="shared" si="771"/>
        <v>77168.900999445352</v>
      </c>
      <c r="AMH45" s="30">
        <f t="shared" si="771"/>
        <v>587938.49800066487</v>
      </c>
      <c r="AMI45" s="30">
        <f t="shared" si="771"/>
        <v>185628.11199995806</v>
      </c>
      <c r="AMJ45" s="30">
        <f t="shared" si="771"/>
        <v>-117769.70400075626</v>
      </c>
      <c r="AMK45" s="30">
        <f t="shared" si="771"/>
        <v>109224.24500163639</v>
      </c>
      <c r="AML45" s="30">
        <f t="shared" si="771"/>
        <v>-112866.90100052493</v>
      </c>
      <c r="AMM45" s="30">
        <f t="shared" si="771"/>
        <v>-134076.00900067569</v>
      </c>
      <c r="AMN45" s="30">
        <f t="shared" si="771"/>
        <v>327108.12300063978</v>
      </c>
      <c r="AMO45" s="30">
        <f t="shared" si="771"/>
        <v>-89627.066999796312</v>
      </c>
      <c r="AMP45" s="30">
        <f t="shared" si="771"/>
        <v>144237.54099985008</v>
      </c>
      <c r="AMQ45" s="30">
        <f t="shared" si="771"/>
        <v>215305.55999811745</v>
      </c>
      <c r="AMR45" s="30">
        <f t="shared" si="771"/>
        <v>-146325.14699879638</v>
      </c>
      <c r="AMS45" s="30">
        <f t="shared" si="771"/>
        <v>-383691.80600005644</v>
      </c>
      <c r="AMT45" s="30">
        <f t="shared" si="771"/>
        <v>-405218.25899991515</v>
      </c>
      <c r="AMU45" s="30">
        <f t="shared" si="771"/>
        <v>101272.43600072339</v>
      </c>
      <c r="AMV45" s="30">
        <f t="shared" si="771"/>
        <v>684865.0980003291</v>
      </c>
      <c r="AMW45" s="30">
        <f t="shared" si="771"/>
        <v>-613780.63900007296</v>
      </c>
      <c r="AMX45" s="30">
        <f t="shared" si="771"/>
        <v>318532.67799929628</v>
      </c>
      <c r="AMY45" s="127">
        <f t="shared" si="13"/>
        <v>-262029.94899975084</v>
      </c>
      <c r="AMZ45" s="30">
        <f t="shared" ref="AMZ45:AOC45" si="772">AMZ43+AMZ36</f>
        <v>73556.81900014641</v>
      </c>
      <c r="ANA45" s="30">
        <f t="shared" si="772"/>
        <v>-177983.65000000753</v>
      </c>
      <c r="ANB45" s="30">
        <f t="shared" si="772"/>
        <v>262265.99599927559</v>
      </c>
      <c r="ANC45" s="30">
        <f t="shared" si="772"/>
        <v>-400026.77100029646</v>
      </c>
      <c r="AND45" s="30">
        <f t="shared" si="772"/>
        <v>267449.37100082898</v>
      </c>
      <c r="ANE45" s="30">
        <f t="shared" si="772"/>
        <v>-273554.99900013849</v>
      </c>
      <c r="ANF45" s="30">
        <f t="shared" si="772"/>
        <v>138164.47700006538</v>
      </c>
      <c r="ANG45" s="30">
        <f t="shared" si="772"/>
        <v>-82193.588999904634</v>
      </c>
      <c r="ANH45" s="30">
        <f t="shared" si="772"/>
        <v>315453.48999958247</v>
      </c>
      <c r="ANI45" s="30">
        <f t="shared" si="772"/>
        <v>-332658.16899913177</v>
      </c>
      <c r="ANJ45" s="30">
        <f t="shared" si="772"/>
        <v>-34517.697000106622</v>
      </c>
      <c r="ANK45" s="30">
        <f t="shared" si="772"/>
        <v>-86118.273999080062</v>
      </c>
      <c r="ANL45" s="30">
        <f t="shared" si="772"/>
        <v>162006.6189980114</v>
      </c>
      <c r="ANM45" s="30">
        <f t="shared" si="772"/>
        <v>-644322.19699778152</v>
      </c>
      <c r="ANN45" s="30">
        <f t="shared" si="772"/>
        <v>297095.92599902517</v>
      </c>
      <c r="ANO45" s="30">
        <f t="shared" si="772"/>
        <v>674645.50300028862</v>
      </c>
      <c r="ANP45" s="30">
        <f t="shared" si="772"/>
        <v>291440.84999911429</v>
      </c>
      <c r="ANQ45" s="30">
        <f t="shared" si="772"/>
        <v>63554.099999731989</v>
      </c>
      <c r="ANR45" s="30">
        <f t="shared" si="772"/>
        <v>-760519.94999943709</v>
      </c>
      <c r="ANS45" s="30">
        <f t="shared" si="772"/>
        <v>-67447.750001263921</v>
      </c>
      <c r="ANT45" s="30">
        <f t="shared" si="772"/>
        <v>279170.95000186819</v>
      </c>
      <c r="ANU45" s="30">
        <f t="shared" si="772"/>
        <v>-176898.40000127151</v>
      </c>
      <c r="ANV45" s="30">
        <f t="shared" si="772"/>
        <v>688075.07399978838</v>
      </c>
      <c r="ANW45" s="30">
        <f t="shared" si="772"/>
        <v>-938833.6179995006</v>
      </c>
      <c r="ANX45" s="30">
        <f t="shared" si="772"/>
        <v>268946.40500168817</v>
      </c>
      <c r="ANY45" s="30">
        <f t="shared" si="772"/>
        <v>-165553.42200201977</v>
      </c>
      <c r="ANZ45" s="30">
        <f t="shared" si="772"/>
        <v>439203.83200096549</v>
      </c>
      <c r="AOA45" s="30">
        <f t="shared" si="772"/>
        <v>16241.708998942457</v>
      </c>
      <c r="AOB45" s="30">
        <f t="shared" si="772"/>
        <v>280746.2400014844</v>
      </c>
      <c r="AOC45" s="30">
        <f t="shared" si="772"/>
        <v>-1761221.7900004722</v>
      </c>
    </row>
    <row r="46" spans="1:1069" x14ac:dyDescent="0.2">
      <c r="A46" s="4"/>
      <c r="B46" s="5" t="s">
        <v>1534</v>
      </c>
      <c r="C46" s="22">
        <f>10000*19</f>
        <v>190000</v>
      </c>
      <c r="D46" s="22"/>
      <c r="E46" s="22"/>
      <c r="F46" s="22"/>
      <c r="G46" s="22"/>
      <c r="H46" s="22"/>
      <c r="I46" s="22"/>
      <c r="J46" s="22"/>
      <c r="K46" s="22">
        <f>14000*19</f>
        <v>266000</v>
      </c>
      <c r="L46" s="22"/>
      <c r="M46" s="22">
        <f>12968*19</f>
        <v>246392</v>
      </c>
      <c r="N46" s="22"/>
      <c r="O46" s="22"/>
      <c r="P46" s="22"/>
      <c r="Q46" s="22">
        <f>12953*19</f>
        <v>246107</v>
      </c>
      <c r="R46" s="22"/>
      <c r="S46" s="22"/>
      <c r="T46" s="22"/>
      <c r="U46" s="22"/>
      <c r="V46" s="22"/>
      <c r="W46" s="22">
        <f>16811*19</f>
        <v>319409</v>
      </c>
      <c r="X46" s="22"/>
      <c r="Y46" s="22"/>
      <c r="Z46" s="22"/>
      <c r="AA46" s="22">
        <f>9956*19</f>
        <v>189164</v>
      </c>
      <c r="AB46" s="22">
        <f>9939*19</f>
        <v>188841</v>
      </c>
      <c r="AC46" s="22"/>
      <c r="AD46" s="22"/>
      <c r="AE46" s="22"/>
      <c r="AF46" s="22"/>
      <c r="AG46" s="22"/>
      <c r="AH46" s="94"/>
      <c r="AI46" s="52">
        <f>9961*19</f>
        <v>189259</v>
      </c>
      <c r="AJ46">
        <f>12849*19</f>
        <v>244131</v>
      </c>
      <c r="BM46" s="97">
        <f>SUM(AI46:BL46)</f>
        <v>433390</v>
      </c>
      <c r="CS46" s="111">
        <f t="shared" si="208"/>
        <v>0</v>
      </c>
      <c r="DX46" s="117"/>
      <c r="FD46" s="128"/>
      <c r="GJ46" s="127">
        <f>SUM(FE46:GI46)</f>
        <v>0</v>
      </c>
      <c r="HN46" s="127">
        <f t="shared" si="253"/>
        <v>0</v>
      </c>
      <c r="IT46" s="127">
        <f t="shared" si="22"/>
        <v>0</v>
      </c>
      <c r="JY46" s="127">
        <f t="shared" si="58"/>
        <v>0</v>
      </c>
      <c r="LE46" s="127">
        <f t="shared" si="60"/>
        <v>0</v>
      </c>
      <c r="MJ46" s="127">
        <f t="shared" si="62"/>
        <v>0</v>
      </c>
      <c r="NP46" s="127">
        <f t="shared" si="64"/>
        <v>0</v>
      </c>
      <c r="OV46" s="127">
        <f t="shared" si="66"/>
        <v>0</v>
      </c>
      <c r="QA46" s="127">
        <f t="shared" si="68"/>
        <v>0</v>
      </c>
      <c r="RG46" s="127">
        <f t="shared" si="495"/>
        <v>0</v>
      </c>
      <c r="SL46" s="127">
        <f t="shared" si="497"/>
        <v>0</v>
      </c>
      <c r="TR46" s="127">
        <f t="shared" si="499"/>
        <v>0</v>
      </c>
      <c r="UX46" s="127">
        <f t="shared" si="501"/>
        <v>0</v>
      </c>
      <c r="WA46" s="127">
        <f t="shared" si="723"/>
        <v>0</v>
      </c>
      <c r="XG46" s="127">
        <f>SUM(WC46:XF46)</f>
        <v>0</v>
      </c>
      <c r="YL46" s="127">
        <f>SUM(XI46:YK46)</f>
        <v>0</v>
      </c>
      <c r="ZR46" s="127">
        <f t="shared" si="356"/>
        <v>0</v>
      </c>
      <c r="AAW46" s="127">
        <f>SUM(ZR46:AAV46)</f>
        <v>0</v>
      </c>
      <c r="ACC46" s="127">
        <f t="shared" si="274"/>
        <v>0</v>
      </c>
      <c r="ADI46" s="127">
        <f t="shared" si="276"/>
        <v>0</v>
      </c>
      <c r="AEN46" s="127">
        <f>SUM(ADI46:AEM46)</f>
        <v>0</v>
      </c>
      <c r="AFT46" s="127">
        <f t="shared" si="279"/>
        <v>0</v>
      </c>
      <c r="AGY46" s="127">
        <f>SUM(AFT46:AGX46)</f>
        <v>0</v>
      </c>
      <c r="AIE46" s="127">
        <f t="shared" si="519"/>
        <v>0</v>
      </c>
      <c r="AJK46" s="127">
        <f t="shared" si="520"/>
        <v>0</v>
      </c>
      <c r="AKN46" s="127">
        <f t="shared" si="11"/>
        <v>0</v>
      </c>
      <c r="ALT46" s="127">
        <f t="shared" si="12"/>
        <v>0</v>
      </c>
      <c r="AMY46" s="127">
        <f t="shared" si="13"/>
        <v>0</v>
      </c>
    </row>
    <row r="47" spans="1:1069" x14ac:dyDescent="0.2">
      <c r="A47" s="4"/>
      <c r="B47" s="6" t="s">
        <v>1535</v>
      </c>
      <c r="C47" s="21">
        <f t="shared" ref="C47:AG47" si="773">C11*100</f>
        <v>374024.00000000198</v>
      </c>
      <c r="D47" s="21">
        <f t="shared" si="773"/>
        <v>360631.20000000636</v>
      </c>
      <c r="E47" s="21">
        <f t="shared" si="773"/>
        <v>316017.59999999485</v>
      </c>
      <c r="F47" s="21">
        <f t="shared" si="773"/>
        <v>368791.00000000617</v>
      </c>
      <c r="G47" s="21">
        <f t="shared" si="773"/>
        <v>407847.49999999767</v>
      </c>
      <c r="H47" s="21">
        <f t="shared" si="773"/>
        <v>374685.3999999963</v>
      </c>
      <c r="I47" s="21">
        <f t="shared" si="773"/>
        <v>360293.90000000712</v>
      </c>
      <c r="J47" s="21">
        <f t="shared" si="773"/>
        <v>303522.29999999981</v>
      </c>
      <c r="K47" s="21">
        <f t="shared" si="773"/>
        <v>298327.80000000203</v>
      </c>
      <c r="L47" s="21">
        <f t="shared" si="773"/>
        <v>328230.799999999</v>
      </c>
      <c r="M47" s="21">
        <f t="shared" si="773"/>
        <v>339235.09999999078</v>
      </c>
      <c r="N47" s="21">
        <f t="shared" si="773"/>
        <v>345062.10000001593</v>
      </c>
      <c r="O47" s="21">
        <f t="shared" si="773"/>
        <v>320756.79999999993</v>
      </c>
      <c r="P47" s="21">
        <f t="shared" si="773"/>
        <v>351360.99999999569</v>
      </c>
      <c r="Q47" s="21">
        <f t="shared" si="773"/>
        <v>313833.49999999627</v>
      </c>
      <c r="R47" s="21">
        <f t="shared" si="773"/>
        <v>314395.40000000852</v>
      </c>
      <c r="S47" s="21">
        <f t="shared" si="773"/>
        <v>368030.39999999455</v>
      </c>
      <c r="T47" s="21">
        <f t="shared" si="773"/>
        <v>355389.49999998731</v>
      </c>
      <c r="U47" s="21">
        <f t="shared" si="773"/>
        <v>303510.10000000533</v>
      </c>
      <c r="V47" s="21">
        <f t="shared" si="773"/>
        <v>301093.79999999655</v>
      </c>
      <c r="W47" s="21">
        <f t="shared" si="773"/>
        <v>286103.40000001306</v>
      </c>
      <c r="X47" s="21">
        <f t="shared" si="773"/>
        <v>300712.79999999388</v>
      </c>
      <c r="Y47" s="21">
        <f t="shared" si="773"/>
        <v>318989.8000000132</v>
      </c>
      <c r="Z47" s="21">
        <f t="shared" si="773"/>
        <v>313559.1999999946</v>
      </c>
      <c r="AA47" s="21">
        <f t="shared" si="773"/>
        <v>395233.5999999952</v>
      </c>
      <c r="AB47" s="21">
        <f t="shared" si="773"/>
        <v>386160.69999999891</v>
      </c>
      <c r="AC47" s="21">
        <f t="shared" si="773"/>
        <v>343702.80000000494</v>
      </c>
      <c r="AD47" s="21">
        <f t="shared" si="773"/>
        <v>295448.29999999201</v>
      </c>
      <c r="AE47" s="21">
        <f t="shared" si="773"/>
        <v>350093.79999999073</v>
      </c>
      <c r="AF47" s="21">
        <f t="shared" si="773"/>
        <v>338865.0000000227</v>
      </c>
      <c r="AG47" s="21">
        <f t="shared" si="773"/>
        <v>368890.79999998794</v>
      </c>
      <c r="AH47" s="94">
        <f>SUM(C47:AG47)</f>
        <v>10502799.400000008</v>
      </c>
      <c r="AI47" s="21">
        <f t="shared" ref="AI47:BL47" si="774">AI11*100</f>
        <v>405494.20000000391</v>
      </c>
      <c r="AJ47" s="21">
        <f t="shared" si="774"/>
        <v>409055.80000000191</v>
      </c>
      <c r="AK47" s="21">
        <f t="shared" si="774"/>
        <v>383382.39999999932</v>
      </c>
      <c r="AL47" s="21">
        <f t="shared" si="774"/>
        <v>403798.20000000473</v>
      </c>
      <c r="AM47" s="21">
        <f t="shared" si="774"/>
        <v>393126.29999998899</v>
      </c>
      <c r="AN47" s="21">
        <f t="shared" si="774"/>
        <v>370816.10000000219</v>
      </c>
      <c r="AO47" s="21">
        <f t="shared" si="774"/>
        <v>1402981.3999999985</v>
      </c>
      <c r="AP47" s="21">
        <f t="shared" si="774"/>
        <v>493467.0999999973</v>
      </c>
      <c r="AQ47" s="21">
        <f t="shared" si="774"/>
        <v>366562.80000000843</v>
      </c>
      <c r="AR47" s="21">
        <f t="shared" si="774"/>
        <v>345283.19999999949</v>
      </c>
      <c r="AS47" s="21">
        <f t="shared" si="774"/>
        <v>333359.09999999276</v>
      </c>
      <c r="AT47" s="21">
        <f t="shared" si="774"/>
        <v>280324.10000001255</v>
      </c>
      <c r="AU47" s="21">
        <f t="shared" si="774"/>
        <v>1282832.0999999908</v>
      </c>
      <c r="AV47" s="21">
        <f t="shared" si="774"/>
        <v>292597.09999999614</v>
      </c>
      <c r="AW47" s="21">
        <f t="shared" si="774"/>
        <v>321413.40000001073</v>
      </c>
      <c r="AX47" s="21">
        <f t="shared" si="774"/>
        <v>321856.29999999946</v>
      </c>
      <c r="AY47" s="21">
        <f t="shared" si="774"/>
        <v>293494.89999999641</v>
      </c>
      <c r="AZ47" s="21">
        <f t="shared" si="774"/>
        <v>327455.99999999901</v>
      </c>
      <c r="BA47" s="21">
        <f t="shared" si="774"/>
        <v>286132.8999999924</v>
      </c>
      <c r="BB47" s="21">
        <f t="shared" si="774"/>
        <v>271945.30000000086</v>
      </c>
      <c r="BC47" s="21">
        <f t="shared" si="774"/>
        <v>295214.40000001749</v>
      </c>
      <c r="BD47" s="21">
        <f t="shared" si="774"/>
        <v>348564.09999999742</v>
      </c>
      <c r="BE47" s="21">
        <f t="shared" si="774"/>
        <v>356880.8999999892</v>
      </c>
      <c r="BF47" s="21">
        <f t="shared" si="774"/>
        <v>288414.6000000037</v>
      </c>
      <c r="BG47" s="21">
        <f t="shared" si="774"/>
        <v>302545.4999999929</v>
      </c>
      <c r="BH47" s="21">
        <f t="shared" si="774"/>
        <v>303105.99999999977</v>
      </c>
      <c r="BI47" s="21">
        <f t="shared" si="774"/>
        <v>309520.40000000852</v>
      </c>
      <c r="BJ47" s="21">
        <f t="shared" si="774"/>
        <v>298987.30000000505</v>
      </c>
      <c r="BK47" s="21">
        <f t="shared" si="774"/>
        <v>324928.0999999959</v>
      </c>
      <c r="BL47" s="21">
        <f t="shared" si="774"/>
        <v>308559.89999999874</v>
      </c>
      <c r="BM47" s="97">
        <f>SUM(AI47:BL47)</f>
        <v>12122099.900000002</v>
      </c>
      <c r="BN47" s="21">
        <f t="shared" ref="BN47:CR47" si="775">BN11*100</f>
        <v>270496.40000000363</v>
      </c>
      <c r="BO47" s="21">
        <f t="shared" si="775"/>
        <v>294051.39999999665</v>
      </c>
      <c r="BP47" s="21">
        <f t="shared" si="775"/>
        <v>315729.80000000389</v>
      </c>
      <c r="BQ47" s="21">
        <f t="shared" si="775"/>
        <v>286925.99999999802</v>
      </c>
      <c r="BR47" s="21">
        <f t="shared" si="775"/>
        <v>335602.69999999146</v>
      </c>
      <c r="BS47" s="21">
        <f t="shared" si="775"/>
        <v>336653.20000000938</v>
      </c>
      <c r="BT47" s="21">
        <f t="shared" si="775"/>
        <v>288318.79999998491</v>
      </c>
      <c r="BU47" s="21">
        <f t="shared" si="775"/>
        <v>286865.90000001597</v>
      </c>
      <c r="BV47" s="21">
        <f t="shared" si="775"/>
        <v>326078.09999999299</v>
      </c>
      <c r="BW47" s="21">
        <f t="shared" si="775"/>
        <v>277595.90000000317</v>
      </c>
      <c r="BX47" s="21">
        <f t="shared" si="775"/>
        <v>272484.30000000517</v>
      </c>
      <c r="BY47" s="21">
        <f t="shared" si="775"/>
        <v>265708.59999999229</v>
      </c>
      <c r="BZ47" s="21">
        <f t="shared" si="775"/>
        <v>319721.20000000286</v>
      </c>
      <c r="CA47" s="21">
        <f t="shared" si="775"/>
        <v>308979.49999999837</v>
      </c>
      <c r="CB47" s="21">
        <f t="shared" si="775"/>
        <v>274282.0000000007</v>
      </c>
      <c r="CC47" s="21">
        <f t="shared" si="775"/>
        <v>285319.20000000682</v>
      </c>
      <c r="CD47" s="21">
        <f t="shared" si="775"/>
        <v>307959.29999999353</v>
      </c>
      <c r="CE47" s="21">
        <f t="shared" si="775"/>
        <v>269087.40000000398</v>
      </c>
      <c r="CF47" s="21">
        <f t="shared" si="775"/>
        <v>247782.69999999029</v>
      </c>
      <c r="CG47" s="21">
        <f t="shared" si="775"/>
        <v>287872.5000000064</v>
      </c>
      <c r="CH47" s="21">
        <f t="shared" si="775"/>
        <v>279786.69999999402</v>
      </c>
      <c r="CI47" s="21">
        <f t="shared" si="775"/>
        <v>283495.20000000193</v>
      </c>
      <c r="CJ47" s="21">
        <f t="shared" si="775"/>
        <v>261686.90000000552</v>
      </c>
      <c r="CK47" s="21">
        <f t="shared" si="775"/>
        <v>304534.50000000012</v>
      </c>
      <c r="CL47" s="21">
        <f t="shared" si="775"/>
        <v>255308.60000000102</v>
      </c>
      <c r="CM47" s="21">
        <f t="shared" si="775"/>
        <v>273335.20000000426</v>
      </c>
      <c r="CN47" s="21">
        <f t="shared" si="775"/>
        <v>278620.19999999029</v>
      </c>
      <c r="CO47" s="21">
        <f t="shared" si="775"/>
        <v>328869.29999998829</v>
      </c>
      <c r="CP47" s="21">
        <f t="shared" si="775"/>
        <v>265691.0000000149</v>
      </c>
      <c r="CQ47" s="21">
        <f t="shared" si="775"/>
        <v>295644.49999999488</v>
      </c>
      <c r="CR47" s="21">
        <f t="shared" si="775"/>
        <v>273205.40000000328</v>
      </c>
      <c r="CS47" s="111">
        <f t="shared" si="208"/>
        <v>8957692.3999999985</v>
      </c>
      <c r="CT47" s="21">
        <f t="shared" ref="CT47:DW47" si="776">CT11*100</f>
        <v>294566.59999999392</v>
      </c>
      <c r="CU47" s="21">
        <f t="shared" si="776"/>
        <v>272173.30000000366</v>
      </c>
      <c r="CV47" s="21">
        <f t="shared" si="776"/>
        <v>296389.80000000156</v>
      </c>
      <c r="CW47" s="21">
        <f t="shared" si="776"/>
        <v>375091.00000000035</v>
      </c>
      <c r="CX47" s="21">
        <f t="shared" si="776"/>
        <v>317344.70000000147</v>
      </c>
      <c r="CY47" s="21">
        <f t="shared" si="776"/>
        <v>304220.60000000347</v>
      </c>
      <c r="CZ47" s="21">
        <f t="shared" si="776"/>
        <v>293069.90000000224</v>
      </c>
      <c r="DA47" s="21">
        <f t="shared" si="776"/>
        <v>291580.40000000037</v>
      </c>
      <c r="DB47" s="21">
        <f t="shared" si="776"/>
        <v>318871.79999998771</v>
      </c>
      <c r="DC47" s="21">
        <f t="shared" si="776"/>
        <v>310261.50000000489</v>
      </c>
      <c r="DD47" s="21">
        <f t="shared" si="776"/>
        <v>341995.80000000133</v>
      </c>
      <c r="DE47" s="21">
        <f t="shared" si="776"/>
        <v>242976.79999998654</v>
      </c>
      <c r="DF47" s="21">
        <f t="shared" si="776"/>
        <v>233407.60000000591</v>
      </c>
      <c r="DG47" s="21">
        <f t="shared" si="776"/>
        <v>306687.70000000426</v>
      </c>
      <c r="DH47" s="21">
        <f t="shared" si="776"/>
        <v>242700.89999999909</v>
      </c>
      <c r="DI47" s="21">
        <f t="shared" si="776"/>
        <v>197764.90000001213</v>
      </c>
      <c r="DJ47" s="21">
        <f t="shared" si="776"/>
        <v>306392.89999999455</v>
      </c>
      <c r="DK47" s="21">
        <f t="shared" si="776"/>
        <v>282575.89999999036</v>
      </c>
      <c r="DL47" s="21">
        <f t="shared" si="776"/>
        <v>223423.39999999676</v>
      </c>
      <c r="DM47" s="21">
        <f t="shared" si="776"/>
        <v>309782.09999999672</v>
      </c>
      <c r="DN47" s="21">
        <f t="shared" si="776"/>
        <v>227669.30000000284</v>
      </c>
      <c r="DO47" s="21">
        <f t="shared" si="776"/>
        <v>298448.80000000412</v>
      </c>
      <c r="DP47" s="21">
        <f t="shared" si="776"/>
        <v>275672.70000001299</v>
      </c>
      <c r="DQ47" s="21">
        <f t="shared" si="776"/>
        <v>281228.4999999858</v>
      </c>
      <c r="DR47" s="21">
        <f t="shared" si="776"/>
        <v>296608.10000001511</v>
      </c>
      <c r="DS47" s="21">
        <f t="shared" si="776"/>
        <v>257665.39999999804</v>
      </c>
      <c r="DT47" s="21">
        <f t="shared" si="776"/>
        <v>276742.99999999057</v>
      </c>
      <c r="DU47" s="21">
        <f t="shared" si="776"/>
        <v>274384.30000000517</v>
      </c>
      <c r="DV47" s="21">
        <f t="shared" si="776"/>
        <v>243250.09999999893</v>
      </c>
      <c r="DW47" s="21">
        <f t="shared" si="776"/>
        <v>275092.4999999901</v>
      </c>
      <c r="DX47" s="122"/>
      <c r="DY47" s="21">
        <f t="shared" ref="DY47:FC47" si="777">DY11*100</f>
        <v>288995.4000000027</v>
      </c>
      <c r="DZ47" s="21">
        <f t="shared" si="777"/>
        <v>295304.89999999118</v>
      </c>
      <c r="EA47" s="21">
        <f t="shared" si="777"/>
        <v>223802.70000001474</v>
      </c>
      <c r="EB47" s="21">
        <f t="shared" si="777"/>
        <v>246329.69999999623</v>
      </c>
      <c r="EC47" s="21">
        <f t="shared" si="777"/>
        <v>259542.0999999973</v>
      </c>
      <c r="ED47" s="21">
        <f t="shared" si="777"/>
        <v>263612.69999999495</v>
      </c>
      <c r="EE47" s="21">
        <f t="shared" si="777"/>
        <v>273146.79999999638</v>
      </c>
      <c r="EF47" s="21">
        <f t="shared" si="777"/>
        <v>295043.40000001539</v>
      </c>
      <c r="EG47" s="21">
        <f t="shared" si="777"/>
        <v>355654.69999999623</v>
      </c>
      <c r="EH47" s="21">
        <f t="shared" si="777"/>
        <v>313659.70000000088</v>
      </c>
      <c r="EI47" s="21">
        <f t="shared" si="777"/>
        <v>299459.29999999644</v>
      </c>
      <c r="EJ47" s="21">
        <f t="shared" si="777"/>
        <v>353531.20000001509</v>
      </c>
      <c r="EK47" s="21">
        <f t="shared" si="777"/>
        <v>303083.80000000389</v>
      </c>
      <c r="EL47" s="21">
        <f t="shared" si="777"/>
        <v>329087.09999999264</v>
      </c>
      <c r="EM47" s="21">
        <f t="shared" si="777"/>
        <v>373857.89999999688</v>
      </c>
      <c r="EN47" s="21">
        <f t="shared" si="777"/>
        <v>355094.19999998645</v>
      </c>
      <c r="EO47" s="21">
        <f t="shared" si="777"/>
        <v>309515.20000001474</v>
      </c>
      <c r="EP47" s="21">
        <f t="shared" si="777"/>
        <v>359190.5999999959</v>
      </c>
      <c r="EQ47" s="21">
        <f t="shared" si="777"/>
        <v>276308.29999999842</v>
      </c>
      <c r="ER47" s="21">
        <f t="shared" si="777"/>
        <v>351327.99999999697</v>
      </c>
      <c r="ES47" s="21">
        <f t="shared" si="777"/>
        <v>419870.80000000133</v>
      </c>
      <c r="ET47" s="21">
        <f t="shared" si="777"/>
        <v>433092.80000000726</v>
      </c>
      <c r="EU47" s="21">
        <f t="shared" si="777"/>
        <v>469937.59999999893</v>
      </c>
      <c r="EV47" s="21">
        <f t="shared" si="777"/>
        <v>370156.59999998752</v>
      </c>
      <c r="EW47" s="21">
        <f t="shared" si="777"/>
        <v>248530.40000001201</v>
      </c>
      <c r="EX47" s="21">
        <f t="shared" si="777"/>
        <v>240717.30000000098</v>
      </c>
      <c r="EY47" s="21">
        <f t="shared" si="777"/>
        <v>263043.09999999532</v>
      </c>
      <c r="EZ47" s="21">
        <f t="shared" si="777"/>
        <v>271941.69999999867</v>
      </c>
      <c r="FA47" s="21">
        <f t="shared" si="777"/>
        <v>293524.90000000107</v>
      </c>
      <c r="FB47" s="21">
        <f t="shared" si="777"/>
        <v>312329.80000001844</v>
      </c>
      <c r="FC47" s="21">
        <f t="shared" si="777"/>
        <v>308254.79999997187</v>
      </c>
      <c r="FD47" s="128">
        <f>SUM(DY47:FC47)</f>
        <v>9756947.4999999963</v>
      </c>
      <c r="FE47" s="21">
        <f t="shared" ref="FE47:GI47" si="778">FE11*100</f>
        <v>272323.40000000841</v>
      </c>
      <c r="FF47" s="21">
        <f t="shared" si="778"/>
        <v>278332.80000000668</v>
      </c>
      <c r="FG47" s="21">
        <f t="shared" si="778"/>
        <v>283015.2999999962</v>
      </c>
      <c r="FH47" s="21">
        <f t="shared" si="778"/>
        <v>307216.59999998519</v>
      </c>
      <c r="FI47" s="21">
        <f t="shared" si="778"/>
        <v>301499.00000001653</v>
      </c>
      <c r="FJ47" s="21">
        <f t="shared" si="778"/>
        <v>308405.69999999134</v>
      </c>
      <c r="FK47" s="21">
        <f t="shared" si="778"/>
        <v>289128.20000000938</v>
      </c>
      <c r="FL47" s="21">
        <f t="shared" si="778"/>
        <v>281107.39999999641</v>
      </c>
      <c r="FM47" s="21">
        <f t="shared" si="778"/>
        <v>318300.80000000598</v>
      </c>
      <c r="FN47" s="21">
        <f t="shared" si="778"/>
        <v>257835.40000000503</v>
      </c>
      <c r="FO47" s="21">
        <f t="shared" si="778"/>
        <v>277161.50000000198</v>
      </c>
      <c r="FP47" s="21">
        <f t="shared" si="778"/>
        <v>349122.99999998068</v>
      </c>
      <c r="FQ47" s="21">
        <f t="shared" si="778"/>
        <v>291482.50000001863</v>
      </c>
      <c r="FR47" s="21">
        <f t="shared" si="778"/>
        <v>295333.69999999995</v>
      </c>
      <c r="FS47" s="21">
        <f t="shared" si="778"/>
        <v>293021.79999999353</v>
      </c>
      <c r="FT47" s="21">
        <f t="shared" si="778"/>
        <v>274864.69999999972</v>
      </c>
      <c r="FU47" s="21">
        <f t="shared" si="778"/>
        <v>275567.1999999875</v>
      </c>
      <c r="FV47" s="21">
        <f t="shared" si="778"/>
        <v>275887.70000001241</v>
      </c>
      <c r="FW47" s="21">
        <f t="shared" si="778"/>
        <v>310301.50000000722</v>
      </c>
      <c r="FX47" s="21">
        <f t="shared" si="778"/>
        <v>343270.09999998263</v>
      </c>
      <c r="FY47" s="21">
        <f t="shared" si="778"/>
        <v>283385.19999999553</v>
      </c>
      <c r="FZ47" s="21">
        <f t="shared" si="778"/>
        <v>290210.90000002296</v>
      </c>
      <c r="GA47" s="21">
        <f t="shared" si="778"/>
        <v>336960.79999997746</v>
      </c>
      <c r="GB47" s="21">
        <f t="shared" si="778"/>
        <v>251332.90000001434</v>
      </c>
      <c r="GC47" s="21">
        <f t="shared" si="778"/>
        <v>313559.79999999981</v>
      </c>
      <c r="GD47" s="21">
        <f t="shared" si="778"/>
        <v>323877.39999999176</v>
      </c>
      <c r="GE47" s="21">
        <f t="shared" si="778"/>
        <v>286300.20000002114</v>
      </c>
      <c r="GF47" s="21">
        <f t="shared" si="778"/>
        <v>294536.29999998084</v>
      </c>
      <c r="GG47" s="21">
        <f t="shared" si="778"/>
        <v>348714.30000001565</v>
      </c>
      <c r="GH47" s="21">
        <f t="shared" si="778"/>
        <v>307136.60000000091</v>
      </c>
      <c r="GI47" s="21">
        <f t="shared" si="778"/>
        <v>284343.59999999579</v>
      </c>
      <c r="GJ47" s="127">
        <f>SUM(FE47:GI47)</f>
        <v>9203536.3000000212</v>
      </c>
      <c r="GK47" s="21">
        <f t="shared" ref="GK47:HM47" si="779">GK11*100</f>
        <v>290068.69999998307</v>
      </c>
      <c r="GL47" s="21">
        <f t="shared" si="779"/>
        <v>327308.70000001742</v>
      </c>
      <c r="GM47" s="21">
        <f t="shared" si="779"/>
        <v>373171.29999999644</v>
      </c>
      <c r="GN47" s="21">
        <f t="shared" si="779"/>
        <v>304769.19999998063</v>
      </c>
      <c r="GO47" s="21">
        <f t="shared" si="779"/>
        <v>320212.60000001639</v>
      </c>
      <c r="GP47" s="21">
        <f t="shared" si="779"/>
        <v>297606.89999998722</v>
      </c>
      <c r="GQ47" s="21">
        <f t="shared" si="779"/>
        <v>355740.30000001658</v>
      </c>
      <c r="GR47" s="21">
        <f t="shared" si="779"/>
        <v>322063.4999999922</v>
      </c>
      <c r="GS47" s="21">
        <f t="shared" si="779"/>
        <v>289447.69999998971</v>
      </c>
      <c r="GT47" s="21">
        <f t="shared" si="779"/>
        <v>321909.90000000165</v>
      </c>
      <c r="GU47" s="21">
        <f t="shared" si="779"/>
        <v>286098.40000001132</v>
      </c>
      <c r="GV47" s="21">
        <f t="shared" si="779"/>
        <v>293511.99999998789</v>
      </c>
      <c r="GW47" s="21">
        <f t="shared" si="779"/>
        <v>301555.00000001339</v>
      </c>
      <c r="GX47" s="21">
        <f t="shared" si="779"/>
        <v>299135.49999997776</v>
      </c>
      <c r="GY47" s="21">
        <f t="shared" si="779"/>
        <v>265488.10000001395</v>
      </c>
      <c r="GZ47" s="21">
        <f t="shared" si="779"/>
        <v>281382.79999999795</v>
      </c>
      <c r="HA47" s="21">
        <f t="shared" si="779"/>
        <v>291667.6999999996</v>
      </c>
      <c r="HB47" s="21">
        <f t="shared" si="779"/>
        <v>255245.40000000852</v>
      </c>
      <c r="HC47" s="21">
        <f t="shared" si="779"/>
        <v>306957.89999999397</v>
      </c>
      <c r="HD47" s="21">
        <f t="shared" si="779"/>
        <v>501124.10000000382</v>
      </c>
      <c r="HE47" s="21">
        <f t="shared" si="779"/>
        <v>275878.09999999881</v>
      </c>
      <c r="HF47" s="21">
        <f t="shared" si="779"/>
        <v>280076.50000000722</v>
      </c>
      <c r="HG47" s="21">
        <f t="shared" si="779"/>
        <v>296126.29999999772</v>
      </c>
      <c r="HH47" s="21">
        <f t="shared" si="779"/>
        <v>349530.20000000251</v>
      </c>
      <c r="HI47" s="21">
        <f t="shared" si="779"/>
        <v>229678.59999999637</v>
      </c>
      <c r="HJ47" s="21">
        <f t="shared" si="779"/>
        <v>295952.90000000386</v>
      </c>
      <c r="HK47" s="21">
        <f t="shared" si="779"/>
        <v>270361.79999999003</v>
      </c>
      <c r="HL47" s="21">
        <f t="shared" si="779"/>
        <v>256630.50000001094</v>
      </c>
      <c r="HM47" s="21">
        <f t="shared" si="779"/>
        <v>300293.69999998016</v>
      </c>
      <c r="HN47" s="127">
        <f t="shared" si="253"/>
        <v>8838994.2999999784</v>
      </c>
      <c r="HO47" s="21">
        <f t="shared" ref="HO47:IS47" si="780">HO11*100</f>
        <v>330719.90000001679</v>
      </c>
      <c r="HP47" s="21">
        <f t="shared" si="780"/>
        <v>369716.99999999546</v>
      </c>
      <c r="HQ47" s="21">
        <f t="shared" si="780"/>
        <v>308628.89999999024</v>
      </c>
      <c r="HR47" s="21">
        <f t="shared" si="780"/>
        <v>370192.5000000163</v>
      </c>
      <c r="HS47" s="21">
        <f t="shared" si="780"/>
        <v>315374.30000000459</v>
      </c>
      <c r="HT47" s="21">
        <f t="shared" si="780"/>
        <v>337912.10000000428</v>
      </c>
      <c r="HU47" s="21">
        <f t="shared" si="780"/>
        <v>377586.49999999034</v>
      </c>
      <c r="HV47" s="21">
        <f t="shared" si="780"/>
        <v>309969.29999999702</v>
      </c>
      <c r="HW47" s="21">
        <f t="shared" si="780"/>
        <v>338378.59999999928</v>
      </c>
      <c r="HX47" s="21">
        <f t="shared" si="780"/>
        <v>296694.200000001</v>
      </c>
      <c r="HY47" s="21">
        <f t="shared" si="780"/>
        <v>316278.29999999376</v>
      </c>
      <c r="HZ47" s="21">
        <f t="shared" si="780"/>
        <v>274362.20000000612</v>
      </c>
      <c r="IA47" s="21">
        <f t="shared" si="780"/>
        <v>252673.20000000473</v>
      </c>
      <c r="IB47" s="21">
        <f t="shared" si="780"/>
        <v>273551.2999999919</v>
      </c>
      <c r="IC47" s="21">
        <f t="shared" si="780"/>
        <v>306901.19999999297</v>
      </c>
      <c r="ID47" s="21">
        <f t="shared" si="780"/>
        <v>276309.50000001176</v>
      </c>
      <c r="IE47" s="21">
        <f t="shared" si="780"/>
        <v>272179.99999998719</v>
      </c>
      <c r="IF47" s="21">
        <f t="shared" si="780"/>
        <v>319272.40000000165</v>
      </c>
      <c r="IG47" s="21">
        <f t="shared" si="780"/>
        <v>294008.30000001297</v>
      </c>
      <c r="IH47" s="21">
        <f t="shared" si="780"/>
        <v>267652.69999999146</v>
      </c>
      <c r="II47" s="21">
        <f t="shared" si="780"/>
        <v>267940.10000001581</v>
      </c>
      <c r="IJ47" s="21">
        <f t="shared" si="780"/>
        <v>319529.09999999101</v>
      </c>
      <c r="IK47" s="21">
        <f t="shared" si="780"/>
        <v>324210.90000000841</v>
      </c>
      <c r="IL47" s="21">
        <f t="shared" si="780"/>
        <v>251419.89999998768</v>
      </c>
      <c r="IM47" s="21">
        <f t="shared" si="780"/>
        <v>321721.89999998664</v>
      </c>
      <c r="IN47" s="21">
        <f t="shared" si="780"/>
        <v>270587.09999999846</v>
      </c>
      <c r="IO47" s="21">
        <f t="shared" si="780"/>
        <v>292747.20000002126</v>
      </c>
      <c r="IP47" s="21">
        <f t="shared" si="780"/>
        <v>307993.49999998457</v>
      </c>
      <c r="IQ47" s="21">
        <f t="shared" si="780"/>
        <v>319920.20000001357</v>
      </c>
      <c r="IR47" s="21">
        <f t="shared" si="780"/>
        <v>273733.59999999229</v>
      </c>
      <c r="IS47" s="21">
        <f t="shared" si="780"/>
        <v>208827.20000000263</v>
      </c>
      <c r="IT47" s="127">
        <f t="shared" si="22"/>
        <v>9366993.1000000127</v>
      </c>
      <c r="IU47" s="21">
        <f t="shared" ref="IU47:JX47" si="781">IU11*100</f>
        <v>232876.2999999919</v>
      </c>
      <c r="IV47" s="21">
        <f t="shared" si="781"/>
        <v>313285.50000000687</v>
      </c>
      <c r="IW47" s="21">
        <f t="shared" si="781"/>
        <v>249432.20000000438</v>
      </c>
      <c r="IX47" s="21">
        <f t="shared" si="781"/>
        <v>270800.19999999204</v>
      </c>
      <c r="IY47" s="21">
        <f t="shared" si="781"/>
        <v>306041.49999999499</v>
      </c>
      <c r="IZ47" s="21">
        <f t="shared" si="781"/>
        <v>286250.80000000307</v>
      </c>
      <c r="JA47" s="21">
        <f t="shared" si="781"/>
        <v>236033.2000000024</v>
      </c>
      <c r="JB47" s="21">
        <f t="shared" si="781"/>
        <v>323139.80000000121</v>
      </c>
      <c r="JC47" s="21">
        <f t="shared" si="781"/>
        <v>257832.19999999565</v>
      </c>
      <c r="JD47" s="21">
        <f t="shared" si="781"/>
        <v>281268.00000001094</v>
      </c>
      <c r="JE47" s="21">
        <f t="shared" si="781"/>
        <v>266107.69999999611</v>
      </c>
      <c r="JF47" s="21">
        <f t="shared" si="781"/>
        <v>287540.60000001919</v>
      </c>
      <c r="JG47" s="21">
        <f t="shared" si="781"/>
        <v>306161.79999997839</v>
      </c>
      <c r="JH47" s="21">
        <f t="shared" si="781"/>
        <v>210151.30000002391</v>
      </c>
      <c r="JI47" s="21">
        <f t="shared" si="781"/>
        <v>294791.49999997753</v>
      </c>
      <c r="JJ47" s="21">
        <f t="shared" si="781"/>
        <v>260277.09999999497</v>
      </c>
      <c r="JK47" s="21">
        <f t="shared" si="781"/>
        <v>271136.40000001178</v>
      </c>
      <c r="JL47" s="21">
        <f t="shared" si="781"/>
        <v>251035.40000001085</v>
      </c>
      <c r="JM47" s="21">
        <f t="shared" si="781"/>
        <v>294724.8999999807</v>
      </c>
      <c r="JN47" s="21">
        <f t="shared" si="781"/>
        <v>257294.30000001448</v>
      </c>
      <c r="JO47" s="21">
        <f t="shared" si="781"/>
        <v>205932.29999999749</v>
      </c>
      <c r="JP47" s="21">
        <f t="shared" si="781"/>
        <v>321791.69999999576</v>
      </c>
      <c r="JQ47" s="21">
        <f t="shared" si="781"/>
        <v>237433.00000000454</v>
      </c>
      <c r="JR47" s="21">
        <f t="shared" si="781"/>
        <v>260504.90000001155</v>
      </c>
      <c r="JS47" s="21">
        <f t="shared" si="781"/>
        <v>262695.69999997329</v>
      </c>
      <c r="JT47" s="21">
        <f t="shared" si="781"/>
        <v>296903.0999999959</v>
      </c>
      <c r="JU47" s="21">
        <f t="shared" si="781"/>
        <v>326733.30000000133</v>
      </c>
      <c r="JV47" s="21">
        <f t="shared" si="781"/>
        <v>277868.89999999548</v>
      </c>
      <c r="JW47" s="21">
        <f t="shared" si="781"/>
        <v>270551.39999999665</v>
      </c>
      <c r="JX47" s="21">
        <f t="shared" si="781"/>
        <v>264357.50000001281</v>
      </c>
      <c r="JY47" s="127">
        <f t="shared" si="58"/>
        <v>8180952.4999999972</v>
      </c>
      <c r="JZ47" s="21">
        <f t="shared" ref="JZ47:LD47" si="782">JZ11*100</f>
        <v>244702.39999999467</v>
      </c>
      <c r="KA47" s="21">
        <f t="shared" si="782"/>
        <v>279734.10000000731</v>
      </c>
      <c r="KB47" s="21">
        <f t="shared" si="782"/>
        <v>296756.69999998645</v>
      </c>
      <c r="KC47" s="21">
        <f t="shared" si="782"/>
        <v>268723.40000000258</v>
      </c>
      <c r="KD47" s="21">
        <f t="shared" si="782"/>
        <v>288255.30000001017</v>
      </c>
      <c r="KE47" s="21">
        <f t="shared" si="782"/>
        <v>280144.90000001679</v>
      </c>
      <c r="KF47" s="21">
        <f t="shared" si="782"/>
        <v>312190.79999999667</v>
      </c>
      <c r="KG47" s="21">
        <f t="shared" si="782"/>
        <v>268418.799999982</v>
      </c>
      <c r="KH47" s="21">
        <f t="shared" si="782"/>
        <v>318566.10000000219</v>
      </c>
      <c r="KI47" s="21">
        <f t="shared" si="782"/>
        <v>307062.50000000291</v>
      </c>
      <c r="KJ47" s="21">
        <f t="shared" si="782"/>
        <v>328705.70000000298</v>
      </c>
      <c r="KK47" s="21">
        <f t="shared" si="782"/>
        <v>257985.30000000028</v>
      </c>
      <c r="KL47" s="21">
        <f t="shared" si="782"/>
        <v>412248.09999997669</v>
      </c>
      <c r="KM47" s="21">
        <f t="shared" si="782"/>
        <v>312666.30000003497</v>
      </c>
      <c r="KN47" s="21">
        <f t="shared" si="782"/>
        <v>245067.50000000466</v>
      </c>
      <c r="KO47" s="21">
        <f t="shared" si="782"/>
        <v>385190.69999998901</v>
      </c>
      <c r="KP47" s="21">
        <f t="shared" si="782"/>
        <v>308979.29999999178</v>
      </c>
      <c r="KQ47" s="21">
        <f t="shared" si="782"/>
        <v>332016.49999999208</v>
      </c>
      <c r="KR47" s="21">
        <f t="shared" si="782"/>
        <v>266008.90000000945</v>
      </c>
      <c r="KS47" s="21">
        <f t="shared" si="782"/>
        <v>328973.20000001346</v>
      </c>
      <c r="KT47" s="21">
        <f t="shared" si="782"/>
        <v>333757.69999999029</v>
      </c>
      <c r="KU47" s="21">
        <f t="shared" si="782"/>
        <v>328801.59999997704</v>
      </c>
      <c r="KV47" s="21">
        <f t="shared" si="782"/>
        <v>438628.90000001935</v>
      </c>
      <c r="KW47" s="21">
        <f t="shared" si="782"/>
        <v>342889.30000000109</v>
      </c>
      <c r="KX47" s="21">
        <f t="shared" si="782"/>
        <v>300590.39999999804</v>
      </c>
      <c r="KY47" s="21">
        <f t="shared" si="782"/>
        <v>285962.40000000398</v>
      </c>
      <c r="KZ47" s="21">
        <f t="shared" si="782"/>
        <v>312829.39999999362</v>
      </c>
      <c r="LA47" s="21">
        <f t="shared" si="782"/>
        <v>333596.49999999965</v>
      </c>
      <c r="LB47" s="21">
        <f t="shared" si="782"/>
        <v>328976.60000000615</v>
      </c>
      <c r="LC47" s="21">
        <f t="shared" si="782"/>
        <v>290469.19999998936</v>
      </c>
      <c r="LD47" s="21">
        <f t="shared" si="782"/>
        <v>378601.00000001548</v>
      </c>
      <c r="LE47" s="127">
        <f t="shared" si="60"/>
        <v>9472797.1000000145</v>
      </c>
      <c r="LF47" s="21">
        <f t="shared" ref="LF47:MI47" si="783">LF11*100</f>
        <v>373870.09999999136</v>
      </c>
      <c r="LG47" s="21">
        <f t="shared" si="783"/>
        <v>303147.99999999232</v>
      </c>
      <c r="LH47" s="21">
        <f t="shared" si="783"/>
        <v>385213.60000000859</v>
      </c>
      <c r="LI47" s="21">
        <f t="shared" si="783"/>
        <v>390777.80000000203</v>
      </c>
      <c r="LJ47" s="21">
        <f t="shared" si="783"/>
        <v>307786.79999997839</v>
      </c>
      <c r="LK47" s="21">
        <f t="shared" si="783"/>
        <v>307546.20000000577</v>
      </c>
      <c r="LL47" s="21">
        <f t="shared" si="783"/>
        <v>397426.50000001886</v>
      </c>
      <c r="LM47" s="21">
        <f t="shared" si="783"/>
        <v>411148.69999999937</v>
      </c>
      <c r="LN47" s="21">
        <f t="shared" si="783"/>
        <v>296827.40000001213</v>
      </c>
      <c r="LO47" s="21">
        <f t="shared" si="783"/>
        <v>344834.19999998878</v>
      </c>
      <c r="LP47" s="21">
        <f t="shared" si="783"/>
        <v>356356.19999998889</v>
      </c>
      <c r="LQ47" s="21">
        <f t="shared" si="783"/>
        <v>319561.80000000459</v>
      </c>
      <c r="LR47" s="21">
        <f t="shared" si="783"/>
        <v>334424.2999999813</v>
      </c>
      <c r="LS47" s="21">
        <f t="shared" si="783"/>
        <v>367008.00000003073</v>
      </c>
      <c r="LT47" s="21">
        <f t="shared" si="783"/>
        <v>380931.99999998906</v>
      </c>
      <c r="LU47" s="21">
        <f t="shared" si="783"/>
        <v>309449.39999998896</v>
      </c>
      <c r="LV47" s="21">
        <f t="shared" si="783"/>
        <v>287403.19999999774</v>
      </c>
      <c r="LW47" s="21">
        <f t="shared" si="783"/>
        <v>331263.90000001993</v>
      </c>
      <c r="LX47" s="21">
        <f t="shared" si="783"/>
        <v>329173.80000000703</v>
      </c>
      <c r="LY47" s="21">
        <f t="shared" si="783"/>
        <v>341249.2999999813</v>
      </c>
      <c r="LZ47" s="21">
        <f t="shared" si="783"/>
        <v>346434.00000000838</v>
      </c>
      <c r="MA47" s="21">
        <f t="shared" si="783"/>
        <v>321218.89999998093</v>
      </c>
      <c r="MB47" s="21">
        <f t="shared" si="783"/>
        <v>287694.50000002107</v>
      </c>
      <c r="MC47" s="21">
        <f t="shared" si="783"/>
        <v>332881.50000000605</v>
      </c>
      <c r="MD47" s="21">
        <f t="shared" si="783"/>
        <v>290884.4000000041</v>
      </c>
      <c r="ME47" s="21">
        <f t="shared" si="783"/>
        <v>322473.79999998375</v>
      </c>
      <c r="MF47" s="21">
        <f t="shared" si="783"/>
        <v>269516.30000000005</v>
      </c>
      <c r="MG47" s="21">
        <f t="shared" si="783"/>
        <v>309560.30000000901</v>
      </c>
      <c r="MH47" s="21">
        <f t="shared" si="783"/>
        <v>301518.90000000712</v>
      </c>
      <c r="MI47" s="21">
        <f t="shared" si="783"/>
        <v>310316.89999997907</v>
      </c>
      <c r="MJ47" s="127">
        <f t="shared" si="62"/>
        <v>9967900.6999999881</v>
      </c>
      <c r="MK47" s="21">
        <f t="shared" ref="MK47:NO47" si="784">MK11*100</f>
        <v>347816.40000000771</v>
      </c>
      <c r="ML47" s="21">
        <f t="shared" si="784"/>
        <v>329445.09999999916</v>
      </c>
      <c r="MM47" s="21">
        <f t="shared" si="784"/>
        <v>261369.80000000331</v>
      </c>
      <c r="MN47" s="21">
        <f t="shared" si="784"/>
        <v>291091.00000000792</v>
      </c>
      <c r="MO47" s="21">
        <f t="shared" si="784"/>
        <v>346695.59999998601</v>
      </c>
      <c r="MP47" s="21">
        <f t="shared" si="784"/>
        <v>285734.50000000914</v>
      </c>
      <c r="MQ47" s="21">
        <f t="shared" si="784"/>
        <v>325314.4999999844</v>
      </c>
      <c r="MR47" s="21">
        <f t="shared" si="784"/>
        <v>303349.70000000321</v>
      </c>
      <c r="MS47" s="21">
        <f t="shared" si="784"/>
        <v>270556.50000001054</v>
      </c>
      <c r="MT47" s="21">
        <f t="shared" si="784"/>
        <v>218027.99999998993</v>
      </c>
      <c r="MU47" s="21">
        <f t="shared" si="784"/>
        <v>310039.60000000481</v>
      </c>
      <c r="MV47" s="21">
        <f t="shared" si="784"/>
        <v>305660.90000000258</v>
      </c>
      <c r="MW47" s="21">
        <f t="shared" si="784"/>
        <v>364618.49999999686</v>
      </c>
      <c r="MX47" s="21">
        <f t="shared" si="784"/>
        <v>246002.39999999176</v>
      </c>
      <c r="MY47" s="21">
        <f t="shared" si="784"/>
        <v>285847.40000001912</v>
      </c>
      <c r="MZ47" s="21">
        <f t="shared" si="784"/>
        <v>335316.59999997937</v>
      </c>
      <c r="NA47" s="21">
        <f t="shared" si="784"/>
        <v>285226.10000001441</v>
      </c>
      <c r="NB47" s="21">
        <f t="shared" si="784"/>
        <v>309709.39999998373</v>
      </c>
      <c r="NC47" s="21">
        <f t="shared" si="784"/>
        <v>315102.90000002133</v>
      </c>
      <c r="ND47" s="21">
        <f t="shared" si="784"/>
        <v>304417.79999998689</v>
      </c>
      <c r="NE47" s="21">
        <f t="shared" si="784"/>
        <v>227499.69999999448</v>
      </c>
      <c r="NF47" s="21">
        <f t="shared" si="784"/>
        <v>281147.40000000456</v>
      </c>
      <c r="NG47" s="21">
        <f t="shared" si="784"/>
        <v>253046.20000002324</v>
      </c>
      <c r="NH47" s="21">
        <f t="shared" si="784"/>
        <v>250011.89999998023</v>
      </c>
      <c r="NI47" s="21">
        <f t="shared" si="784"/>
        <v>302698.00000000396</v>
      </c>
      <c r="NJ47" s="21">
        <f t="shared" si="784"/>
        <v>342874.69999998284</v>
      </c>
      <c r="NK47" s="21">
        <f t="shared" si="784"/>
        <v>311190.10000000708</v>
      </c>
      <c r="NL47" s="21">
        <f t="shared" si="784"/>
        <v>249901.60000002361</v>
      </c>
      <c r="NM47" s="21">
        <f t="shared" si="784"/>
        <v>303665.69999998901</v>
      </c>
      <c r="NN47" s="21">
        <f t="shared" si="784"/>
        <v>288620.90000000317</v>
      </c>
      <c r="NO47" s="21">
        <f t="shared" si="784"/>
        <v>242400.39999999863</v>
      </c>
      <c r="NP47" s="127">
        <f t="shared" si="64"/>
        <v>8746582.9000000041</v>
      </c>
      <c r="NQ47" s="21">
        <f t="shared" ref="NQ47:OU47" si="785">NQ11*100</f>
        <v>279959.29999998189</v>
      </c>
      <c r="NR47" s="21">
        <f t="shared" si="785"/>
        <v>310498.30000001821</v>
      </c>
      <c r="NS47" s="21">
        <f t="shared" si="785"/>
        <v>336584.79999999981</v>
      </c>
      <c r="NT47" s="21">
        <f t="shared" si="785"/>
        <v>267037.49999999709</v>
      </c>
      <c r="NU47" s="21">
        <f t="shared" si="785"/>
        <v>292228.69999998657</v>
      </c>
      <c r="NV47" s="21">
        <f t="shared" si="785"/>
        <v>366295.20000000484</v>
      </c>
      <c r="NW47" s="21">
        <f t="shared" si="785"/>
        <v>301716.00000000908</v>
      </c>
      <c r="NX47" s="21">
        <f t="shared" si="785"/>
        <v>312211.79999999877</v>
      </c>
      <c r="NY47" s="21">
        <f t="shared" si="785"/>
        <v>324780.00000000175</v>
      </c>
      <c r="NZ47" s="21">
        <f t="shared" si="785"/>
        <v>300746.69999999169</v>
      </c>
      <c r="OA47" s="21">
        <f t="shared" si="785"/>
        <v>276646.59999999567</v>
      </c>
      <c r="OB47" s="21">
        <f t="shared" si="785"/>
        <v>265764.10000001488</v>
      </c>
      <c r="OC47" s="21">
        <f t="shared" si="785"/>
        <v>295297.99999998941</v>
      </c>
      <c r="OD47" s="21">
        <f t="shared" si="785"/>
        <v>317317.00000001874</v>
      </c>
      <c r="OE47" s="21">
        <f t="shared" si="785"/>
        <v>300899.49999997916</v>
      </c>
      <c r="OF47" s="21">
        <f t="shared" si="785"/>
        <v>317120.90000001481</v>
      </c>
      <c r="OG47" s="21">
        <f t="shared" si="785"/>
        <v>314456.0999999987</v>
      </c>
      <c r="OH47" s="21">
        <f t="shared" si="785"/>
        <v>275313.99999998685</v>
      </c>
      <c r="OI47" s="21">
        <f t="shared" si="785"/>
        <v>313251.00000001257</v>
      </c>
      <c r="OJ47" s="21">
        <f t="shared" si="785"/>
        <v>281368.00000000512</v>
      </c>
      <c r="OK47" s="21">
        <f t="shared" si="785"/>
        <v>272846.19999998249</v>
      </c>
      <c r="OL47" s="21">
        <f t="shared" si="785"/>
        <v>334726.40000000247</v>
      </c>
      <c r="OM47" s="21">
        <f t="shared" si="785"/>
        <v>305377.20000001136</v>
      </c>
      <c r="ON47" s="21">
        <f t="shared" si="785"/>
        <v>321025.49999998882</v>
      </c>
      <c r="OO47" s="21">
        <f t="shared" si="785"/>
        <v>205166.30000000005</v>
      </c>
      <c r="OP47" s="21">
        <f t="shared" si="785"/>
        <v>300430.89999998629</v>
      </c>
      <c r="OQ47" s="21">
        <f t="shared" si="785"/>
        <v>297255.6000000186</v>
      </c>
      <c r="OR47" s="21">
        <f t="shared" si="785"/>
        <v>280018.80000000529</v>
      </c>
      <c r="OS47" s="21">
        <f t="shared" si="785"/>
        <v>299794.89999999641</v>
      </c>
      <c r="OT47" s="21">
        <f t="shared" si="785"/>
        <v>303854.69999999623</v>
      </c>
      <c r="OU47" s="21">
        <f t="shared" si="785"/>
        <v>375158.39999999152</v>
      </c>
      <c r="OV47" s="127">
        <f t="shared" si="66"/>
        <v>9065189.1000000015</v>
      </c>
      <c r="OW47" s="21">
        <f t="shared" ref="OW47:PZ47" si="786">OW11*100</f>
        <v>256408.90000000945</v>
      </c>
      <c r="OX47" s="21">
        <f t="shared" si="786"/>
        <v>361208.29999999551</v>
      </c>
      <c r="OY47" s="21">
        <f t="shared" si="786"/>
        <v>299835.79999999783</v>
      </c>
      <c r="OZ47" s="21">
        <f t="shared" si="786"/>
        <v>270755.90000000957</v>
      </c>
      <c r="PA47" s="21">
        <f t="shared" si="786"/>
        <v>315447.39999999292</v>
      </c>
      <c r="PB47" s="21">
        <f t="shared" si="786"/>
        <v>331964.10000001779</v>
      </c>
      <c r="PC47" s="21">
        <f t="shared" si="786"/>
        <v>331825.2999999735</v>
      </c>
      <c r="PD47" s="21">
        <f t="shared" si="786"/>
        <v>289875.10000002512</v>
      </c>
      <c r="PE47" s="21">
        <f t="shared" si="786"/>
        <v>301842.29999997071</v>
      </c>
      <c r="PF47" s="21">
        <f t="shared" si="786"/>
        <v>286740.30000002822</v>
      </c>
      <c r="PG47" s="21">
        <f t="shared" si="786"/>
        <v>287823.39999999094</v>
      </c>
      <c r="PH47" s="21">
        <f t="shared" si="786"/>
        <v>269821.59999999858</v>
      </c>
      <c r="PI47" s="21">
        <f t="shared" si="786"/>
        <v>364901.39999999665</v>
      </c>
      <c r="PJ47" s="21">
        <f t="shared" si="786"/>
        <v>306318.40000000375</v>
      </c>
      <c r="PK47" s="21">
        <f t="shared" si="786"/>
        <v>251697.19999999797</v>
      </c>
      <c r="PL47" s="21">
        <f t="shared" si="786"/>
        <v>301007.40000000224</v>
      </c>
      <c r="PM47" s="21">
        <f t="shared" si="786"/>
        <v>285320.09999998845</v>
      </c>
      <c r="PN47" s="21">
        <f t="shared" si="786"/>
        <v>244176.80000001856</v>
      </c>
      <c r="PO47" s="21">
        <f t="shared" si="786"/>
        <v>280171.80000000226</v>
      </c>
      <c r="PP47" s="21">
        <f t="shared" si="786"/>
        <v>274850.39999999572</v>
      </c>
      <c r="PQ47" s="21">
        <f t="shared" si="786"/>
        <v>245744.29999998247</v>
      </c>
      <c r="PR47" s="21">
        <f t="shared" si="786"/>
        <v>222761.90000001516</v>
      </c>
      <c r="PS47" s="21">
        <f t="shared" si="786"/>
        <v>245571.29999999178</v>
      </c>
      <c r="PT47" s="21">
        <f t="shared" si="786"/>
        <v>269304.59999999357</v>
      </c>
      <c r="PU47" s="21">
        <f t="shared" si="786"/>
        <v>226673.80000001867</v>
      </c>
      <c r="PV47" s="21">
        <f t="shared" si="786"/>
        <v>244402.2999999841</v>
      </c>
      <c r="PW47" s="21">
        <f t="shared" si="786"/>
        <v>276643.9999999915</v>
      </c>
      <c r="PX47" s="21">
        <f t="shared" si="786"/>
        <v>289496.50000001711</v>
      </c>
      <c r="PY47" s="21">
        <f t="shared" si="786"/>
        <v>155638.09999999905</v>
      </c>
      <c r="PZ47" s="21">
        <f t="shared" si="786"/>
        <v>298350.69999999541</v>
      </c>
      <c r="QA47" s="127">
        <f t="shared" si="68"/>
        <v>8386579.4000000032</v>
      </c>
      <c r="QB47" s="21">
        <f t="shared" ref="QB47:RF47" si="787">QB11*100</f>
        <v>143000.30000000843</v>
      </c>
      <c r="QC47" s="21">
        <f t="shared" si="787"/>
        <v>223004.39999999362</v>
      </c>
      <c r="QD47" s="21">
        <f t="shared" si="787"/>
        <v>262739.50000001641</v>
      </c>
      <c r="QE47" s="21">
        <f t="shared" si="787"/>
        <v>341656.29999998491</v>
      </c>
      <c r="QF47" s="21">
        <f t="shared" si="787"/>
        <v>335827.10000000661</v>
      </c>
      <c r="QG47" s="21">
        <f t="shared" si="787"/>
        <v>233482.99999999872</v>
      </c>
      <c r="QH47" s="21">
        <f t="shared" si="787"/>
        <v>325856.00000000559</v>
      </c>
      <c r="QI47" s="21">
        <f t="shared" si="787"/>
        <v>276671.49999999674</v>
      </c>
      <c r="QJ47" s="21">
        <f t="shared" si="787"/>
        <v>284847.5000000064</v>
      </c>
      <c r="QK47" s="21">
        <f t="shared" si="787"/>
        <v>272164.69999997935</v>
      </c>
      <c r="QL47" s="21">
        <f t="shared" si="787"/>
        <v>326090.5000000057</v>
      </c>
      <c r="QM47" s="21">
        <f t="shared" si="787"/>
        <v>323337.90000001609</v>
      </c>
      <c r="QN47" s="21">
        <f t="shared" si="787"/>
        <v>299395.29999999504</v>
      </c>
      <c r="QO47" s="21">
        <f t="shared" si="787"/>
        <v>346717.10000000312</v>
      </c>
      <c r="QP47" s="21">
        <f t="shared" si="787"/>
        <v>276606.39999998384</v>
      </c>
      <c r="QQ47" s="21">
        <f t="shared" si="787"/>
        <v>244913.40000001364</v>
      </c>
      <c r="QR47" s="21">
        <f t="shared" si="787"/>
        <v>265389.00000000722</v>
      </c>
      <c r="QS47" s="21">
        <f t="shared" si="787"/>
        <v>355826.59999998286</v>
      </c>
      <c r="QT47" s="21">
        <f t="shared" si="787"/>
        <v>298576.40000001411</v>
      </c>
      <c r="QU47" s="21">
        <f t="shared" si="787"/>
        <v>235401.09999999404</v>
      </c>
      <c r="QV47" s="21">
        <f t="shared" si="787"/>
        <v>261496.09999999229</v>
      </c>
      <c r="QW47" s="21">
        <f t="shared" si="787"/>
        <v>240490.89999999851</v>
      </c>
      <c r="QX47" s="21">
        <f t="shared" si="787"/>
        <v>251437.10000001884</v>
      </c>
      <c r="QY47" s="21">
        <f t="shared" si="787"/>
        <v>340673.39999998512</v>
      </c>
      <c r="QZ47" s="21">
        <f t="shared" si="787"/>
        <v>365758.69999998831</v>
      </c>
      <c r="RA47" s="21">
        <f t="shared" si="787"/>
        <v>266632.70000001939</v>
      </c>
      <c r="RB47" s="21">
        <f t="shared" si="787"/>
        <v>226910.70000000182</v>
      </c>
      <c r="RC47" s="21">
        <f t="shared" si="787"/>
        <v>248497.89999998175</v>
      </c>
      <c r="RD47" s="21">
        <f t="shared" si="787"/>
        <v>267477.49999999942</v>
      </c>
      <c r="RE47" s="21">
        <f t="shared" si="787"/>
        <v>223516.89999999944</v>
      </c>
      <c r="RF47" s="21">
        <f t="shared" si="787"/>
        <v>303593.70000000636</v>
      </c>
      <c r="RG47" s="127">
        <f t="shared" si="495"/>
        <v>8524989.2999999952</v>
      </c>
      <c r="RH47" s="21">
        <f t="shared" ref="RH47:SK47" si="788">RH11*100</f>
        <v>289942.90000001783</v>
      </c>
      <c r="RI47" s="21">
        <f t="shared" si="788"/>
        <v>287452.99999999406</v>
      </c>
      <c r="RJ47" s="21">
        <f t="shared" si="788"/>
        <v>267078.19999999483</v>
      </c>
      <c r="RK47" s="21">
        <f t="shared" si="788"/>
        <v>359276.49999999267</v>
      </c>
      <c r="RL47" s="21">
        <f t="shared" si="788"/>
        <v>267529.70000000787</v>
      </c>
      <c r="RM47" s="21">
        <f t="shared" si="788"/>
        <v>217431.70000000391</v>
      </c>
      <c r="RN47" s="21">
        <f t="shared" si="788"/>
        <v>222808.19999998494</v>
      </c>
      <c r="RO47" s="21">
        <f t="shared" si="788"/>
        <v>273891.20000000985</v>
      </c>
      <c r="RP47" s="21">
        <f t="shared" si="788"/>
        <v>273706.69999999518</v>
      </c>
      <c r="RQ47" s="21">
        <f t="shared" si="788"/>
        <v>244824.50000000244</v>
      </c>
      <c r="RR47" s="21">
        <f t="shared" si="788"/>
        <v>295042.9999999993</v>
      </c>
      <c r="RS47" s="21">
        <f t="shared" si="788"/>
        <v>241206.60000000789</v>
      </c>
      <c r="RT47" s="21">
        <f t="shared" si="788"/>
        <v>287828.39999997814</v>
      </c>
      <c r="RU47" s="21">
        <f t="shared" si="788"/>
        <v>249600.20000002114</v>
      </c>
      <c r="RV47" s="21">
        <f t="shared" si="788"/>
        <v>287191.99999998964</v>
      </c>
      <c r="RW47" s="21">
        <f t="shared" si="788"/>
        <v>285406.3000000082</v>
      </c>
      <c r="RX47" s="21">
        <f t="shared" si="788"/>
        <v>251883.09999999183</v>
      </c>
      <c r="RY47" s="21">
        <f t="shared" si="788"/>
        <v>249039.90000000922</v>
      </c>
      <c r="RZ47" s="21">
        <f t="shared" si="788"/>
        <v>285908.29999998678</v>
      </c>
      <c r="SA47" s="21">
        <f t="shared" si="788"/>
        <v>252703.70000000985</v>
      </c>
      <c r="SB47" s="21">
        <f t="shared" si="788"/>
        <v>256091.29999999714</v>
      </c>
      <c r="SC47" s="21">
        <f t="shared" si="788"/>
        <v>290836.00000000442</v>
      </c>
      <c r="SD47" s="21">
        <f t="shared" si="788"/>
        <v>292565.99999999162</v>
      </c>
      <c r="SE47" s="21">
        <f t="shared" si="788"/>
        <v>224104.50000001292</v>
      </c>
      <c r="SF47" s="21">
        <f t="shared" si="788"/>
        <v>291120.49999999872</v>
      </c>
      <c r="SG47" s="21">
        <f t="shared" si="788"/>
        <v>296981.69999999227</v>
      </c>
      <c r="SH47" s="21">
        <f t="shared" si="788"/>
        <v>252815.30000000203</v>
      </c>
      <c r="SI47" s="21">
        <f t="shared" si="788"/>
        <v>327180.30000000435</v>
      </c>
      <c r="SJ47" s="21">
        <f t="shared" si="788"/>
        <v>287259.0999999753</v>
      </c>
      <c r="SK47" s="21">
        <f t="shared" si="788"/>
        <v>307284.40000001865</v>
      </c>
      <c r="SL47" s="127">
        <f t="shared" si="497"/>
        <v>8215993.2000000039</v>
      </c>
      <c r="SM47" s="21">
        <f t="shared" ref="SM47:TQ47" si="789">SM11*100</f>
        <v>224232.20000001602</v>
      </c>
      <c r="SN47" s="21">
        <f t="shared" si="789"/>
        <v>359651.69999997888</v>
      </c>
      <c r="SO47" s="21">
        <f t="shared" si="789"/>
        <v>471723.90000000887</v>
      </c>
      <c r="SP47" s="21">
        <f t="shared" si="789"/>
        <v>309201.6999999847</v>
      </c>
      <c r="SQ47" s="21">
        <f t="shared" si="789"/>
        <v>280255.80000002228</v>
      </c>
      <c r="SR47" s="21">
        <f t="shared" si="789"/>
        <v>298484.00000000256</v>
      </c>
      <c r="SS47" s="21">
        <f t="shared" si="789"/>
        <v>315995.79999997845</v>
      </c>
      <c r="ST47" s="21">
        <f t="shared" si="789"/>
        <v>271413.20000000997</v>
      </c>
      <c r="SU47" s="21">
        <f t="shared" si="789"/>
        <v>361858.89999998617</v>
      </c>
      <c r="SV47" s="21">
        <f t="shared" si="789"/>
        <v>277205.00000001339</v>
      </c>
      <c r="SW47" s="21">
        <f t="shared" si="789"/>
        <v>283992.39999999991</v>
      </c>
      <c r="SX47" s="21">
        <f t="shared" si="789"/>
        <v>276852.1000000037</v>
      </c>
      <c r="SY47" s="21">
        <f t="shared" si="789"/>
        <v>371435.09999999078</v>
      </c>
      <c r="SZ47" s="21">
        <f t="shared" si="789"/>
        <v>311528.00000002317</v>
      </c>
      <c r="TA47" s="21">
        <f t="shared" si="789"/>
        <v>279734.49999999139</v>
      </c>
      <c r="TB47" s="21">
        <f t="shared" si="789"/>
        <v>330556.39999998384</v>
      </c>
      <c r="TC47" s="21">
        <f t="shared" si="789"/>
        <v>294970.9000000119</v>
      </c>
      <c r="TD47" s="21">
        <f t="shared" si="789"/>
        <v>300317.89999999164</v>
      </c>
      <c r="TE47" s="21">
        <f t="shared" si="789"/>
        <v>331115.89999998105</v>
      </c>
      <c r="TF47" s="21">
        <f t="shared" si="789"/>
        <v>315443.30000001937</v>
      </c>
      <c r="TG47" s="21">
        <f t="shared" si="789"/>
        <v>329437.30000000214</v>
      </c>
      <c r="TH47" s="21">
        <f t="shared" si="789"/>
        <v>335489.10000000615</v>
      </c>
      <c r="TI47" s="21">
        <f t="shared" si="789"/>
        <v>317938.19999999541</v>
      </c>
      <c r="TJ47" s="21">
        <f t="shared" si="789"/>
        <v>321601.39999997918</v>
      </c>
      <c r="TK47" s="21">
        <f t="shared" si="789"/>
        <v>207659.30000000517</v>
      </c>
      <c r="TL47" s="21">
        <f t="shared" si="789"/>
        <v>220024.10000000673</v>
      </c>
      <c r="TM47" s="21">
        <f t="shared" si="789"/>
        <v>259448.00000001269</v>
      </c>
      <c r="TN47" s="21">
        <f t="shared" si="789"/>
        <v>256694.29999999993</v>
      </c>
      <c r="TO47" s="21">
        <f t="shared" si="789"/>
        <v>221497.40000000165</v>
      </c>
      <c r="TP47" s="21">
        <f t="shared" si="789"/>
        <v>264073.0000000156</v>
      </c>
      <c r="TQ47" s="21">
        <f t="shared" si="789"/>
        <v>298634.89999996673</v>
      </c>
      <c r="TR47" s="127">
        <f t="shared" si="499"/>
        <v>9074233.4999999739</v>
      </c>
      <c r="TS47" s="21">
        <f t="shared" ref="TS47:UW47" si="790">TS11*100</f>
        <v>195722.40000002203</v>
      </c>
      <c r="TT47" s="21">
        <f t="shared" si="790"/>
        <v>240614.90000000049</v>
      </c>
      <c r="TU47" s="21">
        <f t="shared" si="790"/>
        <v>246859.69999999506</v>
      </c>
      <c r="TV47" s="21">
        <f t="shared" si="790"/>
        <v>264737.09999997227</v>
      </c>
      <c r="TW47" s="21">
        <f t="shared" si="790"/>
        <v>215484.70000001544</v>
      </c>
      <c r="TX47" s="21">
        <f t="shared" si="790"/>
        <v>284767.19999999914</v>
      </c>
      <c r="TY47" s="21">
        <f t="shared" si="790"/>
        <v>289655.60000000696</v>
      </c>
      <c r="TZ47" s="21">
        <f t="shared" si="790"/>
        <v>316135.79999999783</v>
      </c>
      <c r="UA47" s="21">
        <f t="shared" si="790"/>
        <v>275622.60000001988</v>
      </c>
      <c r="UB47" s="21">
        <f t="shared" si="790"/>
        <v>298468.19999998843</v>
      </c>
      <c r="UC47" s="21">
        <f t="shared" si="790"/>
        <v>299758.40000000608</v>
      </c>
      <c r="UD47" s="21">
        <f t="shared" si="790"/>
        <v>245711.79999999586</v>
      </c>
      <c r="UE47" s="21">
        <f t="shared" si="790"/>
        <v>337812.49999999709</v>
      </c>
      <c r="UF47" s="21">
        <f t="shared" si="790"/>
        <v>280570.79999999551</v>
      </c>
      <c r="UG47" s="21">
        <f t="shared" si="790"/>
        <v>284202.59999999835</v>
      </c>
      <c r="UH47" s="21">
        <f t="shared" si="790"/>
        <v>279460.49999999814</v>
      </c>
      <c r="UI47" s="21">
        <f t="shared" si="790"/>
        <v>308831.99999999488</v>
      </c>
      <c r="UJ47" s="21">
        <f t="shared" si="790"/>
        <v>311090.90000001306</v>
      </c>
      <c r="UK47" s="21">
        <f t="shared" si="790"/>
        <v>286697.59999999951</v>
      </c>
      <c r="UL47" s="21">
        <f t="shared" si="790"/>
        <v>275987.29999998759</v>
      </c>
      <c r="UM47" s="21">
        <f t="shared" si="790"/>
        <v>272345.20000000484</v>
      </c>
      <c r="UN47" s="21">
        <f t="shared" si="790"/>
        <v>315710.90000001423</v>
      </c>
      <c r="UO47" s="21">
        <f t="shared" si="790"/>
        <v>277701.09999997658</v>
      </c>
      <c r="UP47" s="21">
        <f t="shared" si="790"/>
        <v>344033.30000002461</v>
      </c>
      <c r="UQ47" s="21">
        <f t="shared" si="790"/>
        <v>316490.99999997416</v>
      </c>
      <c r="UR47" s="21">
        <f t="shared" si="790"/>
        <v>310730.80000001646</v>
      </c>
      <c r="US47" s="21">
        <f t="shared" si="790"/>
        <v>300739.99999999942</v>
      </c>
      <c r="UT47" s="21">
        <f t="shared" si="790"/>
        <v>264956.00000001211</v>
      </c>
      <c r="UU47" s="21">
        <f t="shared" si="790"/>
        <v>161490.89999998687</v>
      </c>
      <c r="UV47" s="21">
        <f t="shared" si="790"/>
        <v>253539.59999999046</v>
      </c>
      <c r="UW47" s="21">
        <f t="shared" si="790"/>
        <v>302644.20000001445</v>
      </c>
      <c r="UX47" s="127">
        <f t="shared" si="501"/>
        <v>8462853.1999999955</v>
      </c>
      <c r="UY47" s="21">
        <f t="shared" ref="UY47:VZ47" si="791">UY11*100</f>
        <v>317104.39999999653</v>
      </c>
      <c r="UZ47" s="21">
        <f t="shared" si="791"/>
        <v>261993.99999999441</v>
      </c>
      <c r="VA47" s="21">
        <f t="shared" si="791"/>
        <v>384367.39999999991</v>
      </c>
      <c r="VB47" s="21">
        <f t="shared" si="791"/>
        <v>271968.80000000237</v>
      </c>
      <c r="VC47" s="21">
        <f t="shared" si="791"/>
        <v>299167.69999999378</v>
      </c>
      <c r="VD47" s="21">
        <f t="shared" si="791"/>
        <v>264104.70000001078</v>
      </c>
      <c r="VE47" s="21">
        <f t="shared" si="791"/>
        <v>316507.69999998738</v>
      </c>
      <c r="VF47" s="21">
        <f t="shared" si="791"/>
        <v>336293.50000000559</v>
      </c>
      <c r="VG47" s="21">
        <f t="shared" si="791"/>
        <v>241471.00000000501</v>
      </c>
      <c r="VH47" s="21">
        <f t="shared" si="791"/>
        <v>287152.69999998272</v>
      </c>
      <c r="VI47" s="21">
        <f t="shared" si="791"/>
        <v>314238.10000000522</v>
      </c>
      <c r="VJ47" s="21">
        <f t="shared" si="791"/>
        <v>258232.60000000882</v>
      </c>
      <c r="VK47" s="21">
        <f t="shared" si="791"/>
        <v>286155.30000000726</v>
      </c>
      <c r="VL47" s="21">
        <f t="shared" si="791"/>
        <v>350749.09999998054</v>
      </c>
      <c r="VM47" s="21">
        <f t="shared" si="791"/>
        <v>244563.50000002421</v>
      </c>
      <c r="VN47" s="21">
        <f t="shared" si="791"/>
        <v>275567.29999996314</v>
      </c>
      <c r="VO47" s="21">
        <f t="shared" si="791"/>
        <v>291349.90000002144</v>
      </c>
      <c r="VP47" s="21">
        <f t="shared" si="791"/>
        <v>273021.59999999276</v>
      </c>
      <c r="VQ47" s="21">
        <f t="shared" si="791"/>
        <v>317289.99999999651</v>
      </c>
      <c r="VR47" s="21">
        <f t="shared" si="791"/>
        <v>289900.10000001057</v>
      </c>
      <c r="VS47" s="21">
        <f t="shared" si="791"/>
        <v>284003.59999999346</v>
      </c>
      <c r="VT47" s="21">
        <f t="shared" si="791"/>
        <v>315821.09999999811</v>
      </c>
      <c r="VU47" s="21">
        <f t="shared" si="791"/>
        <v>257500.40000000154</v>
      </c>
      <c r="VV47" s="21">
        <f t="shared" si="791"/>
        <v>282917.0000000071</v>
      </c>
      <c r="VW47" s="21">
        <f t="shared" si="791"/>
        <v>298223.00000000105</v>
      </c>
      <c r="VX47" s="21">
        <f t="shared" si="791"/>
        <v>277276.59999999451</v>
      </c>
      <c r="VY47" s="21">
        <f t="shared" si="791"/>
        <v>300830.69999998843</v>
      </c>
      <c r="VZ47" s="21">
        <f t="shared" si="791"/>
        <v>272612.70000001241</v>
      </c>
      <c r="WA47" s="127">
        <f t="shared" si="723"/>
        <v>16935881.899999999</v>
      </c>
      <c r="WB47" s="21">
        <f t="shared" ref="WB47:XF47" si="792">WB11*100</f>
        <v>314408.40000000899</v>
      </c>
      <c r="WC47" s="21">
        <f t="shared" si="792"/>
        <v>231965.40000000678</v>
      </c>
      <c r="WD47" s="21">
        <f t="shared" si="792"/>
        <v>311478.49999997998</v>
      </c>
      <c r="WE47" s="21">
        <f t="shared" si="792"/>
        <v>265539.40000002622</v>
      </c>
      <c r="WF47" s="21">
        <f t="shared" si="792"/>
        <v>235127.19999999099</v>
      </c>
      <c r="WG47" s="21">
        <f t="shared" si="792"/>
        <v>162339.80000000447</v>
      </c>
      <c r="WH47" s="21">
        <f t="shared" si="792"/>
        <v>267670.6999999762</v>
      </c>
      <c r="WI47" s="21">
        <f t="shared" si="792"/>
        <v>308394.10000000789</v>
      </c>
      <c r="WJ47" s="21">
        <f t="shared" si="792"/>
        <v>269317.10000000312</v>
      </c>
      <c r="WK47" s="21">
        <f t="shared" si="792"/>
        <v>300644.00000000605</v>
      </c>
      <c r="WL47" s="21">
        <f t="shared" si="792"/>
        <v>317021.7000000237</v>
      </c>
      <c r="WM47" s="21">
        <f t="shared" si="792"/>
        <v>238157.19999999565</v>
      </c>
      <c r="WN47" s="21">
        <f t="shared" si="792"/>
        <v>242019.89999999641</v>
      </c>
      <c r="WO47" s="21">
        <f t="shared" si="792"/>
        <v>272711.69999997073</v>
      </c>
      <c r="WP47" s="21">
        <f t="shared" si="792"/>
        <v>328743.5999999987</v>
      </c>
      <c r="WQ47" s="21">
        <f t="shared" si="792"/>
        <v>215075.79999999434</v>
      </c>
      <c r="WR47" s="21">
        <f t="shared" si="792"/>
        <v>265849.60000000719</v>
      </c>
      <c r="WS47" s="21">
        <f t="shared" si="792"/>
        <v>228587.89999999281</v>
      </c>
      <c r="WT47" s="21">
        <f t="shared" si="792"/>
        <v>280518.80000002275</v>
      </c>
      <c r="WU47" s="21">
        <f t="shared" si="792"/>
        <v>245770.49999999581</v>
      </c>
      <c r="WV47" s="21">
        <f t="shared" si="792"/>
        <v>304045.1999999932</v>
      </c>
      <c r="WW47" s="21">
        <f t="shared" si="792"/>
        <v>286953.00000000279</v>
      </c>
      <c r="WX47" s="21">
        <f t="shared" si="792"/>
        <v>266114.19999999925</v>
      </c>
      <c r="WY47" s="21">
        <f t="shared" si="792"/>
        <v>308034.90000000747</v>
      </c>
      <c r="WZ47" s="21">
        <f t="shared" si="792"/>
        <v>266853.70000000403</v>
      </c>
      <c r="XA47" s="21">
        <f t="shared" si="792"/>
        <v>229452.4000000034</v>
      </c>
      <c r="XB47" s="21">
        <f t="shared" si="792"/>
        <v>298861.40000000305</v>
      </c>
      <c r="XC47" s="21">
        <f t="shared" si="792"/>
        <v>301944.99999997788</v>
      </c>
      <c r="XD47" s="21">
        <f t="shared" si="792"/>
        <v>341750.60000000522</v>
      </c>
      <c r="XE47" s="21">
        <f t="shared" si="792"/>
        <v>257009.10000002186</v>
      </c>
      <c r="XF47" s="21">
        <f t="shared" si="792"/>
        <v>276863.19999998959</v>
      </c>
      <c r="XG47" s="127">
        <f>SUM(WC47:XF47)</f>
        <v>8124815.6000000089</v>
      </c>
      <c r="XH47" s="21">
        <f t="shared" ref="XH47:YK47" si="793">XH11*100</f>
        <v>247907.09999998217</v>
      </c>
      <c r="XI47" s="21">
        <f t="shared" si="793"/>
        <v>249591.29999999714</v>
      </c>
      <c r="XJ47" s="21">
        <f t="shared" si="793"/>
        <v>261549.90000000398</v>
      </c>
      <c r="XK47" s="21">
        <f t="shared" si="793"/>
        <v>270732.40000000515</v>
      </c>
      <c r="XL47" s="21">
        <f t="shared" si="793"/>
        <v>295728.30000001413</v>
      </c>
      <c r="XM47" s="21">
        <f t="shared" si="793"/>
        <v>262266.80000000051</v>
      </c>
      <c r="XN47" s="21">
        <f t="shared" si="793"/>
        <v>302675.8999999729</v>
      </c>
      <c r="XO47" s="21">
        <f t="shared" si="793"/>
        <v>271456.79999999702</v>
      </c>
      <c r="XP47" s="21">
        <f t="shared" si="793"/>
        <v>238692.40000002028</v>
      </c>
      <c r="XQ47" s="21">
        <f t="shared" si="793"/>
        <v>274901.29999999772</v>
      </c>
      <c r="XR47" s="21">
        <f t="shared" si="793"/>
        <v>278267.49999999593</v>
      </c>
      <c r="XS47" s="21">
        <f t="shared" si="793"/>
        <v>291918.700000018</v>
      </c>
      <c r="XT47" s="21">
        <f t="shared" si="793"/>
        <v>241709.09999997821</v>
      </c>
      <c r="XU47" s="21">
        <f t="shared" si="793"/>
        <v>249628.20000000647</v>
      </c>
      <c r="XV47" s="21">
        <f t="shared" si="793"/>
        <v>276319.10000001371</v>
      </c>
      <c r="XW47" s="21">
        <f t="shared" si="793"/>
        <v>296877.69999996235</v>
      </c>
      <c r="XX47" s="21">
        <f t="shared" si="793"/>
        <v>280117.60000002396</v>
      </c>
      <c r="XY47" s="21">
        <f t="shared" si="793"/>
        <v>251021.49999999383</v>
      </c>
      <c r="XZ47" s="21">
        <f t="shared" si="793"/>
        <v>285332.79999999213</v>
      </c>
      <c r="YA47" s="21">
        <f t="shared" si="793"/>
        <v>207319.50000000943</v>
      </c>
      <c r="YB47" s="21">
        <f t="shared" si="793"/>
        <v>242832.89999999688</v>
      </c>
      <c r="YC47" s="21">
        <f t="shared" si="793"/>
        <v>262705.7000000088</v>
      </c>
      <c r="YD47" s="21">
        <f t="shared" si="793"/>
        <v>264127.40000001795</v>
      </c>
      <c r="YE47" s="21">
        <f t="shared" si="793"/>
        <v>272697.39999998128</v>
      </c>
      <c r="YF47" s="21">
        <f t="shared" si="793"/>
        <v>284224.99999999709</v>
      </c>
      <c r="YG47" s="21">
        <f t="shared" si="793"/>
        <v>278173.99999999325</v>
      </c>
      <c r="YH47" s="21">
        <f t="shared" si="793"/>
        <v>256804.40000001981</v>
      </c>
      <c r="YI47" s="21">
        <f t="shared" si="793"/>
        <v>244149.89999997197</v>
      </c>
      <c r="YJ47" s="21">
        <f t="shared" si="793"/>
        <v>235965.20000000019</v>
      </c>
      <c r="YK47" s="21">
        <f t="shared" si="793"/>
        <v>237191.70000002196</v>
      </c>
      <c r="YL47" s="127">
        <f>SUM(XI47:YK47)</f>
        <v>7664980.4000000106</v>
      </c>
      <c r="YM47" s="21">
        <f t="shared" ref="YM47:ZQ47" si="794">YM11*100</f>
        <v>286292.09999998566</v>
      </c>
      <c r="YN47" s="21">
        <f t="shared" si="794"/>
        <v>345704.2999999976</v>
      </c>
      <c r="YO47" s="21">
        <f t="shared" si="794"/>
        <v>282775.20000000659</v>
      </c>
      <c r="YP47" s="21">
        <f t="shared" si="794"/>
        <v>284024.10000000673</v>
      </c>
      <c r="YQ47" s="21">
        <f t="shared" si="794"/>
        <v>322665.79999997921</v>
      </c>
      <c r="YR47" s="21">
        <f t="shared" si="794"/>
        <v>288146.20000000577</v>
      </c>
      <c r="YS47" s="21">
        <f t="shared" si="794"/>
        <v>240783.70000002906</v>
      </c>
      <c r="YT47" s="21">
        <f t="shared" si="794"/>
        <v>45751.900000000023</v>
      </c>
      <c r="YU47" s="21">
        <f t="shared" si="794"/>
        <v>231603.99999998335</v>
      </c>
      <c r="YV47" s="21">
        <f t="shared" si="794"/>
        <v>282468.10000000987</v>
      </c>
      <c r="YW47" s="21">
        <f t="shared" si="794"/>
        <v>224805.99999999395</v>
      </c>
      <c r="YX47" s="21">
        <f t="shared" si="794"/>
        <v>248938.50000000093</v>
      </c>
      <c r="YY47" s="21">
        <f t="shared" si="794"/>
        <v>247102.80000000203</v>
      </c>
      <c r="YZ47" s="21">
        <f t="shared" si="794"/>
        <v>261369.80000000331</v>
      </c>
      <c r="ZA47" s="21">
        <f t="shared" si="794"/>
        <v>249158.39999997988</v>
      </c>
      <c r="ZB47" s="21">
        <f t="shared" si="794"/>
        <v>251424.50000001118</v>
      </c>
      <c r="ZC47" s="21">
        <f t="shared" si="794"/>
        <v>308222.60000000533</v>
      </c>
      <c r="ZD47" s="21">
        <f t="shared" si="794"/>
        <v>253133.39999999735</v>
      </c>
      <c r="ZE47" s="21">
        <f t="shared" si="794"/>
        <v>301851.40000000829</v>
      </c>
      <c r="ZF47" s="21">
        <f t="shared" si="794"/>
        <v>256530.19999999087</v>
      </c>
      <c r="ZG47" s="21">
        <f t="shared" si="794"/>
        <v>301352.79999998456</v>
      </c>
      <c r="ZH47" s="21">
        <f t="shared" si="794"/>
        <v>295133.30000000424</v>
      </c>
      <c r="ZI47" s="21">
        <f t="shared" si="794"/>
        <v>314633.80000001343</v>
      </c>
      <c r="ZJ47" s="21">
        <f t="shared" si="794"/>
        <v>380369.19999998936</v>
      </c>
      <c r="ZK47" s="21">
        <f t="shared" si="794"/>
        <v>291830.69999998843</v>
      </c>
      <c r="ZL47" s="21">
        <f t="shared" si="794"/>
        <v>328093.30000001355</v>
      </c>
      <c r="ZM47" s="21">
        <f t="shared" si="794"/>
        <v>284174.60000000719</v>
      </c>
      <c r="ZN47" s="21">
        <f t="shared" si="794"/>
        <v>305821.89999999537</v>
      </c>
      <c r="ZO47" s="21">
        <f t="shared" si="794"/>
        <v>278960.00000000931</v>
      </c>
      <c r="ZP47" s="21">
        <f t="shared" si="794"/>
        <v>314841.00000000326</v>
      </c>
      <c r="ZQ47" s="21">
        <f t="shared" si="794"/>
        <v>302727.50000000233</v>
      </c>
      <c r="ZR47" s="127">
        <f t="shared" si="356"/>
        <v>8610691.1000000089</v>
      </c>
      <c r="ZS47" s="21">
        <f t="shared" ref="ZS47:AAV47" si="795">ZS11*100</f>
        <v>313142.79999999853</v>
      </c>
      <c r="ZT47" s="21">
        <f t="shared" si="795"/>
        <v>286346.69999997714</v>
      </c>
      <c r="ZU47" s="21">
        <f t="shared" si="795"/>
        <v>290629.90000000864</v>
      </c>
      <c r="ZV47" s="21">
        <f t="shared" si="795"/>
        <v>275425.99999999802</v>
      </c>
      <c r="ZW47" s="21">
        <f t="shared" si="795"/>
        <v>325125.40000001318</v>
      </c>
      <c r="ZX47" s="21">
        <f t="shared" si="795"/>
        <v>294721.09999998065</v>
      </c>
      <c r="ZY47" s="21">
        <f t="shared" si="795"/>
        <v>312908.00000000163</v>
      </c>
      <c r="ZZ47" s="21">
        <f t="shared" si="795"/>
        <v>292116.4000000339</v>
      </c>
      <c r="AAA47" s="21">
        <f t="shared" si="795"/>
        <v>253992.89999996836</v>
      </c>
      <c r="AAB47" s="21">
        <f t="shared" si="795"/>
        <v>382985.40000001085</v>
      </c>
      <c r="AAC47" s="21">
        <f t="shared" si="795"/>
        <v>306934.99999999476</v>
      </c>
      <c r="AAD47" s="21">
        <f t="shared" si="795"/>
        <v>267887.70000001532</v>
      </c>
      <c r="AAE47" s="21">
        <f t="shared" si="795"/>
        <v>333652.19999997062</v>
      </c>
      <c r="AAF47" s="21">
        <f t="shared" si="795"/>
        <v>338724.20000002894</v>
      </c>
      <c r="AAG47" s="21">
        <f t="shared" si="795"/>
        <v>302351.09999998531</v>
      </c>
      <c r="AAH47" s="21">
        <f t="shared" si="795"/>
        <v>291523.60000001499</v>
      </c>
      <c r="AAI47" s="21">
        <f t="shared" si="795"/>
        <v>275325.79999997397</v>
      </c>
      <c r="AAJ47" s="21">
        <f t="shared" si="795"/>
        <v>337033.50000002538</v>
      </c>
      <c r="AAK47" s="21">
        <f t="shared" si="795"/>
        <v>302829.69999997003</v>
      </c>
      <c r="AAL47" s="21">
        <f t="shared" si="795"/>
        <v>298936.50000002526</v>
      </c>
      <c r="AAM47" s="21">
        <f t="shared" si="795"/>
        <v>344009.20000000333</v>
      </c>
      <c r="AAN47" s="21">
        <f t="shared" si="795"/>
        <v>239799.29999999295</v>
      </c>
      <c r="AAO47" s="21">
        <f t="shared" si="795"/>
        <v>313359.79999997071</v>
      </c>
      <c r="AAP47" s="21">
        <f t="shared" si="795"/>
        <v>262110.30000001192</v>
      </c>
      <c r="AAQ47" s="21">
        <f t="shared" si="795"/>
        <v>279637.39999998652</v>
      </c>
      <c r="AAR47" s="21">
        <f t="shared" si="795"/>
        <v>282015.80000002577</v>
      </c>
      <c r="AAS47" s="21">
        <f t="shared" si="795"/>
        <v>302528.69999999821</v>
      </c>
      <c r="AAT47" s="21">
        <f t="shared" si="795"/>
        <v>330746.30000000761</v>
      </c>
      <c r="AAU47" s="21">
        <f t="shared" si="795"/>
        <v>258021.80000002554</v>
      </c>
      <c r="AAV47" s="21">
        <f t="shared" si="795"/>
        <v>265109.6999999776</v>
      </c>
      <c r="AAW47" s="127">
        <f>SUM(ZS47:AAV47)</f>
        <v>8959932.1999999955</v>
      </c>
      <c r="AAX47" s="21">
        <f t="shared" ref="AAX47:ACB47" si="796">AAX11*100</f>
        <v>309544.80000000913</v>
      </c>
      <c r="AAY47" s="21">
        <f t="shared" si="796"/>
        <v>258624.09999999509</v>
      </c>
      <c r="AAZ47" s="21">
        <f t="shared" si="796"/>
        <v>285664.49999999022</v>
      </c>
      <c r="ABA47" s="21">
        <f t="shared" si="796"/>
        <v>297601.99999999604</v>
      </c>
      <c r="ABB47" s="21">
        <f t="shared" si="796"/>
        <v>362897.10000001069</v>
      </c>
      <c r="ABC47" s="21">
        <f t="shared" si="796"/>
        <v>298988.19999999832</v>
      </c>
      <c r="ABD47" s="21">
        <f t="shared" si="796"/>
        <v>286668.09999999532</v>
      </c>
      <c r="ABE47" s="21">
        <f t="shared" si="796"/>
        <v>313354.20000000449</v>
      </c>
      <c r="ABF47" s="21">
        <f t="shared" si="796"/>
        <v>266757.89999998233</v>
      </c>
      <c r="ABG47" s="21">
        <f t="shared" si="796"/>
        <v>307336.00000003062</v>
      </c>
      <c r="ABH47" s="21">
        <f t="shared" si="796"/>
        <v>310293.09999996622</v>
      </c>
      <c r="ABI47" s="21">
        <f t="shared" si="796"/>
        <v>208128.99999998917</v>
      </c>
      <c r="ABJ47" s="21">
        <f t="shared" si="796"/>
        <v>298562.70000002114</v>
      </c>
      <c r="ABK47" s="21">
        <f t="shared" si="796"/>
        <v>295763.79999999481</v>
      </c>
      <c r="ABL47" s="21">
        <f t="shared" si="796"/>
        <v>287008.60000001558</v>
      </c>
      <c r="ABM47" s="21">
        <f t="shared" si="796"/>
        <v>281784.49999997683</v>
      </c>
      <c r="ABN47" s="21">
        <f t="shared" si="796"/>
        <v>291648.90000001749</v>
      </c>
      <c r="ABO47" s="21">
        <f t="shared" si="796"/>
        <v>341801.70000000217</v>
      </c>
      <c r="ABP47" s="21">
        <f t="shared" si="796"/>
        <v>311629.00000000373</v>
      </c>
      <c r="ABQ47" s="21">
        <f t="shared" si="796"/>
        <v>285448.2999999891</v>
      </c>
      <c r="ABR47" s="21">
        <f t="shared" si="796"/>
        <v>254136.20000001683</v>
      </c>
      <c r="ABS47" s="21">
        <f t="shared" si="796"/>
        <v>257414.79999997246</v>
      </c>
      <c r="ABT47" s="21">
        <f t="shared" si="796"/>
        <v>301066.30000001169</v>
      </c>
      <c r="ABU47" s="21">
        <f t="shared" si="796"/>
        <v>287518.10000001278</v>
      </c>
      <c r="ABV47" s="21">
        <f t="shared" si="796"/>
        <v>344145.69999997958</v>
      </c>
      <c r="ABW47" s="21">
        <f t="shared" si="796"/>
        <v>308668.00000002258</v>
      </c>
      <c r="ABX47" s="21">
        <f t="shared" si="796"/>
        <v>269413.5999999824</v>
      </c>
      <c r="ABY47" s="21">
        <f t="shared" si="796"/>
        <v>338625.09999999311</v>
      </c>
      <c r="ABZ47" s="21">
        <f t="shared" si="796"/>
        <v>281912.00000000536</v>
      </c>
      <c r="ACA47" s="21">
        <f t="shared" si="796"/>
        <v>258995.6000000122</v>
      </c>
      <c r="ACB47" s="21">
        <f t="shared" si="796"/>
        <v>282381.50000000023</v>
      </c>
      <c r="ACC47" s="127">
        <f t="shared" si="274"/>
        <v>9083783.3999999985</v>
      </c>
      <c r="ACD47" s="21">
        <f t="shared" ref="ACD47:ADH47" si="797">ACD11*100</f>
        <v>311002.39999999467</v>
      </c>
      <c r="ACE47" s="21">
        <f t="shared" si="797"/>
        <v>366511.60000000964</v>
      </c>
      <c r="ACF47" s="21">
        <f t="shared" si="797"/>
        <v>313045.09999998845</v>
      </c>
      <c r="ACG47" s="21">
        <f t="shared" si="797"/>
        <v>312587.60000000475</v>
      </c>
      <c r="ACH47" s="21">
        <f t="shared" si="797"/>
        <v>322215.29999999912</v>
      </c>
      <c r="ACI47" s="21">
        <f t="shared" si="797"/>
        <v>265657.00000001234</v>
      </c>
      <c r="ACJ47" s="21">
        <f t="shared" si="797"/>
        <v>288581.80000000284</v>
      </c>
      <c r="ACK47" s="21">
        <f t="shared" si="797"/>
        <v>317745.3999999736</v>
      </c>
      <c r="ACL47" s="21">
        <f t="shared" si="797"/>
        <v>285306.70000000973</v>
      </c>
      <c r="ACM47" s="21">
        <f t="shared" si="797"/>
        <v>243749.19999998529</v>
      </c>
      <c r="ACN47" s="21">
        <f t="shared" si="797"/>
        <v>330961.90000002389</v>
      </c>
      <c r="ACO47" s="21">
        <f t="shared" si="797"/>
        <v>255050.69999998086</v>
      </c>
      <c r="ACP47" s="21">
        <f t="shared" si="797"/>
        <v>245122.20000001835</v>
      </c>
      <c r="ACQ47" s="21">
        <f t="shared" si="797"/>
        <v>309824.39999998896</v>
      </c>
      <c r="ACR47" s="21">
        <f t="shared" si="797"/>
        <v>305704.49999999255</v>
      </c>
      <c r="ACS47" s="21">
        <f t="shared" si="797"/>
        <v>278060.49999999814</v>
      </c>
      <c r="ACT47" s="21">
        <f t="shared" si="797"/>
        <v>272552.1000000299</v>
      </c>
      <c r="ACU47" s="21">
        <f t="shared" si="797"/>
        <v>305490.49999998533</v>
      </c>
      <c r="ACV47" s="21">
        <f t="shared" si="797"/>
        <v>240421.99999999721</v>
      </c>
      <c r="ACW47" s="21">
        <f t="shared" si="797"/>
        <v>242239.9000000034</v>
      </c>
      <c r="ACX47" s="21">
        <f t="shared" si="797"/>
        <v>260519.69999998109</v>
      </c>
      <c r="ACY47" s="21">
        <f t="shared" si="797"/>
        <v>295898.10000000871</v>
      </c>
      <c r="ACZ47" s="21">
        <f t="shared" si="797"/>
        <v>281591.80000000051</v>
      </c>
      <c r="ADA47" s="21">
        <f t="shared" si="797"/>
        <v>256395.70000001695</v>
      </c>
      <c r="ADB47" s="21">
        <f t="shared" si="797"/>
        <v>242336.00000000442</v>
      </c>
      <c r="ADC47" s="21">
        <f t="shared" si="797"/>
        <v>250993.19999998552</v>
      </c>
      <c r="ADD47" s="21">
        <f t="shared" si="797"/>
        <v>270602.09999999497</v>
      </c>
      <c r="ADE47" s="21">
        <f t="shared" si="797"/>
        <v>236747.20000001835</v>
      </c>
      <c r="ADF47" s="21">
        <f t="shared" si="797"/>
        <v>286451.39999999083</v>
      </c>
      <c r="ADG47" s="21">
        <f t="shared" si="797"/>
        <v>285920.20000000484</v>
      </c>
      <c r="ADH47" s="21">
        <f t="shared" si="797"/>
        <v>249598.99999999325</v>
      </c>
      <c r="ADI47" s="127">
        <f t="shared" si="276"/>
        <v>8728885.1999999955</v>
      </c>
      <c r="ADJ47" s="21">
        <f t="shared" ref="ADJ47:AEM47" si="798">ADJ11*100</f>
        <v>253500.29999999679</v>
      </c>
      <c r="ADK47" s="21">
        <f t="shared" si="798"/>
        <v>250602.79999999912</v>
      </c>
      <c r="ADL47" s="21">
        <f t="shared" si="798"/>
        <v>255210.10000000824</v>
      </c>
      <c r="ADM47" s="21">
        <f t="shared" si="798"/>
        <v>283324.29999999586</v>
      </c>
      <c r="ADN47" s="21">
        <f t="shared" si="798"/>
        <v>285442.19999999041</v>
      </c>
      <c r="ADO47" s="21">
        <f t="shared" si="798"/>
        <v>307009.2000000237</v>
      </c>
      <c r="ADP47" s="21">
        <f t="shared" si="798"/>
        <v>259205.89999999502</v>
      </c>
      <c r="ADQ47" s="21">
        <f t="shared" si="798"/>
        <v>244280.59999998659</v>
      </c>
      <c r="ADR47" s="21">
        <f t="shared" si="798"/>
        <v>260308.60000000102</v>
      </c>
      <c r="ADS47" s="21">
        <f t="shared" si="798"/>
        <v>229642.80000000144</v>
      </c>
      <c r="ADT47" s="21">
        <f t="shared" si="798"/>
        <v>263171.60000000149</v>
      </c>
      <c r="ADU47" s="21">
        <f t="shared" si="798"/>
        <v>274124.8000000196</v>
      </c>
      <c r="ADV47" s="21">
        <f t="shared" si="798"/>
        <v>306809.29999997607</v>
      </c>
      <c r="ADW47" s="21">
        <f t="shared" si="798"/>
        <v>225814.89999999758</v>
      </c>
      <c r="ADX47" s="21">
        <f t="shared" si="798"/>
        <v>294971.69999998878</v>
      </c>
      <c r="ADY47" s="21">
        <f t="shared" si="798"/>
        <v>249852.70000002347</v>
      </c>
      <c r="ADZ47" s="21">
        <f t="shared" si="798"/>
        <v>216431.79999999702</v>
      </c>
      <c r="AEA47" s="21">
        <f t="shared" si="798"/>
        <v>257252.39999998012</v>
      </c>
      <c r="AEB47" s="21">
        <f t="shared" si="798"/>
        <v>227999.90000002435</v>
      </c>
      <c r="AEC47" s="21">
        <f t="shared" si="798"/>
        <v>257207.49999997788</v>
      </c>
      <c r="AED47" s="21">
        <f t="shared" si="798"/>
        <v>239901.9000000204</v>
      </c>
      <c r="AEE47" s="21">
        <f t="shared" si="798"/>
        <v>266155.7999999958</v>
      </c>
      <c r="AEF47" s="21">
        <f t="shared" si="798"/>
        <v>249004.79999998934</v>
      </c>
      <c r="AEG47" s="21">
        <f t="shared" si="798"/>
        <v>218051.20000000461</v>
      </c>
      <c r="AEH47" s="21">
        <f t="shared" si="798"/>
        <v>225494.50000001234</v>
      </c>
      <c r="AEI47" s="21">
        <f t="shared" si="798"/>
        <v>283612.99999999464</v>
      </c>
      <c r="AEJ47" s="21">
        <f t="shared" si="798"/>
        <v>270168.99999999441</v>
      </c>
      <c r="AEK47" s="21">
        <f t="shared" si="798"/>
        <v>220650.00000000582</v>
      </c>
      <c r="AEL47" s="21">
        <f t="shared" si="798"/>
        <v>259027.10000000079</v>
      </c>
      <c r="AEM47" s="21">
        <f t="shared" si="798"/>
        <v>258268.29999998445</v>
      </c>
      <c r="AEN47" s="127">
        <f>SUM(ADJ47:AEM47)</f>
        <v>7692498.999999987</v>
      </c>
      <c r="AEO47" s="21">
        <f t="shared" ref="AEO47:AFS47" si="799">AEO11*100</f>
        <v>220072.00000001467</v>
      </c>
      <c r="AEP47" s="21">
        <f t="shared" si="799"/>
        <v>235493.99999998277</v>
      </c>
      <c r="AEQ47" s="21">
        <f t="shared" si="799"/>
        <v>245346.70000000042</v>
      </c>
      <c r="AER47" s="21">
        <f t="shared" si="799"/>
        <v>265897.00000000885</v>
      </c>
      <c r="AES47" s="21">
        <f t="shared" si="799"/>
        <v>239495.69999999949</v>
      </c>
      <c r="AET47" s="21">
        <f t="shared" si="799"/>
        <v>269694.90000000224</v>
      </c>
      <c r="AEU47" s="21">
        <f t="shared" si="799"/>
        <v>228309.70000001253</v>
      </c>
      <c r="AEV47" s="21">
        <f t="shared" si="799"/>
        <v>254098.90000000014</v>
      </c>
      <c r="AEW47" s="21">
        <f t="shared" si="799"/>
        <v>270574.89999998943</v>
      </c>
      <c r="AEX47" s="21">
        <f t="shared" si="799"/>
        <v>289317.20000000205</v>
      </c>
      <c r="AEY47" s="21">
        <f t="shared" si="799"/>
        <v>252576.99999999604</v>
      </c>
      <c r="AEZ47" s="21">
        <f t="shared" si="799"/>
        <v>213754.20000000158</v>
      </c>
      <c r="AFA47" s="21">
        <f t="shared" si="799"/>
        <v>245505.80000000191</v>
      </c>
      <c r="AFB47" s="21">
        <f t="shared" si="799"/>
        <v>229088.7999999919</v>
      </c>
      <c r="AFC47" s="21">
        <f t="shared" si="799"/>
        <v>258922.60000001406</v>
      </c>
      <c r="AFD47" s="21">
        <f t="shared" si="799"/>
        <v>253827.10000000079</v>
      </c>
      <c r="AFE47" s="21">
        <f t="shared" si="799"/>
        <v>247668.29999999609</v>
      </c>
      <c r="AFF47" s="21">
        <f t="shared" si="799"/>
        <v>272579.49999999837</v>
      </c>
      <c r="AFG47" s="21">
        <f t="shared" si="799"/>
        <v>254087.80000001425</v>
      </c>
      <c r="AFH47" s="21">
        <f t="shared" si="799"/>
        <v>251637.59999998729</v>
      </c>
      <c r="AFI47" s="21">
        <f t="shared" si="799"/>
        <v>249262.10000000428</v>
      </c>
      <c r="AFJ47" s="21">
        <f t="shared" si="799"/>
        <v>217326.29999997444</v>
      </c>
      <c r="AFK47" s="21">
        <f t="shared" si="799"/>
        <v>226417.50000002212</v>
      </c>
      <c r="AFL47" s="21">
        <f t="shared" si="799"/>
        <v>243218.29999999609</v>
      </c>
      <c r="AFM47" s="21">
        <f t="shared" si="799"/>
        <v>305734.99999999767</v>
      </c>
      <c r="AFN47" s="21">
        <f t="shared" si="799"/>
        <v>244790.29999998747</v>
      </c>
      <c r="AFO47" s="21">
        <f t="shared" si="799"/>
        <v>242642.89999999455</v>
      </c>
      <c r="AFP47" s="21">
        <f t="shared" si="799"/>
        <v>239849.00000002817</v>
      </c>
      <c r="AFQ47" s="21">
        <f t="shared" si="799"/>
        <v>201347.09999997285</v>
      </c>
      <c r="AFR47" s="21">
        <f t="shared" si="799"/>
        <v>253258.00000001909</v>
      </c>
      <c r="AFS47" s="21">
        <f t="shared" si="799"/>
        <v>250757.60000000591</v>
      </c>
      <c r="AFT47" s="127">
        <f t="shared" si="279"/>
        <v>7672553.8000000184</v>
      </c>
      <c r="AFU47" s="21">
        <f t="shared" ref="AFU47:AGX47" si="800">AFU11*100</f>
        <v>262467.89999998291</v>
      </c>
      <c r="AFV47" s="21">
        <f t="shared" si="800"/>
        <v>252571.70000001788</v>
      </c>
      <c r="AFW47" s="21">
        <f t="shared" si="800"/>
        <v>248483.40000000317</v>
      </c>
      <c r="AFX47" s="21">
        <f t="shared" si="800"/>
        <v>234715.89999998105</v>
      </c>
      <c r="AFY47" s="21">
        <f t="shared" si="800"/>
        <v>262139.19999998761</v>
      </c>
      <c r="AFZ47" s="21">
        <f t="shared" si="800"/>
        <v>236729.00000003283</v>
      </c>
      <c r="AGA47" s="21">
        <f t="shared" si="800"/>
        <v>265246.19999998249</v>
      </c>
      <c r="AGB47" s="21">
        <f t="shared" si="800"/>
        <v>215405.50000001094</v>
      </c>
      <c r="AGC47" s="21">
        <f t="shared" si="800"/>
        <v>260917.99999998184</v>
      </c>
      <c r="AGD47" s="21">
        <f t="shared" si="800"/>
        <v>257093.00000001676</v>
      </c>
      <c r="AGE47" s="21">
        <f t="shared" si="800"/>
        <v>247304.2000000074</v>
      </c>
      <c r="AGF47" s="21">
        <f t="shared" si="800"/>
        <v>216538.79999998608</v>
      </c>
      <c r="AGG47" s="21">
        <f t="shared" si="800"/>
        <v>230578.09999998426</v>
      </c>
      <c r="AGH47" s="21">
        <f t="shared" si="800"/>
        <v>241994.00000002625</v>
      </c>
      <c r="AGI47" s="21">
        <f t="shared" si="800"/>
        <v>224944.29999998538</v>
      </c>
      <c r="AGJ47" s="21">
        <f t="shared" si="800"/>
        <v>238923.00000000396</v>
      </c>
      <c r="AGK47" s="21">
        <f t="shared" si="800"/>
        <v>249890.40000002133</v>
      </c>
      <c r="AGL47" s="21">
        <f t="shared" si="800"/>
        <v>250662.29999998468</v>
      </c>
      <c r="AGM47" s="21">
        <f t="shared" si="800"/>
        <v>235986.89999998896</v>
      </c>
      <c r="AGN47" s="21">
        <f t="shared" si="800"/>
        <v>271214.49999999022</v>
      </c>
      <c r="AGO47" s="21">
        <f t="shared" si="800"/>
        <v>282065.70000001811</v>
      </c>
      <c r="AGP47" s="21">
        <f t="shared" si="800"/>
        <v>321309.6999999776</v>
      </c>
      <c r="AGQ47" s="21">
        <f t="shared" si="800"/>
        <v>254164.50000002515</v>
      </c>
      <c r="AGR47" s="21">
        <f t="shared" si="800"/>
        <v>236688.90000000829</v>
      </c>
      <c r="AGS47" s="21">
        <f t="shared" si="800"/>
        <v>261365.09999997215</v>
      </c>
      <c r="AGT47" s="21">
        <f t="shared" si="800"/>
        <v>256699.10000000964</v>
      </c>
      <c r="AGU47" s="21">
        <f t="shared" si="800"/>
        <v>261738.50000001257</v>
      </c>
      <c r="AGV47" s="21">
        <f t="shared" si="800"/>
        <v>322494.10000000498</v>
      </c>
      <c r="AGW47" s="21">
        <f t="shared" si="800"/>
        <v>315823.69999997318</v>
      </c>
      <c r="AGX47" s="21">
        <f t="shared" si="800"/>
        <v>253208.40000001481</v>
      </c>
      <c r="AGY47" s="127">
        <f>SUM(AFU47:AGX47)</f>
        <v>7669363.9999999907</v>
      </c>
      <c r="AGZ47" s="21">
        <f t="shared" ref="AGZ47:AID47" si="801">AGZ11*100</f>
        <v>273872.09999998449</v>
      </c>
      <c r="AHA47" s="21">
        <f t="shared" si="801"/>
        <v>266785.89999999385</v>
      </c>
      <c r="AHB47" s="21">
        <f t="shared" si="801"/>
        <v>264053.40000002761</v>
      </c>
      <c r="AHC47" s="21">
        <f t="shared" si="801"/>
        <v>283413.29999998561</v>
      </c>
      <c r="AHD47" s="21">
        <f t="shared" si="801"/>
        <v>356948.30000001821</v>
      </c>
      <c r="AHE47" s="21">
        <f t="shared" si="801"/>
        <v>269333.2999999926</v>
      </c>
      <c r="AHF47" s="21">
        <f t="shared" si="801"/>
        <v>260555.00000000466</v>
      </c>
      <c r="AHG47" s="21">
        <f t="shared" si="801"/>
        <v>269293.19999997388</v>
      </c>
      <c r="AHH47" s="21">
        <f t="shared" si="801"/>
        <v>264210.90000001132</v>
      </c>
      <c r="AHI47" s="21">
        <f t="shared" si="801"/>
        <v>263815.50000000861</v>
      </c>
      <c r="AHJ47" s="21">
        <f t="shared" si="801"/>
        <v>255484.79999998817</v>
      </c>
      <c r="AHK47" s="21">
        <f t="shared" si="801"/>
        <v>309478.29999999958</v>
      </c>
      <c r="AHL47" s="21">
        <f t="shared" si="801"/>
        <v>296719.09999999916</v>
      </c>
      <c r="AHM47" s="21">
        <f t="shared" si="801"/>
        <v>237231.70000002719</v>
      </c>
      <c r="AHN47" s="21">
        <f t="shared" si="801"/>
        <v>279544.29999998538</v>
      </c>
      <c r="AHO47" s="21">
        <f t="shared" si="801"/>
        <v>258125.29999999679</v>
      </c>
      <c r="AHP47" s="21">
        <f t="shared" si="801"/>
        <v>240783.1000000122</v>
      </c>
      <c r="AHQ47" s="21">
        <f t="shared" si="801"/>
        <v>301472.20000000088</v>
      </c>
      <c r="AHR47" s="21">
        <f t="shared" si="801"/>
        <v>299606.39999998966</v>
      </c>
      <c r="AHS47" s="21">
        <f t="shared" si="801"/>
        <v>270398.59999999753</v>
      </c>
      <c r="AHT47" s="21">
        <f t="shared" si="801"/>
        <v>291463.60000002314</v>
      </c>
      <c r="AHU47" s="21">
        <f t="shared" si="801"/>
        <v>309734.49999997392</v>
      </c>
      <c r="AHV47" s="21">
        <f t="shared" si="801"/>
        <v>342613.50000000675</v>
      </c>
      <c r="AHW47" s="21">
        <f t="shared" si="801"/>
        <v>319430.40000001201</v>
      </c>
      <c r="AHX47" s="21">
        <f t="shared" si="801"/>
        <v>231166.80000000051</v>
      </c>
      <c r="AHY47" s="21">
        <f t="shared" si="801"/>
        <v>227613.90000000829</v>
      </c>
      <c r="AHZ47" s="21">
        <f t="shared" si="801"/>
        <v>217398.09999996796</v>
      </c>
      <c r="AIA47" s="21">
        <f t="shared" si="801"/>
        <v>187805.70000002044</v>
      </c>
      <c r="AIB47" s="21">
        <f t="shared" si="801"/>
        <v>215411.29999998375</v>
      </c>
      <c r="AIC47" s="21">
        <f t="shared" si="801"/>
        <v>242985.19999999553</v>
      </c>
      <c r="AID47" s="21">
        <f t="shared" si="801"/>
        <v>294907.10000001127</v>
      </c>
      <c r="AIE47" s="127">
        <f t="shared" si="519"/>
        <v>8401654.8000000007</v>
      </c>
      <c r="AIF47" s="21">
        <f t="shared" ref="AIF47:AJJ47" si="802">AIF11*100</f>
        <v>220564.29999999236</v>
      </c>
      <c r="AIG47" s="21">
        <f t="shared" si="802"/>
        <v>240652.09999999497</v>
      </c>
      <c r="AIH47" s="21">
        <f t="shared" si="802"/>
        <v>245549.70000002068</v>
      </c>
      <c r="AII47" s="21">
        <f t="shared" si="802"/>
        <v>230302.80000001658</v>
      </c>
      <c r="AIJ47" s="21">
        <f t="shared" si="802"/>
        <v>276138.69999995222</v>
      </c>
      <c r="AIK47" s="21">
        <f t="shared" si="802"/>
        <v>288503.50000003818</v>
      </c>
      <c r="AIL47" s="21">
        <f t="shared" si="802"/>
        <v>281531.09999999288</v>
      </c>
      <c r="AIM47" s="21">
        <f t="shared" si="802"/>
        <v>280025.50000000629</v>
      </c>
      <c r="AIN47" s="21">
        <f t="shared" si="802"/>
        <v>259298.39999998221</v>
      </c>
      <c r="AIO47" s="21">
        <f t="shared" si="802"/>
        <v>345119.99999998952</v>
      </c>
      <c r="AIP47" s="21">
        <f t="shared" si="802"/>
        <v>247803.00000002608</v>
      </c>
      <c r="AIQ47" s="21">
        <f t="shared" si="802"/>
        <v>239866.49999998044</v>
      </c>
      <c r="AIR47" s="21">
        <f t="shared" si="802"/>
        <v>250557.39999999059</v>
      </c>
      <c r="AIS47" s="21">
        <f t="shared" si="802"/>
        <v>246778.00000002026</v>
      </c>
      <c r="AIT47" s="21">
        <f t="shared" si="802"/>
        <v>137245.00000000698</v>
      </c>
      <c r="AIU47" s="21">
        <f t="shared" si="802"/>
        <v>185107.40000000806</v>
      </c>
      <c r="AIV47" s="21">
        <f t="shared" si="802"/>
        <v>118461.19999999064</v>
      </c>
      <c r="AIW47" s="21">
        <f t="shared" si="802"/>
        <v>152895.29999998631</v>
      </c>
      <c r="AIX47" s="21">
        <f t="shared" si="802"/>
        <v>239595.70000000531</v>
      </c>
      <c r="AIY47" s="21">
        <f t="shared" si="802"/>
        <v>234570.39999999688</v>
      </c>
      <c r="AIZ47" s="21">
        <f t="shared" si="802"/>
        <v>273756.4000000013</v>
      </c>
      <c r="AJA47" s="21">
        <f t="shared" si="802"/>
        <v>243663.89999998501</v>
      </c>
      <c r="AJB47" s="21">
        <f t="shared" si="802"/>
        <v>259627.60000001872</v>
      </c>
      <c r="AJC47" s="21">
        <f t="shared" si="802"/>
        <v>282597.69999998971</v>
      </c>
      <c r="AJD47" s="21">
        <f t="shared" si="802"/>
        <v>232912.29999999632</v>
      </c>
      <c r="AJE47" s="21">
        <f t="shared" si="802"/>
        <v>232799.49999999371</v>
      </c>
      <c r="AJF47" s="21">
        <f t="shared" si="802"/>
        <v>267556.10000001616</v>
      </c>
      <c r="AJG47" s="21">
        <f t="shared" si="802"/>
        <v>257967.7999999898</v>
      </c>
      <c r="AJH47" s="21">
        <f t="shared" si="802"/>
        <v>240876.40000001993</v>
      </c>
      <c r="AJI47" s="21">
        <f t="shared" si="802"/>
        <v>256458.69999998831</v>
      </c>
      <c r="AJJ47" s="21">
        <f t="shared" si="802"/>
        <v>250531.29999999073</v>
      </c>
      <c r="AJK47" s="127">
        <f t="shared" si="520"/>
        <v>7519313.6999999844</v>
      </c>
      <c r="AJL47" s="21">
        <f t="shared" ref="AJL47:AKM47" si="803">AJL11*100</f>
        <v>214170.40000000852</v>
      </c>
      <c r="AJM47" s="21">
        <f t="shared" si="803"/>
        <v>255175.30000002007</v>
      </c>
      <c r="AJN47" s="21">
        <f t="shared" si="803"/>
        <v>265506.49999998277</v>
      </c>
      <c r="AJO47" s="21">
        <f t="shared" si="803"/>
        <v>247124.90000003017</v>
      </c>
      <c r="AJP47" s="21">
        <f t="shared" si="803"/>
        <v>262348.49999998696</v>
      </c>
      <c r="AJQ47" s="21">
        <f t="shared" si="803"/>
        <v>222322.49999998021</v>
      </c>
      <c r="AJR47" s="21">
        <f t="shared" si="803"/>
        <v>265828.10000001919</v>
      </c>
      <c r="AJS47" s="21">
        <f t="shared" si="803"/>
        <v>272463.69999997551</v>
      </c>
      <c r="AJT47" s="21">
        <f t="shared" si="803"/>
        <v>278346.40000001527</v>
      </c>
      <c r="AJU47" s="21">
        <f t="shared" si="803"/>
        <v>256784.29999999935</v>
      </c>
      <c r="AJV47" s="21">
        <f t="shared" si="803"/>
        <v>247041.99999996927</v>
      </c>
      <c r="AJW47" s="21">
        <f t="shared" si="803"/>
        <v>278810.70000001346</v>
      </c>
      <c r="AJX47" s="21">
        <f t="shared" si="803"/>
        <v>288789.50000000768</v>
      </c>
      <c r="AJY47" s="21">
        <f t="shared" si="803"/>
        <v>246155.90000000084</v>
      </c>
      <c r="AJZ47" s="21">
        <f t="shared" si="803"/>
        <v>239836.60000000382</v>
      </c>
      <c r="AKA47" s="21">
        <f t="shared" si="803"/>
        <v>233691.20000000112</v>
      </c>
      <c r="AKB47" s="21">
        <f t="shared" si="803"/>
        <v>245257.89999999106</v>
      </c>
      <c r="AKC47" s="21">
        <f t="shared" si="803"/>
        <v>232313.30000000889</v>
      </c>
      <c r="AKD47" s="21">
        <f t="shared" si="803"/>
        <v>215597.90000000503</v>
      </c>
      <c r="AKE47" s="21">
        <f t="shared" si="803"/>
        <v>238911.60000000964</v>
      </c>
      <c r="AKF47" s="21">
        <f t="shared" si="803"/>
        <v>238822.39999996545</v>
      </c>
      <c r="AKG47" s="21">
        <f t="shared" si="803"/>
        <v>192613.50000003004</v>
      </c>
      <c r="AKH47" s="21">
        <f t="shared" si="803"/>
        <v>246073.99999999907</v>
      </c>
      <c r="AKI47" s="21">
        <f t="shared" si="803"/>
        <v>246581.29999997909</v>
      </c>
      <c r="AKJ47" s="21">
        <f t="shared" si="803"/>
        <v>243636.80000001914</v>
      </c>
      <c r="AKK47" s="21">
        <f t="shared" si="803"/>
        <v>217736.30000000703</v>
      </c>
      <c r="AKL47" s="21">
        <f t="shared" si="803"/>
        <v>222186.79999998421</v>
      </c>
      <c r="AKM47" s="21">
        <f t="shared" si="803"/>
        <v>229729.3999999878</v>
      </c>
      <c r="AKN47" s="127">
        <f t="shared" si="11"/>
        <v>6843857.7000000011</v>
      </c>
      <c r="AKO47" s="21">
        <f t="shared" ref="AKO47:ALS47" si="804">AKO11*100</f>
        <v>237273.80000000121</v>
      </c>
      <c r="AKP47" s="21">
        <f t="shared" si="804"/>
        <v>236645.19999999902</v>
      </c>
      <c r="AKQ47" s="21">
        <f t="shared" si="804"/>
        <v>241060.90000002878</v>
      </c>
      <c r="AKR47" s="21">
        <f t="shared" si="804"/>
        <v>211735.89999998803</v>
      </c>
      <c r="AKS47" s="21">
        <f t="shared" si="804"/>
        <v>226321.59999997821</v>
      </c>
      <c r="AKT47" s="21">
        <f t="shared" si="804"/>
        <v>218531.30000003148</v>
      </c>
      <c r="AKU47" s="21">
        <f t="shared" si="804"/>
        <v>301121.49999997346</v>
      </c>
      <c r="AKV47" s="21">
        <f t="shared" si="804"/>
        <v>245783.10000000056</v>
      </c>
      <c r="AKW47" s="21">
        <f t="shared" si="804"/>
        <v>249861.30000002007</v>
      </c>
      <c r="AKX47" s="21">
        <f t="shared" si="804"/>
        <v>206228.99999998626</v>
      </c>
      <c r="AKY47" s="21">
        <f t="shared" si="804"/>
        <v>215056.10000001034</v>
      </c>
      <c r="AKZ47" s="21">
        <f t="shared" si="804"/>
        <v>229757.19999998691</v>
      </c>
      <c r="ALA47" s="21">
        <f t="shared" si="804"/>
        <v>256550.30000003171</v>
      </c>
      <c r="ALB47" s="21">
        <f t="shared" si="804"/>
        <v>299903.19999998901</v>
      </c>
      <c r="ALC47" s="21">
        <f t="shared" si="804"/>
        <v>271008.69999998249</v>
      </c>
      <c r="ALD47" s="21">
        <f t="shared" si="804"/>
        <v>320763.30000000307</v>
      </c>
      <c r="ALE47" s="21">
        <f t="shared" si="804"/>
        <v>266963.6000000115</v>
      </c>
      <c r="ALF47" s="21">
        <f t="shared" si="804"/>
        <v>234113.29999997979</v>
      </c>
      <c r="ALG47" s="21">
        <f t="shared" si="804"/>
        <v>281660.60000000871</v>
      </c>
      <c r="ALH47" s="21">
        <f t="shared" si="804"/>
        <v>245616.00000000326</v>
      </c>
      <c r="ALI47" s="21">
        <f t="shared" si="804"/>
        <v>278490.5999999959</v>
      </c>
      <c r="ALJ47" s="21">
        <f t="shared" si="804"/>
        <v>248755.40000000619</v>
      </c>
      <c r="ALK47" s="21">
        <f t="shared" si="804"/>
        <v>698859.09999997821</v>
      </c>
      <c r="ALL47" s="21">
        <f t="shared" si="804"/>
        <v>264461.50000003399</v>
      </c>
      <c r="ALM47" s="21">
        <f t="shared" si="804"/>
        <v>276098.699999979</v>
      </c>
      <c r="ALN47" s="21">
        <f t="shared" si="804"/>
        <v>257502.49999999651</v>
      </c>
      <c r="ALO47" s="21">
        <f t="shared" si="804"/>
        <v>283393.70000002673</v>
      </c>
      <c r="ALP47" s="21">
        <f t="shared" si="804"/>
        <v>297144.59999999381</v>
      </c>
      <c r="ALQ47" s="21">
        <f t="shared" si="804"/>
        <v>329079.39999999362</v>
      </c>
      <c r="ALR47" s="21">
        <f t="shared" si="804"/>
        <v>325118.5999999987</v>
      </c>
      <c r="ALS47" s="21">
        <f t="shared" si="804"/>
        <v>247552.39999999176</v>
      </c>
      <c r="ALT47" s="127">
        <f t="shared" si="12"/>
        <v>8502412.4000000078</v>
      </c>
      <c r="ALU47" s="21">
        <f t="shared" ref="ALU47:AMX47" si="805">ALU11*100</f>
        <v>331692.69999999669</v>
      </c>
      <c r="ALV47" s="21">
        <f t="shared" si="805"/>
        <v>255150.99999999511</v>
      </c>
      <c r="ALW47" s="21">
        <f t="shared" si="805"/>
        <v>279309.20000001206</v>
      </c>
      <c r="ALX47" s="21">
        <f t="shared" si="805"/>
        <v>293522.29999999981</v>
      </c>
      <c r="ALY47" s="21">
        <f t="shared" si="805"/>
        <v>161723.10000001453</v>
      </c>
      <c r="ALZ47" s="21">
        <f t="shared" si="805"/>
        <v>195470.79999999522</v>
      </c>
      <c r="AMA47" s="21">
        <f t="shared" si="805"/>
        <v>297078.29999999958</v>
      </c>
      <c r="AMB47" s="21">
        <f t="shared" si="805"/>
        <v>278122.29999998235</v>
      </c>
      <c r="AMC47" s="21">
        <f t="shared" si="805"/>
        <v>307222.70000001299</v>
      </c>
      <c r="AMD47" s="21">
        <f t="shared" si="805"/>
        <v>305330.99999998813</v>
      </c>
      <c r="AME47" s="21">
        <f t="shared" si="805"/>
        <v>333485.40000000503</v>
      </c>
      <c r="AMF47" s="21">
        <f t="shared" si="805"/>
        <v>307347.10000000196</v>
      </c>
      <c r="AMG47" s="21">
        <f t="shared" si="805"/>
        <v>318068.89999998966</v>
      </c>
      <c r="AMH47" s="21">
        <f t="shared" si="805"/>
        <v>240222.20000001253</v>
      </c>
      <c r="AMI47" s="21">
        <f t="shared" si="805"/>
        <v>283896.79999999935</v>
      </c>
      <c r="AMJ47" s="21">
        <f t="shared" si="805"/>
        <v>283077.39999998594</v>
      </c>
      <c r="AMK47" s="21">
        <f t="shared" si="805"/>
        <v>277676.5000000305</v>
      </c>
      <c r="AML47" s="21">
        <f t="shared" si="805"/>
        <v>317853.09999999008</v>
      </c>
      <c r="AMM47" s="21">
        <f t="shared" si="805"/>
        <v>307597.89999998757</v>
      </c>
      <c r="AMN47" s="21">
        <f t="shared" si="805"/>
        <v>467858.70000001159</v>
      </c>
      <c r="AMO47" s="21">
        <f t="shared" si="805"/>
        <v>552531.70000000391</v>
      </c>
      <c r="AMP47" s="21">
        <f t="shared" si="805"/>
        <v>421045.89999999735</v>
      </c>
      <c r="AMQ47" s="21">
        <f t="shared" si="805"/>
        <v>542943.99999996531</v>
      </c>
      <c r="AMR47" s="21">
        <f t="shared" si="805"/>
        <v>565989.700000023</v>
      </c>
      <c r="AMS47" s="21">
        <f t="shared" si="805"/>
        <v>582805.59999999823</v>
      </c>
      <c r="AMT47" s="21">
        <f t="shared" si="805"/>
        <v>510500.900000002</v>
      </c>
      <c r="AMU47" s="21">
        <f t="shared" si="805"/>
        <v>298506.40000001295</v>
      </c>
      <c r="AMV47" s="21">
        <f t="shared" si="805"/>
        <v>283190.20000000601</v>
      </c>
      <c r="AMW47" s="21">
        <f t="shared" si="805"/>
        <v>490728.89999999898</v>
      </c>
      <c r="AMX47" s="21">
        <f t="shared" si="805"/>
        <v>396682.19999998691</v>
      </c>
      <c r="AMY47" s="127">
        <f t="shared" si="13"/>
        <v>10486632.900000006</v>
      </c>
      <c r="AMZ47" s="21">
        <f t="shared" ref="AMZ47:AOC47" si="806">AMZ11*100</f>
        <v>253404.10000000265</v>
      </c>
      <c r="ANA47" s="21">
        <f t="shared" si="806"/>
        <v>276880.99999999977</v>
      </c>
      <c r="ANB47" s="21">
        <f t="shared" si="806"/>
        <v>214416.39999998733</v>
      </c>
      <c r="ANC47" s="21">
        <f t="shared" si="806"/>
        <v>280047.09999999468</v>
      </c>
      <c r="AND47" s="21">
        <f t="shared" si="806"/>
        <v>246301.90000001458</v>
      </c>
      <c r="ANE47" s="21">
        <f t="shared" si="806"/>
        <v>286989.89999999758</v>
      </c>
      <c r="ANF47" s="21">
        <f t="shared" si="806"/>
        <v>261836.30000000121</v>
      </c>
      <c r="ANG47" s="21">
        <f t="shared" si="806"/>
        <v>252087.90000000154</v>
      </c>
      <c r="ANH47" s="21">
        <f t="shared" si="806"/>
        <v>291760.99999999278</v>
      </c>
      <c r="ANI47" s="21">
        <f t="shared" si="806"/>
        <v>253083.90000001527</v>
      </c>
      <c r="ANJ47" s="21">
        <f t="shared" si="806"/>
        <v>270706.69999999809</v>
      </c>
      <c r="ANK47" s="21">
        <f t="shared" si="806"/>
        <v>226497.40000001621</v>
      </c>
      <c r="ANL47" s="21">
        <f t="shared" si="806"/>
        <v>269276.09999996494</v>
      </c>
      <c r="ANM47" s="21">
        <f t="shared" si="806"/>
        <v>285625.70000003907</v>
      </c>
      <c r="ANN47" s="21">
        <f t="shared" si="806"/>
        <v>305030.39999998291</v>
      </c>
      <c r="ANO47" s="21">
        <f t="shared" si="806"/>
        <v>241851.70000000508</v>
      </c>
      <c r="ANP47" s="21">
        <f t="shared" si="806"/>
        <v>162387.79999998515</v>
      </c>
      <c r="ANQ47" s="21">
        <f t="shared" si="806"/>
        <v>200078.0999999959</v>
      </c>
      <c r="ANR47" s="21">
        <f t="shared" si="806"/>
        <v>190548.60000000917</v>
      </c>
      <c r="ANS47" s="21">
        <f t="shared" si="806"/>
        <v>210535.09999997914</v>
      </c>
      <c r="ANT47" s="21">
        <f t="shared" si="806"/>
        <v>172286.80000003078</v>
      </c>
      <c r="ANU47" s="21">
        <f t="shared" si="806"/>
        <v>282350.29999997932</v>
      </c>
      <c r="ANV47" s="21">
        <f t="shared" si="806"/>
        <v>227888.89999999665</v>
      </c>
      <c r="ANW47" s="21">
        <f t="shared" si="806"/>
        <v>204031.3000000082</v>
      </c>
      <c r="ANX47" s="21">
        <f t="shared" si="806"/>
        <v>243731.20000002673</v>
      </c>
      <c r="ANY47" s="21">
        <f t="shared" si="806"/>
        <v>311954.09999996773</v>
      </c>
      <c r="ANZ47" s="21">
        <f t="shared" si="806"/>
        <v>208487.70000001532</v>
      </c>
      <c r="AOA47" s="21">
        <f t="shared" si="806"/>
        <v>205499.39999998314</v>
      </c>
      <c r="AOB47" s="21">
        <f t="shared" si="806"/>
        <v>272488.60000002314</v>
      </c>
      <c r="AOC47" s="21">
        <f t="shared" si="806"/>
        <v>246665.89999999269</v>
      </c>
    </row>
    <row r="48" spans="1:1069" x14ac:dyDescent="0.2">
      <c r="A48" s="4"/>
      <c r="B48" s="31" t="s">
        <v>1536</v>
      </c>
      <c r="C48" s="32">
        <f t="shared" ref="C48:AG48" si="807">C47-C26+C45-C46</f>
        <v>19903.519999997341</v>
      </c>
      <c r="D48" s="32">
        <f t="shared" si="807"/>
        <v>-1884147.4999999939</v>
      </c>
      <c r="E48" s="32">
        <f t="shared" si="807"/>
        <v>206747.90000000282</v>
      </c>
      <c r="F48" s="32">
        <f t="shared" si="807"/>
        <v>192145.1800000082</v>
      </c>
      <c r="G48" s="32">
        <f t="shared" si="807"/>
        <v>-652133.33000010578</v>
      </c>
      <c r="H48" s="32">
        <f t="shared" si="807"/>
        <v>264686.8199998159</v>
      </c>
      <c r="I48" s="32">
        <f t="shared" si="807"/>
        <v>305347.19000034127</v>
      </c>
      <c r="J48" s="32">
        <f t="shared" si="807"/>
        <v>170364.28999999224</v>
      </c>
      <c r="K48" s="32">
        <f t="shared" si="807"/>
        <v>-682316.29999990505</v>
      </c>
      <c r="L48" s="32">
        <f t="shared" si="807"/>
        <v>384571.63999995071</v>
      </c>
      <c r="M48" s="32">
        <f t="shared" si="807"/>
        <v>299967.72999954713</v>
      </c>
      <c r="N48" s="32">
        <f t="shared" si="807"/>
        <v>48509.030000785133</v>
      </c>
      <c r="O48" s="32">
        <f t="shared" si="807"/>
        <v>435723.04000000557</v>
      </c>
      <c r="P48" s="32">
        <f t="shared" si="807"/>
        <v>230693.25999978959</v>
      </c>
      <c r="Q48" s="32">
        <f t="shared" si="807"/>
        <v>368404.56999981031</v>
      </c>
      <c r="R48" s="32">
        <f t="shared" si="807"/>
        <v>816582.78000040969</v>
      </c>
      <c r="S48" s="32">
        <f t="shared" si="807"/>
        <v>-208284.48000025644</v>
      </c>
      <c r="T48" s="32">
        <f t="shared" si="807"/>
        <v>151983.40999936714</v>
      </c>
      <c r="U48" s="32">
        <f t="shared" si="807"/>
        <v>-92825.209999743674</v>
      </c>
      <c r="V48" s="32">
        <f t="shared" si="807"/>
        <v>748695.45999984955</v>
      </c>
      <c r="W48" s="32">
        <f t="shared" si="807"/>
        <v>97404.620000644296</v>
      </c>
      <c r="X48" s="32">
        <f t="shared" si="807"/>
        <v>30403.159999688796</v>
      </c>
      <c r="Y48" s="32">
        <f t="shared" si="807"/>
        <v>346250.30000065948</v>
      </c>
      <c r="Z48" s="32">
        <f t="shared" si="807"/>
        <v>935.51999975228682</v>
      </c>
      <c r="AA48" s="32">
        <f t="shared" si="807"/>
        <v>353237.51999973634</v>
      </c>
      <c r="AB48" s="32">
        <f t="shared" si="807"/>
        <v>86645.289999952714</v>
      </c>
      <c r="AC48" s="32">
        <f t="shared" si="807"/>
        <v>-1635819.6399997605</v>
      </c>
      <c r="AD48" s="32">
        <f t="shared" si="807"/>
        <v>347796.88999960636</v>
      </c>
      <c r="AE48" s="32">
        <f t="shared" si="807"/>
        <v>264337.57999953872</v>
      </c>
      <c r="AF48" s="32">
        <f t="shared" si="807"/>
        <v>267809.15000114561</v>
      </c>
      <c r="AG48" s="32">
        <f t="shared" si="807"/>
        <v>388628.09999938239</v>
      </c>
      <c r="AH48" s="95">
        <f>SUM(C48:AE48)</f>
        <v>1015810.239999486</v>
      </c>
      <c r="AI48" s="32">
        <f t="shared" ref="AI48:BL48" si="808">AI47-AI26+AI45-AI46</f>
        <v>-82052.039999778557</v>
      </c>
      <c r="AJ48" s="32">
        <f t="shared" si="808"/>
        <v>703871.27000009909</v>
      </c>
      <c r="AK48" s="32">
        <f t="shared" si="808"/>
        <v>329549.15999994904</v>
      </c>
      <c r="AL48" s="32">
        <f t="shared" si="808"/>
        <v>-1828119.6999997508</v>
      </c>
      <c r="AM48" s="32">
        <f t="shared" si="808"/>
        <v>174040.76999942918</v>
      </c>
      <c r="AN48" s="32">
        <f t="shared" si="808"/>
        <v>-6456331.8099998971</v>
      </c>
      <c r="AO48" s="32">
        <f t="shared" si="808"/>
        <v>-51026155.440000094</v>
      </c>
      <c r="AP48" s="32">
        <f t="shared" si="808"/>
        <v>9573.0899998691166</v>
      </c>
      <c r="AQ48" s="32">
        <f t="shared" si="808"/>
        <v>-23331.719999558409</v>
      </c>
      <c r="AR48" s="32">
        <f t="shared" si="808"/>
        <v>223955.71999999636</v>
      </c>
      <c r="AS48" s="32">
        <f t="shared" si="808"/>
        <v>-145949.47000039654</v>
      </c>
      <c r="AT48" s="32">
        <f t="shared" si="808"/>
        <v>790379.45000067551</v>
      </c>
      <c r="AU48" s="32">
        <f t="shared" si="808"/>
        <v>-52518846.550000496</v>
      </c>
      <c r="AV48" s="32">
        <f t="shared" si="808"/>
        <v>-357877.40000019979</v>
      </c>
      <c r="AW48" s="32">
        <f t="shared" si="808"/>
        <v>446185.35000058037</v>
      </c>
      <c r="AX48" s="32">
        <f t="shared" si="808"/>
        <v>-248146.85000003956</v>
      </c>
      <c r="AY48" s="32">
        <f t="shared" si="808"/>
        <v>-235730.25000016933</v>
      </c>
      <c r="AZ48" s="32">
        <f t="shared" si="808"/>
        <v>633922.79999995523</v>
      </c>
      <c r="BA48" s="32">
        <f t="shared" si="808"/>
        <v>45077.69999958307</v>
      </c>
      <c r="BB48" s="32">
        <f t="shared" si="808"/>
        <v>-71504.749999969499</v>
      </c>
      <c r="BC48" s="32">
        <f t="shared" si="808"/>
        <v>375694.30000094144</v>
      </c>
      <c r="BD48" s="32">
        <f t="shared" si="808"/>
        <v>380435.24999985821</v>
      </c>
      <c r="BE48" s="32">
        <f t="shared" si="808"/>
        <v>62243.449999416771</v>
      </c>
      <c r="BF48" s="32">
        <f t="shared" si="808"/>
        <v>200523.75000021129</v>
      </c>
      <c r="BG48" s="32">
        <f t="shared" si="808"/>
        <v>292645.39999960543</v>
      </c>
      <c r="BH48" s="32">
        <f t="shared" si="808"/>
        <v>781850.74999999686</v>
      </c>
      <c r="BI48" s="32">
        <f t="shared" si="808"/>
        <v>376073.1800004578</v>
      </c>
      <c r="BJ48" s="32">
        <f t="shared" si="808"/>
        <v>252219.61000025884</v>
      </c>
      <c r="BK48" s="32">
        <f t="shared" si="808"/>
        <v>327411.52999980259</v>
      </c>
      <c r="BL48" s="32">
        <f t="shared" si="808"/>
        <v>439019.14999992063</v>
      </c>
      <c r="BM48" s="97">
        <f>SUM(AI48:BL48)</f>
        <v>-106149374.29999976</v>
      </c>
      <c r="BN48" s="32">
        <f t="shared" ref="BN48:CR48" si="809">BN47-BN26+BN45-BN46</f>
        <v>-282580.51999979879</v>
      </c>
      <c r="BO48" s="32">
        <f t="shared" si="809"/>
        <v>344727.77999982587</v>
      </c>
      <c r="BP48" s="32">
        <f t="shared" si="809"/>
        <v>-3615199.1799998065</v>
      </c>
      <c r="BQ48" s="32">
        <f t="shared" si="809"/>
        <v>198444.39999988623</v>
      </c>
      <c r="BR48" s="32">
        <f t="shared" si="809"/>
        <v>488261.14999956131</v>
      </c>
      <c r="BS48" s="32">
        <f t="shared" si="809"/>
        <v>45073.280000493105</v>
      </c>
      <c r="BT48" s="32">
        <f t="shared" si="809"/>
        <v>787315.87999919895</v>
      </c>
      <c r="BU48" s="32">
        <f t="shared" si="809"/>
        <v>377267.31000084255</v>
      </c>
      <c r="BV48" s="32">
        <f t="shared" si="809"/>
        <v>329405.60999965848</v>
      </c>
      <c r="BW48" s="32">
        <f t="shared" si="809"/>
        <v>-266956.9699998654</v>
      </c>
      <c r="BX48" s="32">
        <f t="shared" si="809"/>
        <v>270002.19000028039</v>
      </c>
      <c r="BY48" s="32">
        <f t="shared" si="809"/>
        <v>6078.2599995812052</v>
      </c>
      <c r="BZ48" s="32">
        <f t="shared" si="809"/>
        <v>302126.12000016583</v>
      </c>
      <c r="CA48" s="32">
        <f t="shared" si="809"/>
        <v>-500280.97000009788</v>
      </c>
      <c r="CB48" s="32">
        <f t="shared" si="809"/>
        <v>199484.0000000404</v>
      </c>
      <c r="CC48" s="32">
        <f t="shared" si="809"/>
        <v>215616.6000003778</v>
      </c>
      <c r="CD48" s="32">
        <f t="shared" si="809"/>
        <v>75443.449999642908</v>
      </c>
      <c r="CE48" s="32">
        <f t="shared" si="809"/>
        <v>10723.58000024542</v>
      </c>
      <c r="CF48" s="32">
        <f t="shared" si="809"/>
        <v>374061.26999945816</v>
      </c>
      <c r="CG48" s="32">
        <f t="shared" si="809"/>
        <v>282305.1700003256</v>
      </c>
      <c r="CH48" s="32">
        <f t="shared" si="809"/>
        <v>287050.98999966955</v>
      </c>
      <c r="CI48" s="32">
        <f t="shared" si="809"/>
        <v>296103.96000011562</v>
      </c>
      <c r="CJ48" s="32">
        <f t="shared" si="809"/>
        <v>196071.41000032439</v>
      </c>
      <c r="CK48" s="32">
        <f t="shared" si="809"/>
        <v>389592.20999998652</v>
      </c>
      <c r="CL48" s="32">
        <f t="shared" si="809"/>
        <v>162343.46000008052</v>
      </c>
      <c r="CM48" s="32">
        <f t="shared" si="809"/>
        <v>458345.32000021281</v>
      </c>
      <c r="CN48" s="32">
        <f t="shared" si="809"/>
        <v>138049.01999948634</v>
      </c>
      <c r="CO48" s="32">
        <f t="shared" si="809"/>
        <v>-577380.07000063511</v>
      </c>
      <c r="CP48" s="32">
        <f t="shared" si="809"/>
        <v>489413.78000079072</v>
      </c>
      <c r="CQ48" s="32">
        <f t="shared" si="809"/>
        <v>-101025.55000026943</v>
      </c>
      <c r="CR48" s="32">
        <f t="shared" si="809"/>
        <v>-94767.050999841158</v>
      </c>
      <c r="CS48" s="111">
        <f t="shared" si="208"/>
        <v>1285115.8889999366</v>
      </c>
      <c r="CT48" s="32">
        <f t="shared" ref="CT48:DW48" si="810">CT47-CT26+CT45-CT46</f>
        <v>172205.85899970439</v>
      </c>
      <c r="CU48" s="32">
        <f t="shared" si="810"/>
        <v>-218431.98899982724</v>
      </c>
      <c r="CV48" s="32">
        <f t="shared" si="810"/>
        <v>-2584300.1369999079</v>
      </c>
      <c r="CW48" s="32">
        <f t="shared" si="810"/>
        <v>12021.76700002185</v>
      </c>
      <c r="CX48" s="32">
        <f t="shared" si="810"/>
        <v>349760.3360000765</v>
      </c>
      <c r="CY48" s="32">
        <f t="shared" si="810"/>
        <v>538924.59700020275</v>
      </c>
      <c r="CZ48" s="32">
        <f t="shared" si="810"/>
        <v>-1297788.6549999048</v>
      </c>
      <c r="DA48" s="32">
        <f t="shared" si="810"/>
        <v>152774.06700000595</v>
      </c>
      <c r="DB48" s="32">
        <f t="shared" si="810"/>
        <v>-687828.46300065133</v>
      </c>
      <c r="DC48" s="32">
        <f t="shared" si="810"/>
        <v>202631.46300027458</v>
      </c>
      <c r="DD48" s="32">
        <f t="shared" si="810"/>
        <v>397836.10400006064</v>
      </c>
      <c r="DE48" s="32">
        <f t="shared" si="810"/>
        <v>45737.192999291699</v>
      </c>
      <c r="DF48" s="32">
        <f t="shared" si="810"/>
        <v>368649.49600030784</v>
      </c>
      <c r="DG48" s="32">
        <f t="shared" si="810"/>
        <v>243877.0420002375</v>
      </c>
      <c r="DH48" s="32">
        <f t="shared" si="810"/>
        <v>309472.28999996121</v>
      </c>
      <c r="DI48" s="32">
        <f t="shared" si="810"/>
        <v>117508.29000064899</v>
      </c>
      <c r="DJ48" s="32">
        <f t="shared" si="810"/>
        <v>335240.04999970261</v>
      </c>
      <c r="DK48" s="32">
        <f t="shared" si="810"/>
        <v>565449.54999944952</v>
      </c>
      <c r="DL48" s="32">
        <f t="shared" si="810"/>
        <v>-85382.620000185852</v>
      </c>
      <c r="DM48" s="32">
        <f t="shared" si="810"/>
        <v>83734.249999836029</v>
      </c>
      <c r="DN48" s="32">
        <f t="shared" si="810"/>
        <v>177235.69000016258</v>
      </c>
      <c r="DO48" s="32">
        <f t="shared" si="810"/>
        <v>204527.60000024718</v>
      </c>
      <c r="DP48" s="32">
        <f t="shared" si="810"/>
        <v>38067.550000717747</v>
      </c>
      <c r="DQ48" s="32">
        <f t="shared" si="810"/>
        <v>523021.92999919585</v>
      </c>
      <c r="DR48" s="32">
        <f t="shared" si="810"/>
        <v>1146298.0500008194</v>
      </c>
      <c r="DS48" s="32">
        <f t="shared" si="810"/>
        <v>-342253.38000009186</v>
      </c>
      <c r="DT48" s="32">
        <f t="shared" si="810"/>
        <v>-67040.580000506307</v>
      </c>
      <c r="DU48" s="32">
        <f t="shared" si="810"/>
        <v>-333533.36999970314</v>
      </c>
      <c r="DV48" s="32">
        <f t="shared" si="810"/>
        <v>-20217.750000068336</v>
      </c>
      <c r="DW48" s="32">
        <f t="shared" si="810"/>
        <v>912033.68999944034</v>
      </c>
      <c r="DX48" s="122"/>
      <c r="DY48" s="32">
        <f t="shared" ref="DY48:FC48" si="811">DY47-DY26+DY45-DY46</f>
        <v>-289149.97999985353</v>
      </c>
      <c r="DZ48" s="32">
        <f t="shared" si="811"/>
        <v>372615.00999952346</v>
      </c>
      <c r="EA48" s="32">
        <f t="shared" si="811"/>
        <v>23238.230000811454</v>
      </c>
      <c r="EB48" s="32">
        <f t="shared" si="811"/>
        <v>-1897703.3900002092</v>
      </c>
      <c r="EC48" s="32">
        <f t="shared" si="811"/>
        <v>-1227695.5900001351</v>
      </c>
      <c r="ED48" s="32">
        <f t="shared" si="811"/>
        <v>18601.709999690938</v>
      </c>
      <c r="EE48" s="32">
        <f t="shared" si="811"/>
        <v>-410863.56000017643</v>
      </c>
      <c r="EF48" s="32">
        <f t="shared" si="811"/>
        <v>323436.26000082964</v>
      </c>
      <c r="EG48" s="32">
        <f t="shared" si="811"/>
        <v>-302701.75000019174</v>
      </c>
      <c r="EH48" s="32">
        <f t="shared" si="811"/>
        <v>113755.89000004053</v>
      </c>
      <c r="EI48" s="32">
        <f t="shared" si="811"/>
        <v>372019.16999980254</v>
      </c>
      <c r="EJ48" s="32">
        <f t="shared" si="811"/>
        <v>-9276.6599991596304</v>
      </c>
      <c r="EK48" s="32">
        <f t="shared" si="811"/>
        <v>288530.20000018727</v>
      </c>
      <c r="EL48" s="32">
        <f t="shared" si="811"/>
        <v>-510098.17000036885</v>
      </c>
      <c r="EM48" s="32">
        <f t="shared" si="811"/>
        <v>189060.92999980319</v>
      </c>
      <c r="EN48" s="32">
        <f t="shared" si="811"/>
        <v>395052.65999927593</v>
      </c>
      <c r="EO48" s="32">
        <f t="shared" si="811"/>
        <v>354412.14000082371</v>
      </c>
      <c r="EP48" s="32">
        <f t="shared" si="811"/>
        <v>158684.17999975919</v>
      </c>
      <c r="EQ48" s="32">
        <f t="shared" si="811"/>
        <v>399325.88999990956</v>
      </c>
      <c r="ER48" s="32">
        <f t="shared" si="811"/>
        <v>965966.51999981899</v>
      </c>
      <c r="ES48" s="32">
        <f t="shared" si="811"/>
        <v>23331.120000078517</v>
      </c>
      <c r="ET48" s="32">
        <f t="shared" si="811"/>
        <v>553434.18000038888</v>
      </c>
      <c r="EU48" s="32">
        <f t="shared" si="811"/>
        <v>346384.6399999588</v>
      </c>
      <c r="EV48" s="32">
        <f t="shared" si="811"/>
        <v>260613.23999934189</v>
      </c>
      <c r="EW48" s="32">
        <f t="shared" si="811"/>
        <v>297360.56000063254</v>
      </c>
      <c r="EX48" s="32">
        <f t="shared" si="811"/>
        <v>50989.490000028163</v>
      </c>
      <c r="EY48" s="32">
        <f t="shared" si="811"/>
        <v>391760.78999976948</v>
      </c>
      <c r="EZ48" s="32">
        <f t="shared" si="811"/>
        <v>275512.7499999167</v>
      </c>
      <c r="FA48" s="32">
        <f t="shared" si="811"/>
        <v>-185190.9099999402</v>
      </c>
      <c r="FB48" s="32">
        <f t="shared" si="811"/>
        <v>574468.98000098357</v>
      </c>
      <c r="FC48" s="32">
        <f t="shared" si="811"/>
        <v>377.61999850114807</v>
      </c>
      <c r="FD48" s="128">
        <f>SUM(DY48:FC48)</f>
        <v>1916252.1499998416</v>
      </c>
      <c r="FE48" s="32">
        <f t="shared" ref="FE48:GI48" si="812">FE47-FE26+FE45-FE46</f>
        <v>40857.900000426744</v>
      </c>
      <c r="FF48" s="32">
        <f t="shared" si="812"/>
        <v>322313.76000036107</v>
      </c>
      <c r="FG48" s="32">
        <f t="shared" si="812"/>
        <v>52886.229999820061</v>
      </c>
      <c r="FH48" s="32">
        <f t="shared" si="812"/>
        <v>-2225300.5600007898</v>
      </c>
      <c r="FI48" s="32">
        <f t="shared" si="812"/>
        <v>36552.600000876118</v>
      </c>
      <c r="FJ48" s="32">
        <f t="shared" si="812"/>
        <v>-8422.5700004660757</v>
      </c>
      <c r="FK48" s="32">
        <f t="shared" si="812"/>
        <v>362412.32000049175</v>
      </c>
      <c r="FL48" s="32">
        <f t="shared" si="812"/>
        <v>273357.35999984841</v>
      </c>
      <c r="FM48" s="32">
        <f t="shared" si="812"/>
        <v>447140.46000030386</v>
      </c>
      <c r="FN48" s="32">
        <f t="shared" si="812"/>
        <v>-1416436.3599997154</v>
      </c>
      <c r="FO48" s="32">
        <f t="shared" si="812"/>
        <v>478403.49000007584</v>
      </c>
      <c r="FP48" s="32">
        <f t="shared" si="812"/>
        <v>963.07999898155686</v>
      </c>
      <c r="FQ48" s="32">
        <f t="shared" si="812"/>
        <v>369869.9100009806</v>
      </c>
      <c r="FR48" s="32">
        <f t="shared" si="812"/>
        <v>436780.37000001932</v>
      </c>
      <c r="FS48" s="32">
        <f t="shared" si="812"/>
        <v>210746.99999962177</v>
      </c>
      <c r="FT48" s="32">
        <f t="shared" si="812"/>
        <v>131012.59000003571</v>
      </c>
      <c r="FU48" s="32">
        <f t="shared" si="812"/>
        <v>1297.7999992572586</v>
      </c>
      <c r="FV48" s="32">
        <f t="shared" si="812"/>
        <v>-361042.64999927318</v>
      </c>
      <c r="FW48" s="32">
        <f t="shared" si="812"/>
        <v>153627.33000037086</v>
      </c>
      <c r="FX48" s="32">
        <f t="shared" si="812"/>
        <v>666793.22999907774</v>
      </c>
      <c r="FY48" s="32">
        <f t="shared" si="812"/>
        <v>-122391.18000027258</v>
      </c>
      <c r="FZ48" s="32">
        <f t="shared" si="812"/>
        <v>40674.130001278827</v>
      </c>
      <c r="GA48" s="32">
        <f t="shared" si="812"/>
        <v>253893.05999875185</v>
      </c>
      <c r="GB48" s="32">
        <f t="shared" si="812"/>
        <v>333136.5700008045</v>
      </c>
      <c r="GC48" s="32">
        <f t="shared" si="812"/>
        <v>342486.719999942</v>
      </c>
      <c r="GD48" s="32">
        <f t="shared" si="812"/>
        <v>25631.719999559573</v>
      </c>
      <c r="GE48" s="32">
        <f t="shared" si="812"/>
        <v>12064.000001160894</v>
      </c>
      <c r="GF48" s="32">
        <f t="shared" si="812"/>
        <v>645525.06999896001</v>
      </c>
      <c r="GG48" s="32">
        <f t="shared" si="812"/>
        <v>-497879.96999914467</v>
      </c>
      <c r="GH48" s="32">
        <f t="shared" si="812"/>
        <v>289725.60000006255</v>
      </c>
      <c r="GI48" s="32">
        <f t="shared" si="812"/>
        <v>64213.159999772033</v>
      </c>
      <c r="GJ48" s="127">
        <f>SUM(FE48:GI48)</f>
        <v>1360892.1700011787</v>
      </c>
      <c r="GK48" s="32">
        <f t="shared" ref="GK48:HM48" si="813">GK47-GK26+GK45-GK46</f>
        <v>8084.0499990791432</v>
      </c>
      <c r="GL48" s="32">
        <f t="shared" si="813"/>
        <v>210869.57000092836</v>
      </c>
      <c r="GM48" s="32">
        <f t="shared" si="813"/>
        <v>408283.22999982082</v>
      </c>
      <c r="GN48" s="32">
        <f t="shared" si="813"/>
        <v>180884.11999895936</v>
      </c>
      <c r="GO48" s="32">
        <f t="shared" si="813"/>
        <v>-2187020.4599991404</v>
      </c>
      <c r="GP48" s="32">
        <f t="shared" si="813"/>
        <v>-701875.49000067252</v>
      </c>
      <c r="GQ48" s="32">
        <f t="shared" si="813"/>
        <v>428013.25000090408</v>
      </c>
      <c r="GR48" s="32">
        <f t="shared" si="813"/>
        <v>-149133.19000043004</v>
      </c>
      <c r="GS48" s="32">
        <f t="shared" si="813"/>
        <v>157812.46999945084</v>
      </c>
      <c r="GT48" s="32">
        <f t="shared" si="813"/>
        <v>535376.17000008607</v>
      </c>
      <c r="GU48" s="32">
        <f t="shared" si="813"/>
        <v>-827445.11999938579</v>
      </c>
      <c r="GV48" s="32">
        <f t="shared" si="813"/>
        <v>318206.83999936678</v>
      </c>
      <c r="GW48" s="32">
        <f t="shared" si="813"/>
        <v>271200.38000071218</v>
      </c>
      <c r="GX48" s="32">
        <f t="shared" si="813"/>
        <v>-348336.35000119131</v>
      </c>
      <c r="GY48" s="32">
        <f t="shared" si="813"/>
        <v>258767.35000072775</v>
      </c>
      <c r="GZ48" s="32">
        <f t="shared" si="813"/>
        <v>-16128.520000090357</v>
      </c>
      <c r="HA48" s="32">
        <f t="shared" si="813"/>
        <v>583853.86999995238</v>
      </c>
      <c r="HB48" s="32">
        <f t="shared" si="813"/>
        <v>343420.34000045911</v>
      </c>
      <c r="HC48" s="32">
        <f t="shared" si="813"/>
        <v>-90636.070000325853</v>
      </c>
      <c r="HD48" s="32">
        <f t="shared" si="813"/>
        <v>-10577226.809999788</v>
      </c>
      <c r="HE48" s="32">
        <f t="shared" si="813"/>
        <v>-311971.9700000764</v>
      </c>
      <c r="HF48" s="32">
        <f t="shared" si="813"/>
        <v>65538.830000416492</v>
      </c>
      <c r="HG48" s="32">
        <f t="shared" si="813"/>
        <v>516951.40999986371</v>
      </c>
      <c r="HH48" s="32">
        <f t="shared" si="813"/>
        <v>-214702.41999985883</v>
      </c>
      <c r="HI48" s="32">
        <f t="shared" si="813"/>
        <v>401264.25999978906</v>
      </c>
      <c r="HJ48" s="32">
        <f t="shared" si="813"/>
        <v>-61280.649999779998</v>
      </c>
      <c r="HK48" s="32">
        <f t="shared" si="813"/>
        <v>55511.819999478757</v>
      </c>
      <c r="HL48" s="32">
        <f t="shared" si="813"/>
        <v>198565.19000057539</v>
      </c>
      <c r="HM48" s="32">
        <f t="shared" si="813"/>
        <v>-615722.87000104517</v>
      </c>
      <c r="HN48" s="127">
        <f t="shared" si="253"/>
        <v>-11158876.770001216</v>
      </c>
      <c r="HO48" s="32">
        <f t="shared" ref="HO48:IS48" si="814">HO47-HO26+HO45-HO46</f>
        <v>-72938.049999128052</v>
      </c>
      <c r="HP48" s="32">
        <f t="shared" si="814"/>
        <v>427456.85999977024</v>
      </c>
      <c r="HQ48" s="32">
        <f t="shared" si="814"/>
        <v>36565.86999947991</v>
      </c>
      <c r="HR48" s="32">
        <f t="shared" si="814"/>
        <v>-2693242.5299991472</v>
      </c>
      <c r="HS48" s="32">
        <f t="shared" si="814"/>
        <v>-66561.349999723781</v>
      </c>
      <c r="HT48" s="32">
        <f t="shared" si="814"/>
        <v>239993.03000020212</v>
      </c>
      <c r="HU48" s="32">
        <f t="shared" si="814"/>
        <v>12234.869999495277</v>
      </c>
      <c r="HV48" s="32">
        <f t="shared" si="814"/>
        <v>-964558.93000015756</v>
      </c>
      <c r="HW48" s="32">
        <f t="shared" si="814"/>
        <v>-90235.740000015649</v>
      </c>
      <c r="HX48" s="32">
        <f t="shared" si="814"/>
        <v>381659.6600000179</v>
      </c>
      <c r="HY48" s="32">
        <f t="shared" si="814"/>
        <v>214438.28999968129</v>
      </c>
      <c r="HZ48" s="32">
        <f t="shared" si="814"/>
        <v>96738.70000034658</v>
      </c>
      <c r="IA48" s="32">
        <f t="shared" si="814"/>
        <v>348278.20000023785</v>
      </c>
      <c r="IB48" s="32">
        <f t="shared" si="814"/>
        <v>-307575.35000044736</v>
      </c>
      <c r="IC48" s="32">
        <f t="shared" si="814"/>
        <v>188279.79999963718</v>
      </c>
      <c r="ID48" s="32">
        <f t="shared" si="814"/>
        <v>418278.15000062261</v>
      </c>
      <c r="IE48" s="32">
        <f t="shared" si="814"/>
        <v>264049.99999928114</v>
      </c>
      <c r="IF48" s="32">
        <f t="shared" si="814"/>
        <v>405959.0000001117</v>
      </c>
      <c r="IG48" s="32">
        <f t="shared" si="814"/>
        <v>-74299.64999929507</v>
      </c>
      <c r="IH48" s="32">
        <f t="shared" si="814"/>
        <v>-52778.650000457128</v>
      </c>
      <c r="II48" s="32">
        <f t="shared" si="814"/>
        <v>143371.85000083264</v>
      </c>
      <c r="IJ48" s="32">
        <f t="shared" si="814"/>
        <v>5743.9499995060032</v>
      </c>
      <c r="IK48" s="32">
        <f t="shared" si="814"/>
        <v>613490.85000048066</v>
      </c>
      <c r="IL48" s="32">
        <f t="shared" si="814"/>
        <v>213935.34999934345</v>
      </c>
      <c r="IM48" s="32">
        <f t="shared" si="814"/>
        <v>-352768.05000073218</v>
      </c>
      <c r="IN48" s="32">
        <f t="shared" si="814"/>
        <v>344138.14999991737</v>
      </c>
      <c r="IO48" s="32">
        <f t="shared" si="814"/>
        <v>259417.84000114101</v>
      </c>
      <c r="IP48" s="32">
        <f t="shared" si="814"/>
        <v>249773.10999919812</v>
      </c>
      <c r="IQ48" s="32">
        <f t="shared" si="814"/>
        <v>-138696.97999928176</v>
      </c>
      <c r="IR48" s="32">
        <f t="shared" si="814"/>
        <v>434314.83999958175</v>
      </c>
      <c r="IS48" s="32">
        <f t="shared" si="814"/>
        <v>32062.800000127463</v>
      </c>
      <c r="IT48" s="127">
        <f t="shared" si="22"/>
        <v>516525.89000062563</v>
      </c>
      <c r="IU48" s="32">
        <f t="shared" ref="IU48:JX48" si="815">IU47-IU26+IU45-IU46</f>
        <v>299572.58999958867</v>
      </c>
      <c r="IV48" s="32">
        <f t="shared" si="815"/>
        <v>-250854.80999964947</v>
      </c>
      <c r="IW48" s="32">
        <f t="shared" si="815"/>
        <v>-2032626.4999997581</v>
      </c>
      <c r="IX48" s="32">
        <f t="shared" si="815"/>
        <v>-298119.90000042308</v>
      </c>
      <c r="IY48" s="32">
        <f t="shared" si="815"/>
        <v>92507.629999723576</v>
      </c>
      <c r="IZ48" s="32">
        <f t="shared" si="815"/>
        <v>-816770.51999983611</v>
      </c>
      <c r="JA48" s="32">
        <f t="shared" si="815"/>
        <v>-265860.8399998807</v>
      </c>
      <c r="JB48" s="32">
        <f t="shared" si="815"/>
        <v>190210.46000006475</v>
      </c>
      <c r="JC48" s="32">
        <f t="shared" si="815"/>
        <v>-205445.30000020837</v>
      </c>
      <c r="JD48" s="32">
        <f t="shared" si="815"/>
        <v>13726.760000587092</v>
      </c>
      <c r="JE48" s="32">
        <f t="shared" si="815"/>
        <v>107415.76999977912</v>
      </c>
      <c r="JF48" s="32">
        <f t="shared" si="815"/>
        <v>399003.82000103244</v>
      </c>
      <c r="JG48" s="32">
        <f t="shared" si="815"/>
        <v>213696.17999882554</v>
      </c>
      <c r="JH48" s="32">
        <f t="shared" si="815"/>
        <v>-501801.46999870928</v>
      </c>
      <c r="JI48" s="32">
        <f t="shared" si="815"/>
        <v>673295.46999878448</v>
      </c>
      <c r="JJ48" s="32">
        <f t="shared" si="815"/>
        <v>-24505.250000228407</v>
      </c>
      <c r="JK48" s="32">
        <f t="shared" si="815"/>
        <v>392593.16000058374</v>
      </c>
      <c r="JL48" s="32">
        <f t="shared" si="815"/>
        <v>-83231.099999382277</v>
      </c>
      <c r="JM48" s="32">
        <f t="shared" si="815"/>
        <v>125508.44999895518</v>
      </c>
      <c r="JN48" s="32">
        <f t="shared" si="815"/>
        <v>211867.51000076823</v>
      </c>
      <c r="JO48" s="32">
        <f t="shared" si="815"/>
        <v>308834.42999987863</v>
      </c>
      <c r="JP48" s="32">
        <f t="shared" si="815"/>
        <v>-313967.11000025098</v>
      </c>
      <c r="JQ48" s="32">
        <f t="shared" si="815"/>
        <v>217995.38000025641</v>
      </c>
      <c r="JR48" s="32">
        <f t="shared" si="815"/>
        <v>272595.73000062956</v>
      </c>
      <c r="JS48" s="32">
        <f t="shared" si="815"/>
        <v>-500137.55000141187</v>
      </c>
      <c r="JT48" s="32">
        <f t="shared" si="815"/>
        <v>-140709.45000023465</v>
      </c>
      <c r="JU48" s="32">
        <f t="shared" si="815"/>
        <v>479197.65000002895</v>
      </c>
      <c r="JV48" s="32">
        <f t="shared" si="815"/>
        <v>702044.24999980256</v>
      </c>
      <c r="JW48" s="32">
        <f t="shared" si="815"/>
        <v>-26181.020000184653</v>
      </c>
      <c r="JX48" s="32">
        <f t="shared" si="815"/>
        <v>144833.29000066267</v>
      </c>
      <c r="JY48" s="127">
        <f t="shared" si="58"/>
        <v>-615312.29000020679</v>
      </c>
      <c r="JZ48" s="32">
        <f t="shared" ref="JZ48:LD48" si="816">JZ47-JZ26+JZ45-JZ46</f>
        <v>298931.05999973341</v>
      </c>
      <c r="KA48" s="32">
        <f t="shared" si="816"/>
        <v>92039.070000391803</v>
      </c>
      <c r="KB48" s="32">
        <f t="shared" si="816"/>
        <v>-1522859.8300007386</v>
      </c>
      <c r="KC48" s="32">
        <f t="shared" si="816"/>
        <v>-228312.25999987189</v>
      </c>
      <c r="KD48" s="32">
        <f t="shared" si="816"/>
        <v>375035.5500005497</v>
      </c>
      <c r="KE48" s="32">
        <f t="shared" si="816"/>
        <v>-561748.50999907916</v>
      </c>
      <c r="KF48" s="32">
        <f t="shared" si="816"/>
        <v>-1742274.7800001828</v>
      </c>
      <c r="KG48" s="32">
        <f t="shared" si="816"/>
        <v>-879119.96000097203</v>
      </c>
      <c r="KH48" s="32">
        <f t="shared" si="816"/>
        <v>142111.89000011189</v>
      </c>
      <c r="KI48" s="32">
        <f t="shared" si="816"/>
        <v>-933316.52999983844</v>
      </c>
      <c r="KJ48" s="32">
        <f t="shared" si="816"/>
        <v>655705.71000016178</v>
      </c>
      <c r="KK48" s="32">
        <f t="shared" si="816"/>
        <v>-109914.1300000198</v>
      </c>
      <c r="KL48" s="32">
        <f t="shared" si="816"/>
        <v>518763.96999878314</v>
      </c>
      <c r="KM48" s="32">
        <f t="shared" si="816"/>
        <v>-354180.88999811828</v>
      </c>
      <c r="KN48" s="32">
        <f t="shared" si="816"/>
        <v>-65602.56999977224</v>
      </c>
      <c r="KO48" s="32">
        <f t="shared" si="816"/>
        <v>-4908525.0500005651</v>
      </c>
      <c r="KP48" s="32">
        <f t="shared" si="816"/>
        <v>-214898.65000046935</v>
      </c>
      <c r="KQ48" s="32">
        <f t="shared" si="816"/>
        <v>-167065.17000041087</v>
      </c>
      <c r="KR48" s="32">
        <f t="shared" si="816"/>
        <v>-619045.92999951448</v>
      </c>
      <c r="KS48" s="32">
        <f t="shared" si="816"/>
        <v>405665.1200007525</v>
      </c>
      <c r="KT48" s="32">
        <f t="shared" si="816"/>
        <v>-1940347.6300005314</v>
      </c>
      <c r="KU48" s="32">
        <f t="shared" si="816"/>
        <v>-2284673.6600012071</v>
      </c>
      <c r="KV48" s="32">
        <f t="shared" si="816"/>
        <v>-4321913.9899989562</v>
      </c>
      <c r="KW48" s="32">
        <f t="shared" si="816"/>
        <v>-401750.34999998374</v>
      </c>
      <c r="KX48" s="32">
        <f t="shared" si="816"/>
        <v>578952.99999989395</v>
      </c>
      <c r="KY48" s="32">
        <f t="shared" si="816"/>
        <v>91863.040000219771</v>
      </c>
      <c r="KZ48" s="32">
        <f t="shared" si="816"/>
        <v>56394.31999968423</v>
      </c>
      <c r="LA48" s="32">
        <f t="shared" si="816"/>
        <v>238809.34999999328</v>
      </c>
      <c r="LB48" s="32">
        <f t="shared" si="816"/>
        <v>289113.20000028645</v>
      </c>
      <c r="LC48" s="32">
        <f t="shared" si="816"/>
        <v>-413654.10000057454</v>
      </c>
      <c r="LD48" s="32">
        <f t="shared" si="816"/>
        <v>558877.58000082313</v>
      </c>
      <c r="LE48" s="127">
        <f t="shared" si="60"/>
        <v>-17665872.189999156</v>
      </c>
      <c r="LF48" s="32">
        <f t="shared" ref="LF48:MI48" si="817">LF47-LF26+LF45-LF46</f>
        <v>-41457.130000448378</v>
      </c>
      <c r="LG48" s="32">
        <f t="shared" si="817"/>
        <v>346043.35999960953</v>
      </c>
      <c r="LH48" s="32">
        <f t="shared" si="817"/>
        <v>-2015803.8799995189</v>
      </c>
      <c r="LI48" s="32">
        <f t="shared" si="817"/>
        <v>-978334.01999991946</v>
      </c>
      <c r="LJ48" s="32">
        <f t="shared" si="817"/>
        <v>369380.43999884278</v>
      </c>
      <c r="LK48" s="32">
        <f t="shared" si="817"/>
        <v>474792.7000003017</v>
      </c>
      <c r="LL48" s="32">
        <f t="shared" si="817"/>
        <v>253017.63000100094</v>
      </c>
      <c r="LM48" s="32">
        <f t="shared" si="817"/>
        <v>-116285.87000003696</v>
      </c>
      <c r="LN48" s="32">
        <f t="shared" si="817"/>
        <v>365025.82000064984</v>
      </c>
      <c r="LO48" s="32">
        <f t="shared" si="817"/>
        <v>418795.9799994115</v>
      </c>
      <c r="LP48" s="32">
        <f t="shared" si="817"/>
        <v>295522.29999936215</v>
      </c>
      <c r="LQ48" s="32">
        <f t="shared" si="817"/>
        <v>852515.66000030341</v>
      </c>
      <c r="LR48" s="32">
        <f t="shared" si="817"/>
        <v>213252.00999900087</v>
      </c>
      <c r="LS48" s="32">
        <f t="shared" si="817"/>
        <v>-1330706.1599983845</v>
      </c>
      <c r="LT48" s="32">
        <f t="shared" si="817"/>
        <v>674822.23999942595</v>
      </c>
      <c r="LU48" s="32">
        <f t="shared" si="817"/>
        <v>-313144.30000057037</v>
      </c>
      <c r="LV48" s="32">
        <f t="shared" si="817"/>
        <v>-287564.72000013402</v>
      </c>
      <c r="LW48" s="32">
        <f t="shared" si="817"/>
        <v>-246229.98999894829</v>
      </c>
      <c r="LX48" s="32">
        <f t="shared" si="817"/>
        <v>529660.22000038822</v>
      </c>
      <c r="LY48" s="32">
        <f t="shared" si="817"/>
        <v>-490945.49000102474</v>
      </c>
      <c r="LZ48" s="32">
        <f t="shared" si="817"/>
        <v>504099.80000046664</v>
      </c>
      <c r="MA48" s="32">
        <f t="shared" si="817"/>
        <v>190894.70999898243</v>
      </c>
      <c r="MB48" s="32">
        <f t="shared" si="817"/>
        <v>299704.51000111381</v>
      </c>
      <c r="MC48" s="32">
        <f t="shared" si="817"/>
        <v>148388.05000034627</v>
      </c>
      <c r="MD48" s="32">
        <f t="shared" si="817"/>
        <v>123568.0000001844</v>
      </c>
      <c r="ME48" s="32">
        <f t="shared" si="817"/>
        <v>-174368.90000085824</v>
      </c>
      <c r="MF48" s="32">
        <f t="shared" si="817"/>
        <v>844443.52999999595</v>
      </c>
      <c r="MG48" s="32">
        <f t="shared" si="817"/>
        <v>245236.25000048341</v>
      </c>
      <c r="MH48" s="32">
        <f t="shared" si="817"/>
        <v>-70268.369999611168</v>
      </c>
      <c r="MI48" s="32">
        <f t="shared" si="817"/>
        <v>530714.38999890443</v>
      </c>
      <c r="MJ48" s="127">
        <f t="shared" si="62"/>
        <v>1614768.7699993188</v>
      </c>
      <c r="MK48" s="32">
        <f t="shared" ref="MK48:NO48" si="818">MK47-MK26+MK45-MK46</f>
        <v>-710031.9599995946</v>
      </c>
      <c r="ML48" s="32">
        <f t="shared" si="818"/>
        <v>-681012.83000005013</v>
      </c>
      <c r="MM48" s="32">
        <f t="shared" si="818"/>
        <v>-2363834.419999809</v>
      </c>
      <c r="MN48" s="32">
        <f t="shared" si="818"/>
        <v>233821.58000038617</v>
      </c>
      <c r="MO48" s="32">
        <f t="shared" si="818"/>
        <v>308246.75999926083</v>
      </c>
      <c r="MP48" s="32">
        <f t="shared" si="818"/>
        <v>-475206.72999949724</v>
      </c>
      <c r="MQ48" s="32">
        <f t="shared" si="818"/>
        <v>134122.3899991432</v>
      </c>
      <c r="MR48" s="32">
        <f t="shared" si="818"/>
        <v>368684.9500002031</v>
      </c>
      <c r="MS48" s="32">
        <f t="shared" si="818"/>
        <v>74492.630000536461</v>
      </c>
      <c r="MT48" s="32">
        <f t="shared" si="818"/>
        <v>60656.999999461696</v>
      </c>
      <c r="MU48" s="32">
        <f t="shared" si="818"/>
        <v>-76114.239999696292</v>
      </c>
      <c r="MV48" s="32">
        <f t="shared" si="818"/>
        <v>-1020985.8339999219</v>
      </c>
      <c r="MW48" s="32">
        <f t="shared" si="818"/>
        <v>-106031.09100014984</v>
      </c>
      <c r="MX48" s="32">
        <f t="shared" si="818"/>
        <v>427756.38999956375</v>
      </c>
      <c r="MY48" s="32">
        <f t="shared" si="818"/>
        <v>395800.55600101303</v>
      </c>
      <c r="MZ48" s="32">
        <f t="shared" si="818"/>
        <v>-31439.21100107691</v>
      </c>
      <c r="NA48" s="32">
        <f t="shared" si="818"/>
        <v>-670881.11199923896</v>
      </c>
      <c r="NB48" s="32">
        <f t="shared" si="818"/>
        <v>-185479.9540008819</v>
      </c>
      <c r="NC48" s="32">
        <f t="shared" si="818"/>
        <v>7076.5870011367369</v>
      </c>
      <c r="ND48" s="32">
        <f t="shared" si="818"/>
        <v>298657.49199930695</v>
      </c>
      <c r="NE48" s="32">
        <f t="shared" si="818"/>
        <v>739708.95099973679</v>
      </c>
      <c r="NF48" s="32">
        <f t="shared" si="818"/>
        <v>-135111.9499998129</v>
      </c>
      <c r="NG48" s="32">
        <f t="shared" si="818"/>
        <v>145224.78200123648</v>
      </c>
      <c r="NH48" s="32">
        <f t="shared" si="818"/>
        <v>52970.643998957094</v>
      </c>
      <c r="NI48" s="32">
        <f t="shared" si="818"/>
        <v>225346.50900022715</v>
      </c>
      <c r="NJ48" s="32">
        <f t="shared" si="818"/>
        <v>394059.28599909932</v>
      </c>
      <c r="NK48" s="32">
        <f t="shared" si="818"/>
        <v>-86259.788999637094</v>
      </c>
      <c r="NL48" s="32">
        <f t="shared" si="818"/>
        <v>201523.38800124213</v>
      </c>
      <c r="NM48" s="32">
        <f t="shared" si="818"/>
        <v>208821.5879993944</v>
      </c>
      <c r="NN48" s="32">
        <f t="shared" si="818"/>
        <v>-1014546.3949998093</v>
      </c>
      <c r="NO48" s="32">
        <f t="shared" si="818"/>
        <v>312554.87699990696</v>
      </c>
      <c r="NP48" s="127">
        <f t="shared" si="64"/>
        <v>-2257377.1959997695</v>
      </c>
      <c r="NQ48" s="32">
        <f t="shared" ref="NQ48:OU48" si="819">NQ47-NQ26+NQ45-NQ46</f>
        <v>453840.16299908445</v>
      </c>
      <c r="NR48" s="32">
        <f t="shared" si="819"/>
        <v>-2194645.042999065</v>
      </c>
      <c r="NS48" s="32">
        <f t="shared" si="819"/>
        <v>-734188.04099998774</v>
      </c>
      <c r="NT48" s="32">
        <f t="shared" si="819"/>
        <v>392390.61999985704</v>
      </c>
      <c r="NU48" s="32">
        <f t="shared" si="819"/>
        <v>-19669.437000700447</v>
      </c>
      <c r="NV48" s="32">
        <f t="shared" si="819"/>
        <v>272041.32800021803</v>
      </c>
      <c r="NW48" s="32">
        <f t="shared" si="819"/>
        <v>-370344.16599952453</v>
      </c>
      <c r="NX48" s="32">
        <f t="shared" si="819"/>
        <v>222914.66499992681</v>
      </c>
      <c r="NY48" s="32">
        <f t="shared" si="819"/>
        <v>-529294.30599990359</v>
      </c>
      <c r="NZ48" s="32">
        <f t="shared" si="819"/>
        <v>214641.86799957734</v>
      </c>
      <c r="OA48" s="32">
        <f t="shared" si="819"/>
        <v>56440.955999812228</v>
      </c>
      <c r="OB48" s="32">
        <f t="shared" si="819"/>
        <v>187626.73700073655</v>
      </c>
      <c r="OC48" s="32">
        <f t="shared" si="819"/>
        <v>117539.62099946334</v>
      </c>
      <c r="OD48" s="32">
        <f t="shared" si="819"/>
        <v>237542.45100096334</v>
      </c>
      <c r="OE48" s="32">
        <f t="shared" si="819"/>
        <v>-34765.443001100735</v>
      </c>
      <c r="OF48" s="32">
        <f t="shared" si="819"/>
        <v>388711.8330007781</v>
      </c>
      <c r="OG48" s="32">
        <f t="shared" si="819"/>
        <v>208841.59199994957</v>
      </c>
      <c r="OH48" s="32">
        <f t="shared" si="819"/>
        <v>325524.29999929306</v>
      </c>
      <c r="OI48" s="32">
        <f t="shared" si="819"/>
        <v>-422739.15599931416</v>
      </c>
      <c r="OJ48" s="32">
        <f t="shared" si="819"/>
        <v>325610.85500024981</v>
      </c>
      <c r="OK48" s="32">
        <f t="shared" si="819"/>
        <v>141940.3349990861</v>
      </c>
      <c r="OL48" s="32">
        <f t="shared" si="819"/>
        <v>29409.279000165057</v>
      </c>
      <c r="OM48" s="32">
        <f t="shared" si="819"/>
        <v>108035.24400058473</v>
      </c>
      <c r="ON48" s="32">
        <f t="shared" si="819"/>
        <v>253690.76699936239</v>
      </c>
      <c r="OO48" s="32">
        <f t="shared" si="819"/>
        <v>128161.67300000318</v>
      </c>
      <c r="OP48" s="32">
        <f t="shared" si="819"/>
        <v>253944.28599927906</v>
      </c>
      <c r="OQ48" s="32">
        <f t="shared" si="819"/>
        <v>-512567.53299898119</v>
      </c>
      <c r="OR48" s="32">
        <f t="shared" si="819"/>
        <v>125844.9190002417</v>
      </c>
      <c r="OS48" s="32">
        <f t="shared" si="819"/>
        <v>193804.74999982418</v>
      </c>
      <c r="OT48" s="32">
        <f t="shared" si="819"/>
        <v>-284478.54000018461</v>
      </c>
      <c r="OU48" s="32">
        <f t="shared" si="819"/>
        <v>292017.19699951861</v>
      </c>
      <c r="OV48" s="127">
        <f t="shared" si="66"/>
        <v>-626016.38899987051</v>
      </c>
      <c r="OW48" s="32">
        <f t="shared" ref="OW48:PZ48" si="820">OW47-OW26+OW45-OW46</f>
        <v>246278.36600051433</v>
      </c>
      <c r="OX48" s="32">
        <f t="shared" si="820"/>
        <v>-2837130.9280002182</v>
      </c>
      <c r="OY48" s="32">
        <f t="shared" si="820"/>
        <v>-205506.72300009319</v>
      </c>
      <c r="OZ48" s="32">
        <f t="shared" si="820"/>
        <v>-23398.344999560009</v>
      </c>
      <c r="PA48" s="32">
        <f t="shared" si="820"/>
        <v>344264.05099965679</v>
      </c>
      <c r="PB48" s="32">
        <f t="shared" si="820"/>
        <v>-1086549.9079990732</v>
      </c>
      <c r="PC48" s="32">
        <f t="shared" si="820"/>
        <v>-143591.51100136968</v>
      </c>
      <c r="PD48" s="32">
        <f t="shared" si="820"/>
        <v>212441.65900130957</v>
      </c>
      <c r="PE48" s="32">
        <f t="shared" si="820"/>
        <v>-1500519.0250015063</v>
      </c>
      <c r="PF48" s="32">
        <f t="shared" si="820"/>
        <v>-930596.68699856964</v>
      </c>
      <c r="PG48" s="32">
        <f t="shared" si="820"/>
        <v>-238508.637000463</v>
      </c>
      <c r="PH48" s="32">
        <f t="shared" si="820"/>
        <v>289102.63299993431</v>
      </c>
      <c r="PI48" s="32">
        <f t="shared" si="820"/>
        <v>226315.23499981751</v>
      </c>
      <c r="PJ48" s="32">
        <f t="shared" si="820"/>
        <v>556156.40200021863</v>
      </c>
      <c r="PK48" s="32">
        <f t="shared" si="820"/>
        <v>-69871.47400012266</v>
      </c>
      <c r="PL48" s="32">
        <f t="shared" si="820"/>
        <v>305103.77100010379</v>
      </c>
      <c r="PM48" s="32">
        <f t="shared" si="820"/>
        <v>745512.18899940257</v>
      </c>
      <c r="PN48" s="32">
        <f t="shared" si="820"/>
        <v>-368707.2439990174</v>
      </c>
      <c r="PO48" s="32">
        <f t="shared" si="820"/>
        <v>-763781.22599992412</v>
      </c>
      <c r="PP48" s="32">
        <f t="shared" si="820"/>
        <v>251074.35699978805</v>
      </c>
      <c r="PQ48" s="32">
        <f t="shared" si="820"/>
        <v>309506.47599909198</v>
      </c>
      <c r="PR48" s="32">
        <f t="shared" si="820"/>
        <v>96686.678000806132</v>
      </c>
      <c r="PS48" s="32">
        <f t="shared" si="820"/>
        <v>65545.357999547807</v>
      </c>
      <c r="PT48" s="32">
        <f t="shared" si="820"/>
        <v>-216638.39900029963</v>
      </c>
      <c r="PU48" s="32">
        <f t="shared" si="820"/>
        <v>-74342.771999058197</v>
      </c>
      <c r="PV48" s="32">
        <f t="shared" si="820"/>
        <v>-238875.92200080509</v>
      </c>
      <c r="PW48" s="32">
        <f t="shared" si="820"/>
        <v>642384.7029995434</v>
      </c>
      <c r="PX48" s="32">
        <f t="shared" si="820"/>
        <v>62965.773000880843</v>
      </c>
      <c r="PY48" s="32">
        <f t="shared" si="820"/>
        <v>79470.901999972149</v>
      </c>
      <c r="PZ48" s="32">
        <f t="shared" si="820"/>
        <v>303243.76199972478</v>
      </c>
      <c r="QA48" s="127">
        <f t="shared" si="68"/>
        <v>-3961966.4859997681</v>
      </c>
      <c r="QB48" s="32">
        <f t="shared" ref="QB48:RF48" si="821">QB47-QB26+QB45-QB46</f>
        <v>-5423444.1299995547</v>
      </c>
      <c r="QC48" s="32">
        <f t="shared" si="821"/>
        <v>-2559491.0860003396</v>
      </c>
      <c r="QD48" s="32">
        <f t="shared" si="821"/>
        <v>-1001265.9059991671</v>
      </c>
      <c r="QE48" s="32">
        <f t="shared" si="821"/>
        <v>604123.00799924845</v>
      </c>
      <c r="QF48" s="32">
        <f t="shared" si="821"/>
        <v>91868.692000323674</v>
      </c>
      <c r="QG48" s="32">
        <f t="shared" si="821"/>
        <v>28615.915999948658</v>
      </c>
      <c r="QH48" s="32">
        <f t="shared" si="821"/>
        <v>652354.39400028507</v>
      </c>
      <c r="QI48" s="32">
        <f t="shared" si="821"/>
        <v>178806.93499982587</v>
      </c>
      <c r="QJ48" s="32">
        <f t="shared" si="821"/>
        <v>232183.72200031142</v>
      </c>
      <c r="QK48" s="32">
        <f t="shared" si="821"/>
        <v>334207.99699897133</v>
      </c>
      <c r="QL48" s="32">
        <f t="shared" si="821"/>
        <v>202507.91900028635</v>
      </c>
      <c r="QM48" s="32">
        <f t="shared" si="821"/>
        <v>108715.86100082693</v>
      </c>
      <c r="QN48" s="32">
        <f t="shared" si="821"/>
        <v>109925.8339997271</v>
      </c>
      <c r="QO48" s="32">
        <f t="shared" si="821"/>
        <v>155069.76600013708</v>
      </c>
      <c r="QP48" s="32">
        <f t="shared" si="821"/>
        <v>294995.32199921214</v>
      </c>
      <c r="QQ48" s="32">
        <f t="shared" si="821"/>
        <v>305727.97300068109</v>
      </c>
      <c r="QR48" s="32">
        <f t="shared" si="821"/>
        <v>145455.60000035877</v>
      </c>
      <c r="QS48" s="32">
        <f t="shared" si="821"/>
        <v>433033.56199913053</v>
      </c>
      <c r="QT48" s="32">
        <f t="shared" si="821"/>
        <v>54253.030000721454</v>
      </c>
      <c r="QU48" s="32">
        <f t="shared" si="821"/>
        <v>271862.66999969882</v>
      </c>
      <c r="QV48" s="32">
        <f t="shared" si="821"/>
        <v>-218403.2750003814</v>
      </c>
      <c r="QW48" s="32">
        <f t="shared" si="821"/>
        <v>85995.022999904584</v>
      </c>
      <c r="QX48" s="32">
        <f t="shared" si="821"/>
        <v>474823.40000096767</v>
      </c>
      <c r="QY48" s="32">
        <f t="shared" si="821"/>
        <v>466039.67999926407</v>
      </c>
      <c r="QZ48" s="32">
        <f t="shared" si="821"/>
        <v>-1514039.8730006046</v>
      </c>
      <c r="RA48" s="32">
        <f t="shared" si="821"/>
        <v>499685.75000094948</v>
      </c>
      <c r="RB48" s="32">
        <f t="shared" si="821"/>
        <v>-165639.66299988423</v>
      </c>
      <c r="RC48" s="32">
        <f t="shared" si="821"/>
        <v>-34121.395000924414</v>
      </c>
      <c r="RD48" s="32">
        <f t="shared" si="821"/>
        <v>426460.36899997038</v>
      </c>
      <c r="RE48" s="32">
        <f t="shared" si="821"/>
        <v>-146243.29900000792</v>
      </c>
      <c r="RF48" s="32">
        <f t="shared" si="821"/>
        <v>537979.79300030216</v>
      </c>
      <c r="RG48" s="127">
        <f t="shared" si="495"/>
        <v>1055487.7189997432</v>
      </c>
      <c r="RH48" s="32">
        <f t="shared" ref="RH48:SK48" si="822">RH47-RH26+RH45-RH46</f>
        <v>-37427.248999101284</v>
      </c>
      <c r="RI48" s="32">
        <f t="shared" si="822"/>
        <v>-2174184.5300003109</v>
      </c>
      <c r="RJ48" s="32">
        <f t="shared" si="822"/>
        <v>203578.30799976928</v>
      </c>
      <c r="RK48" s="32">
        <f t="shared" si="822"/>
        <v>-159023.26500039909</v>
      </c>
      <c r="RL48" s="32">
        <f t="shared" si="822"/>
        <v>14059.163000443892</v>
      </c>
      <c r="RM48" s="32">
        <f t="shared" si="822"/>
        <v>10334.123000174179</v>
      </c>
      <c r="RN48" s="32">
        <f t="shared" si="822"/>
        <v>-983756.80200078804</v>
      </c>
      <c r="RO48" s="32">
        <f t="shared" si="822"/>
        <v>197343.92800050674</v>
      </c>
      <c r="RP48" s="32">
        <f t="shared" si="822"/>
        <v>262474.93499980029</v>
      </c>
      <c r="RQ48" s="32">
        <f t="shared" si="822"/>
        <v>531100.82000007783</v>
      </c>
      <c r="RR48" s="32">
        <f t="shared" si="822"/>
        <v>-178400.27900002757</v>
      </c>
      <c r="RS48" s="32">
        <f t="shared" si="822"/>
        <v>38534.454000390193</v>
      </c>
      <c r="RT48" s="32">
        <f t="shared" si="822"/>
        <v>297210.90499895858</v>
      </c>
      <c r="RU48" s="32">
        <f t="shared" si="822"/>
        <v>119226.74600103212</v>
      </c>
      <c r="RV48" s="32">
        <f t="shared" si="822"/>
        <v>-189607.62900048727</v>
      </c>
      <c r="RW48" s="32">
        <f t="shared" si="822"/>
        <v>-53232.126999660744</v>
      </c>
      <c r="RX48" s="32">
        <f t="shared" si="822"/>
        <v>434936.31399962096</v>
      </c>
      <c r="RY48" s="32">
        <f t="shared" si="822"/>
        <v>65633.030000472208</v>
      </c>
      <c r="RZ48" s="32">
        <f t="shared" si="822"/>
        <v>-125342.15000068769</v>
      </c>
      <c r="SA48" s="32">
        <f t="shared" si="822"/>
        <v>-1701882.0499995272</v>
      </c>
      <c r="SB48" s="32">
        <f t="shared" si="822"/>
        <v>-1246141.7500001155</v>
      </c>
      <c r="SC48" s="32">
        <f t="shared" si="822"/>
        <v>342178.02000021038</v>
      </c>
      <c r="SD48" s="32">
        <f t="shared" si="822"/>
        <v>381426.89999962575</v>
      </c>
      <c r="SE48" s="32">
        <f t="shared" si="822"/>
        <v>13429.530000610685</v>
      </c>
      <c r="SF48" s="32">
        <f t="shared" si="822"/>
        <v>-1205034.1500000537</v>
      </c>
      <c r="SG48" s="32">
        <f t="shared" si="822"/>
        <v>352498.429999582</v>
      </c>
      <c r="SH48" s="32">
        <f t="shared" si="822"/>
        <v>-96909.509999874572</v>
      </c>
      <c r="SI48" s="32">
        <f t="shared" si="822"/>
        <v>488946.01000020484</v>
      </c>
      <c r="SJ48" s="32">
        <f t="shared" si="822"/>
        <v>15888.769998820208</v>
      </c>
      <c r="SK48" s="32">
        <f t="shared" si="822"/>
        <v>759242.54000091599</v>
      </c>
      <c r="SL48" s="127">
        <f t="shared" si="497"/>
        <v>-3622898.5649998183</v>
      </c>
      <c r="SM48" s="32">
        <f t="shared" ref="SM48:TQ48" si="823">SM47-SM26+SM45-SM46</f>
        <v>-97811.859999226872</v>
      </c>
      <c r="SN48" s="32">
        <f t="shared" si="823"/>
        <v>-546729.15000104904</v>
      </c>
      <c r="SO48" s="32">
        <f t="shared" si="823"/>
        <v>-8670761.9899995457</v>
      </c>
      <c r="SP48" s="32">
        <f t="shared" si="823"/>
        <v>-2056285.79000077</v>
      </c>
      <c r="SQ48" s="32">
        <f t="shared" si="823"/>
        <v>291982.12000107422</v>
      </c>
      <c r="SR48" s="32">
        <f t="shared" si="823"/>
        <v>-1077993.1199998343</v>
      </c>
      <c r="SS48" s="32">
        <f t="shared" si="823"/>
        <v>142159.29999893304</v>
      </c>
      <c r="ST48" s="32">
        <f t="shared" si="823"/>
        <v>16176.520000478486</v>
      </c>
      <c r="SU48" s="32">
        <f t="shared" si="823"/>
        <v>451772.06999934919</v>
      </c>
      <c r="SV48" s="32">
        <f t="shared" si="823"/>
        <v>250422.70000064018</v>
      </c>
      <c r="SW48" s="32">
        <f t="shared" si="823"/>
        <v>175995.89999995311</v>
      </c>
      <c r="SX48" s="32">
        <f t="shared" si="823"/>
        <v>275190.81000021397</v>
      </c>
      <c r="SY48" s="32">
        <f t="shared" si="823"/>
        <v>393663.08999953209</v>
      </c>
      <c r="SZ48" s="32">
        <f t="shared" si="823"/>
        <v>238125.8600011919</v>
      </c>
      <c r="TA48" s="32">
        <f t="shared" si="823"/>
        <v>129906.42999956093</v>
      </c>
      <c r="TB48" s="32">
        <f t="shared" si="823"/>
        <v>356980.03999918059</v>
      </c>
      <c r="TC48" s="32">
        <f t="shared" si="823"/>
        <v>354952.31000060885</v>
      </c>
      <c r="TD48" s="32">
        <f t="shared" si="823"/>
        <v>66421.489999569312</v>
      </c>
      <c r="TE48" s="32">
        <f t="shared" si="823"/>
        <v>-541344.27000092284</v>
      </c>
      <c r="TF48" s="32">
        <f t="shared" si="823"/>
        <v>571706.09000096214</v>
      </c>
      <c r="TG48" s="32">
        <f t="shared" si="823"/>
        <v>185048.35000011139</v>
      </c>
      <c r="TH48" s="32">
        <f t="shared" si="823"/>
        <v>191350.55000025313</v>
      </c>
      <c r="TI48" s="32">
        <f t="shared" si="823"/>
        <v>667037.19999980042</v>
      </c>
      <c r="TJ48" s="32">
        <f t="shared" si="823"/>
        <v>-130363.46000103222</v>
      </c>
      <c r="TK48" s="32">
        <f t="shared" si="823"/>
        <v>-30933.709999730927</v>
      </c>
      <c r="TL48" s="32">
        <f t="shared" si="823"/>
        <v>372519.47000032902</v>
      </c>
      <c r="TM48" s="32">
        <f t="shared" si="823"/>
        <v>109232.72000061843</v>
      </c>
      <c r="TN48" s="32">
        <f t="shared" si="823"/>
        <v>346611.97000002634</v>
      </c>
      <c r="TO48" s="32">
        <f t="shared" si="823"/>
        <v>-1887.1199999694363</v>
      </c>
      <c r="TP48" s="32">
        <f t="shared" si="823"/>
        <v>150328.08000077901</v>
      </c>
      <c r="TQ48" s="32">
        <f t="shared" si="823"/>
        <v>-1172777.9900016137</v>
      </c>
      <c r="TR48" s="127">
        <f t="shared" si="499"/>
        <v>-8491493.5300013013</v>
      </c>
      <c r="TS48" s="32">
        <f t="shared" ref="TS48:UW48" si="824">TS47-TS26+TS45-TS46</f>
        <v>-4864548.3199989107</v>
      </c>
      <c r="TT48" s="32">
        <f t="shared" si="824"/>
        <v>-47207.869999983523</v>
      </c>
      <c r="TU48" s="32">
        <f t="shared" si="824"/>
        <v>-1586178.1700002356</v>
      </c>
      <c r="TV48" s="32">
        <f t="shared" si="824"/>
        <v>220345.02999861754</v>
      </c>
      <c r="TW48" s="32">
        <f t="shared" si="824"/>
        <v>-865238.98999924923</v>
      </c>
      <c r="TX48" s="32">
        <f t="shared" si="824"/>
        <v>224718.75999995711</v>
      </c>
      <c r="TY48" s="32">
        <f t="shared" si="824"/>
        <v>107765.84000035276</v>
      </c>
      <c r="TZ48" s="32">
        <f t="shared" si="824"/>
        <v>552523.43999989191</v>
      </c>
      <c r="UA48" s="32">
        <f t="shared" si="824"/>
        <v>254394.92000100843</v>
      </c>
      <c r="UB48" s="32">
        <f t="shared" si="824"/>
        <v>378116.59999944008</v>
      </c>
      <c r="UC48" s="32">
        <f t="shared" si="824"/>
        <v>273176.50000026246</v>
      </c>
      <c r="UD48" s="32">
        <f t="shared" si="824"/>
        <v>9074.1599997988669</v>
      </c>
      <c r="UE48" s="32">
        <f t="shared" si="824"/>
        <v>563593.90999984671</v>
      </c>
      <c r="UF48" s="32">
        <f t="shared" si="824"/>
        <v>-1120833.4200002372</v>
      </c>
      <c r="UG48" s="32">
        <f t="shared" si="824"/>
        <v>140658.539999942</v>
      </c>
      <c r="UH48" s="32">
        <f t="shared" si="824"/>
        <v>158866.14999990445</v>
      </c>
      <c r="UI48" s="32">
        <f t="shared" si="824"/>
        <v>380872.39999973564</v>
      </c>
      <c r="UJ48" s="32">
        <f t="shared" si="824"/>
        <v>847838.710000652</v>
      </c>
      <c r="UK48" s="32">
        <f t="shared" si="824"/>
        <v>-43048.560000039579</v>
      </c>
      <c r="UL48" s="32">
        <f t="shared" si="824"/>
        <v>120403.86999941344</v>
      </c>
      <c r="UM48" s="32">
        <f t="shared" si="824"/>
        <v>-20739.7199997399</v>
      </c>
      <c r="UN48" s="32">
        <f t="shared" si="824"/>
        <v>94475.510000671784</v>
      </c>
      <c r="UO48" s="32">
        <f t="shared" si="824"/>
        <v>349006.08999886492</v>
      </c>
      <c r="UP48" s="32">
        <f t="shared" si="824"/>
        <v>-8547.9299987739068</v>
      </c>
      <c r="UQ48" s="32">
        <f t="shared" si="824"/>
        <v>319632.49999869789</v>
      </c>
      <c r="UR48" s="32">
        <f t="shared" si="824"/>
        <v>117415.72000081796</v>
      </c>
      <c r="US48" s="32">
        <f t="shared" si="824"/>
        <v>480889.59999995801</v>
      </c>
      <c r="UT48" s="32">
        <f t="shared" si="824"/>
        <v>-821032.79999941797</v>
      </c>
      <c r="UU48" s="32">
        <f t="shared" si="824"/>
        <v>-259824.09000065527</v>
      </c>
      <c r="UV48" s="32">
        <f t="shared" si="824"/>
        <v>692674.43999955745</v>
      </c>
      <c r="UW48" s="32">
        <f t="shared" si="824"/>
        <v>365531.58000070363</v>
      </c>
      <c r="UX48" s="127">
        <f t="shared" si="501"/>
        <v>1879322.7199997627</v>
      </c>
      <c r="UY48" s="32">
        <f t="shared" ref="UY48:VZ48" si="825">UY47-UY26+UY45-UY46</f>
        <v>-2104.8400001469417</v>
      </c>
      <c r="UZ48" s="32">
        <f t="shared" si="825"/>
        <v>571749.79999972042</v>
      </c>
      <c r="VA48" s="32">
        <f t="shared" si="825"/>
        <v>-1807123.1400000199</v>
      </c>
      <c r="VB48" s="32">
        <f t="shared" si="825"/>
        <v>-986669.67999989807</v>
      </c>
      <c r="VC48" s="32">
        <f t="shared" si="825"/>
        <v>194415.02999974968</v>
      </c>
      <c r="VD48" s="32">
        <f t="shared" si="825"/>
        <v>301538.13000047841</v>
      </c>
      <c r="VE48" s="32">
        <f t="shared" si="825"/>
        <v>21785.403999402304</v>
      </c>
      <c r="VF48" s="32">
        <f t="shared" si="825"/>
        <v>193566.62100026268</v>
      </c>
      <c r="VG48" s="32">
        <f t="shared" si="825"/>
        <v>94808.963000250515</v>
      </c>
      <c r="VH48" s="32">
        <f t="shared" si="825"/>
        <v>450136.09599916608</v>
      </c>
      <c r="VI48" s="32">
        <f t="shared" si="825"/>
        <v>316239.95900023147</v>
      </c>
      <c r="VJ48" s="32">
        <f t="shared" si="825"/>
        <v>321945.94800043129</v>
      </c>
      <c r="VK48" s="32">
        <f t="shared" si="825"/>
        <v>371943.36900039256</v>
      </c>
      <c r="VL48" s="32">
        <f t="shared" si="825"/>
        <v>245148.93199902761</v>
      </c>
      <c r="VM48" s="32">
        <f t="shared" si="825"/>
        <v>99056.387001187075</v>
      </c>
      <c r="VN48" s="32">
        <f t="shared" si="825"/>
        <v>277193.57699816767</v>
      </c>
      <c r="VO48" s="32">
        <f t="shared" si="825"/>
        <v>343056.49600107362</v>
      </c>
      <c r="VP48" s="32">
        <f t="shared" si="825"/>
        <v>165767.38799964281</v>
      </c>
      <c r="VQ48" s="32">
        <f t="shared" si="825"/>
        <v>24189.258999822487</v>
      </c>
      <c r="VR48" s="32">
        <f t="shared" si="825"/>
        <v>294963.94000053947</v>
      </c>
      <c r="VS48" s="32">
        <f t="shared" si="825"/>
        <v>209453.19799967611</v>
      </c>
      <c r="VT48" s="32">
        <f t="shared" si="825"/>
        <v>349031.53999988711</v>
      </c>
      <c r="VU48" s="32">
        <f t="shared" si="825"/>
        <v>264167.22400005959</v>
      </c>
      <c r="VV48" s="32">
        <f t="shared" si="825"/>
        <v>335339.34400038904</v>
      </c>
      <c r="VW48" s="32">
        <f t="shared" si="825"/>
        <v>180191.36400001979</v>
      </c>
      <c r="VX48" s="32">
        <f t="shared" si="825"/>
        <v>-247399.10800026916</v>
      </c>
      <c r="VY48" s="32">
        <f t="shared" si="825"/>
        <v>494678.26699945639</v>
      </c>
      <c r="VZ48" s="32">
        <f t="shared" si="825"/>
        <v>479550.12900062045</v>
      </c>
      <c r="WA48" s="127">
        <f t="shared" si="723"/>
        <v>5801473.8969997875</v>
      </c>
      <c r="WB48" s="32">
        <f t="shared" ref="WB48:XF48" si="826">WB47-WB26+WB45-WB46</f>
        <v>-234157.88099958014</v>
      </c>
      <c r="WC48" s="32">
        <f t="shared" si="826"/>
        <v>59067.587000323343</v>
      </c>
      <c r="WD48" s="32">
        <f t="shared" si="826"/>
        <v>-1730998.0200009856</v>
      </c>
      <c r="WE48" s="32">
        <f t="shared" si="826"/>
        <v>-1403393.9919986941</v>
      </c>
      <c r="WF48" s="32">
        <f t="shared" si="826"/>
        <v>-117280.17100046092</v>
      </c>
      <c r="WG48" s="32">
        <f t="shared" si="826"/>
        <v>93171.002000255976</v>
      </c>
      <c r="WH48" s="32">
        <f t="shared" si="826"/>
        <v>215894.77499881224</v>
      </c>
      <c r="WI48" s="32">
        <f t="shared" si="826"/>
        <v>-291025.1459996099</v>
      </c>
      <c r="WJ48" s="32">
        <f t="shared" si="826"/>
        <v>-98998.662999830383</v>
      </c>
      <c r="WK48" s="32">
        <f t="shared" si="826"/>
        <v>53693.157000295469</v>
      </c>
      <c r="WL48" s="32">
        <f t="shared" si="826"/>
        <v>112901.06300115481</v>
      </c>
      <c r="WM48" s="32">
        <f t="shared" si="826"/>
        <v>-261095.4380002023</v>
      </c>
      <c r="WN48" s="32">
        <f t="shared" si="826"/>
        <v>361706.70899982628</v>
      </c>
      <c r="WO48" s="32">
        <f t="shared" si="826"/>
        <v>108697.75399854028</v>
      </c>
      <c r="WP48" s="32">
        <f t="shared" si="826"/>
        <v>406592.30199991434</v>
      </c>
      <c r="WQ48" s="32">
        <f t="shared" si="826"/>
        <v>-134760.14500025252</v>
      </c>
      <c r="WR48" s="32">
        <f t="shared" si="826"/>
        <v>509483.84000033373</v>
      </c>
      <c r="WS48" s="32">
        <f t="shared" si="826"/>
        <v>440227.54499963287</v>
      </c>
      <c r="WT48" s="32">
        <f t="shared" si="826"/>
        <v>-504978.08399882796</v>
      </c>
      <c r="WU48" s="32">
        <f t="shared" si="826"/>
        <v>207809.88699976465</v>
      </c>
      <c r="WV48" s="32">
        <f t="shared" si="826"/>
        <v>214081.05499966192</v>
      </c>
      <c r="WW48" s="32">
        <f t="shared" si="826"/>
        <v>-184103.02499986195</v>
      </c>
      <c r="WX48" s="32">
        <f t="shared" si="826"/>
        <v>265133.78599994146</v>
      </c>
      <c r="WY48" s="32">
        <f t="shared" si="826"/>
        <v>368771.61600039515</v>
      </c>
      <c r="WZ48" s="32">
        <f t="shared" si="826"/>
        <v>-886688.72699978761</v>
      </c>
      <c r="XA48" s="32">
        <f t="shared" si="826"/>
        <v>-348541.86799984827</v>
      </c>
      <c r="XB48" s="32">
        <f t="shared" si="826"/>
        <v>439805.93300016737</v>
      </c>
      <c r="XC48" s="32">
        <f t="shared" si="826"/>
        <v>340405.83599890262</v>
      </c>
      <c r="XD48" s="32">
        <f t="shared" si="826"/>
        <v>1398105.5610002393</v>
      </c>
      <c r="XE48" s="32">
        <f t="shared" si="826"/>
        <v>-1423084.0879989183</v>
      </c>
      <c r="XF48" s="32">
        <f t="shared" si="826"/>
        <v>245246.48499948886</v>
      </c>
      <c r="XG48" s="127">
        <f>SUM(WC48:XF48)</f>
        <v>-1544151.4739996288</v>
      </c>
      <c r="XH48" s="32">
        <f t="shared" ref="XH48:YK48" si="827">XH47-XH26+XH45-XH46</f>
        <v>-591437.5410008966</v>
      </c>
      <c r="XI48" s="32">
        <f t="shared" si="827"/>
        <v>-1068696.3030001228</v>
      </c>
      <c r="XJ48" s="32">
        <f t="shared" si="827"/>
        <v>-33274.534999790194</v>
      </c>
      <c r="XK48" s="32">
        <f t="shared" si="827"/>
        <v>-1598235.4199997676</v>
      </c>
      <c r="XL48" s="32">
        <f t="shared" si="827"/>
        <v>132692.14000069333</v>
      </c>
      <c r="XM48" s="32">
        <f t="shared" si="827"/>
        <v>18335.415000047651</v>
      </c>
      <c r="XN48" s="32">
        <f t="shared" si="827"/>
        <v>306713.61999865971</v>
      </c>
      <c r="XO48" s="32">
        <f t="shared" si="827"/>
        <v>387634.31999985885</v>
      </c>
      <c r="XP48" s="32">
        <f t="shared" si="827"/>
        <v>-524419.36499901523</v>
      </c>
      <c r="XQ48" s="32">
        <f t="shared" si="827"/>
        <v>261281.87999988557</v>
      </c>
      <c r="XR48" s="32">
        <f t="shared" si="827"/>
        <v>-165337.57000019687</v>
      </c>
      <c r="XS48" s="32">
        <f t="shared" si="827"/>
        <v>1805.9000008780276</v>
      </c>
      <c r="XT48" s="32">
        <f t="shared" si="827"/>
        <v>140840.08499893011</v>
      </c>
      <c r="XU48" s="32">
        <f t="shared" si="827"/>
        <v>394821.86500031676</v>
      </c>
      <c r="XV48" s="32">
        <f t="shared" si="827"/>
        <v>380233.81000067573</v>
      </c>
      <c r="XW48" s="32">
        <f t="shared" si="827"/>
        <v>356921.00499816559</v>
      </c>
      <c r="XX48" s="32">
        <f t="shared" si="827"/>
        <v>-113966.39999881882</v>
      </c>
      <c r="XY48" s="32">
        <f t="shared" si="827"/>
        <v>252285.94999968918</v>
      </c>
      <c r="XZ48" s="32">
        <f t="shared" si="827"/>
        <v>-157533.50000038918</v>
      </c>
      <c r="YA48" s="32">
        <f t="shared" si="827"/>
        <v>-5934.549999506271</v>
      </c>
      <c r="YB48" s="32">
        <f t="shared" si="827"/>
        <v>490633.34999981744</v>
      </c>
      <c r="YC48" s="32">
        <f t="shared" si="827"/>
        <v>-3858.5499995591817</v>
      </c>
      <c r="YD48" s="32">
        <f t="shared" si="827"/>
        <v>-488374.79999908683</v>
      </c>
      <c r="YE48" s="32">
        <f t="shared" si="827"/>
        <v>377407.99999903538</v>
      </c>
      <c r="YF48" s="32">
        <f t="shared" si="827"/>
        <v>437200.89999986958</v>
      </c>
      <c r="YG48" s="32">
        <f t="shared" si="827"/>
        <v>203779.39999964728</v>
      </c>
      <c r="YH48" s="32">
        <f t="shared" si="827"/>
        <v>-314223.09999899444</v>
      </c>
      <c r="YI48" s="32">
        <f t="shared" si="827"/>
        <v>-113172.95000141021</v>
      </c>
      <c r="YJ48" s="32">
        <f t="shared" si="827"/>
        <v>563775.50000000047</v>
      </c>
      <c r="YK48" s="32">
        <f t="shared" si="827"/>
        <v>13160.650001118483</v>
      </c>
      <c r="YL48" s="127">
        <f>SUM(XI48:YK48)</f>
        <v>132496.74700063193</v>
      </c>
      <c r="YM48" s="32">
        <f t="shared" ref="YM48:ZQ48" si="828">YM47-YM26+YM45-YM46</f>
        <v>233323.04999929038</v>
      </c>
      <c r="YN48" s="32">
        <f t="shared" si="828"/>
        <v>-1898210.6500001233</v>
      </c>
      <c r="YO48" s="32">
        <f t="shared" si="828"/>
        <v>-616464.299999665</v>
      </c>
      <c r="YP48" s="32">
        <f t="shared" si="828"/>
        <v>162218.65000031976</v>
      </c>
      <c r="YQ48" s="32">
        <f t="shared" si="828"/>
        <v>266919.9999989607</v>
      </c>
      <c r="YR48" s="32">
        <f t="shared" si="828"/>
        <v>-1226268.2999997051</v>
      </c>
      <c r="YS48" s="32">
        <f t="shared" si="828"/>
        <v>70599.950001446996</v>
      </c>
      <c r="YT48" s="32">
        <f t="shared" si="828"/>
        <v>-39534.749999998894</v>
      </c>
      <c r="YU48" s="32">
        <f t="shared" si="828"/>
        <v>-182733.40000080207</v>
      </c>
      <c r="YV48" s="32">
        <f t="shared" si="828"/>
        <v>-906220.74999953015</v>
      </c>
      <c r="YW48" s="32">
        <f t="shared" si="828"/>
        <v>1279500.6999996724</v>
      </c>
      <c r="YX48" s="32">
        <f t="shared" si="828"/>
        <v>164847.05000005779</v>
      </c>
      <c r="YY48" s="32">
        <f t="shared" si="828"/>
        <v>-239858.89999988576</v>
      </c>
      <c r="YZ48" s="32">
        <f t="shared" si="828"/>
        <v>270604.90000014252</v>
      </c>
      <c r="ZA48" s="32">
        <f t="shared" si="828"/>
        <v>-9966.300000983756</v>
      </c>
      <c r="ZB48" s="32">
        <f t="shared" si="828"/>
        <v>450807.15000054915</v>
      </c>
      <c r="ZC48" s="32">
        <f t="shared" si="828"/>
        <v>-63845.699999733188</v>
      </c>
      <c r="ZD48" s="32">
        <f t="shared" si="828"/>
        <v>540117.29999988747</v>
      </c>
      <c r="ZE48" s="32">
        <f t="shared" si="828"/>
        <v>255444.30000040447</v>
      </c>
      <c r="ZF48" s="32">
        <f t="shared" si="828"/>
        <v>229173.19999953615</v>
      </c>
      <c r="ZG48" s="32">
        <f t="shared" si="828"/>
        <v>31278.199999230856</v>
      </c>
      <c r="ZH48" s="32">
        <f t="shared" si="828"/>
        <v>504938.95000021148</v>
      </c>
      <c r="ZI48" s="32">
        <f t="shared" si="828"/>
        <v>-529703.99999934155</v>
      </c>
      <c r="ZJ48" s="32">
        <f t="shared" si="828"/>
        <v>1393855.0999994813</v>
      </c>
      <c r="ZK48" s="32">
        <f t="shared" si="828"/>
        <v>-1080930.8500005906</v>
      </c>
      <c r="ZL48" s="32">
        <f t="shared" si="828"/>
        <v>367572.9500006797</v>
      </c>
      <c r="ZM48" s="32">
        <f t="shared" si="828"/>
        <v>661592.60000037821</v>
      </c>
      <c r="ZN48" s="32">
        <f t="shared" si="828"/>
        <v>296475.24999977992</v>
      </c>
      <c r="ZO48" s="32">
        <f t="shared" si="828"/>
        <v>-282719.47999955271</v>
      </c>
      <c r="ZP48" s="32">
        <f t="shared" si="828"/>
        <v>-198512.27999981493</v>
      </c>
      <c r="ZQ48" s="32">
        <f t="shared" si="828"/>
        <v>781376.6500001098</v>
      </c>
      <c r="ZR48" s="127">
        <f t="shared" si="356"/>
        <v>685676.29000041168</v>
      </c>
      <c r="ZS48" s="32">
        <f t="shared" ref="ZS48:AAV48" si="829">ZS47-ZS26+ZS45-ZS46</f>
        <v>124926.65999990626</v>
      </c>
      <c r="ZT48" s="32">
        <f t="shared" si="829"/>
        <v>293145.44999886013</v>
      </c>
      <c r="ZU48" s="32">
        <f t="shared" si="829"/>
        <v>-2194622.2499995697</v>
      </c>
      <c r="ZV48" s="32">
        <f t="shared" si="829"/>
        <v>-970222.28000008361</v>
      </c>
      <c r="ZW48" s="32">
        <f t="shared" si="829"/>
        <v>-55067.959999328596</v>
      </c>
      <c r="ZX48" s="32">
        <f t="shared" si="829"/>
        <v>-32006.550000980787</v>
      </c>
      <c r="ZY48" s="32">
        <f t="shared" si="829"/>
        <v>257129.78000006697</v>
      </c>
      <c r="ZZ48" s="32">
        <f t="shared" si="829"/>
        <v>7019.9200017133262</v>
      </c>
      <c r="AAA48" s="32">
        <f t="shared" si="829"/>
        <v>393852.50999840646</v>
      </c>
      <c r="AAB48" s="32">
        <f t="shared" si="829"/>
        <v>-1155993.8199994601</v>
      </c>
      <c r="AAC48" s="32">
        <f t="shared" si="829"/>
        <v>265305.57999975892</v>
      </c>
      <c r="AAD48" s="32">
        <f t="shared" si="829"/>
        <v>534819.15000075067</v>
      </c>
      <c r="AAE48" s="32">
        <f t="shared" si="829"/>
        <v>355416.77999851468</v>
      </c>
      <c r="AAF48" s="32">
        <f t="shared" si="829"/>
        <v>415040.36000145512</v>
      </c>
      <c r="AAG48" s="32">
        <f t="shared" si="829"/>
        <v>42056.289999256551</v>
      </c>
      <c r="AAH48" s="32">
        <f t="shared" si="829"/>
        <v>183756.36000076891</v>
      </c>
      <c r="AAI48" s="32">
        <f t="shared" si="829"/>
        <v>390912.19999868597</v>
      </c>
      <c r="AAJ48" s="32">
        <f t="shared" si="829"/>
        <v>501647.0700013038</v>
      </c>
      <c r="AAK48" s="32">
        <f t="shared" si="829"/>
        <v>-624871.97000151291</v>
      </c>
      <c r="AAL48" s="32">
        <f t="shared" si="829"/>
        <v>729012.71000126936</v>
      </c>
      <c r="AAM48" s="32">
        <f t="shared" si="829"/>
        <v>-73012.519999838842</v>
      </c>
      <c r="AAN48" s="32">
        <f t="shared" si="829"/>
        <v>372975.74999963719</v>
      </c>
      <c r="AAO48" s="32">
        <f t="shared" si="829"/>
        <v>500116.51999853842</v>
      </c>
      <c r="AAP48" s="32">
        <f t="shared" si="829"/>
        <v>152718.13000057242</v>
      </c>
      <c r="AAQ48" s="32">
        <f t="shared" si="829"/>
        <v>213854.41999934003</v>
      </c>
      <c r="AAR48" s="32">
        <f t="shared" si="829"/>
        <v>-119155.23999871191</v>
      </c>
      <c r="AAS48" s="32">
        <f t="shared" si="829"/>
        <v>346240.22999990993</v>
      </c>
      <c r="AAT48" s="32">
        <f t="shared" si="829"/>
        <v>440743.97000036814</v>
      </c>
      <c r="AAU48" s="32">
        <f t="shared" si="829"/>
        <v>-13589.139998670726</v>
      </c>
      <c r="AAV48" s="32">
        <f t="shared" si="829"/>
        <v>-392384.25000114308</v>
      </c>
      <c r="AAW48" s="127">
        <f>SUM(ZS48:AAV48)</f>
        <v>889763.85999978252</v>
      </c>
      <c r="AAX48" s="32">
        <f t="shared" ref="AAX48:ACB48" si="830">AAX47-AAX26+AAX45-AAX46</f>
        <v>-750363.83999953512</v>
      </c>
      <c r="AAY48" s="32">
        <f t="shared" si="830"/>
        <v>-1862423.0300002468</v>
      </c>
      <c r="AAZ48" s="32">
        <f t="shared" si="830"/>
        <v>229139.90999949165</v>
      </c>
      <c r="ABA48" s="32">
        <f t="shared" si="830"/>
        <v>104234.49999980803</v>
      </c>
      <c r="ABB48" s="32">
        <f t="shared" si="830"/>
        <v>250239.73000054626</v>
      </c>
      <c r="ABC48" s="32">
        <f t="shared" si="830"/>
        <v>324717.5999998895</v>
      </c>
      <c r="ABD48" s="32">
        <f t="shared" si="830"/>
        <v>67078.749999769789</v>
      </c>
      <c r="ABE48" s="32">
        <f t="shared" si="830"/>
        <v>511651.00000022532</v>
      </c>
      <c r="ABF48" s="32">
        <f t="shared" si="830"/>
        <v>359648.08999911736</v>
      </c>
      <c r="ABG48" s="32">
        <f t="shared" si="830"/>
        <v>157235.78000153095</v>
      </c>
      <c r="ABH48" s="32">
        <f t="shared" si="830"/>
        <v>298328.86999831389</v>
      </c>
      <c r="ABI48" s="32">
        <f t="shared" si="830"/>
        <v>-10505.640000544663</v>
      </c>
      <c r="ABJ48" s="32">
        <f t="shared" si="830"/>
        <v>233638.05000105407</v>
      </c>
      <c r="ABK48" s="32">
        <f t="shared" si="830"/>
        <v>373338.59999974229</v>
      </c>
      <c r="ABL48" s="32">
        <f t="shared" si="830"/>
        <v>94439.480000786425</v>
      </c>
      <c r="ABM48" s="32">
        <f t="shared" si="830"/>
        <v>-212201.43000116834</v>
      </c>
      <c r="ABN48" s="32">
        <f t="shared" si="830"/>
        <v>235786.63000087751</v>
      </c>
      <c r="ABO48" s="32">
        <f t="shared" si="830"/>
        <v>203697.25000011473</v>
      </c>
      <c r="ABP48" s="32">
        <f t="shared" si="830"/>
        <v>-608010.53999978933</v>
      </c>
      <c r="ABQ48" s="32">
        <f t="shared" si="830"/>
        <v>417497.62999942526</v>
      </c>
      <c r="ABR48" s="32">
        <f t="shared" si="830"/>
        <v>229762.36000085628</v>
      </c>
      <c r="ABS48" s="32">
        <f t="shared" si="830"/>
        <v>-306387.38000138575</v>
      </c>
      <c r="ABT48" s="32">
        <f t="shared" si="830"/>
        <v>562895.7700005878</v>
      </c>
      <c r="ABU48" s="32">
        <f t="shared" si="830"/>
        <v>-49287.229999368137</v>
      </c>
      <c r="ABV48" s="32">
        <f t="shared" si="830"/>
        <v>260330.10999895661</v>
      </c>
      <c r="ABW48" s="32">
        <f t="shared" si="830"/>
        <v>358008.24000118708</v>
      </c>
      <c r="ABX48" s="32">
        <f t="shared" si="830"/>
        <v>393235.57999908458</v>
      </c>
      <c r="ABY48" s="32">
        <f t="shared" si="830"/>
        <v>178897.94999966631</v>
      </c>
      <c r="ABZ48" s="32">
        <f t="shared" si="830"/>
        <v>486538.80000021716</v>
      </c>
      <c r="ACA48" s="32">
        <f t="shared" si="830"/>
        <v>-113042.31999934069</v>
      </c>
      <c r="ACB48" s="32">
        <f t="shared" si="830"/>
        <v>356974.12999998953</v>
      </c>
      <c r="ACC48" s="127">
        <f t="shared" si="274"/>
        <v>2775093.3999998597</v>
      </c>
      <c r="ACD48" s="32">
        <f t="shared" ref="ACD48:ADH48" si="831">ACD47-ACD26+ACD45-ACD46</f>
        <v>372702.77999976795</v>
      </c>
      <c r="ACE48" s="32">
        <f t="shared" si="831"/>
        <v>226860.80000046815</v>
      </c>
      <c r="ACF48" s="32">
        <f t="shared" si="831"/>
        <v>223576.5099994163</v>
      </c>
      <c r="ACG48" s="32">
        <f t="shared" si="831"/>
        <v>-2022198.759999763</v>
      </c>
      <c r="ACH48" s="32">
        <f t="shared" si="831"/>
        <v>248694.90999994974</v>
      </c>
      <c r="ACI48" s="32">
        <f t="shared" si="831"/>
        <v>794334.10000062257</v>
      </c>
      <c r="ACJ48" s="32">
        <f t="shared" si="831"/>
        <v>-337664.98099983466</v>
      </c>
      <c r="ACK48" s="32">
        <f t="shared" si="831"/>
        <v>-319889.04900134727</v>
      </c>
      <c r="ACL48" s="32">
        <f t="shared" si="831"/>
        <v>150078.27300050249</v>
      </c>
      <c r="ACM48" s="32">
        <f t="shared" si="831"/>
        <v>131091.27699924365</v>
      </c>
      <c r="ACN48" s="32">
        <f t="shared" si="831"/>
        <v>999622.57300120068</v>
      </c>
      <c r="ACO48" s="32">
        <f t="shared" si="831"/>
        <v>-603349.50300096476</v>
      </c>
      <c r="ACP48" s="32">
        <f t="shared" si="831"/>
        <v>666184.95100090723</v>
      </c>
      <c r="ACQ48" s="32">
        <f t="shared" si="831"/>
        <v>449807.78799947217</v>
      </c>
      <c r="ACR48" s="32">
        <f t="shared" si="831"/>
        <v>307765.93199962995</v>
      </c>
      <c r="ACS48" s="32">
        <f t="shared" si="831"/>
        <v>278584.26999989606</v>
      </c>
      <c r="ACT48" s="32">
        <f t="shared" si="831"/>
        <v>142097.37900149426</v>
      </c>
      <c r="ACU48" s="32">
        <f t="shared" si="831"/>
        <v>162565.28299927129</v>
      </c>
      <c r="ACV48" s="32">
        <f t="shared" si="831"/>
        <v>28111.211999870895</v>
      </c>
      <c r="ACW48" s="32">
        <f t="shared" si="831"/>
        <v>365621.59300014755</v>
      </c>
      <c r="ACX48" s="32">
        <f t="shared" si="831"/>
        <v>126233.696999042</v>
      </c>
      <c r="ACY48" s="32">
        <f t="shared" si="831"/>
        <v>627189.19800043665</v>
      </c>
      <c r="ACZ48" s="32">
        <f t="shared" si="831"/>
        <v>228816.81200005801</v>
      </c>
      <c r="ADA48" s="32">
        <f t="shared" si="831"/>
        <v>119987.46100083314</v>
      </c>
      <c r="ADB48" s="32">
        <f t="shared" si="831"/>
        <v>-350588.0419997531</v>
      </c>
      <c r="ADC48" s="32">
        <f t="shared" si="831"/>
        <v>-122121.30500074202</v>
      </c>
      <c r="ADD48" s="32">
        <f t="shared" si="831"/>
        <v>432200.24199976301</v>
      </c>
      <c r="ADE48" s="32">
        <f t="shared" si="831"/>
        <v>-34512.014999084699</v>
      </c>
      <c r="ADF48" s="32">
        <f t="shared" si="831"/>
        <v>244410.37799951254</v>
      </c>
      <c r="ADG48" s="32">
        <f t="shared" si="831"/>
        <v>721754.1050002455</v>
      </c>
      <c r="ADH48" s="32">
        <f t="shared" si="831"/>
        <v>-313004.55700034753</v>
      </c>
      <c r="ADI48" s="127">
        <f t="shared" si="276"/>
        <v>3944963.3119999152</v>
      </c>
      <c r="ADJ48" s="32">
        <f t="shared" ref="ADJ48:AEM48" si="832">ADJ47-ADJ26+ADJ45-ADJ46</f>
        <v>613051.22599983157</v>
      </c>
      <c r="ADK48" s="32">
        <f t="shared" si="832"/>
        <v>42562.957999994745</v>
      </c>
      <c r="ADL48" s="32">
        <f t="shared" si="832"/>
        <v>-2190372.685999624</v>
      </c>
      <c r="ADM48" s="32">
        <f t="shared" si="832"/>
        <v>-180529.78500018053</v>
      </c>
      <c r="ADN48" s="32">
        <f t="shared" si="832"/>
        <v>9024.2699995074072</v>
      </c>
      <c r="ADO48" s="32">
        <f t="shared" si="832"/>
        <v>180159.36700119218</v>
      </c>
      <c r="ADP48" s="32">
        <f t="shared" si="832"/>
        <v>373136.04199976951</v>
      </c>
      <c r="ADQ48" s="32">
        <f t="shared" si="832"/>
        <v>196059.09499930026</v>
      </c>
      <c r="ADR48" s="32">
        <f t="shared" si="832"/>
        <v>74828.50800006825</v>
      </c>
      <c r="ADS48" s="32">
        <f t="shared" si="832"/>
        <v>208402.35900005087</v>
      </c>
      <c r="ADT48" s="32">
        <f t="shared" si="832"/>
        <v>202715.8400000871</v>
      </c>
      <c r="ADU48" s="32">
        <f t="shared" si="832"/>
        <v>563040.44500100589</v>
      </c>
      <c r="ADV48" s="32">
        <f t="shared" si="832"/>
        <v>-24979.710001253756</v>
      </c>
      <c r="ADW48" s="32">
        <f t="shared" si="832"/>
        <v>-74754.253000127734</v>
      </c>
      <c r="ADX48" s="32">
        <f t="shared" si="832"/>
        <v>602874.02199944563</v>
      </c>
      <c r="ADY48" s="32">
        <f t="shared" si="832"/>
        <v>161372.88300124177</v>
      </c>
      <c r="ADZ48" s="32">
        <f t="shared" si="832"/>
        <v>-237467.96300018521</v>
      </c>
      <c r="AEA48" s="32">
        <f t="shared" si="832"/>
        <v>72314.621999021329</v>
      </c>
      <c r="AEB48" s="32">
        <f t="shared" si="832"/>
        <v>-207605.06499878218</v>
      </c>
      <c r="AEC48" s="32">
        <f t="shared" si="832"/>
        <v>142158.16599887254</v>
      </c>
      <c r="AED48" s="32">
        <f t="shared" si="832"/>
        <v>389430.74100101658</v>
      </c>
      <c r="AEE48" s="32">
        <f t="shared" si="832"/>
        <v>-124359.87200020935</v>
      </c>
      <c r="AEF48" s="32">
        <f t="shared" si="832"/>
        <v>723927.9089994703</v>
      </c>
      <c r="AEG48" s="32">
        <f t="shared" si="832"/>
        <v>-38985.099999768834</v>
      </c>
      <c r="AEH48" s="32">
        <f t="shared" si="832"/>
        <v>-1092265.1129993731</v>
      </c>
      <c r="AEI48" s="32">
        <f t="shared" si="832"/>
        <v>-151266.22800025746</v>
      </c>
      <c r="AEJ48" s="32">
        <f t="shared" si="832"/>
        <v>269069.30999969476</v>
      </c>
      <c r="AEK48" s="32">
        <f t="shared" si="832"/>
        <v>370858.9510003046</v>
      </c>
      <c r="AEL48" s="32">
        <f t="shared" si="832"/>
        <v>269727.73600005434</v>
      </c>
      <c r="AEM48" s="32">
        <f t="shared" si="832"/>
        <v>-32005.593000806053</v>
      </c>
      <c r="AEN48" s="127">
        <f>SUM(ADJ48:AEM48)</f>
        <v>1110123.081999361</v>
      </c>
      <c r="AEO48" s="32">
        <f t="shared" ref="AEO48:AFS48" si="833">AEO47-AEO26+AEO45-AEO46</f>
        <v>-52095.079999256937</v>
      </c>
      <c r="AEP48" s="32">
        <f t="shared" si="833"/>
        <v>204304.06999913853</v>
      </c>
      <c r="AEQ48" s="32">
        <f t="shared" si="833"/>
        <v>363020.79500000528</v>
      </c>
      <c r="AER48" s="32">
        <f t="shared" si="833"/>
        <v>-2108624.7969995281</v>
      </c>
      <c r="AES48" s="32">
        <f t="shared" si="833"/>
        <v>357189.50899998087</v>
      </c>
      <c r="AET48" s="32">
        <f t="shared" si="833"/>
        <v>669179.58300007507</v>
      </c>
      <c r="AEU48" s="32">
        <f t="shared" si="833"/>
        <v>-32438.568999370385</v>
      </c>
      <c r="AEV48" s="32">
        <f t="shared" si="833"/>
        <v>144827.16800002923</v>
      </c>
      <c r="AEW48" s="32">
        <f t="shared" si="833"/>
        <v>-408178.99900053092</v>
      </c>
      <c r="AEX48" s="32">
        <f t="shared" si="833"/>
        <v>201496.96800008335</v>
      </c>
      <c r="AEY48" s="32">
        <f t="shared" si="833"/>
        <v>-112650.03300017322</v>
      </c>
      <c r="AEZ48" s="32">
        <f t="shared" si="833"/>
        <v>232250.52100006025</v>
      </c>
      <c r="AFA48" s="32">
        <f t="shared" si="833"/>
        <v>498366.95100009849</v>
      </c>
      <c r="AFB48" s="32">
        <f t="shared" si="833"/>
        <v>301045.01799960522</v>
      </c>
      <c r="AFC48" s="32">
        <f t="shared" si="833"/>
        <v>109196.80700071447</v>
      </c>
      <c r="AFD48" s="32">
        <f t="shared" si="833"/>
        <v>464152.2210000389</v>
      </c>
      <c r="AFE48" s="32">
        <f t="shared" si="833"/>
        <v>522127.93399980315</v>
      </c>
      <c r="AFF48" s="32">
        <f t="shared" si="833"/>
        <v>-385327.4500000733</v>
      </c>
      <c r="AFG48" s="32">
        <f t="shared" si="833"/>
        <v>162411.63800070918</v>
      </c>
      <c r="AFH48" s="32">
        <f t="shared" si="833"/>
        <v>-82149.680000667227</v>
      </c>
      <c r="AFI48" s="32">
        <f t="shared" si="833"/>
        <v>220625.23100024217</v>
      </c>
      <c r="AFJ48" s="32">
        <f t="shared" si="833"/>
        <v>13610.215998687025</v>
      </c>
      <c r="AFK48" s="32">
        <f t="shared" si="833"/>
        <v>383901.92700111907</v>
      </c>
      <c r="AFL48" s="32">
        <f t="shared" si="833"/>
        <v>-100587.7010001936</v>
      </c>
      <c r="AFM48" s="32">
        <f t="shared" si="833"/>
        <v>264052.05399987998</v>
      </c>
      <c r="AFN48" s="32">
        <f t="shared" si="833"/>
        <v>246644.87299936096</v>
      </c>
      <c r="AFO48" s="32">
        <f t="shared" si="833"/>
        <v>87941.832999738981</v>
      </c>
      <c r="AFP48" s="32">
        <f t="shared" si="833"/>
        <v>39513.862001425354</v>
      </c>
      <c r="AFQ48" s="32">
        <f t="shared" si="833"/>
        <v>-999536.1530013897</v>
      </c>
      <c r="AFR48" s="32">
        <f t="shared" si="833"/>
        <v>963088.99400098855</v>
      </c>
      <c r="AFS48" s="32">
        <f t="shared" si="833"/>
        <v>323476.79000028718</v>
      </c>
      <c r="AFT48" s="127">
        <f t="shared" si="279"/>
        <v>2490836.5010008882</v>
      </c>
      <c r="AFU48" s="32">
        <f t="shared" ref="AFU48:AGX48" si="834">AFU47-AFU26+AFU45-AFU46</f>
        <v>-1725693.8630008535</v>
      </c>
      <c r="AFV48" s="32">
        <f t="shared" si="834"/>
        <v>205006.11700088292</v>
      </c>
      <c r="AFW48" s="32">
        <f t="shared" si="834"/>
        <v>569951.25200016377</v>
      </c>
      <c r="AFX48" s="32">
        <f t="shared" si="834"/>
        <v>168309.21499905729</v>
      </c>
      <c r="AFY48" s="32">
        <f t="shared" si="834"/>
        <v>-2235194.4620006476</v>
      </c>
      <c r="AFZ48" s="32">
        <f t="shared" si="834"/>
        <v>481806.15700165142</v>
      </c>
      <c r="AGA48" s="32">
        <f t="shared" si="834"/>
        <v>395792.38999911194</v>
      </c>
      <c r="AGB48" s="32">
        <f t="shared" si="834"/>
        <v>-184445.36199942813</v>
      </c>
      <c r="AGC48" s="32">
        <f t="shared" si="834"/>
        <v>230604.29499907262</v>
      </c>
      <c r="AGD48" s="32">
        <f t="shared" si="834"/>
        <v>162705.35900084599</v>
      </c>
      <c r="AGE48" s="32">
        <f t="shared" si="834"/>
        <v>415605.13600035559</v>
      </c>
      <c r="AGF48" s="32">
        <f t="shared" si="834"/>
        <v>-21342.429000674165</v>
      </c>
      <c r="AGG48" s="32">
        <f t="shared" si="834"/>
        <v>230659.16099921451</v>
      </c>
      <c r="AGH48" s="32">
        <f t="shared" si="834"/>
        <v>820289.61800131248</v>
      </c>
      <c r="AGI48" s="32">
        <f t="shared" si="834"/>
        <v>-586950.20700072043</v>
      </c>
      <c r="AGJ48" s="32">
        <f t="shared" si="834"/>
        <v>1115537.1510001877</v>
      </c>
      <c r="AGK48" s="32">
        <f t="shared" si="834"/>
        <v>-649385.47699895501</v>
      </c>
      <c r="AGL48" s="32">
        <f t="shared" si="834"/>
        <v>360059.26599927479</v>
      </c>
      <c r="AGM48" s="32">
        <f t="shared" si="834"/>
        <v>29632.335999406583</v>
      </c>
      <c r="AGN48" s="32">
        <f t="shared" si="834"/>
        <v>20427.323999525339</v>
      </c>
      <c r="AGO48" s="32">
        <f t="shared" si="834"/>
        <v>200117.52200092043</v>
      </c>
      <c r="AGP48" s="32">
        <f t="shared" si="834"/>
        <v>285521.95299885626</v>
      </c>
      <c r="AGQ48" s="32">
        <f t="shared" si="834"/>
        <v>353160.60500123235</v>
      </c>
      <c r="AGR48" s="32">
        <f t="shared" si="834"/>
        <v>368789.76100046432</v>
      </c>
      <c r="AGS48" s="32">
        <f t="shared" si="834"/>
        <v>20833.098998596077</v>
      </c>
      <c r="AGT48" s="32">
        <f t="shared" si="834"/>
        <v>522950.35900049674</v>
      </c>
      <c r="AGU48" s="32">
        <f t="shared" si="834"/>
        <v>-53606.734999413253</v>
      </c>
      <c r="AGV48" s="32">
        <f t="shared" si="834"/>
        <v>581889.9090002561</v>
      </c>
      <c r="AGW48" s="32">
        <f t="shared" si="834"/>
        <v>403293.41299867537</v>
      </c>
      <c r="AGX48" s="32">
        <f t="shared" si="834"/>
        <v>27569.31600073108</v>
      </c>
      <c r="AGY48" s="127">
        <f>SUM(AFU48:AGX48)</f>
        <v>2513892.1789996</v>
      </c>
      <c r="AGZ48" s="32">
        <f t="shared" ref="AGZ48:AID48" si="835">AGZ47-AGZ26+AGZ45-AGZ46</f>
        <v>616434.72899922868</v>
      </c>
      <c r="AHA48" s="32">
        <f t="shared" si="835"/>
        <v>266418.89099968574</v>
      </c>
      <c r="AHB48" s="32">
        <f t="shared" si="835"/>
        <v>-1634449.6339986234</v>
      </c>
      <c r="AHC48" s="32">
        <f t="shared" si="835"/>
        <v>316811.87699928641</v>
      </c>
      <c r="AHD48" s="32">
        <f t="shared" si="835"/>
        <v>383292.26700091845</v>
      </c>
      <c r="AHE48" s="32">
        <f t="shared" si="835"/>
        <v>-361255.36300038238</v>
      </c>
      <c r="AHF48" s="32">
        <f t="shared" si="835"/>
        <v>187861.99000026076</v>
      </c>
      <c r="AHG48" s="32">
        <f t="shared" si="835"/>
        <v>343836.18799868756</v>
      </c>
      <c r="AHH48" s="32">
        <f t="shared" si="835"/>
        <v>416177.42100056814</v>
      </c>
      <c r="AHI48" s="32">
        <f t="shared" si="835"/>
        <v>219589.7150004197</v>
      </c>
      <c r="AHJ48" s="32">
        <f t="shared" si="835"/>
        <v>410687.79199941846</v>
      </c>
      <c r="AHK48" s="32">
        <f t="shared" si="835"/>
        <v>-22861.073000035074</v>
      </c>
      <c r="AHL48" s="32">
        <f t="shared" si="835"/>
        <v>468109.31899995299</v>
      </c>
      <c r="AHM48" s="32">
        <f t="shared" si="835"/>
        <v>221685.09300137172</v>
      </c>
      <c r="AHN48" s="32">
        <f t="shared" si="835"/>
        <v>452274.7469992832</v>
      </c>
      <c r="AHO48" s="32">
        <f t="shared" si="835"/>
        <v>388155.5569997853</v>
      </c>
      <c r="AHP48" s="32">
        <f t="shared" si="835"/>
        <v>-455707.80099934863</v>
      </c>
      <c r="AHQ48" s="32">
        <f t="shared" si="835"/>
        <v>295745.09800004115</v>
      </c>
      <c r="AHR48" s="32">
        <f t="shared" si="835"/>
        <v>160402.37599948107</v>
      </c>
      <c r="AHS48" s="32">
        <f t="shared" si="835"/>
        <v>194395.79399990657</v>
      </c>
      <c r="AHT48" s="32">
        <f t="shared" si="835"/>
        <v>-84976.315998887818</v>
      </c>
      <c r="AHU48" s="32">
        <f t="shared" si="835"/>
        <v>184244.78499874054</v>
      </c>
      <c r="AHV48" s="32">
        <f t="shared" si="835"/>
        <v>378696.41500033421</v>
      </c>
      <c r="AHW48" s="32">
        <f t="shared" si="835"/>
        <v>988399.37600057072</v>
      </c>
      <c r="AHX48" s="32">
        <f t="shared" si="835"/>
        <v>534880.85200004419</v>
      </c>
      <c r="AHY48" s="32">
        <f t="shared" si="835"/>
        <v>27306.611000399222</v>
      </c>
      <c r="AHZ48" s="32">
        <f t="shared" si="835"/>
        <v>158122.14899838762</v>
      </c>
      <c r="AIA48" s="32">
        <f t="shared" si="835"/>
        <v>104244.99300102209</v>
      </c>
      <c r="AIB48" s="32">
        <f t="shared" si="835"/>
        <v>385415.37699922774</v>
      </c>
      <c r="AIC48" s="32">
        <f t="shared" si="835"/>
        <v>-311037.45200024918</v>
      </c>
      <c r="AID48" s="32">
        <f t="shared" si="835"/>
        <v>102598.67900057568</v>
      </c>
      <c r="AIE48" s="127">
        <f t="shared" si="519"/>
        <v>5335500.4520000722</v>
      </c>
      <c r="AIF48" s="32">
        <f t="shared" ref="AIF48:AJJ48" si="836">AIF47-AIF26+AIF45-AIF46</f>
        <v>22797.826999605866</v>
      </c>
      <c r="AIG48" s="32">
        <f t="shared" si="836"/>
        <v>610302.92899974273</v>
      </c>
      <c r="AIH48" s="32">
        <f t="shared" si="836"/>
        <v>336711.15300104558</v>
      </c>
      <c r="AII48" s="32">
        <f t="shared" si="836"/>
        <v>-467825.78799919016</v>
      </c>
      <c r="AIJ48" s="32">
        <f t="shared" si="836"/>
        <v>102588.00299760496</v>
      </c>
      <c r="AIK48" s="32">
        <f t="shared" si="836"/>
        <v>858959.47500190395</v>
      </c>
      <c r="AIL48" s="32">
        <f t="shared" si="836"/>
        <v>-2186834.281000345</v>
      </c>
      <c r="AIM48" s="32">
        <f t="shared" si="836"/>
        <v>-3320056.5849996665</v>
      </c>
      <c r="AIN48" s="32">
        <f t="shared" si="836"/>
        <v>7218.6559990990208</v>
      </c>
      <c r="AIO48" s="32">
        <f t="shared" si="836"/>
        <v>487759.51999945909</v>
      </c>
      <c r="AIP48" s="32">
        <f t="shared" si="836"/>
        <v>52518.03000132367</v>
      </c>
      <c r="AIQ48" s="32">
        <f t="shared" si="836"/>
        <v>384642.78499901923</v>
      </c>
      <c r="AIR48" s="32">
        <f t="shared" si="836"/>
        <v>-6782491.154000449</v>
      </c>
      <c r="AIS48" s="32">
        <f t="shared" si="836"/>
        <v>522596.22000098723</v>
      </c>
      <c r="AIT48" s="32">
        <f t="shared" si="836"/>
        <v>-4360.0499996350845</v>
      </c>
      <c r="AIU48" s="32">
        <f t="shared" si="836"/>
        <v>61026.726000403694</v>
      </c>
      <c r="AIV48" s="32">
        <f t="shared" si="836"/>
        <v>-151574.01200045453</v>
      </c>
      <c r="AIW48" s="32">
        <f t="shared" si="836"/>
        <v>-292689.65300070273</v>
      </c>
      <c r="AIX48" s="32">
        <f t="shared" si="836"/>
        <v>483416.14300028968</v>
      </c>
      <c r="AIY48" s="32">
        <f t="shared" si="836"/>
        <v>-148353.90400017455</v>
      </c>
      <c r="AIZ48" s="32">
        <f t="shared" si="836"/>
        <v>344484.43600004842</v>
      </c>
      <c r="AJA48" s="32">
        <f t="shared" si="836"/>
        <v>1094514.0609992854</v>
      </c>
      <c r="AJB48" s="32">
        <f t="shared" si="836"/>
        <v>429773.32400094054</v>
      </c>
      <c r="AJC48" s="32">
        <f t="shared" si="836"/>
        <v>367056.72299944639</v>
      </c>
      <c r="AJD48" s="32">
        <f t="shared" si="836"/>
        <v>-70016.623000140826</v>
      </c>
      <c r="AJE48" s="32">
        <f t="shared" si="836"/>
        <v>17231.504999643133</v>
      </c>
      <c r="AJF48" s="32">
        <f t="shared" si="836"/>
        <v>280200.33900083584</v>
      </c>
      <c r="AJG48" s="32">
        <f t="shared" si="836"/>
        <v>106717.12199946138</v>
      </c>
      <c r="AJH48" s="32">
        <f t="shared" si="836"/>
        <v>78079.236001003999</v>
      </c>
      <c r="AJI48" s="32">
        <f t="shared" si="836"/>
        <v>3023554.0129994471</v>
      </c>
      <c r="AJJ48" s="32">
        <f t="shared" si="836"/>
        <v>119361.53699950065</v>
      </c>
      <c r="AJK48" s="127">
        <f t="shared" si="520"/>
        <v>-3632692.2870006603</v>
      </c>
      <c r="AJL48" s="32">
        <f t="shared" ref="AJL48:AKM48" si="837">AJL47-AJL26+AJL45-AJL46</f>
        <v>91103.346000447578</v>
      </c>
      <c r="AJM48" s="32">
        <f t="shared" si="837"/>
        <v>1049289.0970010248</v>
      </c>
      <c r="AJN48" s="32">
        <f t="shared" si="837"/>
        <v>-518002.96500090475</v>
      </c>
      <c r="AJO48" s="32">
        <f t="shared" si="837"/>
        <v>-1922281.6489984568</v>
      </c>
      <c r="AJP48" s="32">
        <f t="shared" si="837"/>
        <v>-100898.2850006416</v>
      </c>
      <c r="AJQ48" s="32">
        <f t="shared" si="837"/>
        <v>802650.22499900032</v>
      </c>
      <c r="AJR48" s="32">
        <f t="shared" si="837"/>
        <v>-561144.73099905322</v>
      </c>
      <c r="AJS48" s="32">
        <f t="shared" si="837"/>
        <v>303966.91299874301</v>
      </c>
      <c r="AJT48" s="32">
        <f t="shared" si="837"/>
        <v>219534.836000768</v>
      </c>
      <c r="AJU48" s="32">
        <f t="shared" si="837"/>
        <v>219036.75699998927</v>
      </c>
      <c r="AJV48" s="32">
        <f t="shared" si="837"/>
        <v>232946.22999846761</v>
      </c>
      <c r="AJW48" s="32">
        <f t="shared" si="837"/>
        <v>362546.29300064495</v>
      </c>
      <c r="AJX48" s="32">
        <f t="shared" si="837"/>
        <v>234931.85500038514</v>
      </c>
      <c r="AJY48" s="32">
        <f t="shared" si="837"/>
        <v>239342.34100008674</v>
      </c>
      <c r="AJZ48" s="32">
        <f t="shared" si="837"/>
        <v>-116628.06599978369</v>
      </c>
      <c r="AKA48" s="32">
        <f t="shared" si="837"/>
        <v>559219.98800000432</v>
      </c>
      <c r="AKB48" s="32">
        <f t="shared" si="837"/>
        <v>94264.870999528328</v>
      </c>
      <c r="AKC48" s="32">
        <f t="shared" si="837"/>
        <v>217400.26700049924</v>
      </c>
      <c r="AKD48" s="32">
        <f t="shared" si="837"/>
        <v>302957.57100024994</v>
      </c>
      <c r="AKE48" s="32">
        <f t="shared" si="837"/>
        <v>335790.68400049716</v>
      </c>
      <c r="AKF48" s="32">
        <f t="shared" si="837"/>
        <v>-65960.024001781479</v>
      </c>
      <c r="AKG48" s="32">
        <f t="shared" si="837"/>
        <v>-76751.334998498962</v>
      </c>
      <c r="AKH48" s="32">
        <f t="shared" si="837"/>
        <v>54372.209999978659</v>
      </c>
      <c r="AKI48" s="32">
        <f t="shared" si="837"/>
        <v>427630.43699893245</v>
      </c>
      <c r="AKJ48" s="32">
        <f t="shared" si="837"/>
        <v>80958.282001004729</v>
      </c>
      <c r="AKK48" s="32">
        <f t="shared" si="837"/>
        <v>351387.1870003193</v>
      </c>
      <c r="AKL48" s="32">
        <f t="shared" si="837"/>
        <v>-170550.76800084236</v>
      </c>
      <c r="AKM48" s="32">
        <f t="shared" si="837"/>
        <v>273341.45599943341</v>
      </c>
      <c r="AKN48" s="127">
        <f t="shared" si="11"/>
        <v>2920453.0230000424</v>
      </c>
      <c r="AKO48" s="32">
        <f t="shared" ref="AKO48:ALS48" si="838">AKO47-AKO26+AKO45-AKO46</f>
        <v>-5380578.7879999625</v>
      </c>
      <c r="AKP48" s="32">
        <f t="shared" si="838"/>
        <v>852089.44799995399</v>
      </c>
      <c r="AKQ48" s="32">
        <f t="shared" si="838"/>
        <v>99919.041001464589</v>
      </c>
      <c r="AKR48" s="32">
        <f t="shared" si="838"/>
        <v>-2321171.0590005508</v>
      </c>
      <c r="AKS48" s="32">
        <f t="shared" si="838"/>
        <v>-50092.666001123376</v>
      </c>
      <c r="AKT48" s="32">
        <f t="shared" si="838"/>
        <v>36064.18700155546</v>
      </c>
      <c r="AKU48" s="32">
        <f t="shared" si="838"/>
        <v>346837.28499863541</v>
      </c>
      <c r="AKV48" s="32">
        <f t="shared" si="838"/>
        <v>119268.6690000688</v>
      </c>
      <c r="AKW48" s="32">
        <f t="shared" si="838"/>
        <v>460254.98700103071</v>
      </c>
      <c r="AKX48" s="32">
        <f t="shared" si="838"/>
        <v>-436196.74000069732</v>
      </c>
      <c r="AKY48" s="32">
        <f t="shared" si="838"/>
        <v>-88087.110999500263</v>
      </c>
      <c r="AKZ48" s="32">
        <f t="shared" si="838"/>
        <v>205723.02799935261</v>
      </c>
      <c r="ALA48" s="32">
        <f t="shared" si="838"/>
        <v>1064553.1970016048</v>
      </c>
      <c r="ALB48" s="32">
        <f t="shared" si="838"/>
        <v>-96364.432000542642</v>
      </c>
      <c r="ALC48" s="32">
        <f t="shared" si="838"/>
        <v>-46731.337000919506</v>
      </c>
      <c r="ALD48" s="32">
        <f t="shared" si="838"/>
        <v>-536040.38299980061</v>
      </c>
      <c r="ALE48" s="32">
        <f t="shared" si="838"/>
        <v>357546.56400054769</v>
      </c>
      <c r="ALF48" s="32">
        <f t="shared" si="838"/>
        <v>-311934.23300106311</v>
      </c>
      <c r="ALG48" s="32">
        <f t="shared" si="838"/>
        <v>-23179.255999542715</v>
      </c>
      <c r="ALH48" s="32">
        <f t="shared" si="838"/>
        <v>261778.04000019352</v>
      </c>
      <c r="ALI48" s="32">
        <f t="shared" si="838"/>
        <v>129752.39399979287</v>
      </c>
      <c r="ALJ48" s="32">
        <f t="shared" si="838"/>
        <v>242012.74600030581</v>
      </c>
      <c r="ALK48" s="32">
        <f t="shared" si="838"/>
        <v>813511.05899887893</v>
      </c>
      <c r="ALL48" s="32">
        <f t="shared" si="838"/>
        <v>170240.48700179398</v>
      </c>
      <c r="ALM48" s="32">
        <f t="shared" si="838"/>
        <v>-2784.6870011151768</v>
      </c>
      <c r="ALN48" s="32">
        <f t="shared" si="838"/>
        <v>222771.70099981938</v>
      </c>
      <c r="ALO48" s="32">
        <f t="shared" si="838"/>
        <v>-544172.43699857662</v>
      </c>
      <c r="ALP48" s="32">
        <f t="shared" si="838"/>
        <v>-52321.042000335874</v>
      </c>
      <c r="ALQ48" s="32">
        <f t="shared" si="838"/>
        <v>366466.03099967353</v>
      </c>
      <c r="ALR48" s="32">
        <f t="shared" si="838"/>
        <v>-251531.38600009226</v>
      </c>
      <c r="ALS48" s="32">
        <f t="shared" si="838"/>
        <v>282511.59599958075</v>
      </c>
      <c r="ALT48" s="127">
        <f t="shared" si="12"/>
        <v>-4109885.0969995717</v>
      </c>
      <c r="ALU48" s="32">
        <f t="shared" ref="ALU48:AMX48" si="839">ALU47-ALU26+ALU45-ALU46</f>
        <v>110041.72299981356</v>
      </c>
      <c r="ALV48" s="32">
        <f t="shared" si="839"/>
        <v>282062.82999974623</v>
      </c>
      <c r="ALW48" s="32">
        <f t="shared" si="839"/>
        <v>-2452078.8119993601</v>
      </c>
      <c r="ALX48" s="32">
        <f t="shared" si="839"/>
        <v>400592.22699998925</v>
      </c>
      <c r="ALY48" s="32">
        <f t="shared" si="839"/>
        <v>100281.05900078849</v>
      </c>
      <c r="ALZ48" s="32">
        <f t="shared" si="839"/>
        <v>73630.991999739548</v>
      </c>
      <c r="AMA48" s="32">
        <f t="shared" si="839"/>
        <v>312481.46699999267</v>
      </c>
      <c r="AMB48" s="32">
        <f t="shared" si="839"/>
        <v>-172935.79300098022</v>
      </c>
      <c r="AMC48" s="32">
        <f t="shared" si="839"/>
        <v>275495.02300069988</v>
      </c>
      <c r="AMD48" s="32">
        <f t="shared" si="839"/>
        <v>262112.94999935996</v>
      </c>
      <c r="AME48" s="32">
        <f t="shared" si="839"/>
        <v>489422.88600028562</v>
      </c>
      <c r="AMF48" s="32">
        <f t="shared" si="839"/>
        <v>-120606.260999889</v>
      </c>
      <c r="AMG48" s="32">
        <f t="shared" si="839"/>
        <v>-500062.19900056499</v>
      </c>
      <c r="AMH48" s="32">
        <f t="shared" si="839"/>
        <v>514220.6980006774</v>
      </c>
      <c r="AMI48" s="32">
        <f t="shared" si="839"/>
        <v>463524.9119999574</v>
      </c>
      <c r="AMJ48" s="32">
        <f t="shared" si="839"/>
        <v>163307.69599922968</v>
      </c>
      <c r="AMK48" s="32">
        <f t="shared" si="839"/>
        <v>3450.7450016668881</v>
      </c>
      <c r="AML48" s="32">
        <f t="shared" si="839"/>
        <v>-162443.80100053485</v>
      </c>
      <c r="AMM48" s="32">
        <f t="shared" si="839"/>
        <v>-220153.10900068813</v>
      </c>
      <c r="AMN48" s="32">
        <f t="shared" si="839"/>
        <v>225026.82300065138</v>
      </c>
      <c r="AMO48" s="32">
        <f t="shared" si="839"/>
        <v>381904.6330002076</v>
      </c>
      <c r="AMP48" s="32">
        <f t="shared" si="839"/>
        <v>543283.44099984737</v>
      </c>
      <c r="AMQ48" s="32">
        <f t="shared" si="839"/>
        <v>492779.55999808275</v>
      </c>
      <c r="AMR48" s="32">
        <f t="shared" si="839"/>
        <v>417664.55300122662</v>
      </c>
      <c r="AMS48" s="32">
        <f t="shared" si="839"/>
        <v>16113.793999941787</v>
      </c>
      <c r="AMT48" s="32">
        <f t="shared" si="839"/>
        <v>-11717.358999913151</v>
      </c>
      <c r="AMU48" s="32">
        <f t="shared" si="839"/>
        <v>197778.83600073634</v>
      </c>
      <c r="AMV48" s="32">
        <f t="shared" si="839"/>
        <v>726556.29800033511</v>
      </c>
      <c r="AMW48" s="32">
        <f t="shared" si="839"/>
        <v>-225051.73900007398</v>
      </c>
      <c r="AMX48" s="32">
        <f t="shared" si="839"/>
        <v>615214.87799928314</v>
      </c>
      <c r="AMY48" s="127">
        <f t="shared" si="13"/>
        <v>3201898.9510002546</v>
      </c>
      <c r="AMZ48" s="32">
        <f t="shared" ref="AMZ48:AOC48" si="840">AMZ47-AMZ26+AMZ45-AMZ46</f>
        <v>224960.91900014906</v>
      </c>
      <c r="ANA48" s="32">
        <f t="shared" si="840"/>
        <v>15897.349999992235</v>
      </c>
      <c r="ANB48" s="32">
        <f t="shared" si="840"/>
        <v>474682.39599926292</v>
      </c>
      <c r="ANC48" s="32">
        <f t="shared" si="840"/>
        <v>-2742484.6710003018</v>
      </c>
      <c r="AND48" s="32">
        <f t="shared" si="840"/>
        <v>-167698.72899915645</v>
      </c>
      <c r="ANE48" s="32">
        <f t="shared" si="840"/>
        <v>-18565.099000140908</v>
      </c>
      <c r="ANF48" s="32">
        <f t="shared" si="840"/>
        <v>-1999.2229999334086</v>
      </c>
      <c r="ANG48" s="32">
        <f t="shared" si="840"/>
        <v>63894.311000096903</v>
      </c>
      <c r="ANH48" s="32">
        <f t="shared" si="840"/>
        <v>433214.48999957525</v>
      </c>
      <c r="ANI48" s="32">
        <f t="shared" si="840"/>
        <v>-192154.2689991165</v>
      </c>
      <c r="ANJ48" s="32">
        <f t="shared" si="840"/>
        <v>208189.00299989147</v>
      </c>
      <c r="ANK48" s="32">
        <f t="shared" si="840"/>
        <v>138379.12600093614</v>
      </c>
      <c r="ANL48" s="32">
        <f t="shared" si="840"/>
        <v>295282.71899797634</v>
      </c>
      <c r="ANM48" s="32">
        <f t="shared" si="840"/>
        <v>-380696.49699774245</v>
      </c>
      <c r="ANN48" s="32">
        <f t="shared" si="840"/>
        <v>519836.32599900808</v>
      </c>
      <c r="ANO48" s="32">
        <f t="shared" si="840"/>
        <v>455497.2030002937</v>
      </c>
      <c r="ANP48" s="32">
        <f t="shared" si="840"/>
        <v>235828.64999909943</v>
      </c>
      <c r="ANQ48" s="32">
        <f t="shared" si="840"/>
        <v>232632.19999972789</v>
      </c>
      <c r="ANR48" s="32">
        <f t="shared" si="840"/>
        <v>-857971.34999942791</v>
      </c>
      <c r="ANS48" s="32">
        <f t="shared" si="840"/>
        <v>-405287.65000128478</v>
      </c>
      <c r="ANT48" s="32">
        <f t="shared" si="840"/>
        <v>425457.75000189897</v>
      </c>
      <c r="ANU48" s="32">
        <f t="shared" si="840"/>
        <v>87451.899998707813</v>
      </c>
      <c r="ANV48" s="32">
        <f t="shared" si="840"/>
        <v>476983.97399978503</v>
      </c>
      <c r="ANW48" s="32">
        <f t="shared" si="840"/>
        <v>-1265782.3179994924</v>
      </c>
      <c r="ANX48" s="32">
        <f t="shared" si="840"/>
        <v>455677.6050017149</v>
      </c>
      <c r="ANY48" s="32">
        <f t="shared" si="840"/>
        <v>-188579.32200205204</v>
      </c>
      <c r="ANZ48" s="32">
        <f t="shared" si="840"/>
        <v>647691.53200098081</v>
      </c>
      <c r="AOA48" s="32">
        <f t="shared" si="840"/>
        <v>15741.1089989256</v>
      </c>
      <c r="AOB48" s="32">
        <f t="shared" si="840"/>
        <v>549234.84000150755</v>
      </c>
      <c r="AOC48" s="32">
        <f t="shared" si="840"/>
        <v>-1514555.8900004795</v>
      </c>
    </row>
    <row r="49" spans="3:806 1040:1068" x14ac:dyDescent="0.2">
      <c r="GJ49" s="126"/>
      <c r="IT49" s="127">
        <f t="shared" ref="IT49:IT55" si="841">SUM(HQ49:IS49)</f>
        <v>0</v>
      </c>
    </row>
    <row r="50" spans="3:806 1040:1068" x14ac:dyDescent="0.2">
      <c r="C50" s="1"/>
      <c r="GJ50" s="126"/>
      <c r="IT50" s="127">
        <f t="shared" si="841"/>
        <v>0</v>
      </c>
    </row>
    <row r="51" spans="3:806 1040:1068" x14ac:dyDescent="0.2">
      <c r="C51" s="1"/>
      <c r="BK51">
        <f>3831*40</f>
        <v>153240</v>
      </c>
      <c r="GJ51" s="126"/>
      <c r="IT51" s="127">
        <f t="shared" si="841"/>
        <v>0</v>
      </c>
      <c r="LA51">
        <f>4730+120</f>
        <v>4850</v>
      </c>
    </row>
    <row r="52" spans="3:806 1040:1068" x14ac:dyDescent="0.2">
      <c r="AS52">
        <f>4850-4690</f>
        <v>160</v>
      </c>
      <c r="AV52">
        <v>962.14800000000002</v>
      </c>
      <c r="GJ52" s="126"/>
      <c r="IT52" s="127">
        <f t="shared" si="841"/>
        <v>0</v>
      </c>
      <c r="OJ52">
        <v>784</v>
      </c>
    </row>
    <row r="53" spans="3:806 1040:1068" x14ac:dyDescent="0.2">
      <c r="AS53">
        <f>4690-4850</f>
        <v>-160</v>
      </c>
      <c r="AV53">
        <v>2037.7840000000001</v>
      </c>
      <c r="BN53">
        <v>14223883</v>
      </c>
      <c r="GJ53" s="126"/>
      <c r="IT53" s="127">
        <f t="shared" si="841"/>
        <v>0</v>
      </c>
      <c r="OJ53">
        <v>40</v>
      </c>
      <c r="AMZ53">
        <f>572.863*200</f>
        <v>114572.6</v>
      </c>
      <c r="ANN53">
        <v>1701.3330000000001</v>
      </c>
      <c r="ANO53">
        <v>717.18399999999997</v>
      </c>
      <c r="ANU53">
        <v>1104.549</v>
      </c>
    </row>
    <row r="54" spans="3:806 1040:1068" x14ac:dyDescent="0.2">
      <c r="Z54">
        <v>1035.2860000000001</v>
      </c>
      <c r="AV54">
        <f>AV53-AV52</f>
        <v>1075.636</v>
      </c>
      <c r="BN54">
        <v>2072500</v>
      </c>
      <c r="GJ54" s="126"/>
      <c r="IT54" s="127">
        <f t="shared" si="841"/>
        <v>0</v>
      </c>
      <c r="OJ54">
        <f>OJ52*OJ53</f>
        <v>31360</v>
      </c>
      <c r="ADZ54">
        <v>7223</v>
      </c>
      <c r="AMZ54">
        <f>111.498*300</f>
        <v>33449.4</v>
      </c>
      <c r="ANN54">
        <v>981.59199999999998</v>
      </c>
      <c r="ANO54">
        <v>511.55099999999999</v>
      </c>
      <c r="ANU54">
        <v>959.66200000000003</v>
      </c>
      <c r="ANW54">
        <v>6449</v>
      </c>
    </row>
    <row r="55" spans="3:806 1040:1068" x14ac:dyDescent="0.2">
      <c r="Z55">
        <v>2097.9430000000002</v>
      </c>
      <c r="AN55">
        <v>2546.7719999999999</v>
      </c>
      <c r="AQ55">
        <f>1534.672*100</f>
        <v>153467.20000000001</v>
      </c>
      <c r="AR55">
        <f>816.262*160</f>
        <v>130601.91999999998</v>
      </c>
      <c r="AS55">
        <f>SUM(AQ55:AR55)</f>
        <v>284069.12</v>
      </c>
      <c r="AV55">
        <v>60</v>
      </c>
      <c r="AY55">
        <v>659.99699999999996</v>
      </c>
      <c r="BN55">
        <f>BN53-BN54</f>
        <v>12151383</v>
      </c>
      <c r="CR55">
        <f>5390-5439</f>
        <v>-49</v>
      </c>
      <c r="DH55">
        <f>192.814*111</f>
        <v>21402.353999999999</v>
      </c>
      <c r="DK55">
        <f>5550-5439</f>
        <v>111</v>
      </c>
      <c r="GJ55" s="126"/>
      <c r="IT55" s="127">
        <f t="shared" si="841"/>
        <v>0</v>
      </c>
      <c r="KH55">
        <v>200000</v>
      </c>
      <c r="YU55">
        <v>1413885.612</v>
      </c>
      <c r="YV55">
        <v>1414650.0519999999</v>
      </c>
      <c r="YW55">
        <f>YV55-YU55</f>
        <v>764.43999999994412</v>
      </c>
      <c r="YY55">
        <v>687.28</v>
      </c>
      <c r="ADS55">
        <v>1900</v>
      </c>
      <c r="ADZ55">
        <v>10908</v>
      </c>
      <c r="AMZ55">
        <f>SUM(AMZ53:AMZ54)</f>
        <v>148022</v>
      </c>
      <c r="ANN55">
        <f>ANN53-ANN54</f>
        <v>719.7410000000001</v>
      </c>
      <c r="ANO55">
        <f>ANO53-ANO54</f>
        <v>205.63299999999998</v>
      </c>
      <c r="ANU55">
        <f>ANU53-ANU54</f>
        <v>144.88699999999994</v>
      </c>
      <c r="ANW55">
        <v>5900</v>
      </c>
      <c r="ANZ55">
        <v>1260.0029999999999</v>
      </c>
      <c r="AOA55">
        <v>794.99099999999999</v>
      </c>
    </row>
    <row r="56" spans="3:806 1040:1068" x14ac:dyDescent="0.2">
      <c r="Z56">
        <f>Z55-Z54</f>
        <v>1062.6570000000002</v>
      </c>
      <c r="AN56">
        <v>1279.0350000000001</v>
      </c>
      <c r="AV56">
        <f>AV54*AV55</f>
        <v>64538.159999999996</v>
      </c>
      <c r="AY56">
        <v>1651.116</v>
      </c>
      <c r="BN56">
        <v>99000</v>
      </c>
      <c r="CR56">
        <v>425.43</v>
      </c>
      <c r="DH56">
        <f>75.954*40</f>
        <v>3038.16</v>
      </c>
      <c r="GJ56" s="126"/>
      <c r="IT56" s="127">
        <f>SUM(HO56:IS56)</f>
        <v>0</v>
      </c>
      <c r="JB56">
        <v>20000</v>
      </c>
      <c r="JC56">
        <v>9</v>
      </c>
      <c r="JD56">
        <f>JC56*JB56</f>
        <v>180000</v>
      </c>
      <c r="JF56">
        <v>250000</v>
      </c>
      <c r="KH56">
        <v>152000</v>
      </c>
      <c r="YU56">
        <v>549677.06900000002</v>
      </c>
      <c r="YV56">
        <v>550102.21</v>
      </c>
      <c r="YW56">
        <f>YV56-YU56</f>
        <v>425.14099999994505</v>
      </c>
      <c r="ADS56">
        <v>10000</v>
      </c>
      <c r="ADU56">
        <v>135000</v>
      </c>
      <c r="ADW56">
        <v>35400</v>
      </c>
      <c r="ADZ56">
        <f>SUM(ADZ54:ADZ55)</f>
        <v>18131</v>
      </c>
      <c r="ANN56">
        <v>551</v>
      </c>
      <c r="ANO56">
        <v>271</v>
      </c>
      <c r="ANU56">
        <v>549</v>
      </c>
      <c r="ANW56">
        <f>ANW54-ANW55</f>
        <v>549</v>
      </c>
      <c r="ANZ56">
        <v>531.88499999999999</v>
      </c>
      <c r="AOA56">
        <v>390.334</v>
      </c>
    </row>
    <row r="57" spans="3:806 1040:1068" x14ac:dyDescent="0.2">
      <c r="Z57">
        <v>40</v>
      </c>
      <c r="AN57">
        <f>AN55-AN56</f>
        <v>1267.7369999999999</v>
      </c>
      <c r="AO57">
        <f>AN57*90</f>
        <v>114096.32999999999</v>
      </c>
      <c r="AT57">
        <f>5350-5290</f>
        <v>60</v>
      </c>
      <c r="AX57">
        <f>5290-5350</f>
        <v>-60</v>
      </c>
      <c r="AY57">
        <f>AY56-AY55</f>
        <v>991.11900000000003</v>
      </c>
      <c r="AZ57">
        <f>AY57*60</f>
        <v>59467.14</v>
      </c>
      <c r="BN57">
        <f>BN55-BN56</f>
        <v>12052383</v>
      </c>
      <c r="CR57">
        <f>CR56*49</f>
        <v>20846.07</v>
      </c>
      <c r="DH57">
        <f>SUM(DH55:DH56)</f>
        <v>24440.513999999999</v>
      </c>
      <c r="GJ57" s="126"/>
      <c r="IT57" s="127">
        <f t="shared" ref="IT57:IT77" si="842">SUM(HQ57:IS57)</f>
        <v>0</v>
      </c>
      <c r="JB57">
        <v>30000</v>
      </c>
      <c r="JC57">
        <v>2</v>
      </c>
      <c r="JD57">
        <f>JC57*JB57</f>
        <v>60000</v>
      </c>
      <c r="KH57">
        <v>20000</v>
      </c>
      <c r="YU57">
        <v>1137938.2830000001</v>
      </c>
      <c r="YV57">
        <v>1138732.6610000001</v>
      </c>
      <c r="YW57">
        <f>YV57-YU57</f>
        <v>794.37800000002608</v>
      </c>
      <c r="YY57">
        <v>7000</v>
      </c>
      <c r="ADS57">
        <v>6000</v>
      </c>
      <c r="ADU57">
        <v>41400</v>
      </c>
      <c r="ADW57">
        <v>254737</v>
      </c>
      <c r="ADZ57">
        <v>93</v>
      </c>
      <c r="ANN57">
        <f>ANN55*ANN56</f>
        <v>396577.29100000003</v>
      </c>
      <c r="ANO57">
        <f>ANO56*ANO55</f>
        <v>55726.542999999998</v>
      </c>
      <c r="ANP57">
        <f>SUM(ANN57:ANO57)</f>
        <v>452303.83400000003</v>
      </c>
      <c r="ANU57">
        <f>ANU56*ANU55</f>
        <v>79542.962999999974</v>
      </c>
      <c r="ANZ57">
        <f>ANZ55-ANZ56</f>
        <v>728.11799999999994</v>
      </c>
      <c r="AOA57">
        <f>AOA55-AOA56</f>
        <v>404.65699999999998</v>
      </c>
    </row>
    <row r="58" spans="3:806 1040:1068" x14ac:dyDescent="0.2">
      <c r="Z58">
        <f>Z56*Z57</f>
        <v>42506.280000000006</v>
      </c>
      <c r="BN58">
        <v>164500</v>
      </c>
      <c r="GJ58" s="126"/>
      <c r="IT58" s="127">
        <f t="shared" si="842"/>
        <v>0</v>
      </c>
      <c r="JB58">
        <v>20000</v>
      </c>
      <c r="JC58">
        <v>1</v>
      </c>
      <c r="JD58">
        <f>JC58*JB58</f>
        <v>20000</v>
      </c>
      <c r="KH58">
        <v>320000</v>
      </c>
      <c r="YU58">
        <v>287174.49800000002</v>
      </c>
      <c r="YV58">
        <v>287334.48100000003</v>
      </c>
      <c r="YW58">
        <f>YV58-YU58</f>
        <v>159.98300000000745</v>
      </c>
      <c r="YY58">
        <v>2143</v>
      </c>
      <c r="ADS58">
        <v>21000</v>
      </c>
      <c r="ADU58">
        <f>ADU56-ADU57</f>
        <v>93600</v>
      </c>
      <c r="ADW58">
        <f>SUM(ADW56:ADW57)</f>
        <v>290137</v>
      </c>
      <c r="ADZ58">
        <f>ADZ56-ADZ57</f>
        <v>18038</v>
      </c>
      <c r="ANP58">
        <v>447000</v>
      </c>
      <c r="ANZ58">
        <v>140</v>
      </c>
      <c r="AOA58">
        <v>41</v>
      </c>
    </row>
    <row r="59" spans="3:806 1040:1068" x14ac:dyDescent="0.2">
      <c r="BN59" s="83">
        <f>SUM(BN57:BN58)</f>
        <v>12216883</v>
      </c>
      <c r="GJ59" s="126"/>
      <c r="IT59" s="127">
        <f t="shared" si="842"/>
        <v>0</v>
      </c>
      <c r="KH59">
        <v>120000</v>
      </c>
      <c r="YW59">
        <f>SUM(YW55:YW58)</f>
        <v>2143.9419999999227</v>
      </c>
      <c r="YY59">
        <f>YY57-YY58</f>
        <v>4857</v>
      </c>
      <c r="YZ59">
        <v>7000</v>
      </c>
      <c r="ZA59">
        <f>YY59+YZ59</f>
        <v>11857</v>
      </c>
      <c r="ADS59">
        <v>2500</v>
      </c>
      <c r="ADU59">
        <v>483300</v>
      </c>
      <c r="ADW59">
        <v>35400</v>
      </c>
      <c r="ANP59">
        <f>ANP58-ANP57</f>
        <v>-5303.8340000000317</v>
      </c>
      <c r="ANZ59">
        <f>ANZ57*ANZ58</f>
        <v>101936.51999999999</v>
      </c>
      <c r="AOA59">
        <f>AOA57*AOA58</f>
        <v>16590.936999999998</v>
      </c>
      <c r="AOB59">
        <f>SUM(ANZ59:AOA59)</f>
        <v>118527.45699999999</v>
      </c>
    </row>
    <row r="60" spans="3:806 1040:1068" x14ac:dyDescent="0.2">
      <c r="AW60">
        <v>533.88699999999994</v>
      </c>
      <c r="EX60">
        <v>10733000</v>
      </c>
      <c r="GJ60" s="126"/>
      <c r="IT60" s="127">
        <f t="shared" si="842"/>
        <v>0</v>
      </c>
      <c r="KH60">
        <v>18000</v>
      </c>
      <c r="ZA60">
        <v>11860</v>
      </c>
      <c r="ADW60">
        <f>SUM(ADW58:ADW59)</f>
        <v>325537</v>
      </c>
    </row>
    <row r="61" spans="3:806 1040:1068" x14ac:dyDescent="0.2">
      <c r="AW61">
        <v>934.59199999999998</v>
      </c>
      <c r="EY61">
        <v>1045000</v>
      </c>
      <c r="GJ61" s="126"/>
      <c r="IT61" s="127">
        <f t="shared" si="842"/>
        <v>0</v>
      </c>
      <c r="KH61">
        <f>SUM(KH55:KH60)</f>
        <v>830000</v>
      </c>
      <c r="ZA61">
        <f>ZA60-ZA59</f>
        <v>3</v>
      </c>
    </row>
    <row r="62" spans="3:806 1040:1068" x14ac:dyDescent="0.2">
      <c r="AS62">
        <v>2006.9280000000001</v>
      </c>
      <c r="AT62">
        <v>5350</v>
      </c>
      <c r="AU62">
        <f>AT62*AS62</f>
        <v>10737064.800000001</v>
      </c>
      <c r="AW62">
        <f>AW61-AW60</f>
        <v>400.70500000000004</v>
      </c>
      <c r="IT62" s="127">
        <f t="shared" si="842"/>
        <v>0</v>
      </c>
    </row>
    <row r="63" spans="3:806 1040:1068" x14ac:dyDescent="0.2">
      <c r="AM63">
        <v>1429.7059999999999</v>
      </c>
      <c r="AN63">
        <v>5190</v>
      </c>
      <c r="AO63">
        <f>AN63*AM63</f>
        <v>7420174.1399999997</v>
      </c>
      <c r="AS63">
        <v>919.04300000000001</v>
      </c>
      <c r="AT63">
        <v>4900</v>
      </c>
      <c r="AU63">
        <f>AT63*AS63</f>
        <v>4503310.7</v>
      </c>
      <c r="AW63">
        <v>50</v>
      </c>
      <c r="IT63" s="127">
        <f t="shared" si="842"/>
        <v>0</v>
      </c>
    </row>
    <row r="64" spans="3:806 1040:1068" x14ac:dyDescent="0.2">
      <c r="AM64">
        <v>1534.672</v>
      </c>
      <c r="AN64">
        <v>5290</v>
      </c>
      <c r="AO64">
        <f>AN64*AM64</f>
        <v>8118414.8799999999</v>
      </c>
      <c r="AU64">
        <f>SUM(AU62:AU63)</f>
        <v>15240375.5</v>
      </c>
      <c r="AW64">
        <f>AW62*AW63</f>
        <v>20035.250000000004</v>
      </c>
      <c r="IT64" s="127">
        <f t="shared" si="842"/>
        <v>0</v>
      </c>
    </row>
    <row r="65" spans="39:254" x14ac:dyDescent="0.2">
      <c r="AM65">
        <v>1154.0309999999999</v>
      </c>
      <c r="AN65">
        <v>4690</v>
      </c>
      <c r="AO65">
        <f>AN65*AM65</f>
        <v>5412405.3899999997</v>
      </c>
      <c r="IT65" s="127">
        <f t="shared" si="842"/>
        <v>0</v>
      </c>
    </row>
    <row r="66" spans="39:254" x14ac:dyDescent="0.2">
      <c r="AM66">
        <v>816.26199999999994</v>
      </c>
      <c r="AN66">
        <v>4850</v>
      </c>
      <c r="AO66">
        <f>AN66*AM66</f>
        <v>3958870.6999999997</v>
      </c>
      <c r="IT66" s="127">
        <f t="shared" si="842"/>
        <v>0</v>
      </c>
    </row>
    <row r="67" spans="39:254" x14ac:dyDescent="0.2">
      <c r="AN67" t="s">
        <v>1537</v>
      </c>
      <c r="AO67">
        <f>SUM(AO63:AO66)</f>
        <v>24909865.109999999</v>
      </c>
      <c r="IT67" s="127">
        <f t="shared" si="842"/>
        <v>0</v>
      </c>
    </row>
    <row r="68" spans="39:254" x14ac:dyDescent="0.2">
      <c r="AN68" t="s">
        <v>1538</v>
      </c>
      <c r="AO68">
        <v>4843010</v>
      </c>
      <c r="IT68" s="127">
        <f t="shared" si="842"/>
        <v>0</v>
      </c>
    </row>
    <row r="69" spans="39:254" x14ac:dyDescent="0.2">
      <c r="AN69" t="s">
        <v>1539</v>
      </c>
      <c r="AO69">
        <v>400500</v>
      </c>
      <c r="IT69" s="127">
        <f t="shared" si="842"/>
        <v>0</v>
      </c>
    </row>
    <row r="70" spans="39:254" x14ac:dyDescent="0.2">
      <c r="AO70">
        <f>AO67-AO68-AO69</f>
        <v>19666355.109999999</v>
      </c>
      <c r="IT70" s="127">
        <f t="shared" si="842"/>
        <v>0</v>
      </c>
    </row>
    <row r="71" spans="39:254" x14ac:dyDescent="0.2">
      <c r="AN71" t="s">
        <v>1540</v>
      </c>
      <c r="AO71">
        <f>55000+72000+20000</f>
        <v>147000</v>
      </c>
      <c r="IT71" s="127">
        <f t="shared" si="842"/>
        <v>0</v>
      </c>
    </row>
    <row r="72" spans="39:254" x14ac:dyDescent="0.2">
      <c r="AN72" t="s">
        <v>1541</v>
      </c>
      <c r="AO72">
        <v>8000</v>
      </c>
      <c r="IT72" s="127">
        <f t="shared" si="842"/>
        <v>0</v>
      </c>
    </row>
    <row r="73" spans="39:254" x14ac:dyDescent="0.2">
      <c r="AO73">
        <f>SUM(AO70:AO72)</f>
        <v>19821355.109999999</v>
      </c>
      <c r="IT73" s="127">
        <f t="shared" si="842"/>
        <v>0</v>
      </c>
    </row>
    <row r="74" spans="39:254" x14ac:dyDescent="0.2">
      <c r="IT74" s="127">
        <f t="shared" si="842"/>
        <v>0</v>
      </c>
    </row>
    <row r="75" spans="39:254" x14ac:dyDescent="0.2">
      <c r="IT75" s="127">
        <f t="shared" si="842"/>
        <v>0</v>
      </c>
    </row>
    <row r="76" spans="39:254" x14ac:dyDescent="0.2">
      <c r="IT76" s="127">
        <f t="shared" si="842"/>
        <v>0</v>
      </c>
    </row>
    <row r="77" spans="39:254" x14ac:dyDescent="0.2">
      <c r="IT77" s="127">
        <f t="shared" si="842"/>
        <v>0</v>
      </c>
    </row>
  </sheetData>
  <mergeCells count="7">
    <mergeCell ref="A38:A43"/>
    <mergeCell ref="A19:A24"/>
    <mergeCell ref="A31:A36"/>
    <mergeCell ref="A26:B26"/>
    <mergeCell ref="A13:A18"/>
    <mergeCell ref="A4:A12"/>
    <mergeCell ref="A28:B28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C64"/>
  <sheetViews>
    <sheetView zoomScale="210" zoomScaleNormal="210" workbookViewId="0">
      <pane xSplit="2" ySplit="3" topLeftCell="ANU28" activePane="bottomRight" state="frozen"/>
      <selection pane="topRight" activeCell="C1" sqref="C1"/>
      <selection pane="bottomLeft" activeCell="A4" sqref="A4"/>
      <selection pane="bottomRight" activeCell="AOD54" sqref="AOD54"/>
    </sheetView>
  </sheetViews>
  <sheetFormatPr baseColWidth="10" defaultColWidth="8.83203125" defaultRowHeight="15" x14ac:dyDescent="0.2"/>
  <cols>
    <col min="2" max="2" width="19.83203125" customWidth="1"/>
    <col min="3" max="3" width="13.6640625" customWidth="1"/>
    <col min="4" max="4" width="15" customWidth="1"/>
    <col min="5" max="5" width="14" customWidth="1"/>
    <col min="6" max="6" width="13.1640625" customWidth="1"/>
    <col min="7" max="11" width="12.5" bestFit="1" customWidth="1"/>
    <col min="12" max="12" width="12" customWidth="1"/>
    <col min="13" max="13" width="13" customWidth="1"/>
    <col min="14" max="14" width="13.6640625" customWidth="1"/>
    <col min="15" max="15" width="12.83203125" customWidth="1"/>
    <col min="16" max="16" width="12.1640625" customWidth="1"/>
    <col min="17" max="17" width="12.5" customWidth="1"/>
    <col min="18" max="18" width="12.83203125" customWidth="1"/>
    <col min="19" max="31" width="12.5" bestFit="1" customWidth="1"/>
    <col min="32" max="33" width="12.5" customWidth="1"/>
    <col min="34" max="34" width="16" customWidth="1"/>
    <col min="35" max="35" width="14" customWidth="1"/>
    <col min="36" max="36" width="15.6640625" customWidth="1"/>
    <col min="37" max="38" width="13.83203125" customWidth="1"/>
    <col min="39" max="39" width="14.5" customWidth="1"/>
    <col min="40" max="40" width="16.5" customWidth="1"/>
    <col min="41" max="41" width="12.5" customWidth="1"/>
    <col min="42" max="42" width="12" customWidth="1"/>
    <col min="43" max="43" width="12.1640625" customWidth="1"/>
    <col min="44" max="45" width="12.5" customWidth="1"/>
    <col min="46" max="46" width="13.1640625" customWidth="1"/>
    <col min="47" max="47" width="13.6640625" customWidth="1"/>
    <col min="48" max="48" width="11.83203125" customWidth="1"/>
    <col min="49" max="49" width="13.5" customWidth="1"/>
    <col min="50" max="51" width="12.1640625" customWidth="1"/>
    <col min="52" max="52" width="12.83203125" customWidth="1"/>
    <col min="53" max="53" width="12" customWidth="1"/>
    <col min="54" max="54" width="13.1640625" customWidth="1"/>
    <col min="55" max="55" width="14.1640625" customWidth="1"/>
    <col min="56" max="56" width="12.1640625" customWidth="1"/>
    <col min="57" max="58" width="12.5" customWidth="1"/>
    <col min="59" max="60" width="12.1640625" customWidth="1"/>
    <col min="61" max="61" width="12" customWidth="1"/>
    <col min="62" max="62" width="13.83203125" customWidth="1"/>
    <col min="63" max="63" width="12" customWidth="1"/>
    <col min="64" max="64" width="12.1640625" customWidth="1"/>
    <col min="65" max="65" width="12" bestFit="1" customWidth="1"/>
    <col min="66" max="66" width="12.5" bestFit="1" customWidth="1"/>
    <col min="67" max="67" width="13.1640625" customWidth="1"/>
    <col min="68" max="68" width="12.1640625" customWidth="1"/>
    <col min="69" max="69" width="13" customWidth="1"/>
    <col min="70" max="70" width="12.83203125" customWidth="1"/>
    <col min="71" max="71" width="11.83203125" customWidth="1"/>
    <col min="72" max="72" width="12" customWidth="1"/>
    <col min="73" max="73" width="12.83203125" customWidth="1"/>
    <col min="74" max="74" width="13" customWidth="1"/>
    <col min="75" max="76" width="12.5" customWidth="1"/>
    <col min="77" max="77" width="13.1640625" customWidth="1"/>
    <col min="78" max="78" width="12.5" customWidth="1"/>
    <col min="79" max="79" width="12.83203125" customWidth="1"/>
    <col min="80" max="81" width="12.1640625" customWidth="1"/>
    <col min="82" max="82" width="12.83203125" customWidth="1"/>
    <col min="83" max="83" width="12.6640625" customWidth="1"/>
    <col min="84" max="84" width="12.5" customWidth="1"/>
    <col min="85" max="85" width="12" customWidth="1"/>
    <col min="86" max="86" width="12.5" customWidth="1"/>
    <col min="87" max="87" width="12.1640625" customWidth="1"/>
    <col min="88" max="88" width="14" customWidth="1"/>
    <col min="89" max="89" width="12.5" customWidth="1"/>
    <col min="90" max="90" width="13.1640625" customWidth="1"/>
    <col min="91" max="91" width="13.5" customWidth="1"/>
    <col min="92" max="92" width="12.83203125" customWidth="1"/>
    <col min="93" max="93" width="12.5" customWidth="1"/>
    <col min="94" max="94" width="12.1640625" customWidth="1"/>
    <col min="95" max="95" width="12" customWidth="1"/>
    <col min="96" max="96" width="12" bestFit="1" customWidth="1"/>
    <col min="97" max="97" width="13.1640625" bestFit="1" customWidth="1"/>
    <col min="98" max="98" width="13.5" customWidth="1"/>
    <col min="99" max="99" width="12.83203125" customWidth="1"/>
    <col min="100" max="100" width="13.1640625" bestFit="1" customWidth="1"/>
    <col min="101" max="101" width="11.83203125" customWidth="1"/>
    <col min="102" max="102" width="13.1640625" customWidth="1"/>
    <col min="103" max="103" width="12.83203125" customWidth="1"/>
    <col min="104" max="104" width="13.1640625" customWidth="1"/>
    <col min="105" max="106" width="12.5" customWidth="1"/>
    <col min="107" max="107" width="13.1640625" customWidth="1"/>
    <col min="108" max="108" width="12.6640625" customWidth="1"/>
    <col min="109" max="109" width="12.83203125" customWidth="1"/>
    <col min="110" max="110" width="12.6640625" customWidth="1"/>
    <col min="111" max="111" width="12.5" customWidth="1"/>
    <col min="112" max="112" width="13.5" customWidth="1"/>
    <col min="113" max="113" width="12" customWidth="1"/>
    <col min="114" max="115" width="12.5" customWidth="1"/>
    <col min="116" max="116" width="12" customWidth="1"/>
    <col min="117" max="117" width="12.1640625" customWidth="1"/>
    <col min="118" max="118" width="12.83203125" customWidth="1"/>
    <col min="119" max="119" width="12.5" customWidth="1"/>
    <col min="120" max="120" width="13" customWidth="1"/>
    <col min="121" max="121" width="13.6640625" customWidth="1"/>
    <col min="122" max="122" width="12" customWidth="1"/>
    <col min="123" max="123" width="14" customWidth="1"/>
    <col min="124" max="125" width="12.5" customWidth="1"/>
    <col min="126" max="126" width="12.1640625" customWidth="1"/>
    <col min="127" max="127" width="14.5" customWidth="1"/>
    <col min="128" max="128" width="13.5" customWidth="1"/>
    <col min="129" max="129" width="13.1640625" bestFit="1" customWidth="1"/>
    <col min="130" max="130" width="12.6640625" customWidth="1"/>
    <col min="131" max="131" width="12.5" customWidth="1"/>
    <col min="132" max="132" width="12.1640625" customWidth="1"/>
    <col min="133" max="133" width="13" customWidth="1"/>
    <col min="134" max="134" width="13.5" customWidth="1"/>
    <col min="135" max="135" width="12.1640625" customWidth="1"/>
    <col min="136" max="136" width="14.1640625" customWidth="1"/>
    <col min="137" max="137" width="14.5" customWidth="1"/>
    <col min="138" max="138" width="13" customWidth="1"/>
    <col min="139" max="139" width="12" customWidth="1"/>
    <col min="140" max="140" width="13.6640625" customWidth="1"/>
    <col min="141" max="141" width="13.1640625" customWidth="1"/>
    <col min="142" max="142" width="12.83203125" customWidth="1"/>
    <col min="143" max="144" width="13.1640625" customWidth="1"/>
    <col min="145" max="145" width="12.5" customWidth="1"/>
    <col min="146" max="146" width="14.83203125" customWidth="1"/>
    <col min="147" max="147" width="17.6640625" customWidth="1"/>
    <col min="148" max="148" width="13.6640625" customWidth="1"/>
    <col min="149" max="149" width="11.83203125" customWidth="1"/>
    <col min="150" max="150" width="13" customWidth="1"/>
    <col min="151" max="151" width="13.5" customWidth="1"/>
    <col min="152" max="152" width="12.33203125" customWidth="1"/>
    <col min="153" max="153" width="12.83203125" customWidth="1"/>
    <col min="154" max="154" width="13.1640625" customWidth="1"/>
    <col min="155" max="155" width="11.83203125" customWidth="1"/>
    <col min="156" max="157" width="12.1640625" customWidth="1"/>
    <col min="158" max="158" width="11.83203125" customWidth="1"/>
    <col min="159" max="159" width="13.5" customWidth="1"/>
    <col min="161" max="161" width="12.5" customWidth="1"/>
    <col min="162" max="162" width="13.1640625" customWidth="1"/>
    <col min="163" max="163" width="14.83203125" customWidth="1"/>
    <col min="164" max="165" width="12.5" customWidth="1"/>
    <col min="166" max="166" width="12.83203125" customWidth="1"/>
    <col min="167" max="167" width="12.1640625" customWidth="1"/>
    <col min="168" max="168" width="13.6640625" customWidth="1"/>
    <col min="169" max="169" width="13.1640625" customWidth="1"/>
    <col min="170" max="170" width="12.1640625" customWidth="1"/>
    <col min="171" max="171" width="13.1640625" customWidth="1"/>
    <col min="172" max="172" width="13.33203125" customWidth="1"/>
    <col min="173" max="173" width="12.6640625" customWidth="1"/>
    <col min="174" max="174" width="12.1640625" customWidth="1"/>
    <col min="175" max="175" width="12.83203125" customWidth="1"/>
    <col min="176" max="176" width="12.33203125" customWidth="1"/>
    <col min="177" max="177" width="12.5" customWidth="1"/>
    <col min="178" max="179" width="13.1640625" customWidth="1"/>
    <col min="180" max="180" width="13" customWidth="1"/>
    <col min="181" max="181" width="12.1640625" customWidth="1"/>
    <col min="182" max="182" width="13.83203125" customWidth="1"/>
    <col min="183" max="183" width="12.33203125" customWidth="1"/>
    <col min="184" max="184" width="12.1640625" customWidth="1"/>
    <col min="185" max="185" width="13.1640625" customWidth="1"/>
    <col min="186" max="186" width="12" customWidth="1"/>
    <col min="187" max="187" width="13.33203125" customWidth="1"/>
    <col min="188" max="190" width="12.33203125" customWidth="1"/>
    <col min="191" max="191" width="15" customWidth="1"/>
    <col min="193" max="193" width="14" customWidth="1"/>
    <col min="194" max="194" width="12.83203125" customWidth="1"/>
    <col min="195" max="195" width="12.1640625" customWidth="1"/>
    <col min="196" max="196" width="12.83203125" customWidth="1"/>
    <col min="197" max="197" width="12.33203125" customWidth="1"/>
    <col min="198" max="198" width="12" customWidth="1"/>
    <col min="199" max="199" width="13.5" customWidth="1"/>
    <col min="200" max="200" width="12.5" customWidth="1"/>
    <col min="201" max="201" width="12.1640625" customWidth="1"/>
    <col min="202" max="202" width="13.5" customWidth="1"/>
    <col min="203" max="203" width="14.33203125" customWidth="1"/>
    <col min="204" max="204" width="13.5" customWidth="1"/>
    <col min="205" max="205" width="14" customWidth="1"/>
    <col min="206" max="206" width="12.1640625" customWidth="1"/>
    <col min="207" max="207" width="13" customWidth="1"/>
    <col min="208" max="209" width="12" customWidth="1"/>
    <col min="210" max="210" width="14.83203125" customWidth="1"/>
    <col min="211" max="211" width="12.33203125" customWidth="1"/>
    <col min="212" max="212" width="13" customWidth="1"/>
    <col min="213" max="213" width="13.5" customWidth="1"/>
    <col min="214" max="214" width="13.33203125" customWidth="1"/>
    <col min="215" max="215" width="12.33203125" customWidth="1"/>
    <col min="216" max="216" width="14" customWidth="1"/>
    <col min="217" max="217" width="12.33203125" customWidth="1"/>
    <col min="218" max="218" width="12" customWidth="1"/>
    <col min="219" max="219" width="13.5" customWidth="1"/>
    <col min="220" max="220" width="12.1640625" customWidth="1"/>
    <col min="221" max="221" width="13" customWidth="1"/>
    <col min="223" max="223" width="14" customWidth="1"/>
    <col min="224" max="224" width="13.1640625" customWidth="1"/>
    <col min="225" max="225" width="14.83203125" customWidth="1"/>
    <col min="226" max="226" width="13" customWidth="1"/>
    <col min="227" max="227" width="15.1640625" customWidth="1"/>
    <col min="228" max="228" width="13" customWidth="1"/>
    <col min="229" max="230" width="13.1640625" customWidth="1"/>
    <col min="231" max="231" width="14.1640625" customWidth="1"/>
    <col min="232" max="232" width="13" customWidth="1"/>
    <col min="233" max="233" width="13.33203125" customWidth="1"/>
    <col min="234" max="234" width="11.83203125" customWidth="1"/>
    <col min="235" max="235" width="12.6640625" customWidth="1"/>
    <col min="236" max="236" width="13.6640625" customWidth="1"/>
    <col min="237" max="237" width="12.83203125" customWidth="1"/>
    <col min="238" max="238" width="13.6640625" customWidth="1"/>
    <col min="239" max="240" width="13.83203125" customWidth="1"/>
    <col min="241" max="241" width="12.1640625" customWidth="1"/>
    <col min="242" max="242" width="12.33203125" customWidth="1"/>
    <col min="243" max="243" width="14.1640625" customWidth="1"/>
    <col min="244" max="245" width="12.6640625" customWidth="1"/>
    <col min="246" max="247" width="12.83203125" customWidth="1"/>
    <col min="248" max="248" width="14.5" customWidth="1"/>
    <col min="249" max="249" width="13.83203125" customWidth="1"/>
    <col min="250" max="250" width="13.1640625" customWidth="1"/>
    <col min="251" max="251" width="13.5" customWidth="1"/>
    <col min="252" max="252" width="13.1640625" customWidth="1"/>
    <col min="253" max="253" width="12.1640625" customWidth="1"/>
    <col min="255" max="255" width="12.1640625" customWidth="1"/>
    <col min="256" max="256" width="13.33203125" bestFit="1" customWidth="1"/>
    <col min="257" max="257" width="15.33203125" customWidth="1"/>
    <col min="258" max="259" width="13.33203125" bestFit="1" customWidth="1"/>
    <col min="260" max="260" width="15.5" customWidth="1"/>
    <col min="261" max="261" width="12.33203125" customWidth="1"/>
    <col min="262" max="262" width="12.1640625" customWidth="1"/>
    <col min="263" max="263" width="11.83203125" customWidth="1"/>
    <col min="264" max="264" width="13.6640625" customWidth="1"/>
    <col min="265" max="265" width="13.1640625" customWidth="1"/>
    <col min="266" max="266" width="13.5" customWidth="1"/>
    <col min="267" max="268" width="12.83203125" customWidth="1"/>
    <col min="269" max="269" width="12" customWidth="1"/>
    <col min="270" max="270" width="12.83203125" customWidth="1"/>
    <col min="271" max="271" width="14" customWidth="1"/>
    <col min="272" max="272" width="12.83203125" customWidth="1"/>
    <col min="273" max="274" width="11.83203125" customWidth="1"/>
    <col min="275" max="275" width="12" customWidth="1"/>
    <col min="276" max="276" width="12.1640625" customWidth="1"/>
    <col min="277" max="277" width="13.5" customWidth="1"/>
    <col min="278" max="279" width="12.5" customWidth="1"/>
    <col min="280" max="280" width="13.1640625" customWidth="1"/>
    <col min="281" max="281" width="13.33203125" customWidth="1"/>
    <col min="282" max="282" width="13.5" customWidth="1"/>
    <col min="283" max="283" width="12.83203125" customWidth="1"/>
    <col min="284" max="285" width="12.5" customWidth="1"/>
    <col min="286" max="286" width="13" customWidth="1"/>
    <col min="287" max="287" width="13.5" customWidth="1"/>
    <col min="288" max="288" width="13.83203125" customWidth="1"/>
    <col min="289" max="289" width="13.33203125" customWidth="1"/>
    <col min="290" max="290" width="12.1640625" bestFit="1" customWidth="1"/>
    <col min="291" max="291" width="15" customWidth="1"/>
    <col min="292" max="292" width="13.83203125" customWidth="1"/>
    <col min="293" max="293" width="14.5" customWidth="1"/>
    <col min="294" max="294" width="13.6640625" customWidth="1"/>
    <col min="295" max="295" width="12.5" customWidth="1"/>
    <col min="296" max="296" width="12" customWidth="1"/>
    <col min="297" max="297" width="12.83203125" customWidth="1"/>
    <col min="298" max="298" width="14.33203125" customWidth="1"/>
    <col min="299" max="299" width="14.83203125" customWidth="1"/>
    <col min="300" max="300" width="12.1640625" customWidth="1"/>
    <col min="301" max="301" width="12.5" customWidth="1"/>
    <col min="302" max="302" width="12.33203125" customWidth="1"/>
    <col min="303" max="304" width="13.1640625" customWidth="1"/>
    <col min="305" max="305" width="13.83203125" customWidth="1"/>
    <col min="306" max="306" width="12.83203125" customWidth="1"/>
    <col min="307" max="307" width="12" customWidth="1"/>
    <col min="308" max="308" width="13.33203125" customWidth="1"/>
    <col min="309" max="309" width="13.83203125" customWidth="1"/>
    <col min="310" max="310" width="13.33203125" customWidth="1"/>
    <col min="311" max="312" width="14.83203125" customWidth="1"/>
    <col min="313" max="313" width="13.5" customWidth="1"/>
    <col min="314" max="314" width="12.1640625" customWidth="1"/>
    <col min="315" max="315" width="14.1640625" customWidth="1"/>
    <col min="316" max="316" width="13.83203125" customWidth="1"/>
    <col min="318" max="318" width="12.83203125" customWidth="1"/>
    <col min="319" max="319" width="13.5" customWidth="1"/>
    <col min="320" max="321" width="13" customWidth="1"/>
    <col min="322" max="322" width="13.5" customWidth="1"/>
    <col min="323" max="323" width="12.6640625" customWidth="1"/>
    <col min="324" max="324" width="12.5" customWidth="1"/>
    <col min="325" max="325" width="13.5" customWidth="1"/>
    <col min="326" max="326" width="12.33203125" customWidth="1"/>
    <col min="327" max="328" width="13" customWidth="1"/>
    <col min="329" max="329" width="13.1640625" customWidth="1"/>
    <col min="330" max="332" width="12.33203125" customWidth="1"/>
    <col min="333" max="333" width="12.1640625" customWidth="1"/>
    <col min="334" max="335" width="12" customWidth="1"/>
    <col min="336" max="336" width="12.1640625" customWidth="1"/>
    <col min="337" max="337" width="13" customWidth="1"/>
    <col min="338" max="338" width="12" customWidth="1"/>
    <col min="339" max="339" width="14.1640625" customWidth="1"/>
    <col min="340" max="340" width="14" customWidth="1"/>
    <col min="341" max="342" width="12.1640625" customWidth="1"/>
    <col min="343" max="343" width="13.83203125" customWidth="1"/>
    <col min="344" max="344" width="14.5" customWidth="1"/>
    <col min="345" max="345" width="16.6640625" customWidth="1"/>
    <col min="346" max="346" width="13.1640625" customWidth="1"/>
    <col min="347" max="347" width="14.5" customWidth="1"/>
    <col min="348" max="348" width="11.5" customWidth="1"/>
    <col min="349" max="349" width="14.83203125" customWidth="1"/>
    <col min="350" max="350" width="12.5" customWidth="1"/>
    <col min="351" max="351" width="13.5" customWidth="1"/>
    <col min="352" max="352" width="15.1640625" customWidth="1"/>
    <col min="353" max="353" width="16.83203125" customWidth="1"/>
    <col min="354" max="354" width="16.1640625" customWidth="1"/>
    <col min="355" max="355" width="12.83203125" customWidth="1"/>
    <col min="356" max="356" width="14.1640625" customWidth="1"/>
    <col min="357" max="357" width="13.5" customWidth="1"/>
    <col min="358" max="358" width="14.5" customWidth="1"/>
    <col min="359" max="359" width="12.83203125" customWidth="1"/>
    <col min="360" max="360" width="13.5" customWidth="1"/>
    <col min="361" max="361" width="14" customWidth="1"/>
    <col min="362" max="362" width="15.83203125" customWidth="1"/>
    <col min="363" max="363" width="15.1640625" customWidth="1"/>
    <col min="364" max="364" width="15" customWidth="1"/>
    <col min="365" max="365" width="15.83203125" customWidth="1"/>
    <col min="366" max="366" width="16.1640625" customWidth="1"/>
    <col min="367" max="367" width="12.6640625" customWidth="1"/>
    <col min="368" max="368" width="13.5" customWidth="1"/>
    <col min="369" max="369" width="13.83203125" customWidth="1"/>
    <col min="370" max="370" width="12" customWidth="1"/>
    <col min="371" max="371" width="12.83203125" customWidth="1"/>
    <col min="372" max="372" width="12.1640625" customWidth="1"/>
    <col min="373" max="373" width="15.33203125" customWidth="1"/>
    <col min="374" max="374" width="13.83203125" customWidth="1"/>
    <col min="375" max="375" width="13.33203125" customWidth="1"/>
    <col min="376" max="376" width="13" customWidth="1"/>
    <col min="377" max="377" width="12.1640625" customWidth="1"/>
    <col min="378" max="378" width="13.33203125" customWidth="1"/>
    <col min="379" max="379" width="12.6640625" customWidth="1"/>
    <col min="381" max="381" width="12.6640625" customWidth="1"/>
    <col min="382" max="382" width="13.1640625" customWidth="1"/>
    <col min="383" max="383" width="12.1640625" customWidth="1"/>
    <col min="384" max="384" width="13" customWidth="1"/>
    <col min="385" max="385" width="12" customWidth="1"/>
    <col min="386" max="386" width="13.1640625" customWidth="1"/>
    <col min="387" max="387" width="12.6640625" customWidth="1"/>
    <col min="388" max="388" width="13.1640625" customWidth="1"/>
    <col min="389" max="389" width="14" customWidth="1"/>
    <col min="390" max="390" width="12.33203125" customWidth="1"/>
    <col min="391" max="391" width="12.6640625" customWidth="1"/>
    <col min="392" max="392" width="13.83203125" customWidth="1"/>
    <col min="393" max="393" width="12.6640625" customWidth="1"/>
    <col min="394" max="394" width="13.5" customWidth="1"/>
    <col min="395" max="395" width="12.83203125" customWidth="1"/>
    <col min="396" max="396" width="12.33203125" customWidth="1"/>
    <col min="397" max="397" width="14.1640625" customWidth="1"/>
    <col min="398" max="398" width="12.1640625" customWidth="1"/>
    <col min="399" max="399" width="12" customWidth="1"/>
    <col min="400" max="400" width="14.1640625" customWidth="1"/>
    <col min="401" max="401" width="13.83203125" customWidth="1"/>
    <col min="402" max="402" width="13" customWidth="1"/>
    <col min="403" max="403" width="14.33203125" customWidth="1"/>
    <col min="404" max="404" width="13.33203125" customWidth="1"/>
    <col min="405" max="405" width="12.1640625" customWidth="1"/>
    <col min="406" max="406" width="12.83203125" customWidth="1"/>
    <col min="407" max="407" width="12.5" customWidth="1"/>
    <col min="408" max="408" width="13.1640625" customWidth="1"/>
    <col min="409" max="409" width="12.6640625" customWidth="1"/>
    <col min="410" max="410" width="13.1640625" customWidth="1"/>
    <col min="411" max="411" width="13" customWidth="1"/>
    <col min="413" max="413" width="13.83203125" customWidth="1"/>
    <col min="414" max="414" width="14" customWidth="1"/>
    <col min="415" max="415" width="12.83203125" customWidth="1"/>
    <col min="416" max="416" width="13.5" customWidth="1"/>
    <col min="417" max="417" width="12" customWidth="1"/>
    <col min="418" max="418" width="13.1640625" customWidth="1"/>
    <col min="419" max="419" width="13.6640625" customWidth="1"/>
    <col min="420" max="420" width="12.5" customWidth="1"/>
    <col min="421" max="421" width="12.83203125" customWidth="1"/>
    <col min="422" max="422" width="13.5" customWidth="1"/>
    <col min="423" max="423" width="14.6640625" customWidth="1"/>
    <col min="424" max="424" width="14.33203125" customWidth="1"/>
    <col min="425" max="425" width="13.83203125" customWidth="1"/>
    <col min="426" max="426" width="13.1640625" customWidth="1"/>
    <col min="427" max="427" width="12" customWidth="1"/>
    <col min="428" max="428" width="13.83203125" customWidth="1"/>
    <col min="429" max="430" width="13.6640625" customWidth="1"/>
    <col min="431" max="431" width="12.1640625" customWidth="1"/>
    <col min="432" max="432" width="13.83203125" customWidth="1"/>
    <col min="433" max="433" width="12.1640625" customWidth="1"/>
    <col min="434" max="434" width="12" customWidth="1"/>
    <col min="435" max="435" width="15.5" customWidth="1"/>
    <col min="436" max="436" width="13" customWidth="1"/>
    <col min="437" max="437" width="13.1640625" customWidth="1"/>
    <col min="438" max="439" width="12.1640625" customWidth="1"/>
    <col min="440" max="441" width="14.5" customWidth="1"/>
    <col min="442" max="442" width="12.1640625" customWidth="1"/>
    <col min="444" max="444" width="12.83203125" customWidth="1"/>
    <col min="445" max="445" width="12.6640625" customWidth="1"/>
    <col min="446" max="446" width="13.1640625" customWidth="1"/>
    <col min="447" max="447" width="13.83203125" customWidth="1"/>
    <col min="448" max="448" width="13.6640625" customWidth="1"/>
    <col min="449" max="449" width="12.5" customWidth="1"/>
    <col min="450" max="450" width="12.1640625" customWidth="1"/>
    <col min="451" max="451" width="12" customWidth="1"/>
    <col min="452" max="452" width="12.6640625" customWidth="1"/>
    <col min="453" max="453" width="13" customWidth="1"/>
    <col min="454" max="454" width="12.83203125" customWidth="1"/>
    <col min="455" max="455" width="14" customWidth="1"/>
    <col min="456" max="456" width="12.6640625" customWidth="1"/>
    <col min="457" max="457" width="12.1640625" customWidth="1"/>
    <col min="458" max="458" width="12.6640625" customWidth="1"/>
    <col min="459" max="459" width="13.1640625" customWidth="1"/>
    <col min="460" max="460" width="11.83203125" customWidth="1"/>
    <col min="461" max="461" width="12.5" customWidth="1"/>
    <col min="462" max="462" width="13.5" customWidth="1"/>
    <col min="463" max="463" width="11.83203125" customWidth="1"/>
    <col min="464" max="464" width="13.1640625" customWidth="1"/>
    <col min="465" max="465" width="12.83203125" customWidth="1"/>
    <col min="466" max="466" width="12.6640625" customWidth="1"/>
    <col min="467" max="468" width="12.83203125" customWidth="1"/>
    <col min="469" max="469" width="12" customWidth="1"/>
    <col min="470" max="470" width="12.1640625" customWidth="1"/>
    <col min="471" max="471" width="12.83203125" customWidth="1"/>
    <col min="472" max="472" width="12.1640625" customWidth="1"/>
    <col min="473" max="473" width="12" bestFit="1" customWidth="1"/>
    <col min="474" max="474" width="12.5" customWidth="1"/>
    <col min="476" max="476" width="13.5" customWidth="1"/>
    <col min="477" max="477" width="12.5" customWidth="1"/>
    <col min="478" max="478" width="13.1640625" customWidth="1"/>
    <col min="479" max="479" width="12.33203125" customWidth="1"/>
    <col min="480" max="480" width="12.83203125" customWidth="1"/>
    <col min="481" max="481" width="12.1640625" customWidth="1"/>
    <col min="482" max="483" width="12" customWidth="1"/>
    <col min="484" max="484" width="12.1640625" customWidth="1"/>
    <col min="485" max="485" width="14" customWidth="1"/>
    <col min="486" max="486" width="13.1640625" customWidth="1"/>
    <col min="487" max="487" width="11.83203125" customWidth="1"/>
    <col min="488" max="488" width="13" customWidth="1"/>
    <col min="489" max="489" width="11.83203125" customWidth="1"/>
    <col min="490" max="491" width="12" customWidth="1"/>
    <col min="492" max="492" width="13.5" customWidth="1"/>
    <col min="493" max="493" width="12.6640625" customWidth="1"/>
    <col min="494" max="494" width="12.1640625" customWidth="1"/>
    <col min="495" max="495" width="12.5" customWidth="1"/>
    <col min="496" max="496" width="12.1640625" customWidth="1"/>
    <col min="497" max="498" width="13" customWidth="1"/>
    <col min="499" max="499" width="12.83203125" customWidth="1"/>
    <col min="500" max="500" width="12.6640625" customWidth="1"/>
    <col min="501" max="502" width="13.1640625" customWidth="1"/>
    <col min="503" max="503" width="12.5" customWidth="1"/>
    <col min="504" max="504" width="12" customWidth="1"/>
    <col min="505" max="505" width="12.33203125" customWidth="1"/>
    <col min="507" max="507" width="12.33203125" customWidth="1"/>
    <col min="508" max="508" width="13" customWidth="1"/>
    <col min="509" max="509" width="12" customWidth="1"/>
    <col min="510" max="510" width="12.33203125" customWidth="1"/>
    <col min="511" max="511" width="13.5" customWidth="1"/>
    <col min="512" max="512" width="12.33203125" customWidth="1"/>
    <col min="513" max="513" width="13.33203125" customWidth="1"/>
    <col min="514" max="514" width="13" customWidth="1"/>
    <col min="515" max="515" width="12.33203125" customWidth="1"/>
    <col min="516" max="516" width="12.83203125" customWidth="1"/>
    <col min="517" max="517" width="12" customWidth="1"/>
    <col min="518" max="518" width="12.83203125" customWidth="1"/>
    <col min="519" max="519" width="12.33203125" customWidth="1"/>
    <col min="520" max="520" width="12.5" customWidth="1"/>
    <col min="521" max="521" width="13.6640625" customWidth="1"/>
    <col min="522" max="522" width="12.1640625" customWidth="1"/>
    <col min="523" max="523" width="15.33203125" customWidth="1"/>
    <col min="524" max="524" width="14.1640625" customWidth="1"/>
    <col min="525" max="525" width="12.83203125" customWidth="1"/>
    <col min="526" max="526" width="13" customWidth="1"/>
    <col min="527" max="527" width="12.83203125" customWidth="1"/>
    <col min="528" max="528" width="13.83203125" customWidth="1"/>
    <col min="529" max="530" width="13" customWidth="1"/>
    <col min="531" max="531" width="12.33203125" customWidth="1"/>
    <col min="532" max="533" width="12.83203125" customWidth="1"/>
    <col min="534" max="534" width="12.33203125" customWidth="1"/>
    <col min="535" max="535" width="13.6640625" customWidth="1"/>
    <col min="536" max="536" width="14.5" customWidth="1"/>
    <col min="537" max="537" width="12.1640625" customWidth="1"/>
    <col min="539" max="540" width="13.5" customWidth="1"/>
    <col min="541" max="541" width="12.1640625" customWidth="1"/>
    <col min="542" max="542" width="13" customWidth="1"/>
    <col min="543" max="543" width="12.5" customWidth="1"/>
    <col min="544" max="544" width="12.6640625" customWidth="1"/>
    <col min="545" max="545" width="14.1640625" customWidth="1"/>
    <col min="546" max="546" width="12" customWidth="1"/>
    <col min="547" max="547" width="12.83203125" customWidth="1"/>
    <col min="548" max="548" width="13.83203125" customWidth="1"/>
    <col min="549" max="549" width="12.33203125" customWidth="1"/>
    <col min="550" max="550" width="12.5" customWidth="1"/>
    <col min="551" max="551" width="12.83203125" customWidth="1"/>
    <col min="552" max="552" width="13.1640625" customWidth="1"/>
    <col min="553" max="554" width="12.83203125" customWidth="1"/>
    <col min="555" max="555" width="13.83203125" customWidth="1"/>
    <col min="556" max="556" width="12.5" customWidth="1"/>
    <col min="557" max="557" width="13.1640625" customWidth="1"/>
    <col min="558" max="558" width="14.6640625" customWidth="1"/>
    <col min="559" max="559" width="13.33203125" customWidth="1"/>
    <col min="560" max="560" width="12.6640625" customWidth="1"/>
    <col min="561" max="561" width="13" customWidth="1"/>
    <col min="562" max="562" width="12.83203125" customWidth="1"/>
    <col min="563" max="564" width="13.1640625" customWidth="1"/>
    <col min="565" max="565" width="12.83203125" customWidth="1"/>
    <col min="566" max="566" width="12.6640625" customWidth="1"/>
    <col min="567" max="567" width="13.1640625" customWidth="1"/>
    <col min="568" max="568" width="15.5" customWidth="1"/>
    <col min="569" max="569" width="14.1640625" customWidth="1"/>
    <col min="571" max="571" width="13.5" customWidth="1"/>
    <col min="572" max="572" width="12.83203125" customWidth="1"/>
    <col min="573" max="573" width="14.6640625" customWidth="1"/>
    <col min="574" max="574" width="12.1640625" customWidth="1"/>
    <col min="575" max="575" width="13.1640625" customWidth="1"/>
    <col min="576" max="576" width="13.5" customWidth="1"/>
    <col min="577" max="577" width="12.1640625" customWidth="1"/>
    <col min="578" max="578" width="13.1640625" customWidth="1"/>
    <col min="579" max="579" width="12.5" customWidth="1"/>
    <col min="580" max="580" width="12.83203125" customWidth="1"/>
    <col min="581" max="583" width="13.1640625" customWidth="1"/>
    <col min="584" max="584" width="12.5" customWidth="1"/>
    <col min="585" max="585" width="12.1640625" customWidth="1"/>
    <col min="586" max="586" width="12.5" customWidth="1"/>
    <col min="587" max="587" width="12.83203125" customWidth="1"/>
    <col min="588" max="589" width="12.5" customWidth="1"/>
    <col min="590" max="590" width="13.33203125" customWidth="1"/>
    <col min="591" max="591" width="12.83203125" customWidth="1"/>
    <col min="592" max="592" width="12" bestFit="1" customWidth="1"/>
    <col min="593" max="593" width="12.83203125" customWidth="1"/>
    <col min="594" max="594" width="12.6640625" customWidth="1"/>
    <col min="595" max="595" width="12.1640625" customWidth="1"/>
    <col min="596" max="596" width="13.1640625" customWidth="1"/>
    <col min="597" max="597" width="12.5" customWidth="1"/>
    <col min="598" max="598" width="12.1640625" customWidth="1"/>
    <col min="600" max="600" width="13.5" customWidth="1"/>
    <col min="601" max="601" width="12.5" customWidth="1"/>
    <col min="602" max="602" width="14" customWidth="1"/>
    <col min="603" max="603" width="12.1640625" customWidth="1"/>
    <col min="604" max="605" width="12.83203125" customWidth="1"/>
    <col min="606" max="606" width="12.1640625" customWidth="1"/>
    <col min="607" max="607" width="12.6640625" customWidth="1"/>
    <col min="608" max="608" width="12.5" customWidth="1"/>
    <col min="609" max="609" width="12" bestFit="1" customWidth="1"/>
    <col min="610" max="610" width="13" customWidth="1"/>
    <col min="611" max="611" width="12.6640625" customWidth="1"/>
    <col min="612" max="612" width="12.1640625" customWidth="1"/>
    <col min="613" max="613" width="12.6640625" customWidth="1"/>
    <col min="614" max="614" width="12.83203125" customWidth="1"/>
    <col min="615" max="615" width="12.5" customWidth="1"/>
    <col min="616" max="617" width="12.83203125" customWidth="1"/>
    <col min="618" max="618" width="13.1640625" customWidth="1"/>
    <col min="619" max="619" width="12.83203125" customWidth="1"/>
    <col min="620" max="620" width="13.5" customWidth="1"/>
    <col min="621" max="621" width="11.83203125" customWidth="1"/>
    <col min="622" max="622" width="14.5" customWidth="1"/>
    <col min="623" max="623" width="13" customWidth="1"/>
    <col min="624" max="624" width="14.83203125" customWidth="1"/>
    <col min="625" max="627" width="13" customWidth="1"/>
    <col min="628" max="628" width="13.5" customWidth="1"/>
    <col min="629" max="629" width="12.83203125" customWidth="1"/>
    <col min="630" max="631" width="14.1640625" customWidth="1"/>
    <col min="632" max="632" width="12.33203125" customWidth="1"/>
    <col min="633" max="633" width="12.1640625" customWidth="1"/>
    <col min="634" max="634" width="13.5" customWidth="1"/>
    <col min="635" max="635" width="13.83203125" customWidth="1"/>
    <col min="636" max="636" width="12.6640625" customWidth="1"/>
    <col min="637" max="637" width="13.6640625" customWidth="1"/>
    <col min="638" max="638" width="14.1640625" customWidth="1"/>
    <col min="639" max="639" width="13" customWidth="1"/>
    <col min="640" max="640" width="13.1640625" customWidth="1"/>
    <col min="641" max="641" width="12.5" customWidth="1"/>
    <col min="642" max="642" width="12.1640625" customWidth="1"/>
    <col min="643" max="643" width="13.83203125" customWidth="1"/>
    <col min="644" max="644" width="13.1640625" customWidth="1"/>
    <col min="645" max="645" width="12.83203125" customWidth="1"/>
    <col min="646" max="646" width="12.1640625" customWidth="1"/>
    <col min="647" max="647" width="12.5" customWidth="1"/>
    <col min="648" max="648" width="13.33203125" customWidth="1"/>
    <col min="649" max="649" width="12.6640625" customWidth="1"/>
    <col min="650" max="650" width="12.5" customWidth="1"/>
    <col min="651" max="651" width="13.5" customWidth="1"/>
    <col min="652" max="652" width="13" customWidth="1"/>
    <col min="653" max="653" width="12" customWidth="1"/>
    <col min="654" max="654" width="12.5" customWidth="1"/>
    <col min="655" max="655" width="12.33203125" customWidth="1"/>
    <col min="656" max="656" width="12" customWidth="1"/>
    <col min="657" max="657" width="11.83203125" customWidth="1"/>
    <col min="658" max="658" width="12.33203125" customWidth="1"/>
    <col min="659" max="659" width="13" customWidth="1"/>
    <col min="660" max="660" width="13.5" customWidth="1"/>
    <col min="661" max="661" width="12.83203125" customWidth="1"/>
    <col min="663" max="663" width="12.1640625" customWidth="1"/>
    <col min="664" max="664" width="12" customWidth="1"/>
    <col min="665" max="665" width="12.5" customWidth="1"/>
    <col min="666" max="666" width="12.6640625" customWidth="1"/>
    <col min="667" max="667" width="12.83203125" customWidth="1"/>
    <col min="668" max="668" width="12.5" customWidth="1"/>
    <col min="669" max="669" width="13.1640625" customWidth="1"/>
    <col min="670" max="670" width="12.6640625" customWidth="1"/>
    <col min="671" max="671" width="13.33203125" customWidth="1"/>
    <col min="672" max="672" width="13.83203125" customWidth="1"/>
    <col min="673" max="673" width="12.33203125" customWidth="1"/>
    <col min="674" max="674" width="12.6640625" customWidth="1"/>
    <col min="675" max="675" width="11.83203125" customWidth="1"/>
    <col min="676" max="676" width="12.1640625" customWidth="1"/>
    <col min="677" max="677" width="12.5" customWidth="1"/>
    <col min="678" max="678" width="15.1640625" customWidth="1"/>
    <col min="679" max="679" width="13" customWidth="1"/>
    <col min="680" max="681" width="12.5" customWidth="1"/>
    <col min="682" max="682" width="13.83203125" customWidth="1"/>
    <col min="683" max="683" width="13.5" customWidth="1"/>
    <col min="684" max="686" width="12.5" customWidth="1"/>
    <col min="687" max="687" width="13.5" customWidth="1"/>
    <col min="688" max="688" width="12.33203125" customWidth="1"/>
    <col min="689" max="689" width="12.83203125" customWidth="1"/>
    <col min="690" max="690" width="13.83203125" customWidth="1"/>
    <col min="691" max="691" width="12.1640625" customWidth="1"/>
    <col min="692" max="692" width="13" customWidth="1"/>
    <col min="693" max="693" width="12.5" customWidth="1"/>
    <col min="695" max="695" width="13.33203125" customWidth="1"/>
    <col min="696" max="696" width="12.6640625" customWidth="1"/>
    <col min="697" max="697" width="13.1640625" customWidth="1"/>
    <col min="698" max="698" width="12.6640625" customWidth="1"/>
    <col min="699" max="699" width="12.5" customWidth="1"/>
    <col min="700" max="700" width="13.5" customWidth="1"/>
    <col min="701" max="701" width="12.5" customWidth="1"/>
    <col min="702" max="702" width="11.83203125" customWidth="1"/>
    <col min="703" max="703" width="12" customWidth="1"/>
    <col min="704" max="704" width="12.1640625" customWidth="1"/>
    <col min="705" max="705" width="13" customWidth="1"/>
    <col min="706" max="706" width="12.33203125" customWidth="1"/>
    <col min="707" max="707" width="12.83203125" customWidth="1"/>
    <col min="708" max="708" width="12.1640625" customWidth="1"/>
    <col min="709" max="709" width="12.33203125" customWidth="1"/>
    <col min="710" max="710" width="14.5" customWidth="1"/>
    <col min="711" max="711" width="12.5" customWidth="1"/>
    <col min="712" max="712" width="12" customWidth="1"/>
    <col min="713" max="714" width="12.83203125" customWidth="1"/>
    <col min="715" max="715" width="13.33203125" customWidth="1"/>
    <col min="716" max="716" width="12.5" customWidth="1"/>
    <col min="717" max="717" width="12.6640625" customWidth="1"/>
    <col min="718" max="718" width="12.33203125" customWidth="1"/>
    <col min="719" max="720" width="13" customWidth="1"/>
    <col min="721" max="721" width="13.1640625" customWidth="1"/>
    <col min="722" max="722" width="12.83203125" customWidth="1"/>
    <col min="723" max="723" width="13.33203125" customWidth="1"/>
    <col min="724" max="724" width="13" customWidth="1"/>
    <col min="725" max="725" width="9.5" customWidth="1"/>
    <col min="726" max="726" width="14.6640625" customWidth="1"/>
    <col min="727" max="727" width="13.33203125" customWidth="1"/>
    <col min="728" max="728" width="12.5" customWidth="1"/>
    <col min="729" max="729" width="13.33203125" customWidth="1"/>
    <col min="730" max="730" width="13.1640625" customWidth="1"/>
    <col min="731" max="731" width="11.83203125" customWidth="1"/>
    <col min="732" max="732" width="12" customWidth="1"/>
    <col min="733" max="733" width="13.1640625" customWidth="1"/>
    <col min="734" max="734" width="13" customWidth="1"/>
    <col min="735" max="735" width="13.5" customWidth="1"/>
    <col min="736" max="736" width="12.1640625" customWidth="1"/>
    <col min="737" max="737" width="13.5" customWidth="1"/>
    <col min="738" max="738" width="12.83203125" customWidth="1"/>
    <col min="739" max="739" width="11.83203125" customWidth="1"/>
    <col min="740" max="740" width="12.5" customWidth="1"/>
    <col min="741" max="741" width="13.1640625" customWidth="1"/>
    <col min="742" max="742" width="13" customWidth="1"/>
    <col min="743" max="743" width="12" bestFit="1" customWidth="1"/>
    <col min="744" max="744" width="12.6640625" customWidth="1"/>
    <col min="745" max="745" width="14.5" customWidth="1"/>
    <col min="746" max="746" width="12.1640625" customWidth="1"/>
    <col min="747" max="747" width="14.5" customWidth="1"/>
    <col min="748" max="748" width="13.1640625" customWidth="1"/>
    <col min="749" max="749" width="13" customWidth="1"/>
    <col min="750" max="750" width="12.1640625" customWidth="1"/>
    <col min="751" max="751" width="13.33203125" customWidth="1"/>
    <col min="752" max="752" width="12.83203125" customWidth="1"/>
    <col min="753" max="753" width="14" customWidth="1"/>
    <col min="754" max="754" width="12" customWidth="1"/>
    <col min="755" max="756" width="12.83203125" customWidth="1"/>
    <col min="758" max="758" width="15.33203125" customWidth="1"/>
    <col min="759" max="759" width="13.33203125" customWidth="1"/>
    <col min="760" max="760" width="12" bestFit="1" customWidth="1"/>
    <col min="761" max="761" width="12.5" customWidth="1"/>
    <col min="762" max="762" width="13.33203125" customWidth="1"/>
    <col min="763" max="763" width="12.83203125" customWidth="1"/>
    <col min="764" max="764" width="12" customWidth="1"/>
    <col min="765" max="765" width="13.83203125" customWidth="1"/>
    <col min="766" max="766" width="12.6640625" customWidth="1"/>
    <col min="767" max="767" width="14.5" customWidth="1"/>
    <col min="768" max="770" width="12.83203125" customWidth="1"/>
    <col min="771" max="771" width="13.33203125" customWidth="1"/>
    <col min="772" max="772" width="14" customWidth="1"/>
    <col min="773" max="773" width="13.5" customWidth="1"/>
    <col min="774" max="774" width="12.83203125" customWidth="1"/>
    <col min="775" max="775" width="13.1640625" customWidth="1"/>
    <col min="776" max="776" width="14.5" customWidth="1"/>
    <col min="777" max="777" width="13.1640625" customWidth="1"/>
    <col min="778" max="778" width="12.6640625" customWidth="1"/>
    <col min="779" max="779" width="13.6640625" customWidth="1"/>
    <col min="780" max="780" width="13" customWidth="1"/>
    <col min="781" max="781" width="12.1640625" customWidth="1"/>
    <col min="782" max="782" width="14.1640625" customWidth="1"/>
    <col min="783" max="783" width="13.1640625" customWidth="1"/>
    <col min="784" max="784" width="12.6640625" customWidth="1"/>
    <col min="785" max="785" width="14.5" customWidth="1"/>
    <col min="786" max="786" width="14.83203125" customWidth="1"/>
    <col min="787" max="787" width="14" customWidth="1"/>
    <col min="788" max="788" width="12.83203125" customWidth="1"/>
    <col min="790" max="790" width="16.1640625" customWidth="1"/>
    <col min="791" max="791" width="13.33203125" customWidth="1"/>
    <col min="792" max="793" width="12.83203125" customWidth="1"/>
    <col min="794" max="794" width="12.1640625" customWidth="1"/>
    <col min="795" max="795" width="14" customWidth="1"/>
    <col min="796" max="796" width="13.83203125" customWidth="1"/>
    <col min="797" max="797" width="12.5" customWidth="1"/>
    <col min="798" max="798" width="13" customWidth="1"/>
    <col min="799" max="799" width="12.6640625" customWidth="1"/>
    <col min="800" max="800" width="13.5" customWidth="1"/>
    <col min="801" max="801" width="13.6640625" customWidth="1"/>
    <col min="802" max="802" width="13.33203125" customWidth="1"/>
    <col min="803" max="803" width="14.1640625" customWidth="1"/>
    <col min="804" max="804" width="12.5" customWidth="1"/>
    <col min="805" max="805" width="11.83203125" customWidth="1"/>
    <col min="806" max="806" width="13.33203125" customWidth="1"/>
    <col min="807" max="807" width="12.5" customWidth="1"/>
    <col min="808" max="808" width="12.6640625" customWidth="1"/>
    <col min="809" max="809" width="12.83203125" customWidth="1"/>
    <col min="810" max="810" width="12.5" customWidth="1"/>
    <col min="811" max="811" width="13.5" customWidth="1"/>
    <col min="812" max="813" width="13.6640625" customWidth="1"/>
    <col min="814" max="814" width="13.5" customWidth="1"/>
    <col min="815" max="816" width="13.1640625" customWidth="1"/>
    <col min="817" max="817" width="13.6640625" customWidth="1"/>
    <col min="818" max="818" width="12.6640625" customWidth="1"/>
    <col min="819" max="819" width="13.6640625" customWidth="1"/>
    <col min="821" max="821" width="12.6640625" customWidth="1"/>
    <col min="822" max="822" width="13" customWidth="1"/>
    <col min="823" max="823" width="12.5" customWidth="1"/>
    <col min="824" max="824" width="15" customWidth="1"/>
    <col min="825" max="825" width="13.33203125" customWidth="1"/>
    <col min="826" max="826" width="11.83203125" customWidth="1"/>
    <col min="827" max="827" width="12.33203125" customWidth="1"/>
    <col min="828" max="828" width="12.6640625" customWidth="1"/>
    <col min="829" max="829" width="13" customWidth="1"/>
    <col min="830" max="830" width="12.1640625" customWidth="1"/>
    <col min="831" max="831" width="13.1640625" customWidth="1"/>
    <col min="832" max="832" width="12.6640625" customWidth="1"/>
    <col min="833" max="833" width="13.5" customWidth="1"/>
    <col min="834" max="834" width="12.6640625" customWidth="1"/>
    <col min="835" max="835" width="12.5" customWidth="1"/>
    <col min="836" max="836" width="13.5" customWidth="1"/>
    <col min="837" max="837" width="12.1640625" customWidth="1"/>
    <col min="838" max="838" width="12.33203125" customWidth="1"/>
    <col min="839" max="839" width="13.83203125" customWidth="1"/>
    <col min="840" max="840" width="12.5" customWidth="1"/>
    <col min="841" max="841" width="13" customWidth="1"/>
    <col min="842" max="842" width="12.6640625" customWidth="1"/>
    <col min="843" max="843" width="13.5" customWidth="1"/>
    <col min="844" max="844" width="12.33203125" customWidth="1"/>
    <col min="845" max="845" width="14" customWidth="1"/>
    <col min="846" max="846" width="12.1640625" customWidth="1"/>
    <col min="847" max="847" width="11.83203125" customWidth="1"/>
    <col min="848" max="848" width="13" customWidth="1"/>
    <col min="849" max="849" width="12.1640625" customWidth="1"/>
    <col min="850" max="850" width="12.6640625" customWidth="1"/>
    <col min="851" max="851" width="14" customWidth="1"/>
    <col min="853" max="853" width="13.6640625" customWidth="1"/>
    <col min="854" max="854" width="13.5" customWidth="1"/>
    <col min="855" max="855" width="13" customWidth="1"/>
    <col min="856" max="856" width="12.6640625" customWidth="1"/>
    <col min="857" max="857" width="13.33203125" customWidth="1"/>
    <col min="858" max="858" width="14.1640625" customWidth="1"/>
    <col min="859" max="859" width="12" customWidth="1"/>
    <col min="860" max="860" width="13" customWidth="1"/>
    <col min="861" max="861" width="12.83203125" customWidth="1"/>
    <col min="862" max="863" width="12.5" customWidth="1"/>
    <col min="864" max="864" width="13" customWidth="1"/>
    <col min="865" max="865" width="12.83203125" customWidth="1"/>
    <col min="866" max="866" width="13.33203125" customWidth="1"/>
    <col min="867" max="867" width="13.1640625" customWidth="1"/>
    <col min="868" max="868" width="13.5" customWidth="1"/>
    <col min="869" max="870" width="12.6640625" customWidth="1"/>
    <col min="871" max="871" width="14.33203125" customWidth="1"/>
    <col min="872" max="872" width="12.33203125" customWidth="1"/>
    <col min="873" max="874" width="12" customWidth="1"/>
    <col min="875" max="875" width="12.6640625" customWidth="1"/>
    <col min="876" max="876" width="13.83203125" customWidth="1"/>
    <col min="877" max="877" width="13" customWidth="1"/>
    <col min="878" max="878" width="12.6640625" customWidth="1"/>
    <col min="879" max="879" width="12.1640625" customWidth="1"/>
    <col min="880" max="880" width="12.5" customWidth="1"/>
    <col min="881" max="881" width="13.83203125" customWidth="1"/>
    <col min="882" max="882" width="13" customWidth="1"/>
    <col min="884" max="884" width="13.33203125" customWidth="1"/>
    <col min="885" max="885" width="12.33203125" customWidth="1"/>
    <col min="886" max="886" width="12.1640625" customWidth="1"/>
    <col min="887" max="887" width="13.83203125" customWidth="1"/>
    <col min="888" max="888" width="11.83203125" customWidth="1"/>
    <col min="889" max="889" width="13.6640625" customWidth="1"/>
    <col min="890" max="890" width="14.83203125" customWidth="1"/>
    <col min="891" max="891" width="12.83203125" customWidth="1"/>
    <col min="892" max="893" width="13.6640625" customWidth="1"/>
    <col min="894" max="894" width="13.1640625" customWidth="1"/>
    <col min="895" max="895" width="12.5" customWidth="1"/>
    <col min="896" max="896" width="13" customWidth="1"/>
    <col min="897" max="897" width="12.6640625" customWidth="1"/>
    <col min="898" max="898" width="12" customWidth="1"/>
    <col min="899" max="900" width="13.1640625" customWidth="1"/>
    <col min="901" max="901" width="12.33203125" customWidth="1"/>
    <col min="902" max="902" width="12.6640625" customWidth="1"/>
    <col min="903" max="903" width="12.83203125" customWidth="1"/>
    <col min="904" max="904" width="12.6640625" customWidth="1"/>
    <col min="905" max="905" width="13" customWidth="1"/>
    <col min="906" max="906" width="15.1640625" customWidth="1"/>
    <col min="907" max="908" width="13.1640625" customWidth="1"/>
    <col min="909" max="909" width="12.83203125" customWidth="1"/>
    <col min="910" max="910" width="12.5" customWidth="1"/>
    <col min="911" max="911" width="13.6640625" customWidth="1"/>
    <col min="912" max="912" width="12" customWidth="1"/>
    <col min="913" max="913" width="13.5" customWidth="1"/>
    <col min="914" max="914" width="13.6640625" customWidth="1"/>
    <col min="916" max="916" width="13.1640625" customWidth="1"/>
    <col min="917" max="917" width="12.6640625" customWidth="1"/>
    <col min="918" max="918" width="13.5" customWidth="1"/>
    <col min="919" max="919" width="12.5" customWidth="1"/>
    <col min="920" max="920" width="13" customWidth="1"/>
    <col min="921" max="921" width="12.1640625" customWidth="1"/>
    <col min="922" max="922" width="12.6640625" customWidth="1"/>
    <col min="923" max="923" width="12.33203125" customWidth="1"/>
    <col min="924" max="924" width="12.83203125" customWidth="1"/>
    <col min="925" max="925" width="13.33203125" customWidth="1"/>
    <col min="926" max="926" width="12.5" customWidth="1"/>
    <col min="927" max="927" width="12.1640625" customWidth="1"/>
    <col min="928" max="928" width="12" customWidth="1"/>
    <col min="929" max="929" width="12.5" customWidth="1"/>
    <col min="930" max="930" width="12.83203125" customWidth="1"/>
    <col min="931" max="931" width="11.83203125" customWidth="1"/>
    <col min="932" max="932" width="12.6640625" customWidth="1"/>
    <col min="933" max="933" width="12.33203125" customWidth="1"/>
    <col min="934" max="934" width="13.1640625" customWidth="1"/>
    <col min="935" max="935" width="12.5" customWidth="1"/>
    <col min="936" max="936" width="12" customWidth="1"/>
    <col min="937" max="937" width="12.33203125" customWidth="1"/>
    <col min="938" max="938" width="13.1640625" customWidth="1"/>
    <col min="939" max="939" width="12.33203125" customWidth="1"/>
    <col min="940" max="940" width="12.1640625" customWidth="1"/>
    <col min="941" max="941" width="13.6640625" customWidth="1"/>
    <col min="942" max="942" width="12" customWidth="1"/>
    <col min="943" max="943" width="13.1640625" customWidth="1"/>
    <col min="944" max="944" width="11.83203125" customWidth="1"/>
    <col min="945" max="945" width="12.33203125" customWidth="1"/>
    <col min="946" max="946" width="15" customWidth="1"/>
    <col min="948" max="948" width="12.6640625" customWidth="1"/>
    <col min="949" max="949" width="14.1640625" customWidth="1"/>
    <col min="950" max="950" width="12.5" customWidth="1"/>
    <col min="951" max="951" width="14.1640625" customWidth="1"/>
    <col min="952" max="952" width="12" customWidth="1"/>
    <col min="953" max="953" width="13.5" customWidth="1"/>
    <col min="954" max="955" width="13" customWidth="1"/>
    <col min="956" max="956" width="13.6640625" customWidth="1"/>
    <col min="957" max="957" width="12.5" customWidth="1"/>
    <col min="958" max="958" width="12.83203125" customWidth="1"/>
    <col min="959" max="959" width="12.5" customWidth="1"/>
    <col min="960" max="960" width="12.6640625" customWidth="1"/>
    <col min="961" max="961" width="12.33203125" customWidth="1"/>
    <col min="962" max="962" width="12.1640625" customWidth="1"/>
    <col min="963" max="963" width="13.1640625" customWidth="1"/>
    <col min="964" max="964" width="13" customWidth="1"/>
    <col min="965" max="966" width="12.33203125" customWidth="1"/>
    <col min="967" max="967" width="12" customWidth="1"/>
    <col min="968" max="968" width="14.1640625" customWidth="1"/>
    <col min="969" max="969" width="13" customWidth="1"/>
    <col min="970" max="970" width="12.1640625" customWidth="1"/>
    <col min="971" max="971" width="15.83203125" customWidth="1"/>
    <col min="972" max="972" width="12.6640625" customWidth="1"/>
    <col min="973" max="973" width="13" customWidth="1"/>
    <col min="974" max="974" width="12.1640625" customWidth="1"/>
    <col min="975" max="975" width="12.83203125" customWidth="1"/>
    <col min="977" max="977" width="13.1640625" customWidth="1"/>
    <col min="978" max="978" width="12" customWidth="1"/>
    <col min="979" max="979" width="13" customWidth="1"/>
    <col min="980" max="980" width="12.33203125" customWidth="1"/>
    <col min="981" max="981" width="11.83203125" customWidth="1"/>
    <col min="982" max="982" width="12.6640625" customWidth="1"/>
    <col min="983" max="983" width="12.33203125" customWidth="1"/>
    <col min="984" max="984" width="13" customWidth="1"/>
    <col min="985" max="985" width="13.33203125" customWidth="1"/>
    <col min="986" max="986" width="14" customWidth="1"/>
    <col min="987" max="987" width="13.5" customWidth="1"/>
    <col min="988" max="988" width="12.1640625" customWidth="1"/>
    <col min="989" max="989" width="12.33203125" customWidth="1"/>
    <col min="990" max="990" width="12.5" customWidth="1"/>
    <col min="991" max="991" width="12.33203125" customWidth="1"/>
    <col min="992" max="993" width="12.5" customWidth="1"/>
    <col min="994" max="995" width="12.1640625" customWidth="1"/>
    <col min="996" max="996" width="13.6640625" customWidth="1"/>
    <col min="997" max="997" width="12.33203125" customWidth="1"/>
    <col min="998" max="998" width="12.83203125" customWidth="1"/>
    <col min="999" max="999" width="12.1640625" customWidth="1"/>
    <col min="1000" max="1001" width="13.1640625" customWidth="1"/>
    <col min="1002" max="1002" width="12.33203125" customWidth="1"/>
    <col min="1003" max="1003" width="12.6640625" customWidth="1"/>
    <col min="1004" max="1004" width="13.1640625" customWidth="1"/>
    <col min="1005" max="1006" width="12.33203125" customWidth="1"/>
    <col min="1007" max="1007" width="14" customWidth="1"/>
    <col min="1009" max="1009" width="15" customWidth="1"/>
    <col min="1010" max="1011" width="12.33203125" customWidth="1"/>
    <col min="1012" max="1012" width="13.1640625" customWidth="1"/>
    <col min="1013" max="1013" width="12.1640625" customWidth="1"/>
    <col min="1014" max="1014" width="12.5" customWidth="1"/>
    <col min="1015" max="1015" width="12" customWidth="1"/>
    <col min="1016" max="1016" width="12.33203125" customWidth="1"/>
    <col min="1017" max="1017" width="13" customWidth="1"/>
    <col min="1018" max="1018" width="12.5" customWidth="1"/>
    <col min="1019" max="1019" width="12.83203125" customWidth="1"/>
    <col min="1020" max="1020" width="13.6640625" customWidth="1"/>
    <col min="1021" max="1021" width="12" customWidth="1"/>
    <col min="1022" max="1022" width="12.83203125" customWidth="1"/>
    <col min="1023" max="1023" width="13.83203125" customWidth="1"/>
    <col min="1024" max="1024" width="12.83203125" customWidth="1"/>
    <col min="1025" max="1025" width="13" customWidth="1"/>
    <col min="1026" max="1026" width="12.5" customWidth="1"/>
    <col min="1027" max="1027" width="13" customWidth="1"/>
    <col min="1028" max="1028" width="12.5" customWidth="1"/>
    <col min="1029" max="1029" width="12.83203125" customWidth="1"/>
    <col min="1030" max="1030" width="12" customWidth="1"/>
    <col min="1031" max="1032" width="12.5" customWidth="1"/>
    <col min="1033" max="1033" width="12.83203125" customWidth="1"/>
    <col min="1034" max="1034" width="13.5" customWidth="1"/>
    <col min="1035" max="1035" width="14" customWidth="1"/>
    <col min="1036" max="1036" width="12.83203125" customWidth="1"/>
    <col min="1037" max="1038" width="13" customWidth="1"/>
    <col min="1040" max="1040" width="14.6640625" customWidth="1"/>
    <col min="1041" max="1041" width="13.83203125" customWidth="1"/>
    <col min="1042" max="1042" width="12.1640625" customWidth="1"/>
    <col min="1043" max="1044" width="12.5" customWidth="1"/>
    <col min="1045" max="1045" width="13" customWidth="1"/>
    <col min="1046" max="1046" width="13.5" customWidth="1"/>
    <col min="1047" max="1047" width="12.6640625" customWidth="1"/>
    <col min="1048" max="1048" width="11.6640625" customWidth="1"/>
    <col min="1049" max="1049" width="11.1640625" customWidth="1"/>
    <col min="1050" max="1050" width="12.1640625" customWidth="1"/>
    <col min="1051" max="1052" width="11.1640625" customWidth="1"/>
    <col min="1053" max="1053" width="11.33203125" customWidth="1"/>
    <col min="1054" max="1054" width="11.6640625" customWidth="1"/>
    <col min="1055" max="1055" width="11.83203125" customWidth="1"/>
    <col min="1056" max="1056" width="11.33203125" customWidth="1"/>
    <col min="1057" max="1057" width="12.5" customWidth="1"/>
    <col min="1058" max="1058" width="12.1640625" customWidth="1"/>
    <col min="1059" max="1059" width="11.5" customWidth="1"/>
    <col min="1060" max="1060" width="11.1640625" customWidth="1"/>
    <col min="1061" max="1061" width="11.83203125" customWidth="1"/>
    <col min="1062" max="1062" width="11.33203125" customWidth="1"/>
    <col min="1063" max="1063" width="11.1640625" customWidth="1"/>
    <col min="1064" max="1064" width="11.83203125" customWidth="1"/>
    <col min="1065" max="1066" width="11.5" customWidth="1"/>
    <col min="1067" max="1067" width="11.83203125" customWidth="1"/>
    <col min="1068" max="1068" width="12" customWidth="1"/>
    <col min="1069" max="1069" width="12.33203125" customWidth="1"/>
  </cols>
  <sheetData>
    <row r="1" spans="1:1069" x14ac:dyDescent="0.2">
      <c r="E1" s="82"/>
      <c r="F1" s="82"/>
      <c r="G1" s="81"/>
      <c r="I1" s="82">
        <f>H1-G10</f>
        <v>-98580261.400000006</v>
      </c>
    </row>
    <row r="2" spans="1:1069" x14ac:dyDescent="0.2">
      <c r="KX2" s="130" t="s">
        <v>1542</v>
      </c>
    </row>
    <row r="3" spans="1:1069" x14ac:dyDescent="0.2">
      <c r="A3" s="50" t="s">
        <v>0</v>
      </c>
      <c r="B3" s="50" t="s">
        <v>1</v>
      </c>
      <c r="C3" s="51">
        <v>44204</v>
      </c>
      <c r="D3" s="51">
        <v>44965</v>
      </c>
      <c r="E3" s="51">
        <v>44993</v>
      </c>
      <c r="F3" s="51">
        <v>45024</v>
      </c>
      <c r="G3" s="51">
        <v>45054</v>
      </c>
      <c r="H3" s="51">
        <v>45085</v>
      </c>
      <c r="I3" s="51">
        <v>45115</v>
      </c>
      <c r="J3" s="3">
        <v>45146</v>
      </c>
      <c r="K3" s="3">
        <v>45177</v>
      </c>
      <c r="L3" s="3">
        <v>45207</v>
      </c>
      <c r="M3" s="3">
        <v>45238</v>
      </c>
      <c r="N3" s="3">
        <v>45268</v>
      </c>
      <c r="O3" s="3" t="s">
        <v>2</v>
      </c>
      <c r="P3" s="3" t="s">
        <v>3</v>
      </c>
      <c r="Q3" s="3" t="s">
        <v>4</v>
      </c>
      <c r="R3" s="3" t="s">
        <v>5</v>
      </c>
      <c r="S3" s="3" t="s">
        <v>6</v>
      </c>
      <c r="T3" s="3" t="s">
        <v>7</v>
      </c>
      <c r="U3" s="3" t="s">
        <v>8</v>
      </c>
      <c r="V3" s="3" t="s">
        <v>9</v>
      </c>
      <c r="W3" s="3" t="s">
        <v>10</v>
      </c>
      <c r="X3" s="3" t="s">
        <v>11</v>
      </c>
      <c r="Y3" s="3" t="s">
        <v>12</v>
      </c>
      <c r="Z3" s="3" t="s">
        <v>13</v>
      </c>
      <c r="AA3" s="3" t="s">
        <v>14</v>
      </c>
      <c r="AB3" s="3" t="s">
        <v>15</v>
      </c>
      <c r="AC3" s="3" t="s">
        <v>16</v>
      </c>
      <c r="AD3" s="3" t="s">
        <v>17</v>
      </c>
      <c r="AE3" s="3" t="s">
        <v>18</v>
      </c>
      <c r="AF3" s="3" t="s">
        <v>1543</v>
      </c>
      <c r="AG3" s="3" t="s">
        <v>1544</v>
      </c>
      <c r="AH3" s="66" t="s">
        <v>21</v>
      </c>
      <c r="AI3" s="88">
        <v>45170</v>
      </c>
      <c r="AJ3" s="88">
        <f t="shared" ref="AJ3:BL3" si="0">AI3+1</f>
        <v>45171</v>
      </c>
      <c r="AK3" s="88">
        <f t="shared" si="0"/>
        <v>45172</v>
      </c>
      <c r="AL3" s="88">
        <f t="shared" si="0"/>
        <v>45173</v>
      </c>
      <c r="AM3" s="88">
        <f t="shared" si="0"/>
        <v>45174</v>
      </c>
      <c r="AN3" s="88">
        <f t="shared" si="0"/>
        <v>45175</v>
      </c>
      <c r="AO3" s="88">
        <f t="shared" si="0"/>
        <v>45176</v>
      </c>
      <c r="AP3" s="88">
        <f t="shared" si="0"/>
        <v>45177</v>
      </c>
      <c r="AQ3" s="88">
        <f t="shared" si="0"/>
        <v>45178</v>
      </c>
      <c r="AR3" s="88">
        <f t="shared" si="0"/>
        <v>45179</v>
      </c>
      <c r="AS3" s="101">
        <f t="shared" si="0"/>
        <v>45180</v>
      </c>
      <c r="AT3" s="88">
        <f t="shared" si="0"/>
        <v>45181</v>
      </c>
      <c r="AU3" s="88">
        <f t="shared" si="0"/>
        <v>45182</v>
      </c>
      <c r="AV3" s="88">
        <f t="shared" si="0"/>
        <v>45183</v>
      </c>
      <c r="AW3" s="88">
        <f t="shared" si="0"/>
        <v>45184</v>
      </c>
      <c r="AX3" s="88">
        <f t="shared" si="0"/>
        <v>45185</v>
      </c>
      <c r="AY3" s="88">
        <f t="shared" si="0"/>
        <v>45186</v>
      </c>
      <c r="AZ3" s="88">
        <f t="shared" si="0"/>
        <v>45187</v>
      </c>
      <c r="BA3" s="88">
        <f t="shared" si="0"/>
        <v>45188</v>
      </c>
      <c r="BB3" s="88">
        <f t="shared" si="0"/>
        <v>45189</v>
      </c>
      <c r="BC3" s="88">
        <f t="shared" si="0"/>
        <v>45190</v>
      </c>
      <c r="BD3" s="88">
        <f t="shared" si="0"/>
        <v>45191</v>
      </c>
      <c r="BE3" s="88">
        <f t="shared" si="0"/>
        <v>45192</v>
      </c>
      <c r="BF3" s="88">
        <f t="shared" si="0"/>
        <v>45193</v>
      </c>
      <c r="BG3" s="88">
        <f t="shared" si="0"/>
        <v>45194</v>
      </c>
      <c r="BH3" s="88">
        <f t="shared" si="0"/>
        <v>45195</v>
      </c>
      <c r="BI3" s="88">
        <f t="shared" si="0"/>
        <v>45196</v>
      </c>
      <c r="BJ3" s="88">
        <f t="shared" si="0"/>
        <v>45197</v>
      </c>
      <c r="BK3" s="88">
        <f t="shared" si="0"/>
        <v>45198</v>
      </c>
      <c r="BL3" s="88">
        <f t="shared" si="0"/>
        <v>45199</v>
      </c>
      <c r="BM3" s="104" t="s">
        <v>22</v>
      </c>
      <c r="BN3" s="88">
        <f t="shared" ref="BN3:CQ3" si="1">AI3+30</f>
        <v>45200</v>
      </c>
      <c r="BO3" s="88">
        <f t="shared" si="1"/>
        <v>45201</v>
      </c>
      <c r="BP3" s="88">
        <f t="shared" si="1"/>
        <v>45202</v>
      </c>
      <c r="BQ3" s="88">
        <f t="shared" si="1"/>
        <v>45203</v>
      </c>
      <c r="BR3" s="88">
        <f t="shared" si="1"/>
        <v>45204</v>
      </c>
      <c r="BS3" s="88">
        <f t="shared" si="1"/>
        <v>45205</v>
      </c>
      <c r="BT3" s="88">
        <f t="shared" si="1"/>
        <v>45206</v>
      </c>
      <c r="BU3" s="88">
        <f t="shared" si="1"/>
        <v>45207</v>
      </c>
      <c r="BV3" s="88">
        <f t="shared" si="1"/>
        <v>45208</v>
      </c>
      <c r="BW3" s="88">
        <f t="shared" si="1"/>
        <v>45209</v>
      </c>
      <c r="BX3" s="88">
        <f t="shared" si="1"/>
        <v>45210</v>
      </c>
      <c r="BY3" s="88">
        <f t="shared" si="1"/>
        <v>45211</v>
      </c>
      <c r="BZ3" s="88">
        <f t="shared" si="1"/>
        <v>45212</v>
      </c>
      <c r="CA3" s="114">
        <f t="shared" si="1"/>
        <v>45213</v>
      </c>
      <c r="CB3" s="88">
        <f t="shared" si="1"/>
        <v>45214</v>
      </c>
      <c r="CC3" s="88">
        <f t="shared" si="1"/>
        <v>45215</v>
      </c>
      <c r="CD3" s="88">
        <f t="shared" si="1"/>
        <v>45216</v>
      </c>
      <c r="CE3" s="88">
        <f t="shared" si="1"/>
        <v>45217</v>
      </c>
      <c r="CF3" s="88">
        <f t="shared" si="1"/>
        <v>45218</v>
      </c>
      <c r="CG3" s="88">
        <f t="shared" si="1"/>
        <v>45219</v>
      </c>
      <c r="CH3" s="88">
        <f t="shared" si="1"/>
        <v>45220</v>
      </c>
      <c r="CI3" s="88">
        <f t="shared" si="1"/>
        <v>45221</v>
      </c>
      <c r="CJ3" s="88">
        <f t="shared" si="1"/>
        <v>45222</v>
      </c>
      <c r="CK3" s="88">
        <f t="shared" si="1"/>
        <v>45223</v>
      </c>
      <c r="CL3" s="88">
        <f t="shared" si="1"/>
        <v>45224</v>
      </c>
      <c r="CM3" s="88">
        <f t="shared" si="1"/>
        <v>45225</v>
      </c>
      <c r="CN3" s="88">
        <f t="shared" si="1"/>
        <v>45226</v>
      </c>
      <c r="CO3" s="88">
        <f t="shared" si="1"/>
        <v>45227</v>
      </c>
      <c r="CP3" s="88">
        <f t="shared" si="1"/>
        <v>45228</v>
      </c>
      <c r="CQ3" s="88">
        <f t="shared" si="1"/>
        <v>45229</v>
      </c>
      <c r="CR3" s="88">
        <f>BN3+30</f>
        <v>45230</v>
      </c>
      <c r="CS3" s="88" t="s">
        <v>22</v>
      </c>
      <c r="CT3" s="88">
        <f t="shared" ref="CT3:DV3" si="2">BO3+30</f>
        <v>45231</v>
      </c>
      <c r="CU3" s="88">
        <f t="shared" si="2"/>
        <v>45232</v>
      </c>
      <c r="CV3" s="88">
        <f t="shared" si="2"/>
        <v>45233</v>
      </c>
      <c r="CW3" s="114">
        <f t="shared" si="2"/>
        <v>45234</v>
      </c>
      <c r="CX3" s="88">
        <f t="shared" si="2"/>
        <v>45235</v>
      </c>
      <c r="CY3" s="88">
        <f t="shared" si="2"/>
        <v>45236</v>
      </c>
      <c r="CZ3" s="88">
        <f t="shared" si="2"/>
        <v>45237</v>
      </c>
      <c r="DA3" s="88">
        <f t="shared" si="2"/>
        <v>45238</v>
      </c>
      <c r="DB3" s="88">
        <f t="shared" si="2"/>
        <v>45239</v>
      </c>
      <c r="DC3" s="88">
        <f t="shared" si="2"/>
        <v>45240</v>
      </c>
      <c r="DD3" s="88">
        <f t="shared" si="2"/>
        <v>45241</v>
      </c>
      <c r="DE3" s="88">
        <f t="shared" si="2"/>
        <v>45242</v>
      </c>
      <c r="DF3" s="88">
        <f t="shared" si="2"/>
        <v>45243</v>
      </c>
      <c r="DG3" s="88">
        <f t="shared" si="2"/>
        <v>45244</v>
      </c>
      <c r="DH3" s="88">
        <f t="shared" si="2"/>
        <v>45245</v>
      </c>
      <c r="DI3" s="88">
        <f t="shared" si="2"/>
        <v>45246</v>
      </c>
      <c r="DJ3" s="88">
        <f t="shared" si="2"/>
        <v>45247</v>
      </c>
      <c r="DK3" s="88">
        <f t="shared" si="2"/>
        <v>45248</v>
      </c>
      <c r="DL3" s="88">
        <f t="shared" si="2"/>
        <v>45249</v>
      </c>
      <c r="DM3" s="88">
        <f t="shared" si="2"/>
        <v>45250</v>
      </c>
      <c r="DN3" s="88">
        <f t="shared" si="2"/>
        <v>45251</v>
      </c>
      <c r="DO3" s="88">
        <f t="shared" si="2"/>
        <v>45252</v>
      </c>
      <c r="DP3" s="88">
        <f t="shared" si="2"/>
        <v>45253</v>
      </c>
      <c r="DQ3" s="88">
        <f t="shared" si="2"/>
        <v>45254</v>
      </c>
      <c r="DR3" s="88">
        <f t="shared" si="2"/>
        <v>45255</v>
      </c>
      <c r="DS3" s="88">
        <f t="shared" si="2"/>
        <v>45256</v>
      </c>
      <c r="DT3" s="88">
        <f t="shared" si="2"/>
        <v>45257</v>
      </c>
      <c r="DU3" s="88">
        <f t="shared" si="2"/>
        <v>45258</v>
      </c>
      <c r="DV3" s="88">
        <f t="shared" si="2"/>
        <v>45259</v>
      </c>
      <c r="DW3" s="88" t="s">
        <v>1545</v>
      </c>
      <c r="DX3" s="88" t="s">
        <v>21</v>
      </c>
      <c r="DY3" s="115">
        <v>45261</v>
      </c>
      <c r="DZ3" s="115">
        <f t="shared" ref="DZ3:FC3" si="3">DY3+1</f>
        <v>45262</v>
      </c>
      <c r="EA3" s="115">
        <f t="shared" si="3"/>
        <v>45263</v>
      </c>
      <c r="EB3" s="115">
        <f t="shared" si="3"/>
        <v>45264</v>
      </c>
      <c r="EC3" s="115">
        <f t="shared" si="3"/>
        <v>45265</v>
      </c>
      <c r="ED3" s="115">
        <f t="shared" si="3"/>
        <v>45266</v>
      </c>
      <c r="EE3" s="115">
        <f t="shared" si="3"/>
        <v>45267</v>
      </c>
      <c r="EF3" s="115">
        <f t="shared" si="3"/>
        <v>45268</v>
      </c>
      <c r="EG3" s="115">
        <f t="shared" si="3"/>
        <v>45269</v>
      </c>
      <c r="EH3" s="115">
        <f t="shared" si="3"/>
        <v>45270</v>
      </c>
      <c r="EI3" s="124">
        <f t="shared" si="3"/>
        <v>45271</v>
      </c>
      <c r="EJ3" s="115">
        <f t="shared" si="3"/>
        <v>45272</v>
      </c>
      <c r="EK3" s="115">
        <f t="shared" si="3"/>
        <v>45273</v>
      </c>
      <c r="EL3" s="115">
        <f t="shared" si="3"/>
        <v>45274</v>
      </c>
      <c r="EM3" s="115">
        <f t="shared" si="3"/>
        <v>45275</v>
      </c>
      <c r="EN3" s="115">
        <f t="shared" si="3"/>
        <v>45276</v>
      </c>
      <c r="EO3" s="115">
        <f t="shared" si="3"/>
        <v>45277</v>
      </c>
      <c r="EP3" s="115">
        <f t="shared" si="3"/>
        <v>45278</v>
      </c>
      <c r="EQ3" s="115">
        <f t="shared" si="3"/>
        <v>45279</v>
      </c>
      <c r="ER3" s="115">
        <f t="shared" si="3"/>
        <v>45280</v>
      </c>
      <c r="ES3" s="115">
        <f t="shared" si="3"/>
        <v>45281</v>
      </c>
      <c r="ET3" s="115">
        <f t="shared" si="3"/>
        <v>45282</v>
      </c>
      <c r="EU3" s="115">
        <f t="shared" si="3"/>
        <v>45283</v>
      </c>
      <c r="EV3" s="115">
        <f t="shared" si="3"/>
        <v>45284</v>
      </c>
      <c r="EW3" s="115">
        <f t="shared" si="3"/>
        <v>45285</v>
      </c>
      <c r="EX3" s="115">
        <f t="shared" si="3"/>
        <v>45286</v>
      </c>
      <c r="EY3" s="115">
        <f t="shared" si="3"/>
        <v>45287</v>
      </c>
      <c r="EZ3" s="115">
        <f t="shared" si="3"/>
        <v>45288</v>
      </c>
      <c r="FA3" s="115">
        <f t="shared" si="3"/>
        <v>45289</v>
      </c>
      <c r="FB3" s="115">
        <f t="shared" si="3"/>
        <v>45290</v>
      </c>
      <c r="FC3" s="115">
        <f t="shared" si="3"/>
        <v>45291</v>
      </c>
      <c r="FD3" s="125" t="s">
        <v>21</v>
      </c>
      <c r="FE3" s="115">
        <f>FC3+1</f>
        <v>45292</v>
      </c>
      <c r="FF3" s="115">
        <f t="shared" ref="FF3:GI3" si="4">FE3+1</f>
        <v>45293</v>
      </c>
      <c r="FG3" s="115">
        <f t="shared" si="4"/>
        <v>45294</v>
      </c>
      <c r="FH3" s="129">
        <f t="shared" si="4"/>
        <v>45295</v>
      </c>
      <c r="FI3" s="115">
        <f t="shared" si="4"/>
        <v>45296</v>
      </c>
      <c r="FJ3" s="115">
        <f t="shared" si="4"/>
        <v>45297</v>
      </c>
      <c r="FK3" s="115">
        <f t="shared" si="4"/>
        <v>45298</v>
      </c>
      <c r="FL3" s="115">
        <f t="shared" si="4"/>
        <v>45299</v>
      </c>
      <c r="FM3" s="115">
        <f t="shared" si="4"/>
        <v>45300</v>
      </c>
      <c r="FN3" s="115">
        <f t="shared" si="4"/>
        <v>45301</v>
      </c>
      <c r="FO3" s="115">
        <f t="shared" si="4"/>
        <v>45302</v>
      </c>
      <c r="FP3" s="115">
        <f t="shared" si="4"/>
        <v>45303</v>
      </c>
      <c r="FQ3" s="115">
        <f t="shared" si="4"/>
        <v>45304</v>
      </c>
      <c r="FR3" s="115">
        <f t="shared" si="4"/>
        <v>45305</v>
      </c>
      <c r="FS3" s="115">
        <f t="shared" si="4"/>
        <v>45306</v>
      </c>
      <c r="FT3" s="115">
        <f t="shared" si="4"/>
        <v>45307</v>
      </c>
      <c r="FU3" s="115">
        <f t="shared" si="4"/>
        <v>45308</v>
      </c>
      <c r="FV3" s="115">
        <f t="shared" si="4"/>
        <v>45309</v>
      </c>
      <c r="FW3" s="115">
        <f t="shared" si="4"/>
        <v>45310</v>
      </c>
      <c r="FX3" s="115">
        <f t="shared" si="4"/>
        <v>45311</v>
      </c>
      <c r="FY3" s="115">
        <f t="shared" si="4"/>
        <v>45312</v>
      </c>
      <c r="FZ3" s="115">
        <f t="shared" si="4"/>
        <v>45313</v>
      </c>
      <c r="GA3" s="115">
        <f t="shared" si="4"/>
        <v>45314</v>
      </c>
      <c r="GB3" s="115">
        <f t="shared" si="4"/>
        <v>45315</v>
      </c>
      <c r="GC3" s="115">
        <f t="shared" si="4"/>
        <v>45316</v>
      </c>
      <c r="GD3" s="115">
        <f t="shared" si="4"/>
        <v>45317</v>
      </c>
      <c r="GE3" s="115">
        <f t="shared" si="4"/>
        <v>45318</v>
      </c>
      <c r="GF3" s="115">
        <f t="shared" si="4"/>
        <v>45319</v>
      </c>
      <c r="GG3" s="115">
        <f t="shared" si="4"/>
        <v>45320</v>
      </c>
      <c r="GH3" s="115">
        <f t="shared" si="4"/>
        <v>45321</v>
      </c>
      <c r="GI3" s="115">
        <f t="shared" si="4"/>
        <v>45322</v>
      </c>
      <c r="GJ3" s="125" t="s">
        <v>21</v>
      </c>
      <c r="GK3" s="115">
        <f>GI3+1</f>
        <v>45323</v>
      </c>
      <c r="GL3" s="115">
        <f t="shared" ref="GL3:HM3" si="5">GK3+1</f>
        <v>45324</v>
      </c>
      <c r="GM3" s="115">
        <f t="shared" si="5"/>
        <v>45325</v>
      </c>
      <c r="GN3" s="115">
        <f t="shared" si="5"/>
        <v>45326</v>
      </c>
      <c r="GO3" s="115">
        <f t="shared" si="5"/>
        <v>45327</v>
      </c>
      <c r="GP3" s="115">
        <f t="shared" si="5"/>
        <v>45328</v>
      </c>
      <c r="GQ3" s="115">
        <f t="shared" si="5"/>
        <v>45329</v>
      </c>
      <c r="GR3" s="115">
        <f t="shared" si="5"/>
        <v>45330</v>
      </c>
      <c r="GS3" s="115">
        <f t="shared" si="5"/>
        <v>45331</v>
      </c>
      <c r="GT3" s="115">
        <f t="shared" si="5"/>
        <v>45332</v>
      </c>
      <c r="GU3" s="131">
        <f t="shared" si="5"/>
        <v>45333</v>
      </c>
      <c r="GV3" s="115">
        <f t="shared" si="5"/>
        <v>45334</v>
      </c>
      <c r="GW3" s="115">
        <f t="shared" si="5"/>
        <v>45335</v>
      </c>
      <c r="GX3" s="115">
        <f t="shared" si="5"/>
        <v>45336</v>
      </c>
      <c r="GY3" s="115">
        <f t="shared" si="5"/>
        <v>45337</v>
      </c>
      <c r="GZ3" s="115">
        <f t="shared" si="5"/>
        <v>45338</v>
      </c>
      <c r="HA3" s="115">
        <f t="shared" si="5"/>
        <v>45339</v>
      </c>
      <c r="HB3" s="115">
        <f t="shared" si="5"/>
        <v>45340</v>
      </c>
      <c r="HC3" s="115">
        <f t="shared" si="5"/>
        <v>45341</v>
      </c>
      <c r="HD3" s="115">
        <f t="shared" si="5"/>
        <v>45342</v>
      </c>
      <c r="HE3" s="115">
        <f t="shared" si="5"/>
        <v>45343</v>
      </c>
      <c r="HF3" s="115">
        <f t="shared" si="5"/>
        <v>45344</v>
      </c>
      <c r="HG3" s="115">
        <f t="shared" si="5"/>
        <v>45345</v>
      </c>
      <c r="HH3" s="115">
        <f t="shared" si="5"/>
        <v>45346</v>
      </c>
      <c r="HI3" s="115">
        <f t="shared" si="5"/>
        <v>45347</v>
      </c>
      <c r="HJ3" s="115">
        <f t="shared" si="5"/>
        <v>45348</v>
      </c>
      <c r="HK3" s="115">
        <f t="shared" si="5"/>
        <v>45349</v>
      </c>
      <c r="HL3" s="115">
        <f t="shared" si="5"/>
        <v>45350</v>
      </c>
      <c r="HM3" s="115">
        <f t="shared" si="5"/>
        <v>45351</v>
      </c>
      <c r="HN3" s="134"/>
      <c r="HO3" s="115">
        <v>45352</v>
      </c>
      <c r="HP3" s="115">
        <f t="shared" ref="HP3:IS3" si="6">HO3+1</f>
        <v>45353</v>
      </c>
      <c r="HQ3" s="115">
        <f t="shared" si="6"/>
        <v>45354</v>
      </c>
      <c r="HR3" s="115">
        <f t="shared" si="6"/>
        <v>45355</v>
      </c>
      <c r="HS3" s="115">
        <f t="shared" si="6"/>
        <v>45356</v>
      </c>
      <c r="HT3" s="115">
        <f t="shared" si="6"/>
        <v>45357</v>
      </c>
      <c r="HU3" s="136">
        <f t="shared" si="6"/>
        <v>45358</v>
      </c>
      <c r="HV3" s="115">
        <f t="shared" si="6"/>
        <v>45359</v>
      </c>
      <c r="HW3" s="115">
        <f t="shared" si="6"/>
        <v>45360</v>
      </c>
      <c r="HX3" s="115">
        <f t="shared" si="6"/>
        <v>45361</v>
      </c>
      <c r="HY3" s="115">
        <f t="shared" si="6"/>
        <v>45362</v>
      </c>
      <c r="HZ3" s="115">
        <f t="shared" si="6"/>
        <v>45363</v>
      </c>
      <c r="IA3" s="115">
        <f t="shared" si="6"/>
        <v>45364</v>
      </c>
      <c r="IB3" s="115">
        <f t="shared" si="6"/>
        <v>45365</v>
      </c>
      <c r="IC3" s="115">
        <f t="shared" si="6"/>
        <v>45366</v>
      </c>
      <c r="ID3" s="115">
        <f t="shared" si="6"/>
        <v>45367</v>
      </c>
      <c r="IE3" s="115">
        <f t="shared" si="6"/>
        <v>45368</v>
      </c>
      <c r="IF3" s="115">
        <f t="shared" si="6"/>
        <v>45369</v>
      </c>
      <c r="IG3" s="115">
        <f t="shared" si="6"/>
        <v>45370</v>
      </c>
      <c r="IH3" s="115">
        <f t="shared" si="6"/>
        <v>45371</v>
      </c>
      <c r="II3" s="115">
        <f t="shared" si="6"/>
        <v>45372</v>
      </c>
      <c r="IJ3" s="115">
        <f t="shared" si="6"/>
        <v>45373</v>
      </c>
      <c r="IK3" s="115">
        <f t="shared" si="6"/>
        <v>45374</v>
      </c>
      <c r="IL3" s="115">
        <f t="shared" si="6"/>
        <v>45375</v>
      </c>
      <c r="IM3" s="115">
        <f t="shared" si="6"/>
        <v>45376</v>
      </c>
      <c r="IN3" s="115">
        <f t="shared" si="6"/>
        <v>45377</v>
      </c>
      <c r="IO3" s="115">
        <f t="shared" si="6"/>
        <v>45378</v>
      </c>
      <c r="IP3" s="115">
        <f t="shared" si="6"/>
        <v>45379</v>
      </c>
      <c r="IQ3" s="115">
        <f t="shared" si="6"/>
        <v>45380</v>
      </c>
      <c r="IR3" s="115">
        <f t="shared" si="6"/>
        <v>45381</v>
      </c>
      <c r="IS3" s="115">
        <f t="shared" si="6"/>
        <v>45382</v>
      </c>
      <c r="IT3" s="130"/>
      <c r="IU3" s="115">
        <v>45383</v>
      </c>
      <c r="IV3" s="115">
        <f t="shared" ref="IV3:JX3" si="7">IU3+1</f>
        <v>45384</v>
      </c>
      <c r="IW3" s="136">
        <f t="shared" si="7"/>
        <v>45385</v>
      </c>
      <c r="IX3" s="115">
        <f t="shared" si="7"/>
        <v>45386</v>
      </c>
      <c r="IY3" s="115">
        <f t="shared" si="7"/>
        <v>45387</v>
      </c>
      <c r="IZ3" s="115">
        <f t="shared" si="7"/>
        <v>45388</v>
      </c>
      <c r="JA3" s="115">
        <f t="shared" si="7"/>
        <v>45389</v>
      </c>
      <c r="JB3" s="115">
        <f t="shared" si="7"/>
        <v>45390</v>
      </c>
      <c r="JC3" s="115">
        <f t="shared" si="7"/>
        <v>45391</v>
      </c>
      <c r="JD3" s="115">
        <f t="shared" si="7"/>
        <v>45392</v>
      </c>
      <c r="JE3" s="115">
        <f t="shared" si="7"/>
        <v>45393</v>
      </c>
      <c r="JF3" s="115">
        <f t="shared" si="7"/>
        <v>45394</v>
      </c>
      <c r="JG3" s="115">
        <f t="shared" si="7"/>
        <v>45395</v>
      </c>
      <c r="JH3" s="115">
        <f t="shared" si="7"/>
        <v>45396</v>
      </c>
      <c r="JI3" s="115">
        <f t="shared" si="7"/>
        <v>45397</v>
      </c>
      <c r="JJ3" s="115">
        <f t="shared" si="7"/>
        <v>45398</v>
      </c>
      <c r="JK3" s="115">
        <f t="shared" si="7"/>
        <v>45399</v>
      </c>
      <c r="JL3" s="115">
        <f t="shared" si="7"/>
        <v>45400</v>
      </c>
      <c r="JM3" s="115">
        <f t="shared" si="7"/>
        <v>45401</v>
      </c>
      <c r="JN3" s="115">
        <f t="shared" si="7"/>
        <v>45402</v>
      </c>
      <c r="JO3" s="115">
        <f t="shared" si="7"/>
        <v>45403</v>
      </c>
      <c r="JP3" s="115">
        <f t="shared" si="7"/>
        <v>45404</v>
      </c>
      <c r="JQ3" s="115">
        <f t="shared" si="7"/>
        <v>45405</v>
      </c>
      <c r="JR3" s="115">
        <f t="shared" si="7"/>
        <v>45406</v>
      </c>
      <c r="JS3" s="115">
        <f t="shared" si="7"/>
        <v>45407</v>
      </c>
      <c r="JT3" s="115">
        <f t="shared" si="7"/>
        <v>45408</v>
      </c>
      <c r="JU3" s="115">
        <f t="shared" si="7"/>
        <v>45409</v>
      </c>
      <c r="JV3" s="115">
        <f t="shared" si="7"/>
        <v>45410</v>
      </c>
      <c r="JW3" s="115">
        <f t="shared" si="7"/>
        <v>45411</v>
      </c>
      <c r="JX3" s="115">
        <f t="shared" si="7"/>
        <v>45412</v>
      </c>
      <c r="JY3" s="134"/>
      <c r="JZ3" s="115">
        <f>JX3+1</f>
        <v>45413</v>
      </c>
      <c r="KA3" s="115">
        <f t="shared" ref="KA3:LD3" si="8">JZ3+1</f>
        <v>45414</v>
      </c>
      <c r="KB3" s="115">
        <f t="shared" si="8"/>
        <v>45415</v>
      </c>
      <c r="KC3" s="115">
        <f t="shared" si="8"/>
        <v>45416</v>
      </c>
      <c r="KD3" s="115">
        <f t="shared" si="8"/>
        <v>45417</v>
      </c>
      <c r="KE3" s="115">
        <f t="shared" si="8"/>
        <v>45418</v>
      </c>
      <c r="KF3" s="115">
        <f t="shared" si="8"/>
        <v>45419</v>
      </c>
      <c r="KG3" s="136">
        <f t="shared" si="8"/>
        <v>45420</v>
      </c>
      <c r="KH3" s="115">
        <f t="shared" si="8"/>
        <v>45421</v>
      </c>
      <c r="KI3" s="115">
        <f t="shared" si="8"/>
        <v>45422</v>
      </c>
      <c r="KJ3" s="115">
        <f t="shared" si="8"/>
        <v>45423</v>
      </c>
      <c r="KK3" s="115">
        <f t="shared" si="8"/>
        <v>45424</v>
      </c>
      <c r="KL3" s="115">
        <f t="shared" si="8"/>
        <v>45425</v>
      </c>
      <c r="KM3" s="115">
        <f t="shared" si="8"/>
        <v>45426</v>
      </c>
      <c r="KN3" s="115">
        <f t="shared" si="8"/>
        <v>45427</v>
      </c>
      <c r="KO3" s="115">
        <f t="shared" si="8"/>
        <v>45428</v>
      </c>
      <c r="KP3" s="115">
        <f t="shared" si="8"/>
        <v>45429</v>
      </c>
      <c r="KQ3" s="115">
        <f t="shared" si="8"/>
        <v>45430</v>
      </c>
      <c r="KR3" s="115">
        <f t="shared" si="8"/>
        <v>45431</v>
      </c>
      <c r="KS3" s="115">
        <f t="shared" si="8"/>
        <v>45432</v>
      </c>
      <c r="KT3" s="115">
        <f t="shared" si="8"/>
        <v>45433</v>
      </c>
      <c r="KU3" s="115">
        <f t="shared" si="8"/>
        <v>45434</v>
      </c>
      <c r="KV3" s="115">
        <f t="shared" si="8"/>
        <v>45435</v>
      </c>
      <c r="KW3" s="115">
        <f t="shared" si="8"/>
        <v>45436</v>
      </c>
      <c r="KX3" s="115">
        <f t="shared" si="8"/>
        <v>45437</v>
      </c>
      <c r="KY3" s="115">
        <f t="shared" si="8"/>
        <v>45438</v>
      </c>
      <c r="KZ3" s="115">
        <f t="shared" si="8"/>
        <v>45439</v>
      </c>
      <c r="LA3" s="115">
        <f t="shared" si="8"/>
        <v>45440</v>
      </c>
      <c r="LB3" s="115">
        <f t="shared" si="8"/>
        <v>45441</v>
      </c>
      <c r="LC3" s="115">
        <f t="shared" si="8"/>
        <v>45442</v>
      </c>
      <c r="LD3" s="115">
        <f t="shared" si="8"/>
        <v>45443</v>
      </c>
      <c r="LE3" s="130"/>
      <c r="LF3" s="52" t="s">
        <v>23</v>
      </c>
      <c r="LG3" t="s">
        <v>784</v>
      </c>
      <c r="LH3" t="s">
        <v>785</v>
      </c>
      <c r="LI3" t="s">
        <v>786</v>
      </c>
      <c r="LJ3" t="s">
        <v>787</v>
      </c>
      <c r="LK3" t="s">
        <v>788</v>
      </c>
      <c r="LL3" t="s">
        <v>789</v>
      </c>
      <c r="LM3" t="s">
        <v>790</v>
      </c>
      <c r="LN3" t="s">
        <v>791</v>
      </c>
      <c r="LO3" t="s">
        <v>792</v>
      </c>
      <c r="LP3" t="s">
        <v>793</v>
      </c>
      <c r="LQ3" t="s">
        <v>794</v>
      </c>
      <c r="LR3" s="117" t="s">
        <v>795</v>
      </c>
      <c r="LS3" t="s">
        <v>796</v>
      </c>
      <c r="LT3" t="s">
        <v>797</v>
      </c>
      <c r="LU3" t="s">
        <v>798</v>
      </c>
      <c r="LV3" t="s">
        <v>799</v>
      </c>
      <c r="LW3" t="s">
        <v>800</v>
      </c>
      <c r="LX3" t="s">
        <v>801</v>
      </c>
      <c r="LY3" t="s">
        <v>802</v>
      </c>
      <c r="LZ3" t="s">
        <v>803</v>
      </c>
      <c r="MA3" t="s">
        <v>804</v>
      </c>
      <c r="MB3" t="s">
        <v>805</v>
      </c>
      <c r="MC3" t="s">
        <v>806</v>
      </c>
      <c r="MD3" t="s">
        <v>807</v>
      </c>
      <c r="ME3" t="s">
        <v>808</v>
      </c>
      <c r="MF3" t="s">
        <v>809</v>
      </c>
      <c r="MG3" t="s">
        <v>810</v>
      </c>
      <c r="MH3" t="s">
        <v>811</v>
      </c>
      <c r="MI3" t="s">
        <v>812</v>
      </c>
      <c r="MJ3" s="130" t="s">
        <v>782</v>
      </c>
      <c r="MK3" t="s">
        <v>1125</v>
      </c>
      <c r="ML3" t="s">
        <v>1126</v>
      </c>
      <c r="MM3" t="s">
        <v>1127</v>
      </c>
      <c r="MN3" t="s">
        <v>1128</v>
      </c>
      <c r="MO3" t="s">
        <v>1129</v>
      </c>
      <c r="MP3" t="s">
        <v>1130</v>
      </c>
      <c r="MQ3" t="s">
        <v>1131</v>
      </c>
      <c r="MR3" t="s">
        <v>1132</v>
      </c>
      <c r="MS3" t="s">
        <v>1133</v>
      </c>
      <c r="MT3" t="s">
        <v>1134</v>
      </c>
      <c r="MU3" t="s">
        <v>1135</v>
      </c>
      <c r="MV3" t="s">
        <v>1136</v>
      </c>
      <c r="MW3" t="s">
        <v>1137</v>
      </c>
      <c r="MX3" t="s">
        <v>1138</v>
      </c>
      <c r="MY3" t="s">
        <v>1139</v>
      </c>
      <c r="MZ3" t="s">
        <v>1140</v>
      </c>
      <c r="NA3" t="s">
        <v>1141</v>
      </c>
      <c r="NB3" t="s">
        <v>1142</v>
      </c>
      <c r="NC3" t="s">
        <v>1143</v>
      </c>
      <c r="ND3" t="s">
        <v>1144</v>
      </c>
      <c r="NE3" t="s">
        <v>1145</v>
      </c>
      <c r="NF3" t="s">
        <v>1146</v>
      </c>
      <c r="NG3" t="s">
        <v>1147</v>
      </c>
      <c r="NH3" s="105" t="s">
        <v>1148</v>
      </c>
      <c r="NI3" t="s">
        <v>1149</v>
      </c>
      <c r="NJ3" t="s">
        <v>1150</v>
      </c>
      <c r="NK3" t="s">
        <v>1151</v>
      </c>
      <c r="NL3" t="s">
        <v>1152</v>
      </c>
      <c r="NM3" t="s">
        <v>1153</v>
      </c>
      <c r="NN3" t="s">
        <v>1154</v>
      </c>
      <c r="NO3" t="s">
        <v>1155</v>
      </c>
      <c r="NP3" s="130" t="s">
        <v>782</v>
      </c>
      <c r="NQ3" t="s">
        <v>84</v>
      </c>
      <c r="NR3" t="s">
        <v>85</v>
      </c>
      <c r="NS3" t="s">
        <v>86</v>
      </c>
      <c r="NT3" t="s">
        <v>87</v>
      </c>
      <c r="NU3" t="s">
        <v>88</v>
      </c>
      <c r="NV3" s="145" t="s">
        <v>89</v>
      </c>
      <c r="NW3" t="s">
        <v>90</v>
      </c>
      <c r="NX3" t="s">
        <v>91</v>
      </c>
      <c r="NY3" t="s">
        <v>92</v>
      </c>
      <c r="NZ3" t="s">
        <v>93</v>
      </c>
      <c r="OA3" t="s">
        <v>94</v>
      </c>
      <c r="OB3" t="s">
        <v>95</v>
      </c>
      <c r="OC3" t="s">
        <v>96</v>
      </c>
      <c r="OD3" t="s">
        <v>97</v>
      </c>
      <c r="OE3" t="s">
        <v>98</v>
      </c>
      <c r="OF3" t="s">
        <v>99</v>
      </c>
      <c r="OG3" t="s">
        <v>100</v>
      </c>
      <c r="OH3" t="s">
        <v>101</v>
      </c>
      <c r="OI3" t="s">
        <v>102</v>
      </c>
      <c r="OJ3" t="s">
        <v>103</v>
      </c>
      <c r="OK3" t="s">
        <v>104</v>
      </c>
      <c r="OL3" t="s">
        <v>105</v>
      </c>
      <c r="OM3" t="s">
        <v>106</v>
      </c>
      <c r="ON3" t="s">
        <v>107</v>
      </c>
      <c r="OO3" t="s">
        <v>108</v>
      </c>
      <c r="OP3" t="s">
        <v>109</v>
      </c>
      <c r="OQ3" t="s">
        <v>110</v>
      </c>
      <c r="OR3" t="s">
        <v>111</v>
      </c>
      <c r="OS3" t="s">
        <v>112</v>
      </c>
      <c r="OT3" t="s">
        <v>113</v>
      </c>
      <c r="OU3" t="s">
        <v>114</v>
      </c>
      <c r="OV3" s="130" t="s">
        <v>782</v>
      </c>
      <c r="OW3" t="s">
        <v>115</v>
      </c>
      <c r="OX3" t="s">
        <v>116</v>
      </c>
      <c r="OY3" t="s">
        <v>117</v>
      </c>
      <c r="OZ3" t="s">
        <v>118</v>
      </c>
      <c r="PA3" t="s">
        <v>119</v>
      </c>
      <c r="PB3" t="s">
        <v>120</v>
      </c>
      <c r="PC3" t="s">
        <v>121</v>
      </c>
      <c r="PD3" t="s">
        <v>122</v>
      </c>
      <c r="PE3" t="s">
        <v>123</v>
      </c>
      <c r="PF3" t="s">
        <v>124</v>
      </c>
      <c r="PG3" t="s">
        <v>125</v>
      </c>
      <c r="PH3" s="117" t="s">
        <v>126</v>
      </c>
      <c r="PI3" t="s">
        <v>127</v>
      </c>
      <c r="PJ3" t="s">
        <v>128</v>
      </c>
      <c r="PK3" t="s">
        <v>129</v>
      </c>
      <c r="PL3" t="s">
        <v>130</v>
      </c>
      <c r="PM3" t="s">
        <v>131</v>
      </c>
      <c r="PN3" t="s">
        <v>132</v>
      </c>
      <c r="PO3" t="s">
        <v>133</v>
      </c>
      <c r="PP3" t="s">
        <v>134</v>
      </c>
      <c r="PQ3" t="s">
        <v>135</v>
      </c>
      <c r="PR3" t="s">
        <v>136</v>
      </c>
      <c r="PS3" t="s">
        <v>137</v>
      </c>
      <c r="PT3" t="s">
        <v>138</v>
      </c>
      <c r="PU3" t="s">
        <v>139</v>
      </c>
      <c r="PV3" t="s">
        <v>140</v>
      </c>
      <c r="PW3" t="s">
        <v>141</v>
      </c>
      <c r="PX3" t="s">
        <v>142</v>
      </c>
      <c r="PY3" t="s">
        <v>143</v>
      </c>
      <c r="PZ3" t="s">
        <v>144</v>
      </c>
      <c r="QA3" s="130" t="s">
        <v>782</v>
      </c>
      <c r="QB3" t="s">
        <v>844</v>
      </c>
      <c r="QC3" t="s">
        <v>845</v>
      </c>
      <c r="QD3" t="s">
        <v>846</v>
      </c>
      <c r="QE3" t="s">
        <v>847</v>
      </c>
      <c r="QF3" t="s">
        <v>848</v>
      </c>
      <c r="QG3" t="s">
        <v>849</v>
      </c>
      <c r="QH3" s="117" t="s">
        <v>850</v>
      </c>
      <c r="QI3" t="s">
        <v>851</v>
      </c>
      <c r="QJ3" t="s">
        <v>852</v>
      </c>
      <c r="QK3" t="s">
        <v>853</v>
      </c>
      <c r="QL3" t="s">
        <v>854</v>
      </c>
      <c r="QM3" t="s">
        <v>855</v>
      </c>
      <c r="QN3" t="s">
        <v>856</v>
      </c>
      <c r="QO3" t="s">
        <v>857</v>
      </c>
      <c r="QP3" t="s">
        <v>858</v>
      </c>
      <c r="QQ3" t="s">
        <v>859</v>
      </c>
      <c r="QR3" t="s">
        <v>860</v>
      </c>
      <c r="QS3" t="s">
        <v>861</v>
      </c>
      <c r="QT3" t="s">
        <v>862</v>
      </c>
      <c r="QU3" t="s">
        <v>863</v>
      </c>
      <c r="QV3" t="s">
        <v>864</v>
      </c>
      <c r="QW3" t="s">
        <v>865</v>
      </c>
      <c r="QX3" t="s">
        <v>866</v>
      </c>
      <c r="QY3" t="s">
        <v>867</v>
      </c>
      <c r="QZ3" t="s">
        <v>868</v>
      </c>
      <c r="RA3" t="s">
        <v>869</v>
      </c>
      <c r="RB3" t="s">
        <v>870</v>
      </c>
      <c r="RC3" t="s">
        <v>871</v>
      </c>
      <c r="RD3" t="s">
        <v>872</v>
      </c>
      <c r="RE3" t="s">
        <v>873</v>
      </c>
      <c r="RF3" t="s">
        <v>874</v>
      </c>
      <c r="RG3" t="s">
        <v>782</v>
      </c>
      <c r="RH3" t="s">
        <v>1546</v>
      </c>
      <c r="RI3" t="s">
        <v>1547</v>
      </c>
      <c r="RJ3" t="s">
        <v>1548</v>
      </c>
      <c r="RK3" t="s">
        <v>1549</v>
      </c>
      <c r="RL3" t="s">
        <v>1550</v>
      </c>
      <c r="RM3" t="s">
        <v>1551</v>
      </c>
      <c r="RN3" t="s">
        <v>1552</v>
      </c>
      <c r="RO3" t="s">
        <v>1553</v>
      </c>
      <c r="RP3" t="s">
        <v>1554</v>
      </c>
      <c r="RQ3" t="s">
        <v>1555</v>
      </c>
      <c r="RR3" s="117" t="s">
        <v>1556</v>
      </c>
      <c r="RS3" t="s">
        <v>1557</v>
      </c>
      <c r="RT3" t="s">
        <v>1558</v>
      </c>
      <c r="RU3" t="s">
        <v>1559</v>
      </c>
      <c r="RV3" t="s">
        <v>1560</v>
      </c>
      <c r="RW3" t="s">
        <v>1561</v>
      </c>
      <c r="RX3" t="s">
        <v>1562</v>
      </c>
      <c r="RY3" t="s">
        <v>1563</v>
      </c>
      <c r="RZ3" t="s">
        <v>1564</v>
      </c>
      <c r="SA3" t="s">
        <v>1565</v>
      </c>
      <c r="SB3" t="s">
        <v>1566</v>
      </c>
      <c r="SC3" t="s">
        <v>1567</v>
      </c>
      <c r="SD3" t="s">
        <v>1568</v>
      </c>
      <c r="SE3" t="s">
        <v>1569</v>
      </c>
      <c r="SF3" t="s">
        <v>1570</v>
      </c>
      <c r="SG3" t="s">
        <v>1571</v>
      </c>
      <c r="SH3" t="s">
        <v>1572</v>
      </c>
      <c r="SI3" t="s">
        <v>1573</v>
      </c>
      <c r="SJ3" t="s">
        <v>1574</v>
      </c>
      <c r="SK3" t="s">
        <v>1575</v>
      </c>
      <c r="SL3" t="s">
        <v>935</v>
      </c>
      <c r="SM3" t="s">
        <v>206</v>
      </c>
      <c r="SN3" t="s">
        <v>207</v>
      </c>
      <c r="SO3" t="s">
        <v>208</v>
      </c>
      <c r="SP3" t="s">
        <v>209</v>
      </c>
      <c r="SQ3" t="s">
        <v>210</v>
      </c>
      <c r="SR3" t="s">
        <v>211</v>
      </c>
      <c r="SS3" t="s">
        <v>212</v>
      </c>
      <c r="ST3" t="s">
        <v>213</v>
      </c>
      <c r="SU3" t="s">
        <v>214</v>
      </c>
      <c r="SV3" t="s">
        <v>215</v>
      </c>
      <c r="SW3" t="s">
        <v>216</v>
      </c>
      <c r="SX3" t="s">
        <v>217</v>
      </c>
      <c r="SY3" t="s">
        <v>218</v>
      </c>
      <c r="SZ3" t="s">
        <v>219</v>
      </c>
      <c r="TA3" t="s">
        <v>220</v>
      </c>
      <c r="TB3" t="s">
        <v>221</v>
      </c>
      <c r="TC3" t="s">
        <v>222</v>
      </c>
      <c r="TD3" t="s">
        <v>223</v>
      </c>
      <c r="TE3" t="s">
        <v>224</v>
      </c>
      <c r="TF3" t="s">
        <v>225</v>
      </c>
      <c r="TG3" t="s">
        <v>226</v>
      </c>
      <c r="TH3" t="s">
        <v>227</v>
      </c>
      <c r="TI3" t="s">
        <v>228</v>
      </c>
      <c r="TJ3" t="s">
        <v>229</v>
      </c>
      <c r="TK3" t="s">
        <v>230</v>
      </c>
      <c r="TL3" t="s">
        <v>231</v>
      </c>
      <c r="TM3" t="s">
        <v>232</v>
      </c>
      <c r="TN3" t="s">
        <v>233</v>
      </c>
      <c r="TO3" t="s">
        <v>234</v>
      </c>
      <c r="TP3" t="s">
        <v>235</v>
      </c>
      <c r="TQ3" t="s">
        <v>236</v>
      </c>
      <c r="TR3" s="130" t="s">
        <v>935</v>
      </c>
      <c r="TS3" t="s">
        <v>905</v>
      </c>
      <c r="TT3" t="s">
        <v>238</v>
      </c>
      <c r="TU3" t="s">
        <v>239</v>
      </c>
      <c r="TV3" t="s">
        <v>240</v>
      </c>
      <c r="TW3" t="s">
        <v>241</v>
      </c>
      <c r="TX3" t="s">
        <v>242</v>
      </c>
      <c r="TY3" t="s">
        <v>243</v>
      </c>
      <c r="TZ3" t="s">
        <v>244</v>
      </c>
      <c r="UA3" t="s">
        <v>245</v>
      </c>
      <c r="UB3" t="s">
        <v>246</v>
      </c>
      <c r="UC3" t="s">
        <v>247</v>
      </c>
      <c r="UD3" t="s">
        <v>248</v>
      </c>
      <c r="UE3" t="s">
        <v>249</v>
      </c>
      <c r="UF3" t="s">
        <v>250</v>
      </c>
      <c r="UG3" t="s">
        <v>251</v>
      </c>
      <c r="UH3" t="s">
        <v>252</v>
      </c>
      <c r="UI3" t="s">
        <v>253</v>
      </c>
      <c r="UJ3" t="s">
        <v>254</v>
      </c>
      <c r="UK3" t="s">
        <v>255</v>
      </c>
      <c r="UL3" t="s">
        <v>256</v>
      </c>
      <c r="UM3" t="s">
        <v>257</v>
      </c>
      <c r="UN3" t="s">
        <v>258</v>
      </c>
      <c r="UO3" t="s">
        <v>259</v>
      </c>
      <c r="UP3" t="s">
        <v>260</v>
      </c>
      <c r="UQ3" t="s">
        <v>261</v>
      </c>
      <c r="UR3" t="s">
        <v>262</v>
      </c>
      <c r="US3" t="s">
        <v>263</v>
      </c>
      <c r="UT3" t="s">
        <v>264</v>
      </c>
      <c r="UU3" t="s">
        <v>265</v>
      </c>
      <c r="UV3" t="s">
        <v>266</v>
      </c>
      <c r="UW3" t="s">
        <v>267</v>
      </c>
      <c r="UX3" s="130" t="s">
        <v>935</v>
      </c>
      <c r="UY3" t="s">
        <v>907</v>
      </c>
      <c r="UZ3" t="s">
        <v>908</v>
      </c>
      <c r="VA3" t="s">
        <v>909</v>
      </c>
      <c r="VB3" t="s">
        <v>910</v>
      </c>
      <c r="VC3" t="s">
        <v>911</v>
      </c>
      <c r="VD3" t="s">
        <v>912</v>
      </c>
      <c r="VE3" s="117" t="s">
        <v>913</v>
      </c>
      <c r="VF3" t="s">
        <v>914</v>
      </c>
      <c r="VG3" t="s">
        <v>915</v>
      </c>
      <c r="VH3" t="s">
        <v>916</v>
      </c>
      <c r="VI3" t="s">
        <v>917</v>
      </c>
      <c r="VJ3" t="s">
        <v>918</v>
      </c>
      <c r="VK3" t="s">
        <v>919</v>
      </c>
      <c r="VL3" t="s">
        <v>920</v>
      </c>
      <c r="VM3" t="s">
        <v>921</v>
      </c>
      <c r="VN3" t="s">
        <v>922</v>
      </c>
      <c r="VO3" t="s">
        <v>923</v>
      </c>
      <c r="VP3" t="s">
        <v>924</v>
      </c>
      <c r="VQ3" t="s">
        <v>925</v>
      </c>
      <c r="VR3" t="s">
        <v>926</v>
      </c>
      <c r="VS3" t="s">
        <v>927</v>
      </c>
      <c r="VT3" t="s">
        <v>928</v>
      </c>
      <c r="VU3" t="s">
        <v>929</v>
      </c>
      <c r="VV3" t="s">
        <v>930</v>
      </c>
      <c r="VW3" t="s">
        <v>931</v>
      </c>
      <c r="VX3" t="s">
        <v>932</v>
      </c>
      <c r="VY3" t="s">
        <v>933</v>
      </c>
      <c r="VZ3" t="s">
        <v>934</v>
      </c>
      <c r="WA3" t="s">
        <v>935</v>
      </c>
      <c r="WB3" t="s">
        <v>296</v>
      </c>
      <c r="WC3" t="s">
        <v>297</v>
      </c>
      <c r="WD3" t="s">
        <v>298</v>
      </c>
      <c r="WE3" t="s">
        <v>299</v>
      </c>
      <c r="WF3" t="s">
        <v>300</v>
      </c>
      <c r="WG3" t="s">
        <v>301</v>
      </c>
      <c r="WH3" t="s">
        <v>302</v>
      </c>
      <c r="WI3" t="s">
        <v>303</v>
      </c>
      <c r="WJ3" s="145" t="s">
        <v>304</v>
      </c>
      <c r="WK3" t="s">
        <v>305</v>
      </c>
      <c r="WL3" t="s">
        <v>306</v>
      </c>
      <c r="WM3" t="s">
        <v>307</v>
      </c>
      <c r="WN3" t="s">
        <v>308</v>
      </c>
      <c r="WO3" t="s">
        <v>309</v>
      </c>
      <c r="WP3" t="s">
        <v>310</v>
      </c>
      <c r="WQ3" t="s">
        <v>311</v>
      </c>
      <c r="WR3" t="s">
        <v>312</v>
      </c>
      <c r="WS3" t="s">
        <v>313</v>
      </c>
      <c r="WT3" t="s">
        <v>314</v>
      </c>
      <c r="WU3" t="s">
        <v>315</v>
      </c>
      <c r="WV3" t="s">
        <v>316</v>
      </c>
      <c r="WW3" t="s">
        <v>317</v>
      </c>
      <c r="WX3" t="s">
        <v>318</v>
      </c>
      <c r="WY3" t="s">
        <v>319</v>
      </c>
      <c r="WZ3" t="s">
        <v>320</v>
      </c>
      <c r="XA3" t="s">
        <v>321</v>
      </c>
      <c r="XB3" t="s">
        <v>322</v>
      </c>
      <c r="XC3" t="s">
        <v>323</v>
      </c>
      <c r="XD3" t="s">
        <v>324</v>
      </c>
      <c r="XE3" t="s">
        <v>325</v>
      </c>
      <c r="XF3" t="s">
        <v>326</v>
      </c>
      <c r="XG3" s="130"/>
      <c r="XH3" t="s">
        <v>1576</v>
      </c>
      <c r="XI3" t="s">
        <v>1577</v>
      </c>
      <c r="XJ3" t="s">
        <v>1578</v>
      </c>
      <c r="XK3" t="s">
        <v>1579</v>
      </c>
      <c r="XL3" t="s">
        <v>1580</v>
      </c>
      <c r="XM3" t="s">
        <v>1581</v>
      </c>
      <c r="XN3" t="s">
        <v>1582</v>
      </c>
      <c r="XO3" t="s">
        <v>1583</v>
      </c>
      <c r="XP3" s="117" t="s">
        <v>1584</v>
      </c>
      <c r="XQ3" t="s">
        <v>1585</v>
      </c>
      <c r="XR3" t="s">
        <v>1586</v>
      </c>
      <c r="XS3" t="s">
        <v>1587</v>
      </c>
      <c r="XT3" t="s">
        <v>1588</v>
      </c>
      <c r="XU3" t="s">
        <v>1589</v>
      </c>
      <c r="XV3" t="s">
        <v>1590</v>
      </c>
      <c r="XW3" t="s">
        <v>1591</v>
      </c>
      <c r="XX3" t="s">
        <v>1592</v>
      </c>
      <c r="XY3" t="s">
        <v>1593</v>
      </c>
      <c r="XZ3" t="s">
        <v>1594</v>
      </c>
      <c r="YA3" t="s">
        <v>1595</v>
      </c>
      <c r="YB3" t="s">
        <v>1596</v>
      </c>
      <c r="YC3" t="s">
        <v>1597</v>
      </c>
      <c r="YD3" t="s">
        <v>1598</v>
      </c>
      <c r="YE3" t="s">
        <v>1599</v>
      </c>
      <c r="YF3" t="s">
        <v>1600</v>
      </c>
      <c r="YG3" t="s">
        <v>1601</v>
      </c>
      <c r="YH3" t="s">
        <v>1602</v>
      </c>
      <c r="YI3" t="s">
        <v>1603</v>
      </c>
      <c r="YJ3" t="s">
        <v>1604</v>
      </c>
      <c r="YK3" t="s">
        <v>1605</v>
      </c>
      <c r="YL3" s="130"/>
      <c r="YM3" t="s">
        <v>357</v>
      </c>
      <c r="YN3" t="s">
        <v>358</v>
      </c>
      <c r="YO3" t="s">
        <v>359</v>
      </c>
      <c r="YP3" t="s">
        <v>360</v>
      </c>
      <c r="YQ3" t="s">
        <v>361</v>
      </c>
      <c r="YR3" t="s">
        <v>362</v>
      </c>
      <c r="YS3" t="s">
        <v>363</v>
      </c>
      <c r="YT3" t="s">
        <v>364</v>
      </c>
      <c r="YU3" t="s">
        <v>365</v>
      </c>
      <c r="YV3" t="s">
        <v>366</v>
      </c>
      <c r="YW3" t="s">
        <v>367</v>
      </c>
      <c r="YX3" t="s">
        <v>368</v>
      </c>
      <c r="YY3" t="s">
        <v>369</v>
      </c>
      <c r="YZ3" t="s">
        <v>370</v>
      </c>
      <c r="ZA3" t="s">
        <v>371</v>
      </c>
      <c r="ZB3" t="s">
        <v>372</v>
      </c>
      <c r="ZC3" t="s">
        <v>373</v>
      </c>
      <c r="ZD3" t="s">
        <v>374</v>
      </c>
      <c r="ZE3" t="s">
        <v>375</v>
      </c>
      <c r="ZF3" t="s">
        <v>376</v>
      </c>
      <c r="ZG3" t="s">
        <v>377</v>
      </c>
      <c r="ZH3" t="s">
        <v>378</v>
      </c>
      <c r="ZI3" t="s">
        <v>379</v>
      </c>
      <c r="ZJ3" t="s">
        <v>380</v>
      </c>
      <c r="ZK3" t="s">
        <v>381</v>
      </c>
      <c r="ZL3" t="s">
        <v>382</v>
      </c>
      <c r="ZM3" t="s">
        <v>383</v>
      </c>
      <c r="ZN3" t="s">
        <v>384</v>
      </c>
      <c r="ZO3" t="s">
        <v>385</v>
      </c>
      <c r="ZP3" t="s">
        <v>386</v>
      </c>
      <c r="ZQ3" t="s">
        <v>387</v>
      </c>
      <c r="ZR3" s="130"/>
      <c r="ZS3" t="s">
        <v>388</v>
      </c>
      <c r="ZT3" t="s">
        <v>389</v>
      </c>
      <c r="ZU3" s="117" t="s">
        <v>390</v>
      </c>
      <c r="ZV3" t="s">
        <v>391</v>
      </c>
      <c r="ZW3" t="s">
        <v>392</v>
      </c>
      <c r="ZX3" t="s">
        <v>393</v>
      </c>
      <c r="ZY3" t="s">
        <v>394</v>
      </c>
      <c r="ZZ3" t="s">
        <v>395</v>
      </c>
      <c r="AAA3" t="s">
        <v>396</v>
      </c>
      <c r="AAB3" t="s">
        <v>397</v>
      </c>
      <c r="AAC3" t="s">
        <v>398</v>
      </c>
      <c r="AAD3" t="s">
        <v>399</v>
      </c>
      <c r="AAE3" t="s">
        <v>400</v>
      </c>
      <c r="AAF3" t="s">
        <v>401</v>
      </c>
      <c r="AAG3" t="s">
        <v>402</v>
      </c>
      <c r="AAH3" t="s">
        <v>403</v>
      </c>
      <c r="AAI3" t="s">
        <v>404</v>
      </c>
      <c r="AAJ3" t="s">
        <v>405</v>
      </c>
      <c r="AAK3" t="s">
        <v>406</v>
      </c>
      <c r="AAL3" t="s">
        <v>407</v>
      </c>
      <c r="AAM3" t="s">
        <v>408</v>
      </c>
      <c r="AAN3" t="s">
        <v>409</v>
      </c>
      <c r="AAO3" t="s">
        <v>410</v>
      </c>
      <c r="AAP3" t="s">
        <v>411</v>
      </c>
      <c r="AAQ3" t="s">
        <v>412</v>
      </c>
      <c r="AAR3" t="s">
        <v>413</v>
      </c>
      <c r="AAS3" t="s">
        <v>414</v>
      </c>
      <c r="AAT3" t="s">
        <v>415</v>
      </c>
      <c r="AAU3" t="s">
        <v>416</v>
      </c>
      <c r="AAV3" t="s">
        <v>417</v>
      </c>
      <c r="AAW3" s="130"/>
      <c r="AAX3" t="s">
        <v>53</v>
      </c>
      <c r="AAY3" t="s">
        <v>54</v>
      </c>
      <c r="AAZ3" t="s">
        <v>55</v>
      </c>
      <c r="ABA3" t="s">
        <v>56</v>
      </c>
      <c r="ABB3" t="s">
        <v>57</v>
      </c>
      <c r="ABC3" t="s">
        <v>58</v>
      </c>
      <c r="ABD3" t="s">
        <v>59</v>
      </c>
      <c r="ABE3" t="s">
        <v>60</v>
      </c>
      <c r="ABF3" t="s">
        <v>61</v>
      </c>
      <c r="ABG3" t="s">
        <v>62</v>
      </c>
      <c r="ABH3" t="s">
        <v>63</v>
      </c>
      <c r="ABI3" t="s">
        <v>64</v>
      </c>
      <c r="ABJ3" t="s">
        <v>65</v>
      </c>
      <c r="ABK3" t="s">
        <v>66</v>
      </c>
      <c r="ABL3" t="s">
        <v>67</v>
      </c>
      <c r="ABM3" t="s">
        <v>68</v>
      </c>
      <c r="ABN3" s="146" t="s">
        <v>69</v>
      </c>
      <c r="ABO3" t="s">
        <v>70</v>
      </c>
      <c r="ABP3" t="s">
        <v>71</v>
      </c>
      <c r="ABQ3" t="s">
        <v>72</v>
      </c>
      <c r="ABR3" t="s">
        <v>73</v>
      </c>
      <c r="ABS3" t="s">
        <v>74</v>
      </c>
      <c r="ABT3" t="s">
        <v>75</v>
      </c>
      <c r="ABU3" t="s">
        <v>76</v>
      </c>
      <c r="ABV3" t="s">
        <v>77</v>
      </c>
      <c r="ABW3" t="s">
        <v>78</v>
      </c>
      <c r="ABX3" t="s">
        <v>79</v>
      </c>
      <c r="ABY3" t="s">
        <v>80</v>
      </c>
      <c r="ABZ3" t="s">
        <v>81</v>
      </c>
      <c r="ACA3" t="s">
        <v>82</v>
      </c>
      <c r="ACB3" t="s">
        <v>83</v>
      </c>
      <c r="ACC3" s="130"/>
      <c r="ACD3" t="s">
        <v>84</v>
      </c>
      <c r="ACE3" t="s">
        <v>85</v>
      </c>
      <c r="ACF3" t="s">
        <v>86</v>
      </c>
      <c r="ACG3" t="s">
        <v>87</v>
      </c>
      <c r="ACH3" t="s">
        <v>88</v>
      </c>
      <c r="ACI3" t="s">
        <v>89</v>
      </c>
      <c r="ACJ3" t="s">
        <v>90</v>
      </c>
      <c r="ACK3" t="s">
        <v>91</v>
      </c>
      <c r="ACL3" t="s">
        <v>92</v>
      </c>
      <c r="ACM3" t="s">
        <v>93</v>
      </c>
      <c r="ACN3" t="s">
        <v>94</v>
      </c>
      <c r="ACO3" t="s">
        <v>95</v>
      </c>
      <c r="ACP3" t="s">
        <v>96</v>
      </c>
      <c r="ACQ3" t="s">
        <v>97</v>
      </c>
      <c r="ACR3" t="s">
        <v>98</v>
      </c>
      <c r="ACS3" t="s">
        <v>99</v>
      </c>
      <c r="ACT3" t="s">
        <v>100</v>
      </c>
      <c r="ACU3" t="s">
        <v>101</v>
      </c>
      <c r="ACV3" t="s">
        <v>102</v>
      </c>
      <c r="ACW3" t="s">
        <v>103</v>
      </c>
      <c r="ACX3" t="s">
        <v>104</v>
      </c>
      <c r="ACY3" t="s">
        <v>105</v>
      </c>
      <c r="ACZ3" t="s">
        <v>106</v>
      </c>
      <c r="ADA3" t="s">
        <v>107</v>
      </c>
      <c r="ADB3" t="s">
        <v>108</v>
      </c>
      <c r="ADC3" t="s">
        <v>109</v>
      </c>
      <c r="ADD3" t="s">
        <v>110</v>
      </c>
      <c r="ADE3" t="s">
        <v>111</v>
      </c>
      <c r="ADF3" t="s">
        <v>112</v>
      </c>
      <c r="ADG3" t="s">
        <v>113</v>
      </c>
      <c r="ADH3" t="s">
        <v>114</v>
      </c>
      <c r="ADI3" s="130"/>
      <c r="ADJ3" t="s">
        <v>968</v>
      </c>
      <c r="ADK3" t="s">
        <v>969</v>
      </c>
      <c r="ADL3" t="s">
        <v>970</v>
      </c>
      <c r="ADM3" t="s">
        <v>971</v>
      </c>
      <c r="ADN3" t="s">
        <v>972</v>
      </c>
      <c r="ADO3" t="s">
        <v>973</v>
      </c>
      <c r="ADP3" t="s">
        <v>974</v>
      </c>
      <c r="ADQ3" t="s">
        <v>975</v>
      </c>
      <c r="ADR3" t="s">
        <v>976</v>
      </c>
      <c r="ADS3" t="s">
        <v>977</v>
      </c>
      <c r="ADT3" t="s">
        <v>978</v>
      </c>
      <c r="ADU3" t="s">
        <v>979</v>
      </c>
      <c r="ADV3" t="s">
        <v>980</v>
      </c>
      <c r="ADW3" s="146" t="s">
        <v>981</v>
      </c>
      <c r="ADX3" t="s">
        <v>982</v>
      </c>
      <c r="ADY3" t="s">
        <v>983</v>
      </c>
      <c r="ADZ3" t="s">
        <v>984</v>
      </c>
      <c r="AEA3" t="s">
        <v>985</v>
      </c>
      <c r="AEB3" t="s">
        <v>986</v>
      </c>
      <c r="AEC3" t="s">
        <v>987</v>
      </c>
      <c r="AED3" t="s">
        <v>988</v>
      </c>
      <c r="AEE3" t="s">
        <v>989</v>
      </c>
      <c r="AEF3" t="s">
        <v>990</v>
      </c>
      <c r="AEG3" t="s">
        <v>991</v>
      </c>
      <c r="AEH3" t="s">
        <v>992</v>
      </c>
      <c r="AEI3" t="s">
        <v>993</v>
      </c>
      <c r="AEJ3" t="s">
        <v>994</v>
      </c>
      <c r="AEK3" t="s">
        <v>995</v>
      </c>
      <c r="AEL3" t="s">
        <v>996</v>
      </c>
      <c r="AEM3" t="s">
        <v>997</v>
      </c>
      <c r="AEN3" s="130"/>
      <c r="AEO3" t="s">
        <v>1606</v>
      </c>
      <c r="AEP3" t="s">
        <v>1607</v>
      </c>
      <c r="AEQ3" t="s">
        <v>1608</v>
      </c>
      <c r="AER3" t="s">
        <v>1609</v>
      </c>
      <c r="AES3" t="s">
        <v>1610</v>
      </c>
      <c r="AET3" t="s">
        <v>1611</v>
      </c>
      <c r="AEU3" s="146" t="s">
        <v>1612</v>
      </c>
      <c r="AEV3" t="s">
        <v>1613</v>
      </c>
      <c r="AEW3" t="s">
        <v>1614</v>
      </c>
      <c r="AEX3" t="s">
        <v>1615</v>
      </c>
      <c r="AEY3" t="s">
        <v>1616</v>
      </c>
      <c r="AEZ3" t="s">
        <v>1617</v>
      </c>
      <c r="AFA3" t="s">
        <v>1618</v>
      </c>
      <c r="AFB3" t="s">
        <v>1619</v>
      </c>
      <c r="AFC3" t="s">
        <v>1620</v>
      </c>
      <c r="AFD3" t="s">
        <v>1621</v>
      </c>
      <c r="AFE3" t="s">
        <v>1622</v>
      </c>
      <c r="AFF3" t="s">
        <v>1623</v>
      </c>
      <c r="AFG3" t="s">
        <v>1624</v>
      </c>
      <c r="AFH3" t="s">
        <v>1625</v>
      </c>
      <c r="AFI3" t="s">
        <v>1626</v>
      </c>
      <c r="AFJ3" t="s">
        <v>1627</v>
      </c>
      <c r="AFK3" t="s">
        <v>1628</v>
      </c>
      <c r="AFL3" t="s">
        <v>1629</v>
      </c>
      <c r="AFM3" t="s">
        <v>1630</v>
      </c>
      <c r="AFN3" t="s">
        <v>1631</v>
      </c>
      <c r="AFO3" t="s">
        <v>1632</v>
      </c>
      <c r="AFP3" t="s">
        <v>1633</v>
      </c>
      <c r="AFQ3" t="s">
        <v>1634</v>
      </c>
      <c r="AFR3" t="s">
        <v>1635</v>
      </c>
      <c r="AFS3" t="s">
        <v>1636</v>
      </c>
      <c r="AFT3" s="130"/>
      <c r="AFU3" t="s">
        <v>541</v>
      </c>
      <c r="AFV3" t="s">
        <v>542</v>
      </c>
      <c r="AFW3" t="s">
        <v>543</v>
      </c>
      <c r="AFX3" t="s">
        <v>544</v>
      </c>
      <c r="AFY3" t="s">
        <v>545</v>
      </c>
      <c r="AFZ3" t="s">
        <v>546</v>
      </c>
      <c r="AGA3" t="s">
        <v>547</v>
      </c>
      <c r="AGB3" t="s">
        <v>548</v>
      </c>
      <c r="AGC3" t="s">
        <v>549</v>
      </c>
      <c r="AGD3" s="117" t="s">
        <v>550</v>
      </c>
      <c r="AGE3" t="s">
        <v>551</v>
      </c>
      <c r="AGF3" t="s">
        <v>552</v>
      </c>
      <c r="AGG3" t="s">
        <v>553</v>
      </c>
      <c r="AGH3" t="s">
        <v>554</v>
      </c>
      <c r="AGI3" t="s">
        <v>555</v>
      </c>
      <c r="AGJ3" t="s">
        <v>556</v>
      </c>
      <c r="AGK3" t="s">
        <v>557</v>
      </c>
      <c r="AGL3" t="s">
        <v>558</v>
      </c>
      <c r="AGM3" t="s">
        <v>559</v>
      </c>
      <c r="AGN3" t="s">
        <v>560</v>
      </c>
      <c r="AGO3" t="s">
        <v>561</v>
      </c>
      <c r="AGP3" t="s">
        <v>562</v>
      </c>
      <c r="AGQ3" t="s">
        <v>563</v>
      </c>
      <c r="AGR3" t="s">
        <v>564</v>
      </c>
      <c r="AGS3" t="s">
        <v>565</v>
      </c>
      <c r="AGT3" t="s">
        <v>566</v>
      </c>
      <c r="AGU3" t="s">
        <v>567</v>
      </c>
      <c r="AGV3" t="s">
        <v>568</v>
      </c>
      <c r="AGW3" t="s">
        <v>569</v>
      </c>
      <c r="AGX3" t="s">
        <v>570</v>
      </c>
      <c r="AGY3" s="130"/>
      <c r="AGZ3" t="s">
        <v>1637</v>
      </c>
      <c r="AHA3" t="s">
        <v>572</v>
      </c>
      <c r="AHB3" t="s">
        <v>573</v>
      </c>
      <c r="AHC3" t="s">
        <v>574</v>
      </c>
      <c r="AHD3" t="s">
        <v>575</v>
      </c>
      <c r="AHE3" t="s">
        <v>576</v>
      </c>
      <c r="AHF3" t="s">
        <v>577</v>
      </c>
      <c r="AHG3" t="s">
        <v>578</v>
      </c>
      <c r="AHH3" t="s">
        <v>579</v>
      </c>
      <c r="AHI3" t="s">
        <v>580</v>
      </c>
      <c r="AHJ3" t="s">
        <v>581</v>
      </c>
      <c r="AHK3" s="149" t="s">
        <v>582</v>
      </c>
      <c r="AHL3" t="s">
        <v>583</v>
      </c>
      <c r="AHM3" t="s">
        <v>584</v>
      </c>
      <c r="AHN3" t="s">
        <v>585</v>
      </c>
      <c r="AHO3" t="s">
        <v>586</v>
      </c>
      <c r="AHP3" t="s">
        <v>587</v>
      </c>
      <c r="AHQ3" t="s">
        <v>588</v>
      </c>
      <c r="AHR3" t="s">
        <v>589</v>
      </c>
      <c r="AHS3" t="s">
        <v>590</v>
      </c>
      <c r="AHT3" t="s">
        <v>591</v>
      </c>
      <c r="AHU3" t="s">
        <v>592</v>
      </c>
      <c r="AHV3" t="s">
        <v>593</v>
      </c>
      <c r="AHW3" t="s">
        <v>594</v>
      </c>
      <c r="AHX3" t="s">
        <v>595</v>
      </c>
      <c r="AHY3" t="s">
        <v>596</v>
      </c>
      <c r="AHZ3" t="s">
        <v>597</v>
      </c>
      <c r="AIA3" t="s">
        <v>598</v>
      </c>
      <c r="AIB3" t="s">
        <v>599</v>
      </c>
      <c r="AIC3" t="s">
        <v>600</v>
      </c>
      <c r="AID3" t="s">
        <v>601</v>
      </c>
      <c r="AIE3" s="130"/>
      <c r="AIF3" t="s">
        <v>998</v>
      </c>
      <c r="AIG3" t="s">
        <v>999</v>
      </c>
      <c r="AIH3" t="s">
        <v>1000</v>
      </c>
      <c r="AII3" t="s">
        <v>1001</v>
      </c>
      <c r="AIJ3" t="s">
        <v>1002</v>
      </c>
      <c r="AIK3" t="s">
        <v>1003</v>
      </c>
      <c r="AIL3" t="s">
        <v>1004</v>
      </c>
      <c r="AIM3" t="s">
        <v>1005</v>
      </c>
      <c r="AIN3" t="s">
        <v>1006</v>
      </c>
      <c r="AIO3" t="s">
        <v>1007</v>
      </c>
      <c r="AIP3" t="s">
        <v>1008</v>
      </c>
      <c r="AIQ3" t="s">
        <v>1009</v>
      </c>
      <c r="AIR3" t="s">
        <v>1010</v>
      </c>
      <c r="AIS3" t="s">
        <v>1011</v>
      </c>
      <c r="AIT3" t="s">
        <v>1012</v>
      </c>
      <c r="AIU3" t="s">
        <v>1013</v>
      </c>
      <c r="AIV3" t="s">
        <v>1014</v>
      </c>
      <c r="AIW3" t="s">
        <v>1015</v>
      </c>
      <c r="AIX3" s="117" t="s">
        <v>1016</v>
      </c>
      <c r="AIY3" t="s">
        <v>1017</v>
      </c>
      <c r="AIZ3" t="s">
        <v>1018</v>
      </c>
      <c r="AJA3" t="s">
        <v>1019</v>
      </c>
      <c r="AJB3" t="s">
        <v>1020</v>
      </c>
      <c r="AJC3" t="s">
        <v>1021</v>
      </c>
      <c r="AJD3" t="s">
        <v>1022</v>
      </c>
      <c r="AJE3" t="s">
        <v>1023</v>
      </c>
      <c r="AJF3" t="s">
        <v>1024</v>
      </c>
      <c r="AJG3" t="s">
        <v>1025</v>
      </c>
      <c r="AJH3" t="s">
        <v>1026</v>
      </c>
      <c r="AJI3" t="s">
        <v>1027</v>
      </c>
      <c r="AJJ3" t="s">
        <v>1028</v>
      </c>
      <c r="AJK3" s="145"/>
      <c r="AJL3" t="s">
        <v>633</v>
      </c>
      <c r="AJM3" t="s">
        <v>634</v>
      </c>
      <c r="AJN3" t="s">
        <v>635</v>
      </c>
      <c r="AJO3" t="s">
        <v>636</v>
      </c>
      <c r="AJP3" t="s">
        <v>637</v>
      </c>
      <c r="AJQ3" t="s">
        <v>638</v>
      </c>
      <c r="AJR3" t="s">
        <v>639</v>
      </c>
      <c r="AJS3" t="s">
        <v>640</v>
      </c>
      <c r="AJT3" t="s">
        <v>641</v>
      </c>
      <c r="AJU3" t="s">
        <v>642</v>
      </c>
      <c r="AJV3" t="s">
        <v>643</v>
      </c>
      <c r="AJW3" t="s">
        <v>644</v>
      </c>
      <c r="AJX3" t="s">
        <v>645</v>
      </c>
      <c r="AJY3" t="s">
        <v>646</v>
      </c>
      <c r="AJZ3" t="s">
        <v>647</v>
      </c>
      <c r="AKA3" t="s">
        <v>648</v>
      </c>
      <c r="AKB3" t="s">
        <v>649</v>
      </c>
      <c r="AKC3" t="s">
        <v>650</v>
      </c>
      <c r="AKD3" t="s">
        <v>651</v>
      </c>
      <c r="AKE3" t="s">
        <v>652</v>
      </c>
      <c r="AKF3" t="s">
        <v>653</v>
      </c>
      <c r="AKG3" t="s">
        <v>654</v>
      </c>
      <c r="AKH3" t="s">
        <v>655</v>
      </c>
      <c r="AKI3" t="s">
        <v>656</v>
      </c>
      <c r="AKJ3" t="s">
        <v>657</v>
      </c>
      <c r="AKK3" t="s">
        <v>658</v>
      </c>
      <c r="AKL3" s="117" t="s">
        <v>659</v>
      </c>
      <c r="AKM3" t="s">
        <v>660</v>
      </c>
      <c r="AKN3" s="145"/>
      <c r="AKO3" t="s">
        <v>1472</v>
      </c>
      <c r="AKP3" t="s">
        <v>1473</v>
      </c>
      <c r="AKQ3" t="s">
        <v>1474</v>
      </c>
      <c r="AKR3" t="s">
        <v>1475</v>
      </c>
      <c r="AKS3" t="s">
        <v>1476</v>
      </c>
      <c r="AKT3" t="s">
        <v>1477</v>
      </c>
      <c r="AKU3" t="s">
        <v>1478</v>
      </c>
      <c r="AKV3" t="s">
        <v>1479</v>
      </c>
      <c r="AKW3" t="s">
        <v>1480</v>
      </c>
      <c r="AKX3" t="s">
        <v>1481</v>
      </c>
      <c r="AKY3" s="117" t="s">
        <v>1482</v>
      </c>
      <c r="AKZ3" t="s">
        <v>1483</v>
      </c>
      <c r="ALA3" t="s">
        <v>1484</v>
      </c>
      <c r="ALB3" t="s">
        <v>1485</v>
      </c>
      <c r="ALC3" t="s">
        <v>1486</v>
      </c>
      <c r="ALD3" t="s">
        <v>1487</v>
      </c>
      <c r="ALE3" t="s">
        <v>1488</v>
      </c>
      <c r="ALF3" t="s">
        <v>1489</v>
      </c>
      <c r="ALG3" t="s">
        <v>1490</v>
      </c>
      <c r="ALH3" t="s">
        <v>1491</v>
      </c>
      <c r="ALI3" t="s">
        <v>1492</v>
      </c>
      <c r="ALJ3" t="s">
        <v>1493</v>
      </c>
      <c r="ALK3" t="s">
        <v>1494</v>
      </c>
      <c r="ALL3" t="s">
        <v>1495</v>
      </c>
      <c r="ALM3" t="s">
        <v>1496</v>
      </c>
      <c r="ALN3" t="s">
        <v>1497</v>
      </c>
      <c r="ALO3" t="s">
        <v>1498</v>
      </c>
      <c r="ALP3" t="s">
        <v>1499</v>
      </c>
      <c r="ALQ3" t="s">
        <v>1500</v>
      </c>
      <c r="ALR3" t="s">
        <v>1501</v>
      </c>
      <c r="ALS3" t="s">
        <v>1502</v>
      </c>
      <c r="ALT3" s="130"/>
      <c r="ALU3" t="s">
        <v>1029</v>
      </c>
      <c r="ALV3" t="s">
        <v>1030</v>
      </c>
      <c r="ALW3" t="s">
        <v>1031</v>
      </c>
      <c r="ALX3" t="s">
        <v>1032</v>
      </c>
      <c r="ALY3" t="s">
        <v>1033</v>
      </c>
      <c r="ALZ3" t="s">
        <v>1034</v>
      </c>
      <c r="AMA3" t="s">
        <v>1035</v>
      </c>
      <c r="AMB3" t="s">
        <v>1036</v>
      </c>
      <c r="AMC3" t="s">
        <v>1037</v>
      </c>
      <c r="AMD3" t="s">
        <v>1038</v>
      </c>
      <c r="AME3" t="s">
        <v>1039</v>
      </c>
      <c r="AMF3" t="s">
        <v>1040</v>
      </c>
      <c r="AMG3" t="s">
        <v>1041</v>
      </c>
      <c r="AMH3" s="105" t="s">
        <v>1042</v>
      </c>
      <c r="AMI3" t="s">
        <v>1043</v>
      </c>
      <c r="AMJ3" t="s">
        <v>1044</v>
      </c>
      <c r="AMK3" t="s">
        <v>1045</v>
      </c>
      <c r="AML3" t="s">
        <v>1046</v>
      </c>
      <c r="AMM3" t="s">
        <v>1047</v>
      </c>
      <c r="AMN3" t="s">
        <v>1048</v>
      </c>
      <c r="AMO3" t="s">
        <v>1049</v>
      </c>
      <c r="AMP3" t="s">
        <v>1050</v>
      </c>
      <c r="AMQ3" t="s">
        <v>1051</v>
      </c>
      <c r="AMR3" t="s">
        <v>1052</v>
      </c>
      <c r="AMS3" t="s">
        <v>1053</v>
      </c>
      <c r="AMT3" t="s">
        <v>1054</v>
      </c>
      <c r="AMU3" t="s">
        <v>1055</v>
      </c>
      <c r="AMV3" t="s">
        <v>1056</v>
      </c>
      <c r="AMW3" t="s">
        <v>1057</v>
      </c>
      <c r="AMX3" t="s">
        <v>1058</v>
      </c>
      <c r="AMY3" s="130"/>
      <c r="AMZ3" t="s">
        <v>1059</v>
      </c>
      <c r="ANA3" t="s">
        <v>1060</v>
      </c>
      <c r="ANB3" t="s">
        <v>1061</v>
      </c>
      <c r="ANC3" t="s">
        <v>1062</v>
      </c>
      <c r="AND3" t="s">
        <v>1063</v>
      </c>
      <c r="ANE3" t="s">
        <v>1064</v>
      </c>
      <c r="ANF3" t="s">
        <v>1065</v>
      </c>
      <c r="ANG3" t="s">
        <v>1066</v>
      </c>
      <c r="ANH3" t="s">
        <v>1067</v>
      </c>
      <c r="ANI3" t="s">
        <v>1068</v>
      </c>
      <c r="ANJ3" t="s">
        <v>1069</v>
      </c>
      <c r="ANK3" t="s">
        <v>1070</v>
      </c>
      <c r="ANL3" s="145" t="s">
        <v>1071</v>
      </c>
      <c r="ANM3" t="s">
        <v>1072</v>
      </c>
      <c r="ANN3" t="s">
        <v>1073</v>
      </c>
      <c r="ANO3" t="s">
        <v>1074</v>
      </c>
      <c r="ANP3" t="s">
        <v>1075</v>
      </c>
      <c r="ANQ3" t="s">
        <v>1076</v>
      </c>
      <c r="ANR3" t="s">
        <v>1077</v>
      </c>
      <c r="ANS3" t="s">
        <v>1078</v>
      </c>
      <c r="ANT3" t="s">
        <v>1079</v>
      </c>
      <c r="ANU3" t="s">
        <v>1080</v>
      </c>
      <c r="ANV3" t="s">
        <v>1081</v>
      </c>
      <c r="ANW3" t="s">
        <v>1082</v>
      </c>
      <c r="ANX3" t="s">
        <v>1083</v>
      </c>
      <c r="ANY3" t="s">
        <v>1084</v>
      </c>
      <c r="ANZ3" t="s">
        <v>1085</v>
      </c>
      <c r="AOA3" t="s">
        <v>1086</v>
      </c>
      <c r="AOB3" t="s">
        <v>1087</v>
      </c>
      <c r="AOC3" t="s">
        <v>1088</v>
      </c>
    </row>
    <row r="4" spans="1:1069" x14ac:dyDescent="0.2">
      <c r="A4" s="170" t="s">
        <v>1638</v>
      </c>
      <c r="B4" t="s">
        <v>1504</v>
      </c>
      <c r="C4" s="52">
        <f>BALANCING!C34</f>
        <v>14780</v>
      </c>
      <c r="D4" s="52">
        <f>BALANCING!D34</f>
        <v>12200</v>
      </c>
      <c r="E4" s="52">
        <f>BALANCING!E34</f>
        <v>9726</v>
      </c>
      <c r="F4" s="52">
        <f>BALANCING!F34</f>
        <v>7052</v>
      </c>
      <c r="G4" s="84">
        <f>BALANCING!G34</f>
        <v>12305.26</v>
      </c>
      <c r="H4" s="52">
        <f>BALANCING!H34</f>
        <v>9347.36</v>
      </c>
      <c r="I4" s="52">
        <f>BALANCING!I34</f>
        <v>6836.36</v>
      </c>
      <c r="J4" s="52">
        <f>BALANCING!J34</f>
        <v>4760</v>
      </c>
      <c r="K4" s="52">
        <f>BALANCING!K34</f>
        <v>16495</v>
      </c>
      <c r="L4" s="52">
        <f>BALANCING!L34</f>
        <v>14155</v>
      </c>
      <c r="M4" s="52">
        <f>BALANCING!M34</f>
        <v>11777</v>
      </c>
      <c r="N4" s="52">
        <f>BALANCING!N34</f>
        <v>9011</v>
      </c>
      <c r="O4" s="52">
        <f>BALANCING!O34</f>
        <v>6588</v>
      </c>
      <c r="P4" s="52">
        <f>BALANCING!P34</f>
        <v>3870</v>
      </c>
      <c r="Q4" s="52">
        <f>BALANCING!Q34</f>
        <v>14610</v>
      </c>
      <c r="R4" s="52">
        <f>BALANCING!R34</f>
        <v>12187</v>
      </c>
      <c r="S4" s="52">
        <f>BALANCING!S34</f>
        <v>9800</v>
      </c>
      <c r="T4" s="52">
        <f>BALANCING!T34</f>
        <v>6963</v>
      </c>
      <c r="U4" s="52">
        <f>BALANCING!U34</f>
        <v>4561</v>
      </c>
      <c r="V4" s="52">
        <f>BALANCING!V34</f>
        <v>2483</v>
      </c>
      <c r="W4" s="52">
        <f>BALANCING!W34</f>
        <v>17391</v>
      </c>
      <c r="X4" s="52">
        <f>BALANCING!X34</f>
        <v>15300</v>
      </c>
      <c r="Y4" s="52">
        <f>BALANCING!Y34</f>
        <v>13042</v>
      </c>
      <c r="Z4" s="52">
        <f>BALANCING!Z34</f>
        <v>10722</v>
      </c>
      <c r="AA4" s="52">
        <f>BALANCING!AA34</f>
        <v>7950</v>
      </c>
      <c r="AB4" s="52">
        <f>BALANCING!AB34</f>
        <v>15094</v>
      </c>
      <c r="AC4" s="52">
        <f>BALANCING!AC34</f>
        <v>12536</v>
      </c>
      <c r="AD4" s="52">
        <f>BALANCING!AD34</f>
        <v>10390</v>
      </c>
      <c r="AE4" s="52">
        <f>BALANCING!AE34</f>
        <v>8270</v>
      </c>
      <c r="AF4" s="52">
        <f>BALANCING!AF34</f>
        <v>6130</v>
      </c>
      <c r="AG4" s="52">
        <f>BALANCING!AG34</f>
        <v>3643</v>
      </c>
      <c r="AH4" s="98"/>
      <c r="AI4" s="52">
        <f>BALANCING!AI34</f>
        <v>675</v>
      </c>
      <c r="AJ4" s="52">
        <f>BALANCING!AJ34</f>
        <v>10933</v>
      </c>
      <c r="AK4" s="52">
        <f>BALANCING!AK34</f>
        <v>8352</v>
      </c>
      <c r="AL4" s="52">
        <f>BALANCING!AL34</f>
        <v>5883</v>
      </c>
      <c r="AM4" s="52">
        <f>BALANCING!AM34</f>
        <v>3443</v>
      </c>
      <c r="AN4" s="52">
        <f>BALANCING!AN34</f>
        <v>13552</v>
      </c>
      <c r="AO4" s="52">
        <f>BALANCING!AO34</f>
        <v>10144</v>
      </c>
      <c r="AP4" s="52">
        <f>BALANCING!AP34</f>
        <v>7166</v>
      </c>
      <c r="AQ4" s="52">
        <f>BALANCING!AQ34</f>
        <v>4567</v>
      </c>
      <c r="AR4" s="52">
        <f>BALANCING!AR34</f>
        <v>2408</v>
      </c>
      <c r="AS4" s="52">
        <f>BALANCING!AS34</f>
        <v>354</v>
      </c>
      <c r="AT4" s="52">
        <f>BALANCING!AT34</f>
        <v>8776</v>
      </c>
      <c r="AU4" s="52">
        <f>BALANCING!AU34</f>
        <v>7830</v>
      </c>
      <c r="AV4" s="52">
        <f>BALANCING!AV34</f>
        <v>17666</v>
      </c>
      <c r="AW4" s="52">
        <f>BALANCING!AW34</f>
        <v>15518</v>
      </c>
      <c r="AX4" s="52">
        <f>BALANCING!AX34</f>
        <v>13294</v>
      </c>
      <c r="AY4" s="52">
        <f>BALANCING!AY34</f>
        <v>11300</v>
      </c>
      <c r="AZ4" s="52">
        <f>BALANCING!AZ34</f>
        <v>9144</v>
      </c>
      <c r="BA4" s="52">
        <f>BALANCING!BA34</f>
        <v>7305</v>
      </c>
      <c r="BB4" s="52">
        <f>BALANCING!BB34</f>
        <v>14273</v>
      </c>
      <c r="BC4" s="52">
        <f>BALANCING!BC34</f>
        <v>12357</v>
      </c>
      <c r="BD4" s="52">
        <f>BALANCING!BD34</f>
        <v>10033</v>
      </c>
      <c r="BE4" s="52">
        <f>BALANCING!BE34</f>
        <v>7800</v>
      </c>
      <c r="BF4" s="52">
        <f>BALANCING!BF34</f>
        <v>5855</v>
      </c>
      <c r="BG4" s="52">
        <f>BALANCING!BG34</f>
        <v>3831</v>
      </c>
      <c r="BH4" s="52">
        <f>BALANCING!BH34</f>
        <v>17808</v>
      </c>
      <c r="BI4" s="52">
        <f>BALANCING!BI34</f>
        <v>15809</v>
      </c>
      <c r="BJ4" s="52">
        <f>BALANCING!BJ34</f>
        <v>13977</v>
      </c>
      <c r="BK4" s="52">
        <f>BALANCING!BK34</f>
        <v>11960</v>
      </c>
      <c r="BL4" s="52">
        <f>BALANCING!BL34</f>
        <v>9747</v>
      </c>
      <c r="BM4" s="105"/>
      <c r="BN4" s="52">
        <f>BALANCING!BN34</f>
        <v>16652</v>
      </c>
      <c r="BO4" s="52">
        <f>BALANCING!BO34</f>
        <v>14631</v>
      </c>
      <c r="BP4" s="52">
        <f>BALANCING!BP34</f>
        <v>12623</v>
      </c>
      <c r="BQ4" s="52">
        <f>BALANCING!BQ34</f>
        <v>10741</v>
      </c>
      <c r="BR4" s="52">
        <f>BALANCING!BR34</f>
        <v>8960</v>
      </c>
      <c r="BS4" s="52">
        <f>BALANCING!BS34</f>
        <v>6852</v>
      </c>
      <c r="BT4" s="52">
        <f>BALANCING!BT34</f>
        <v>15084</v>
      </c>
      <c r="BU4" s="52">
        <f>BALANCING!BU34</f>
        <v>13000</v>
      </c>
      <c r="BV4" s="52">
        <f>BALANCING!BV34</f>
        <v>11063</v>
      </c>
      <c r="BW4" s="52">
        <f>BALANCING!BW34</f>
        <v>9294</v>
      </c>
      <c r="BX4" s="52">
        <f>BALANCING!BX34</f>
        <v>7575</v>
      </c>
      <c r="BY4" s="52">
        <f>BALANCING!BY34</f>
        <v>5768</v>
      </c>
      <c r="BZ4" s="52">
        <f>BALANCING!BZ34</f>
        <v>3713</v>
      </c>
      <c r="CA4" s="52">
        <f>BALANCING!CA34</f>
        <v>11576</v>
      </c>
      <c r="CB4" s="52">
        <f>BALANCING!CB34</f>
        <v>9609</v>
      </c>
      <c r="CC4" s="52">
        <f>BALANCING!CC34</f>
        <v>7722</v>
      </c>
      <c r="CD4" s="52">
        <f>BALANCING!CD34</f>
        <v>5726</v>
      </c>
      <c r="CE4" s="52">
        <f>BALANCING!CE34</f>
        <v>9929</v>
      </c>
      <c r="CF4" s="52">
        <f>BALANCING!CF34</f>
        <v>8164</v>
      </c>
      <c r="CG4" s="52">
        <f>BALANCING!CG34</f>
        <v>6262</v>
      </c>
      <c r="CH4" s="52">
        <f>BALANCING!CH34</f>
        <v>17200</v>
      </c>
      <c r="CI4" s="52">
        <f>BALANCING!CI34</f>
        <v>15136</v>
      </c>
      <c r="CJ4" s="52">
        <f>BALANCING!CJ34</f>
        <v>13357</v>
      </c>
      <c r="CK4" s="52">
        <f>BALANCING!CK34</f>
        <v>11423</v>
      </c>
      <c r="CL4" s="52">
        <f>BALANCING!CL34</f>
        <v>9586</v>
      </c>
      <c r="CM4" s="52">
        <f>BALANCING!CM34</f>
        <v>7711</v>
      </c>
      <c r="CN4" s="52">
        <f>BALANCING!CN34</f>
        <v>5737</v>
      </c>
      <c r="CO4" s="52">
        <f>BALANCING!CO34</f>
        <v>11482</v>
      </c>
      <c r="CP4" s="52">
        <f>BALANCING!CP34</f>
        <v>9600</v>
      </c>
      <c r="CQ4" s="52">
        <f>BALANCING!CQ34</f>
        <v>7635</v>
      </c>
      <c r="CR4" s="52">
        <f>BALANCING!CR34</f>
        <v>5778</v>
      </c>
      <c r="CT4" s="52">
        <f>BALANCING!CT34</f>
        <v>3800</v>
      </c>
      <c r="CU4" s="52">
        <f>BALANCING!CU34</f>
        <v>13867</v>
      </c>
      <c r="CV4" s="52">
        <f>BALANCING!CV34</f>
        <v>11850</v>
      </c>
      <c r="CW4" s="52">
        <f>BALANCING!CW34</f>
        <v>9263</v>
      </c>
      <c r="CX4" s="52">
        <f>BALANCING!CX34</f>
        <v>7063</v>
      </c>
      <c r="CY4" s="52">
        <f>BALANCING!CY34</f>
        <v>5109</v>
      </c>
      <c r="CZ4" s="52">
        <f>BALANCING!CZ34</f>
        <v>12062</v>
      </c>
      <c r="DA4" s="52">
        <f>BALANCING!DA34</f>
        <v>10136</v>
      </c>
      <c r="DB4" s="52">
        <f>BALANCING!DB34</f>
        <v>8082</v>
      </c>
      <c r="DC4" s="52">
        <f>BALANCING!DC34</f>
        <v>5944</v>
      </c>
      <c r="DD4" s="52">
        <f>BALANCING!DD34</f>
        <v>14694</v>
      </c>
      <c r="DE4" s="52">
        <f>BALANCING!DE34</f>
        <v>12812</v>
      </c>
      <c r="DF4" s="52">
        <f>BALANCING!DF34</f>
        <v>11000</v>
      </c>
      <c r="DG4" s="52">
        <f>BALANCING!DG34</f>
        <v>8920</v>
      </c>
      <c r="DH4" s="52">
        <f>BALANCING!DH34</f>
        <v>7092</v>
      </c>
      <c r="DI4" s="52">
        <f>BALANCING!DI34</f>
        <v>18843</v>
      </c>
      <c r="DJ4" s="52">
        <f>BALANCING!DJ34</f>
        <v>17509</v>
      </c>
      <c r="DK4" s="52">
        <f>BALANCING!DK34</f>
        <v>15655</v>
      </c>
      <c r="DL4" s="52">
        <f>BALANCING!DL34</f>
        <v>14055</v>
      </c>
      <c r="DM4" s="52">
        <f>BALANCING!DM34</f>
        <v>12347</v>
      </c>
      <c r="DN4" s="52">
        <f>BALANCING!DN34</f>
        <v>10920</v>
      </c>
      <c r="DO4" s="52">
        <f>BALANCING!DO34</f>
        <v>9133</v>
      </c>
      <c r="DP4" s="52">
        <f>BALANCING!DP34</f>
        <v>7270</v>
      </c>
      <c r="DQ4" s="52">
        <f>BALANCING!DQ34</f>
        <v>14400</v>
      </c>
      <c r="DR4" s="52">
        <f>BALANCING!DR34</f>
        <v>12326</v>
      </c>
      <c r="DS4" s="52">
        <f>BALANCING!DS34</f>
        <v>10600</v>
      </c>
      <c r="DT4" s="52">
        <f>BALANCING!DT34</f>
        <v>9021</v>
      </c>
      <c r="DU4" s="52">
        <f>BALANCING!DU34</f>
        <v>7562</v>
      </c>
      <c r="DV4" s="52">
        <f>BALANCING!DV34</f>
        <v>6200</v>
      </c>
      <c r="DW4" s="52">
        <f>BALANCING!DW34</f>
        <v>4503</v>
      </c>
      <c r="DX4" s="118"/>
      <c r="DY4" s="52">
        <f>BALANCING!DY34</f>
        <v>2491</v>
      </c>
      <c r="DZ4" s="52">
        <f>BALANCING!DZ34</f>
        <v>775</v>
      </c>
      <c r="EA4" s="52">
        <f>BALANCING!EA34</f>
        <v>9242</v>
      </c>
      <c r="EB4" s="52">
        <f>BALANCING!EB34</f>
        <v>7766</v>
      </c>
      <c r="EC4" s="52">
        <f>BALANCING!EC34</f>
        <v>6200</v>
      </c>
      <c r="ED4" s="52">
        <f>BALANCING!ED34</f>
        <v>4509</v>
      </c>
      <c r="EE4" s="52">
        <f>BALANCING!EE34</f>
        <v>9811</v>
      </c>
      <c r="EF4" s="52">
        <f>BALANCING!EF34</f>
        <v>7930</v>
      </c>
      <c r="EG4" s="52">
        <f>BALANCING!EG34</f>
        <v>5757</v>
      </c>
      <c r="EH4" s="52">
        <f>BALANCING!EH34</f>
        <v>3733</v>
      </c>
      <c r="EI4" s="52">
        <f>BALANCING!EI34</f>
        <v>13955</v>
      </c>
      <c r="EJ4" s="52">
        <f>BALANCING!EJ34</f>
        <v>11930</v>
      </c>
      <c r="EK4" s="52">
        <f>BALANCING!EK34</f>
        <v>10011</v>
      </c>
      <c r="EL4" s="52">
        <f>BALANCING!EL34</f>
        <v>8176</v>
      </c>
      <c r="EM4" s="52">
        <f>BALANCING!EM34</f>
        <v>14770</v>
      </c>
      <c r="EN4" s="52">
        <f>BALANCING!EN34</f>
        <v>12315</v>
      </c>
      <c r="EO4" s="52">
        <f>BALANCING!EO34</f>
        <v>10270</v>
      </c>
      <c r="EP4" s="52">
        <f>BALANCING!EP34</f>
        <v>7970</v>
      </c>
      <c r="EQ4" s="52">
        <f>BALANCING!EQ34</f>
        <v>17130</v>
      </c>
      <c r="ER4" s="52">
        <f>BALANCING!ER34</f>
        <v>14877</v>
      </c>
      <c r="ES4" s="52">
        <f>BALANCING!ES34</f>
        <v>12455</v>
      </c>
      <c r="ET4" s="52">
        <f>BALANCING!ET34</f>
        <v>9655</v>
      </c>
      <c r="EU4" s="52">
        <f>BALANCING!EU34</f>
        <v>16800</v>
      </c>
      <c r="EV4" s="52">
        <f>BALANCING!EV34</f>
        <v>14210</v>
      </c>
      <c r="EW4" s="52">
        <f>BALANCING!EW34</f>
        <v>12305</v>
      </c>
      <c r="EX4" s="52">
        <f>BALANCING!EX34</f>
        <v>10733</v>
      </c>
      <c r="EY4" s="52">
        <f>BALANCING!EY34</f>
        <v>8970</v>
      </c>
      <c r="EZ4" s="52">
        <f>BALANCING!EZ34</f>
        <v>18104</v>
      </c>
      <c r="FA4" s="52">
        <f>BALANCING!FA34</f>
        <v>16104</v>
      </c>
      <c r="FB4" s="52">
        <f>BALANCING!FB34</f>
        <v>14200</v>
      </c>
      <c r="FC4" s="52">
        <f>BALANCING!FC34</f>
        <v>12062</v>
      </c>
      <c r="FD4" s="126"/>
      <c r="FE4" s="52">
        <f>BALANCING!FE34</f>
        <v>10230</v>
      </c>
      <c r="FF4" s="52">
        <f>BALANCING!FF34</f>
        <v>8270</v>
      </c>
      <c r="FG4" s="52">
        <f>BALANCING!FG34</f>
        <v>6700</v>
      </c>
      <c r="FH4" s="52">
        <f>BALANCING!FH34</f>
        <v>4680</v>
      </c>
      <c r="FI4" s="52">
        <f>BALANCING!FI34</f>
        <v>2678</v>
      </c>
      <c r="FJ4" s="52">
        <f>BALANCING!FJ34</f>
        <v>14715</v>
      </c>
      <c r="FK4" s="52">
        <f>BALANCING!FK34</f>
        <v>12821</v>
      </c>
      <c r="FL4" s="52">
        <f>BALANCING!FL34</f>
        <v>10813</v>
      </c>
      <c r="FM4" s="52">
        <f>BALANCING!FM34</f>
        <v>8920</v>
      </c>
      <c r="FN4" s="52">
        <f>BALANCING!FN34</f>
        <v>7077</v>
      </c>
      <c r="FO4" s="52">
        <f>BALANCING!FO34</f>
        <v>17234</v>
      </c>
      <c r="FP4" s="52">
        <f>BALANCING!FP34</f>
        <v>15350</v>
      </c>
      <c r="FQ4" s="52">
        <f>BALANCING!FQ34</f>
        <v>13284</v>
      </c>
      <c r="FR4" s="52">
        <f>BALANCING!FR34</f>
        <v>11564</v>
      </c>
      <c r="FS4" s="52">
        <f>BALANCING!FS34</f>
        <v>9988</v>
      </c>
      <c r="FT4" s="52">
        <f>BALANCING!FT34</f>
        <v>8117</v>
      </c>
      <c r="FU4" s="52">
        <f>BALANCING!FU34</f>
        <v>17590</v>
      </c>
      <c r="FV4" s="52">
        <f>BALANCING!FV34</f>
        <v>15866</v>
      </c>
      <c r="FW4" s="52">
        <f>BALANCING!FW34</f>
        <v>13844</v>
      </c>
      <c r="FX4" s="52">
        <f>BALANCING!FX34</f>
        <v>11666</v>
      </c>
      <c r="FY4" s="52">
        <f>BALANCING!FY34</f>
        <v>9768</v>
      </c>
      <c r="FZ4" s="52">
        <f>BALANCING!FZ34</f>
        <v>8105</v>
      </c>
      <c r="GA4" s="52">
        <f>BALANCING!GA34</f>
        <v>6271</v>
      </c>
      <c r="GB4" s="52">
        <f>BALANCING!GB34</f>
        <v>16552</v>
      </c>
      <c r="GC4" s="52">
        <f>BALANCING!GC34</f>
        <v>14326</v>
      </c>
      <c r="GD4" s="52">
        <f>BALANCING!GD34</f>
        <v>12347</v>
      </c>
      <c r="GE4" s="52">
        <f>BALANCING!GE34</f>
        <v>10633</v>
      </c>
      <c r="GF4" s="52">
        <f>BALANCING!GF34</f>
        <v>8890</v>
      </c>
      <c r="GG4" s="52">
        <f>BALANCING!GG34</f>
        <v>6827</v>
      </c>
      <c r="GH4" s="52">
        <f>BALANCING!GH34</f>
        <v>5109</v>
      </c>
      <c r="GI4" s="52">
        <f>BALANCING!GI34</f>
        <v>14263</v>
      </c>
      <c r="GJ4" s="130"/>
      <c r="GK4" s="52">
        <f>BALANCING!GK34</f>
        <v>12431</v>
      </c>
      <c r="GL4" s="52">
        <f>BALANCING!GL34</f>
        <v>10505</v>
      </c>
      <c r="GM4" s="52">
        <f>BALANCING!GM34</f>
        <v>7870</v>
      </c>
      <c r="GN4" s="52">
        <f>BALANCING!GN34</f>
        <v>5557</v>
      </c>
      <c r="GO4" s="52">
        <f>BALANCING!GO34</f>
        <v>3469</v>
      </c>
      <c r="GP4" s="52">
        <f>BALANCING!GP34</f>
        <v>11212</v>
      </c>
      <c r="GQ4" s="52">
        <f>BALANCING!GQ34</f>
        <v>8870</v>
      </c>
      <c r="GR4" s="52">
        <f>BALANCING!GR34</f>
        <v>6869</v>
      </c>
      <c r="GS4" s="52">
        <f>BALANCING!GS34</f>
        <v>4831</v>
      </c>
      <c r="GT4" s="52">
        <f>BALANCING!GT34</f>
        <v>14866</v>
      </c>
      <c r="GU4" s="52">
        <f>BALANCING!GU34</f>
        <v>12955</v>
      </c>
      <c r="GV4" s="52">
        <f>BALANCING!GV34</f>
        <v>11000</v>
      </c>
      <c r="GW4" s="52">
        <f>BALANCING!GW34</f>
        <v>8810</v>
      </c>
      <c r="GX4" s="52">
        <f>BALANCING!GX34</f>
        <v>6809</v>
      </c>
      <c r="GY4" s="52">
        <f>BALANCING!GY34</f>
        <v>5027</v>
      </c>
      <c r="GZ4" s="52">
        <f>BALANCING!GZ34</f>
        <v>16090</v>
      </c>
      <c r="HA4" s="52">
        <f>BALANCING!HA34</f>
        <v>14022</v>
      </c>
      <c r="HB4" s="52">
        <f>BALANCING!HB34</f>
        <v>12252</v>
      </c>
      <c r="HC4" s="52">
        <f>BALANCING!HC34</f>
        <v>10535</v>
      </c>
      <c r="HD4" s="52">
        <f>BALANCING!HD34</f>
        <v>8444</v>
      </c>
      <c r="HE4" s="52">
        <f>BALANCING!HE34</f>
        <v>6578</v>
      </c>
      <c r="HF4" s="52">
        <f>BALANCING!HF34</f>
        <v>4703</v>
      </c>
      <c r="HG4" s="52">
        <f>BALANCING!HG34</f>
        <v>15744</v>
      </c>
      <c r="HH4" s="52">
        <f>BALANCING!HH34</f>
        <v>13811</v>
      </c>
      <c r="HI4" s="52">
        <f>BALANCING!HI34</f>
        <v>12336</v>
      </c>
      <c r="HJ4" s="52">
        <f>BALANCING!HJ34</f>
        <v>10347</v>
      </c>
      <c r="HK4" s="52">
        <f>BALANCING!HK34</f>
        <v>8552</v>
      </c>
      <c r="HL4" s="52">
        <f>BALANCING!HL34</f>
        <v>16715</v>
      </c>
      <c r="HM4" s="52">
        <f>BALANCING!HM34</f>
        <v>14684.21</v>
      </c>
      <c r="HN4" s="130"/>
      <c r="HO4" s="52">
        <f>BALANCING!HO34</f>
        <v>12411</v>
      </c>
      <c r="HP4" s="52">
        <f>BALANCING!HP34</f>
        <v>10105</v>
      </c>
      <c r="HQ4" s="52">
        <f>BALANCING!HQ34</f>
        <v>7894</v>
      </c>
      <c r="HR4" s="52">
        <f>BALANCING!HR34</f>
        <v>5778</v>
      </c>
      <c r="HS4" s="52">
        <f>BALANCING!HS34</f>
        <v>15600</v>
      </c>
      <c r="HT4" s="52">
        <f>BALANCING!HT34</f>
        <v>13566</v>
      </c>
      <c r="HU4" s="52">
        <f>BALANCING!HU34</f>
        <v>11200</v>
      </c>
      <c r="HV4" s="52">
        <f>BALANCING!HV34</f>
        <v>9111</v>
      </c>
      <c r="HW4" s="52">
        <f>BALANCING!HW34</f>
        <v>7122</v>
      </c>
      <c r="HX4" s="52">
        <f>BALANCING!HX34</f>
        <v>5252</v>
      </c>
      <c r="HY4" s="52">
        <f>BALANCING!HY34</f>
        <v>15178</v>
      </c>
      <c r="HZ4" s="52">
        <f>BALANCING!HZ34</f>
        <v>13422</v>
      </c>
      <c r="IA4" s="52">
        <f>BALANCING!IA34</f>
        <v>11810</v>
      </c>
      <c r="IB4" s="52">
        <f>BALANCING!IB34</f>
        <v>10220</v>
      </c>
      <c r="IC4" s="52">
        <f>BALANCING!IC34</f>
        <v>8129</v>
      </c>
      <c r="ID4" s="52">
        <f>BALANCING!ID34</f>
        <v>18113</v>
      </c>
      <c r="IE4" s="52">
        <f>BALANCING!IE34</f>
        <v>16277</v>
      </c>
      <c r="IF4" s="52">
        <f>BALANCING!IF34</f>
        <v>14255</v>
      </c>
      <c r="IG4" s="52">
        <f>BALANCING!IG34</f>
        <v>12433</v>
      </c>
      <c r="IH4" s="52">
        <f>BALANCING!IH34</f>
        <v>10588</v>
      </c>
      <c r="II4" s="52">
        <f>BALANCING!II34</f>
        <v>8940</v>
      </c>
      <c r="IJ4" s="52">
        <f>BALANCING!IJ34</f>
        <v>6918</v>
      </c>
      <c r="IK4" s="52">
        <f>BALANCING!IK34</f>
        <v>14833</v>
      </c>
      <c r="IL4" s="52">
        <f>BALANCING!IL34</f>
        <v>13042</v>
      </c>
      <c r="IM4" s="52">
        <f>BALANCING!IM34</f>
        <v>11126</v>
      </c>
      <c r="IN4" s="52">
        <f>BALANCING!IN34</f>
        <v>9466</v>
      </c>
      <c r="IO4" s="52">
        <f>BALANCING!IO34</f>
        <v>7575</v>
      </c>
      <c r="IP4" s="52">
        <f>BALANCING!IP34</f>
        <v>5736</v>
      </c>
      <c r="IQ4" s="52">
        <f>BALANCING!IQ34</f>
        <v>16981</v>
      </c>
      <c r="IR4" s="52">
        <f>BALANCING!IR34</f>
        <v>15063</v>
      </c>
      <c r="IS4" s="52">
        <f>BALANCING!IS34</f>
        <v>13688</v>
      </c>
      <c r="IT4" s="130"/>
      <c r="IU4" s="52">
        <f>BALANCING!IU34</f>
        <v>12242</v>
      </c>
      <c r="IV4" s="52">
        <f>BALANCING!IV34</f>
        <v>10350</v>
      </c>
      <c r="IW4" s="52">
        <f>BALANCING!IW34</f>
        <v>8717</v>
      </c>
      <c r="IX4" s="52">
        <f>BALANCING!IX34</f>
        <v>7022</v>
      </c>
      <c r="IY4" s="52">
        <f>BALANCING!IY34</f>
        <v>5200</v>
      </c>
      <c r="IZ4" s="52">
        <f>BALANCING!IZ34</f>
        <v>3120</v>
      </c>
      <c r="JA4" s="52">
        <f>BALANCING!JA34</f>
        <v>13358</v>
      </c>
      <c r="JB4" s="52">
        <f>BALANCING!JB34</f>
        <v>11517</v>
      </c>
      <c r="JC4" s="52">
        <f>BALANCING!JC34</f>
        <v>9922</v>
      </c>
      <c r="JD4" s="52">
        <f>BALANCING!JD34</f>
        <v>7950</v>
      </c>
      <c r="JE4" s="52">
        <f>BALANCING!JE34</f>
        <v>6362</v>
      </c>
      <c r="JF4" s="52">
        <f>BALANCING!JF34</f>
        <v>4580</v>
      </c>
      <c r="JG4" s="52">
        <f>BALANCING!JG34</f>
        <v>2885</v>
      </c>
      <c r="JH4" s="52">
        <f>BALANCING!JH34</f>
        <v>13389</v>
      </c>
      <c r="JI4" s="52">
        <f>BALANCING!JI34</f>
        <v>11505</v>
      </c>
      <c r="JJ4" s="52">
        <f>BALANCING!JJ34</f>
        <v>9855</v>
      </c>
      <c r="JK4" s="52">
        <f>BALANCING!JK34</f>
        <v>8317</v>
      </c>
      <c r="JL4" s="52">
        <f>BALANCING!JL34</f>
        <v>6755</v>
      </c>
      <c r="JM4" s="52">
        <f>BALANCING!JM34</f>
        <v>4907</v>
      </c>
      <c r="JN4" s="52">
        <f>BALANCING!JN34</f>
        <v>16221</v>
      </c>
      <c r="JO4" s="52">
        <f>BALANCING!JO34</f>
        <v>14789</v>
      </c>
      <c r="JP4" s="52">
        <f>BALANCING!JP34</f>
        <v>13042</v>
      </c>
      <c r="JQ4" s="52">
        <f>BALANCING!JQ34</f>
        <v>11576</v>
      </c>
      <c r="JR4" s="52">
        <f>BALANCING!JR34</f>
        <v>9822</v>
      </c>
      <c r="JS4" s="52">
        <f>BALANCING!JS34</f>
        <v>8117</v>
      </c>
      <c r="JT4" s="52">
        <f>BALANCING!JT34</f>
        <v>6121</v>
      </c>
      <c r="JU4" s="52">
        <f>BALANCING!JU34</f>
        <v>3626</v>
      </c>
      <c r="JV4" s="52">
        <f>BALANCING!JV34</f>
        <v>12729</v>
      </c>
      <c r="JW4" s="52">
        <f>BALANCING!JW34</f>
        <v>11157</v>
      </c>
      <c r="JX4" s="52">
        <f>BALANCING!JX34</f>
        <v>9388</v>
      </c>
      <c r="JY4" s="139"/>
      <c r="JZ4" s="52">
        <f>BALANCING!JZ34</f>
        <v>7655</v>
      </c>
      <c r="KA4" s="52">
        <f>BALANCING!KA34</f>
        <v>5800</v>
      </c>
      <c r="KB4" s="52">
        <f>BALANCING!KB34</f>
        <v>4123</v>
      </c>
      <c r="KC4" s="52">
        <f>BALANCING!KC34</f>
        <v>12175</v>
      </c>
      <c r="KD4" s="52">
        <f>BALANCING!KD34</f>
        <v>10290</v>
      </c>
      <c r="KE4" s="52">
        <f>BALANCING!KE34</f>
        <v>8511</v>
      </c>
      <c r="KF4" s="52">
        <f>BALANCING!KF34</f>
        <v>6666</v>
      </c>
      <c r="KG4" s="52">
        <f>BALANCING!KG34</f>
        <v>5127</v>
      </c>
      <c r="KH4" s="52">
        <f>BALANCING!KH34</f>
        <v>3341</v>
      </c>
      <c r="KI4" s="52">
        <f>BALANCING!KI34</f>
        <v>16447</v>
      </c>
      <c r="KJ4" s="52">
        <f>BALANCING!KJ34</f>
        <v>14455</v>
      </c>
      <c r="KK4" s="52">
        <f>BALANCING!KK34</f>
        <v>12682</v>
      </c>
      <c r="KL4" s="52">
        <f>BALANCING!KL34</f>
        <v>10666</v>
      </c>
      <c r="KM4" s="52">
        <f>BALANCING!KM34</f>
        <v>9010</v>
      </c>
      <c r="KN4" s="52">
        <f>BALANCING!KN34</f>
        <v>7475</v>
      </c>
      <c r="KO4" s="52">
        <f>BALANCING!KO34</f>
        <v>5705</v>
      </c>
      <c r="KP4" s="52">
        <f>BALANCING!KP34</f>
        <v>4047</v>
      </c>
      <c r="KQ4" s="52">
        <f>BALANCING!KQ34</f>
        <v>2272</v>
      </c>
      <c r="KR4" s="52">
        <f>BALANCING!KR34</f>
        <v>10494</v>
      </c>
      <c r="KS4" s="52">
        <f>BALANCING!KS34</f>
        <v>8588</v>
      </c>
      <c r="KT4" s="52">
        <f>BALANCING!KT34</f>
        <v>10128</v>
      </c>
      <c r="KU4" s="52">
        <f>BALANCING!KU34</f>
        <v>14455</v>
      </c>
      <c r="KV4" s="52">
        <f>BALANCING!KV34</f>
        <v>12623</v>
      </c>
      <c r="KW4" s="52">
        <f>BALANCING!KW34</f>
        <v>10611</v>
      </c>
      <c r="KX4" s="52">
        <f>BALANCING!KX34</f>
        <v>16827</v>
      </c>
      <c r="KY4" s="52">
        <f>BALANCING!KY34</f>
        <v>14900</v>
      </c>
      <c r="KZ4" s="52">
        <f>BALANCING!KZ34</f>
        <v>13052</v>
      </c>
      <c r="LA4" s="52">
        <f>BALANCING!LA34</f>
        <v>11262</v>
      </c>
      <c r="LB4" s="52">
        <f>BALANCING!LB34</f>
        <v>9546</v>
      </c>
      <c r="LC4" s="52">
        <f>BALANCING!LC34</f>
        <v>16715</v>
      </c>
      <c r="LD4" s="52">
        <f>BALANCING!LD34</f>
        <v>14477</v>
      </c>
      <c r="LE4" s="130"/>
      <c r="LF4" s="52">
        <f>BALANCING!LF34</f>
        <v>12050</v>
      </c>
      <c r="LG4" s="52">
        <f>BALANCING!LG34</f>
        <v>10200</v>
      </c>
      <c r="LH4" s="52">
        <f>BALANCING!LH34</f>
        <v>8070</v>
      </c>
      <c r="LI4" s="52">
        <f>BALANCING!LI34</f>
        <v>5855</v>
      </c>
      <c r="LJ4" s="52">
        <f>BALANCING!LJ34</f>
        <v>4060</v>
      </c>
      <c r="LK4" s="52">
        <f>BALANCING!LK34</f>
        <v>14177</v>
      </c>
      <c r="LL4" s="52">
        <f>BALANCING!LL34</f>
        <v>11960</v>
      </c>
      <c r="LM4" s="52">
        <f>BALANCING!LM34</f>
        <v>9380</v>
      </c>
      <c r="LN4" s="52">
        <f>BALANCING!LN34</f>
        <v>7364</v>
      </c>
      <c r="LO4" s="52">
        <f>BALANCING!LO34</f>
        <v>5326</v>
      </c>
      <c r="LP4" s="52">
        <f>BALANCING!LP34</f>
        <v>13357</v>
      </c>
      <c r="LQ4" s="52">
        <f>BALANCING!LQ34</f>
        <v>11529</v>
      </c>
      <c r="LR4" s="52">
        <f>BALANCING!LR34</f>
        <v>9655</v>
      </c>
      <c r="LS4" s="52">
        <f>BALANCING!LS34</f>
        <v>15472</v>
      </c>
      <c r="LT4" s="52">
        <f>BALANCING!LT34</f>
        <v>12933</v>
      </c>
      <c r="LU4" s="52">
        <f>BALANCING!LU34</f>
        <v>10893</v>
      </c>
      <c r="LV4" s="52">
        <f>BALANCING!LV34</f>
        <v>9088</v>
      </c>
      <c r="LW4" s="52">
        <f>BALANCING!LW34</f>
        <v>7044</v>
      </c>
      <c r="LX4" s="52">
        <f>BALANCING!LX34</f>
        <v>5231</v>
      </c>
      <c r="LY4" s="52">
        <f>BALANCING!LY34</f>
        <v>3235</v>
      </c>
      <c r="LZ4" s="52">
        <f>BALANCING!LZ34</f>
        <v>12137</v>
      </c>
      <c r="MA4" s="52">
        <f>BALANCING!MA34</f>
        <v>10133</v>
      </c>
      <c r="MB4" s="52">
        <f>BALANCING!MB34</f>
        <v>8070</v>
      </c>
      <c r="MC4" s="52">
        <f>BALANCING!MC34</f>
        <v>5811</v>
      </c>
      <c r="MD4" s="52">
        <f>BALANCING!MD34</f>
        <v>4066</v>
      </c>
      <c r="ME4" s="52">
        <f>BALANCING!ME34</f>
        <v>2172</v>
      </c>
      <c r="MF4" s="52">
        <f>BALANCING!MF34</f>
        <v>13577</v>
      </c>
      <c r="MG4" s="52">
        <f>BALANCING!MG34</f>
        <v>11655</v>
      </c>
      <c r="MH4" s="52">
        <f>BALANCING!MH34</f>
        <v>9663</v>
      </c>
      <c r="MI4" s="52">
        <f>BALANCING!MI34</f>
        <v>16809</v>
      </c>
      <c r="MJ4" s="139"/>
      <c r="MK4" s="52">
        <f>BALANCING!MK34</f>
        <v>14631</v>
      </c>
      <c r="ML4" s="52">
        <f>BALANCING!ML34</f>
        <v>12729</v>
      </c>
      <c r="MM4" s="52">
        <f>BALANCING!MM34</f>
        <v>10946</v>
      </c>
      <c r="MN4" s="52">
        <f>BALANCING!MN34</f>
        <v>9111</v>
      </c>
      <c r="MO4" s="52">
        <f>BALANCING!MO34</f>
        <v>7066</v>
      </c>
      <c r="MP4" s="52">
        <f>BALANCING!MP34</f>
        <v>13000</v>
      </c>
      <c r="MQ4" s="52">
        <f>BALANCING!MQ34</f>
        <v>12955</v>
      </c>
      <c r="MR4" s="52">
        <f>BALANCING!MR34</f>
        <v>11094</v>
      </c>
      <c r="MS4" s="52">
        <f>BALANCING!MS34</f>
        <v>9350</v>
      </c>
      <c r="MT4" s="52">
        <f>BALANCING!MT34</f>
        <v>7820</v>
      </c>
      <c r="MU4" s="52">
        <f>BALANCING!MU34</f>
        <v>6050</v>
      </c>
      <c r="MV4" s="52">
        <f>BALANCING!MV34</f>
        <v>17933</v>
      </c>
      <c r="MW4" s="52">
        <f>BALANCING!MW34</f>
        <v>15490</v>
      </c>
      <c r="MX4" s="52">
        <f>BALANCING!MX34</f>
        <v>14033</v>
      </c>
      <c r="MY4" s="52">
        <f>BALANCING!MY34</f>
        <v>12389</v>
      </c>
      <c r="MZ4" s="52">
        <f>BALANCING!MZ34</f>
        <v>10350</v>
      </c>
      <c r="NA4" s="52">
        <f>BALANCING!NA34</f>
        <v>8705</v>
      </c>
      <c r="NB4" s="52">
        <f>BALANCING!NB34</f>
        <v>6722</v>
      </c>
      <c r="NC4" s="52">
        <f>BALANCING!NC34</f>
        <v>4863</v>
      </c>
      <c r="ND4" s="52">
        <f>BALANCING!ND34</f>
        <v>2847</v>
      </c>
      <c r="NE4" s="52">
        <f>BALANCING!NE34</f>
        <v>11387</v>
      </c>
      <c r="NF4" s="52">
        <f>BALANCING!NF34</f>
        <v>9673</v>
      </c>
      <c r="NG4" s="52">
        <f>BALANCING!NG34</f>
        <v>8141</v>
      </c>
      <c r="NH4" s="52">
        <f>BALANCING!NH34</f>
        <v>6575</v>
      </c>
      <c r="NI4" s="52">
        <f>BALANCING!NI34</f>
        <v>16652</v>
      </c>
      <c r="NJ4" s="52">
        <f>BALANCING!NJ34</f>
        <v>14768</v>
      </c>
      <c r="NK4" s="52">
        <f>BALANCING!NK34</f>
        <v>12463</v>
      </c>
      <c r="NL4" s="52">
        <f>BALANCING!NL34</f>
        <v>11042</v>
      </c>
      <c r="NM4" s="52">
        <f>BALANCING!NM34</f>
        <v>9088</v>
      </c>
      <c r="NN4" s="52">
        <f>BALANCING!NN34</f>
        <v>7317</v>
      </c>
      <c r="NO4" s="52">
        <f>BALANCING!NO34</f>
        <v>15866</v>
      </c>
      <c r="NP4" s="139"/>
      <c r="NQ4" s="52">
        <f>BALANCING!NQ34</f>
        <v>14077</v>
      </c>
      <c r="NR4" s="52">
        <f>BALANCING!NR34</f>
        <v>12315</v>
      </c>
      <c r="NS4" s="52">
        <f>BALANCING!NS34</f>
        <v>10155</v>
      </c>
      <c r="NT4" s="52">
        <f>BALANCING!NT34</f>
        <v>8400</v>
      </c>
      <c r="NU4" s="52">
        <f>BALANCING!NU34</f>
        <v>6526</v>
      </c>
      <c r="NV4" s="52">
        <f>BALANCING!NV34</f>
        <v>4336</v>
      </c>
      <c r="NW4" s="52">
        <f>BALANCING!NW34</f>
        <v>12555</v>
      </c>
      <c r="NX4" s="52">
        <f>BALANCING!NX34</f>
        <v>10666</v>
      </c>
      <c r="NY4" s="52">
        <f>BALANCING!NY34</f>
        <v>8577</v>
      </c>
      <c r="NZ4" s="52">
        <f>BALANCING!NZ34</f>
        <v>6484</v>
      </c>
      <c r="OA4" s="52">
        <f>BALANCING!OA34</f>
        <v>14663</v>
      </c>
      <c r="OB4" s="52">
        <f>BALANCING!OB34</f>
        <v>12855</v>
      </c>
      <c r="OC4" s="52">
        <f>BALANCING!OC34</f>
        <v>10973</v>
      </c>
      <c r="OD4" s="52">
        <f>BALANCING!OD34</f>
        <v>8990</v>
      </c>
      <c r="OE4" s="52">
        <f>BALANCING!OE34</f>
        <v>7066</v>
      </c>
      <c r="OF4" s="52">
        <f>BALANCING!OF34</f>
        <v>13988</v>
      </c>
      <c r="OG4" s="52">
        <f>BALANCING!OG34</f>
        <v>11870</v>
      </c>
      <c r="OH4" s="52">
        <f>BALANCING!OH34</f>
        <v>10094</v>
      </c>
      <c r="OI4" s="52">
        <f>BALANCING!OI34</f>
        <v>8094</v>
      </c>
      <c r="OJ4" s="52">
        <f>BALANCING!OJ34</f>
        <v>6287</v>
      </c>
      <c r="OK4" s="52">
        <f>BALANCING!OK34</f>
        <v>16523</v>
      </c>
      <c r="OL4" s="52">
        <f>BALANCING!OL34</f>
        <v>14600</v>
      </c>
      <c r="OM4" s="52">
        <f>BALANCING!OM34</f>
        <v>12822</v>
      </c>
      <c r="ON4" s="52">
        <f>BALANCING!ON34</f>
        <v>10764</v>
      </c>
      <c r="OO4" s="52">
        <f>BALANCING!OO34</f>
        <v>9378</v>
      </c>
      <c r="OP4" s="52">
        <f>BALANCING!OP34</f>
        <v>7600</v>
      </c>
      <c r="OQ4" s="52">
        <f>BALANCING!OQ34</f>
        <v>5715</v>
      </c>
      <c r="OR4" s="52">
        <f>BALANCING!OR34</f>
        <v>4123</v>
      </c>
      <c r="OS4" s="52">
        <f>BALANCING!OS34</f>
        <v>2172</v>
      </c>
      <c r="OT4" s="52">
        <f>BALANCING!OT34</f>
        <v>12294</v>
      </c>
      <c r="OU4" s="52">
        <f>BALANCING!OU34</f>
        <v>10176</v>
      </c>
      <c r="OV4" s="130"/>
      <c r="OW4" s="52">
        <f>BALANCING!OW34</f>
        <v>8477</v>
      </c>
      <c r="OX4" s="52">
        <f>BALANCING!OX34</f>
        <v>6547</v>
      </c>
      <c r="OY4" s="52">
        <f>BALANCING!OY34</f>
        <v>4676</v>
      </c>
      <c r="OZ4" s="52">
        <f>BALANCING!OZ34</f>
        <v>15800</v>
      </c>
      <c r="PA4" s="52">
        <f>BALANCING!PA34</f>
        <v>13975</v>
      </c>
      <c r="PB4" s="52">
        <f>BALANCING!PB34</f>
        <v>12012</v>
      </c>
      <c r="PC4" s="52">
        <f>BALANCING!PC34</f>
        <v>9988</v>
      </c>
      <c r="PD4" s="52">
        <f>BALANCING!PD34</f>
        <v>8258</v>
      </c>
      <c r="PE4" s="52">
        <f>BALANCING!PE34</f>
        <v>6180</v>
      </c>
      <c r="PF4" s="52">
        <f>BALANCING!PF34</f>
        <v>4438</v>
      </c>
      <c r="PG4" s="52">
        <f>BALANCING!PG34</f>
        <v>8840</v>
      </c>
      <c r="PH4" s="52">
        <f>BALANCING!PH34</f>
        <v>7249</v>
      </c>
      <c r="PI4" s="52">
        <f>BALANCING!PI34</f>
        <v>5112</v>
      </c>
      <c r="PJ4" s="52">
        <f>BALANCING!PJ34</f>
        <v>15021</v>
      </c>
      <c r="PK4" s="52">
        <f>BALANCING!PK34</f>
        <v>13455</v>
      </c>
      <c r="PL4" s="52">
        <f>BALANCING!PL34</f>
        <v>11482</v>
      </c>
      <c r="PM4" s="52">
        <f>BALANCING!PM34</f>
        <v>9705</v>
      </c>
      <c r="PN4" s="52">
        <f>BALANCING!PN34</f>
        <v>8033</v>
      </c>
      <c r="PO4" s="52">
        <f>BALANCING!PO34</f>
        <v>6494</v>
      </c>
      <c r="PP4" s="52">
        <f>BALANCING!PP34</f>
        <v>4852</v>
      </c>
      <c r="PQ4" s="52">
        <f>BALANCING!PQ34</f>
        <v>15330</v>
      </c>
      <c r="PR4" s="52">
        <f>BALANCING!PR34</f>
        <v>13955</v>
      </c>
      <c r="PS4" s="52">
        <f>BALANCING!PS34</f>
        <v>12389</v>
      </c>
      <c r="PT4" s="52">
        <f>BALANCING!PT34</f>
        <v>10688</v>
      </c>
      <c r="PU4" s="52">
        <f>BALANCING!PU34</f>
        <v>9315</v>
      </c>
      <c r="PV4" s="52">
        <f>BALANCING!PV34</f>
        <v>7990</v>
      </c>
      <c r="PW4" s="52">
        <f>BALANCING!PW34</f>
        <v>6262</v>
      </c>
      <c r="PX4" s="52">
        <f>BALANCING!PX34</f>
        <v>14715</v>
      </c>
      <c r="PY4" s="52">
        <f>BALANCING!PY34</f>
        <v>13822</v>
      </c>
      <c r="PZ4" s="52">
        <f>BALANCING!PZ34</f>
        <v>12200</v>
      </c>
      <c r="QA4" s="130"/>
      <c r="QB4" s="52">
        <f>BALANCING!QB34</f>
        <v>10717</v>
      </c>
      <c r="QC4" s="52">
        <f>BALANCING!QC34</f>
        <v>9335</v>
      </c>
      <c r="QD4" s="52">
        <f>BALANCING!QD34</f>
        <v>16705</v>
      </c>
      <c r="QE4" s="52">
        <f>BALANCING!QE34</f>
        <v>14544</v>
      </c>
      <c r="QF4" s="52">
        <f>BALANCING!QF34</f>
        <v>12305</v>
      </c>
      <c r="QG4" s="52">
        <f>BALANCING!QG34</f>
        <v>10611</v>
      </c>
      <c r="QH4" s="52">
        <f>BALANCING!QH34</f>
        <v>8466</v>
      </c>
      <c r="QI4" s="52">
        <f>BALANCING!QI34</f>
        <v>6717</v>
      </c>
      <c r="QJ4" s="52">
        <f>BALANCING!QJ34</f>
        <v>14922</v>
      </c>
      <c r="QK4" s="52">
        <f>BALANCING!QK34</f>
        <v>13200</v>
      </c>
      <c r="QL4" s="52">
        <f>BALANCING!QL34</f>
        <v>11042</v>
      </c>
      <c r="QM4" s="52">
        <f>BALANCING!QM34</f>
        <v>9077</v>
      </c>
      <c r="QN4" s="52">
        <f>BALANCING!QN34</f>
        <v>7235</v>
      </c>
      <c r="QO4" s="52">
        <f>BALANCING!QO34</f>
        <v>5127</v>
      </c>
      <c r="QP4" s="52">
        <f>BALANCING!QP34</f>
        <v>3317</v>
      </c>
      <c r="QQ4" s="52">
        <f>BALANCING!QQ34</f>
        <v>14877</v>
      </c>
      <c r="QR4" s="52">
        <f>BALANCING!QR34</f>
        <v>13210</v>
      </c>
      <c r="QS4" s="52">
        <f>BALANCING!QS34</f>
        <v>11212</v>
      </c>
      <c r="QT4" s="52">
        <f>BALANCING!QT34</f>
        <v>9305</v>
      </c>
      <c r="QU4" s="52">
        <f>BALANCING!QU34</f>
        <v>7677</v>
      </c>
      <c r="QV4" s="52">
        <f>BALANCING!QV34</f>
        <v>6080</v>
      </c>
      <c r="QW4" s="52">
        <f>BALANCING!QW34</f>
        <v>4593</v>
      </c>
      <c r="QX4" s="52">
        <f>BALANCING!QX34</f>
        <v>3032</v>
      </c>
      <c r="QY4" s="52">
        <f>BALANCING!QY34</f>
        <v>13466</v>
      </c>
      <c r="QZ4" s="52">
        <f>BALANCING!QZ34</f>
        <v>11189</v>
      </c>
      <c r="RA4" s="52">
        <f>BALANCING!RA34</f>
        <v>9496</v>
      </c>
      <c r="RB4" s="52">
        <f>BALANCING!RB34</f>
        <v>7990</v>
      </c>
      <c r="RC4" s="52">
        <f>BALANCING!RC34</f>
        <v>6375</v>
      </c>
      <c r="RD4" s="52">
        <f>BALANCING!RD34</f>
        <v>4771</v>
      </c>
      <c r="RE4" s="52">
        <f>BALANCING!RE34</f>
        <v>16457</v>
      </c>
      <c r="RF4" s="52">
        <f>BALANCING!RF34</f>
        <v>14736</v>
      </c>
      <c r="RG4" s="130"/>
      <c r="RH4" s="52">
        <f>BALANCING!RH34</f>
        <v>12800</v>
      </c>
      <c r="RI4" s="52">
        <f>BALANCING!RI34</f>
        <v>10866</v>
      </c>
      <c r="RJ4" s="52">
        <f>BALANCING!RJ34</f>
        <v>9273</v>
      </c>
      <c r="RK4" s="52">
        <f>BALANCING!RK34</f>
        <v>7312</v>
      </c>
      <c r="RL4" s="52">
        <f>BALANCING!RL34</f>
        <v>5768</v>
      </c>
      <c r="RM4" s="52">
        <f>BALANCING!RM34</f>
        <v>4315</v>
      </c>
      <c r="RN4" s="52">
        <f>BALANCING!RN34</f>
        <v>15000</v>
      </c>
      <c r="RO4" s="52">
        <f>BALANCING!RO34</f>
        <v>13280</v>
      </c>
      <c r="RP4" s="52">
        <f>BALANCING!RP34</f>
        <v>11564</v>
      </c>
      <c r="RQ4" s="52">
        <f>BALANCING!RQ34</f>
        <v>9941</v>
      </c>
      <c r="RR4" s="52">
        <f>BALANCING!RR34</f>
        <v>8275</v>
      </c>
      <c r="RS4" s="52">
        <f>BALANCING!RS34</f>
        <v>16644</v>
      </c>
      <c r="RT4" s="52">
        <f>BALANCING!RT34</f>
        <v>15085</v>
      </c>
      <c r="RU4" s="52">
        <f>BALANCING!RU34</f>
        <v>13699</v>
      </c>
      <c r="RV4" s="52">
        <f>BALANCING!RV34</f>
        <v>11990</v>
      </c>
      <c r="RW4" s="52">
        <f>BALANCING!RW34</f>
        <v>10330</v>
      </c>
      <c r="RX4" s="52">
        <f>BALANCING!RX34</f>
        <v>8850</v>
      </c>
      <c r="RY4" s="52">
        <f>BALANCING!RY34</f>
        <v>7200</v>
      </c>
      <c r="RZ4" s="52">
        <f>BALANCING!RZ34</f>
        <v>5273</v>
      </c>
      <c r="SA4" s="52">
        <f>BALANCING!SA34</f>
        <v>14600</v>
      </c>
      <c r="SB4" s="52">
        <f>BALANCING!SB34</f>
        <v>13105</v>
      </c>
      <c r="SC4" s="52">
        <f>BALANCING!SC34</f>
        <v>11155</v>
      </c>
      <c r="SD4" s="52">
        <f>BALANCING!SD34</f>
        <v>9188</v>
      </c>
      <c r="SE4" s="52">
        <f>BALANCING!SE34</f>
        <v>15554</v>
      </c>
      <c r="SF4" s="52">
        <f>BALANCING!SF34</f>
        <v>13888</v>
      </c>
      <c r="SG4" s="52">
        <f>BALANCING!SG34</f>
        <v>12125</v>
      </c>
      <c r="SH4" s="52">
        <f>BALANCING!SH34</f>
        <v>10458</v>
      </c>
      <c r="SI4" s="52">
        <f>BALANCING!SI34</f>
        <v>8752</v>
      </c>
      <c r="SJ4" s="52">
        <f>BALANCING!SJ34</f>
        <v>6900</v>
      </c>
      <c r="SK4" s="52">
        <f>BALANCING!SK34</f>
        <v>4822</v>
      </c>
      <c r="SL4" s="130"/>
      <c r="SM4" s="52">
        <f>BALANCING!SM34</f>
        <v>16104</v>
      </c>
      <c r="SN4" s="52">
        <f>BALANCING!SN34</f>
        <v>14336</v>
      </c>
      <c r="SO4" s="52">
        <f>BALANCING!SO34</f>
        <v>12766</v>
      </c>
      <c r="SP4" s="52">
        <f>BALANCING!SP34</f>
        <v>11063</v>
      </c>
      <c r="SQ4" s="52">
        <f>BALANCING!SQ34</f>
        <v>9493</v>
      </c>
      <c r="SR4" s="52">
        <f>BALANCING!SR34</f>
        <v>16552</v>
      </c>
      <c r="SS4" s="52">
        <f>BALANCING!SS34</f>
        <v>14400</v>
      </c>
      <c r="ST4" s="52">
        <f>BALANCING!ST34</f>
        <v>12717</v>
      </c>
      <c r="SU4" s="52">
        <f>BALANCING!SU34</f>
        <v>10800</v>
      </c>
      <c r="SV4" s="52">
        <f>BALANCING!SV34</f>
        <v>9155</v>
      </c>
      <c r="SW4" s="52">
        <f>BALANCING!SW34</f>
        <v>7400</v>
      </c>
      <c r="SX4" s="52">
        <f>BALANCING!SX34</f>
        <v>13522</v>
      </c>
      <c r="SY4" s="52">
        <f>BALANCING!SY34</f>
        <v>11517</v>
      </c>
      <c r="SZ4" s="52">
        <f>BALANCING!SZ34</f>
        <v>9533</v>
      </c>
      <c r="TA4" s="52">
        <f>BALANCING!TA34</f>
        <v>7947</v>
      </c>
      <c r="TB4" s="52">
        <f>BALANCING!TB34</f>
        <v>6200</v>
      </c>
      <c r="TC4" s="52">
        <f>BALANCING!TC34</f>
        <v>4368</v>
      </c>
      <c r="TD4" s="52">
        <f>BALANCING!TD34</f>
        <v>2584</v>
      </c>
      <c r="TE4" s="52">
        <f>BALANCING!TE34</f>
        <v>11529</v>
      </c>
      <c r="TF4" s="52">
        <f>BALANCING!TF34</f>
        <v>9600</v>
      </c>
      <c r="TG4" s="52">
        <f>BALANCING!TG34</f>
        <v>7462</v>
      </c>
      <c r="TH4" s="52">
        <f>BALANCING!TH34</f>
        <v>5400</v>
      </c>
      <c r="TI4" s="52">
        <f>BALANCING!TI34</f>
        <v>3325</v>
      </c>
      <c r="TJ4" s="52">
        <f>BALANCING!TJ34</f>
        <v>16120</v>
      </c>
      <c r="TK4" s="52">
        <f>BALANCING!TK34</f>
        <v>14477</v>
      </c>
      <c r="TL4" s="52">
        <f>BALANCING!TL34</f>
        <v>13010</v>
      </c>
      <c r="TM4" s="52">
        <f>BALANCING!TM34</f>
        <v>11400</v>
      </c>
      <c r="TN4" s="52">
        <f>BALANCING!TN34</f>
        <v>9788</v>
      </c>
      <c r="TO4" s="52">
        <f>BALANCING!TO34</f>
        <v>8411</v>
      </c>
      <c r="TP4" s="52">
        <f>BALANCING!TP34</f>
        <v>6755</v>
      </c>
      <c r="TQ4" s="52">
        <f>BALANCING!TQ34</f>
        <v>4957</v>
      </c>
      <c r="TR4" s="130"/>
      <c r="TS4" s="52">
        <f>BALANCING!TS34</f>
        <v>14577</v>
      </c>
      <c r="TT4" s="52">
        <f>BALANCING!TT34</f>
        <v>13115</v>
      </c>
      <c r="TU4" s="52">
        <f>BALANCING!TU34</f>
        <v>11588</v>
      </c>
      <c r="TV4" s="52">
        <f>BALANCING!TV34</f>
        <v>9888</v>
      </c>
      <c r="TW4" s="52">
        <f>BALANCING!TW34</f>
        <v>17150</v>
      </c>
      <c r="TX4" s="52">
        <f>BALANCING!TX34</f>
        <v>15380</v>
      </c>
      <c r="TY4" s="52">
        <f>BALANCING!TY34</f>
        <v>13500</v>
      </c>
      <c r="TZ4" s="52">
        <f>BALANCING!TZ34</f>
        <v>11860</v>
      </c>
      <c r="UA4" s="52">
        <f>BALANCING!UA34</f>
        <v>10200</v>
      </c>
      <c r="UB4" s="52">
        <f>BALANCING!UB34</f>
        <v>8411</v>
      </c>
      <c r="UC4" s="52">
        <f>BALANCING!UC34</f>
        <v>6463</v>
      </c>
      <c r="UD4" s="52">
        <f>BALANCING!UD34</f>
        <v>13877</v>
      </c>
      <c r="UE4" s="52">
        <f>BALANCING!UE34</f>
        <v>12210</v>
      </c>
      <c r="UF4" s="52">
        <f>BALANCING!UF34</f>
        <v>10370</v>
      </c>
      <c r="UG4" s="52">
        <f>BALANCING!UG34</f>
        <v>8544</v>
      </c>
      <c r="UH4" s="52">
        <f>BALANCING!UH34</f>
        <v>6800</v>
      </c>
      <c r="UI4" s="52">
        <f>BALANCING!UI34</f>
        <v>4900</v>
      </c>
      <c r="UJ4" s="52">
        <f>BALANCING!UJ34</f>
        <v>3008</v>
      </c>
      <c r="UK4" s="52">
        <f>BALANCING!UK34</f>
        <v>1135</v>
      </c>
      <c r="UL4" s="52">
        <f>BALANCING!UL34</f>
        <v>9485</v>
      </c>
      <c r="UM4" s="52">
        <f>BALANCING!UM34</f>
        <v>7910</v>
      </c>
      <c r="UN4" s="52">
        <f>BALANCING!UN34</f>
        <v>6140</v>
      </c>
      <c r="UO4" s="52">
        <f>BALANCING!UO34</f>
        <v>4432</v>
      </c>
      <c r="UP4" s="52">
        <f>BALANCING!UP34</f>
        <v>10270</v>
      </c>
      <c r="UQ4" s="52">
        <f>BALANCING!UQ34</f>
        <v>8544</v>
      </c>
      <c r="UR4" s="52">
        <f>BALANCING!UR34</f>
        <v>6872</v>
      </c>
      <c r="US4" s="52">
        <f>BALANCING!US34</f>
        <v>5045</v>
      </c>
      <c r="UT4" s="52">
        <f>BALANCING!UT34</f>
        <v>3400</v>
      </c>
      <c r="UU4" s="52">
        <f>BALANCING!UU34</f>
        <v>12566</v>
      </c>
      <c r="UV4" s="52">
        <f>BALANCING!UV34</f>
        <v>10866</v>
      </c>
      <c r="UW4" s="52">
        <f>BALANCING!UW34</f>
        <v>8970</v>
      </c>
      <c r="UX4" s="130"/>
      <c r="UY4" s="52">
        <f>BALANCING!UY34</f>
        <v>7000</v>
      </c>
      <c r="UZ4" s="52">
        <f>BALANCING!UZ34</f>
        <v>5336</v>
      </c>
      <c r="VA4" s="52">
        <f>BALANCING!VA34</f>
        <v>3408</v>
      </c>
      <c r="VB4" s="52">
        <f>BALANCING!VB34</f>
        <v>14822</v>
      </c>
      <c r="VC4" s="52">
        <f>BALANCING!VC34</f>
        <v>13021</v>
      </c>
      <c r="VD4" s="52">
        <f>BALANCING!VD34</f>
        <v>11275</v>
      </c>
      <c r="VE4" s="52">
        <f>BALANCING!VE34</f>
        <v>9388</v>
      </c>
      <c r="VF4" s="52">
        <f>BALANCING!VF34</f>
        <v>7677</v>
      </c>
      <c r="VG4" s="52">
        <f>BALANCING!VG34</f>
        <v>6030</v>
      </c>
      <c r="VH4" s="52">
        <f>BALANCING!VH34</f>
        <v>4294</v>
      </c>
      <c r="VI4" s="52">
        <f>BALANCING!VI34</f>
        <v>15590</v>
      </c>
      <c r="VJ4" s="52">
        <f>BALANCING!VJ34</f>
        <v>13955</v>
      </c>
      <c r="VK4" s="52">
        <f>BALANCING!VK34</f>
        <v>12300</v>
      </c>
      <c r="VL4" s="52">
        <f>BALANCING!VL34</f>
        <v>9977</v>
      </c>
      <c r="VM4" s="52">
        <f>BALANCING!VM34</f>
        <v>16438</v>
      </c>
      <c r="VN4" s="52">
        <f>BALANCING!VN34</f>
        <v>14500</v>
      </c>
      <c r="VO4" s="52">
        <f>BALANCING!VO34</f>
        <v>12611</v>
      </c>
      <c r="VP4" s="52">
        <f>BALANCING!VP34</f>
        <v>10986</v>
      </c>
      <c r="VQ4" s="52">
        <f>BALANCING!VQ34</f>
        <v>16244</v>
      </c>
      <c r="VR4" s="52">
        <f>BALANCING!VR34</f>
        <v>14588</v>
      </c>
      <c r="VS4" s="52">
        <f>BALANCING!VS34</f>
        <v>12888</v>
      </c>
      <c r="VT4" s="52">
        <f>BALANCING!VT34</f>
        <v>10866</v>
      </c>
      <c r="VU4" s="52">
        <f>BALANCING!VU34</f>
        <v>9326</v>
      </c>
      <c r="VV4" s="52">
        <f>BALANCING!VV34</f>
        <v>7700</v>
      </c>
      <c r="VW4" s="52">
        <f>BALANCING!VW34</f>
        <v>6010</v>
      </c>
      <c r="VX4" s="52">
        <f>BALANCING!VX34</f>
        <v>4464</v>
      </c>
      <c r="VY4" s="52">
        <f>BALANCING!VY34</f>
        <v>14547</v>
      </c>
      <c r="VZ4" s="52">
        <f>BALANCING!VZ34</f>
        <v>12944</v>
      </c>
      <c r="WA4" s="139"/>
      <c r="WB4" s="52">
        <f>BALANCING!WB34</f>
        <v>11000</v>
      </c>
      <c r="WC4" s="52">
        <f>BALANCING!WC34</f>
        <v>9480</v>
      </c>
      <c r="WD4" s="52">
        <f>BALANCING!WD34</f>
        <v>7850</v>
      </c>
      <c r="WE4" s="52">
        <f>BALANCING!WE34</f>
        <v>6271</v>
      </c>
      <c r="WF4" s="52">
        <f>BALANCING!WF34</f>
        <v>4936</v>
      </c>
      <c r="WG4" s="52">
        <f>BALANCING!WG34</f>
        <v>3341</v>
      </c>
      <c r="WH4" s="52">
        <f>BALANCING!WH34</f>
        <v>17400</v>
      </c>
      <c r="WI4" s="52">
        <f>BALANCING!WI34</f>
        <v>15866</v>
      </c>
      <c r="WJ4" s="52">
        <f>BALANCING!WJ34</f>
        <v>14263</v>
      </c>
      <c r="WK4" s="52">
        <f>BALANCING!WK34</f>
        <v>12452</v>
      </c>
      <c r="WL4" s="52">
        <f>BALANCING!WL34</f>
        <v>10577</v>
      </c>
      <c r="WM4" s="52">
        <f>BALANCING!WM34</f>
        <v>9133</v>
      </c>
      <c r="WN4" s="52">
        <f>BALANCING!WN34</f>
        <v>7717</v>
      </c>
      <c r="WO4" s="52">
        <f>BALANCING!WO34</f>
        <v>5977</v>
      </c>
      <c r="WP4" s="52">
        <f>BALANCING!WP34</f>
        <v>4095</v>
      </c>
      <c r="WQ4" s="52">
        <f>BALANCING!WQ34</f>
        <v>17500</v>
      </c>
      <c r="WR4" s="52">
        <f>BALANCING!WR34</f>
        <v>16095</v>
      </c>
      <c r="WS4" s="52">
        <f>BALANCING!WS34</f>
        <v>14663.15</v>
      </c>
      <c r="WT4" s="52">
        <f>BALANCING!WT34</f>
        <v>12977</v>
      </c>
      <c r="WU4" s="52">
        <f>BALANCING!WU34</f>
        <v>11477</v>
      </c>
      <c r="WV4" s="52">
        <f>BALANCING!WV34</f>
        <v>9900</v>
      </c>
      <c r="WW4" s="52">
        <f>BALANCING!WW34</f>
        <v>8070</v>
      </c>
      <c r="WX4" s="52">
        <f>BALANCING!WX34</f>
        <v>6410</v>
      </c>
      <c r="WY4" s="52">
        <f>BALANCING!WY34</f>
        <v>4700</v>
      </c>
      <c r="WZ4" s="52">
        <f>BALANCING!WZ34</f>
        <v>3161</v>
      </c>
      <c r="XA4" s="52">
        <f>BALANCING!XA34</f>
        <v>13477</v>
      </c>
      <c r="XB4" s="52">
        <f>BALANCING!XB34</f>
        <v>11666</v>
      </c>
      <c r="XC4" s="52">
        <f>BALANCING!XC34</f>
        <v>9611</v>
      </c>
      <c r="XD4" s="52">
        <f>BALANCING!XD34</f>
        <v>7537</v>
      </c>
      <c r="XE4" s="52">
        <f>BALANCING!XE34</f>
        <v>5800</v>
      </c>
      <c r="XF4" s="52">
        <f>BALANCING!XF34</f>
        <v>18392</v>
      </c>
      <c r="XG4" s="139"/>
      <c r="XH4" s="52">
        <f>BALANCING!XH34</f>
        <v>16705</v>
      </c>
      <c r="XI4" s="52">
        <f>BALANCING!XI34</f>
        <v>15220</v>
      </c>
      <c r="XJ4" s="52">
        <f>BALANCING!XJ34</f>
        <v>13466</v>
      </c>
      <c r="XK4" s="52">
        <f>BALANCING!XK34</f>
        <v>11820</v>
      </c>
      <c r="XL4" s="52">
        <f>BALANCING!XL34</f>
        <v>9986</v>
      </c>
      <c r="XM4" s="52">
        <f>BALANCING!XM34</f>
        <v>8411</v>
      </c>
      <c r="XN4" s="52">
        <f>BALANCING!XN34</f>
        <v>6494</v>
      </c>
      <c r="XO4" s="52">
        <f>BALANCING!XO34</f>
        <v>4933</v>
      </c>
      <c r="XP4" s="52">
        <f>BALANCING!XP34</f>
        <v>17286</v>
      </c>
      <c r="XQ4" s="52">
        <f>BALANCING!XQ34</f>
        <v>15518</v>
      </c>
      <c r="XR4" s="52">
        <f>BALANCING!XR34</f>
        <v>13633</v>
      </c>
      <c r="XS4" s="52">
        <f>BALANCING!XS34</f>
        <v>11820</v>
      </c>
      <c r="XT4" s="52">
        <f>BALANCING!XT34</f>
        <v>10111</v>
      </c>
      <c r="XU4" s="52">
        <f>BALANCING!XU34</f>
        <v>8544</v>
      </c>
      <c r="XV4" s="52">
        <f>BALANCING!XV34</f>
        <v>14768</v>
      </c>
      <c r="XW4" s="52">
        <f>BALANCING!XW34</f>
        <v>12855</v>
      </c>
      <c r="XX4" s="52">
        <f>BALANCING!XX34</f>
        <v>11052</v>
      </c>
      <c r="XY4" s="52">
        <f>BALANCING!XY34</f>
        <v>17280</v>
      </c>
      <c r="XZ4" s="52">
        <f>BALANCING!XZ34</f>
        <v>15140</v>
      </c>
      <c r="YA4" s="52">
        <f>BALANCING!YA34</f>
        <v>13822</v>
      </c>
      <c r="YB4" s="52">
        <f>BALANCING!YB34</f>
        <v>12210</v>
      </c>
      <c r="YC4" s="52">
        <f>BALANCING!YC34</f>
        <v>10544</v>
      </c>
      <c r="YD4" s="52">
        <f>BALANCING!YD34</f>
        <v>16973</v>
      </c>
      <c r="YE4" s="52">
        <f>BALANCING!YE34</f>
        <v>15200</v>
      </c>
      <c r="YF4" s="52">
        <f>BALANCING!YF34</f>
        <v>13178</v>
      </c>
      <c r="YG4" s="52">
        <f>BALANCING!YG34</f>
        <v>11362</v>
      </c>
      <c r="YH4" s="52">
        <f>BALANCING!YH34</f>
        <v>9700</v>
      </c>
      <c r="YI4" s="52">
        <f>BALANCING!YI34</f>
        <v>8129</v>
      </c>
      <c r="YJ4" s="52">
        <f>BALANCING!YJ34</f>
        <v>15481</v>
      </c>
      <c r="YK4" s="52">
        <f>BALANCING!YK34</f>
        <v>13811</v>
      </c>
      <c r="YL4" s="130"/>
      <c r="YM4" s="52">
        <f>BALANCING!YM34</f>
        <v>12190</v>
      </c>
      <c r="YN4" s="52">
        <f>BALANCING!YN34</f>
        <v>10066</v>
      </c>
      <c r="YO4" s="52">
        <f>BALANCING!YO34</f>
        <v>8211</v>
      </c>
      <c r="YP4" s="52">
        <f>BALANCING!YP34</f>
        <v>6170</v>
      </c>
      <c r="YQ4" s="52">
        <f>BALANCING!YQ34</f>
        <v>3930</v>
      </c>
      <c r="YR4" s="52">
        <f>BALANCING!YR34</f>
        <v>1778</v>
      </c>
      <c r="YS4" s="52">
        <f>BALANCING!YS34</f>
        <v>245</v>
      </c>
      <c r="YT4" s="52">
        <f>BALANCING!YT34</f>
        <v>245</v>
      </c>
      <c r="YU4" s="52">
        <f>BALANCING!YU34</f>
        <v>7000</v>
      </c>
      <c r="YV4" s="52">
        <f>BALANCING!YV34</f>
        <v>4831</v>
      </c>
      <c r="YW4" s="52">
        <f>BALANCING!YW34</f>
        <v>10729</v>
      </c>
      <c r="YX4" s="52">
        <f>BALANCING!YX34</f>
        <v>8900</v>
      </c>
      <c r="YY4" s="52">
        <f>BALANCING!YY34</f>
        <v>7437</v>
      </c>
      <c r="YZ4" s="52">
        <f>BALANCING!YZ34</f>
        <v>5855</v>
      </c>
      <c r="ZA4" s="52">
        <f>BALANCING!ZA34</f>
        <v>4123</v>
      </c>
      <c r="ZB4" s="52">
        <f>BALANCING!ZB34</f>
        <v>15445</v>
      </c>
      <c r="ZC4" s="52">
        <f>BALANCING!ZC34</f>
        <v>13555</v>
      </c>
      <c r="ZD4" s="52">
        <f>BALANCING!ZD34</f>
        <v>11777</v>
      </c>
      <c r="ZE4" s="52">
        <f>BALANCING!ZE34</f>
        <v>9833</v>
      </c>
      <c r="ZF4" s="52">
        <f>BALANCING!ZF34</f>
        <v>8023</v>
      </c>
      <c r="ZG4" s="52">
        <f>BALANCING!ZG34</f>
        <v>6275</v>
      </c>
      <c r="ZH4" s="52">
        <f>BALANCING!ZH34</f>
        <v>11447</v>
      </c>
      <c r="ZI4" s="52">
        <f>BALANCING!ZI34</f>
        <v>9242</v>
      </c>
      <c r="ZJ4" s="52">
        <f>BALANCING!ZJ34</f>
        <v>6911</v>
      </c>
      <c r="ZK4" s="52">
        <f>BALANCING!ZK34</f>
        <v>4503</v>
      </c>
      <c r="ZL4" s="52">
        <f>BALANCING!ZL34</f>
        <v>2441</v>
      </c>
      <c r="ZM4" s="52">
        <f>BALANCING!ZM34</f>
        <v>13631</v>
      </c>
      <c r="ZN4" s="52">
        <f>BALANCING!ZN34</f>
        <v>11576</v>
      </c>
      <c r="ZO4" s="52">
        <f>BALANCING!ZO34</f>
        <v>17619</v>
      </c>
      <c r="ZP4" s="52">
        <f>BALANCING!ZP34</f>
        <v>15622</v>
      </c>
      <c r="ZQ4" s="52">
        <f>BALANCING!ZQ34</f>
        <v>13555</v>
      </c>
      <c r="ZR4" s="130"/>
      <c r="ZS4" s="52">
        <f>BALANCING!ZS34</f>
        <v>11744</v>
      </c>
      <c r="ZT4" s="52">
        <f>BALANCING!ZT34</f>
        <v>9863</v>
      </c>
      <c r="ZU4" s="52">
        <f>BALANCING!ZU34</f>
        <v>7840</v>
      </c>
      <c r="ZV4" s="52">
        <f>BALANCING!ZV34</f>
        <v>5911</v>
      </c>
      <c r="ZW4" s="52">
        <f>BALANCING!ZW34</f>
        <v>3721</v>
      </c>
      <c r="ZX4" s="52">
        <f>BALANCING!ZX34</f>
        <v>14630</v>
      </c>
      <c r="ZY4" s="52">
        <f>BALANCING!ZY34</f>
        <v>12623</v>
      </c>
      <c r="ZZ4" s="52">
        <f>BALANCING!ZZ34</f>
        <v>10670</v>
      </c>
      <c r="AAA4" s="52">
        <f>BALANCING!AAA34</f>
        <v>8930</v>
      </c>
      <c r="AAB4" s="52">
        <f>BALANCING!AAB34</f>
        <v>7010</v>
      </c>
      <c r="AAC4" s="52">
        <f>BALANCING!AAC34</f>
        <v>5294</v>
      </c>
      <c r="AAD4" s="52">
        <f>BALANCING!AAD34</f>
        <v>16610</v>
      </c>
      <c r="AAE4" s="52">
        <f>BALANCING!AAE34</f>
        <v>14378</v>
      </c>
      <c r="AAF4" s="52">
        <f>BALANCING!AAF34</f>
        <v>12150</v>
      </c>
      <c r="AAG4" s="52">
        <f>BALANCING!AAG34</f>
        <v>10155</v>
      </c>
      <c r="AAH4" s="52">
        <f>BALANCING!AAH34</f>
        <v>8211</v>
      </c>
      <c r="AAI4" s="52">
        <f>BALANCING!AAI34</f>
        <v>6258</v>
      </c>
      <c r="AAJ4" s="52">
        <f>BALANCING!AAJ34</f>
        <v>16388</v>
      </c>
      <c r="AAK4" s="52">
        <f>BALANCING!AAK34</f>
        <v>14326</v>
      </c>
      <c r="AAL4" s="52">
        <f>BALANCING!AAL34</f>
        <v>12389</v>
      </c>
      <c r="AAM4" s="52">
        <f>BALANCING!AAM34</f>
        <v>10177</v>
      </c>
      <c r="AAN4" s="52">
        <f>BALANCING!AAN34</f>
        <v>8544</v>
      </c>
      <c r="AAO4" s="52">
        <f>BALANCING!AAO34</f>
        <v>6655</v>
      </c>
      <c r="AAP4" s="52">
        <f>BALANCING!AAP34</f>
        <v>17742</v>
      </c>
      <c r="AAQ4" s="52">
        <f>BALANCING!AAQ34</f>
        <v>15755</v>
      </c>
      <c r="AAR4" s="52">
        <f>BALANCING!AAR34</f>
        <v>13855</v>
      </c>
      <c r="AAS4" s="52">
        <f>BALANCING!AAS34</f>
        <v>11810</v>
      </c>
      <c r="AAT4" s="52">
        <f>BALANCING!AAT34</f>
        <v>9560</v>
      </c>
      <c r="AAU4" s="52">
        <f>BALANCING!AAU34</f>
        <v>7726</v>
      </c>
      <c r="AAV4" s="52">
        <f>BALANCING!AAV34</f>
        <v>5855</v>
      </c>
      <c r="AAW4" s="130"/>
      <c r="AAX4" s="52">
        <f>BALANCING!AAX34</f>
        <v>16252</v>
      </c>
      <c r="AAY4" s="52">
        <f>BALANCING!AAY34</f>
        <v>14555</v>
      </c>
      <c r="AAZ4" s="52">
        <f>BALANCING!AAZ34</f>
        <v>12764</v>
      </c>
      <c r="ABA4" s="52">
        <f>BALANCING!ABA34</f>
        <v>10700</v>
      </c>
      <c r="ABB4" s="52">
        <f>BALANCING!ABB34</f>
        <v>8082</v>
      </c>
      <c r="ABC4" s="52">
        <f>BALANCING!ABC34</f>
        <v>5966</v>
      </c>
      <c r="ABD4" s="52">
        <f>BALANCING!ABD34</f>
        <v>4133</v>
      </c>
      <c r="ABE4" s="52">
        <f>BALANCING!ABE34</f>
        <v>14022</v>
      </c>
      <c r="ABF4" s="52">
        <f>BALANCING!ABF34</f>
        <v>12152</v>
      </c>
      <c r="ABG4" s="52">
        <f>BALANCING!ABG34</f>
        <v>10300</v>
      </c>
      <c r="ABH4" s="52">
        <f>BALANCING!ABH34</f>
        <v>8305</v>
      </c>
      <c r="ABI4" s="52">
        <f>BALANCING!ABI34</f>
        <v>7055</v>
      </c>
      <c r="ABJ4" s="52">
        <f>BALANCING!ABJ34</f>
        <v>5063</v>
      </c>
      <c r="ABK4" s="52">
        <f>BALANCING!ABK34</f>
        <v>3247</v>
      </c>
      <c r="ABL4" s="52">
        <f>BALANCING!ABL34</f>
        <v>1311</v>
      </c>
      <c r="ABM4" s="52">
        <f>BALANCING!ABM34</f>
        <v>14294</v>
      </c>
      <c r="ABN4" s="52">
        <f>BALANCING!ABN34</f>
        <v>12326</v>
      </c>
      <c r="ABO4" s="52">
        <f>BALANCING!ABO34</f>
        <v>10240</v>
      </c>
      <c r="ABP4" s="52">
        <f>BALANCING!ABP34</f>
        <v>16190</v>
      </c>
      <c r="ABQ4" s="52">
        <f>BALANCING!ABQ34</f>
        <v>14188</v>
      </c>
      <c r="ABR4" s="52">
        <f>BALANCING!ABR34</f>
        <v>12284</v>
      </c>
      <c r="ABS4" s="52">
        <f>BALANCING!ABS34</f>
        <v>10400</v>
      </c>
      <c r="ABT4" s="52">
        <f>BALANCING!ABT34</f>
        <v>8433</v>
      </c>
      <c r="ABU4" s="52">
        <f>BALANCING!ABU34</f>
        <v>6350</v>
      </c>
      <c r="ABV4" s="52">
        <f>BALANCING!ABV34</f>
        <v>16284</v>
      </c>
      <c r="ABW4" s="52">
        <f>BALANCING!ABW34</f>
        <v>14122</v>
      </c>
      <c r="ABX4" s="52">
        <f>BALANCING!ABX34</f>
        <v>12252</v>
      </c>
      <c r="ABY4" s="52">
        <f>BALANCING!ABY34</f>
        <v>10240</v>
      </c>
      <c r="ABZ4" s="52">
        <f>BALANCING!ABZ34</f>
        <v>16398</v>
      </c>
      <c r="ACA4" s="52">
        <f>BALANCING!ACA34</f>
        <v>14610</v>
      </c>
      <c r="ACB4" s="52">
        <f>BALANCING!ACB34</f>
        <v>12658</v>
      </c>
      <c r="ACC4" s="130"/>
      <c r="ACD4" s="52">
        <f>BALANCING!ACD34</f>
        <v>10684</v>
      </c>
      <c r="ACE4" s="52">
        <f>BALANCING!ACE34</f>
        <v>8305</v>
      </c>
      <c r="ACF4" s="52">
        <f>BALANCING!ACF34</f>
        <v>6150</v>
      </c>
      <c r="ACG4" s="52">
        <f>BALANCING!ACG34</f>
        <v>4009</v>
      </c>
      <c r="ACH4" s="52">
        <f>BALANCING!ACH34</f>
        <v>1703</v>
      </c>
      <c r="ACI4" s="52">
        <f>BALANCING!ACI34</f>
        <v>13200</v>
      </c>
      <c r="ACJ4" s="52">
        <f>BALANCING!ACJ34</f>
        <v>11200</v>
      </c>
      <c r="ACK4" s="52">
        <f>BALANCING!ACK34</f>
        <v>9144</v>
      </c>
      <c r="ACL4" s="52">
        <f>BALANCING!ACL34</f>
        <v>7305</v>
      </c>
      <c r="ACM4" s="52">
        <f>BALANCING!ACM34</f>
        <v>5633</v>
      </c>
      <c r="ACN4" s="52">
        <f>BALANCING!ACN34</f>
        <v>3495</v>
      </c>
      <c r="ACO4" s="52">
        <f>BALANCING!ACO34</f>
        <v>1850</v>
      </c>
      <c r="ACP4" s="52">
        <f>BALANCING!ACP34</f>
        <v>17330</v>
      </c>
      <c r="ACQ4" s="52">
        <f>BALANCING!ACQ34</f>
        <v>15454</v>
      </c>
      <c r="ACR4" s="52">
        <f>BALANCING!ACR34</f>
        <v>13368</v>
      </c>
      <c r="ACS4" s="52">
        <f>BALANCING!ACS34</f>
        <v>11755</v>
      </c>
      <c r="ACT4" s="52">
        <f>BALANCING!ACT34</f>
        <v>9900</v>
      </c>
      <c r="ACU4" s="52">
        <f>BALANCING!ACU34</f>
        <v>8000</v>
      </c>
      <c r="ACV4" s="52">
        <f>BALANCING!ACV34</f>
        <v>16965</v>
      </c>
      <c r="ACW4" s="52">
        <f>BALANCING!ACW34</f>
        <v>15454</v>
      </c>
      <c r="ACX4" s="52">
        <f>BALANCING!ACX34</f>
        <v>13711</v>
      </c>
      <c r="ACY4" s="52">
        <f>BALANCING!ACY34</f>
        <v>11715</v>
      </c>
      <c r="ACZ4" s="52">
        <f>BALANCING!ACZ34</f>
        <v>9900</v>
      </c>
      <c r="ADA4" s="52">
        <f>BALANCING!ADA34</f>
        <v>8364</v>
      </c>
      <c r="ADB4" s="52">
        <f>BALANCING!ADB34</f>
        <v>15885</v>
      </c>
      <c r="ADC4" s="52">
        <f>BALANCING!ADC34</f>
        <v>14177</v>
      </c>
      <c r="ADD4" s="52">
        <f>BALANCING!ADD34</f>
        <v>12410</v>
      </c>
      <c r="ADE4" s="52">
        <f>BALANCING!ADE34</f>
        <v>10960</v>
      </c>
      <c r="ADF4" s="52">
        <f>BALANCING!ADF34</f>
        <v>9033</v>
      </c>
      <c r="ADG4" s="52">
        <f>BALANCING!ADG34</f>
        <v>15031</v>
      </c>
      <c r="ADH4" s="52">
        <f>BALANCING!ADH34</f>
        <v>13368</v>
      </c>
      <c r="ADI4" s="130"/>
      <c r="ADJ4" s="52">
        <f>BALANCING!ADJ34</f>
        <v>11744</v>
      </c>
      <c r="ADK4" s="52">
        <f>BALANCING!ADK34</f>
        <v>10188</v>
      </c>
      <c r="ADL4" s="52">
        <f>BALANCING!ADL34</f>
        <v>8800</v>
      </c>
      <c r="ADM4" s="52">
        <f>BALANCING!ADM34</f>
        <v>6953</v>
      </c>
      <c r="ADN4" s="52">
        <f>BALANCING!ADN34</f>
        <v>17000</v>
      </c>
      <c r="ADO4" s="52">
        <f>BALANCING!ADO34</f>
        <v>15063</v>
      </c>
      <c r="ADP4" s="52">
        <f>BALANCING!ADP34</f>
        <v>13305</v>
      </c>
      <c r="ADQ4" s="52">
        <f>BALANCING!ADQ34</f>
        <v>11600</v>
      </c>
      <c r="ADR4" s="52">
        <f>BALANCING!ADR34</f>
        <v>10064</v>
      </c>
      <c r="ADS4" s="52">
        <f>BALANCING!ADS34</f>
        <v>8687</v>
      </c>
      <c r="ADT4" s="52">
        <f>BALANCING!ADT34</f>
        <v>7088</v>
      </c>
      <c r="ADU4" s="52">
        <f>BALANCING!ADU34</f>
        <v>18280</v>
      </c>
      <c r="ADV4" s="52">
        <f>BALANCING!ADV34</f>
        <v>16426</v>
      </c>
      <c r="ADW4" s="52">
        <f>BALANCING!ADW34</f>
        <v>14877</v>
      </c>
      <c r="ADX4" s="52">
        <f>BALANCING!ADX34</f>
        <v>13126</v>
      </c>
      <c r="ADY4" s="52">
        <f>BALANCING!ADY34</f>
        <v>11652</v>
      </c>
      <c r="ADZ4" s="52">
        <f>BALANCING!ADZ34</f>
        <v>10350</v>
      </c>
      <c r="AEA4" s="52">
        <f>BALANCING!AEA34</f>
        <v>8729</v>
      </c>
      <c r="AEB4" s="52">
        <f>BALANCING!AEB34</f>
        <v>7223</v>
      </c>
      <c r="AEC4" s="52">
        <f>BALANCING!AEC34</f>
        <v>16715</v>
      </c>
      <c r="AED4" s="52">
        <f>BALANCING!AED34</f>
        <v>15230</v>
      </c>
      <c r="AEE4" s="52">
        <f>BALANCING!AEE34</f>
        <v>13588</v>
      </c>
      <c r="AEF4" s="52">
        <f>BALANCING!AEF34</f>
        <v>12082</v>
      </c>
      <c r="AEG4" s="52">
        <f>BALANCING!AEG34</f>
        <v>10574</v>
      </c>
      <c r="AEH4" s="52">
        <f>BALANCING!AEH34</f>
        <v>9022</v>
      </c>
      <c r="AEI4" s="52">
        <f>BALANCING!AEI34</f>
        <v>7179</v>
      </c>
      <c r="AEJ4" s="52">
        <f>BALANCING!AEJ34</f>
        <v>13544</v>
      </c>
      <c r="AEK4" s="52">
        <f>BALANCING!AEK34</f>
        <v>11970</v>
      </c>
      <c r="AEL4" s="52">
        <f>BALANCING!AEL34</f>
        <v>10111</v>
      </c>
      <c r="AEM4" s="52">
        <f>BALANCING!AEM34</f>
        <v>17563</v>
      </c>
      <c r="AEN4" s="130"/>
      <c r="AEO4" s="52">
        <f>BALANCING!AEO34</f>
        <v>16142</v>
      </c>
      <c r="AEP4" s="52">
        <f>BALANCING!AEP34</f>
        <v>14642</v>
      </c>
      <c r="AEQ4" s="52">
        <f>BALANCING!AEQ34</f>
        <v>12944</v>
      </c>
      <c r="AER4" s="52">
        <f>BALANCING!AER34</f>
        <v>11105</v>
      </c>
      <c r="AES4" s="52">
        <f>BALANCING!AES34</f>
        <v>9600</v>
      </c>
      <c r="AET4" s="52">
        <f>BALANCING!AET34</f>
        <v>7925</v>
      </c>
      <c r="AEU4" s="52">
        <f>BALANCING!AEU34</f>
        <v>6400</v>
      </c>
      <c r="AEV4" s="52">
        <f>BALANCING!AEV34</f>
        <v>12739</v>
      </c>
      <c r="AEW4" s="52">
        <f>BALANCING!AEW34</f>
        <v>10866</v>
      </c>
      <c r="AEX4" s="52">
        <f>BALANCING!AEX34</f>
        <v>8880</v>
      </c>
      <c r="AEY4" s="52">
        <f>BALANCING!AEY34</f>
        <v>7166</v>
      </c>
      <c r="AEZ4" s="52">
        <f>BALANCING!AEZ34</f>
        <v>5621</v>
      </c>
      <c r="AFA4" s="52">
        <f>BALANCING!AFA34</f>
        <v>4085</v>
      </c>
      <c r="AFB4" s="52">
        <f>BALANCING!AFB34</f>
        <v>15380</v>
      </c>
      <c r="AFC4" s="52">
        <f>BALANCING!AFC34</f>
        <v>13694</v>
      </c>
      <c r="AFD4" s="52">
        <f>BALANCING!AFD34</f>
        <v>12050</v>
      </c>
      <c r="AFE4" s="52">
        <f>BALANCING!AFE34</f>
        <v>10600</v>
      </c>
      <c r="AFF4" s="52">
        <f>BALANCING!AFF34</f>
        <v>16800</v>
      </c>
      <c r="AFG4" s="52">
        <f>BALANCING!AFG34</f>
        <v>15230</v>
      </c>
      <c r="AFH4" s="52">
        <f>BALANCING!AFH34</f>
        <v>13688</v>
      </c>
      <c r="AFI4" s="52">
        <f>BALANCING!AFI34</f>
        <v>11970</v>
      </c>
      <c r="AFJ4" s="52">
        <f>BALANCING!AFJ34</f>
        <v>10411</v>
      </c>
      <c r="AFK4" s="52">
        <f>BALANCING!AFK34</f>
        <v>9022</v>
      </c>
      <c r="AFL4" s="52">
        <f>BALANCING!AFL34</f>
        <v>15260</v>
      </c>
      <c r="AFM4" s="52">
        <f>BALANCING!AFM34</f>
        <v>13242</v>
      </c>
      <c r="AFN4" s="52">
        <f>BALANCING!AFN34</f>
        <v>11576</v>
      </c>
      <c r="AFO4" s="52">
        <f>BALANCING!AFO34</f>
        <v>9933</v>
      </c>
      <c r="AFP4" s="52">
        <f>BALANCING!AFP34</f>
        <v>8411</v>
      </c>
      <c r="AFQ4" s="52">
        <f>BALANCING!AFQ34</f>
        <v>6954</v>
      </c>
      <c r="AFR4" s="52">
        <f>BALANCING!AFR34</f>
        <v>5410</v>
      </c>
      <c r="AFS4" s="52">
        <f>BALANCING!AFS34</f>
        <v>3645</v>
      </c>
      <c r="AFT4" s="130"/>
      <c r="AFU4" s="52">
        <f>BALANCING!AFU34</f>
        <v>13744</v>
      </c>
      <c r="AFV4" s="52">
        <f>BALANCING!AFV34</f>
        <v>11980</v>
      </c>
      <c r="AFW4" s="52">
        <f>BALANCING!AFW34</f>
        <v>10350</v>
      </c>
      <c r="AFX4" s="52">
        <f>BALANCING!AFX34</f>
        <v>8717</v>
      </c>
      <c r="AFY4" s="52">
        <f>BALANCING!AFY34</f>
        <v>6945</v>
      </c>
      <c r="AFZ4" s="52">
        <f>BALANCING!AFZ34</f>
        <v>15210</v>
      </c>
      <c r="AGA4" s="52">
        <f>BALANCING!AGA34</f>
        <v>13411</v>
      </c>
      <c r="AGB4" s="52">
        <f>BALANCING!AGB34</f>
        <v>11990</v>
      </c>
      <c r="AGC4" s="52">
        <f>BALANCING!AGC34</f>
        <v>10133</v>
      </c>
      <c r="AGD4" s="52">
        <f>BALANCING!AGD34</f>
        <v>8341</v>
      </c>
      <c r="AGE4" s="52">
        <f>BALANCING!AGE34</f>
        <v>6789</v>
      </c>
      <c r="AGF4" s="52">
        <f>BALANCING!AGF34</f>
        <v>18264</v>
      </c>
      <c r="AGG4" s="52">
        <f>BALANCING!AGG34</f>
        <v>16684</v>
      </c>
      <c r="AGH4" s="52">
        <f>BALANCING!AGH34</f>
        <v>15170</v>
      </c>
      <c r="AGI4" s="52">
        <f>BALANCING!AGI34</f>
        <v>13500</v>
      </c>
      <c r="AGJ4" s="52">
        <f>BALANCING!AGJ34</f>
        <v>11980</v>
      </c>
      <c r="AGK4" s="52">
        <f>BALANCING!AGK34</f>
        <v>10094</v>
      </c>
      <c r="AGL4" s="52">
        <f>BALANCING!AGL34</f>
        <v>8376</v>
      </c>
      <c r="AGM4" s="52">
        <f>BALANCING!AGM34</f>
        <v>6711</v>
      </c>
      <c r="AGN4" s="52">
        <f>BALANCING!AGN34</f>
        <v>4863</v>
      </c>
      <c r="AGO4" s="52">
        <f>BALANCING!AGO34</f>
        <v>15819</v>
      </c>
      <c r="AGP4" s="52">
        <f>BALANCING!AGP34</f>
        <v>13788</v>
      </c>
      <c r="AGQ4" s="52">
        <f>BALANCING!AGQ34</f>
        <v>12273</v>
      </c>
      <c r="AGR4" s="52">
        <f>BALANCING!AGR34</f>
        <v>10661</v>
      </c>
      <c r="AGS4" s="52">
        <f>BALANCING!AGS34</f>
        <v>8752</v>
      </c>
      <c r="AGT4" s="52">
        <f>BALANCING!AGT34</f>
        <v>16019</v>
      </c>
      <c r="AGU4" s="52">
        <f>BALANCING!AGU34</f>
        <v>14221</v>
      </c>
      <c r="AGV4" s="52">
        <f>BALANCING!AGV34</f>
        <v>12137</v>
      </c>
      <c r="AGW4" s="52">
        <f>BALANCING!AGW34</f>
        <v>10077</v>
      </c>
      <c r="AGX4" s="52">
        <f>BALANCING!AGX34</f>
        <v>8364</v>
      </c>
      <c r="AGY4" s="139"/>
      <c r="AGZ4" s="52">
        <f>BALANCING!AGZ34</f>
        <v>6557</v>
      </c>
      <c r="AHA4" s="52">
        <f>BALANCING!AHA34</f>
        <v>4800</v>
      </c>
      <c r="AHB4" s="52">
        <f>BALANCING!AHB34</f>
        <v>16114</v>
      </c>
      <c r="AHC4" s="52">
        <f>BALANCING!AHC34</f>
        <v>14155</v>
      </c>
      <c r="AHD4" s="52">
        <f>BALANCING!AHD34</f>
        <v>12037</v>
      </c>
      <c r="AHE4" s="52">
        <f>BALANCING!AHE34</f>
        <v>10122</v>
      </c>
      <c r="AHF4" s="52">
        <f>BALANCING!AHF34</f>
        <v>8400</v>
      </c>
      <c r="AHG4" s="52">
        <f>BALANCING!AHG34</f>
        <v>6547</v>
      </c>
      <c r="AHH4" s="52">
        <f>BALANCING!AHH34</f>
        <v>5009</v>
      </c>
      <c r="AHI4" s="52">
        <f>BALANCING!AHI34</f>
        <v>3180</v>
      </c>
      <c r="AHJ4" s="52">
        <f>BALANCING!AHJ34</f>
        <v>14077</v>
      </c>
      <c r="AHK4" s="52">
        <f>BALANCING!AHK34</f>
        <v>12037</v>
      </c>
      <c r="AHL4" s="52">
        <f>BALANCING!AHL34</f>
        <v>9944</v>
      </c>
      <c r="AHM4" s="52">
        <f>BALANCING!AHM34</f>
        <v>8188</v>
      </c>
      <c r="AHN4" s="52">
        <f>BALANCING!AHN34</f>
        <v>6400</v>
      </c>
      <c r="AHO4" s="52">
        <f>BALANCING!AHO34</f>
        <v>4680</v>
      </c>
      <c r="AHP4" s="52">
        <f>BALANCING!AHP34</f>
        <v>17000</v>
      </c>
      <c r="AHQ4" s="52">
        <f>BALANCING!AHQ34</f>
        <v>15000</v>
      </c>
      <c r="AHR4" s="52">
        <f>BALANCING!AHR34</f>
        <v>12888</v>
      </c>
      <c r="AHS4" s="52">
        <f>BALANCING!AHS34</f>
        <v>10946</v>
      </c>
      <c r="AHT4" s="52">
        <f>BALANCING!AHT34</f>
        <v>8960</v>
      </c>
      <c r="AHU4" s="52">
        <f>BALANCING!AHU34</f>
        <v>6845</v>
      </c>
      <c r="AHV4" s="52">
        <f>BALANCING!AHV34</f>
        <v>4514</v>
      </c>
      <c r="AHW4" s="52">
        <f>BALANCING!AHW34</f>
        <v>16090</v>
      </c>
      <c r="AHX4" s="52">
        <f>BALANCING!AHX34</f>
        <v>14411</v>
      </c>
      <c r="AHY4" s="52">
        <f>BALANCING!AHY34</f>
        <v>12717</v>
      </c>
      <c r="AHZ4" s="52">
        <f>BALANCING!AHZ34</f>
        <v>11200</v>
      </c>
      <c r="AIA4" s="52">
        <f>BALANCING!AIA34</f>
        <v>9844</v>
      </c>
      <c r="AIB4" s="52">
        <f>BALANCING!AIB34</f>
        <v>8400</v>
      </c>
      <c r="AIC4" s="52">
        <f>BALANCING!AIC34</f>
        <v>6700</v>
      </c>
      <c r="AID4" s="52">
        <f>BALANCING!AID34</f>
        <v>14600</v>
      </c>
      <c r="AIE4" s="130"/>
      <c r="AIF4" s="52">
        <f>BALANCING!AIF34</f>
        <v>13126</v>
      </c>
      <c r="AIG4" s="52">
        <f>BALANCING!AIG34</f>
        <v>11505</v>
      </c>
      <c r="AIH4" s="52">
        <f>BALANCING!AIH34</f>
        <v>9870</v>
      </c>
      <c r="AII4" s="52">
        <f>BALANCING!AII34</f>
        <v>8122</v>
      </c>
      <c r="AIJ4" s="52">
        <f>BALANCING!AIJ34</f>
        <v>6200</v>
      </c>
      <c r="AIK4" s="52">
        <f>BALANCING!AIK34</f>
        <v>14111</v>
      </c>
      <c r="AIL4" s="52">
        <f>BALANCING!AIL34</f>
        <v>12162</v>
      </c>
      <c r="AIM4" s="52">
        <f>BALANCING!AIM34</f>
        <v>10280</v>
      </c>
      <c r="AIN4" s="52">
        <f>BALANCING!AIN34</f>
        <v>17030</v>
      </c>
      <c r="AIO4" s="52">
        <f>BALANCING!AIO34</f>
        <v>14747</v>
      </c>
      <c r="AIP4" s="52">
        <f>BALANCING!AIP34</f>
        <v>12888</v>
      </c>
      <c r="AIQ4" s="52">
        <f>BALANCING!AIQ34</f>
        <v>11189</v>
      </c>
      <c r="AIR4" s="52">
        <f>BALANCING!AIR34</f>
        <v>9284</v>
      </c>
      <c r="AIS4" s="52">
        <f>BALANCING!AIS34</f>
        <v>7545</v>
      </c>
      <c r="AIT4" s="52">
        <f>BALANCING!AIT34</f>
        <v>6452</v>
      </c>
      <c r="AIU4" s="52">
        <f>BALANCING!AIU34</f>
        <v>4926</v>
      </c>
      <c r="AIV4" s="52">
        <f>BALANCING!AIV34</f>
        <v>4047</v>
      </c>
      <c r="AIW4" s="52">
        <f>BALANCING!AIW34</f>
        <v>3024</v>
      </c>
      <c r="AIX4" s="52">
        <f>BALANCING!AIX34</f>
        <v>6325</v>
      </c>
      <c r="AIY4" s="52">
        <f>BALANCING!AIY34</f>
        <v>4638</v>
      </c>
      <c r="AIZ4" s="52">
        <f>BALANCING!AIZ34</f>
        <v>2780</v>
      </c>
      <c r="AJA4" s="52">
        <f>BALANCING!AJA34</f>
        <v>12050</v>
      </c>
      <c r="AJB4" s="52">
        <f>BALANCING!AJB34</f>
        <v>10111</v>
      </c>
      <c r="AJC4" s="52">
        <f>BALANCING!AJC34</f>
        <v>8164</v>
      </c>
      <c r="AJD4" s="52">
        <f>BALANCING!AJD34</f>
        <v>11300</v>
      </c>
      <c r="AJE4" s="52">
        <f>BALANCING!AJE34</f>
        <v>9610</v>
      </c>
      <c r="AJF4" s="52">
        <f>BALANCING!AJF34</f>
        <v>7744</v>
      </c>
      <c r="AJG4" s="52">
        <f>BALANCING!AJG34</f>
        <v>6070</v>
      </c>
      <c r="AJH4" s="52">
        <f>BALANCING!AJH34</f>
        <v>4400</v>
      </c>
      <c r="AJI4" s="52">
        <f>BALANCING!AJI34</f>
        <v>12357</v>
      </c>
      <c r="AJJ4" s="52">
        <f>BALANCING!AJJ34</f>
        <v>10662</v>
      </c>
      <c r="AJK4" s="145"/>
      <c r="AJL4" s="52">
        <f>BALANCING!AJL34</f>
        <v>9200</v>
      </c>
      <c r="AJM4" s="52">
        <f>BALANCING!AJM34</f>
        <v>7575</v>
      </c>
      <c r="AJN4" s="52">
        <f>BALANCING!AJN34</f>
        <v>5557</v>
      </c>
      <c r="AJO4" s="52">
        <f>BALANCING!AJO34</f>
        <v>3910</v>
      </c>
      <c r="AJP4" s="52">
        <f>BALANCING!AJP34</f>
        <v>2256</v>
      </c>
      <c r="AJQ4" s="52">
        <f>BALANCING!AJQ34</f>
        <v>9736</v>
      </c>
      <c r="AJR4" s="52">
        <f>BALANCING!AJR34</f>
        <v>15554</v>
      </c>
      <c r="AJS4" s="52">
        <f>BALANCING!AJS34</f>
        <v>13852</v>
      </c>
      <c r="AJT4" s="52">
        <f>BALANCING!AJT34</f>
        <v>11980</v>
      </c>
      <c r="AJU4" s="52">
        <f>BALANCING!AJU34</f>
        <v>10228</v>
      </c>
      <c r="AJV4" s="52">
        <f>BALANCING!AJV34</f>
        <v>8600</v>
      </c>
      <c r="AJW4" s="52">
        <f>BALANCING!AJW34</f>
        <v>6845</v>
      </c>
      <c r="AJX4" s="52">
        <f>BALANCING!AJX34</f>
        <v>4907</v>
      </c>
      <c r="AJY4" s="52">
        <f>BALANCING!AJY34</f>
        <v>15147</v>
      </c>
      <c r="AJZ4" s="52">
        <f>BALANCING!AJZ34</f>
        <v>13500</v>
      </c>
      <c r="AKA4" s="52">
        <f>BALANCING!AKA34</f>
        <v>11961</v>
      </c>
      <c r="AKB4" s="52">
        <f>BALANCING!AKB34</f>
        <v>10178</v>
      </c>
      <c r="AKC4" s="52">
        <f>BALANCING!AKC34</f>
        <v>8566</v>
      </c>
      <c r="AKD4" s="52">
        <f>BALANCING!AKD34</f>
        <v>15063</v>
      </c>
      <c r="AKE4" s="52">
        <f>BALANCING!AKE34</f>
        <v>13644</v>
      </c>
      <c r="AKF4" s="52">
        <f>BALANCING!AKF34</f>
        <v>11900</v>
      </c>
      <c r="AKG4" s="52">
        <f>BALANCING!AKG34</f>
        <v>10555</v>
      </c>
      <c r="AKH4" s="52">
        <f>BALANCING!AKH34</f>
        <v>9000</v>
      </c>
      <c r="AKI4" s="52">
        <f>BALANCING!AKI34</f>
        <v>7462</v>
      </c>
      <c r="AKJ4" s="52">
        <f>BALANCING!AKJ34</f>
        <v>5877</v>
      </c>
      <c r="AKK4" s="52">
        <f>BALANCING!AKK34</f>
        <v>4389</v>
      </c>
      <c r="AKL4" s="52">
        <f>BALANCING!AKL34</f>
        <v>2952</v>
      </c>
      <c r="AKM4" s="52">
        <f>BALANCING!AKM34</f>
        <v>14488</v>
      </c>
      <c r="AKN4" s="151"/>
      <c r="AKO4" s="52">
        <f>BALANCING!AKO34</f>
        <v>12863</v>
      </c>
      <c r="AKP4" s="52">
        <f>BALANCING!AKP34</f>
        <v>11444</v>
      </c>
      <c r="AKQ4" s="52">
        <f>BALANCING!AKQ34</f>
        <v>9831</v>
      </c>
      <c r="AKR4" s="52">
        <f>BALANCING!AKR34</f>
        <v>8377</v>
      </c>
      <c r="AKS4" s="52">
        <f>BALANCING!AKS34</f>
        <v>6819</v>
      </c>
      <c r="AKT4" s="52">
        <f>BALANCING!AKT34</f>
        <v>16282</v>
      </c>
      <c r="AKU4" s="52">
        <f>BALANCING!AKU34</f>
        <v>14768</v>
      </c>
      <c r="AKV4" s="52">
        <f>BALANCING!AKV34</f>
        <v>13147</v>
      </c>
      <c r="AKW4" s="52">
        <f>BALANCING!AKW34</f>
        <v>11470</v>
      </c>
      <c r="AKX4" s="52">
        <f>BALANCING!AKX34</f>
        <v>9933</v>
      </c>
      <c r="AKY4" s="52">
        <f>BALANCING!AKY34</f>
        <v>8511</v>
      </c>
      <c r="AKZ4" s="52">
        <f>BALANCING!AKZ34</f>
        <v>6909</v>
      </c>
      <c r="ALA4" s="52">
        <f>BALANCING!ALA34</f>
        <v>15136</v>
      </c>
      <c r="ALB4" s="52">
        <f>BALANCING!ALB34</f>
        <v>13157</v>
      </c>
      <c r="ALC4" s="52">
        <f>BALANCING!ALC34</f>
        <v>11564</v>
      </c>
      <c r="ALD4" s="52">
        <f>BALANCING!ALD34</f>
        <v>9326</v>
      </c>
      <c r="ALE4" s="52">
        <f>BALANCING!ALE34</f>
        <v>7458</v>
      </c>
      <c r="ALF4" s="52">
        <f>BALANCING!ALF34</f>
        <v>5977</v>
      </c>
      <c r="ALG4" s="52">
        <f>BALANCING!ALG34</f>
        <v>4057</v>
      </c>
      <c r="ALH4" s="52">
        <f>BALANCING!ALH34</f>
        <v>15280</v>
      </c>
      <c r="ALI4" s="52">
        <f>BALANCING!ALI34</f>
        <v>13511</v>
      </c>
      <c r="ALJ4" s="52">
        <f>BALANCING!ALJ34</f>
        <v>12162</v>
      </c>
      <c r="ALK4" s="52">
        <f>BALANCING!ALK34</f>
        <v>10320</v>
      </c>
      <c r="ALL4" s="52">
        <f>BALANCING!ALL34</f>
        <v>8511</v>
      </c>
      <c r="ALM4" s="52">
        <f>BALANCING!ALM34</f>
        <v>6611</v>
      </c>
      <c r="ALN4" s="52">
        <f>BALANCING!ALN34</f>
        <v>12666</v>
      </c>
      <c r="ALO4" s="52">
        <f>BALANCING!ALO34</f>
        <v>10722</v>
      </c>
      <c r="ALP4" s="52">
        <f>BALANCING!ALP34</f>
        <v>16047</v>
      </c>
      <c r="ALQ4" s="52">
        <f>BALANCING!ALQ34</f>
        <v>13633</v>
      </c>
      <c r="ALR4" s="52">
        <f>BALANCING!ALR34</f>
        <v>11287</v>
      </c>
      <c r="ALS4" s="52">
        <f>BALANCING!ALS34</f>
        <v>9560</v>
      </c>
      <c r="ALT4" s="130"/>
      <c r="ALU4" s="52">
        <f>BALANCING!ALU34</f>
        <v>7189</v>
      </c>
      <c r="ALV4" s="52">
        <f>BALANCING!ALV34</f>
        <v>12855</v>
      </c>
      <c r="ALW4" s="52">
        <f>BALANCING!ALW34</f>
        <v>15857</v>
      </c>
      <c r="ALX4" s="52">
        <f>BALANCING!ALX34</f>
        <v>13911</v>
      </c>
      <c r="ALY4" s="52">
        <f>BALANCING!ALY34</f>
        <v>12705</v>
      </c>
      <c r="ALZ4" s="52">
        <f>BALANCING!ALZ34</f>
        <v>11423</v>
      </c>
      <c r="AMA4" s="52">
        <f>BALANCING!AMA34</f>
        <v>9284</v>
      </c>
      <c r="AMB4" s="52">
        <f>BALANCING!AMB34</f>
        <v>7305</v>
      </c>
      <c r="AMC4" s="52">
        <f>BALANCING!AMC34</f>
        <v>5118</v>
      </c>
      <c r="AMD4" s="52">
        <f>BALANCING!AMD34</f>
        <v>2980</v>
      </c>
      <c r="AME4" s="52">
        <f>BALANCING!AME34</f>
        <v>812</v>
      </c>
      <c r="AMF4" s="52">
        <f>BALANCING!AMF34</f>
        <v>8455</v>
      </c>
      <c r="AMG4" s="52">
        <f>BALANCING!AMG34</f>
        <v>6150</v>
      </c>
      <c r="AMH4" s="52">
        <f>BALANCING!AMH34</f>
        <v>12633</v>
      </c>
      <c r="AMI4" s="52">
        <f>BALANCING!AMI34</f>
        <v>10853</v>
      </c>
      <c r="AMJ4" s="52">
        <f>BALANCING!AMJ34</f>
        <v>9177</v>
      </c>
      <c r="AMK4" s="52">
        <f>BALANCING!AMK34</f>
        <v>15178</v>
      </c>
      <c r="AML4" s="52">
        <f>BALANCING!AML34</f>
        <v>12900</v>
      </c>
      <c r="AMM4" s="52">
        <f>BALANCING!AMM34</f>
        <v>10711</v>
      </c>
      <c r="AMN4" s="52">
        <f>BALANCING!AMN34</f>
        <v>6828</v>
      </c>
      <c r="AMO4" s="52">
        <f>BALANCING!AMO34</f>
        <v>10813</v>
      </c>
      <c r="AMP4" s="52">
        <f>BALANCING!AMP34</f>
        <v>7562</v>
      </c>
      <c r="AMQ4" s="52">
        <f>BALANCING!AMQ34</f>
        <v>3152</v>
      </c>
      <c r="AMR4" s="52">
        <f>BALANCING!AMR34</f>
        <v>11375</v>
      </c>
      <c r="AMS4" s="52">
        <f>BALANCING!AMS34</f>
        <v>6568</v>
      </c>
      <c r="AMT4" s="52">
        <f>BALANCING!AMT34</f>
        <v>2336</v>
      </c>
      <c r="AMU4" s="52">
        <f>BALANCING!AMU34</f>
        <v>411</v>
      </c>
      <c r="AMV4" s="52">
        <f>BALANCING!AMV34</f>
        <v>6700</v>
      </c>
      <c r="AMW4" s="52">
        <f>BALANCING!AMW34</f>
        <v>2657</v>
      </c>
      <c r="AMX4" s="52">
        <f>BALANCING!AMX34</f>
        <v>9400</v>
      </c>
      <c r="AMY4" s="130"/>
      <c r="AMZ4" s="52">
        <f>BALANCING!AMZ34</f>
        <v>15572</v>
      </c>
      <c r="ANA4" s="52">
        <f>BALANCING!ANA34</f>
        <v>13477</v>
      </c>
      <c r="ANB4" s="52">
        <f>BALANCING!ANB34</f>
        <v>11766</v>
      </c>
      <c r="ANC4" s="52">
        <f>BALANCING!ANC34</f>
        <v>9546</v>
      </c>
      <c r="AND4" s="52">
        <f>BALANCING!AND34</f>
        <v>15480</v>
      </c>
      <c r="ANE4" s="52">
        <f>BALANCING!ANE34</f>
        <v>13180</v>
      </c>
      <c r="ANF4" s="52">
        <f>BALANCING!ANF34</f>
        <v>11052</v>
      </c>
      <c r="ANG4" s="52">
        <f>BALANCING!ANG34</f>
        <v>15980</v>
      </c>
      <c r="ANH4" s="52">
        <f>BALANCING!ANH34</f>
        <v>13711</v>
      </c>
      <c r="ANI4" s="52">
        <f>BALANCING!ANI34</f>
        <v>11910</v>
      </c>
      <c r="ANJ4" s="52">
        <f>BALANCING!ANJ34</f>
        <v>9866</v>
      </c>
      <c r="ANK4" s="52">
        <f>BALANCING!ANK34</f>
        <v>7950</v>
      </c>
      <c r="ANL4" s="52">
        <f>BALANCING!ANL34</f>
        <v>5911</v>
      </c>
      <c r="ANM4" s="52">
        <f>BALANCING!ANM34</f>
        <v>10435</v>
      </c>
      <c r="ANN4" s="52">
        <f>BALANCING!ANN34</f>
        <v>8282</v>
      </c>
      <c r="ANO4" s="52">
        <f>BALANCING!ANO34</f>
        <v>6688</v>
      </c>
      <c r="ANP4" s="52">
        <f>BALANCING!ANP34</f>
        <v>10557</v>
      </c>
      <c r="ANQ4" s="52">
        <f>BALANCING!ANQ34</f>
        <v>9190</v>
      </c>
      <c r="ANR4" s="52">
        <f>BALANCING!ANR34</f>
        <v>7860</v>
      </c>
      <c r="ANS4" s="52">
        <f>BALANCING!ANS34</f>
        <v>16388</v>
      </c>
      <c r="ANT4" s="52">
        <f>BALANCING!ANT34</f>
        <v>15310</v>
      </c>
      <c r="ANU4" s="52">
        <f>BALANCING!ANU34</f>
        <v>13566</v>
      </c>
      <c r="ANV4" s="52">
        <f>BALANCING!ANV34</f>
        <v>12263</v>
      </c>
      <c r="ANW4" s="52">
        <f>BALANCING!ANW34</f>
        <v>10744</v>
      </c>
      <c r="ANX4" s="52">
        <f>BALANCING!ANX34</f>
        <v>9221</v>
      </c>
      <c r="ANY4" s="52">
        <f>BALANCING!ANY34</f>
        <v>7270</v>
      </c>
      <c r="ANZ4" s="52">
        <f>BALANCING!ANZ34</f>
        <v>14877</v>
      </c>
      <c r="AOA4" s="52">
        <f>BALANCING!AOA34</f>
        <v>13600</v>
      </c>
      <c r="AOB4" s="52">
        <f>BALANCING!AOB34</f>
        <v>12100</v>
      </c>
      <c r="AOC4" s="52">
        <f>BALANCING!AOC34</f>
        <v>17160</v>
      </c>
    </row>
    <row r="5" spans="1:1069" x14ac:dyDescent="0.2">
      <c r="A5" s="160"/>
      <c r="B5" t="s">
        <v>1505</v>
      </c>
      <c r="C5" s="52">
        <f>BALANCING!C5-100</f>
        <v>4650</v>
      </c>
      <c r="D5" s="52">
        <f>BALANCING!D5-100</f>
        <v>4650</v>
      </c>
      <c r="E5" s="52">
        <f>BALANCING!E5-100</f>
        <v>4650</v>
      </c>
      <c r="F5" s="52">
        <f>BALANCING!F5-100</f>
        <v>4650</v>
      </c>
      <c r="G5" s="52">
        <f>BALANCING!G5-100</f>
        <v>4650</v>
      </c>
      <c r="H5" s="52">
        <f>BALANCING!H5-100</f>
        <v>4650</v>
      </c>
      <c r="I5" s="52">
        <f>BALANCING!I5-100</f>
        <v>4650</v>
      </c>
      <c r="J5" s="52">
        <f>BALANCING!J5-100</f>
        <v>4790</v>
      </c>
      <c r="K5" s="52">
        <f>BALANCING!K5-100</f>
        <v>4790</v>
      </c>
      <c r="L5" s="52">
        <f>BALANCING!L5-100</f>
        <v>4790</v>
      </c>
      <c r="M5" s="52">
        <f>BALANCING!M5-100</f>
        <v>4790</v>
      </c>
      <c r="N5" s="52">
        <f>BALANCING!N5-100</f>
        <v>4790</v>
      </c>
      <c r="O5" s="52">
        <f>BALANCING!O5-100</f>
        <v>4790</v>
      </c>
      <c r="P5" s="52">
        <f>BALANCING!P5-100</f>
        <v>4790</v>
      </c>
      <c r="Q5" s="52">
        <f>BALANCING!Q5-100</f>
        <v>4790</v>
      </c>
      <c r="R5" s="52">
        <f>BALANCING!R5-100</f>
        <v>4790</v>
      </c>
      <c r="S5" s="52">
        <f>BALANCING!S5-100</f>
        <v>4790</v>
      </c>
      <c r="T5" s="52">
        <f>BALANCING!T5-100</f>
        <v>4790</v>
      </c>
      <c r="U5" s="52">
        <f>BALANCING!U5-100</f>
        <v>4830</v>
      </c>
      <c r="V5" s="52">
        <f>BALANCING!V5-100</f>
        <v>4830</v>
      </c>
      <c r="W5" s="52">
        <f>BALANCING!W5-100</f>
        <v>4830</v>
      </c>
      <c r="X5" s="52">
        <f>BALANCING!X5-100</f>
        <v>4830</v>
      </c>
      <c r="Y5" s="52">
        <f>BALANCING!Y5-100</f>
        <v>4870</v>
      </c>
      <c r="Z5" s="52">
        <f>BALANCING!Z5-100</f>
        <v>4870</v>
      </c>
      <c r="AA5" s="52">
        <f>BALANCING!AA5-100</f>
        <v>4870</v>
      </c>
      <c r="AB5" s="52">
        <f>BALANCING!AB5-100</f>
        <v>4870</v>
      </c>
      <c r="AC5" s="52">
        <f>BALANCING!AC5-100</f>
        <v>4870</v>
      </c>
      <c r="AD5" s="52">
        <f>BALANCING!AD5-100</f>
        <v>4870</v>
      </c>
      <c r="AE5" s="52">
        <f>BALANCING!AE5-100</f>
        <v>4870</v>
      </c>
      <c r="AF5" s="52">
        <f>BALANCING!AF5-100</f>
        <v>5000</v>
      </c>
      <c r="AG5" s="52">
        <f>BALANCING!AG5-100</f>
        <v>5000</v>
      </c>
      <c r="AH5" s="98"/>
      <c r="AI5" s="52">
        <f>BALANCING!AI5-100</f>
        <v>5000</v>
      </c>
      <c r="AJ5" s="52">
        <f>BALANCING!AJ5-100</f>
        <v>5000</v>
      </c>
      <c r="AK5" s="52">
        <f>BALANCING!AK5-100</f>
        <v>5000</v>
      </c>
      <c r="AL5" s="52">
        <f>BALANCING!AL5-100</f>
        <v>5000</v>
      </c>
      <c r="AM5" s="52">
        <f>BALANCING!AM5-100</f>
        <v>5090</v>
      </c>
      <c r="AN5" s="52">
        <f>BALANCING!AN5-100</f>
        <v>5090</v>
      </c>
      <c r="AO5" s="52">
        <f>BALANCING!AO5-100</f>
        <v>5090</v>
      </c>
      <c r="AP5" s="52">
        <f>BALANCING!AP5-100</f>
        <v>5090</v>
      </c>
      <c r="AQ5" s="52">
        <f>BALANCING!AQ5-100</f>
        <v>5190</v>
      </c>
      <c r="AR5" s="52">
        <f>BALANCING!AR5-100</f>
        <v>5190</v>
      </c>
      <c r="AS5" s="52">
        <f>BALANCING!AS5-100</f>
        <v>5190</v>
      </c>
      <c r="AT5" s="52">
        <f>BALANCING!AT5-100</f>
        <v>5250</v>
      </c>
      <c r="AU5" s="52">
        <f>BALANCING!AU5-100</f>
        <v>5250</v>
      </c>
      <c r="AV5" s="52">
        <f>BALANCING!AV5-100</f>
        <v>5250</v>
      </c>
      <c r="AW5" s="52">
        <f>BALANCING!AW5-100</f>
        <v>5250</v>
      </c>
      <c r="AX5" s="52">
        <f>BALANCING!AX5-100</f>
        <v>5250</v>
      </c>
      <c r="AY5" s="52">
        <f>BALANCING!AY5-100</f>
        <v>5250</v>
      </c>
      <c r="AZ5" s="52">
        <f>BALANCING!AZ5-100</f>
        <v>5250</v>
      </c>
      <c r="BA5" s="52">
        <f>BALANCING!BA5-100</f>
        <v>5250</v>
      </c>
      <c r="BB5" s="52">
        <f>BALANCING!BB5-100</f>
        <v>5250</v>
      </c>
      <c r="BC5" s="52">
        <f>BALANCING!BC5-100</f>
        <v>5250</v>
      </c>
      <c r="BD5" s="52">
        <f>BALANCING!BD5-100</f>
        <v>5250</v>
      </c>
      <c r="BE5" s="52">
        <f>BALANCING!BE5-100</f>
        <v>5250</v>
      </c>
      <c r="BF5" s="52">
        <f>BALANCING!BF5-100</f>
        <v>5250</v>
      </c>
      <c r="BG5" s="52">
        <f>BALANCING!BG5-100</f>
        <v>5250</v>
      </c>
      <c r="BH5" s="52">
        <f>BALANCING!BH5-100</f>
        <v>5290</v>
      </c>
      <c r="BI5" s="52">
        <f>BALANCING!BI5-100</f>
        <v>5290</v>
      </c>
      <c r="BJ5" s="52">
        <f>BALANCING!BJ5-100</f>
        <v>5290</v>
      </c>
      <c r="BK5" s="52">
        <f>BALANCING!BK5-100</f>
        <v>5290</v>
      </c>
      <c r="BL5" s="52">
        <f>BALANCING!BL5-100</f>
        <v>5290</v>
      </c>
      <c r="BM5" s="105"/>
      <c r="BN5" s="52">
        <f>BALANCING!BN5-100</f>
        <v>5290</v>
      </c>
      <c r="BO5" s="52">
        <f>BALANCING!BO5-100</f>
        <v>5290</v>
      </c>
      <c r="BP5" s="52">
        <f>BALANCING!BP5-100</f>
        <v>5290</v>
      </c>
      <c r="BQ5" s="52">
        <f>BALANCING!BQ5-100</f>
        <v>5290</v>
      </c>
      <c r="BR5" s="52">
        <f>BALANCING!BR5-100</f>
        <v>5290</v>
      </c>
      <c r="BS5" s="52">
        <f>BALANCING!BS5-100</f>
        <v>5290</v>
      </c>
      <c r="BT5" s="52">
        <f>BALANCING!BT5-100</f>
        <v>5290</v>
      </c>
      <c r="BU5" s="52">
        <f>BALANCING!BU5-100</f>
        <v>5290</v>
      </c>
      <c r="BV5" s="52">
        <f>BALANCING!BV5-100</f>
        <v>5290</v>
      </c>
      <c r="BW5" s="52">
        <f>BALANCING!BW5-100</f>
        <v>5290</v>
      </c>
      <c r="BX5" s="52">
        <f>BALANCING!BX5-100</f>
        <v>5290</v>
      </c>
      <c r="BY5" s="52">
        <f>BALANCING!BY5-100</f>
        <v>5290</v>
      </c>
      <c r="BZ5" s="52">
        <f>BALANCING!BZ5-100</f>
        <v>5290</v>
      </c>
      <c r="CA5" s="52">
        <f>BALANCING!CA5-100</f>
        <v>5290</v>
      </c>
      <c r="CB5" s="52">
        <f>BALANCING!CB5-100</f>
        <v>5290</v>
      </c>
      <c r="CC5" s="52">
        <f>BALANCING!CC5-100</f>
        <v>5290</v>
      </c>
      <c r="CD5" s="52">
        <f>BALANCING!CD5-100</f>
        <v>5290</v>
      </c>
      <c r="CE5" s="52">
        <f>BALANCING!CE5-100</f>
        <v>5290</v>
      </c>
      <c r="CF5" s="52">
        <f>BALANCING!CF5-100</f>
        <v>5290</v>
      </c>
      <c r="CG5" s="52">
        <f>BALANCING!CG5-100</f>
        <v>5290</v>
      </c>
      <c r="CH5" s="52">
        <f>BALANCING!CH5-100</f>
        <v>5290</v>
      </c>
      <c r="CI5" s="52">
        <f>BALANCING!CI5-100</f>
        <v>5290</v>
      </c>
      <c r="CJ5" s="52">
        <f>BALANCING!CJ5-100</f>
        <v>5290</v>
      </c>
      <c r="CK5" s="52">
        <f>BALANCING!CK5-100</f>
        <v>5290</v>
      </c>
      <c r="CL5" s="52">
        <f>BALANCING!CL5-100</f>
        <v>5290</v>
      </c>
      <c r="CM5" s="52">
        <f>BALANCING!CM5-100</f>
        <v>5290</v>
      </c>
      <c r="CN5" s="52">
        <f>BALANCING!CN5-100</f>
        <v>5290</v>
      </c>
      <c r="CO5" s="52">
        <f>BALANCING!CO5-100</f>
        <v>5290</v>
      </c>
      <c r="CP5" s="52">
        <f>BALANCING!CP5-100</f>
        <v>5290</v>
      </c>
      <c r="CQ5" s="52">
        <f>BALANCING!CQ5-100</f>
        <v>5290</v>
      </c>
      <c r="CR5" s="52">
        <f>BALANCING!CR5-100</f>
        <v>5339</v>
      </c>
      <c r="CT5" s="52">
        <f>BALANCING!CT5-100</f>
        <v>5339</v>
      </c>
      <c r="CU5" s="52">
        <f>BALANCING!CU5-100</f>
        <v>5339</v>
      </c>
      <c r="CV5" s="52">
        <f>BALANCING!CV5-100</f>
        <v>5339</v>
      </c>
      <c r="CW5" s="52">
        <f>BALANCING!CW5-100</f>
        <v>5339</v>
      </c>
      <c r="CX5" s="52">
        <f>BALANCING!CX5-100</f>
        <v>5339</v>
      </c>
      <c r="CY5" s="52">
        <f>BALANCING!CY5-100</f>
        <v>5339</v>
      </c>
      <c r="CZ5" s="52">
        <f>BALANCING!CZ5-100</f>
        <v>5339</v>
      </c>
      <c r="DA5" s="52">
        <f>BALANCING!DA5-100</f>
        <v>5339</v>
      </c>
      <c r="DB5" s="52">
        <f>BALANCING!DB5-100</f>
        <v>5339</v>
      </c>
      <c r="DC5" s="52">
        <f>BALANCING!DC5-100</f>
        <v>5339</v>
      </c>
      <c r="DD5" s="52">
        <f>BALANCING!DD5-100</f>
        <v>5339</v>
      </c>
      <c r="DE5" s="52">
        <f>BALANCING!DE5-100</f>
        <v>5339</v>
      </c>
      <c r="DF5" s="52">
        <f>BALANCING!DF5-100</f>
        <v>5339</v>
      </c>
      <c r="DG5" s="52">
        <f>BALANCING!DG5-100</f>
        <v>5339</v>
      </c>
      <c r="DH5" s="52">
        <f>BALANCING!DH5-100</f>
        <v>5450</v>
      </c>
      <c r="DI5" s="52">
        <f>BALANCING!DI5-100</f>
        <v>5450</v>
      </c>
      <c r="DJ5" s="52">
        <f>BALANCING!DJ5-100</f>
        <v>5450</v>
      </c>
      <c r="DK5" s="52">
        <f>BALANCING!DK5-100</f>
        <v>5450</v>
      </c>
      <c r="DL5" s="52">
        <f>BALANCING!DL5-100</f>
        <v>5450</v>
      </c>
      <c r="DM5" s="52">
        <f>BALANCING!DM5-100</f>
        <v>5450</v>
      </c>
      <c r="DN5" s="52">
        <f>BALANCING!DN5-100</f>
        <v>5450</v>
      </c>
      <c r="DO5" s="52">
        <f>BALANCING!DO5-100</f>
        <v>5450</v>
      </c>
      <c r="DP5" s="52">
        <f>BALANCING!DP5-100</f>
        <v>5450</v>
      </c>
      <c r="DQ5" s="52">
        <f>BALANCING!DQ5-100</f>
        <v>5450</v>
      </c>
      <c r="DR5" s="52">
        <f>BALANCING!DR5-100</f>
        <v>5450</v>
      </c>
      <c r="DS5" s="52">
        <f>BALANCING!DS5-100</f>
        <v>5450</v>
      </c>
      <c r="DT5" s="52">
        <f>BALANCING!DT5-100</f>
        <v>5450</v>
      </c>
      <c r="DU5" s="52">
        <f>BALANCING!DU5-100</f>
        <v>5450</v>
      </c>
      <c r="DV5" s="52">
        <f>BALANCING!DV5-100</f>
        <v>5450</v>
      </c>
      <c r="DW5" s="52">
        <f>BALANCING!DW5-100</f>
        <v>5450</v>
      </c>
      <c r="DX5" s="117"/>
      <c r="DY5" s="52">
        <f>BALANCING!DY5-100</f>
        <v>5450</v>
      </c>
      <c r="DZ5" s="52">
        <f>BALANCING!DZ5-100</f>
        <v>5450</v>
      </c>
      <c r="EA5" s="52">
        <f>BALANCING!EA5-100</f>
        <v>5450</v>
      </c>
      <c r="EB5" s="52">
        <f>BALANCING!EB5-100</f>
        <v>5450</v>
      </c>
      <c r="EC5" s="52">
        <f>BALANCING!EC5-100</f>
        <v>5450</v>
      </c>
      <c r="ED5" s="52">
        <f>BALANCING!ED5-100</f>
        <v>5450</v>
      </c>
      <c r="EE5" s="52">
        <f>BALANCING!EE5-100</f>
        <v>5450</v>
      </c>
      <c r="EF5" s="52">
        <f>BALANCING!EF5-100</f>
        <v>5450</v>
      </c>
      <c r="EG5" s="52">
        <f>BALANCING!EG5-100</f>
        <v>5290</v>
      </c>
      <c r="EH5" s="52">
        <f>BALANCING!EH5-100</f>
        <v>5290</v>
      </c>
      <c r="EI5" s="52">
        <f>BALANCING!EI5-100</f>
        <v>5290</v>
      </c>
      <c r="EJ5" s="52">
        <f>BALANCING!EJ5-100</f>
        <v>5290</v>
      </c>
      <c r="EK5" s="52">
        <f>BALANCING!EK5-100</f>
        <v>5290</v>
      </c>
      <c r="EL5" s="52">
        <f>BALANCING!EL5-100</f>
        <v>5290</v>
      </c>
      <c r="EM5" s="52">
        <f>BALANCING!EM5-100</f>
        <v>5290</v>
      </c>
      <c r="EN5" s="52">
        <f>BALANCING!EN5-100</f>
        <v>5290</v>
      </c>
      <c r="EO5" s="52">
        <f>BALANCING!EO5-100</f>
        <v>5290</v>
      </c>
      <c r="EP5" s="52">
        <f>BALANCING!EP5-100</f>
        <v>5290</v>
      </c>
      <c r="EQ5" s="52">
        <f>BALANCING!EQ5-100</f>
        <v>5290</v>
      </c>
      <c r="ER5" s="52">
        <f>BALANCING!ER5-100</f>
        <v>5290</v>
      </c>
      <c r="ES5" s="52">
        <f>BALANCING!ES5-100</f>
        <v>5290</v>
      </c>
      <c r="ET5" s="52">
        <f>BALANCING!ET5-100</f>
        <v>5290</v>
      </c>
      <c r="EU5" s="52">
        <f>BALANCING!EU5-100</f>
        <v>5290</v>
      </c>
      <c r="EV5" s="52">
        <f>BALANCING!EV5-100</f>
        <v>5290</v>
      </c>
      <c r="EW5" s="52">
        <f>BALANCING!EW5-100</f>
        <v>5290</v>
      </c>
      <c r="EX5" s="52">
        <f>BALANCING!EX5-100</f>
        <v>5290</v>
      </c>
      <c r="EY5" s="52">
        <f>BALANCING!EY5-100</f>
        <v>5290</v>
      </c>
      <c r="EZ5" s="52">
        <f>BALANCING!EZ5-100</f>
        <v>5290</v>
      </c>
      <c r="FA5" s="52">
        <f>BALANCING!FA5-100</f>
        <v>5290</v>
      </c>
      <c r="FB5" s="52">
        <f>BALANCING!FB5-100</f>
        <v>5290</v>
      </c>
      <c r="FC5" s="52">
        <f>BALANCING!FC5-100</f>
        <v>5290</v>
      </c>
      <c r="FD5" s="126"/>
      <c r="FE5" s="52">
        <f>BALANCING!FE5-100</f>
        <v>5290</v>
      </c>
      <c r="FF5" s="52">
        <f>BALANCING!FF5-100</f>
        <v>5290</v>
      </c>
      <c r="FG5" s="52">
        <f>BALANCING!FG5-100</f>
        <v>5290</v>
      </c>
      <c r="FH5" s="52">
        <f>BALANCING!FH5-100</f>
        <v>5290</v>
      </c>
      <c r="FI5" s="52">
        <f>BALANCING!FI5-100</f>
        <v>5290</v>
      </c>
      <c r="FJ5" s="52">
        <f>BALANCING!FJ5-100</f>
        <v>5290</v>
      </c>
      <c r="FK5" s="52">
        <f>BALANCING!FK5-100</f>
        <v>5290</v>
      </c>
      <c r="FL5" s="52">
        <f>BALANCING!FL5-100</f>
        <v>5290</v>
      </c>
      <c r="FM5" s="52">
        <f>BALANCING!FM5-100</f>
        <v>5290</v>
      </c>
      <c r="FN5" s="52">
        <f>BALANCING!FN5-100</f>
        <v>5290</v>
      </c>
      <c r="FO5" s="52">
        <f>BALANCING!FO5-100</f>
        <v>5290</v>
      </c>
      <c r="FP5" s="52">
        <f>BALANCING!FP5-100</f>
        <v>5290</v>
      </c>
      <c r="FQ5" s="52">
        <f>BALANCING!FQ5-100</f>
        <v>5290</v>
      </c>
      <c r="FR5" s="52">
        <f>BALANCING!FR5-100</f>
        <v>5290</v>
      </c>
      <c r="FS5" s="52">
        <f>BALANCING!FS5-100</f>
        <v>5290</v>
      </c>
      <c r="FT5" s="52">
        <f>BALANCING!FT5-100</f>
        <v>5290</v>
      </c>
      <c r="FU5" s="52">
        <f>BALANCING!FU5-100</f>
        <v>5290</v>
      </c>
      <c r="FV5" s="52">
        <f>BALANCING!FV5-100</f>
        <v>5290</v>
      </c>
      <c r="FW5" s="52">
        <f>BALANCING!FW5-100</f>
        <v>5290</v>
      </c>
      <c r="FX5" s="52">
        <f>BALANCING!FX5-100</f>
        <v>5290</v>
      </c>
      <c r="FY5" s="52">
        <f>BALANCING!FY5-100</f>
        <v>5290</v>
      </c>
      <c r="FZ5" s="52">
        <f>BALANCING!FZ5-100</f>
        <v>5290</v>
      </c>
      <c r="GA5" s="52">
        <f>BALANCING!GA5-100</f>
        <v>5290</v>
      </c>
      <c r="GB5" s="52">
        <f>BALANCING!GB5-100</f>
        <v>5290</v>
      </c>
      <c r="GC5" s="52">
        <f>BALANCING!GC5-100</f>
        <v>5290</v>
      </c>
      <c r="GD5" s="52">
        <f>BALANCING!GD5-100</f>
        <v>5290</v>
      </c>
      <c r="GE5" s="52">
        <f>BALANCING!GE5-100</f>
        <v>5290</v>
      </c>
      <c r="GF5" s="52">
        <f>BALANCING!GF5-100</f>
        <v>5290</v>
      </c>
      <c r="GG5" s="52">
        <f>BALANCING!GG5-100</f>
        <v>5290</v>
      </c>
      <c r="GH5" s="52">
        <f>BALANCING!GH5-100</f>
        <v>5290</v>
      </c>
      <c r="GI5" s="52">
        <f>BALANCING!GI5-100</f>
        <v>5190</v>
      </c>
      <c r="GJ5" s="130"/>
      <c r="GK5" s="52">
        <f>BALANCING!GK5-100</f>
        <v>5190</v>
      </c>
      <c r="GL5" s="52">
        <f>BALANCING!GL5-100</f>
        <v>5190</v>
      </c>
      <c r="GM5" s="52">
        <f>BALANCING!GM5-100</f>
        <v>5190</v>
      </c>
      <c r="GN5" s="52">
        <f>BALANCING!GN5-100</f>
        <v>5190</v>
      </c>
      <c r="GO5" s="52">
        <f>BALANCING!GO5-100</f>
        <v>5190</v>
      </c>
      <c r="GP5" s="52">
        <f>BALANCING!GP5-100</f>
        <v>5190</v>
      </c>
      <c r="GQ5" s="52">
        <f>BALANCING!GQ5-100</f>
        <v>5190</v>
      </c>
      <c r="GR5" s="52">
        <f>BALANCING!GR5-100</f>
        <v>5190</v>
      </c>
      <c r="GS5" s="52">
        <f>BALANCING!GS5-100</f>
        <v>5190</v>
      </c>
      <c r="GT5" s="52">
        <f>BALANCING!GT5-100</f>
        <v>5190</v>
      </c>
      <c r="GU5" s="52">
        <f>BALANCING!GU5-100</f>
        <v>5190</v>
      </c>
      <c r="GV5" s="52">
        <f>BALANCING!GV5-100</f>
        <v>5190</v>
      </c>
      <c r="GW5" s="52">
        <f>BALANCING!GW5-100</f>
        <v>5190</v>
      </c>
      <c r="GX5" s="52">
        <f>BALANCING!GX5-100</f>
        <v>5190</v>
      </c>
      <c r="GY5" s="52">
        <f>BALANCING!GY5-100</f>
        <v>5190</v>
      </c>
      <c r="GZ5" s="52">
        <f>BALANCING!GZ5-100</f>
        <v>5190</v>
      </c>
      <c r="HA5" s="52">
        <f>BALANCING!HA5-100</f>
        <v>5190</v>
      </c>
      <c r="HB5" s="52">
        <f>BALANCING!HB5-100</f>
        <v>5190</v>
      </c>
      <c r="HC5" s="52">
        <f>BALANCING!HC5-100</f>
        <v>5190</v>
      </c>
      <c r="HD5" s="52">
        <f>BALANCING!HD5-100</f>
        <v>5190</v>
      </c>
      <c r="HE5" s="52">
        <f>BALANCING!HE5-100</f>
        <v>5190</v>
      </c>
      <c r="HF5" s="52">
        <f>BALANCING!HF5-100</f>
        <v>5190</v>
      </c>
      <c r="HG5" s="52">
        <f>BALANCING!HG5-100</f>
        <v>5190</v>
      </c>
      <c r="HH5" s="52">
        <f>BALANCING!HH5-100</f>
        <v>5190</v>
      </c>
      <c r="HI5" s="52">
        <f>BALANCING!HI5-100</f>
        <v>5190</v>
      </c>
      <c r="HJ5" s="52">
        <f>BALANCING!HJ5-100</f>
        <v>5190</v>
      </c>
      <c r="HK5" s="52">
        <f>BALANCING!HK5-100</f>
        <v>5190</v>
      </c>
      <c r="HL5" s="52">
        <f>BALANCING!HL5-100</f>
        <v>5190</v>
      </c>
      <c r="HM5" s="52">
        <f>BALANCING!HM5-100</f>
        <v>5190</v>
      </c>
      <c r="HN5" s="130"/>
      <c r="HO5" s="52">
        <f>BALANCING!HO5-100</f>
        <v>5190</v>
      </c>
      <c r="HP5" s="52">
        <f>BALANCING!HP5-100</f>
        <v>5190</v>
      </c>
      <c r="HQ5" s="52">
        <f>BALANCING!HQ5-100</f>
        <v>5190</v>
      </c>
      <c r="HR5" s="52">
        <f>BALANCING!HR5-100</f>
        <v>5190</v>
      </c>
      <c r="HS5" s="52">
        <f>BALANCING!HS5-100</f>
        <v>5190</v>
      </c>
      <c r="HT5" s="52">
        <f>BALANCING!HT5-100</f>
        <v>5190</v>
      </c>
      <c r="HU5" s="52">
        <f>BALANCING!HU5-100</f>
        <v>5190</v>
      </c>
      <c r="HV5" s="52">
        <f>BALANCING!HV5-100</f>
        <v>5190</v>
      </c>
      <c r="HW5" s="52">
        <f>BALANCING!HW5-100</f>
        <v>5190</v>
      </c>
      <c r="HX5" s="52">
        <f>BALANCING!HX5-100</f>
        <v>5190</v>
      </c>
      <c r="HY5" s="52">
        <f>BALANCING!HY5-100</f>
        <v>5190</v>
      </c>
      <c r="HZ5" s="52">
        <f>BALANCING!HZ5-100</f>
        <v>5250</v>
      </c>
      <c r="IA5" s="52">
        <f>BALANCING!IA5-100</f>
        <v>5250</v>
      </c>
      <c r="IB5" s="52">
        <f>BALANCING!IB5-100</f>
        <v>5250</v>
      </c>
      <c r="IC5" s="52">
        <f>BALANCING!IC5-100</f>
        <v>5250</v>
      </c>
      <c r="ID5" s="52">
        <f>BALANCING!ID5-100</f>
        <v>5250</v>
      </c>
      <c r="IE5" s="52">
        <f>BALANCING!IE5-100</f>
        <v>5250</v>
      </c>
      <c r="IF5" s="52">
        <f>BALANCING!IF5-100</f>
        <v>5250</v>
      </c>
      <c r="IG5" s="52">
        <f>BALANCING!IG5-100</f>
        <v>5250</v>
      </c>
      <c r="IH5" s="52">
        <f>BALANCING!IH5-100</f>
        <v>5250</v>
      </c>
      <c r="II5" s="52">
        <f>BALANCING!II5-100</f>
        <v>5250</v>
      </c>
      <c r="IJ5" s="52">
        <f>BALANCING!IJ5-100</f>
        <v>5250</v>
      </c>
      <c r="IK5" s="52">
        <f>BALANCING!IK5-100</f>
        <v>5250</v>
      </c>
      <c r="IL5" s="52">
        <f>BALANCING!IL5-100</f>
        <v>5250</v>
      </c>
      <c r="IM5" s="52">
        <f>BALANCING!IM5-100</f>
        <v>5250</v>
      </c>
      <c r="IN5" s="52">
        <f>BALANCING!IN5-100</f>
        <v>5250</v>
      </c>
      <c r="IO5" s="52">
        <f>BALANCING!IO5-100</f>
        <v>5250</v>
      </c>
      <c r="IP5" s="52">
        <f>BALANCING!IP5-100</f>
        <v>5250</v>
      </c>
      <c r="IQ5" s="52">
        <f>BALANCING!IQ5-100</f>
        <v>5250</v>
      </c>
      <c r="IR5" s="52">
        <f>BALANCING!IR5-100</f>
        <v>5250</v>
      </c>
      <c r="IS5" s="52">
        <f>BALANCING!IS5-100</f>
        <v>5250</v>
      </c>
      <c r="IT5" s="130"/>
      <c r="IU5" s="52">
        <f>BALANCING!IU5-100</f>
        <v>5250</v>
      </c>
      <c r="IV5" s="52">
        <f>BALANCING!IV5-100</f>
        <v>5250</v>
      </c>
      <c r="IW5" s="52">
        <f>BALANCING!IW5-100</f>
        <v>5250</v>
      </c>
      <c r="IX5" s="52">
        <f>BALANCING!IX5-100</f>
        <v>5250</v>
      </c>
      <c r="IY5" s="52">
        <f>BALANCING!IY5-100</f>
        <v>5250</v>
      </c>
      <c r="IZ5" s="52">
        <f>BALANCING!IZ5-100</f>
        <v>5250</v>
      </c>
      <c r="JA5" s="52">
        <f>BALANCING!JA5-100</f>
        <v>5250</v>
      </c>
      <c r="JB5" s="52">
        <f>BALANCING!JB5-100</f>
        <v>5250</v>
      </c>
      <c r="JC5" s="52">
        <f>BALANCING!JC5-100</f>
        <v>5250</v>
      </c>
      <c r="JD5" s="52">
        <f>BALANCING!JD5-100</f>
        <v>5250</v>
      </c>
      <c r="JE5" s="52">
        <f>BALANCING!JE5-100</f>
        <v>5250</v>
      </c>
      <c r="JF5" s="52">
        <f>BALANCING!JF5-100</f>
        <v>5250</v>
      </c>
      <c r="JG5" s="52">
        <f>BALANCING!JG5-100</f>
        <v>5250</v>
      </c>
      <c r="JH5" s="52">
        <f>BALANCING!JH5-100</f>
        <v>5250</v>
      </c>
      <c r="JI5" s="52">
        <f>BALANCING!JI5-100</f>
        <v>5250</v>
      </c>
      <c r="JJ5" s="52">
        <f>BALANCING!JJ5-100</f>
        <v>5250</v>
      </c>
      <c r="JK5" s="52">
        <f>BALANCING!JK5-100</f>
        <v>5250</v>
      </c>
      <c r="JL5" s="52">
        <f>BALANCING!JL5-100</f>
        <v>5250</v>
      </c>
      <c r="JM5" s="52">
        <f>BALANCING!JM5-100</f>
        <v>5250</v>
      </c>
      <c r="JN5" s="52">
        <f>BALANCING!JN5-100</f>
        <v>5250</v>
      </c>
      <c r="JO5" s="52">
        <f>BALANCING!JO5-100</f>
        <v>5250</v>
      </c>
      <c r="JP5" s="52">
        <f>BALANCING!JP5-100</f>
        <v>5250</v>
      </c>
      <c r="JQ5" s="52">
        <f>BALANCING!JQ5-100</f>
        <v>5250</v>
      </c>
      <c r="JR5" s="52">
        <f>BALANCING!JR5-100</f>
        <v>5250</v>
      </c>
      <c r="JS5" s="52">
        <f>BALANCING!JS5-100</f>
        <v>5250</v>
      </c>
      <c r="JT5" s="52">
        <f>BALANCING!JT5-100</f>
        <v>5250</v>
      </c>
      <c r="JU5" s="52">
        <f>BALANCING!JU5-100</f>
        <v>5250</v>
      </c>
      <c r="JV5" s="52">
        <f>BALANCING!JV5-120</f>
        <v>5230</v>
      </c>
      <c r="JW5" s="52">
        <f>BALANCING!JW5-120</f>
        <v>5230</v>
      </c>
      <c r="JX5" s="52">
        <f>BALANCING!JX5-120</f>
        <v>5230</v>
      </c>
      <c r="JY5" s="139"/>
      <c r="JZ5" s="52">
        <f>BALANCING!JZ5-120</f>
        <v>5230</v>
      </c>
      <c r="KA5" s="52">
        <f>BALANCING!KA5-120</f>
        <v>5230</v>
      </c>
      <c r="KB5" s="52">
        <f>BALANCING!KB5-120</f>
        <v>5230</v>
      </c>
      <c r="KC5" s="52">
        <f>BALANCING!KC5-120</f>
        <v>5230</v>
      </c>
      <c r="KD5" s="52">
        <f>BALANCING!KD5-120</f>
        <v>5230</v>
      </c>
      <c r="KE5" s="52">
        <f>BALANCING!KE5-120</f>
        <v>5230</v>
      </c>
      <c r="KF5" s="52">
        <f>BALANCING!KF5-120</f>
        <v>5230</v>
      </c>
      <c r="KG5" s="52">
        <f>BALANCING!KG5-120</f>
        <v>5230</v>
      </c>
      <c r="KH5" s="52">
        <f>BALANCING!KH5-120</f>
        <v>5230</v>
      </c>
      <c r="KI5" s="52">
        <f>BALANCING!KI5-120</f>
        <v>5230</v>
      </c>
      <c r="KJ5" s="52">
        <f>BALANCING!KJ5-120</f>
        <v>5230</v>
      </c>
      <c r="KK5" s="52">
        <f>BALANCING!KK5-120</f>
        <v>5230</v>
      </c>
      <c r="KL5" s="52">
        <f>BALANCING!KL5-120</f>
        <v>5230</v>
      </c>
      <c r="KM5" s="52">
        <f>BALANCING!KM5-120</f>
        <v>5230</v>
      </c>
      <c r="KN5" s="52">
        <f>BALANCING!KN5-120</f>
        <v>5230</v>
      </c>
      <c r="KO5" s="52">
        <f>BALANCING!KO5-120</f>
        <v>5230</v>
      </c>
      <c r="KP5" s="52">
        <f>BALANCING!KP5-120</f>
        <v>5230</v>
      </c>
      <c r="KQ5" s="52">
        <f>BALANCING!KQ5-120</f>
        <v>5230</v>
      </c>
      <c r="KR5" s="52">
        <f>BALANCING!KR5-120</f>
        <v>5230</v>
      </c>
      <c r="KS5" s="52">
        <f>BALANCING!KS5-120</f>
        <v>5230</v>
      </c>
      <c r="KT5" s="52">
        <f>BALANCING!KT5-120</f>
        <v>5230</v>
      </c>
      <c r="KU5" s="52">
        <f>BALANCING!KU5-120</f>
        <v>5230</v>
      </c>
      <c r="KV5" s="52">
        <f>BALANCING!KV5-120</f>
        <v>5230</v>
      </c>
      <c r="KW5" s="52">
        <f>BALANCING!KW5-120</f>
        <v>5230</v>
      </c>
      <c r="KX5" s="52">
        <f>BALANCING!KX5-120</f>
        <v>5230</v>
      </c>
      <c r="KY5" s="52">
        <f>BALANCING!KY5-120</f>
        <v>5230</v>
      </c>
      <c r="KZ5" s="52">
        <f>BALANCING!KZ5-120</f>
        <v>5230</v>
      </c>
      <c r="LA5" s="52">
        <f>BALANCING!LA5-120</f>
        <v>5230</v>
      </c>
      <c r="LB5" s="52">
        <f>BALANCING!LB5-120</f>
        <v>5230</v>
      </c>
      <c r="LC5" s="52">
        <f>BALANCING!LC5-120</f>
        <v>5230</v>
      </c>
      <c r="LD5" s="52">
        <f>BALANCING!LD5-120</f>
        <v>5170</v>
      </c>
      <c r="LE5" s="130"/>
      <c r="LF5" s="52">
        <f>BALANCING!LF5-120</f>
        <v>5170</v>
      </c>
      <c r="LG5" s="52">
        <f>BALANCING!LG5-120</f>
        <v>5170</v>
      </c>
      <c r="LH5" s="52">
        <f>BALANCING!LH5-120</f>
        <v>5170</v>
      </c>
      <c r="LI5" s="52">
        <f>BALANCING!LI5-120</f>
        <v>5170</v>
      </c>
      <c r="LJ5" s="52">
        <f>BALANCING!LJ5-120</f>
        <v>5170</v>
      </c>
      <c r="LK5" s="52">
        <f>BALANCING!LK5-120</f>
        <v>5170</v>
      </c>
      <c r="LL5" s="52">
        <f>BALANCING!LL5-120</f>
        <v>5170</v>
      </c>
      <c r="LM5" s="52">
        <f>BALANCING!LM5-120</f>
        <v>5170</v>
      </c>
      <c r="LN5" s="52">
        <f>BALANCING!LN5-120</f>
        <v>5170</v>
      </c>
      <c r="LO5" s="52">
        <f>BALANCING!LO5-120</f>
        <v>5170</v>
      </c>
      <c r="LP5" s="52">
        <f>BALANCING!LP5-120</f>
        <v>5170</v>
      </c>
      <c r="LQ5" s="52">
        <f>BALANCING!LQ5-120</f>
        <v>5170</v>
      </c>
      <c r="LR5" s="52">
        <f>BALANCING!LR5-120</f>
        <v>5170</v>
      </c>
      <c r="LS5" s="52">
        <f>BALANCING!LS5-120</f>
        <v>5170</v>
      </c>
      <c r="LT5" s="52">
        <f>BALANCING!LT5-120</f>
        <v>5170</v>
      </c>
      <c r="LU5" s="52">
        <f>BALANCING!LU5-120</f>
        <v>5170</v>
      </c>
      <c r="LV5" s="52">
        <f>BALANCING!LV5-120</f>
        <v>5170</v>
      </c>
      <c r="LW5" s="52">
        <f>BALANCING!LW5-120</f>
        <v>5170</v>
      </c>
      <c r="LX5" s="52">
        <f>BALANCING!LX5-120</f>
        <v>5170</v>
      </c>
      <c r="LY5" s="52">
        <f>BALANCING!LY5-120</f>
        <v>5170</v>
      </c>
      <c r="LZ5" s="52">
        <f>BALANCING!LZ5-120</f>
        <v>5170</v>
      </c>
      <c r="MA5" s="52">
        <f>BALANCING!MA5-120</f>
        <v>5170</v>
      </c>
      <c r="MB5" s="52">
        <f>BALANCING!MB5-120</f>
        <v>5170</v>
      </c>
      <c r="MC5" s="52">
        <f>BALANCING!MC5-120</f>
        <v>5170</v>
      </c>
      <c r="MD5" s="52">
        <f>BALANCING!MD5-120</f>
        <v>5170</v>
      </c>
      <c r="ME5" s="52">
        <f>BALANCING!ME5-120</f>
        <v>5170</v>
      </c>
      <c r="MF5" s="52">
        <f>BALANCING!MF5-120</f>
        <v>5170</v>
      </c>
      <c r="MG5" s="52">
        <f>BALANCING!MG5-120</f>
        <v>5170</v>
      </c>
      <c r="MH5" s="52">
        <f>BALANCING!MH5-120</f>
        <v>5170</v>
      </c>
      <c r="MI5" s="52">
        <f>BALANCING!MI5-120</f>
        <v>5170</v>
      </c>
      <c r="MJ5" s="139"/>
      <c r="MK5" s="52">
        <f>BALANCING!MK5-120</f>
        <v>5170</v>
      </c>
      <c r="ML5" s="52">
        <f>BALANCING!ML5-120</f>
        <v>5170</v>
      </c>
      <c r="MM5" s="52">
        <f>BALANCING!MM5-120</f>
        <v>5170</v>
      </c>
      <c r="MN5" s="52">
        <f>BALANCING!MN5-120</f>
        <v>5170</v>
      </c>
      <c r="MO5" s="52">
        <f>BALANCING!MO5-120</f>
        <v>5170</v>
      </c>
      <c r="MP5" s="52">
        <f>BALANCING!MP5-120</f>
        <v>5170</v>
      </c>
      <c r="MQ5" s="52">
        <f>BALANCING!MQ5-120</f>
        <v>5170</v>
      </c>
      <c r="MR5" s="52">
        <f>BALANCING!MR5-120</f>
        <v>5170</v>
      </c>
      <c r="MS5" s="52">
        <f>BALANCING!MS5-120</f>
        <v>5170</v>
      </c>
      <c r="MT5" s="52">
        <f>BALANCING!MT5-120</f>
        <v>5170</v>
      </c>
      <c r="MU5" s="52">
        <f>BALANCING!MU5-120</f>
        <v>5170</v>
      </c>
      <c r="MV5" s="52">
        <f>BALANCING!MV5-120</f>
        <v>5170</v>
      </c>
      <c r="MW5" s="52">
        <f>BALANCING!MW5-120</f>
        <v>5170</v>
      </c>
      <c r="MX5" s="52">
        <f>BALANCING!MX5-120</f>
        <v>5170</v>
      </c>
      <c r="MY5" s="52">
        <f>BALANCING!MY5-120</f>
        <v>5170</v>
      </c>
      <c r="MZ5" s="52">
        <f>BALANCING!MZ5-120</f>
        <v>5170</v>
      </c>
      <c r="NA5" s="52">
        <f>BALANCING!NA5-120</f>
        <v>5170</v>
      </c>
      <c r="NB5" s="52">
        <f>BALANCING!NB5-120</f>
        <v>5170</v>
      </c>
      <c r="NC5" s="52">
        <f>BALANCING!NC5-120</f>
        <v>5170</v>
      </c>
      <c r="ND5" s="52">
        <f>BALANCING!ND5-120</f>
        <v>5170</v>
      </c>
      <c r="NE5" s="52">
        <f>BALANCING!NE5-120</f>
        <v>5170</v>
      </c>
      <c r="NF5" s="52">
        <f>BALANCING!NF5-120</f>
        <v>5170</v>
      </c>
      <c r="NG5" s="52">
        <f>BALANCING!NG5-120</f>
        <v>5080</v>
      </c>
      <c r="NH5" s="52">
        <f>BALANCING!NH5-120</f>
        <v>5080</v>
      </c>
      <c r="NI5" s="52">
        <f>BALANCING!NI5-120</f>
        <v>5080</v>
      </c>
      <c r="NJ5" s="52">
        <f>BALANCING!NJ5-120</f>
        <v>5080</v>
      </c>
      <c r="NK5" s="52">
        <f>BALANCING!NK5-120</f>
        <v>5080</v>
      </c>
      <c r="NL5" s="52">
        <v>5080</v>
      </c>
      <c r="NM5" s="52">
        <f>BALANCING!NM5-120</f>
        <v>5080</v>
      </c>
      <c r="NN5" s="52">
        <f>BALANCING!NN5-120</f>
        <v>5080</v>
      </c>
      <c r="NO5" s="52">
        <f>BALANCING!NO5-120</f>
        <v>5080</v>
      </c>
      <c r="NP5" s="139"/>
      <c r="NQ5" s="52">
        <f>BALANCING!NQ5-120</f>
        <v>5080</v>
      </c>
      <c r="NR5" s="52">
        <f>BALANCING!NR5-120</f>
        <v>5080</v>
      </c>
      <c r="NS5" s="52">
        <f>BALANCING!NS5-120</f>
        <v>5080</v>
      </c>
      <c r="NT5" s="52">
        <f>BALANCING!NT5-120</f>
        <v>5030</v>
      </c>
      <c r="NU5" s="52">
        <f>BALANCING!NU5-120</f>
        <v>5030</v>
      </c>
      <c r="NV5" s="52">
        <f>BALANCING!NV5-120</f>
        <v>5030</v>
      </c>
      <c r="NW5" s="52">
        <f>BALANCING!NW5-120</f>
        <v>5030</v>
      </c>
      <c r="NX5" s="52">
        <f>BALANCING!NX5-120</f>
        <v>5030</v>
      </c>
      <c r="NY5" s="52">
        <f>BALANCING!NY5-120</f>
        <v>5030</v>
      </c>
      <c r="NZ5" s="52">
        <f>BALANCING!NZ5-120</f>
        <v>5030</v>
      </c>
      <c r="OA5" s="52">
        <f>BALANCING!OA5-120</f>
        <v>5030</v>
      </c>
      <c r="OB5" s="52">
        <f>BALANCING!OB5-120</f>
        <v>5030</v>
      </c>
      <c r="OC5" s="52">
        <f>BALANCING!OC5-120</f>
        <v>5030</v>
      </c>
      <c r="OD5" s="52">
        <f>BALANCING!OD5-120</f>
        <v>5030</v>
      </c>
      <c r="OE5" s="52">
        <f>BALANCING!OE5-120</f>
        <v>5030</v>
      </c>
      <c r="OF5" s="52">
        <f>BALANCING!OF5-120</f>
        <v>5030</v>
      </c>
      <c r="OG5" s="52">
        <f>BALANCING!OG5-120</f>
        <v>5030</v>
      </c>
      <c r="OH5" s="52">
        <f>BALANCING!OH5-120</f>
        <v>5030</v>
      </c>
      <c r="OI5" s="52">
        <f>BALANCING!OI5-120</f>
        <v>5030</v>
      </c>
      <c r="OJ5" s="52">
        <f>BALANCING!OJ5-120</f>
        <v>5030</v>
      </c>
      <c r="OK5" s="52">
        <f>BALANCING!OK5-120</f>
        <v>5070</v>
      </c>
      <c r="OL5" s="52">
        <f>BALANCING!OL5-120</f>
        <v>5070</v>
      </c>
      <c r="OM5" s="52">
        <f>BALANCING!OM5-120</f>
        <v>5070</v>
      </c>
      <c r="ON5" s="52">
        <f>BALANCING!ON5-120</f>
        <v>5070</v>
      </c>
      <c r="OO5" s="52">
        <f>BALANCING!OO5-120</f>
        <v>5070</v>
      </c>
      <c r="OP5" s="52">
        <f>BALANCING!OP5-120</f>
        <v>5070</v>
      </c>
      <c r="OQ5" s="52">
        <f>BALANCING!OQ5-120</f>
        <v>5070</v>
      </c>
      <c r="OR5" s="52">
        <f>BALANCING!OR5-120</f>
        <v>5070</v>
      </c>
      <c r="OS5" s="52">
        <f>BALANCING!OS5-120</f>
        <v>5070</v>
      </c>
      <c r="OT5" s="52">
        <f>BALANCING!OT5-120</f>
        <v>5070</v>
      </c>
      <c r="OU5" s="52">
        <f>BALANCING!OU5-120</f>
        <v>5070</v>
      </c>
      <c r="OV5" s="130"/>
      <c r="OW5" s="52">
        <f>BALANCING!OW5-120</f>
        <v>5070</v>
      </c>
      <c r="OX5" s="52">
        <f>BALANCING!OX5-120</f>
        <v>5070</v>
      </c>
      <c r="OY5" s="52">
        <f>BALANCING!OY5-120</f>
        <v>5070</v>
      </c>
      <c r="OZ5" s="52">
        <f>BALANCING!OZ5-120</f>
        <v>5070</v>
      </c>
      <c r="PA5" s="52">
        <f>BALANCING!PA5-120</f>
        <v>5070</v>
      </c>
      <c r="PB5" s="52">
        <f>BALANCING!PB5-120</f>
        <v>5070</v>
      </c>
      <c r="PC5" s="52">
        <f>BALANCING!PC5-120</f>
        <v>5070</v>
      </c>
      <c r="PD5" s="52">
        <f>BALANCING!PD5-120</f>
        <v>5070</v>
      </c>
      <c r="PE5" s="52">
        <f>BALANCING!PE5-120</f>
        <v>5070</v>
      </c>
      <c r="PF5" s="52">
        <f>BALANCING!PF5-120</f>
        <v>5070</v>
      </c>
      <c r="PG5" s="52">
        <f>BALANCING!PG5-120</f>
        <v>5070</v>
      </c>
      <c r="PH5" s="52">
        <f>BALANCING!PH5-120</f>
        <v>5070</v>
      </c>
      <c r="PI5" s="52">
        <f>BALANCING!PI5-120</f>
        <v>5070</v>
      </c>
      <c r="PJ5" s="52">
        <f>BALANCING!PJ5-120</f>
        <v>5070</v>
      </c>
      <c r="PK5" s="52">
        <f>BALANCING!PK5-120</f>
        <v>5070</v>
      </c>
      <c r="PL5" s="52">
        <f>BALANCING!PL5-120</f>
        <v>5070</v>
      </c>
      <c r="PM5" s="52">
        <f>BALANCING!PM5-120</f>
        <v>5070</v>
      </c>
      <c r="PN5" s="52">
        <f>BALANCING!PN5-120</f>
        <v>5070</v>
      </c>
      <c r="PO5" s="52">
        <f>BALANCING!PO5-120</f>
        <v>5070</v>
      </c>
      <c r="PP5" s="52">
        <f>BALANCING!PP5-120</f>
        <v>5070</v>
      </c>
      <c r="PQ5" s="52">
        <f>BALANCING!PQ5-120</f>
        <v>5070</v>
      </c>
      <c r="PR5" s="52">
        <f>BALANCING!PR5-120</f>
        <v>5070</v>
      </c>
      <c r="PS5" s="52">
        <f>BALANCING!PS5-120</f>
        <v>5070</v>
      </c>
      <c r="PT5" s="52">
        <f>BALANCING!PT5-120</f>
        <v>5070</v>
      </c>
      <c r="PU5" s="52">
        <f>BALANCING!PU5-120</f>
        <v>5070</v>
      </c>
      <c r="PV5" s="52">
        <f>BALANCING!PV5-120</f>
        <v>5070</v>
      </c>
      <c r="PW5" s="52">
        <f>BALANCING!PW5-120</f>
        <v>5070</v>
      </c>
      <c r="PX5" s="52">
        <f>BALANCING!PX5-120</f>
        <v>5070</v>
      </c>
      <c r="PY5" s="52">
        <f>BALANCING!PY5-120</f>
        <v>5070</v>
      </c>
      <c r="PZ5" s="52">
        <f>BALANCING!PZ5-120</f>
        <v>5070</v>
      </c>
      <c r="QA5" s="130"/>
      <c r="QB5" s="52">
        <f>BALANCING!QB5-120</f>
        <v>5070</v>
      </c>
      <c r="QC5" s="52">
        <f>BALANCING!QC5-120</f>
        <v>5070</v>
      </c>
      <c r="QD5" s="52">
        <f>BALANCING!QD5-120</f>
        <v>4880</v>
      </c>
      <c r="QE5" s="52">
        <f>BALANCING!QE5-120</f>
        <v>4880</v>
      </c>
      <c r="QF5" s="52">
        <f>BALANCING!QF5-120</f>
        <v>4880</v>
      </c>
      <c r="QG5" s="52">
        <f>BALANCING!QG5-120</f>
        <v>4880</v>
      </c>
      <c r="QH5" s="52">
        <f>BALANCING!QH5-120</f>
        <v>4880</v>
      </c>
      <c r="QI5" s="52">
        <f>BALANCING!QI5-120</f>
        <v>4880</v>
      </c>
      <c r="QJ5" s="52">
        <f>BALANCING!QJ5-120</f>
        <v>4880</v>
      </c>
      <c r="QK5" s="52">
        <f>BALANCING!QK5-120</f>
        <v>4880</v>
      </c>
      <c r="QL5" s="52">
        <f>BALANCING!QL5-120</f>
        <v>4880</v>
      </c>
      <c r="QM5" s="52">
        <f>BALANCING!QM5-120</f>
        <v>4880</v>
      </c>
      <c r="QN5" s="52">
        <f>BALANCING!QN5-120</f>
        <v>4880</v>
      </c>
      <c r="QO5" s="52">
        <f>BALANCING!QO5-120</f>
        <v>4880</v>
      </c>
      <c r="QP5" s="52">
        <f>BALANCING!QP5-120</f>
        <v>4880</v>
      </c>
      <c r="QQ5" s="52">
        <f>BALANCING!QQ5-120</f>
        <v>4880</v>
      </c>
      <c r="QR5" s="52">
        <f>BALANCING!QR5-120</f>
        <v>4880</v>
      </c>
      <c r="QS5" s="52">
        <f>BALANCING!QS5-120</f>
        <v>4880</v>
      </c>
      <c r="QT5" s="52">
        <f>BALANCING!QT5-120</f>
        <v>4880</v>
      </c>
      <c r="QU5" s="52">
        <f>BALANCING!QU5-120</f>
        <v>4880</v>
      </c>
      <c r="QV5" s="52">
        <f>BALANCING!QV5-120</f>
        <v>4880</v>
      </c>
      <c r="QW5" s="52">
        <f>BALANCING!QW5-120</f>
        <v>4880</v>
      </c>
      <c r="QX5" s="52">
        <f>BALANCING!QX5-120</f>
        <v>4880</v>
      </c>
      <c r="QY5" s="52">
        <f>BALANCING!QY5-120</f>
        <v>4880</v>
      </c>
      <c r="QZ5" s="52">
        <f>BALANCING!QZ5-120</f>
        <v>4880</v>
      </c>
      <c r="RA5" s="52">
        <f>BALANCING!RA5-120</f>
        <v>4880</v>
      </c>
      <c r="RB5" s="52">
        <f>BALANCING!RB5-120</f>
        <v>4880</v>
      </c>
      <c r="RC5" s="52">
        <f>BALANCING!RC5-120</f>
        <v>4880</v>
      </c>
      <c r="RD5" s="52">
        <f>BALANCING!RD5-120</f>
        <v>4880</v>
      </c>
      <c r="RE5" s="52">
        <f>BALANCING!RE5-120</f>
        <v>4869</v>
      </c>
      <c r="RF5" s="52">
        <f>BALANCING!RF5-120</f>
        <v>4869</v>
      </c>
      <c r="RG5" s="130"/>
      <c r="RH5" s="52">
        <f>BALANCING!RH5-120</f>
        <v>4869</v>
      </c>
      <c r="RI5" s="52">
        <f>BALANCING!RI5-120</f>
        <v>4869</v>
      </c>
      <c r="RJ5" s="52">
        <f>BALANCING!RJ5-120</f>
        <v>4869</v>
      </c>
      <c r="RK5" s="52">
        <f>BALANCING!RK5-120</f>
        <v>4869</v>
      </c>
      <c r="RL5" s="52">
        <f>BALANCING!RL5-120</f>
        <v>4869</v>
      </c>
      <c r="RM5" s="52">
        <f>BALANCING!RM5-120</f>
        <v>4869</v>
      </c>
      <c r="RN5" s="52">
        <f>BALANCING!RN5-120</f>
        <v>4869</v>
      </c>
      <c r="RO5" s="52">
        <f>BALANCING!RO5-120</f>
        <v>4869</v>
      </c>
      <c r="RP5" s="52">
        <f>BALANCING!RP5-120</f>
        <v>4869</v>
      </c>
      <c r="RQ5" s="52">
        <f>BALANCING!RQ5-120</f>
        <v>4869</v>
      </c>
      <c r="RR5" s="52">
        <f>BALANCING!RR5-120</f>
        <v>4869</v>
      </c>
      <c r="RS5" s="52">
        <f>BALANCING!RS5-120</f>
        <v>4869</v>
      </c>
      <c r="RT5" s="52">
        <f>BALANCING!RT5-120</f>
        <v>4869</v>
      </c>
      <c r="RU5" s="52">
        <f>BALANCING!RU5-120</f>
        <v>4869</v>
      </c>
      <c r="RV5" s="52">
        <f>BALANCING!RV5-120</f>
        <v>4869</v>
      </c>
      <c r="RW5" s="52">
        <f>BALANCING!RW5-120</f>
        <v>4869</v>
      </c>
      <c r="RX5" s="52">
        <f>BALANCING!RX5-120</f>
        <v>4869</v>
      </c>
      <c r="RY5" s="52">
        <f>BALANCING!RY5-120</f>
        <v>4770</v>
      </c>
      <c r="RZ5" s="52">
        <f>BALANCING!RZ5-120</f>
        <v>4770</v>
      </c>
      <c r="SA5" s="52">
        <f>BALANCING!SA5-120</f>
        <v>4770</v>
      </c>
      <c r="SB5" s="52">
        <f>BALANCING!SB5-120</f>
        <v>4770</v>
      </c>
      <c r="SC5" s="52">
        <f>BALANCING!SC5-120</f>
        <v>4770</v>
      </c>
      <c r="SD5" s="52">
        <f>BALANCING!SD5-120</f>
        <v>4770</v>
      </c>
      <c r="SE5" s="52">
        <f>BALANCING!SE5-120</f>
        <v>4770</v>
      </c>
      <c r="SF5" s="52">
        <f>BALANCING!SF5-120</f>
        <v>4770</v>
      </c>
      <c r="SG5" s="52">
        <f>BALANCING!SG5-120</f>
        <v>4770</v>
      </c>
      <c r="SH5" s="52">
        <f>BALANCING!SH5-120</f>
        <v>4770</v>
      </c>
      <c r="SI5" s="52">
        <f>BALANCING!SI5-120</f>
        <v>4770</v>
      </c>
      <c r="SJ5" s="52">
        <f>BALANCING!SJ5-120</f>
        <v>4770</v>
      </c>
      <c r="SK5" s="52">
        <f>BALANCING!SK5-120</f>
        <v>4770</v>
      </c>
      <c r="SL5" s="130"/>
      <c r="SM5" s="52">
        <f>BALANCING!SM5-120</f>
        <v>4770</v>
      </c>
      <c r="SN5" s="52">
        <f>BALANCING!SN5-120</f>
        <v>4770</v>
      </c>
      <c r="SO5" s="52">
        <f>BALANCING!SO5-120</f>
        <v>4770</v>
      </c>
      <c r="SP5" s="52">
        <f>BALANCING!SP5-120</f>
        <v>4770</v>
      </c>
      <c r="SQ5" s="52">
        <f>BALANCING!SQ5-120</f>
        <v>4770</v>
      </c>
      <c r="SR5" s="52">
        <f>BALANCING!SR5-120</f>
        <v>4770</v>
      </c>
      <c r="SS5" s="52">
        <f>BALANCING!SS5-120</f>
        <v>4770</v>
      </c>
      <c r="ST5" s="52">
        <f>BALANCING!ST5-120</f>
        <v>4770</v>
      </c>
      <c r="SU5" s="52">
        <f>BALANCING!SU5-120</f>
        <v>4770</v>
      </c>
      <c r="SV5" s="52">
        <f>BALANCING!SV5-120</f>
        <v>4770</v>
      </c>
      <c r="SW5" s="52">
        <f>BALANCING!SW5-120</f>
        <v>4770</v>
      </c>
      <c r="SX5" s="52">
        <f>BALANCING!SX5-120</f>
        <v>4770</v>
      </c>
      <c r="SY5" s="52">
        <f>BALANCING!SY5-120</f>
        <v>4770</v>
      </c>
      <c r="SZ5" s="52">
        <f>BALANCING!SZ5-120</f>
        <v>4770</v>
      </c>
      <c r="TA5" s="52">
        <f>BALANCING!TA5-120</f>
        <v>4770</v>
      </c>
      <c r="TB5" s="52">
        <f>BALANCING!TB5-120</f>
        <v>4770</v>
      </c>
      <c r="TC5" s="52">
        <f>BALANCING!TC5-120</f>
        <v>4770</v>
      </c>
      <c r="TD5" s="52">
        <f>BALANCING!TD5-120</f>
        <v>4770</v>
      </c>
      <c r="TE5" s="52">
        <f>BALANCING!TE5-120</f>
        <v>4770</v>
      </c>
      <c r="TF5" s="52">
        <f>BALANCING!TF5-120</f>
        <v>4770</v>
      </c>
      <c r="TG5" s="52">
        <f>BALANCING!TG5-120</f>
        <v>4770</v>
      </c>
      <c r="TH5" s="52">
        <f>BALANCING!TH5-120</f>
        <v>4770</v>
      </c>
      <c r="TI5" s="52">
        <f>BALANCING!TI5-120</f>
        <v>4770</v>
      </c>
      <c r="TJ5" s="52">
        <f>BALANCING!TJ5-120</f>
        <v>4770</v>
      </c>
      <c r="TK5" s="52">
        <f>BALANCING!TK5-120</f>
        <v>4770</v>
      </c>
      <c r="TL5" s="52">
        <f>BALANCING!TL5-120</f>
        <v>4770</v>
      </c>
      <c r="TM5" s="52">
        <f>BALANCING!TM5-120</f>
        <v>4770</v>
      </c>
      <c r="TN5" s="52">
        <f>BALANCING!TN5-120</f>
        <v>4770</v>
      </c>
      <c r="TO5" s="52">
        <f>BALANCING!TO5-120</f>
        <v>4770</v>
      </c>
      <c r="TP5" s="52">
        <f>BALANCING!TP5-120</f>
        <v>4770</v>
      </c>
      <c r="TQ5" s="52">
        <f>BALANCING!TQ5-120</f>
        <v>4770</v>
      </c>
      <c r="TR5" s="130"/>
      <c r="TS5" s="52">
        <f>BALANCING!TS5-120</f>
        <v>4770</v>
      </c>
      <c r="TT5" s="52">
        <f>BALANCING!TT5-120</f>
        <v>4770</v>
      </c>
      <c r="TU5" s="52">
        <f>BALANCING!TU5-120</f>
        <v>4770</v>
      </c>
      <c r="TV5" s="52">
        <f>BALANCING!TV5-120</f>
        <v>4770</v>
      </c>
      <c r="TW5" s="52">
        <f>BALANCING!TW5-120</f>
        <v>4770</v>
      </c>
      <c r="TX5" s="52">
        <f>BALANCING!TX5-120</f>
        <v>4770</v>
      </c>
      <c r="TY5" s="52">
        <f>BALANCING!TY5-120</f>
        <v>4770</v>
      </c>
      <c r="TZ5" s="52">
        <f>BALANCING!TZ5-120</f>
        <v>4770</v>
      </c>
      <c r="UA5" s="52">
        <f>BALANCING!UA5-120</f>
        <v>4770</v>
      </c>
      <c r="UB5" s="52">
        <f>BALANCING!UB5-120</f>
        <v>4770</v>
      </c>
      <c r="UC5" s="52">
        <f>BALANCING!UC5-120</f>
        <v>4770</v>
      </c>
      <c r="UD5" s="52">
        <f>BALANCING!UD5-120</f>
        <v>4770</v>
      </c>
      <c r="UE5" s="52">
        <f>BALANCING!UE5-120</f>
        <v>4770</v>
      </c>
      <c r="UF5" s="52">
        <f>BALANCING!UF5-120</f>
        <v>4770</v>
      </c>
      <c r="UG5" s="52">
        <f>BALANCING!UG5-120</f>
        <v>4770</v>
      </c>
      <c r="UH5" s="52">
        <f>BALANCING!UH5-120</f>
        <v>4770</v>
      </c>
      <c r="UI5" s="52">
        <f>BALANCING!UI5-120</f>
        <v>4770</v>
      </c>
      <c r="UJ5" s="52">
        <f>BALANCING!UJ5-120</f>
        <v>4770</v>
      </c>
      <c r="UK5" s="52">
        <f>BALANCING!UK5-120</f>
        <v>4770</v>
      </c>
      <c r="UL5" s="52">
        <f>BALANCING!UL5-120</f>
        <v>4770</v>
      </c>
      <c r="UM5" s="52">
        <f>BALANCING!UM5-120</f>
        <v>4770</v>
      </c>
      <c r="UN5" s="52">
        <f>BALANCING!UN5-120</f>
        <v>4770</v>
      </c>
      <c r="UO5" s="52">
        <f>BALANCING!UO5-120</f>
        <v>4770</v>
      </c>
      <c r="UP5" s="52">
        <f>BALANCING!UP5-120</f>
        <v>4770</v>
      </c>
      <c r="UQ5" s="52">
        <f>BALANCING!UQ5-120</f>
        <v>4770</v>
      </c>
      <c r="UR5" s="52">
        <f>BALANCING!UR5-120</f>
        <v>4770</v>
      </c>
      <c r="US5" s="52">
        <f>BALANCING!US5-120</f>
        <v>4770</v>
      </c>
      <c r="UT5" s="52">
        <f>BALANCING!UT5-120</f>
        <v>4770</v>
      </c>
      <c r="UU5" s="52">
        <f>BALANCING!UU5-120</f>
        <v>4770</v>
      </c>
      <c r="UV5" s="52">
        <f>BALANCING!UV5-120</f>
        <v>4770</v>
      </c>
      <c r="UW5" s="52">
        <f>BALANCING!UW5-120</f>
        <v>4770</v>
      </c>
      <c r="UX5" s="130"/>
      <c r="UY5" s="52">
        <f>BALANCING!UY5-120</f>
        <v>4770</v>
      </c>
      <c r="UZ5" s="52">
        <f>BALANCING!UZ5-120</f>
        <v>4770</v>
      </c>
      <c r="VA5" s="52">
        <f>BALANCING!VA5-120</f>
        <v>4770</v>
      </c>
      <c r="VB5" s="52">
        <f>BALANCING!VB5-120</f>
        <v>4770</v>
      </c>
      <c r="VC5" s="52">
        <f>BALANCING!VC5-120</f>
        <v>4770</v>
      </c>
      <c r="VD5" s="52">
        <f>BALANCING!VD5-120</f>
        <v>4770</v>
      </c>
      <c r="VE5" s="52">
        <f>BALANCING!VE5-120</f>
        <v>4779</v>
      </c>
      <c r="VF5" s="52">
        <f>BALANCING!VF5-120</f>
        <v>4779</v>
      </c>
      <c r="VG5" s="52">
        <f>BALANCING!VG5-120</f>
        <v>4779</v>
      </c>
      <c r="VH5" s="52">
        <f>BALANCING!VH5-120</f>
        <v>4779</v>
      </c>
      <c r="VI5" s="52">
        <f>BALANCING!VI5-120</f>
        <v>4779</v>
      </c>
      <c r="VJ5" s="52">
        <f>BALANCING!VJ5-120</f>
        <v>4779</v>
      </c>
      <c r="VK5" s="52">
        <f>BALANCING!VK5-120</f>
        <v>4779</v>
      </c>
      <c r="VL5" s="52">
        <f>BALANCING!VL5-120</f>
        <v>4779</v>
      </c>
      <c r="VM5" s="52">
        <f>BALANCING!VM5-120</f>
        <v>4779</v>
      </c>
      <c r="VN5" s="52">
        <f>BALANCING!VN5-120</f>
        <v>4779</v>
      </c>
      <c r="VO5" s="52">
        <f>BALANCING!VO5-120</f>
        <v>4779</v>
      </c>
      <c r="VP5" s="52">
        <f>BALANCING!VP5-120</f>
        <v>4779</v>
      </c>
      <c r="VQ5" s="52">
        <f>BALANCING!VQ5-120</f>
        <v>4779</v>
      </c>
      <c r="VR5" s="52">
        <f>BALANCING!VR5-120</f>
        <v>4779</v>
      </c>
      <c r="VS5" s="52">
        <f>BALANCING!VS5-120</f>
        <v>4779</v>
      </c>
      <c r="VT5" s="52">
        <f>BALANCING!VT5-120</f>
        <v>4779</v>
      </c>
      <c r="VU5" s="52">
        <f>BALANCING!VU5-120</f>
        <v>4779</v>
      </c>
      <c r="VV5" s="52">
        <f>BALANCING!VV5-120</f>
        <v>4779</v>
      </c>
      <c r="VW5" s="52">
        <f>BALANCING!VW5-120</f>
        <v>4779</v>
      </c>
      <c r="VX5" s="52">
        <f>BALANCING!VX5-120</f>
        <v>4779</v>
      </c>
      <c r="VY5" s="52">
        <f>BALANCING!VY5-120</f>
        <v>4779</v>
      </c>
      <c r="VZ5" s="52">
        <f>BALANCING!VZ5-120</f>
        <v>4779</v>
      </c>
      <c r="WA5" s="139"/>
      <c r="WB5" s="52">
        <f>BALANCING!WB5-120</f>
        <v>4779</v>
      </c>
      <c r="WC5" s="52">
        <f>BALANCING!WC5-120</f>
        <v>4779</v>
      </c>
      <c r="WD5" s="52">
        <f>BALANCING!WD5-120</f>
        <v>4779</v>
      </c>
      <c r="WE5" s="52">
        <f>BALANCING!WE5-120</f>
        <v>4779</v>
      </c>
      <c r="WF5" s="52">
        <f>BALANCING!WF5-120</f>
        <v>4779</v>
      </c>
      <c r="WG5" s="52">
        <f>BALANCING!WG5-120</f>
        <v>4779</v>
      </c>
      <c r="WH5" s="52">
        <f>BALANCING!WH5-120</f>
        <v>4779</v>
      </c>
      <c r="WI5" s="52">
        <f>BALANCING!WI5-120</f>
        <v>4779</v>
      </c>
      <c r="WJ5" s="52">
        <f>BALANCING!WJ5-120</f>
        <v>4779</v>
      </c>
      <c r="WK5" s="52">
        <f>BALANCING!WK5-120</f>
        <v>4779</v>
      </c>
      <c r="WL5" s="52">
        <f>BALANCING!WL5-120</f>
        <v>4779</v>
      </c>
      <c r="WM5" s="52">
        <f>BALANCING!WM5-120</f>
        <v>4779</v>
      </c>
      <c r="WN5" s="52">
        <f>BALANCING!WN5-120</f>
        <v>4779</v>
      </c>
      <c r="WO5" s="52">
        <f>BALANCING!WO5-120</f>
        <v>4779</v>
      </c>
      <c r="WP5" s="52">
        <f>BALANCING!WP5-120</f>
        <v>4779</v>
      </c>
      <c r="WQ5" s="52">
        <f>BALANCING!WQ5-120</f>
        <v>4779</v>
      </c>
      <c r="WR5" s="52">
        <f>BALANCING!WR5-120</f>
        <v>4779</v>
      </c>
      <c r="WS5" s="52">
        <f>BALANCING!WS5-120</f>
        <v>4779</v>
      </c>
      <c r="WT5" s="52">
        <f>BALANCING!WT5-120</f>
        <v>4779</v>
      </c>
      <c r="WU5" s="52">
        <f>BALANCING!WU5-120</f>
        <v>4779</v>
      </c>
      <c r="WV5" s="52">
        <f>BALANCING!WV5-120</f>
        <v>4779</v>
      </c>
      <c r="WW5" s="52">
        <f>BALANCING!WW5-120</f>
        <v>4779</v>
      </c>
      <c r="WX5" s="52">
        <f>BALANCING!WX5-120</f>
        <v>4779</v>
      </c>
      <c r="WY5" s="52">
        <f>BALANCING!WY5-120</f>
        <v>4779</v>
      </c>
      <c r="WZ5" s="52">
        <f>BALANCING!WZ5-120</f>
        <v>4779</v>
      </c>
      <c r="XA5" s="52">
        <f>BALANCING!XA5-120</f>
        <v>4779</v>
      </c>
      <c r="XB5" s="52">
        <f>BALANCING!XB5-120</f>
        <v>4779</v>
      </c>
      <c r="XC5" s="52">
        <f>BALANCING!XC5-120</f>
        <v>4779</v>
      </c>
      <c r="XD5" s="52">
        <f>BALANCING!XD5-120</f>
        <v>4779</v>
      </c>
      <c r="XE5" s="52">
        <f>BALANCING!XE5-120</f>
        <v>4779</v>
      </c>
      <c r="XF5" s="52">
        <f>BALANCING!XF5-120</f>
        <v>4779</v>
      </c>
      <c r="XG5" s="139"/>
      <c r="XH5" s="52">
        <f>BALANCING!XH5-120</f>
        <v>4779</v>
      </c>
      <c r="XI5" s="52">
        <f>BALANCING!XI5-120</f>
        <v>4779</v>
      </c>
      <c r="XJ5" s="52">
        <f>BALANCING!XJ5-120</f>
        <v>4765</v>
      </c>
      <c r="XK5" s="52">
        <f>BALANCING!XK5-120</f>
        <v>4765</v>
      </c>
      <c r="XL5" s="52">
        <f>BALANCING!XL5-120</f>
        <v>4765</v>
      </c>
      <c r="XM5" s="52">
        <f>BALANCING!XM5-120</f>
        <v>4765</v>
      </c>
      <c r="XN5" s="52">
        <f>BALANCING!XN5-120</f>
        <v>4765</v>
      </c>
      <c r="XO5" s="52">
        <f>BALANCING!XO5-120</f>
        <v>4765</v>
      </c>
      <c r="XP5" s="52">
        <f>BALANCING!XP5-120</f>
        <v>4765</v>
      </c>
      <c r="XQ5" s="52">
        <f>BALANCING!XQ5-120</f>
        <v>4765</v>
      </c>
      <c r="XR5" s="52">
        <f>BALANCING!XR5-120</f>
        <v>4765</v>
      </c>
      <c r="XS5" s="52">
        <f>BALANCING!XS5-120</f>
        <v>4765</v>
      </c>
      <c r="XT5" s="52">
        <f>BALANCING!XT5-120</f>
        <v>4765</v>
      </c>
      <c r="XU5" s="52">
        <f>BALANCING!XU5-120</f>
        <v>4765</v>
      </c>
      <c r="XV5" s="52">
        <f>BALANCING!XV5-120</f>
        <v>4765</v>
      </c>
      <c r="XW5" s="52">
        <f>BALANCING!XW5-120</f>
        <v>4765</v>
      </c>
      <c r="XX5" s="52">
        <f>BALANCING!XX5-120</f>
        <v>4830</v>
      </c>
      <c r="XY5" s="52">
        <f>BALANCING!XY5-120</f>
        <v>4830</v>
      </c>
      <c r="XZ5" s="52">
        <f>BALANCING!XZ5-120</f>
        <v>4830</v>
      </c>
      <c r="YA5" s="52">
        <f>BALANCING!YA5-120</f>
        <v>4830</v>
      </c>
      <c r="YB5" s="52">
        <f>BALANCING!YB5-120</f>
        <v>4830</v>
      </c>
      <c r="YC5" s="52">
        <f>BALANCING!YC5-120</f>
        <v>4830</v>
      </c>
      <c r="YD5" s="52">
        <f>BALANCING!YD5-120</f>
        <v>4830</v>
      </c>
      <c r="YE5" s="52">
        <f>BALANCING!YE5-120</f>
        <v>4830</v>
      </c>
      <c r="YF5" s="52">
        <f>BALANCING!YF5-120</f>
        <v>4830</v>
      </c>
      <c r="YG5" s="52">
        <f>BALANCING!YG5-120</f>
        <v>4830</v>
      </c>
      <c r="YH5" s="52">
        <f>BALANCING!YH5-120</f>
        <v>4830</v>
      </c>
      <c r="YI5" s="52">
        <f>BALANCING!YI5-120</f>
        <v>4830</v>
      </c>
      <c r="YJ5" s="52">
        <f>BALANCING!YJ5-120</f>
        <v>4830</v>
      </c>
      <c r="YK5" s="52">
        <f>BALANCING!YK5-120</f>
        <v>4830</v>
      </c>
      <c r="YL5" s="130"/>
      <c r="YM5" s="52">
        <f>BALANCING!YM5-120</f>
        <v>4830</v>
      </c>
      <c r="YN5" s="52">
        <f>BALANCING!YN5-120</f>
        <v>4830</v>
      </c>
      <c r="YO5" s="52">
        <f>BALANCING!YO5-120</f>
        <v>4830</v>
      </c>
      <c r="YP5" s="52">
        <f>BALANCING!YP5-120</f>
        <v>4830</v>
      </c>
      <c r="YQ5" s="52">
        <f>BALANCING!YQ5-120</f>
        <v>4830</v>
      </c>
      <c r="YR5" s="52">
        <f>BALANCING!YR5-120</f>
        <v>4830</v>
      </c>
      <c r="YS5" s="52">
        <f>BALANCING!YS5-120</f>
        <v>4830</v>
      </c>
      <c r="YT5" s="52">
        <f>BALANCING!YT5-120</f>
        <v>4830</v>
      </c>
      <c r="YU5" s="52">
        <f>BALANCING!YU5-120</f>
        <v>4830</v>
      </c>
      <c r="YV5" s="52">
        <f>BALANCING!YV5-120</f>
        <v>4830</v>
      </c>
      <c r="YW5" s="52">
        <f>BALANCING!YW5-120</f>
        <v>4830</v>
      </c>
      <c r="YX5" s="52">
        <f>BALANCING!YX5-120</f>
        <v>4830</v>
      </c>
      <c r="YY5" s="52">
        <f>BALANCING!YY5-120</f>
        <v>4830</v>
      </c>
      <c r="YZ5" s="52">
        <f>BALANCING!YZ5-120</f>
        <v>4830</v>
      </c>
      <c r="ZA5" s="52">
        <f>BALANCING!ZA5-120</f>
        <v>4830</v>
      </c>
      <c r="ZB5" s="52">
        <f>BALANCING!ZB5-120</f>
        <v>4830</v>
      </c>
      <c r="ZC5" s="52">
        <f>BALANCING!ZC5-120</f>
        <v>4830</v>
      </c>
      <c r="ZD5" s="52">
        <f>BALANCING!ZD5-120</f>
        <v>4830</v>
      </c>
      <c r="ZE5" s="52">
        <f>BALANCING!ZE5-120</f>
        <v>4830</v>
      </c>
      <c r="ZF5" s="52">
        <f>BALANCING!ZF5-120</f>
        <v>4830</v>
      </c>
      <c r="ZG5" s="52">
        <f>BALANCING!ZG5-120</f>
        <v>4830</v>
      </c>
      <c r="ZH5" s="52">
        <f>BALANCING!ZH5-120</f>
        <v>4830</v>
      </c>
      <c r="ZI5" s="52">
        <f>BALANCING!ZI5-120</f>
        <v>4830</v>
      </c>
      <c r="ZJ5" s="52">
        <f>BALANCING!ZJ5-120</f>
        <v>4830</v>
      </c>
      <c r="ZK5" s="52">
        <f>BALANCING!ZK5-120</f>
        <v>4830</v>
      </c>
      <c r="ZL5" s="52">
        <f>BALANCING!ZL5-120</f>
        <v>4830</v>
      </c>
      <c r="ZM5" s="52">
        <f>BALANCING!ZM5-120</f>
        <v>4870</v>
      </c>
      <c r="ZN5" s="52">
        <f>BALANCING!ZN5-120</f>
        <v>4870</v>
      </c>
      <c r="ZO5" s="52">
        <f>BALANCING!ZO5-120</f>
        <v>4870</v>
      </c>
      <c r="ZP5" s="52">
        <f>BALANCING!ZP5-120</f>
        <v>4870</v>
      </c>
      <c r="ZQ5" s="52">
        <f>BALANCING!ZQ5-120</f>
        <v>4870</v>
      </c>
      <c r="ZR5" s="130"/>
      <c r="ZS5" s="52">
        <f>BALANCING!ZS5-120</f>
        <v>4870</v>
      </c>
      <c r="ZT5" s="52">
        <f>BALANCING!ZT5-120</f>
        <v>4870</v>
      </c>
      <c r="ZU5" s="52">
        <f>BALANCING!ZU5-120</f>
        <v>4870</v>
      </c>
      <c r="ZV5" s="52">
        <f>BALANCING!ZV5-120</f>
        <v>4870</v>
      </c>
      <c r="ZW5" s="52">
        <f>BALANCING!ZW5-120</f>
        <v>4870</v>
      </c>
      <c r="ZX5" s="52">
        <f>BALANCING!ZX5-120</f>
        <v>4870</v>
      </c>
      <c r="ZY5" s="52">
        <f>BALANCING!ZY5-120</f>
        <v>4870</v>
      </c>
      <c r="ZZ5" s="52">
        <f>BALANCING!ZZ5-120</f>
        <v>4870</v>
      </c>
      <c r="AAA5" s="52">
        <f>BALANCING!AAA5-120</f>
        <v>4870</v>
      </c>
      <c r="AAB5" s="52">
        <f>BALANCING!AAB5-120</f>
        <v>4870</v>
      </c>
      <c r="AAC5" s="52">
        <f>BALANCING!AAC5-120</f>
        <v>4870</v>
      </c>
      <c r="AAD5" s="52">
        <f>BALANCING!AAD5-120</f>
        <v>4870</v>
      </c>
      <c r="AAE5" s="52">
        <f>BALANCING!AAE5-120</f>
        <v>4870</v>
      </c>
      <c r="AAF5" s="52">
        <f>BALANCING!AAF5-120</f>
        <v>4870</v>
      </c>
      <c r="AAG5" s="52">
        <f>BALANCING!AAG5-120</f>
        <v>4870</v>
      </c>
      <c r="AAH5" s="52">
        <f>BALANCING!AAH5-120</f>
        <v>4870</v>
      </c>
      <c r="AAI5" s="52">
        <f>BALANCING!AAI5-120</f>
        <v>4870</v>
      </c>
      <c r="AAJ5" s="52">
        <f>BALANCING!AAJ5-120</f>
        <v>4870</v>
      </c>
      <c r="AAK5" s="52">
        <f>BALANCING!AAK5-120</f>
        <v>4870</v>
      </c>
      <c r="AAL5" s="52">
        <f>BALANCING!AAL5-120</f>
        <v>4870</v>
      </c>
      <c r="AAM5" s="52">
        <f>BALANCING!AAM5-120</f>
        <v>4870</v>
      </c>
      <c r="AAN5" s="52">
        <f>BALANCING!AAN5-120</f>
        <v>4870</v>
      </c>
      <c r="AAO5" s="52">
        <f>BALANCING!AAO5-120</f>
        <v>4870</v>
      </c>
      <c r="AAP5" s="52">
        <f>BALANCING!AAP5-120</f>
        <v>4870</v>
      </c>
      <c r="AAQ5" s="52">
        <f>BALANCING!AAQ5-120</f>
        <v>4870</v>
      </c>
      <c r="AAR5" s="52">
        <f>BALANCING!AAR5-120</f>
        <v>4870</v>
      </c>
      <c r="AAS5" s="52">
        <f>BALANCING!AAS5-120</f>
        <v>4870</v>
      </c>
      <c r="AAT5" s="52">
        <f>BALANCING!AAT5-120</f>
        <v>4870</v>
      </c>
      <c r="AAU5" s="52">
        <f>BALANCING!AAU5-120</f>
        <v>4870</v>
      </c>
      <c r="AAV5" s="52">
        <f>BALANCING!AAV5-120</f>
        <v>4870</v>
      </c>
      <c r="AAW5" s="130"/>
      <c r="AAX5" s="52">
        <f>BALANCING!AAX5-120</f>
        <v>4870</v>
      </c>
      <c r="AAY5" s="52">
        <f>BALANCING!AAY5-120</f>
        <v>4870</v>
      </c>
      <c r="AAZ5" s="52">
        <f>BALANCING!AAZ5-120</f>
        <v>4870</v>
      </c>
      <c r="ABA5" s="52">
        <f>BALANCING!ABA5-120</f>
        <v>4870</v>
      </c>
      <c r="ABB5" s="52">
        <f>BALANCING!ABB5-120</f>
        <v>4870</v>
      </c>
      <c r="ABC5" s="52">
        <f>BALANCING!ABC5-120</f>
        <v>4870</v>
      </c>
      <c r="ABD5" s="52">
        <f>BALANCING!ABD5-120</f>
        <v>4870</v>
      </c>
      <c r="ABE5" s="52">
        <f>BALANCING!ABE5-120</f>
        <v>4870</v>
      </c>
      <c r="ABF5" s="52">
        <f>BALANCING!ABF5-120</f>
        <v>4870</v>
      </c>
      <c r="ABG5" s="52">
        <f>BALANCING!ABG5-120</f>
        <v>4870</v>
      </c>
      <c r="ABH5" s="52">
        <f>BALANCING!ABH5-120</f>
        <v>4870</v>
      </c>
      <c r="ABI5" s="52">
        <f>BALANCING!ABI5-120</f>
        <v>4870</v>
      </c>
      <c r="ABJ5" s="52">
        <f>BALANCING!ABJ5-120</f>
        <v>4870</v>
      </c>
      <c r="ABK5" s="52">
        <f>BALANCING!ABK5-120</f>
        <v>4870</v>
      </c>
      <c r="ABL5" s="52">
        <f>BALANCING!ABL5-120</f>
        <v>4870</v>
      </c>
      <c r="ABM5" s="52">
        <f>BALANCING!ABM5-120</f>
        <v>4870</v>
      </c>
      <c r="ABN5" s="52">
        <f>BALANCING!ABN5-120</f>
        <v>4870</v>
      </c>
      <c r="ABO5" s="52">
        <f>BALANCING!ABO5-120</f>
        <v>4870</v>
      </c>
      <c r="ABP5" s="52">
        <f>BALANCING!ABP5-120</f>
        <v>4870</v>
      </c>
      <c r="ABQ5" s="52">
        <f>BALANCING!ABQ5-120</f>
        <v>4870</v>
      </c>
      <c r="ABR5" s="52">
        <f>BALANCING!ABR5-120</f>
        <v>4870</v>
      </c>
      <c r="ABS5" s="52">
        <f>BALANCING!ABS5-120</f>
        <v>4870</v>
      </c>
      <c r="ABT5" s="52">
        <f>BALANCING!ABT5-120</f>
        <v>4870</v>
      </c>
      <c r="ABU5" s="52">
        <f>BALANCING!ABU5-120</f>
        <v>4870</v>
      </c>
      <c r="ABV5" s="52">
        <f>BALANCING!ABV5-120</f>
        <v>4870</v>
      </c>
      <c r="ABW5" s="52">
        <f>BALANCING!ABW5-120</f>
        <v>4870</v>
      </c>
      <c r="ABX5" s="52">
        <f>BALANCING!ABX5-120</f>
        <v>4870</v>
      </c>
      <c r="ABY5" s="52">
        <f>BALANCING!ABY5-120</f>
        <v>4870</v>
      </c>
      <c r="ABZ5" s="52">
        <f>BALANCING!ABZ5-120</f>
        <v>4870</v>
      </c>
      <c r="ACA5" s="52">
        <f>BALANCING!ACA5-120</f>
        <v>4870</v>
      </c>
      <c r="ACB5" s="52">
        <f>BALANCING!ACB5-120</f>
        <v>4870</v>
      </c>
      <c r="ACC5" s="130"/>
      <c r="ACD5" s="52">
        <f>BALANCING!ACD5-120</f>
        <v>4870</v>
      </c>
      <c r="ACE5" s="52">
        <f>BALANCING!ACE5-120</f>
        <v>4870</v>
      </c>
      <c r="ACF5" s="52">
        <f>BALANCING!ACF5-120</f>
        <v>4870</v>
      </c>
      <c r="ACG5" s="52">
        <f>BALANCING!ACG5-120</f>
        <v>4870</v>
      </c>
      <c r="ACH5" s="52">
        <f>BALANCING!ACH5-120</f>
        <v>4870</v>
      </c>
      <c r="ACI5" s="52">
        <f>BALANCING!ACI5-120</f>
        <v>4870</v>
      </c>
      <c r="ACJ5" s="52">
        <f>BALANCING!ACJ5-120</f>
        <v>4899</v>
      </c>
      <c r="ACK5" s="52">
        <f>BALANCING!ACK5-120</f>
        <v>4899</v>
      </c>
      <c r="ACL5" s="52">
        <f>BALANCING!ACL5-120</f>
        <v>4899</v>
      </c>
      <c r="ACM5" s="52">
        <f>BALANCING!ACM5-120</f>
        <v>4899</v>
      </c>
      <c r="ACN5" s="52">
        <f>BALANCING!ACN5-120</f>
        <v>4899</v>
      </c>
      <c r="ACO5" s="52">
        <f>BALANCING!ACO5-120</f>
        <v>4899</v>
      </c>
      <c r="ACP5" s="52">
        <f>BALANCING!ACP5-120</f>
        <v>4899</v>
      </c>
      <c r="ACQ5" s="52">
        <f>BALANCING!ACQ5-120</f>
        <v>4899</v>
      </c>
      <c r="ACR5" s="52">
        <f>BALANCING!ACR5-120</f>
        <v>4899</v>
      </c>
      <c r="ACS5" s="52">
        <f>BALANCING!ACS5-120</f>
        <v>4899</v>
      </c>
      <c r="ACT5" s="52">
        <f>BALANCING!ACT5-120</f>
        <v>4899</v>
      </c>
      <c r="ACU5" s="52">
        <f>BALANCING!ACU5-120</f>
        <v>4899</v>
      </c>
      <c r="ACV5" s="52">
        <f>BALANCING!ACV5-120</f>
        <v>4899</v>
      </c>
      <c r="ACW5" s="52">
        <f>BALANCING!ACW5-120</f>
        <v>4899</v>
      </c>
      <c r="ACX5" s="52">
        <f>BALANCING!ACX5-120</f>
        <v>4899</v>
      </c>
      <c r="ACY5" s="52">
        <f>BALANCING!ACY5-120</f>
        <v>4899</v>
      </c>
      <c r="ACZ5" s="52">
        <f>BALANCING!ACZ5-120</f>
        <v>4899</v>
      </c>
      <c r="ADA5" s="52">
        <f>BALANCING!ADA5-120</f>
        <v>4899</v>
      </c>
      <c r="ADB5" s="52">
        <f>BALANCING!ADB5-120</f>
        <v>4899</v>
      </c>
      <c r="ADC5" s="52">
        <f>BALANCING!ADC5-120</f>
        <v>4899</v>
      </c>
      <c r="ADD5" s="52">
        <f>BALANCING!ADD5-120</f>
        <v>4899</v>
      </c>
      <c r="ADE5" s="52">
        <f>BALANCING!ADE5-120</f>
        <v>4899</v>
      </c>
      <c r="ADF5" s="52">
        <f>BALANCING!ADF5-120</f>
        <v>4899</v>
      </c>
      <c r="ADG5" s="52">
        <f>BALANCING!ADG5-120</f>
        <v>4899</v>
      </c>
      <c r="ADH5" s="52">
        <f>BALANCING!ADH5-120</f>
        <v>4899</v>
      </c>
      <c r="ADI5" s="130"/>
      <c r="ADJ5" s="52">
        <f>BALANCING!ADJ5-120</f>
        <v>4899</v>
      </c>
      <c r="ADK5" s="52">
        <f>BALANCING!ADK5-120</f>
        <v>4899</v>
      </c>
      <c r="ADL5" s="52">
        <f>BALANCING!ADL5-120</f>
        <v>4899</v>
      </c>
      <c r="ADM5" s="52">
        <f>BALANCING!ADM5-120</f>
        <v>4899</v>
      </c>
      <c r="ADN5" s="52">
        <f>BALANCING!ADN5-120</f>
        <v>4899</v>
      </c>
      <c r="ADO5" s="52">
        <f>BALANCING!ADO5-120</f>
        <v>4899</v>
      </c>
      <c r="ADP5" s="52">
        <f>BALANCING!ADP5-120</f>
        <v>4899</v>
      </c>
      <c r="ADQ5" s="52">
        <f>BALANCING!ADQ5-120</f>
        <v>4899</v>
      </c>
      <c r="ADR5" s="52">
        <f>BALANCING!ADR5-120</f>
        <v>4899</v>
      </c>
      <c r="ADS5" s="52">
        <f>BALANCING!ADS5-120</f>
        <v>4899</v>
      </c>
      <c r="ADT5" s="52">
        <f>BALANCING!ADT5-120</f>
        <v>4899</v>
      </c>
      <c r="ADU5" s="52">
        <f>BALANCING!ADU5-120</f>
        <v>4899</v>
      </c>
      <c r="ADV5" s="52">
        <f>BALANCING!ADV5-120</f>
        <v>4899</v>
      </c>
      <c r="ADW5" s="52">
        <f>BALANCING!ADW5-120</f>
        <v>4899</v>
      </c>
      <c r="ADX5" s="52">
        <f>BALANCING!ADX5-120</f>
        <v>4899</v>
      </c>
      <c r="ADY5" s="52">
        <f>BALANCING!ADY5-120</f>
        <v>4899</v>
      </c>
      <c r="ADZ5" s="52">
        <f>BALANCING!ADZ5-120</f>
        <v>4899</v>
      </c>
      <c r="AEA5" s="52">
        <f>BALANCING!AEA5-120</f>
        <v>4899</v>
      </c>
      <c r="AEB5" s="52">
        <f>BALANCING!AEB5-120</f>
        <v>4899</v>
      </c>
      <c r="AEC5" s="52">
        <f>BALANCING!AEC5-120</f>
        <v>4899</v>
      </c>
      <c r="AED5" s="52">
        <f>BALANCING!AED5-120</f>
        <v>4899</v>
      </c>
      <c r="AEE5" s="52">
        <f>BALANCING!AEE5-120</f>
        <v>4879</v>
      </c>
      <c r="AEF5" s="52">
        <f>BALANCING!AEF5-120</f>
        <v>4879</v>
      </c>
      <c r="AEG5" s="52">
        <f>BALANCING!AEG5-120</f>
        <v>4879</v>
      </c>
      <c r="AEH5" s="52">
        <f>BALANCING!AEH5-120</f>
        <v>4879</v>
      </c>
      <c r="AEI5" s="52">
        <f>BALANCING!AEI5-120</f>
        <v>4879</v>
      </c>
      <c r="AEJ5" s="52">
        <f>BALANCING!AEJ5-120</f>
        <v>4879</v>
      </c>
      <c r="AEK5" s="52">
        <f>BALANCING!AEK5-120</f>
        <v>4879</v>
      </c>
      <c r="AEL5" s="52">
        <f>BALANCING!AEL5-120</f>
        <v>4879</v>
      </c>
      <c r="AEM5" s="52">
        <f>BALANCING!AEM5-120</f>
        <v>4879</v>
      </c>
      <c r="AEN5" s="130"/>
      <c r="AEO5" s="52">
        <f>BALANCING!AEO5-120</f>
        <v>4879</v>
      </c>
      <c r="AEP5" s="52">
        <f>BALANCING!AEP5-120</f>
        <v>4879</v>
      </c>
      <c r="AEQ5" s="52">
        <f>BALANCING!AEQ5-120</f>
        <v>4879</v>
      </c>
      <c r="AER5" s="52">
        <f>BALANCING!AER5-120</f>
        <v>4879</v>
      </c>
      <c r="AES5" s="52">
        <f>BALANCING!AES5-120</f>
        <v>4879</v>
      </c>
      <c r="AET5" s="52">
        <f>BALANCING!AET5-120</f>
        <v>4879</v>
      </c>
      <c r="AEU5" s="52">
        <f>BALANCING!AEU5-120</f>
        <v>4879</v>
      </c>
      <c r="AEV5" s="52">
        <f>BALANCING!AEV5-120</f>
        <v>4879</v>
      </c>
      <c r="AEW5" s="52">
        <f>BALANCING!AEW5-120</f>
        <v>4879</v>
      </c>
      <c r="AEX5" s="52">
        <f>BALANCING!AEX5-120</f>
        <v>4879</v>
      </c>
      <c r="AEY5" s="52">
        <f>BALANCING!AEY5-120</f>
        <v>4879</v>
      </c>
      <c r="AEZ5" s="52">
        <f>BALANCING!AEZ5-120</f>
        <v>4879</v>
      </c>
      <c r="AFA5" s="52">
        <f>BALANCING!AFA5-120</f>
        <v>4879</v>
      </c>
      <c r="AFB5" s="52">
        <f>BALANCING!AFB5-120</f>
        <v>4879</v>
      </c>
      <c r="AFC5" s="52">
        <f>BALANCING!AFC5-120</f>
        <v>4879</v>
      </c>
      <c r="AFD5" s="52">
        <f>BALANCING!AFD5-120</f>
        <v>4879</v>
      </c>
      <c r="AFE5" s="52">
        <f>BALANCING!AFE5-120</f>
        <v>4879</v>
      </c>
      <c r="AFF5" s="52">
        <f>BALANCING!AFF5-120</f>
        <v>4879</v>
      </c>
      <c r="AFG5" s="52">
        <f>BALANCING!AFG5-120</f>
        <v>4879</v>
      </c>
      <c r="AFH5" s="52">
        <f>BALANCING!AFH5-120</f>
        <v>4879</v>
      </c>
      <c r="AFI5" s="52">
        <f>BALANCING!AFI5-120</f>
        <v>4879</v>
      </c>
      <c r="AFJ5" s="52">
        <f>BALANCING!AFJ5-120</f>
        <v>4879</v>
      </c>
      <c r="AFK5" s="52">
        <f>BALANCING!AFK5-120</f>
        <v>4879</v>
      </c>
      <c r="AFL5" s="52">
        <f>BALANCING!AFL5-120</f>
        <v>4879</v>
      </c>
      <c r="AFM5" s="52">
        <f>BALANCING!AFM5-120</f>
        <v>4879</v>
      </c>
      <c r="AFN5" s="52">
        <f>BALANCING!AFN5-120</f>
        <v>4879</v>
      </c>
      <c r="AFO5" s="52">
        <f>BALANCING!AFO5-120</f>
        <v>4829</v>
      </c>
      <c r="AFP5" s="52">
        <f>BALANCING!AFP5-120</f>
        <v>4829</v>
      </c>
      <c r="AFQ5" s="52">
        <f>BALANCING!AFQ5-120</f>
        <v>4829</v>
      </c>
      <c r="AFR5" s="52">
        <f>BALANCING!AFR5-120</f>
        <v>4829</v>
      </c>
      <c r="AFS5" s="52">
        <f>BALANCING!AFS5-120</f>
        <v>4829</v>
      </c>
      <c r="AFT5" s="130"/>
      <c r="AFU5" s="52">
        <f>BALANCING!AFU5-120</f>
        <v>4829</v>
      </c>
      <c r="AFV5" s="52">
        <f>BALANCING!AFV5-120</f>
        <v>4829</v>
      </c>
      <c r="AFW5" s="52">
        <f>BALANCING!AFW5-120</f>
        <v>4829</v>
      </c>
      <c r="AFX5" s="52">
        <f>BALANCING!AFX5-120</f>
        <v>4829</v>
      </c>
      <c r="AFY5" s="52">
        <f>BALANCING!AFY5-120</f>
        <v>4829</v>
      </c>
      <c r="AFZ5" s="52">
        <f>BALANCING!AFZ5-120</f>
        <v>4829</v>
      </c>
      <c r="AGA5" s="52">
        <f>BALANCING!AGA5-120</f>
        <v>4829</v>
      </c>
      <c r="AGB5" s="52">
        <f>BALANCING!AGB5-120</f>
        <v>4829</v>
      </c>
      <c r="AGC5" s="52">
        <f>BALANCING!AGC5-120</f>
        <v>4829</v>
      </c>
      <c r="AGD5" s="52">
        <f>BALANCING!AGD5-120</f>
        <v>4829</v>
      </c>
      <c r="AGE5" s="52">
        <f>BALANCING!AGE5-120</f>
        <v>4829</v>
      </c>
      <c r="AGF5" s="52">
        <f>BALANCING!AGF5-120</f>
        <v>4829</v>
      </c>
      <c r="AGG5" s="52">
        <f>BALANCING!AGG5-120</f>
        <v>4829</v>
      </c>
      <c r="AGH5" s="52">
        <f>BALANCING!AGH5-120</f>
        <v>4829</v>
      </c>
      <c r="AGI5" s="52">
        <f>BALANCING!AGI5-120</f>
        <v>4829</v>
      </c>
      <c r="AGJ5" s="52">
        <f>BALANCING!AGJ5-120</f>
        <v>4829</v>
      </c>
      <c r="AGK5" s="52">
        <f>BALANCING!AGK5-120</f>
        <v>4829</v>
      </c>
      <c r="AGL5" s="52">
        <f>BALANCING!AGL5-120</f>
        <v>4829</v>
      </c>
      <c r="AGM5" s="52">
        <f>BALANCING!AGM5-120</f>
        <v>4829</v>
      </c>
      <c r="AGN5" s="52">
        <f>BALANCING!AGN5-120</f>
        <v>4829</v>
      </c>
      <c r="AGO5" s="52">
        <f>BALANCING!AGO5-120</f>
        <v>4829</v>
      </c>
      <c r="AGP5" s="52">
        <f>BALANCING!AGP5-120</f>
        <v>4829</v>
      </c>
      <c r="AGQ5" s="52">
        <f>BALANCING!AGQ5-120</f>
        <v>4829</v>
      </c>
      <c r="AGR5" s="52">
        <f>BALANCING!AGR5-120</f>
        <v>4829</v>
      </c>
      <c r="AGS5" s="52">
        <f>BALANCING!AGS5-120</f>
        <v>4829</v>
      </c>
      <c r="AGT5" s="52">
        <f>BALANCING!AGT5-120</f>
        <v>4829</v>
      </c>
      <c r="AGU5" s="52">
        <f>BALANCING!AGU5-120</f>
        <v>4829</v>
      </c>
      <c r="AGV5" s="52">
        <f>BALANCING!AGV5-120</f>
        <v>4829</v>
      </c>
      <c r="AGW5" s="52">
        <f>BALANCING!AGW5-120</f>
        <v>4829</v>
      </c>
      <c r="AGX5" s="52">
        <f>BALANCING!AGX5-120</f>
        <v>4829</v>
      </c>
      <c r="AGY5" s="139"/>
      <c r="AGZ5" s="52">
        <f>BALANCING!AGZ5-120</f>
        <v>4829</v>
      </c>
      <c r="AHA5" s="52">
        <f>BALANCING!AHA5-120</f>
        <v>4829</v>
      </c>
      <c r="AHB5" s="52">
        <f>BALANCING!AHB5-120</f>
        <v>4829</v>
      </c>
      <c r="AHC5" s="52">
        <f>BALANCING!AHC5-120</f>
        <v>4829</v>
      </c>
      <c r="AHD5" s="52">
        <f>BALANCING!AHD5-120</f>
        <v>4829</v>
      </c>
      <c r="AHE5" s="52">
        <f>BALANCING!AHE5-120</f>
        <v>4829</v>
      </c>
      <c r="AHF5" s="52">
        <f>BALANCING!AHF5-120</f>
        <v>4829</v>
      </c>
      <c r="AHG5" s="52">
        <f>BALANCING!AHG5-120</f>
        <v>4829</v>
      </c>
      <c r="AHH5" s="52">
        <f>BALANCING!AHH5-120</f>
        <v>4829</v>
      </c>
      <c r="AHI5" s="52">
        <f>BALANCING!AHI5-120</f>
        <v>4829</v>
      </c>
      <c r="AHJ5" s="52">
        <f>BALANCING!AHJ5-120</f>
        <v>4829</v>
      </c>
      <c r="AHK5" s="52">
        <f>BALANCING!AHK5-120</f>
        <v>4829</v>
      </c>
      <c r="AHL5" s="52">
        <f>BALANCING!AHL5-120</f>
        <v>4829</v>
      </c>
      <c r="AHM5" s="52">
        <f>BALANCING!AHM5-120</f>
        <v>4829</v>
      </c>
      <c r="AHN5" s="52">
        <f>BALANCING!AHN5-120</f>
        <v>4829</v>
      </c>
      <c r="AHO5" s="52">
        <f>BALANCING!AHO5-120</f>
        <v>4829</v>
      </c>
      <c r="AHP5" s="52">
        <f>BALANCING!AHP5-120</f>
        <v>4829</v>
      </c>
      <c r="AHQ5" s="52">
        <f>BALANCING!AHQ5-120</f>
        <v>4829</v>
      </c>
      <c r="AHR5" s="52">
        <f>BALANCING!AHR5-120</f>
        <v>4829</v>
      </c>
      <c r="AHS5" s="52">
        <f>BALANCING!AHS5-120</f>
        <v>4829</v>
      </c>
      <c r="AHT5" s="52">
        <f>BALANCING!AHT5-120</f>
        <v>4829</v>
      </c>
      <c r="AHU5" s="52">
        <f>BALANCING!AHU5-120</f>
        <v>4829</v>
      </c>
      <c r="AHV5" s="52">
        <f>BALANCING!AHV5-120</f>
        <v>4829</v>
      </c>
      <c r="AHW5" s="52">
        <f>BALANCING!AHW5-120</f>
        <v>4829</v>
      </c>
      <c r="AHX5" s="52">
        <f>BALANCING!AHX5-120</f>
        <v>4829</v>
      </c>
      <c r="AHY5" s="52">
        <f>BALANCING!AHY5-120</f>
        <v>4829</v>
      </c>
      <c r="AHZ5" s="52">
        <f>BALANCING!AHZ5-120</f>
        <v>4829</v>
      </c>
      <c r="AIA5" s="52">
        <f>BALANCING!AIA5-120</f>
        <v>4829</v>
      </c>
      <c r="AIB5" s="52">
        <f>BALANCING!AIB5-120</f>
        <v>4829</v>
      </c>
      <c r="AIC5" s="52">
        <f>BALANCING!AIC5-120</f>
        <v>4829</v>
      </c>
      <c r="AID5" s="52">
        <f>BALANCING!AID5-120</f>
        <v>4829</v>
      </c>
      <c r="AIE5" s="130"/>
      <c r="AIF5" s="52">
        <f>BALANCING!AIF5-120</f>
        <v>4829</v>
      </c>
      <c r="AIG5" s="52">
        <f>BALANCING!AIG5-120</f>
        <v>4829</v>
      </c>
      <c r="AIH5" s="52">
        <f>BALANCING!AIH5-120</f>
        <v>4829</v>
      </c>
      <c r="AII5" s="52">
        <f>BALANCING!AII5-120</f>
        <v>4829</v>
      </c>
      <c r="AIJ5" s="52">
        <f>BALANCING!AIJ5-120</f>
        <v>4829</v>
      </c>
      <c r="AIK5" s="52">
        <f>BALANCING!AIK5-120</f>
        <v>4829</v>
      </c>
      <c r="AIL5" s="52">
        <f>BALANCING!AIL5-120</f>
        <v>4829</v>
      </c>
      <c r="AIM5" s="52">
        <f>BALANCING!AIM5-120</f>
        <v>4829</v>
      </c>
      <c r="AIN5" s="52">
        <f>BALANCING!AIN5-120</f>
        <v>4829</v>
      </c>
      <c r="AIO5" s="52">
        <f>BALANCING!AIO5-120</f>
        <v>4829</v>
      </c>
      <c r="AIP5" s="52">
        <f>BALANCING!AIP5-120</f>
        <v>4829</v>
      </c>
      <c r="AIQ5" s="52">
        <f>BALANCING!AIQ5-120</f>
        <v>4829</v>
      </c>
      <c r="AIR5" s="52">
        <f>BALANCING!AIR5-120</f>
        <v>4829</v>
      </c>
      <c r="AIS5" s="52">
        <f>BALANCING!AIS5-120</f>
        <v>4879</v>
      </c>
      <c r="AIT5" s="52">
        <f>BALANCING!AIT5-120</f>
        <v>4879</v>
      </c>
      <c r="AIU5" s="52">
        <f>BALANCING!AIU5-120</f>
        <v>4879</v>
      </c>
      <c r="AIV5" s="52">
        <f>BALANCING!AIV5-120</f>
        <v>4879</v>
      </c>
      <c r="AIW5" s="52">
        <f>BALANCING!AIW5-120</f>
        <v>4879</v>
      </c>
      <c r="AIX5" s="52">
        <f>BALANCING!AIX5-120</f>
        <v>4879</v>
      </c>
      <c r="AIY5" s="52">
        <f>BALANCING!AIY5-120</f>
        <v>4879</v>
      </c>
      <c r="AIZ5" s="52">
        <f>BALANCING!AIZ5-120</f>
        <v>4879</v>
      </c>
      <c r="AJA5" s="52">
        <f>BALANCING!AJA5-120</f>
        <v>4879</v>
      </c>
      <c r="AJB5" s="52">
        <f>BALANCING!AJB5-120</f>
        <v>4879</v>
      </c>
      <c r="AJC5" s="52">
        <f>BALANCING!AJC5-120</f>
        <v>4879</v>
      </c>
      <c r="AJD5" s="52">
        <f>BALANCING!AJD5-120</f>
        <v>4879</v>
      </c>
      <c r="AJE5" s="52">
        <f>BALANCING!AJE5-120</f>
        <v>4879</v>
      </c>
      <c r="AJF5" s="52">
        <f>BALANCING!AJF5-120</f>
        <v>4879</v>
      </c>
      <c r="AJG5" s="52">
        <f>BALANCING!AJG5-120</f>
        <v>4879</v>
      </c>
      <c r="AJH5" s="52">
        <f>BALANCING!AJH5-120</f>
        <v>4929</v>
      </c>
      <c r="AJI5" s="52">
        <f>BALANCING!AJI5-120</f>
        <v>4929</v>
      </c>
      <c r="AJJ5" s="52">
        <f>BALANCING!AJJ5-120</f>
        <v>4929</v>
      </c>
      <c r="AJK5" s="145"/>
      <c r="AJL5" s="52">
        <f>BALANCING!AJL5-120</f>
        <v>4929</v>
      </c>
      <c r="AJM5" s="52">
        <f>BALANCING!AJM5-120</f>
        <v>4929</v>
      </c>
      <c r="AJN5" s="52">
        <f>BALANCING!AJN5-120</f>
        <v>4929</v>
      </c>
      <c r="AJO5" s="52">
        <f>BALANCING!AJO5-120</f>
        <v>4929</v>
      </c>
      <c r="AJP5" s="52">
        <f>BALANCING!AJP5-120</f>
        <v>4929</v>
      </c>
      <c r="AJQ5" s="52">
        <f>BALANCING!AJQ5-120</f>
        <v>4929</v>
      </c>
      <c r="AJR5" s="52">
        <f>BALANCING!AJR5-120</f>
        <v>4929</v>
      </c>
      <c r="AJS5" s="52">
        <f>BALANCING!AJS5-120</f>
        <v>4929</v>
      </c>
      <c r="AJT5" s="52">
        <f>BALANCING!AJT5-120</f>
        <v>4929</v>
      </c>
      <c r="AJU5" s="52">
        <f>BALANCING!AJU5-120</f>
        <v>4929</v>
      </c>
      <c r="AJV5" s="52">
        <f>BALANCING!AJV5-120</f>
        <v>4929</v>
      </c>
      <c r="AJW5" s="52">
        <f>BALANCING!AJW5-120</f>
        <v>4929</v>
      </c>
      <c r="AJX5" s="52">
        <f>BALANCING!AJX5-120</f>
        <v>4929</v>
      </c>
      <c r="AJY5" s="52">
        <f>BALANCING!AJY5-120</f>
        <v>4929</v>
      </c>
      <c r="AJZ5" s="52">
        <f>BALANCING!AJZ5-120</f>
        <v>4929</v>
      </c>
      <c r="AKA5" s="52">
        <f>BALANCING!AKA5-120</f>
        <v>4929</v>
      </c>
      <c r="AKB5" s="52">
        <f>BALANCING!AKB5-120</f>
        <v>4929</v>
      </c>
      <c r="AKC5" s="52">
        <f>BALANCING!AKC5-120</f>
        <v>4929</v>
      </c>
      <c r="AKD5" s="52">
        <f>BALANCING!AKD5-120</f>
        <v>4929</v>
      </c>
      <c r="AKE5" s="52">
        <f>BALANCING!AKE5-120</f>
        <v>4929</v>
      </c>
      <c r="AKF5" s="52">
        <f>BALANCING!AKF5-120</f>
        <v>4929</v>
      </c>
      <c r="AKG5" s="52">
        <f>BALANCING!AKG5-120</f>
        <v>4929</v>
      </c>
      <c r="AKH5" s="52">
        <f>BALANCING!AKH5-120</f>
        <v>4929</v>
      </c>
      <c r="AKI5" s="52">
        <f>BALANCING!AKI5-120</f>
        <v>4929</v>
      </c>
      <c r="AKJ5" s="52">
        <f>BALANCING!AKJ5-120</f>
        <v>4929</v>
      </c>
      <c r="AKK5" s="52">
        <f>BALANCING!AKK5-120</f>
        <v>4929</v>
      </c>
      <c r="AKL5" s="52">
        <f>BALANCING!AKL5-120</f>
        <v>4929</v>
      </c>
      <c r="AKM5" s="52">
        <f>BALANCING!AKM5-120</f>
        <v>4929</v>
      </c>
      <c r="AKN5" s="151"/>
      <c r="AKO5" s="52">
        <f>BALANCING!AKO5-120</f>
        <v>4929</v>
      </c>
      <c r="AKP5" s="52">
        <f>BALANCING!AKP5-120</f>
        <v>4929</v>
      </c>
      <c r="AKQ5" s="52">
        <f>BALANCING!AKQ5-120</f>
        <v>4929</v>
      </c>
      <c r="AKR5" s="52">
        <f>BALANCING!AKR5-120</f>
        <v>4929</v>
      </c>
      <c r="AKS5" s="52">
        <f>BALANCING!AKS5-120</f>
        <v>4929</v>
      </c>
      <c r="AKT5" s="52">
        <f>BALANCING!AKT5-120</f>
        <v>4929</v>
      </c>
      <c r="AKU5" s="52">
        <f>BALANCING!AKU5-120</f>
        <v>4929</v>
      </c>
      <c r="AKV5" s="52">
        <f>BALANCING!AKV5-120</f>
        <v>4929</v>
      </c>
      <c r="AKW5" s="52">
        <f>BALANCING!AKW5-120</f>
        <v>4929</v>
      </c>
      <c r="AKX5" s="52">
        <f>BALANCING!AKX5-120</f>
        <v>4929</v>
      </c>
      <c r="AKY5" s="52">
        <f>BALANCING!AKY5-120</f>
        <v>4979</v>
      </c>
      <c r="AKZ5" s="52">
        <f>BALANCING!AKZ5-120</f>
        <v>4979</v>
      </c>
      <c r="ALA5" s="52">
        <f>BALANCING!ALA5-120</f>
        <v>4979</v>
      </c>
      <c r="ALB5" s="52">
        <f>BALANCING!ALB5-120</f>
        <v>4979</v>
      </c>
      <c r="ALC5" s="52">
        <f>BALANCING!ALC5-120</f>
        <v>4979</v>
      </c>
      <c r="ALD5" s="52">
        <f>BALANCING!ALD5-120</f>
        <v>4979</v>
      </c>
      <c r="ALE5" s="52">
        <f>BALANCING!ALE5-120</f>
        <v>4979</v>
      </c>
      <c r="ALF5" s="52">
        <f>BALANCING!ALF5-120</f>
        <v>5029</v>
      </c>
      <c r="ALG5" s="52">
        <f>BALANCING!ALG5-120</f>
        <v>5029</v>
      </c>
      <c r="ALH5" s="52">
        <f>BALANCING!ALH5-120</f>
        <v>5029</v>
      </c>
      <c r="ALI5" s="52">
        <f>BALANCING!ALI5-120</f>
        <v>5029</v>
      </c>
      <c r="ALJ5" s="52">
        <f>BALANCING!ALJ5-120</f>
        <v>5029</v>
      </c>
      <c r="ALK5" s="52">
        <f>BALANCING!ALK5-120</f>
        <v>5029</v>
      </c>
      <c r="ALL5" s="52">
        <f>BALANCING!ALL5-120</f>
        <v>5079</v>
      </c>
      <c r="ALM5" s="52">
        <f>BALANCING!ALM5-120</f>
        <v>5079</v>
      </c>
      <c r="ALN5" s="52">
        <f>BALANCING!ALN5-120</f>
        <v>5079</v>
      </c>
      <c r="ALO5" s="52">
        <f>BALANCING!ALO5-120</f>
        <v>5079</v>
      </c>
      <c r="ALP5" s="52">
        <f>BALANCING!ALP5-120</f>
        <v>5079</v>
      </c>
      <c r="ALQ5" s="52">
        <f>BALANCING!ALQ5-120</f>
        <v>5079</v>
      </c>
      <c r="ALR5" s="52">
        <v>5079</v>
      </c>
      <c r="ALS5" s="52">
        <f>BALANCING!ALS5-120</f>
        <v>5169</v>
      </c>
      <c r="ALT5" s="130"/>
      <c r="ALU5" s="52">
        <f>BALANCING!ALU5-120</f>
        <v>5169</v>
      </c>
      <c r="ALV5" s="52">
        <f>BALANCING!ALV5-120</f>
        <v>5169</v>
      </c>
      <c r="ALW5" s="52">
        <f>BALANCING!ALW5-120</f>
        <v>5169</v>
      </c>
      <c r="ALX5" s="52">
        <f>BALANCING!ALX5-120</f>
        <v>5169</v>
      </c>
      <c r="ALY5" s="52">
        <f>BALANCING!ALY5-120</f>
        <v>5169</v>
      </c>
      <c r="ALZ5" s="52">
        <f>BALANCING!ALZ5-120</f>
        <v>5169</v>
      </c>
      <c r="AMA5" s="52">
        <f>BALANCING!AMA5-120</f>
        <v>5169</v>
      </c>
      <c r="AMB5" s="52">
        <f>BALANCING!AMB5-120</f>
        <v>5169</v>
      </c>
      <c r="AMC5" s="52">
        <f>BALANCING!AMC5-120</f>
        <v>5169</v>
      </c>
      <c r="AMD5" s="52">
        <f>BALANCING!AMD5-120</f>
        <v>5169</v>
      </c>
      <c r="AME5" s="52">
        <f>BALANCING!AME5-120</f>
        <v>5169</v>
      </c>
      <c r="AMF5" s="52">
        <f>BALANCING!AMF5-120</f>
        <v>5169</v>
      </c>
      <c r="AMG5" s="52">
        <f>BALANCING!AMG5-120</f>
        <v>5169</v>
      </c>
      <c r="AMH5" s="52">
        <f>BALANCING!AMH5-120</f>
        <v>5169</v>
      </c>
      <c r="AMI5" s="52">
        <f>BALANCING!AMI5-120</f>
        <v>5269</v>
      </c>
      <c r="AMJ5" s="52">
        <f>BALANCING!AMJ5-120</f>
        <v>5269</v>
      </c>
      <c r="AMK5" s="52">
        <f>BALANCING!AMK5-120</f>
        <v>5269</v>
      </c>
      <c r="AML5" s="52">
        <f>BALANCING!AML5-120</f>
        <v>5269</v>
      </c>
      <c r="AMM5" s="52">
        <f>BALANCING!AMM5-120</f>
        <v>5269</v>
      </c>
      <c r="AMN5" s="52">
        <f>BALANCING!AMN5-120</f>
        <v>5269</v>
      </c>
      <c r="AMO5" s="52">
        <f>BALANCING!AMO5-120</f>
        <v>5269</v>
      </c>
      <c r="AMP5" s="52">
        <f>BALANCING!AMP5-120</f>
        <v>5379</v>
      </c>
      <c r="AMQ5" s="52">
        <f>BALANCING!AMQ5-120</f>
        <v>5379</v>
      </c>
      <c r="AMR5" s="52">
        <f>BALANCING!AMR5-120</f>
        <v>5379</v>
      </c>
      <c r="AMS5" s="52">
        <f>BALANCING!AMS5-120</f>
        <v>5379</v>
      </c>
      <c r="AMT5" s="52">
        <f>BALANCING!AMT5-120</f>
        <v>5379</v>
      </c>
      <c r="AMU5" s="52">
        <f>BALANCING!AMU5-120</f>
        <v>5379</v>
      </c>
      <c r="AMV5" s="52">
        <f>BALANCING!AMV5-120</f>
        <v>5379</v>
      </c>
      <c r="AMW5" s="52">
        <f>BALANCING!AMW5-120</f>
        <v>5379</v>
      </c>
      <c r="AMX5" s="52">
        <f>BALANCING!AMX5-120</f>
        <v>5379</v>
      </c>
      <c r="AMY5" s="130"/>
      <c r="AMZ5" s="52">
        <f>BALANCING!AMZ5-120</f>
        <v>5579</v>
      </c>
      <c r="ANA5" s="52">
        <f>BALANCING!ANA5-120</f>
        <v>5579</v>
      </c>
      <c r="ANB5" s="52">
        <f>BALANCING!ANB5-120</f>
        <v>5579</v>
      </c>
      <c r="ANC5" s="52">
        <f>BALANCING!ANC5-120</f>
        <v>5579</v>
      </c>
      <c r="AND5" s="52">
        <f>BALANCING!AND5-120</f>
        <v>5579</v>
      </c>
      <c r="ANE5" s="52">
        <f>BALANCING!ANE5-120</f>
        <v>5579</v>
      </c>
      <c r="ANF5" s="52">
        <f>BALANCING!ANF5-120</f>
        <v>5579</v>
      </c>
      <c r="ANG5" s="52">
        <f>BALANCING!ANG5-120</f>
        <v>5579</v>
      </c>
      <c r="ANH5" s="52">
        <f>BALANCING!ANH5-120</f>
        <v>5579</v>
      </c>
      <c r="ANI5" s="52">
        <f>BALANCING!ANI5-120</f>
        <v>5579</v>
      </c>
      <c r="ANJ5" s="52">
        <f>BALANCING!ANJ5-120</f>
        <v>5579</v>
      </c>
      <c r="ANK5" s="52">
        <f>BALANCING!ANK5-120</f>
        <v>5579</v>
      </c>
      <c r="ANL5" s="52">
        <f>BALANCING!ANL5-120</f>
        <v>5579</v>
      </c>
      <c r="ANM5" s="52">
        <f>BALANCING!ANM5-120</f>
        <v>5579</v>
      </c>
      <c r="ANN5" s="52">
        <f>BALANCING!ANN5-120</f>
        <v>5579</v>
      </c>
      <c r="ANO5" s="52">
        <f>BALANCING!ANO5-120</f>
        <v>5579</v>
      </c>
      <c r="ANP5" s="52">
        <f>BALANCING!ANP5-120</f>
        <v>6130</v>
      </c>
      <c r="ANQ5" s="52">
        <f>BALANCING!ANQ5-120</f>
        <v>6130</v>
      </c>
      <c r="ANR5" s="52">
        <f>BALANCING!ANR5-120</f>
        <v>6130</v>
      </c>
      <c r="ANS5" s="52">
        <f>BALANCING!ANS5-120</f>
        <v>6130</v>
      </c>
      <c r="ANT5" s="52">
        <f>BALANCING!ANT5-120</f>
        <v>6130</v>
      </c>
      <c r="ANU5" s="52">
        <f>BALANCING!ANU5-120</f>
        <v>6130</v>
      </c>
      <c r="ANV5" s="52">
        <f>BALANCING!ANV5-120</f>
        <v>6130</v>
      </c>
      <c r="ANW5" s="52">
        <f>BALANCING!ANW5-120</f>
        <v>6130</v>
      </c>
      <c r="ANX5" s="52">
        <f>BALANCING!ANX5-120</f>
        <v>6130</v>
      </c>
      <c r="ANY5" s="52">
        <f>BALANCING!ANY5-120</f>
        <v>6130</v>
      </c>
      <c r="ANZ5" s="52">
        <f>BALANCING!ANZ5-120</f>
        <v>6130</v>
      </c>
      <c r="AOA5" s="52">
        <f>BALANCING!AOA5-120</f>
        <v>6130</v>
      </c>
      <c r="AOB5" s="52">
        <f>BALANCING!AOB5-120</f>
        <v>6270</v>
      </c>
      <c r="AOC5" s="52">
        <f>BALANCING!AOC5-120</f>
        <v>6270</v>
      </c>
    </row>
    <row r="6" spans="1:1069" x14ac:dyDescent="0.2">
      <c r="A6" s="160"/>
      <c r="B6" t="s">
        <v>1639</v>
      </c>
      <c r="C6" s="52">
        <f t="shared" ref="C6:AG6" si="9">C5*C4</f>
        <v>68727000</v>
      </c>
      <c r="D6" s="52">
        <f t="shared" si="9"/>
        <v>56730000</v>
      </c>
      <c r="E6" s="52">
        <f t="shared" si="9"/>
        <v>45225900</v>
      </c>
      <c r="F6" s="52">
        <f t="shared" si="9"/>
        <v>32791800</v>
      </c>
      <c r="G6" s="52">
        <f t="shared" si="9"/>
        <v>57219459</v>
      </c>
      <c r="H6" s="52">
        <f t="shared" si="9"/>
        <v>43465224</v>
      </c>
      <c r="I6" s="52">
        <f t="shared" si="9"/>
        <v>31789074</v>
      </c>
      <c r="J6" s="52">
        <f t="shared" si="9"/>
        <v>22800400</v>
      </c>
      <c r="K6" s="52">
        <f t="shared" si="9"/>
        <v>79011050</v>
      </c>
      <c r="L6" s="52">
        <f t="shared" si="9"/>
        <v>67802450</v>
      </c>
      <c r="M6" s="52">
        <f t="shared" si="9"/>
        <v>56411830</v>
      </c>
      <c r="N6" s="52">
        <f t="shared" si="9"/>
        <v>43162690</v>
      </c>
      <c r="O6" s="52">
        <f t="shared" si="9"/>
        <v>31556520</v>
      </c>
      <c r="P6" s="52">
        <f t="shared" si="9"/>
        <v>18537300</v>
      </c>
      <c r="Q6" s="52">
        <f t="shared" si="9"/>
        <v>69981900</v>
      </c>
      <c r="R6" s="52">
        <f t="shared" si="9"/>
        <v>58375730</v>
      </c>
      <c r="S6" s="52">
        <f t="shared" si="9"/>
        <v>46942000</v>
      </c>
      <c r="T6" s="52">
        <f t="shared" si="9"/>
        <v>33352770</v>
      </c>
      <c r="U6" s="52">
        <f t="shared" si="9"/>
        <v>22029630</v>
      </c>
      <c r="V6" s="52">
        <f t="shared" si="9"/>
        <v>11992890</v>
      </c>
      <c r="W6" s="52">
        <f t="shared" si="9"/>
        <v>83998530</v>
      </c>
      <c r="X6" s="52">
        <f t="shared" si="9"/>
        <v>73899000</v>
      </c>
      <c r="Y6" s="52">
        <f t="shared" si="9"/>
        <v>63514540</v>
      </c>
      <c r="Z6" s="52">
        <f t="shared" si="9"/>
        <v>52216140</v>
      </c>
      <c r="AA6" s="52">
        <f t="shared" si="9"/>
        <v>38716500</v>
      </c>
      <c r="AB6" s="52">
        <f t="shared" si="9"/>
        <v>73507780</v>
      </c>
      <c r="AC6" s="52">
        <f t="shared" si="9"/>
        <v>61050320</v>
      </c>
      <c r="AD6" s="52">
        <f t="shared" si="9"/>
        <v>50599300</v>
      </c>
      <c r="AE6" s="52">
        <f t="shared" si="9"/>
        <v>40274900</v>
      </c>
      <c r="AF6" s="52">
        <f t="shared" si="9"/>
        <v>30650000</v>
      </c>
      <c r="AG6" s="52">
        <f t="shared" si="9"/>
        <v>18215000</v>
      </c>
      <c r="AH6" s="67">
        <f>AG6</f>
        <v>18215000</v>
      </c>
      <c r="AI6" s="52">
        <f t="shared" ref="AI6:BL6" si="10">AI5*AI4</f>
        <v>3375000</v>
      </c>
      <c r="AJ6" s="52">
        <f t="shared" si="10"/>
        <v>54665000</v>
      </c>
      <c r="AK6" s="52">
        <f t="shared" si="10"/>
        <v>41760000</v>
      </c>
      <c r="AL6" s="52">
        <f t="shared" si="10"/>
        <v>29415000</v>
      </c>
      <c r="AM6" s="52">
        <f t="shared" si="10"/>
        <v>17524870</v>
      </c>
      <c r="AN6" s="52">
        <f t="shared" si="10"/>
        <v>68979680</v>
      </c>
      <c r="AO6" s="52">
        <f t="shared" si="10"/>
        <v>51632960</v>
      </c>
      <c r="AP6" s="52">
        <f t="shared" si="10"/>
        <v>36474940</v>
      </c>
      <c r="AQ6" s="52">
        <f t="shared" si="10"/>
        <v>23702730</v>
      </c>
      <c r="AR6" s="52">
        <f t="shared" si="10"/>
        <v>12497520</v>
      </c>
      <c r="AS6" s="52">
        <f t="shared" si="10"/>
        <v>1837260</v>
      </c>
      <c r="AT6" s="52">
        <f t="shared" si="10"/>
        <v>46074000</v>
      </c>
      <c r="AU6" s="52">
        <f t="shared" si="10"/>
        <v>41107500</v>
      </c>
      <c r="AV6" s="52">
        <f t="shared" si="10"/>
        <v>92746500</v>
      </c>
      <c r="AW6" s="52">
        <f t="shared" si="10"/>
        <v>81469500</v>
      </c>
      <c r="AX6" s="52">
        <f t="shared" si="10"/>
        <v>69793500</v>
      </c>
      <c r="AY6" s="52">
        <f t="shared" si="10"/>
        <v>59325000</v>
      </c>
      <c r="AZ6" s="52">
        <f t="shared" si="10"/>
        <v>48006000</v>
      </c>
      <c r="BA6" s="52">
        <f t="shared" si="10"/>
        <v>38351250</v>
      </c>
      <c r="BB6" s="52">
        <f t="shared" si="10"/>
        <v>74933250</v>
      </c>
      <c r="BC6" s="52">
        <f t="shared" si="10"/>
        <v>64874250</v>
      </c>
      <c r="BD6" s="52">
        <f t="shared" si="10"/>
        <v>52673250</v>
      </c>
      <c r="BE6" s="52">
        <f t="shared" si="10"/>
        <v>40950000</v>
      </c>
      <c r="BF6" s="52">
        <f t="shared" si="10"/>
        <v>30738750</v>
      </c>
      <c r="BG6" s="52">
        <f t="shared" si="10"/>
        <v>20112750</v>
      </c>
      <c r="BH6" s="52">
        <f t="shared" si="10"/>
        <v>94204320</v>
      </c>
      <c r="BI6" s="52">
        <f t="shared" si="10"/>
        <v>83629610</v>
      </c>
      <c r="BJ6" s="52">
        <f t="shared" si="10"/>
        <v>73938330</v>
      </c>
      <c r="BK6" s="52">
        <f t="shared" si="10"/>
        <v>63268400</v>
      </c>
      <c r="BL6" s="52">
        <f t="shared" si="10"/>
        <v>51561630</v>
      </c>
      <c r="BM6" s="106">
        <f>BL6</f>
        <v>51561630</v>
      </c>
      <c r="BN6" s="52">
        <f t="shared" ref="BN6:CR6" si="11">BN5*BN4</f>
        <v>88089080</v>
      </c>
      <c r="BO6" s="52">
        <f t="shared" si="11"/>
        <v>77397990</v>
      </c>
      <c r="BP6" s="52">
        <f t="shared" si="11"/>
        <v>66775670</v>
      </c>
      <c r="BQ6" s="52">
        <f t="shared" si="11"/>
        <v>56819890</v>
      </c>
      <c r="BR6" s="52">
        <f t="shared" si="11"/>
        <v>47398400</v>
      </c>
      <c r="BS6" s="52">
        <f t="shared" si="11"/>
        <v>36247080</v>
      </c>
      <c r="BT6" s="52">
        <f t="shared" si="11"/>
        <v>79794360</v>
      </c>
      <c r="BU6" s="52">
        <f t="shared" si="11"/>
        <v>68770000</v>
      </c>
      <c r="BV6" s="52">
        <f t="shared" si="11"/>
        <v>58523270</v>
      </c>
      <c r="BW6" s="52">
        <f t="shared" si="11"/>
        <v>49165260</v>
      </c>
      <c r="BX6" s="52">
        <f t="shared" si="11"/>
        <v>40071750</v>
      </c>
      <c r="BY6" s="52">
        <f t="shared" si="11"/>
        <v>30512720</v>
      </c>
      <c r="BZ6" s="52">
        <f t="shared" si="11"/>
        <v>19641770</v>
      </c>
      <c r="CA6" s="52">
        <f t="shared" si="11"/>
        <v>61237040</v>
      </c>
      <c r="CB6" s="52">
        <f t="shared" si="11"/>
        <v>50831610</v>
      </c>
      <c r="CC6" s="52">
        <f t="shared" si="11"/>
        <v>40849380</v>
      </c>
      <c r="CD6" s="52">
        <f t="shared" si="11"/>
        <v>30290540</v>
      </c>
      <c r="CE6" s="52">
        <f t="shared" si="11"/>
        <v>52524410</v>
      </c>
      <c r="CF6" s="52">
        <f t="shared" si="11"/>
        <v>43187560</v>
      </c>
      <c r="CG6" s="52">
        <f t="shared" si="11"/>
        <v>33125980</v>
      </c>
      <c r="CH6" s="52">
        <f t="shared" si="11"/>
        <v>90988000</v>
      </c>
      <c r="CI6" s="52">
        <f t="shared" si="11"/>
        <v>80069440</v>
      </c>
      <c r="CJ6" s="52">
        <f t="shared" si="11"/>
        <v>70658530</v>
      </c>
      <c r="CK6" s="52">
        <f t="shared" si="11"/>
        <v>60427670</v>
      </c>
      <c r="CL6" s="52">
        <f t="shared" si="11"/>
        <v>50709940</v>
      </c>
      <c r="CM6" s="52">
        <f t="shared" si="11"/>
        <v>40791190</v>
      </c>
      <c r="CN6" s="52">
        <f t="shared" si="11"/>
        <v>30348730</v>
      </c>
      <c r="CO6" s="52">
        <f t="shared" si="11"/>
        <v>60739780</v>
      </c>
      <c r="CP6" s="52">
        <f t="shared" si="11"/>
        <v>50784000</v>
      </c>
      <c r="CQ6" s="52">
        <f t="shared" si="11"/>
        <v>40389150</v>
      </c>
      <c r="CR6" s="52">
        <f t="shared" si="11"/>
        <v>30848742</v>
      </c>
      <c r="CT6" s="52">
        <f t="shared" ref="CT6:DW6" si="12">CT5*CT4</f>
        <v>20288200</v>
      </c>
      <c r="CU6" s="52">
        <f t="shared" si="12"/>
        <v>74035913</v>
      </c>
      <c r="CV6" s="52">
        <f t="shared" si="12"/>
        <v>63267150</v>
      </c>
      <c r="CW6" s="52">
        <f t="shared" si="12"/>
        <v>49455157</v>
      </c>
      <c r="CX6" s="52">
        <f t="shared" si="12"/>
        <v>37709357</v>
      </c>
      <c r="CY6" s="52">
        <f t="shared" si="12"/>
        <v>27276951</v>
      </c>
      <c r="CZ6" s="52">
        <f t="shared" si="12"/>
        <v>64399018</v>
      </c>
      <c r="DA6" s="52">
        <f t="shared" si="12"/>
        <v>54116104</v>
      </c>
      <c r="DB6" s="52">
        <f t="shared" si="12"/>
        <v>43149798</v>
      </c>
      <c r="DC6" s="52">
        <f t="shared" si="12"/>
        <v>31735016</v>
      </c>
      <c r="DD6" s="52">
        <f t="shared" si="12"/>
        <v>78451266</v>
      </c>
      <c r="DE6" s="52">
        <f t="shared" si="12"/>
        <v>68403268</v>
      </c>
      <c r="DF6" s="52">
        <f t="shared" si="12"/>
        <v>58729000</v>
      </c>
      <c r="DG6" s="52">
        <f t="shared" si="12"/>
        <v>47623880</v>
      </c>
      <c r="DH6" s="52">
        <f t="shared" si="12"/>
        <v>38651400</v>
      </c>
      <c r="DI6" s="52">
        <f t="shared" si="12"/>
        <v>102694350</v>
      </c>
      <c r="DJ6" s="52">
        <f t="shared" si="12"/>
        <v>95424050</v>
      </c>
      <c r="DK6" s="52">
        <f t="shared" si="12"/>
        <v>85319750</v>
      </c>
      <c r="DL6" s="52">
        <f t="shared" si="12"/>
        <v>76599750</v>
      </c>
      <c r="DM6" s="52">
        <f t="shared" si="12"/>
        <v>67291150</v>
      </c>
      <c r="DN6" s="52">
        <f t="shared" si="12"/>
        <v>59514000</v>
      </c>
      <c r="DO6" s="52">
        <f t="shared" si="12"/>
        <v>49774850</v>
      </c>
      <c r="DP6" s="52">
        <f t="shared" si="12"/>
        <v>39621500</v>
      </c>
      <c r="DQ6" s="52">
        <f t="shared" si="12"/>
        <v>78480000</v>
      </c>
      <c r="DR6" s="52">
        <f t="shared" si="12"/>
        <v>67176700</v>
      </c>
      <c r="DS6" s="52">
        <f t="shared" si="12"/>
        <v>57770000</v>
      </c>
      <c r="DT6" s="52">
        <f t="shared" si="12"/>
        <v>49164450</v>
      </c>
      <c r="DU6" s="52">
        <f t="shared" si="12"/>
        <v>41212900</v>
      </c>
      <c r="DV6" s="52">
        <f t="shared" si="12"/>
        <v>33790000</v>
      </c>
      <c r="DW6" s="52">
        <f t="shared" si="12"/>
        <v>24541350</v>
      </c>
      <c r="DX6" s="117"/>
      <c r="DY6" s="52">
        <f t="shared" ref="DY6:FC6" si="13">DY5*DY4</f>
        <v>13575950</v>
      </c>
      <c r="DZ6" s="52">
        <f t="shared" si="13"/>
        <v>4223750</v>
      </c>
      <c r="EA6" s="52">
        <f t="shared" si="13"/>
        <v>50368900</v>
      </c>
      <c r="EB6" s="52">
        <f t="shared" si="13"/>
        <v>42324700</v>
      </c>
      <c r="EC6" s="52">
        <f t="shared" si="13"/>
        <v>33790000</v>
      </c>
      <c r="ED6" s="52">
        <f t="shared" si="13"/>
        <v>24574050</v>
      </c>
      <c r="EE6" s="52">
        <f t="shared" si="13"/>
        <v>53469950</v>
      </c>
      <c r="EF6" s="52">
        <f t="shared" si="13"/>
        <v>43218500</v>
      </c>
      <c r="EG6" s="52">
        <f t="shared" si="13"/>
        <v>30454530</v>
      </c>
      <c r="EH6" s="52">
        <f t="shared" si="13"/>
        <v>19747570</v>
      </c>
      <c r="EI6" s="52">
        <f t="shared" si="13"/>
        <v>73821950</v>
      </c>
      <c r="EJ6" s="52">
        <f t="shared" si="13"/>
        <v>63109700</v>
      </c>
      <c r="EK6" s="52">
        <f t="shared" si="13"/>
        <v>52958190</v>
      </c>
      <c r="EL6" s="52">
        <f t="shared" si="13"/>
        <v>43251040</v>
      </c>
      <c r="EM6" s="52">
        <f t="shared" si="13"/>
        <v>78133300</v>
      </c>
      <c r="EN6" s="52">
        <f t="shared" si="13"/>
        <v>65146350</v>
      </c>
      <c r="EO6" s="52">
        <f t="shared" si="13"/>
        <v>54328300</v>
      </c>
      <c r="EP6" s="52">
        <f t="shared" si="13"/>
        <v>42161300</v>
      </c>
      <c r="EQ6" s="52">
        <f t="shared" si="13"/>
        <v>90617700</v>
      </c>
      <c r="ER6" s="52">
        <f t="shared" si="13"/>
        <v>78699330</v>
      </c>
      <c r="ES6" s="52">
        <f t="shared" si="13"/>
        <v>65886950</v>
      </c>
      <c r="ET6" s="52">
        <f t="shared" si="13"/>
        <v>51074950</v>
      </c>
      <c r="EU6" s="52">
        <f t="shared" si="13"/>
        <v>88872000</v>
      </c>
      <c r="EV6" s="52">
        <f t="shared" si="13"/>
        <v>75170900</v>
      </c>
      <c r="EW6" s="52">
        <f t="shared" si="13"/>
        <v>65093450</v>
      </c>
      <c r="EX6" s="52">
        <f t="shared" si="13"/>
        <v>56777570</v>
      </c>
      <c r="EY6" s="52">
        <f t="shared" si="13"/>
        <v>47451300</v>
      </c>
      <c r="EZ6" s="52">
        <f t="shared" si="13"/>
        <v>95770160</v>
      </c>
      <c r="FA6" s="52">
        <f t="shared" si="13"/>
        <v>85190160</v>
      </c>
      <c r="FB6" s="52">
        <f t="shared" si="13"/>
        <v>75118000</v>
      </c>
      <c r="FC6" s="52">
        <f t="shared" si="13"/>
        <v>63807980</v>
      </c>
      <c r="FD6" s="126"/>
      <c r="FE6" s="52">
        <f t="shared" ref="FE6:GI6" si="14">FE5*FE4</f>
        <v>54116700</v>
      </c>
      <c r="FF6" s="52">
        <f t="shared" si="14"/>
        <v>43748300</v>
      </c>
      <c r="FG6" s="52">
        <f t="shared" si="14"/>
        <v>35443000</v>
      </c>
      <c r="FH6" s="52">
        <f t="shared" si="14"/>
        <v>24757200</v>
      </c>
      <c r="FI6" s="52">
        <f t="shared" si="14"/>
        <v>14166620</v>
      </c>
      <c r="FJ6" s="52">
        <f t="shared" si="14"/>
        <v>77842350</v>
      </c>
      <c r="FK6" s="52">
        <f t="shared" si="14"/>
        <v>67823090</v>
      </c>
      <c r="FL6" s="52">
        <f t="shared" si="14"/>
        <v>57200770</v>
      </c>
      <c r="FM6" s="52">
        <f t="shared" si="14"/>
        <v>47186800</v>
      </c>
      <c r="FN6" s="52">
        <f t="shared" si="14"/>
        <v>37437330</v>
      </c>
      <c r="FO6" s="52">
        <f t="shared" si="14"/>
        <v>91167860</v>
      </c>
      <c r="FP6" s="52">
        <f t="shared" si="14"/>
        <v>81201500</v>
      </c>
      <c r="FQ6" s="52">
        <f t="shared" si="14"/>
        <v>70272360</v>
      </c>
      <c r="FR6" s="52">
        <f t="shared" si="14"/>
        <v>61173560</v>
      </c>
      <c r="FS6" s="52">
        <f t="shared" si="14"/>
        <v>52836520</v>
      </c>
      <c r="FT6" s="52">
        <f t="shared" si="14"/>
        <v>42938930</v>
      </c>
      <c r="FU6" s="52">
        <f t="shared" si="14"/>
        <v>93051100</v>
      </c>
      <c r="FV6" s="52">
        <f t="shared" si="14"/>
        <v>83931140</v>
      </c>
      <c r="FW6" s="52">
        <f t="shared" si="14"/>
        <v>73234760</v>
      </c>
      <c r="FX6" s="52">
        <f t="shared" si="14"/>
        <v>61713140</v>
      </c>
      <c r="FY6" s="52">
        <f t="shared" si="14"/>
        <v>51672720</v>
      </c>
      <c r="FZ6" s="52">
        <f t="shared" si="14"/>
        <v>42875450</v>
      </c>
      <c r="GA6" s="52">
        <f t="shared" si="14"/>
        <v>33173590</v>
      </c>
      <c r="GB6" s="52">
        <f t="shared" si="14"/>
        <v>87560080</v>
      </c>
      <c r="GC6" s="52">
        <f t="shared" si="14"/>
        <v>75784540</v>
      </c>
      <c r="GD6" s="52">
        <f t="shared" si="14"/>
        <v>65315630</v>
      </c>
      <c r="GE6" s="52">
        <f t="shared" si="14"/>
        <v>56248570</v>
      </c>
      <c r="GF6" s="52">
        <f t="shared" si="14"/>
        <v>47028100</v>
      </c>
      <c r="GG6" s="52">
        <f t="shared" si="14"/>
        <v>36114830</v>
      </c>
      <c r="GH6" s="52">
        <f t="shared" si="14"/>
        <v>27026610</v>
      </c>
      <c r="GI6" s="52">
        <f t="shared" si="14"/>
        <v>74024970</v>
      </c>
      <c r="GJ6" s="130"/>
      <c r="GK6" s="52">
        <f t="shared" ref="GK6:HM6" si="15">GK5*GK4</f>
        <v>64516890</v>
      </c>
      <c r="GL6" s="52">
        <f t="shared" si="15"/>
        <v>54520950</v>
      </c>
      <c r="GM6" s="52">
        <f t="shared" si="15"/>
        <v>40845300</v>
      </c>
      <c r="GN6" s="52">
        <f t="shared" si="15"/>
        <v>28840830</v>
      </c>
      <c r="GO6" s="52">
        <f t="shared" si="15"/>
        <v>18004110</v>
      </c>
      <c r="GP6" s="52">
        <f t="shared" si="15"/>
        <v>58190280</v>
      </c>
      <c r="GQ6" s="52">
        <f t="shared" si="15"/>
        <v>46035300</v>
      </c>
      <c r="GR6" s="52">
        <f t="shared" si="15"/>
        <v>35650110</v>
      </c>
      <c r="GS6" s="52">
        <f t="shared" si="15"/>
        <v>25072890</v>
      </c>
      <c r="GT6" s="52">
        <f t="shared" si="15"/>
        <v>77154540</v>
      </c>
      <c r="GU6" s="52">
        <f t="shared" si="15"/>
        <v>67236450</v>
      </c>
      <c r="GV6" s="52">
        <f t="shared" si="15"/>
        <v>57090000</v>
      </c>
      <c r="GW6" s="52">
        <f t="shared" si="15"/>
        <v>45723900</v>
      </c>
      <c r="GX6" s="52">
        <f t="shared" si="15"/>
        <v>35338710</v>
      </c>
      <c r="GY6" s="52">
        <f t="shared" si="15"/>
        <v>26090130</v>
      </c>
      <c r="GZ6" s="52">
        <f t="shared" si="15"/>
        <v>83507100</v>
      </c>
      <c r="HA6" s="52">
        <f t="shared" si="15"/>
        <v>72774180</v>
      </c>
      <c r="HB6" s="52">
        <f t="shared" si="15"/>
        <v>63587880</v>
      </c>
      <c r="HC6" s="52">
        <f t="shared" si="15"/>
        <v>54676650</v>
      </c>
      <c r="HD6" s="52">
        <f t="shared" si="15"/>
        <v>43824360</v>
      </c>
      <c r="HE6" s="52">
        <f t="shared" si="15"/>
        <v>34139820</v>
      </c>
      <c r="HF6" s="52">
        <f t="shared" si="15"/>
        <v>24408570</v>
      </c>
      <c r="HG6" s="52">
        <f t="shared" si="15"/>
        <v>81711360</v>
      </c>
      <c r="HH6" s="52">
        <f t="shared" si="15"/>
        <v>71679090</v>
      </c>
      <c r="HI6" s="52">
        <f t="shared" si="15"/>
        <v>64023840</v>
      </c>
      <c r="HJ6" s="52">
        <f t="shared" si="15"/>
        <v>53700930</v>
      </c>
      <c r="HK6" s="52">
        <f t="shared" si="15"/>
        <v>44384880</v>
      </c>
      <c r="HL6" s="52">
        <f t="shared" si="15"/>
        <v>86750850</v>
      </c>
      <c r="HM6" s="52">
        <f t="shared" si="15"/>
        <v>76211049.899999991</v>
      </c>
      <c r="HN6" s="130"/>
      <c r="HO6" s="52">
        <f t="shared" ref="HO6:IS6" si="16">HO5*HO4</f>
        <v>64413090</v>
      </c>
      <c r="HP6" s="52">
        <f t="shared" si="16"/>
        <v>52444950</v>
      </c>
      <c r="HQ6" s="52">
        <f t="shared" si="16"/>
        <v>40969860</v>
      </c>
      <c r="HR6" s="52">
        <f t="shared" si="16"/>
        <v>29987820</v>
      </c>
      <c r="HS6" s="52">
        <f t="shared" si="16"/>
        <v>80964000</v>
      </c>
      <c r="HT6" s="52">
        <f t="shared" si="16"/>
        <v>70407540</v>
      </c>
      <c r="HU6" s="52">
        <f t="shared" si="16"/>
        <v>58128000</v>
      </c>
      <c r="HV6" s="52">
        <f t="shared" si="16"/>
        <v>47286090</v>
      </c>
      <c r="HW6" s="52">
        <f t="shared" si="16"/>
        <v>36963180</v>
      </c>
      <c r="HX6" s="52">
        <f t="shared" si="16"/>
        <v>27257880</v>
      </c>
      <c r="HY6" s="52">
        <f t="shared" si="16"/>
        <v>78773820</v>
      </c>
      <c r="HZ6" s="52">
        <f t="shared" si="16"/>
        <v>70465500</v>
      </c>
      <c r="IA6" s="52">
        <f t="shared" si="16"/>
        <v>62002500</v>
      </c>
      <c r="IB6" s="52">
        <f t="shared" si="16"/>
        <v>53655000</v>
      </c>
      <c r="IC6" s="52">
        <f t="shared" si="16"/>
        <v>42677250</v>
      </c>
      <c r="ID6" s="52">
        <f t="shared" si="16"/>
        <v>95093250</v>
      </c>
      <c r="IE6" s="52">
        <f t="shared" si="16"/>
        <v>85454250</v>
      </c>
      <c r="IF6" s="52">
        <f t="shared" si="16"/>
        <v>74838750</v>
      </c>
      <c r="IG6" s="52">
        <f t="shared" si="16"/>
        <v>65273250</v>
      </c>
      <c r="IH6" s="52">
        <f t="shared" si="16"/>
        <v>55587000</v>
      </c>
      <c r="II6" s="52">
        <f t="shared" si="16"/>
        <v>46935000</v>
      </c>
      <c r="IJ6" s="52">
        <f t="shared" si="16"/>
        <v>36319500</v>
      </c>
      <c r="IK6" s="52">
        <f t="shared" si="16"/>
        <v>77873250</v>
      </c>
      <c r="IL6" s="52">
        <f t="shared" si="16"/>
        <v>68470500</v>
      </c>
      <c r="IM6" s="52">
        <f t="shared" si="16"/>
        <v>58411500</v>
      </c>
      <c r="IN6" s="52">
        <f t="shared" si="16"/>
        <v>49696500</v>
      </c>
      <c r="IO6" s="52">
        <f t="shared" si="16"/>
        <v>39768750</v>
      </c>
      <c r="IP6" s="52">
        <f t="shared" si="16"/>
        <v>30114000</v>
      </c>
      <c r="IQ6" s="52">
        <f t="shared" si="16"/>
        <v>89150250</v>
      </c>
      <c r="IR6" s="52">
        <f t="shared" si="16"/>
        <v>79080750</v>
      </c>
      <c r="IS6" s="52">
        <f t="shared" si="16"/>
        <v>71862000</v>
      </c>
      <c r="IT6" s="130"/>
      <c r="IU6" s="52">
        <f t="shared" ref="IU6:JX6" si="17">IU5*IU4</f>
        <v>64270500</v>
      </c>
      <c r="IV6" s="52">
        <f t="shared" si="17"/>
        <v>54337500</v>
      </c>
      <c r="IW6" s="52">
        <f t="shared" si="17"/>
        <v>45764250</v>
      </c>
      <c r="IX6" s="52">
        <f t="shared" si="17"/>
        <v>36865500</v>
      </c>
      <c r="IY6" s="52">
        <f t="shared" si="17"/>
        <v>27300000</v>
      </c>
      <c r="IZ6" s="52">
        <f t="shared" si="17"/>
        <v>16380000</v>
      </c>
      <c r="JA6" s="52">
        <f t="shared" si="17"/>
        <v>70129500</v>
      </c>
      <c r="JB6" s="52">
        <f t="shared" si="17"/>
        <v>60464250</v>
      </c>
      <c r="JC6" s="52">
        <f t="shared" si="17"/>
        <v>52090500</v>
      </c>
      <c r="JD6" s="52">
        <f t="shared" si="17"/>
        <v>41737500</v>
      </c>
      <c r="JE6" s="52">
        <f t="shared" si="17"/>
        <v>33400500</v>
      </c>
      <c r="JF6" s="52">
        <f t="shared" si="17"/>
        <v>24045000</v>
      </c>
      <c r="JG6" s="52">
        <f t="shared" si="17"/>
        <v>15146250</v>
      </c>
      <c r="JH6" s="52">
        <f t="shared" si="17"/>
        <v>70292250</v>
      </c>
      <c r="JI6" s="52">
        <f t="shared" si="17"/>
        <v>60401250</v>
      </c>
      <c r="JJ6" s="52">
        <f t="shared" si="17"/>
        <v>51738750</v>
      </c>
      <c r="JK6" s="52">
        <f t="shared" si="17"/>
        <v>43664250</v>
      </c>
      <c r="JL6" s="52">
        <f t="shared" si="17"/>
        <v>35463750</v>
      </c>
      <c r="JM6" s="52">
        <f t="shared" si="17"/>
        <v>25761750</v>
      </c>
      <c r="JN6" s="52">
        <f t="shared" si="17"/>
        <v>85160250</v>
      </c>
      <c r="JO6" s="52">
        <f t="shared" si="17"/>
        <v>77642250</v>
      </c>
      <c r="JP6" s="52">
        <f t="shared" si="17"/>
        <v>68470500</v>
      </c>
      <c r="JQ6" s="52">
        <f t="shared" si="17"/>
        <v>60774000</v>
      </c>
      <c r="JR6" s="52">
        <f t="shared" si="17"/>
        <v>51565500</v>
      </c>
      <c r="JS6" s="52">
        <f t="shared" si="17"/>
        <v>42614250</v>
      </c>
      <c r="JT6" s="52">
        <f t="shared" si="17"/>
        <v>32135250</v>
      </c>
      <c r="JU6" s="52">
        <f t="shared" si="17"/>
        <v>19036500</v>
      </c>
      <c r="JV6" s="52">
        <f t="shared" si="17"/>
        <v>66572670</v>
      </c>
      <c r="JW6" s="52">
        <f t="shared" si="17"/>
        <v>58351110</v>
      </c>
      <c r="JX6" s="52">
        <f t="shared" si="17"/>
        <v>49099240</v>
      </c>
      <c r="JY6" s="139"/>
      <c r="JZ6" s="52">
        <f t="shared" ref="JZ6:LD6" si="18">JZ5*JZ4</f>
        <v>40035650</v>
      </c>
      <c r="KA6" s="52">
        <f t="shared" si="18"/>
        <v>30334000</v>
      </c>
      <c r="KB6" s="52">
        <f t="shared" si="18"/>
        <v>21563290</v>
      </c>
      <c r="KC6" s="52">
        <f t="shared" si="18"/>
        <v>63675250</v>
      </c>
      <c r="KD6" s="52">
        <f t="shared" si="18"/>
        <v>53816700</v>
      </c>
      <c r="KE6" s="52">
        <f t="shared" si="18"/>
        <v>44512530</v>
      </c>
      <c r="KF6" s="52">
        <f t="shared" si="18"/>
        <v>34863180</v>
      </c>
      <c r="KG6" s="52">
        <f t="shared" si="18"/>
        <v>26814210</v>
      </c>
      <c r="KH6" s="52">
        <f t="shared" si="18"/>
        <v>17473430</v>
      </c>
      <c r="KI6" s="52">
        <f t="shared" si="18"/>
        <v>86017810</v>
      </c>
      <c r="KJ6" s="52">
        <f t="shared" si="18"/>
        <v>75599650</v>
      </c>
      <c r="KK6" s="52">
        <f t="shared" si="18"/>
        <v>66326860</v>
      </c>
      <c r="KL6" s="52">
        <f t="shared" si="18"/>
        <v>55783180</v>
      </c>
      <c r="KM6" s="52">
        <f t="shared" si="18"/>
        <v>47122300</v>
      </c>
      <c r="KN6" s="52">
        <f t="shared" si="18"/>
        <v>39094250</v>
      </c>
      <c r="KO6" s="52">
        <f t="shared" si="18"/>
        <v>29837150</v>
      </c>
      <c r="KP6" s="52">
        <f t="shared" si="18"/>
        <v>21165810</v>
      </c>
      <c r="KQ6" s="52">
        <f t="shared" si="18"/>
        <v>11882560</v>
      </c>
      <c r="KR6" s="52">
        <f t="shared" si="18"/>
        <v>54883620</v>
      </c>
      <c r="KS6" s="52">
        <f t="shared" si="18"/>
        <v>44915240</v>
      </c>
      <c r="KT6" s="52">
        <f t="shared" si="18"/>
        <v>52969440</v>
      </c>
      <c r="KU6" s="52">
        <f t="shared" si="18"/>
        <v>75599650</v>
      </c>
      <c r="KV6" s="52">
        <f t="shared" si="18"/>
        <v>66018290</v>
      </c>
      <c r="KW6" s="52">
        <f t="shared" si="18"/>
        <v>55495530</v>
      </c>
      <c r="KX6" s="52">
        <f t="shared" si="18"/>
        <v>88005210</v>
      </c>
      <c r="KY6" s="52">
        <f t="shared" si="18"/>
        <v>77927000</v>
      </c>
      <c r="KZ6" s="52">
        <f t="shared" si="18"/>
        <v>68261960</v>
      </c>
      <c r="LA6" s="52">
        <f t="shared" si="18"/>
        <v>58900260</v>
      </c>
      <c r="LB6" s="52">
        <f t="shared" si="18"/>
        <v>49925580</v>
      </c>
      <c r="LC6" s="52">
        <f t="shared" si="18"/>
        <v>87419450</v>
      </c>
      <c r="LD6" s="52">
        <f t="shared" si="18"/>
        <v>74846090</v>
      </c>
      <c r="LE6" s="130"/>
      <c r="LF6" s="52">
        <f t="shared" ref="LF6:MI6" si="19">LF5*LF4</f>
        <v>62298500</v>
      </c>
      <c r="LG6" s="52">
        <f t="shared" si="19"/>
        <v>52734000</v>
      </c>
      <c r="LH6" s="52">
        <f t="shared" si="19"/>
        <v>41721900</v>
      </c>
      <c r="LI6" s="52">
        <f t="shared" si="19"/>
        <v>30270350</v>
      </c>
      <c r="LJ6" s="52">
        <f t="shared" si="19"/>
        <v>20990200</v>
      </c>
      <c r="LK6" s="52">
        <f t="shared" si="19"/>
        <v>73295090</v>
      </c>
      <c r="LL6" s="52">
        <f t="shared" si="19"/>
        <v>61833200</v>
      </c>
      <c r="LM6" s="52">
        <f t="shared" si="19"/>
        <v>48494600</v>
      </c>
      <c r="LN6" s="52">
        <f t="shared" si="19"/>
        <v>38071880</v>
      </c>
      <c r="LO6" s="52">
        <f t="shared" si="19"/>
        <v>27535420</v>
      </c>
      <c r="LP6" s="52">
        <f t="shared" si="19"/>
        <v>69055690</v>
      </c>
      <c r="LQ6" s="52">
        <f t="shared" si="19"/>
        <v>59604930</v>
      </c>
      <c r="LR6" s="52">
        <f t="shared" si="19"/>
        <v>49916350</v>
      </c>
      <c r="LS6" s="52">
        <f t="shared" si="19"/>
        <v>79990240</v>
      </c>
      <c r="LT6" s="52">
        <f t="shared" si="19"/>
        <v>66863610</v>
      </c>
      <c r="LU6" s="52">
        <f t="shared" si="19"/>
        <v>56316810</v>
      </c>
      <c r="LV6" s="52">
        <f t="shared" si="19"/>
        <v>46984960</v>
      </c>
      <c r="LW6" s="52">
        <f t="shared" si="19"/>
        <v>36417480</v>
      </c>
      <c r="LX6" s="52">
        <f t="shared" si="19"/>
        <v>27044270</v>
      </c>
      <c r="LY6" s="52">
        <f t="shared" si="19"/>
        <v>16724950</v>
      </c>
      <c r="LZ6" s="52">
        <f t="shared" si="19"/>
        <v>62748290</v>
      </c>
      <c r="MA6" s="52">
        <f t="shared" si="19"/>
        <v>52387610</v>
      </c>
      <c r="MB6" s="52">
        <f t="shared" si="19"/>
        <v>41721900</v>
      </c>
      <c r="MC6" s="52">
        <f t="shared" si="19"/>
        <v>30042870</v>
      </c>
      <c r="MD6" s="52">
        <f t="shared" si="19"/>
        <v>21021220</v>
      </c>
      <c r="ME6" s="52">
        <f t="shared" si="19"/>
        <v>11229240</v>
      </c>
      <c r="MF6" s="52">
        <f t="shared" si="19"/>
        <v>70193090</v>
      </c>
      <c r="MG6" s="52">
        <f t="shared" si="19"/>
        <v>60256350</v>
      </c>
      <c r="MH6" s="52">
        <f t="shared" si="19"/>
        <v>49957710</v>
      </c>
      <c r="MI6" s="52">
        <f t="shared" si="19"/>
        <v>86902530</v>
      </c>
      <c r="MJ6" s="139"/>
      <c r="MK6" s="52">
        <f t="shared" ref="MK6:NO6" si="20">MK5*MK4</f>
        <v>75642270</v>
      </c>
      <c r="ML6" s="52">
        <f t="shared" si="20"/>
        <v>65808930</v>
      </c>
      <c r="MM6" s="52">
        <f t="shared" si="20"/>
        <v>56590820</v>
      </c>
      <c r="MN6" s="52">
        <f t="shared" si="20"/>
        <v>47103870</v>
      </c>
      <c r="MO6" s="52">
        <f t="shared" si="20"/>
        <v>36531220</v>
      </c>
      <c r="MP6" s="52">
        <f t="shared" si="20"/>
        <v>67210000</v>
      </c>
      <c r="MQ6" s="52">
        <f t="shared" si="20"/>
        <v>66977350</v>
      </c>
      <c r="MR6" s="52">
        <f t="shared" si="20"/>
        <v>57355980</v>
      </c>
      <c r="MS6" s="52">
        <f t="shared" si="20"/>
        <v>48339500</v>
      </c>
      <c r="MT6" s="52">
        <f t="shared" si="20"/>
        <v>40429400</v>
      </c>
      <c r="MU6" s="52">
        <f t="shared" si="20"/>
        <v>31278500</v>
      </c>
      <c r="MV6" s="52">
        <f t="shared" si="20"/>
        <v>92713610</v>
      </c>
      <c r="MW6" s="52">
        <f t="shared" si="20"/>
        <v>80083300</v>
      </c>
      <c r="MX6" s="52">
        <f t="shared" si="20"/>
        <v>72550610</v>
      </c>
      <c r="MY6" s="52">
        <f t="shared" si="20"/>
        <v>64051130</v>
      </c>
      <c r="MZ6" s="52">
        <f t="shared" si="20"/>
        <v>53509500</v>
      </c>
      <c r="NA6" s="52">
        <f t="shared" si="20"/>
        <v>45004850</v>
      </c>
      <c r="NB6" s="52">
        <f t="shared" si="20"/>
        <v>34752740</v>
      </c>
      <c r="NC6" s="52">
        <f t="shared" si="20"/>
        <v>25141710</v>
      </c>
      <c r="ND6" s="52">
        <f t="shared" si="20"/>
        <v>14718990</v>
      </c>
      <c r="NE6" s="52">
        <f t="shared" si="20"/>
        <v>58870790</v>
      </c>
      <c r="NF6" s="52">
        <f t="shared" si="20"/>
        <v>50009410</v>
      </c>
      <c r="NG6" s="52">
        <f t="shared" si="20"/>
        <v>41356280</v>
      </c>
      <c r="NH6" s="52">
        <f t="shared" si="20"/>
        <v>33401000</v>
      </c>
      <c r="NI6" s="52">
        <f t="shared" si="20"/>
        <v>84592160</v>
      </c>
      <c r="NJ6" s="52">
        <f t="shared" si="20"/>
        <v>75021440</v>
      </c>
      <c r="NK6" s="52">
        <f t="shared" si="20"/>
        <v>63312040</v>
      </c>
      <c r="NL6" s="52">
        <f t="shared" si="20"/>
        <v>56093360</v>
      </c>
      <c r="NM6" s="52">
        <f t="shared" si="20"/>
        <v>46167040</v>
      </c>
      <c r="NN6" s="52">
        <f t="shared" si="20"/>
        <v>37170360</v>
      </c>
      <c r="NO6" s="52">
        <f t="shared" si="20"/>
        <v>80599280</v>
      </c>
      <c r="NP6" s="139"/>
      <c r="NQ6" s="52">
        <f t="shared" ref="NQ6:OU6" si="21">NQ5*NQ4</f>
        <v>71511160</v>
      </c>
      <c r="NR6" s="52">
        <f t="shared" si="21"/>
        <v>62560200</v>
      </c>
      <c r="NS6" s="52">
        <f t="shared" si="21"/>
        <v>51587400</v>
      </c>
      <c r="NT6" s="52">
        <f t="shared" si="21"/>
        <v>42252000</v>
      </c>
      <c r="NU6" s="52">
        <f t="shared" si="21"/>
        <v>32825780</v>
      </c>
      <c r="NV6" s="52">
        <f t="shared" si="21"/>
        <v>21810080</v>
      </c>
      <c r="NW6" s="52">
        <f t="shared" si="21"/>
        <v>63151650</v>
      </c>
      <c r="NX6" s="52">
        <f t="shared" si="21"/>
        <v>53649980</v>
      </c>
      <c r="NY6" s="52">
        <f t="shared" si="21"/>
        <v>43142310</v>
      </c>
      <c r="NZ6" s="52">
        <f t="shared" si="21"/>
        <v>32614520</v>
      </c>
      <c r="OA6" s="52">
        <f t="shared" si="21"/>
        <v>73754890</v>
      </c>
      <c r="OB6" s="52">
        <f t="shared" si="21"/>
        <v>64660650</v>
      </c>
      <c r="OC6" s="52">
        <f t="shared" si="21"/>
        <v>55194190</v>
      </c>
      <c r="OD6" s="52">
        <f t="shared" si="21"/>
        <v>45219700</v>
      </c>
      <c r="OE6" s="52">
        <f t="shared" si="21"/>
        <v>35541980</v>
      </c>
      <c r="OF6" s="52">
        <f t="shared" si="21"/>
        <v>70359640</v>
      </c>
      <c r="OG6" s="52">
        <f t="shared" si="21"/>
        <v>59706100</v>
      </c>
      <c r="OH6" s="52">
        <f t="shared" si="21"/>
        <v>50772820</v>
      </c>
      <c r="OI6" s="52">
        <f t="shared" si="21"/>
        <v>40712820</v>
      </c>
      <c r="OJ6" s="52">
        <f t="shared" si="21"/>
        <v>31623610</v>
      </c>
      <c r="OK6" s="52">
        <f t="shared" si="21"/>
        <v>83771610</v>
      </c>
      <c r="OL6" s="52">
        <f t="shared" si="21"/>
        <v>74022000</v>
      </c>
      <c r="OM6" s="52">
        <f t="shared" si="21"/>
        <v>65007540</v>
      </c>
      <c r="ON6" s="52">
        <f t="shared" si="21"/>
        <v>54573480</v>
      </c>
      <c r="OO6" s="52">
        <f t="shared" si="21"/>
        <v>47546460</v>
      </c>
      <c r="OP6" s="52">
        <f t="shared" si="21"/>
        <v>38532000</v>
      </c>
      <c r="OQ6" s="52">
        <f t="shared" si="21"/>
        <v>28975050</v>
      </c>
      <c r="OR6" s="52">
        <f t="shared" si="21"/>
        <v>20903610</v>
      </c>
      <c r="OS6" s="52">
        <f t="shared" si="21"/>
        <v>11012040</v>
      </c>
      <c r="OT6" s="52">
        <f t="shared" si="21"/>
        <v>62330580</v>
      </c>
      <c r="OU6" s="52">
        <f t="shared" si="21"/>
        <v>51592320</v>
      </c>
      <c r="OV6" s="130"/>
      <c r="OW6" s="52">
        <f t="shared" ref="OW6:PZ6" si="22">OW5*OW4</f>
        <v>42978390</v>
      </c>
      <c r="OX6" s="52">
        <f t="shared" si="22"/>
        <v>33193290</v>
      </c>
      <c r="OY6" s="52">
        <f t="shared" si="22"/>
        <v>23707320</v>
      </c>
      <c r="OZ6" s="52">
        <f t="shared" si="22"/>
        <v>80106000</v>
      </c>
      <c r="PA6" s="52">
        <f t="shared" si="22"/>
        <v>70853250</v>
      </c>
      <c r="PB6" s="52">
        <f t="shared" si="22"/>
        <v>60900840</v>
      </c>
      <c r="PC6" s="52">
        <f t="shared" si="22"/>
        <v>50639160</v>
      </c>
      <c r="PD6" s="52">
        <f t="shared" si="22"/>
        <v>41868060</v>
      </c>
      <c r="PE6" s="52">
        <f t="shared" si="22"/>
        <v>31332600</v>
      </c>
      <c r="PF6" s="52">
        <f t="shared" si="22"/>
        <v>22500660</v>
      </c>
      <c r="PG6" s="52">
        <f t="shared" si="22"/>
        <v>44818800</v>
      </c>
      <c r="PH6" s="52">
        <f t="shared" si="22"/>
        <v>36752430</v>
      </c>
      <c r="PI6" s="52">
        <f t="shared" si="22"/>
        <v>25917840</v>
      </c>
      <c r="PJ6" s="52">
        <f t="shared" si="22"/>
        <v>76156470</v>
      </c>
      <c r="PK6" s="52">
        <f t="shared" si="22"/>
        <v>68216850</v>
      </c>
      <c r="PL6" s="52">
        <f t="shared" si="22"/>
        <v>58213740</v>
      </c>
      <c r="PM6" s="52">
        <f t="shared" si="22"/>
        <v>49204350</v>
      </c>
      <c r="PN6" s="52">
        <f t="shared" si="22"/>
        <v>40727310</v>
      </c>
      <c r="PO6" s="52">
        <f t="shared" si="22"/>
        <v>32924580</v>
      </c>
      <c r="PP6" s="52">
        <f t="shared" si="22"/>
        <v>24599640</v>
      </c>
      <c r="PQ6" s="52">
        <f t="shared" si="22"/>
        <v>77723100</v>
      </c>
      <c r="PR6" s="52">
        <f t="shared" si="22"/>
        <v>70751850</v>
      </c>
      <c r="PS6" s="52">
        <f t="shared" si="22"/>
        <v>62812230</v>
      </c>
      <c r="PT6" s="52">
        <f t="shared" si="22"/>
        <v>54188160</v>
      </c>
      <c r="PU6" s="52">
        <f t="shared" si="22"/>
        <v>47227050</v>
      </c>
      <c r="PV6" s="52">
        <f t="shared" si="22"/>
        <v>40509300</v>
      </c>
      <c r="PW6" s="52">
        <f t="shared" si="22"/>
        <v>31748340</v>
      </c>
      <c r="PX6" s="52">
        <f t="shared" si="22"/>
        <v>74605050</v>
      </c>
      <c r="PY6" s="52">
        <f t="shared" si="22"/>
        <v>70077540</v>
      </c>
      <c r="PZ6" s="52">
        <f t="shared" si="22"/>
        <v>61854000</v>
      </c>
      <c r="QA6" s="130"/>
      <c r="QB6" s="52">
        <f t="shared" ref="QB6:RF6" si="23">QB5*QB4</f>
        <v>54335190</v>
      </c>
      <c r="QC6" s="52">
        <f t="shared" si="23"/>
        <v>47328450</v>
      </c>
      <c r="QD6" s="52">
        <f t="shared" si="23"/>
        <v>81520400</v>
      </c>
      <c r="QE6" s="52">
        <f t="shared" si="23"/>
        <v>70974720</v>
      </c>
      <c r="QF6" s="52">
        <f t="shared" si="23"/>
        <v>60048400</v>
      </c>
      <c r="QG6" s="52">
        <f t="shared" si="23"/>
        <v>51781680</v>
      </c>
      <c r="QH6" s="52">
        <f t="shared" si="23"/>
        <v>41314080</v>
      </c>
      <c r="QI6" s="52">
        <f t="shared" si="23"/>
        <v>32778960</v>
      </c>
      <c r="QJ6" s="52">
        <f t="shared" si="23"/>
        <v>72819360</v>
      </c>
      <c r="QK6" s="52">
        <f t="shared" si="23"/>
        <v>64416000</v>
      </c>
      <c r="QL6" s="52">
        <f t="shared" si="23"/>
        <v>53884960</v>
      </c>
      <c r="QM6" s="52">
        <f t="shared" si="23"/>
        <v>44295760</v>
      </c>
      <c r="QN6" s="52">
        <f t="shared" si="23"/>
        <v>35306800</v>
      </c>
      <c r="QO6" s="52">
        <f t="shared" si="23"/>
        <v>25019760</v>
      </c>
      <c r="QP6" s="52">
        <f t="shared" si="23"/>
        <v>16186960</v>
      </c>
      <c r="QQ6" s="52">
        <f t="shared" si="23"/>
        <v>72599760</v>
      </c>
      <c r="QR6" s="52">
        <f t="shared" si="23"/>
        <v>64464800</v>
      </c>
      <c r="QS6" s="52">
        <f t="shared" si="23"/>
        <v>54714560</v>
      </c>
      <c r="QT6" s="52">
        <f t="shared" si="23"/>
        <v>45408400</v>
      </c>
      <c r="QU6" s="52">
        <f t="shared" si="23"/>
        <v>37463760</v>
      </c>
      <c r="QV6" s="52">
        <f t="shared" si="23"/>
        <v>29670400</v>
      </c>
      <c r="QW6" s="52">
        <f t="shared" si="23"/>
        <v>22413840</v>
      </c>
      <c r="QX6" s="52">
        <f t="shared" si="23"/>
        <v>14796160</v>
      </c>
      <c r="QY6" s="52">
        <f t="shared" si="23"/>
        <v>65714080</v>
      </c>
      <c r="QZ6" s="52">
        <f t="shared" si="23"/>
        <v>54602320</v>
      </c>
      <c r="RA6" s="52">
        <f t="shared" si="23"/>
        <v>46340480</v>
      </c>
      <c r="RB6" s="52">
        <f t="shared" si="23"/>
        <v>38991200</v>
      </c>
      <c r="RC6" s="52">
        <f t="shared" si="23"/>
        <v>31110000</v>
      </c>
      <c r="RD6" s="52">
        <f t="shared" si="23"/>
        <v>23282480</v>
      </c>
      <c r="RE6" s="52">
        <f t="shared" si="23"/>
        <v>80129133</v>
      </c>
      <c r="RF6" s="52">
        <f t="shared" si="23"/>
        <v>71749584</v>
      </c>
      <c r="RG6" s="130"/>
      <c r="RH6" s="52">
        <f t="shared" ref="RH6:SK6" si="24">RH5*RH4</f>
        <v>62323200</v>
      </c>
      <c r="RI6" s="52">
        <f t="shared" si="24"/>
        <v>52906554</v>
      </c>
      <c r="RJ6" s="52">
        <f t="shared" si="24"/>
        <v>45150237</v>
      </c>
      <c r="RK6" s="52">
        <f t="shared" si="24"/>
        <v>35602128</v>
      </c>
      <c r="RL6" s="52">
        <f t="shared" si="24"/>
        <v>28084392</v>
      </c>
      <c r="RM6" s="52">
        <f t="shared" si="24"/>
        <v>21009735</v>
      </c>
      <c r="RN6" s="52">
        <f t="shared" si="24"/>
        <v>73035000</v>
      </c>
      <c r="RO6" s="52">
        <f t="shared" si="24"/>
        <v>64660320</v>
      </c>
      <c r="RP6" s="52">
        <f t="shared" si="24"/>
        <v>56305116</v>
      </c>
      <c r="RQ6" s="52">
        <f t="shared" si="24"/>
        <v>48402729</v>
      </c>
      <c r="RR6" s="52">
        <f t="shared" si="24"/>
        <v>40290975</v>
      </c>
      <c r="RS6" s="52">
        <f t="shared" si="24"/>
        <v>81039636</v>
      </c>
      <c r="RT6" s="52">
        <f t="shared" si="24"/>
        <v>73448865</v>
      </c>
      <c r="RU6" s="52">
        <f t="shared" si="24"/>
        <v>66700431</v>
      </c>
      <c r="RV6" s="52">
        <f t="shared" si="24"/>
        <v>58379310</v>
      </c>
      <c r="RW6" s="52">
        <f t="shared" si="24"/>
        <v>50296770</v>
      </c>
      <c r="RX6" s="52">
        <f t="shared" si="24"/>
        <v>43090650</v>
      </c>
      <c r="RY6" s="52">
        <f t="shared" si="24"/>
        <v>34344000</v>
      </c>
      <c r="RZ6" s="52">
        <f t="shared" si="24"/>
        <v>25152210</v>
      </c>
      <c r="SA6" s="52">
        <f t="shared" si="24"/>
        <v>69642000</v>
      </c>
      <c r="SB6" s="52">
        <f t="shared" si="24"/>
        <v>62510850</v>
      </c>
      <c r="SC6" s="52">
        <f t="shared" si="24"/>
        <v>53209350</v>
      </c>
      <c r="SD6" s="52">
        <f t="shared" si="24"/>
        <v>43826760</v>
      </c>
      <c r="SE6" s="52">
        <f t="shared" si="24"/>
        <v>74192580</v>
      </c>
      <c r="SF6" s="52">
        <f t="shared" si="24"/>
        <v>66245760</v>
      </c>
      <c r="SG6" s="52">
        <f t="shared" si="24"/>
        <v>57836250</v>
      </c>
      <c r="SH6" s="52">
        <f t="shared" si="24"/>
        <v>49884660</v>
      </c>
      <c r="SI6" s="52">
        <f t="shared" si="24"/>
        <v>41747040</v>
      </c>
      <c r="SJ6" s="52">
        <f t="shared" si="24"/>
        <v>32913000</v>
      </c>
      <c r="SK6" s="52">
        <f t="shared" si="24"/>
        <v>23000940</v>
      </c>
      <c r="SL6" s="130"/>
      <c r="SM6" s="52">
        <f t="shared" ref="SM6:TQ6" si="25">SM5*SM4</f>
        <v>76816080</v>
      </c>
      <c r="SN6" s="52">
        <f t="shared" si="25"/>
        <v>68382720</v>
      </c>
      <c r="SO6" s="52">
        <f t="shared" si="25"/>
        <v>60893820</v>
      </c>
      <c r="SP6" s="52">
        <f t="shared" si="25"/>
        <v>52770510</v>
      </c>
      <c r="SQ6" s="52">
        <f t="shared" si="25"/>
        <v>45281610</v>
      </c>
      <c r="SR6" s="52">
        <f t="shared" si="25"/>
        <v>78953040</v>
      </c>
      <c r="SS6" s="52">
        <f t="shared" si="25"/>
        <v>68688000</v>
      </c>
      <c r="ST6" s="52">
        <f t="shared" si="25"/>
        <v>60660090</v>
      </c>
      <c r="SU6" s="52">
        <f t="shared" si="25"/>
        <v>51516000</v>
      </c>
      <c r="SV6" s="52">
        <f t="shared" si="25"/>
        <v>43669350</v>
      </c>
      <c r="SW6" s="52">
        <f t="shared" si="25"/>
        <v>35298000</v>
      </c>
      <c r="SX6" s="52">
        <f t="shared" si="25"/>
        <v>64499940</v>
      </c>
      <c r="SY6" s="52">
        <f t="shared" si="25"/>
        <v>54936090</v>
      </c>
      <c r="SZ6" s="52">
        <f t="shared" si="25"/>
        <v>45472410</v>
      </c>
      <c r="TA6" s="52">
        <f t="shared" si="25"/>
        <v>37907190</v>
      </c>
      <c r="TB6" s="52">
        <f t="shared" si="25"/>
        <v>29574000</v>
      </c>
      <c r="TC6" s="52">
        <f t="shared" si="25"/>
        <v>20835360</v>
      </c>
      <c r="TD6" s="52">
        <f t="shared" si="25"/>
        <v>12325680</v>
      </c>
      <c r="TE6" s="52">
        <f t="shared" si="25"/>
        <v>54993330</v>
      </c>
      <c r="TF6" s="52">
        <f t="shared" si="25"/>
        <v>45792000</v>
      </c>
      <c r="TG6" s="52">
        <f t="shared" si="25"/>
        <v>35593740</v>
      </c>
      <c r="TH6" s="52">
        <f t="shared" si="25"/>
        <v>25758000</v>
      </c>
      <c r="TI6" s="52">
        <f t="shared" si="25"/>
        <v>15860250</v>
      </c>
      <c r="TJ6" s="52">
        <f t="shared" si="25"/>
        <v>76892400</v>
      </c>
      <c r="TK6" s="52">
        <f t="shared" si="25"/>
        <v>69055290</v>
      </c>
      <c r="TL6" s="52">
        <f t="shared" si="25"/>
        <v>62057700</v>
      </c>
      <c r="TM6" s="52">
        <f t="shared" si="25"/>
        <v>54378000</v>
      </c>
      <c r="TN6" s="52">
        <f t="shared" si="25"/>
        <v>46688760</v>
      </c>
      <c r="TO6" s="52">
        <f t="shared" si="25"/>
        <v>40120470</v>
      </c>
      <c r="TP6" s="52">
        <f t="shared" si="25"/>
        <v>32221350</v>
      </c>
      <c r="TQ6" s="52">
        <f t="shared" si="25"/>
        <v>23644890</v>
      </c>
      <c r="TR6" s="130"/>
      <c r="TS6" s="52">
        <f t="shared" ref="TS6:UW6" si="26">TS5*TS4</f>
        <v>69532290</v>
      </c>
      <c r="TT6" s="52">
        <f t="shared" si="26"/>
        <v>62558550</v>
      </c>
      <c r="TU6" s="52">
        <f t="shared" si="26"/>
        <v>55274760</v>
      </c>
      <c r="TV6" s="52">
        <f t="shared" si="26"/>
        <v>47165760</v>
      </c>
      <c r="TW6" s="52">
        <f t="shared" si="26"/>
        <v>81805500</v>
      </c>
      <c r="TX6" s="52">
        <f t="shared" si="26"/>
        <v>73362600</v>
      </c>
      <c r="TY6" s="52">
        <f t="shared" si="26"/>
        <v>64395000</v>
      </c>
      <c r="TZ6" s="52">
        <f t="shared" si="26"/>
        <v>56572200</v>
      </c>
      <c r="UA6" s="52">
        <f t="shared" si="26"/>
        <v>48654000</v>
      </c>
      <c r="UB6" s="52">
        <f t="shared" si="26"/>
        <v>40120470</v>
      </c>
      <c r="UC6" s="52">
        <f t="shared" si="26"/>
        <v>30828510</v>
      </c>
      <c r="UD6" s="52">
        <f t="shared" si="26"/>
        <v>66193290</v>
      </c>
      <c r="UE6" s="52">
        <f t="shared" si="26"/>
        <v>58241700</v>
      </c>
      <c r="UF6" s="52">
        <f t="shared" si="26"/>
        <v>49464900</v>
      </c>
      <c r="UG6" s="52">
        <f t="shared" si="26"/>
        <v>40754880</v>
      </c>
      <c r="UH6" s="52">
        <f t="shared" si="26"/>
        <v>32436000</v>
      </c>
      <c r="UI6" s="52">
        <f t="shared" si="26"/>
        <v>23373000</v>
      </c>
      <c r="UJ6" s="52">
        <f t="shared" si="26"/>
        <v>14348160</v>
      </c>
      <c r="UK6" s="52">
        <f t="shared" si="26"/>
        <v>5413950</v>
      </c>
      <c r="UL6" s="52">
        <f t="shared" si="26"/>
        <v>45243450</v>
      </c>
      <c r="UM6" s="52">
        <f t="shared" si="26"/>
        <v>37730700</v>
      </c>
      <c r="UN6" s="52">
        <f t="shared" si="26"/>
        <v>29287800</v>
      </c>
      <c r="UO6" s="52">
        <f t="shared" si="26"/>
        <v>21140640</v>
      </c>
      <c r="UP6" s="52">
        <f t="shared" si="26"/>
        <v>48987900</v>
      </c>
      <c r="UQ6" s="52">
        <f t="shared" si="26"/>
        <v>40754880</v>
      </c>
      <c r="UR6" s="52">
        <f t="shared" si="26"/>
        <v>32779440</v>
      </c>
      <c r="US6" s="52">
        <f t="shared" si="26"/>
        <v>24064650</v>
      </c>
      <c r="UT6" s="52">
        <f t="shared" si="26"/>
        <v>16218000</v>
      </c>
      <c r="UU6" s="52">
        <f t="shared" si="26"/>
        <v>59939820</v>
      </c>
      <c r="UV6" s="52">
        <f t="shared" si="26"/>
        <v>51830820</v>
      </c>
      <c r="UW6" s="52">
        <f t="shared" si="26"/>
        <v>42786900</v>
      </c>
      <c r="UX6" s="130"/>
      <c r="UY6" s="52">
        <f t="shared" ref="UY6:VZ6" si="27">UY5*UY4</f>
        <v>33390000</v>
      </c>
      <c r="UZ6" s="52">
        <f t="shared" si="27"/>
        <v>25452720</v>
      </c>
      <c r="VA6" s="52">
        <f t="shared" si="27"/>
        <v>16256160</v>
      </c>
      <c r="VB6" s="52">
        <f t="shared" si="27"/>
        <v>70700940</v>
      </c>
      <c r="VC6" s="52">
        <f t="shared" si="27"/>
        <v>62110170</v>
      </c>
      <c r="VD6" s="52">
        <f t="shared" si="27"/>
        <v>53781750</v>
      </c>
      <c r="VE6" s="52">
        <f t="shared" si="27"/>
        <v>44865252</v>
      </c>
      <c r="VF6" s="52">
        <f t="shared" si="27"/>
        <v>36688383</v>
      </c>
      <c r="VG6" s="52">
        <f t="shared" si="27"/>
        <v>28817370</v>
      </c>
      <c r="VH6" s="52">
        <f t="shared" si="27"/>
        <v>20521026</v>
      </c>
      <c r="VI6" s="52">
        <f t="shared" si="27"/>
        <v>74504610</v>
      </c>
      <c r="VJ6" s="52">
        <f t="shared" si="27"/>
        <v>66690945</v>
      </c>
      <c r="VK6" s="52">
        <f t="shared" si="27"/>
        <v>58781700</v>
      </c>
      <c r="VL6" s="52">
        <f t="shared" si="27"/>
        <v>47680083</v>
      </c>
      <c r="VM6" s="52">
        <f t="shared" si="27"/>
        <v>78557202</v>
      </c>
      <c r="VN6" s="52">
        <f t="shared" si="27"/>
        <v>69295500</v>
      </c>
      <c r="VO6" s="52">
        <f t="shared" si="27"/>
        <v>60267969</v>
      </c>
      <c r="VP6" s="52">
        <f t="shared" si="27"/>
        <v>52502094</v>
      </c>
      <c r="VQ6" s="52">
        <f t="shared" si="27"/>
        <v>77630076</v>
      </c>
      <c r="VR6" s="52">
        <f t="shared" si="27"/>
        <v>69716052</v>
      </c>
      <c r="VS6" s="52">
        <f t="shared" si="27"/>
        <v>61591752</v>
      </c>
      <c r="VT6" s="52">
        <f t="shared" si="27"/>
        <v>51928614</v>
      </c>
      <c r="VU6" s="52">
        <f t="shared" si="27"/>
        <v>44568954</v>
      </c>
      <c r="VV6" s="52">
        <f t="shared" si="27"/>
        <v>36798300</v>
      </c>
      <c r="VW6" s="52">
        <f t="shared" si="27"/>
        <v>28721790</v>
      </c>
      <c r="VX6" s="52">
        <f t="shared" si="27"/>
        <v>21333456</v>
      </c>
      <c r="VY6" s="52">
        <f t="shared" si="27"/>
        <v>69520113</v>
      </c>
      <c r="VZ6" s="52">
        <f t="shared" si="27"/>
        <v>61859376</v>
      </c>
      <c r="WA6" s="139"/>
      <c r="WB6" s="52">
        <f t="shared" ref="WB6:XF6" si="28">WB5*WB4</f>
        <v>52569000</v>
      </c>
      <c r="WC6" s="52">
        <f t="shared" si="28"/>
        <v>45304920</v>
      </c>
      <c r="WD6" s="52">
        <f t="shared" si="28"/>
        <v>37515150</v>
      </c>
      <c r="WE6" s="52">
        <f t="shared" si="28"/>
        <v>29969109</v>
      </c>
      <c r="WF6" s="52">
        <f t="shared" si="28"/>
        <v>23589144</v>
      </c>
      <c r="WG6" s="52">
        <f t="shared" si="28"/>
        <v>15966639</v>
      </c>
      <c r="WH6" s="52">
        <f t="shared" si="28"/>
        <v>83154600</v>
      </c>
      <c r="WI6" s="52">
        <f t="shared" si="28"/>
        <v>75823614</v>
      </c>
      <c r="WJ6" s="52">
        <f t="shared" si="28"/>
        <v>68162877</v>
      </c>
      <c r="WK6" s="52">
        <f t="shared" si="28"/>
        <v>59508108</v>
      </c>
      <c r="WL6" s="52">
        <f t="shared" si="28"/>
        <v>50547483</v>
      </c>
      <c r="WM6" s="52">
        <f t="shared" si="28"/>
        <v>43646607</v>
      </c>
      <c r="WN6" s="52">
        <f t="shared" si="28"/>
        <v>36879543</v>
      </c>
      <c r="WO6" s="52">
        <f t="shared" si="28"/>
        <v>28564083</v>
      </c>
      <c r="WP6" s="52">
        <f t="shared" si="28"/>
        <v>19570005</v>
      </c>
      <c r="WQ6" s="52">
        <f t="shared" si="28"/>
        <v>83632500</v>
      </c>
      <c r="WR6" s="52">
        <f t="shared" si="28"/>
        <v>76918005</v>
      </c>
      <c r="WS6" s="52">
        <f t="shared" si="28"/>
        <v>70075193.849999994</v>
      </c>
      <c r="WT6" s="52">
        <f t="shared" si="28"/>
        <v>62017083</v>
      </c>
      <c r="WU6" s="52">
        <f t="shared" si="28"/>
        <v>54848583</v>
      </c>
      <c r="WV6" s="52">
        <f t="shared" si="28"/>
        <v>47312100</v>
      </c>
      <c r="WW6" s="52">
        <f t="shared" si="28"/>
        <v>38566530</v>
      </c>
      <c r="WX6" s="52">
        <f t="shared" si="28"/>
        <v>30633390</v>
      </c>
      <c r="WY6" s="52">
        <f t="shared" si="28"/>
        <v>22461300</v>
      </c>
      <c r="WZ6" s="52">
        <f t="shared" si="28"/>
        <v>15106419</v>
      </c>
      <c r="XA6" s="52">
        <f t="shared" si="28"/>
        <v>64406583</v>
      </c>
      <c r="XB6" s="52">
        <f t="shared" si="28"/>
        <v>55751814</v>
      </c>
      <c r="XC6" s="52">
        <f t="shared" si="28"/>
        <v>45930969</v>
      </c>
      <c r="XD6" s="52">
        <f t="shared" si="28"/>
        <v>36019323</v>
      </c>
      <c r="XE6" s="52">
        <f t="shared" si="28"/>
        <v>27718200</v>
      </c>
      <c r="XF6" s="52">
        <f t="shared" si="28"/>
        <v>87895368</v>
      </c>
      <c r="XG6" s="139"/>
      <c r="XH6" s="52">
        <f t="shared" ref="XH6:YK6" si="29">XH5*XH4</f>
        <v>79833195</v>
      </c>
      <c r="XI6" s="52">
        <f t="shared" si="29"/>
        <v>72736380</v>
      </c>
      <c r="XJ6" s="52">
        <f t="shared" si="29"/>
        <v>64165490</v>
      </c>
      <c r="XK6" s="52">
        <f t="shared" si="29"/>
        <v>56322300</v>
      </c>
      <c r="XL6" s="52">
        <f t="shared" si="29"/>
        <v>47583290</v>
      </c>
      <c r="XM6" s="52">
        <f t="shared" si="29"/>
        <v>40078415</v>
      </c>
      <c r="XN6" s="52">
        <f t="shared" si="29"/>
        <v>30943910</v>
      </c>
      <c r="XO6" s="52">
        <f t="shared" si="29"/>
        <v>23505745</v>
      </c>
      <c r="XP6" s="52">
        <f t="shared" si="29"/>
        <v>82367790</v>
      </c>
      <c r="XQ6" s="52">
        <f t="shared" si="29"/>
        <v>73943270</v>
      </c>
      <c r="XR6" s="52">
        <f t="shared" si="29"/>
        <v>64961245</v>
      </c>
      <c r="XS6" s="52">
        <f t="shared" si="29"/>
        <v>56322300</v>
      </c>
      <c r="XT6" s="52">
        <f t="shared" si="29"/>
        <v>48178915</v>
      </c>
      <c r="XU6" s="52">
        <f t="shared" si="29"/>
        <v>40712160</v>
      </c>
      <c r="XV6" s="52">
        <f t="shared" si="29"/>
        <v>70369520</v>
      </c>
      <c r="XW6" s="52">
        <f t="shared" si="29"/>
        <v>61254075</v>
      </c>
      <c r="XX6" s="52">
        <f t="shared" si="29"/>
        <v>53381160</v>
      </c>
      <c r="XY6" s="52">
        <f t="shared" si="29"/>
        <v>83462400</v>
      </c>
      <c r="XZ6" s="52">
        <f t="shared" si="29"/>
        <v>73126200</v>
      </c>
      <c r="YA6" s="52">
        <f t="shared" si="29"/>
        <v>66760260</v>
      </c>
      <c r="YB6" s="52">
        <f t="shared" si="29"/>
        <v>58974300</v>
      </c>
      <c r="YC6" s="52">
        <f t="shared" si="29"/>
        <v>50927520</v>
      </c>
      <c r="YD6" s="52">
        <f t="shared" si="29"/>
        <v>81979590</v>
      </c>
      <c r="YE6" s="52">
        <f t="shared" si="29"/>
        <v>73416000</v>
      </c>
      <c r="YF6" s="52">
        <f t="shared" si="29"/>
        <v>63649740</v>
      </c>
      <c r="YG6" s="52">
        <f t="shared" si="29"/>
        <v>54878460</v>
      </c>
      <c r="YH6" s="52">
        <f t="shared" si="29"/>
        <v>46851000</v>
      </c>
      <c r="YI6" s="52">
        <f t="shared" si="29"/>
        <v>39263070</v>
      </c>
      <c r="YJ6" s="52">
        <f t="shared" si="29"/>
        <v>74773230</v>
      </c>
      <c r="YK6" s="52">
        <f t="shared" si="29"/>
        <v>66707130</v>
      </c>
      <c r="YL6" s="130"/>
      <c r="YM6" s="52">
        <f t="shared" ref="YM6:ZQ6" si="30">YM5*YM4</f>
        <v>58877700</v>
      </c>
      <c r="YN6" s="52">
        <f t="shared" si="30"/>
        <v>48618780</v>
      </c>
      <c r="YO6" s="52">
        <f t="shared" si="30"/>
        <v>39659130</v>
      </c>
      <c r="YP6" s="52">
        <f t="shared" si="30"/>
        <v>29801100</v>
      </c>
      <c r="YQ6" s="52">
        <f t="shared" si="30"/>
        <v>18981900</v>
      </c>
      <c r="YR6" s="52">
        <f t="shared" si="30"/>
        <v>8587740</v>
      </c>
      <c r="YS6" s="52">
        <f t="shared" si="30"/>
        <v>1183350</v>
      </c>
      <c r="YT6" s="52">
        <f t="shared" si="30"/>
        <v>1183350</v>
      </c>
      <c r="YU6" s="52">
        <f t="shared" si="30"/>
        <v>33810000</v>
      </c>
      <c r="YV6" s="52">
        <f t="shared" si="30"/>
        <v>23333730</v>
      </c>
      <c r="YW6" s="52">
        <f t="shared" si="30"/>
        <v>51821070</v>
      </c>
      <c r="YX6" s="52">
        <f t="shared" si="30"/>
        <v>42987000</v>
      </c>
      <c r="YY6" s="52">
        <f t="shared" si="30"/>
        <v>35920710</v>
      </c>
      <c r="YZ6" s="52">
        <f t="shared" si="30"/>
        <v>28279650</v>
      </c>
      <c r="ZA6" s="52">
        <f t="shared" si="30"/>
        <v>19914090</v>
      </c>
      <c r="ZB6" s="52">
        <f t="shared" si="30"/>
        <v>74599350</v>
      </c>
      <c r="ZC6" s="52">
        <f t="shared" si="30"/>
        <v>65470650</v>
      </c>
      <c r="ZD6" s="52">
        <f t="shared" si="30"/>
        <v>56882910</v>
      </c>
      <c r="ZE6" s="52">
        <f t="shared" si="30"/>
        <v>47493390</v>
      </c>
      <c r="ZF6" s="52">
        <f t="shared" si="30"/>
        <v>38751090</v>
      </c>
      <c r="ZG6" s="52">
        <f t="shared" si="30"/>
        <v>30308250</v>
      </c>
      <c r="ZH6" s="52">
        <f t="shared" si="30"/>
        <v>55289010</v>
      </c>
      <c r="ZI6" s="52">
        <f t="shared" si="30"/>
        <v>44638860</v>
      </c>
      <c r="ZJ6" s="52">
        <f t="shared" si="30"/>
        <v>33380130</v>
      </c>
      <c r="ZK6" s="52">
        <f t="shared" si="30"/>
        <v>21749490</v>
      </c>
      <c r="ZL6" s="52">
        <f t="shared" si="30"/>
        <v>11790030</v>
      </c>
      <c r="ZM6" s="52">
        <f t="shared" si="30"/>
        <v>66382970</v>
      </c>
      <c r="ZN6" s="52">
        <f t="shared" si="30"/>
        <v>56375120</v>
      </c>
      <c r="ZO6" s="52">
        <f t="shared" si="30"/>
        <v>85804530</v>
      </c>
      <c r="ZP6" s="52">
        <f t="shared" si="30"/>
        <v>76079140</v>
      </c>
      <c r="ZQ6" s="52">
        <f t="shared" si="30"/>
        <v>66012850</v>
      </c>
      <c r="ZR6" s="130"/>
      <c r="ZS6" s="52">
        <f t="shared" ref="ZS6:AAV6" si="31">ZS5*ZS4</f>
        <v>57193280</v>
      </c>
      <c r="ZT6" s="52">
        <f t="shared" si="31"/>
        <v>48032810</v>
      </c>
      <c r="ZU6" s="52">
        <f t="shared" si="31"/>
        <v>38180800</v>
      </c>
      <c r="ZV6" s="52">
        <f t="shared" si="31"/>
        <v>28786570</v>
      </c>
      <c r="ZW6" s="52">
        <f t="shared" si="31"/>
        <v>18121270</v>
      </c>
      <c r="ZX6" s="52">
        <f t="shared" si="31"/>
        <v>71248100</v>
      </c>
      <c r="ZY6" s="52">
        <f t="shared" si="31"/>
        <v>61474010</v>
      </c>
      <c r="ZZ6" s="52">
        <f t="shared" si="31"/>
        <v>51962900</v>
      </c>
      <c r="AAA6" s="52">
        <f t="shared" si="31"/>
        <v>43489100</v>
      </c>
      <c r="AAB6" s="52">
        <f t="shared" si="31"/>
        <v>34138700</v>
      </c>
      <c r="AAC6" s="52">
        <f t="shared" si="31"/>
        <v>25781780</v>
      </c>
      <c r="AAD6" s="52">
        <f t="shared" si="31"/>
        <v>80890700</v>
      </c>
      <c r="AAE6" s="52">
        <f t="shared" si="31"/>
        <v>70020860</v>
      </c>
      <c r="AAF6" s="52">
        <f t="shared" si="31"/>
        <v>59170500</v>
      </c>
      <c r="AAG6" s="52">
        <f t="shared" si="31"/>
        <v>49454850</v>
      </c>
      <c r="AAH6" s="52">
        <f t="shared" si="31"/>
        <v>39987570</v>
      </c>
      <c r="AAI6" s="52">
        <f t="shared" si="31"/>
        <v>30476460</v>
      </c>
      <c r="AAJ6" s="52">
        <f t="shared" si="31"/>
        <v>79809560</v>
      </c>
      <c r="AAK6" s="52">
        <f t="shared" si="31"/>
        <v>69767620</v>
      </c>
      <c r="AAL6" s="52">
        <f t="shared" si="31"/>
        <v>60334430</v>
      </c>
      <c r="AAM6" s="52">
        <f t="shared" si="31"/>
        <v>49561990</v>
      </c>
      <c r="AAN6" s="52">
        <f t="shared" si="31"/>
        <v>41609280</v>
      </c>
      <c r="AAO6" s="52">
        <f t="shared" si="31"/>
        <v>32409850</v>
      </c>
      <c r="AAP6" s="52">
        <f t="shared" si="31"/>
        <v>86403540</v>
      </c>
      <c r="AAQ6" s="52">
        <f t="shared" si="31"/>
        <v>76726850</v>
      </c>
      <c r="AAR6" s="52">
        <f t="shared" si="31"/>
        <v>67473850</v>
      </c>
      <c r="AAS6" s="52">
        <f t="shared" si="31"/>
        <v>57514700</v>
      </c>
      <c r="AAT6" s="52">
        <f t="shared" si="31"/>
        <v>46557200</v>
      </c>
      <c r="AAU6" s="52">
        <f t="shared" si="31"/>
        <v>37625620</v>
      </c>
      <c r="AAV6" s="52">
        <f t="shared" si="31"/>
        <v>28513850</v>
      </c>
      <c r="AAW6" s="130"/>
      <c r="AAX6" s="52">
        <f t="shared" ref="AAX6:ACB6" si="32">AAX5*AAX4</f>
        <v>79147240</v>
      </c>
      <c r="AAY6" s="52">
        <f t="shared" si="32"/>
        <v>70882850</v>
      </c>
      <c r="AAZ6" s="52">
        <f t="shared" si="32"/>
        <v>62160680</v>
      </c>
      <c r="ABA6" s="52">
        <f t="shared" si="32"/>
        <v>52109000</v>
      </c>
      <c r="ABB6" s="52">
        <f t="shared" si="32"/>
        <v>39359340</v>
      </c>
      <c r="ABC6" s="52">
        <f t="shared" si="32"/>
        <v>29054420</v>
      </c>
      <c r="ABD6" s="52">
        <f t="shared" si="32"/>
        <v>20127710</v>
      </c>
      <c r="ABE6" s="52">
        <f t="shared" si="32"/>
        <v>68287140</v>
      </c>
      <c r="ABF6" s="52">
        <f t="shared" si="32"/>
        <v>59180240</v>
      </c>
      <c r="ABG6" s="52">
        <f t="shared" si="32"/>
        <v>50161000</v>
      </c>
      <c r="ABH6" s="52">
        <f t="shared" si="32"/>
        <v>40445350</v>
      </c>
      <c r="ABI6" s="52">
        <f t="shared" si="32"/>
        <v>34357850</v>
      </c>
      <c r="ABJ6" s="52">
        <f t="shared" si="32"/>
        <v>24656810</v>
      </c>
      <c r="ABK6" s="52">
        <f t="shared" si="32"/>
        <v>15812890</v>
      </c>
      <c r="ABL6" s="52">
        <f t="shared" si="32"/>
        <v>6384570</v>
      </c>
      <c r="ABM6" s="52">
        <f t="shared" si="32"/>
        <v>69611780</v>
      </c>
      <c r="ABN6" s="52">
        <f t="shared" si="32"/>
        <v>60027620</v>
      </c>
      <c r="ABO6" s="52">
        <f t="shared" si="32"/>
        <v>49868800</v>
      </c>
      <c r="ABP6" s="52">
        <f t="shared" si="32"/>
        <v>78845300</v>
      </c>
      <c r="ABQ6" s="52">
        <f t="shared" si="32"/>
        <v>69095560</v>
      </c>
      <c r="ABR6" s="52">
        <f t="shared" si="32"/>
        <v>59823080</v>
      </c>
      <c r="ABS6" s="52">
        <f t="shared" si="32"/>
        <v>50648000</v>
      </c>
      <c r="ABT6" s="52">
        <f t="shared" si="32"/>
        <v>41068710</v>
      </c>
      <c r="ABU6" s="52">
        <f t="shared" si="32"/>
        <v>30924500</v>
      </c>
      <c r="ABV6" s="52">
        <f t="shared" si="32"/>
        <v>79303080</v>
      </c>
      <c r="ABW6" s="52">
        <f t="shared" si="32"/>
        <v>68774140</v>
      </c>
      <c r="ABX6" s="52">
        <f t="shared" si="32"/>
        <v>59667240</v>
      </c>
      <c r="ABY6" s="52">
        <f t="shared" si="32"/>
        <v>49868800</v>
      </c>
      <c r="ABZ6" s="52">
        <f t="shared" si="32"/>
        <v>79858260</v>
      </c>
      <c r="ACA6" s="52">
        <f t="shared" si="32"/>
        <v>71150700</v>
      </c>
      <c r="ACB6" s="52">
        <f t="shared" si="32"/>
        <v>61644460</v>
      </c>
      <c r="ACC6" s="130"/>
      <c r="ACD6" s="52">
        <f t="shared" ref="ACD6:ADH6" si="33">ACD5*ACD4</f>
        <v>52031080</v>
      </c>
      <c r="ACE6" s="52">
        <f t="shared" si="33"/>
        <v>40445350</v>
      </c>
      <c r="ACF6" s="52">
        <f t="shared" si="33"/>
        <v>29950500</v>
      </c>
      <c r="ACG6" s="52">
        <f t="shared" si="33"/>
        <v>19523830</v>
      </c>
      <c r="ACH6" s="52">
        <f t="shared" si="33"/>
        <v>8293610</v>
      </c>
      <c r="ACI6" s="52">
        <f t="shared" si="33"/>
        <v>64284000</v>
      </c>
      <c r="ACJ6" s="52">
        <f t="shared" si="33"/>
        <v>54868800</v>
      </c>
      <c r="ACK6" s="52">
        <f t="shared" si="33"/>
        <v>44796456</v>
      </c>
      <c r="ACL6" s="52">
        <f t="shared" si="33"/>
        <v>35787195</v>
      </c>
      <c r="ACM6" s="52">
        <f t="shared" si="33"/>
        <v>27596067</v>
      </c>
      <c r="ACN6" s="52">
        <f t="shared" si="33"/>
        <v>17122005</v>
      </c>
      <c r="ACO6" s="52">
        <f t="shared" si="33"/>
        <v>9063150</v>
      </c>
      <c r="ACP6" s="52">
        <f t="shared" si="33"/>
        <v>84899670</v>
      </c>
      <c r="ACQ6" s="52">
        <f t="shared" si="33"/>
        <v>75709146</v>
      </c>
      <c r="ACR6" s="52">
        <f t="shared" si="33"/>
        <v>65489832</v>
      </c>
      <c r="ACS6" s="52">
        <f t="shared" si="33"/>
        <v>57587745</v>
      </c>
      <c r="ACT6" s="52">
        <f t="shared" si="33"/>
        <v>48500100</v>
      </c>
      <c r="ACU6" s="52">
        <f t="shared" si="33"/>
        <v>39192000</v>
      </c>
      <c r="ACV6" s="52">
        <f t="shared" si="33"/>
        <v>83111535</v>
      </c>
      <c r="ACW6" s="52">
        <f t="shared" si="33"/>
        <v>75709146</v>
      </c>
      <c r="ACX6" s="52">
        <f t="shared" si="33"/>
        <v>67170189</v>
      </c>
      <c r="ACY6" s="52">
        <f t="shared" si="33"/>
        <v>57391785</v>
      </c>
      <c r="ACZ6" s="52">
        <f t="shared" si="33"/>
        <v>48500100</v>
      </c>
      <c r="ADA6" s="52">
        <f t="shared" si="33"/>
        <v>40975236</v>
      </c>
      <c r="ADB6" s="52">
        <f t="shared" si="33"/>
        <v>77820615</v>
      </c>
      <c r="ADC6" s="52">
        <f t="shared" si="33"/>
        <v>69453123</v>
      </c>
      <c r="ADD6" s="52">
        <f t="shared" si="33"/>
        <v>60796590</v>
      </c>
      <c r="ADE6" s="52">
        <f t="shared" si="33"/>
        <v>53693040</v>
      </c>
      <c r="ADF6" s="52">
        <f t="shared" si="33"/>
        <v>44252667</v>
      </c>
      <c r="ADG6" s="52">
        <f t="shared" si="33"/>
        <v>73636869</v>
      </c>
      <c r="ADH6" s="52">
        <f t="shared" si="33"/>
        <v>65489832</v>
      </c>
      <c r="ADI6" s="130"/>
      <c r="ADJ6" s="52">
        <f t="shared" ref="ADJ6:AEM6" si="34">ADJ5*ADJ4</f>
        <v>57533856</v>
      </c>
      <c r="ADK6" s="52">
        <f t="shared" si="34"/>
        <v>49911012</v>
      </c>
      <c r="ADL6" s="52">
        <f t="shared" si="34"/>
        <v>43111200</v>
      </c>
      <c r="ADM6" s="52">
        <f t="shared" si="34"/>
        <v>34062747</v>
      </c>
      <c r="ADN6" s="52">
        <f t="shared" si="34"/>
        <v>83283000</v>
      </c>
      <c r="ADO6" s="52">
        <f t="shared" si="34"/>
        <v>73793637</v>
      </c>
      <c r="ADP6" s="52">
        <f t="shared" si="34"/>
        <v>65181195</v>
      </c>
      <c r="ADQ6" s="52">
        <f t="shared" si="34"/>
        <v>56828400</v>
      </c>
      <c r="ADR6" s="52">
        <f t="shared" si="34"/>
        <v>49303536</v>
      </c>
      <c r="ADS6" s="52">
        <f t="shared" si="34"/>
        <v>42557613</v>
      </c>
      <c r="ADT6" s="52">
        <f t="shared" si="34"/>
        <v>34724112</v>
      </c>
      <c r="ADU6" s="52">
        <f t="shared" si="34"/>
        <v>89553720</v>
      </c>
      <c r="ADV6" s="52">
        <f t="shared" si="34"/>
        <v>80470974</v>
      </c>
      <c r="ADW6" s="52">
        <f t="shared" si="34"/>
        <v>72882423</v>
      </c>
      <c r="ADX6" s="52">
        <f t="shared" si="34"/>
        <v>64304274</v>
      </c>
      <c r="ADY6" s="52">
        <f t="shared" si="34"/>
        <v>57083148</v>
      </c>
      <c r="ADZ6" s="52">
        <f t="shared" si="34"/>
        <v>50704650</v>
      </c>
      <c r="AEA6" s="52">
        <f t="shared" si="34"/>
        <v>42763371</v>
      </c>
      <c r="AEB6" s="52">
        <f t="shared" si="34"/>
        <v>35385477</v>
      </c>
      <c r="AEC6" s="52">
        <f t="shared" si="34"/>
        <v>81886785</v>
      </c>
      <c r="AED6" s="52">
        <f t="shared" si="34"/>
        <v>74611770</v>
      </c>
      <c r="AEE6" s="52">
        <f t="shared" si="34"/>
        <v>66295852</v>
      </c>
      <c r="AEF6" s="52">
        <f t="shared" si="34"/>
        <v>58948078</v>
      </c>
      <c r="AEG6" s="52">
        <f t="shared" si="34"/>
        <v>51590546</v>
      </c>
      <c r="AEH6" s="52">
        <f t="shared" si="34"/>
        <v>44018338</v>
      </c>
      <c r="AEI6" s="52">
        <f t="shared" si="34"/>
        <v>35026341</v>
      </c>
      <c r="AEJ6" s="52">
        <f t="shared" si="34"/>
        <v>66081176</v>
      </c>
      <c r="AEK6" s="52">
        <f t="shared" si="34"/>
        <v>58401630</v>
      </c>
      <c r="AEL6" s="52">
        <f t="shared" si="34"/>
        <v>49331569</v>
      </c>
      <c r="AEM6" s="52">
        <f t="shared" si="34"/>
        <v>85689877</v>
      </c>
      <c r="AEN6" s="130"/>
      <c r="AEO6" s="52">
        <f t="shared" ref="AEO6:AFS6" si="35">AEO5*AEO4</f>
        <v>78756818</v>
      </c>
      <c r="AEP6" s="52">
        <f t="shared" si="35"/>
        <v>71438318</v>
      </c>
      <c r="AEQ6" s="52">
        <f t="shared" si="35"/>
        <v>63153776</v>
      </c>
      <c r="AER6" s="52">
        <f t="shared" si="35"/>
        <v>54181295</v>
      </c>
      <c r="AES6" s="52">
        <f t="shared" si="35"/>
        <v>46838400</v>
      </c>
      <c r="AET6" s="52">
        <f t="shared" si="35"/>
        <v>38666075</v>
      </c>
      <c r="AEU6" s="52">
        <f t="shared" si="35"/>
        <v>31225600</v>
      </c>
      <c r="AEV6" s="52">
        <f t="shared" si="35"/>
        <v>62153581</v>
      </c>
      <c r="AEW6" s="52">
        <f t="shared" si="35"/>
        <v>53015214</v>
      </c>
      <c r="AEX6" s="52">
        <f t="shared" si="35"/>
        <v>43325520</v>
      </c>
      <c r="AEY6" s="52">
        <f t="shared" si="35"/>
        <v>34962914</v>
      </c>
      <c r="AEZ6" s="52">
        <f t="shared" si="35"/>
        <v>27424859</v>
      </c>
      <c r="AFA6" s="52">
        <f t="shared" si="35"/>
        <v>19930715</v>
      </c>
      <c r="AFB6" s="52">
        <f t="shared" si="35"/>
        <v>75039020</v>
      </c>
      <c r="AFC6" s="52">
        <f t="shared" si="35"/>
        <v>66813026</v>
      </c>
      <c r="AFD6" s="52">
        <f t="shared" si="35"/>
        <v>58791950</v>
      </c>
      <c r="AFE6" s="52">
        <f t="shared" si="35"/>
        <v>51717400</v>
      </c>
      <c r="AFF6" s="52">
        <f t="shared" si="35"/>
        <v>81967200</v>
      </c>
      <c r="AFG6" s="52">
        <f t="shared" si="35"/>
        <v>74307170</v>
      </c>
      <c r="AFH6" s="52">
        <f t="shared" si="35"/>
        <v>66783752</v>
      </c>
      <c r="AFI6" s="52">
        <f t="shared" si="35"/>
        <v>58401630</v>
      </c>
      <c r="AFJ6" s="52">
        <f t="shared" si="35"/>
        <v>50795269</v>
      </c>
      <c r="AFK6" s="52">
        <f t="shared" si="35"/>
        <v>44018338</v>
      </c>
      <c r="AFL6" s="52">
        <f t="shared" si="35"/>
        <v>74453540</v>
      </c>
      <c r="AFM6" s="52">
        <f t="shared" si="35"/>
        <v>64607718</v>
      </c>
      <c r="AFN6" s="52">
        <f t="shared" si="35"/>
        <v>56479304</v>
      </c>
      <c r="AFO6" s="52">
        <f t="shared" si="35"/>
        <v>47966457</v>
      </c>
      <c r="AFP6" s="52">
        <f t="shared" si="35"/>
        <v>40616719</v>
      </c>
      <c r="AFQ6" s="52">
        <f t="shared" si="35"/>
        <v>33580866</v>
      </c>
      <c r="AFR6" s="52">
        <f t="shared" si="35"/>
        <v>26124890</v>
      </c>
      <c r="AFS6" s="52">
        <f t="shared" si="35"/>
        <v>17601705</v>
      </c>
      <c r="AFT6" s="130"/>
      <c r="AFU6" s="52">
        <f t="shared" ref="AFU6:AGX6" si="36">AFU5*AFU4</f>
        <v>66369776</v>
      </c>
      <c r="AFV6" s="52">
        <f t="shared" si="36"/>
        <v>57851420</v>
      </c>
      <c r="AFW6" s="52">
        <f t="shared" si="36"/>
        <v>49980150</v>
      </c>
      <c r="AFX6" s="52">
        <f t="shared" si="36"/>
        <v>42094393</v>
      </c>
      <c r="AFY6" s="52">
        <f t="shared" si="36"/>
        <v>33537405</v>
      </c>
      <c r="AFZ6" s="52">
        <f t="shared" si="36"/>
        <v>73449090</v>
      </c>
      <c r="AGA6" s="52">
        <f t="shared" si="36"/>
        <v>64761719</v>
      </c>
      <c r="AGB6" s="52">
        <f t="shared" si="36"/>
        <v>57899710</v>
      </c>
      <c r="AGC6" s="52">
        <f t="shared" si="36"/>
        <v>48932257</v>
      </c>
      <c r="AGD6" s="52">
        <f t="shared" si="36"/>
        <v>40278689</v>
      </c>
      <c r="AGE6" s="52">
        <f t="shared" si="36"/>
        <v>32784081</v>
      </c>
      <c r="AGF6" s="52">
        <f t="shared" si="36"/>
        <v>88196856</v>
      </c>
      <c r="AGG6" s="52">
        <f t="shared" si="36"/>
        <v>80567036</v>
      </c>
      <c r="AGH6" s="52">
        <f t="shared" si="36"/>
        <v>73255930</v>
      </c>
      <c r="AGI6" s="52">
        <f t="shared" si="36"/>
        <v>65191500</v>
      </c>
      <c r="AGJ6" s="52">
        <f t="shared" si="36"/>
        <v>57851420</v>
      </c>
      <c r="AGK6" s="52">
        <f t="shared" si="36"/>
        <v>48743926</v>
      </c>
      <c r="AGL6" s="52">
        <f t="shared" si="36"/>
        <v>40447704</v>
      </c>
      <c r="AGM6" s="52">
        <f t="shared" si="36"/>
        <v>32407419</v>
      </c>
      <c r="AGN6" s="52">
        <f t="shared" si="36"/>
        <v>23483427</v>
      </c>
      <c r="AGO6" s="52">
        <f t="shared" si="36"/>
        <v>76389951</v>
      </c>
      <c r="AGP6" s="52">
        <f t="shared" si="36"/>
        <v>66582252</v>
      </c>
      <c r="AGQ6" s="52">
        <f t="shared" si="36"/>
        <v>59266317</v>
      </c>
      <c r="AGR6" s="52">
        <f t="shared" si="36"/>
        <v>51481969</v>
      </c>
      <c r="AGS6" s="52">
        <f t="shared" si="36"/>
        <v>42263408</v>
      </c>
      <c r="AGT6" s="52">
        <f t="shared" si="36"/>
        <v>77355751</v>
      </c>
      <c r="AGU6" s="52">
        <f t="shared" si="36"/>
        <v>68673209</v>
      </c>
      <c r="AGV6" s="52">
        <f t="shared" si="36"/>
        <v>58609573</v>
      </c>
      <c r="AGW6" s="52">
        <f t="shared" si="36"/>
        <v>48661833</v>
      </c>
      <c r="AGX6" s="52">
        <f t="shared" si="36"/>
        <v>40389756</v>
      </c>
      <c r="AGY6" s="139"/>
      <c r="AGZ6" s="52">
        <f t="shared" ref="AGZ6:AID6" si="37">AGZ5*AGZ4</f>
        <v>31663753</v>
      </c>
      <c r="AHA6" s="52">
        <f t="shared" si="37"/>
        <v>23179200</v>
      </c>
      <c r="AHB6" s="52">
        <f t="shared" si="37"/>
        <v>77814506</v>
      </c>
      <c r="AHC6" s="52">
        <f t="shared" si="37"/>
        <v>68354495</v>
      </c>
      <c r="AHD6" s="52">
        <f t="shared" si="37"/>
        <v>58126673</v>
      </c>
      <c r="AHE6" s="52">
        <f t="shared" si="37"/>
        <v>48879138</v>
      </c>
      <c r="AHF6" s="52">
        <f t="shared" si="37"/>
        <v>40563600</v>
      </c>
      <c r="AHG6" s="52">
        <f t="shared" si="37"/>
        <v>31615463</v>
      </c>
      <c r="AHH6" s="52">
        <f t="shared" si="37"/>
        <v>24188461</v>
      </c>
      <c r="AHI6" s="52">
        <f t="shared" si="37"/>
        <v>15356220</v>
      </c>
      <c r="AHJ6" s="52">
        <f t="shared" si="37"/>
        <v>67977833</v>
      </c>
      <c r="AHK6" s="52">
        <f t="shared" si="37"/>
        <v>58126673</v>
      </c>
      <c r="AHL6" s="52">
        <f t="shared" si="37"/>
        <v>48019576</v>
      </c>
      <c r="AHM6" s="52">
        <f t="shared" si="37"/>
        <v>39539852</v>
      </c>
      <c r="AHN6" s="52">
        <f t="shared" si="37"/>
        <v>30905600</v>
      </c>
      <c r="AHO6" s="52">
        <f t="shared" si="37"/>
        <v>22599720</v>
      </c>
      <c r="AHP6" s="52">
        <f t="shared" si="37"/>
        <v>82093000</v>
      </c>
      <c r="AHQ6" s="52">
        <f t="shared" si="37"/>
        <v>72435000</v>
      </c>
      <c r="AHR6" s="52">
        <f t="shared" si="37"/>
        <v>62236152</v>
      </c>
      <c r="AHS6" s="52">
        <f t="shared" si="37"/>
        <v>52858234</v>
      </c>
      <c r="AHT6" s="52">
        <f t="shared" si="37"/>
        <v>43267840</v>
      </c>
      <c r="AHU6" s="52">
        <f t="shared" si="37"/>
        <v>33054505</v>
      </c>
      <c r="AHV6" s="52">
        <f t="shared" si="37"/>
        <v>21798106</v>
      </c>
      <c r="AHW6" s="52">
        <f t="shared" si="37"/>
        <v>77698610</v>
      </c>
      <c r="AHX6" s="52">
        <f t="shared" si="37"/>
        <v>69590719</v>
      </c>
      <c r="AHY6" s="52">
        <f t="shared" si="37"/>
        <v>61410393</v>
      </c>
      <c r="AHZ6" s="52">
        <f t="shared" si="37"/>
        <v>54084800</v>
      </c>
      <c r="AIA6" s="52">
        <f t="shared" si="37"/>
        <v>47536676</v>
      </c>
      <c r="AIB6" s="52">
        <f t="shared" si="37"/>
        <v>40563600</v>
      </c>
      <c r="AIC6" s="52">
        <f t="shared" si="37"/>
        <v>32354300</v>
      </c>
      <c r="AID6" s="52">
        <f t="shared" si="37"/>
        <v>70503400</v>
      </c>
      <c r="AIE6" s="130"/>
      <c r="AIF6" s="52">
        <f t="shared" ref="AIF6:AJJ6" si="38">AIF5*AIF4</f>
        <v>63385454</v>
      </c>
      <c r="AIG6" s="52">
        <f t="shared" si="38"/>
        <v>55557645</v>
      </c>
      <c r="AIH6" s="52">
        <f t="shared" si="38"/>
        <v>47662230</v>
      </c>
      <c r="AII6" s="52">
        <f t="shared" si="38"/>
        <v>39221138</v>
      </c>
      <c r="AIJ6" s="52">
        <f t="shared" si="38"/>
        <v>29939800</v>
      </c>
      <c r="AIK6" s="52">
        <f t="shared" si="38"/>
        <v>68142019</v>
      </c>
      <c r="AIL6" s="52">
        <f t="shared" si="38"/>
        <v>58730298</v>
      </c>
      <c r="AIM6" s="52">
        <f t="shared" si="38"/>
        <v>49642120</v>
      </c>
      <c r="AIN6" s="52">
        <f t="shared" si="38"/>
        <v>82237870</v>
      </c>
      <c r="AIO6" s="52">
        <f t="shared" si="38"/>
        <v>71213263</v>
      </c>
      <c r="AIP6" s="52">
        <f t="shared" si="38"/>
        <v>62236152</v>
      </c>
      <c r="AIQ6" s="52">
        <f t="shared" si="38"/>
        <v>54031681</v>
      </c>
      <c r="AIR6" s="52">
        <f t="shared" si="38"/>
        <v>44832436</v>
      </c>
      <c r="AIS6" s="52">
        <f t="shared" si="38"/>
        <v>36812055</v>
      </c>
      <c r="AIT6" s="52">
        <f t="shared" si="38"/>
        <v>31479308</v>
      </c>
      <c r="AIU6" s="52">
        <f t="shared" si="38"/>
        <v>24033954</v>
      </c>
      <c r="AIV6" s="52">
        <f t="shared" si="38"/>
        <v>19745313</v>
      </c>
      <c r="AIW6" s="52">
        <f t="shared" si="38"/>
        <v>14754096</v>
      </c>
      <c r="AIX6" s="52">
        <f t="shared" si="38"/>
        <v>30859675</v>
      </c>
      <c r="AIY6" s="52">
        <f t="shared" si="38"/>
        <v>22628802</v>
      </c>
      <c r="AIZ6" s="52">
        <f t="shared" si="38"/>
        <v>13563620</v>
      </c>
      <c r="AJA6" s="52">
        <f t="shared" si="38"/>
        <v>58791950</v>
      </c>
      <c r="AJB6" s="52">
        <f t="shared" si="38"/>
        <v>49331569</v>
      </c>
      <c r="AJC6" s="52">
        <f t="shared" si="38"/>
        <v>39832156</v>
      </c>
      <c r="AJD6" s="52">
        <f t="shared" si="38"/>
        <v>55132700</v>
      </c>
      <c r="AJE6" s="52">
        <f t="shared" si="38"/>
        <v>46887190</v>
      </c>
      <c r="AJF6" s="52">
        <f t="shared" si="38"/>
        <v>37782976</v>
      </c>
      <c r="AJG6" s="52">
        <f t="shared" si="38"/>
        <v>29615530</v>
      </c>
      <c r="AJH6" s="52">
        <f t="shared" si="38"/>
        <v>21687600</v>
      </c>
      <c r="AJI6" s="52">
        <f t="shared" si="38"/>
        <v>60907653</v>
      </c>
      <c r="AJJ6" s="52">
        <f t="shared" si="38"/>
        <v>52552998</v>
      </c>
      <c r="AJK6" s="145"/>
      <c r="AJL6" s="52">
        <f t="shared" ref="AJL6:AKM6" si="39">AJL5*AJL4</f>
        <v>45346800</v>
      </c>
      <c r="AJM6" s="52">
        <f t="shared" si="39"/>
        <v>37337175</v>
      </c>
      <c r="AJN6" s="52">
        <f t="shared" si="39"/>
        <v>27390453</v>
      </c>
      <c r="AJO6" s="52">
        <f t="shared" si="39"/>
        <v>19272390</v>
      </c>
      <c r="AJP6" s="52">
        <f t="shared" si="39"/>
        <v>11119824</v>
      </c>
      <c r="AJQ6" s="52">
        <f t="shared" si="39"/>
        <v>47988744</v>
      </c>
      <c r="AJR6" s="52">
        <f t="shared" si="39"/>
        <v>76665666</v>
      </c>
      <c r="AJS6" s="52">
        <f t="shared" si="39"/>
        <v>68276508</v>
      </c>
      <c r="AJT6" s="52">
        <f t="shared" si="39"/>
        <v>59049420</v>
      </c>
      <c r="AJU6" s="52">
        <f t="shared" si="39"/>
        <v>50413812</v>
      </c>
      <c r="AJV6" s="52">
        <f t="shared" si="39"/>
        <v>42389400</v>
      </c>
      <c r="AJW6" s="52">
        <f t="shared" si="39"/>
        <v>33739005</v>
      </c>
      <c r="AJX6" s="52">
        <f t="shared" si="39"/>
        <v>24186603</v>
      </c>
      <c r="AJY6" s="52">
        <f t="shared" si="39"/>
        <v>74659563</v>
      </c>
      <c r="AJZ6" s="52">
        <f t="shared" si="39"/>
        <v>66541500</v>
      </c>
      <c r="AKA6" s="52">
        <f t="shared" si="39"/>
        <v>58955769</v>
      </c>
      <c r="AKB6" s="52">
        <f t="shared" si="39"/>
        <v>50167362</v>
      </c>
      <c r="AKC6" s="52">
        <f t="shared" si="39"/>
        <v>42221814</v>
      </c>
      <c r="AKD6" s="52">
        <f t="shared" si="39"/>
        <v>74245527</v>
      </c>
      <c r="AKE6" s="52">
        <f t="shared" si="39"/>
        <v>67251276</v>
      </c>
      <c r="AKF6" s="52">
        <f t="shared" si="39"/>
        <v>58655100</v>
      </c>
      <c r="AKG6" s="52">
        <f t="shared" si="39"/>
        <v>52025595</v>
      </c>
      <c r="AKH6" s="52">
        <f t="shared" si="39"/>
        <v>44361000</v>
      </c>
      <c r="AKI6" s="52">
        <f t="shared" si="39"/>
        <v>36780198</v>
      </c>
      <c r="AKJ6" s="52">
        <f t="shared" si="39"/>
        <v>28967733</v>
      </c>
      <c r="AKK6" s="52">
        <f t="shared" si="39"/>
        <v>21633381</v>
      </c>
      <c r="AKL6" s="52">
        <f t="shared" si="39"/>
        <v>14550408</v>
      </c>
      <c r="AKM6" s="52">
        <f t="shared" si="39"/>
        <v>71411352</v>
      </c>
      <c r="AKN6" s="151"/>
      <c r="AKO6" s="52">
        <f t="shared" ref="AKO6:ALS6" si="40">AKO5*AKO4</f>
        <v>63401727</v>
      </c>
      <c r="AKP6" s="52">
        <f t="shared" si="40"/>
        <v>56407476</v>
      </c>
      <c r="AKQ6" s="52">
        <f t="shared" si="40"/>
        <v>48456999</v>
      </c>
      <c r="AKR6" s="52">
        <f t="shared" si="40"/>
        <v>41290233</v>
      </c>
      <c r="AKS6" s="52">
        <f t="shared" si="40"/>
        <v>33610851</v>
      </c>
      <c r="AKT6" s="52">
        <f t="shared" si="40"/>
        <v>80253978</v>
      </c>
      <c r="AKU6" s="52">
        <f t="shared" si="40"/>
        <v>72791472</v>
      </c>
      <c r="AKV6" s="52">
        <f t="shared" si="40"/>
        <v>64801563</v>
      </c>
      <c r="AKW6" s="52">
        <f t="shared" si="40"/>
        <v>56535630</v>
      </c>
      <c r="AKX6" s="52">
        <f t="shared" si="40"/>
        <v>48959757</v>
      </c>
      <c r="AKY6" s="52">
        <f t="shared" si="40"/>
        <v>42376269</v>
      </c>
      <c r="AKZ6" s="52">
        <f t="shared" si="40"/>
        <v>34399911</v>
      </c>
      <c r="ALA6" s="52">
        <f t="shared" si="40"/>
        <v>75362144</v>
      </c>
      <c r="ALB6" s="52">
        <f t="shared" si="40"/>
        <v>65508703</v>
      </c>
      <c r="ALC6" s="52">
        <f t="shared" si="40"/>
        <v>57577156</v>
      </c>
      <c r="ALD6" s="52">
        <f t="shared" si="40"/>
        <v>46434154</v>
      </c>
      <c r="ALE6" s="52">
        <f t="shared" si="40"/>
        <v>37133382</v>
      </c>
      <c r="ALF6" s="52">
        <f t="shared" si="40"/>
        <v>30058333</v>
      </c>
      <c r="ALG6" s="52">
        <f t="shared" si="40"/>
        <v>20402653</v>
      </c>
      <c r="ALH6" s="52">
        <f t="shared" si="40"/>
        <v>76843120</v>
      </c>
      <c r="ALI6" s="52">
        <f t="shared" si="40"/>
        <v>67946819</v>
      </c>
      <c r="ALJ6" s="52">
        <f t="shared" si="40"/>
        <v>61162698</v>
      </c>
      <c r="ALK6" s="52">
        <f t="shared" si="40"/>
        <v>51899280</v>
      </c>
      <c r="ALL6" s="52">
        <f t="shared" si="40"/>
        <v>43227369</v>
      </c>
      <c r="ALM6" s="52">
        <f t="shared" si="40"/>
        <v>33577269</v>
      </c>
      <c r="ALN6" s="52">
        <f t="shared" si="40"/>
        <v>64330614</v>
      </c>
      <c r="ALO6" s="52">
        <f t="shared" si="40"/>
        <v>54457038</v>
      </c>
      <c r="ALP6" s="52">
        <f t="shared" si="40"/>
        <v>81502713</v>
      </c>
      <c r="ALQ6" s="52">
        <f t="shared" si="40"/>
        <v>69242007</v>
      </c>
      <c r="ALR6" s="52">
        <f t="shared" si="40"/>
        <v>57326673</v>
      </c>
      <c r="ALS6" s="52">
        <f t="shared" si="40"/>
        <v>49415640</v>
      </c>
      <c r="ALT6" s="130"/>
      <c r="ALU6" s="52">
        <f t="shared" ref="ALU6:AMX6" si="41">ALU5*ALU4</f>
        <v>37159941</v>
      </c>
      <c r="ALV6" s="52">
        <f t="shared" si="41"/>
        <v>66447495</v>
      </c>
      <c r="ALW6" s="52">
        <f t="shared" si="41"/>
        <v>81964833</v>
      </c>
      <c r="ALX6" s="52">
        <f t="shared" si="41"/>
        <v>71905959</v>
      </c>
      <c r="ALY6" s="52">
        <f t="shared" si="41"/>
        <v>65672145</v>
      </c>
      <c r="ALZ6" s="52">
        <f t="shared" si="41"/>
        <v>59045487</v>
      </c>
      <c r="AMA6" s="52">
        <f t="shared" si="41"/>
        <v>47988996</v>
      </c>
      <c r="AMB6" s="52">
        <f t="shared" si="41"/>
        <v>37759545</v>
      </c>
      <c r="AMC6" s="52">
        <f t="shared" si="41"/>
        <v>26454942</v>
      </c>
      <c r="AMD6" s="52">
        <f t="shared" si="41"/>
        <v>15403620</v>
      </c>
      <c r="AME6" s="52">
        <f t="shared" si="41"/>
        <v>4197228</v>
      </c>
      <c r="AMF6" s="52">
        <f t="shared" si="41"/>
        <v>43703895</v>
      </c>
      <c r="AMG6" s="52">
        <f t="shared" si="41"/>
        <v>31789350</v>
      </c>
      <c r="AMH6" s="52">
        <f t="shared" si="41"/>
        <v>65299977</v>
      </c>
      <c r="AMI6" s="52">
        <f t="shared" si="41"/>
        <v>57184457</v>
      </c>
      <c r="AMJ6" s="52">
        <f t="shared" si="41"/>
        <v>48353613</v>
      </c>
      <c r="AMK6" s="52">
        <f t="shared" si="41"/>
        <v>79972882</v>
      </c>
      <c r="AML6" s="52">
        <f t="shared" si="41"/>
        <v>67970100</v>
      </c>
      <c r="AMM6" s="52">
        <f t="shared" si="41"/>
        <v>56436259</v>
      </c>
      <c r="AMN6" s="52">
        <f t="shared" si="41"/>
        <v>35976732</v>
      </c>
      <c r="AMO6" s="52">
        <f t="shared" si="41"/>
        <v>56973697</v>
      </c>
      <c r="AMP6" s="52">
        <f t="shared" si="41"/>
        <v>40675998</v>
      </c>
      <c r="AMQ6" s="52">
        <f t="shared" si="41"/>
        <v>16954608</v>
      </c>
      <c r="AMR6" s="52">
        <f t="shared" si="41"/>
        <v>61186125</v>
      </c>
      <c r="AMS6" s="52">
        <f t="shared" si="41"/>
        <v>35329272</v>
      </c>
      <c r="AMT6" s="52">
        <f t="shared" si="41"/>
        <v>12565344</v>
      </c>
      <c r="AMU6" s="52">
        <f t="shared" si="41"/>
        <v>2210769</v>
      </c>
      <c r="AMV6" s="52">
        <f t="shared" si="41"/>
        <v>36039300</v>
      </c>
      <c r="AMW6" s="52">
        <f t="shared" si="41"/>
        <v>14292003</v>
      </c>
      <c r="AMX6" s="52">
        <f t="shared" si="41"/>
        <v>50562600</v>
      </c>
      <c r="AMY6" s="130"/>
      <c r="AMZ6" s="52">
        <f t="shared" ref="AMZ6:AOC6" si="42">AMZ5*AMZ4</f>
        <v>86876188</v>
      </c>
      <c r="ANA6" s="52">
        <f t="shared" si="42"/>
        <v>75188183</v>
      </c>
      <c r="ANB6" s="52">
        <f t="shared" si="42"/>
        <v>65642514</v>
      </c>
      <c r="ANC6" s="52">
        <f t="shared" si="42"/>
        <v>53257134</v>
      </c>
      <c r="AND6" s="52">
        <f t="shared" si="42"/>
        <v>86362920</v>
      </c>
      <c r="ANE6" s="52">
        <f t="shared" si="42"/>
        <v>73531220</v>
      </c>
      <c r="ANF6" s="52">
        <f t="shared" si="42"/>
        <v>61659108</v>
      </c>
      <c r="ANG6" s="52">
        <f t="shared" si="42"/>
        <v>89152420</v>
      </c>
      <c r="ANH6" s="52">
        <f t="shared" si="42"/>
        <v>76493669</v>
      </c>
      <c r="ANI6" s="52">
        <f t="shared" si="42"/>
        <v>66445890</v>
      </c>
      <c r="ANJ6" s="52">
        <f t="shared" si="42"/>
        <v>55042414</v>
      </c>
      <c r="ANK6" s="52">
        <f t="shared" si="42"/>
        <v>44353050</v>
      </c>
      <c r="ANL6" s="52">
        <f t="shared" si="42"/>
        <v>32977469</v>
      </c>
      <c r="ANM6" s="52">
        <f t="shared" si="42"/>
        <v>58216865</v>
      </c>
      <c r="ANN6" s="52">
        <f t="shared" si="42"/>
        <v>46205278</v>
      </c>
      <c r="ANO6" s="52">
        <f t="shared" si="42"/>
        <v>37312352</v>
      </c>
      <c r="ANP6" s="52">
        <f t="shared" si="42"/>
        <v>64714410</v>
      </c>
      <c r="ANQ6" s="52">
        <f t="shared" si="42"/>
        <v>56334700</v>
      </c>
      <c r="ANR6" s="52">
        <f t="shared" si="42"/>
        <v>48181800</v>
      </c>
      <c r="ANS6" s="52">
        <f t="shared" si="42"/>
        <v>100458440</v>
      </c>
      <c r="ANT6" s="52">
        <f t="shared" si="42"/>
        <v>93850300</v>
      </c>
      <c r="ANU6" s="52">
        <f t="shared" si="42"/>
        <v>83159580</v>
      </c>
      <c r="ANV6" s="52">
        <f t="shared" si="42"/>
        <v>75172190</v>
      </c>
      <c r="ANW6" s="52">
        <f t="shared" si="42"/>
        <v>65860720</v>
      </c>
      <c r="ANX6" s="52">
        <f t="shared" si="42"/>
        <v>56524730</v>
      </c>
      <c r="ANY6" s="52">
        <f t="shared" si="42"/>
        <v>44565100</v>
      </c>
      <c r="ANZ6" s="52">
        <f t="shared" si="42"/>
        <v>91196010</v>
      </c>
      <c r="AOA6" s="52">
        <f t="shared" si="42"/>
        <v>83368000</v>
      </c>
      <c r="AOB6" s="52">
        <f t="shared" si="42"/>
        <v>75867000</v>
      </c>
      <c r="AOC6" s="52">
        <f t="shared" si="42"/>
        <v>107593200</v>
      </c>
    </row>
    <row r="7" spans="1:1069" x14ac:dyDescent="0.2">
      <c r="A7" s="160"/>
      <c r="B7" t="s">
        <v>1507</v>
      </c>
      <c r="C7" s="52">
        <f>BALANCING!C41</f>
        <v>13333.33</v>
      </c>
      <c r="D7" s="52">
        <f>BALANCING!D41</f>
        <v>12320</v>
      </c>
      <c r="E7" s="52">
        <f>BALANCING!E41</f>
        <v>11640</v>
      </c>
      <c r="F7" s="52">
        <f>BALANCING!F41</f>
        <v>10588</v>
      </c>
      <c r="G7" s="83">
        <f>BALANCING!G41</f>
        <v>9211.76</v>
      </c>
      <c r="H7" s="52">
        <f>BALANCING!H41</f>
        <v>8400</v>
      </c>
      <c r="I7" s="52">
        <f>BALANCING!I41</f>
        <v>7320</v>
      </c>
      <c r="J7" s="52">
        <f>BALANCING!J41</f>
        <v>6344.44</v>
      </c>
      <c r="K7" s="52">
        <f>BALANCING!K41</f>
        <v>5480</v>
      </c>
      <c r="L7" s="52">
        <f>BALANCING!L41</f>
        <v>4600</v>
      </c>
      <c r="M7" s="52">
        <f>BALANCING!M41</f>
        <v>16600</v>
      </c>
      <c r="N7" s="52">
        <f>BALANCING!N41</f>
        <v>15910</v>
      </c>
      <c r="O7" s="52">
        <f>BALANCING!O41</f>
        <v>15147</v>
      </c>
      <c r="P7" s="52">
        <f>BALANCING!P41</f>
        <v>14350</v>
      </c>
      <c r="Q7" s="52">
        <f>BALANCING!Q41</f>
        <v>13488</v>
      </c>
      <c r="R7" s="52">
        <f>BALANCING!R41</f>
        <v>12878</v>
      </c>
      <c r="S7" s="52">
        <f>BALANCING!S41</f>
        <v>11547</v>
      </c>
      <c r="T7" s="52">
        <f>BALANCING!T41</f>
        <v>10788</v>
      </c>
      <c r="U7" s="52">
        <f>BALANCING!U41</f>
        <v>10077</v>
      </c>
      <c r="V7" s="52">
        <f>BALANCING!V41</f>
        <v>9247</v>
      </c>
      <c r="W7" s="52">
        <f>BALANCING!W41</f>
        <v>8325</v>
      </c>
      <c r="X7" s="52">
        <f>BALANCING!X41</f>
        <v>7380</v>
      </c>
      <c r="Y7" s="52">
        <f>BALANCING!Y41</f>
        <v>6477</v>
      </c>
      <c r="Z7" s="52">
        <f>BALANCING!Z41</f>
        <v>5600</v>
      </c>
      <c r="AA7" s="52">
        <f>BALANCING!AA41</f>
        <v>14445</v>
      </c>
      <c r="AB7" s="52">
        <f>BALANCING!AB41</f>
        <v>13355</v>
      </c>
      <c r="AC7" s="52">
        <f>BALANCING!AC41</f>
        <v>12466</v>
      </c>
      <c r="AD7" s="52">
        <f>BALANCING!AD41</f>
        <v>11673</v>
      </c>
      <c r="AE7" s="52">
        <f>BALANCING!AE41</f>
        <v>10305</v>
      </c>
      <c r="AF7" s="52">
        <f>BALANCING!AF41</f>
        <v>9044</v>
      </c>
      <c r="AG7" s="52">
        <f>BALANCING!AG41</f>
        <v>7877</v>
      </c>
      <c r="AH7" s="67"/>
      <c r="AI7" s="52">
        <f>BALANCING!AI41</f>
        <v>16730</v>
      </c>
      <c r="AJ7" s="52">
        <f>BALANCING!AJ41</f>
        <v>15341</v>
      </c>
      <c r="AK7" s="52">
        <f>BALANCING!AK41</f>
        <v>14077</v>
      </c>
      <c r="AL7" s="52">
        <f>BALANCING!AL41</f>
        <v>12600</v>
      </c>
      <c r="AM7" s="52">
        <f>BALANCING!AM41</f>
        <v>11070</v>
      </c>
      <c r="AN7" s="52">
        <f>BALANCING!AN41</f>
        <v>9200</v>
      </c>
      <c r="AO7" s="52">
        <f>BALANCING!AO41</f>
        <v>7541</v>
      </c>
      <c r="AP7" s="52">
        <f>BALANCING!AP41</f>
        <v>5568</v>
      </c>
      <c r="AQ7" s="52">
        <f>BALANCING!AQ41</f>
        <v>14422</v>
      </c>
      <c r="AR7" s="52">
        <f>BALANCING!AR41</f>
        <v>13100</v>
      </c>
      <c r="AS7" s="52">
        <f>BALANCING!AS41</f>
        <v>11768</v>
      </c>
      <c r="AT7" s="52">
        <f>BALANCING!AT41</f>
        <v>10623</v>
      </c>
      <c r="AU7" s="52">
        <f>BALANCING!AU41</f>
        <v>9670</v>
      </c>
      <c r="AV7" s="52">
        <f>BALANCING!AV41</f>
        <v>8777</v>
      </c>
      <c r="AW7" s="52">
        <f>BALANCING!AW41</f>
        <v>7742</v>
      </c>
      <c r="AX7" s="52">
        <f>BALANCING!AX41</f>
        <v>6733</v>
      </c>
      <c r="AY7" s="52">
        <f>BALANCING!AY41</f>
        <v>5705</v>
      </c>
      <c r="AZ7" s="52">
        <f>BALANCING!AZ41</f>
        <v>4670</v>
      </c>
      <c r="BA7" s="52">
        <f>BALANCING!BA41</f>
        <v>3600</v>
      </c>
      <c r="BB7" s="52">
        <f>BALANCING!BB41</f>
        <v>15800</v>
      </c>
      <c r="BC7" s="52">
        <f>BALANCING!BC41</f>
        <v>14800</v>
      </c>
      <c r="BD7" s="52">
        <f>BALANCING!BD41</f>
        <v>13658</v>
      </c>
      <c r="BE7" s="52">
        <f>BALANCING!BE41</f>
        <v>12326</v>
      </c>
      <c r="BF7" s="52">
        <f>BALANCING!BF41</f>
        <v>11373</v>
      </c>
      <c r="BG7" s="52">
        <f>BALANCING!BG41</f>
        <v>10376</v>
      </c>
      <c r="BH7" s="52">
        <f>BALANCING!BH41</f>
        <v>9294</v>
      </c>
      <c r="BI7" s="52">
        <f>BALANCING!BI41</f>
        <v>8212</v>
      </c>
      <c r="BJ7" s="52">
        <f>BALANCING!BJ41</f>
        <v>7044</v>
      </c>
      <c r="BK7" s="52">
        <f>BALANCING!BK41</f>
        <v>5850</v>
      </c>
      <c r="BL7" s="52">
        <f>BALANCING!BL41</f>
        <v>16904</v>
      </c>
      <c r="BM7" s="105"/>
      <c r="BN7" s="52">
        <f>BALANCING!BN41</f>
        <v>16110</v>
      </c>
      <c r="BO7" s="52">
        <f>BALANCING!BO41</f>
        <v>15200</v>
      </c>
      <c r="BP7" s="52">
        <f>BALANCING!BP41</f>
        <v>14052</v>
      </c>
      <c r="BQ7" s="52">
        <f>BALANCING!BQ41</f>
        <v>13055</v>
      </c>
      <c r="BR7" s="52">
        <f>BALANCING!BR41</f>
        <v>11530</v>
      </c>
      <c r="BS7" s="52">
        <f>BALANCING!BS41</f>
        <v>10250</v>
      </c>
      <c r="BT7" s="52">
        <f>BALANCING!BT41</f>
        <v>9188</v>
      </c>
      <c r="BU7" s="52">
        <f>BALANCING!BU41</f>
        <v>8421</v>
      </c>
      <c r="BV7" s="52">
        <f>BALANCING!BV41</f>
        <v>7100</v>
      </c>
      <c r="BW7" s="52">
        <f>BALANCING!BW41</f>
        <v>6066</v>
      </c>
      <c r="BX7" s="52">
        <f>BALANCING!BX41</f>
        <v>5100</v>
      </c>
      <c r="BY7" s="52">
        <f>BALANCING!BY41</f>
        <v>4200</v>
      </c>
      <c r="BZ7" s="52">
        <f>BALANCING!BZ41</f>
        <v>3054</v>
      </c>
      <c r="CA7" s="52">
        <f>BALANCING!CA41</f>
        <v>6968</v>
      </c>
      <c r="CB7" s="52">
        <f>BALANCING!CB41</f>
        <v>6177</v>
      </c>
      <c r="CC7" s="52">
        <f>BALANCING!CC41</f>
        <v>5219</v>
      </c>
      <c r="CD7" s="52">
        <f>BALANCING!CD41</f>
        <v>4100</v>
      </c>
      <c r="CE7" s="52">
        <f>BALANCING!CE41</f>
        <v>12117</v>
      </c>
      <c r="CF7" s="52">
        <f>BALANCING!CF41</f>
        <v>11430</v>
      </c>
      <c r="CG7" s="52">
        <f>BALANCING!CG41</f>
        <v>10458</v>
      </c>
      <c r="CH7" s="52">
        <f>BALANCING!CH41</f>
        <v>9560</v>
      </c>
      <c r="CI7" s="52">
        <f>BALANCING!CI41</f>
        <v>8811</v>
      </c>
      <c r="CJ7" s="52">
        <f>BALANCING!CJ41</f>
        <v>7977</v>
      </c>
      <c r="CK7" s="52">
        <f>BALANCING!CK41</f>
        <v>6884</v>
      </c>
      <c r="CL7" s="52">
        <f>BALANCING!CL41</f>
        <v>16201</v>
      </c>
      <c r="CM7" s="52">
        <f>BALANCING!CM41</f>
        <v>15400</v>
      </c>
      <c r="CN7" s="52">
        <f>BALANCING!CN41</f>
        <v>14581</v>
      </c>
      <c r="CO7" s="52">
        <f>BALANCING!CO41</f>
        <v>13377</v>
      </c>
      <c r="CP7" s="52">
        <f>BALANCING!CP41</f>
        <v>12660</v>
      </c>
      <c r="CQ7" s="52">
        <f>BALANCING!CQ41</f>
        <v>11660</v>
      </c>
      <c r="CR7" s="52">
        <f>BALANCING!CR41</f>
        <v>10741</v>
      </c>
      <c r="CT7" s="52">
        <f>BALANCING!CT41</f>
        <v>9752</v>
      </c>
      <c r="CU7" s="52">
        <f>BALANCING!CU41</f>
        <v>8900</v>
      </c>
      <c r="CV7" s="52">
        <f>BALANCING!CV41</f>
        <v>7911</v>
      </c>
      <c r="CW7" s="52">
        <f>BALANCING!CW41</f>
        <v>6733</v>
      </c>
      <c r="CX7" s="52">
        <f>BALANCING!CX41</f>
        <v>5764</v>
      </c>
      <c r="CY7" s="52">
        <f>BALANCING!CY41</f>
        <v>4780</v>
      </c>
      <c r="CZ7" s="52">
        <f>BALANCING!CZ41</f>
        <v>13588</v>
      </c>
      <c r="DA7" s="52">
        <f>BALANCING!DA41</f>
        <v>12577</v>
      </c>
      <c r="DB7" s="52">
        <f>BALANCING!DB41</f>
        <v>11500</v>
      </c>
      <c r="DC7" s="52">
        <f>BALANCING!DC41</f>
        <v>10512</v>
      </c>
      <c r="DD7" s="52">
        <f>BALANCING!DD41</f>
        <v>9329</v>
      </c>
      <c r="DE7" s="52">
        <f>BALANCING!DE41</f>
        <v>8777</v>
      </c>
      <c r="DF7" s="52">
        <f>BALANCING!DF41</f>
        <v>8300</v>
      </c>
      <c r="DG7" s="52">
        <f>BALANCING!DG41</f>
        <v>7300</v>
      </c>
      <c r="DH7" s="52">
        <f>BALANCING!DH41</f>
        <v>15726</v>
      </c>
      <c r="DI7" s="52">
        <f>BALANCING!DI41</f>
        <v>14866</v>
      </c>
      <c r="DJ7" s="52">
        <f>BALANCING!DJ41</f>
        <v>13188</v>
      </c>
      <c r="DK7" s="52">
        <f>BALANCING!DK41</f>
        <v>12273</v>
      </c>
      <c r="DL7" s="52">
        <f>BALANCING!DL41</f>
        <v>11578</v>
      </c>
      <c r="DM7" s="52">
        <f>BALANCING!DM41</f>
        <v>10166</v>
      </c>
      <c r="DN7" s="52">
        <f>BALANCING!DN41</f>
        <v>9329</v>
      </c>
      <c r="DO7" s="52">
        <f>BALANCING!DO41</f>
        <v>8115</v>
      </c>
      <c r="DP7" s="52">
        <f>BALANCING!DP41</f>
        <v>7200</v>
      </c>
      <c r="DQ7" s="52">
        <f>BALANCING!DQ41</f>
        <v>6222</v>
      </c>
      <c r="DR7" s="52">
        <f>BALANCING!DR41</f>
        <v>14445</v>
      </c>
      <c r="DS7" s="52">
        <f>BALANCING!DS41</f>
        <v>13500</v>
      </c>
      <c r="DT7" s="52">
        <f>BALANCING!DT41</f>
        <v>12326</v>
      </c>
      <c r="DU7" s="52">
        <f>BALANCING!DU41</f>
        <v>11023</v>
      </c>
      <c r="DV7" s="52">
        <f>BALANCING!DV41</f>
        <v>9922</v>
      </c>
      <c r="DW7" s="52">
        <f>BALANCING!DW41</f>
        <v>8988</v>
      </c>
      <c r="DX7" s="117"/>
      <c r="DY7" s="52">
        <f>BALANCING!DY41</f>
        <v>8031</v>
      </c>
      <c r="DZ7" s="52">
        <f>BALANCING!DZ41</f>
        <v>6810</v>
      </c>
      <c r="EA7" s="52">
        <f>BALANCING!EA41</f>
        <v>6011</v>
      </c>
      <c r="EB7" s="52">
        <f>BALANCING!EB41</f>
        <v>5100</v>
      </c>
      <c r="EC7" s="52">
        <f>BALANCING!EC41</f>
        <v>4019</v>
      </c>
      <c r="ED7" s="52">
        <f>BALANCING!ED41</f>
        <v>3036</v>
      </c>
      <c r="EE7" s="52">
        <f>BALANCING!EE41</f>
        <v>8905</v>
      </c>
      <c r="EF7" s="52">
        <f>BALANCING!EF41</f>
        <v>7866</v>
      </c>
      <c r="EG7" s="52">
        <f>BALANCING!EG41</f>
        <v>6455</v>
      </c>
      <c r="EH7" s="52">
        <f>BALANCING!EH41</f>
        <v>5354</v>
      </c>
      <c r="EI7" s="52">
        <f>BALANCING!EI41</f>
        <v>4145</v>
      </c>
      <c r="EJ7" s="52">
        <f>BALANCING!EJ41</f>
        <v>2652</v>
      </c>
      <c r="EK7" s="52">
        <f>BALANCING!EK41</f>
        <v>1538</v>
      </c>
      <c r="EL7" s="52">
        <f>BALANCING!EL41</f>
        <v>9966</v>
      </c>
      <c r="EM7" s="52">
        <f>BALANCING!EM41</f>
        <v>8580</v>
      </c>
      <c r="EN7" s="52">
        <f>BALANCING!EN41</f>
        <v>7494</v>
      </c>
      <c r="EO7" s="52">
        <f>BALANCING!EO41</f>
        <v>6455</v>
      </c>
      <c r="EP7" s="52">
        <f>BALANCING!EP41</f>
        <v>5160</v>
      </c>
      <c r="EQ7" s="52">
        <f>BALANCING!EQ41</f>
        <v>4133</v>
      </c>
      <c r="ER7" s="52">
        <f>BALANCING!ER41</f>
        <v>15940</v>
      </c>
      <c r="ES7" s="52">
        <f>BALANCING!ES41</f>
        <v>14084</v>
      </c>
      <c r="ET7" s="52">
        <f>BALANCING!ET41</f>
        <v>12576</v>
      </c>
      <c r="EU7" s="52">
        <f>BALANCING!EU41</f>
        <v>10647</v>
      </c>
      <c r="EV7" s="52">
        <f>BALANCING!EV41</f>
        <v>9514</v>
      </c>
      <c r="EW7" s="52">
        <f>BALANCING!EW41</f>
        <v>8952</v>
      </c>
      <c r="EX7" s="52">
        <f>BALANCING!EX41</f>
        <v>8084</v>
      </c>
      <c r="EY7" s="52">
        <f>BALANCING!EY41</f>
        <v>7240</v>
      </c>
      <c r="EZ7" s="52">
        <f>BALANCING!EZ41</f>
        <v>6255</v>
      </c>
      <c r="FA7" s="52">
        <f>BALANCING!FA41</f>
        <v>15258</v>
      </c>
      <c r="FB7" s="52">
        <f>BALANCING!FB41</f>
        <v>14094</v>
      </c>
      <c r="FC7" s="52">
        <f>BALANCING!FC41</f>
        <v>13155</v>
      </c>
      <c r="FD7" s="126"/>
      <c r="FE7" s="52">
        <f>BALANCING!FE41</f>
        <v>12242</v>
      </c>
      <c r="FF7" s="52">
        <f>BALANCING!FF41</f>
        <v>11430</v>
      </c>
      <c r="FG7" s="52">
        <f>BALANCING!FG41</f>
        <v>10122</v>
      </c>
      <c r="FH7" s="52">
        <f>BALANCING!FH41</f>
        <v>9066</v>
      </c>
      <c r="FI7" s="52">
        <f>BALANCING!FI41</f>
        <v>8042</v>
      </c>
      <c r="FJ7" s="52">
        <f>BALANCING!FJ41</f>
        <v>6884</v>
      </c>
      <c r="FK7" s="52">
        <f>BALANCING!FK41</f>
        <v>5900</v>
      </c>
      <c r="FL7" s="52">
        <f>BALANCING!FL41</f>
        <v>5100</v>
      </c>
      <c r="FM7" s="52">
        <f>BALANCING!FM41</f>
        <v>3831</v>
      </c>
      <c r="FN7" s="52">
        <f>BALANCING!FN41</f>
        <v>3054</v>
      </c>
      <c r="FO7" s="52">
        <f>BALANCING!FO41</f>
        <v>8975</v>
      </c>
      <c r="FP7" s="52">
        <f>BALANCING!FP41</f>
        <v>7342</v>
      </c>
      <c r="FQ7" s="52">
        <f>BALANCING!FQ41</f>
        <v>6511</v>
      </c>
      <c r="FR7" s="52">
        <f>BALANCING!FR41</f>
        <v>5304</v>
      </c>
      <c r="FS7" s="52">
        <f>BALANCING!FS41</f>
        <v>3947</v>
      </c>
      <c r="FT7" s="52">
        <f>BALANCING!FT41</f>
        <v>3045</v>
      </c>
      <c r="FU7" s="52">
        <f>BALANCING!FU41</f>
        <v>1746</v>
      </c>
      <c r="FV7" s="52">
        <f>BALANCING!FV41</f>
        <v>8590</v>
      </c>
      <c r="FW7" s="52">
        <f>BALANCING!FW41</f>
        <v>7494</v>
      </c>
      <c r="FX7" s="52">
        <f>BALANCING!FX41</f>
        <v>6300</v>
      </c>
      <c r="FY7" s="52">
        <f>BALANCING!FY41</f>
        <v>5318</v>
      </c>
      <c r="FZ7" s="52">
        <f>BALANCING!FZ41</f>
        <v>4090</v>
      </c>
      <c r="GA7" s="52">
        <f>BALANCING!GA41</f>
        <v>2582</v>
      </c>
      <c r="GB7" s="52">
        <f>BALANCING!GB41</f>
        <v>9611</v>
      </c>
      <c r="GC7" s="52">
        <f>BALANCING!GC41</f>
        <v>8744</v>
      </c>
      <c r="GD7" s="52">
        <f>BALANCING!GD41</f>
        <v>7475</v>
      </c>
      <c r="GE7" s="52">
        <f>BALANCING!GE41</f>
        <v>6300</v>
      </c>
      <c r="GF7" s="52">
        <f>BALANCING!GF41</f>
        <v>5170</v>
      </c>
      <c r="GG7" s="52">
        <f>BALANCING!GG41</f>
        <v>3700</v>
      </c>
      <c r="GH7" s="52">
        <f>BALANCING!GH41</f>
        <v>2362</v>
      </c>
      <c r="GI7" s="52">
        <f>BALANCING!GI41</f>
        <v>1177</v>
      </c>
      <c r="GJ7" s="130"/>
      <c r="GK7" s="52">
        <f>BALANCING!GK41</f>
        <v>8094</v>
      </c>
      <c r="GL7" s="52">
        <f>BALANCING!GL41</f>
        <v>6744</v>
      </c>
      <c r="GM7" s="52">
        <f>BALANCING!GM41</f>
        <v>5670</v>
      </c>
      <c r="GN7" s="52">
        <f>BALANCING!GN41</f>
        <v>4915</v>
      </c>
      <c r="GO7" s="52">
        <f>BALANCING!GO41</f>
        <v>3821</v>
      </c>
      <c r="GP7" s="52">
        <f>BALANCING!GP41</f>
        <v>10833</v>
      </c>
      <c r="GQ7" s="52">
        <f>BALANCING!GQ41</f>
        <v>9647</v>
      </c>
      <c r="GR7" s="52">
        <f>BALANCING!GR41</f>
        <v>8460</v>
      </c>
      <c r="GS7" s="52">
        <f>BALANCING!GS41</f>
        <v>7576</v>
      </c>
      <c r="GT7" s="52">
        <f>BALANCING!GT41</f>
        <v>6233</v>
      </c>
      <c r="GU7" s="52">
        <f>BALANCING!GU41</f>
        <v>5300</v>
      </c>
      <c r="GV7" s="52">
        <f>BALANCING!GV41</f>
        <v>4326</v>
      </c>
      <c r="GW7" s="52">
        <f>BALANCING!GW41</f>
        <v>3495</v>
      </c>
      <c r="GX7" s="52">
        <f>BALANCING!GX41</f>
        <v>10435</v>
      </c>
      <c r="GY7" s="52">
        <f>BALANCING!GY41</f>
        <v>9561</v>
      </c>
      <c r="GZ7" s="52">
        <f>BALANCING!GZ41</f>
        <v>8520</v>
      </c>
      <c r="HA7" s="52">
        <f>BALANCING!HA41</f>
        <v>7729</v>
      </c>
      <c r="HB7" s="52">
        <f>BALANCING!HB41</f>
        <v>6968</v>
      </c>
      <c r="HC7" s="52">
        <f>BALANCING!HC41</f>
        <v>5577</v>
      </c>
      <c r="HD7" s="52">
        <f>BALANCING!HD41</f>
        <v>10682</v>
      </c>
      <c r="HE7" s="52">
        <f>BALANCING!HE41</f>
        <v>9777</v>
      </c>
      <c r="HF7" s="52">
        <f>BALANCING!HF41</f>
        <v>8811</v>
      </c>
      <c r="HG7" s="52">
        <f>BALANCING!HG41</f>
        <v>7776</v>
      </c>
      <c r="HH7" s="52">
        <f>BALANCING!HH41</f>
        <v>6200</v>
      </c>
      <c r="HI7" s="52">
        <f>BALANCING!HI41</f>
        <v>5410</v>
      </c>
      <c r="HJ7" s="52">
        <f>BALANCING!HJ41</f>
        <v>4442</v>
      </c>
      <c r="HK7" s="52">
        <f>BALANCING!HK41</f>
        <v>3523</v>
      </c>
      <c r="HL7" s="52">
        <f>BALANCING!HL41</f>
        <v>15642</v>
      </c>
      <c r="HM7" s="52">
        <f>BALANCING!HM41</f>
        <v>14590</v>
      </c>
      <c r="HN7" s="130"/>
      <c r="HO7" s="52">
        <f>BALANCING!HO41</f>
        <v>13577</v>
      </c>
      <c r="HP7" s="52">
        <f>BALANCING!HP41</f>
        <v>12242</v>
      </c>
      <c r="HQ7" s="52">
        <f>BALANCING!HQ41</f>
        <v>11373</v>
      </c>
      <c r="HR7" s="52">
        <f>BALANCING!HR41</f>
        <v>9705</v>
      </c>
      <c r="HS7" s="52">
        <f>BALANCING!HS41</f>
        <v>15631</v>
      </c>
      <c r="HT7" s="52">
        <f>BALANCING!HT41</f>
        <v>14325</v>
      </c>
      <c r="HU7" s="52">
        <f>BALANCING!HU41</f>
        <v>12892</v>
      </c>
      <c r="HV7" s="52">
        <f>BALANCING!HV41</f>
        <v>11866</v>
      </c>
      <c r="HW7" s="52">
        <f>BALANCING!HW41</f>
        <v>10435</v>
      </c>
      <c r="HX7" s="52">
        <f>BALANCING!HX41</f>
        <v>9376</v>
      </c>
      <c r="HY7" s="52">
        <f>BALANCING!HY41</f>
        <v>8200</v>
      </c>
      <c r="HZ7" s="52">
        <f>BALANCING!HZ41</f>
        <v>7219</v>
      </c>
      <c r="IA7" s="52">
        <f>BALANCING!IA41</f>
        <v>6322</v>
      </c>
      <c r="IB7" s="52">
        <f>BALANCING!IB41</f>
        <v>5200</v>
      </c>
      <c r="IC7" s="52">
        <f>BALANCING!IC41</f>
        <v>4200</v>
      </c>
      <c r="ID7" s="52">
        <f>BALANCING!ID41</f>
        <v>12315</v>
      </c>
      <c r="IE7" s="52">
        <f>BALANCING!IE41</f>
        <v>11450</v>
      </c>
      <c r="IF7" s="52">
        <f>BALANCING!IF41</f>
        <v>10294</v>
      </c>
      <c r="IG7" s="52">
        <f>BALANCING!IG41</f>
        <v>9144</v>
      </c>
      <c r="IH7" s="52">
        <f>BALANCING!IH41</f>
        <v>8294</v>
      </c>
      <c r="II7" s="52">
        <f>BALANCING!II41</f>
        <v>7257</v>
      </c>
      <c r="IJ7" s="52">
        <f>BALANCING!IJ41</f>
        <v>6066</v>
      </c>
      <c r="IK7" s="52">
        <f>BALANCING!IK41</f>
        <v>4873</v>
      </c>
      <c r="IL7" s="52">
        <f>BALANCING!IL41</f>
        <v>4142</v>
      </c>
      <c r="IM7" s="52">
        <f>BALANCING!IM41</f>
        <v>2800</v>
      </c>
      <c r="IN7" s="52">
        <f>BALANCING!IN41</f>
        <v>1769</v>
      </c>
      <c r="IO7" s="52">
        <f>BALANCING!IO41</f>
        <v>11663</v>
      </c>
      <c r="IP7" s="52">
        <f>BALANCING!IP41</f>
        <v>10410</v>
      </c>
      <c r="IQ7" s="52">
        <f>BALANCING!IQ41</f>
        <v>8850</v>
      </c>
      <c r="IR7" s="52">
        <f>BALANCING!IR41</f>
        <v>8063</v>
      </c>
      <c r="IS7" s="52">
        <f>BALANCING!IS41</f>
        <v>7320</v>
      </c>
      <c r="IT7" s="130"/>
      <c r="IU7" s="52">
        <f>BALANCING!IU41</f>
        <v>6477</v>
      </c>
      <c r="IV7" s="52">
        <f>BALANCING!IV41</f>
        <v>5209</v>
      </c>
      <c r="IW7" s="52">
        <f>BALANCING!IW41</f>
        <v>4357</v>
      </c>
      <c r="IX7" s="52">
        <f>BALANCING!IX41</f>
        <v>3304</v>
      </c>
      <c r="IY7" s="52">
        <f>BALANCING!IY41</f>
        <v>10055</v>
      </c>
      <c r="IZ7" s="52">
        <f>BALANCING!IZ41</f>
        <v>9294</v>
      </c>
      <c r="JA7" s="52">
        <f>BALANCING!JA41</f>
        <v>8502</v>
      </c>
      <c r="JB7" s="52">
        <f>BALANCING!JB41</f>
        <v>7144</v>
      </c>
      <c r="JC7" s="52">
        <f>BALANCING!JC41</f>
        <v>8157</v>
      </c>
      <c r="JD7" s="52">
        <f>BALANCING!JD41</f>
        <v>7266</v>
      </c>
      <c r="JE7" s="52">
        <f>BALANCING!JE41</f>
        <v>6211</v>
      </c>
      <c r="JF7" s="52">
        <f>BALANCING!JF41</f>
        <v>5140</v>
      </c>
      <c r="JG7" s="52">
        <f>BALANCING!JG41</f>
        <v>15705</v>
      </c>
      <c r="JH7" s="52">
        <f>BALANCING!JH41</f>
        <v>14813</v>
      </c>
      <c r="JI7" s="52">
        <f>BALANCING!JI41</f>
        <v>13872</v>
      </c>
      <c r="JJ7" s="52">
        <f>BALANCING!JJ41</f>
        <v>12928</v>
      </c>
      <c r="JK7" s="52">
        <f>BALANCING!JK41</f>
        <v>11778</v>
      </c>
      <c r="JL7" s="52">
        <f>BALANCING!JL41</f>
        <v>10776</v>
      </c>
      <c r="JM7" s="52">
        <f>BALANCING!JM41</f>
        <v>9694</v>
      </c>
      <c r="JN7" s="52">
        <f>BALANCING!JN41</f>
        <v>8711</v>
      </c>
      <c r="JO7" s="52">
        <f>BALANCING!JO41</f>
        <v>8105</v>
      </c>
      <c r="JP7" s="52">
        <f>BALANCING!JP41</f>
        <v>6644</v>
      </c>
      <c r="JQ7" s="52">
        <f>BALANCING!JQ41</f>
        <v>5752</v>
      </c>
      <c r="JR7" s="52">
        <f>BALANCING!JR41</f>
        <v>4905</v>
      </c>
      <c r="JS7" s="52">
        <f>BALANCING!JS41</f>
        <v>4009</v>
      </c>
      <c r="JT7" s="52">
        <f>BALANCING!JT41</f>
        <v>3000</v>
      </c>
      <c r="JU7" s="52">
        <f>BALANCING!JU41</f>
        <v>12188</v>
      </c>
      <c r="JV7" s="52">
        <f>BALANCING!JV41</f>
        <v>11253</v>
      </c>
      <c r="JW7" s="52">
        <f>BALANCING!JW41</f>
        <v>10100</v>
      </c>
      <c r="JX7" s="52">
        <f>BALANCING!JX41</f>
        <v>9235</v>
      </c>
      <c r="JY7" s="139"/>
      <c r="JZ7" s="52">
        <f>BALANCING!JZ41</f>
        <v>8530</v>
      </c>
      <c r="KA7" s="52">
        <f>BALANCING!KA41</f>
        <v>7552</v>
      </c>
      <c r="KB7" s="52">
        <f>BALANCING!KB41</f>
        <v>16247</v>
      </c>
      <c r="KC7" s="52">
        <f>BALANCING!KC41</f>
        <v>15329</v>
      </c>
      <c r="KD7" s="52">
        <f>BALANCING!KD41</f>
        <v>14350</v>
      </c>
      <c r="KE7" s="52">
        <f>BALANCING!KE41</f>
        <v>13322</v>
      </c>
      <c r="KF7" s="52">
        <f>BALANCING!KF41</f>
        <v>12047</v>
      </c>
      <c r="KG7" s="52">
        <f>BALANCING!KG41</f>
        <v>10933</v>
      </c>
      <c r="KH7" s="52">
        <f>BALANCING!KH41</f>
        <v>9517</v>
      </c>
      <c r="KI7" s="52">
        <f>BALANCING!KI41</f>
        <v>8212</v>
      </c>
      <c r="KJ7" s="52">
        <f>BALANCING!KJ41</f>
        <v>6989</v>
      </c>
      <c r="KK7" s="52">
        <f>BALANCING!KK41</f>
        <v>6111</v>
      </c>
      <c r="KL7" s="52">
        <f>BALANCING!KL41</f>
        <v>4028</v>
      </c>
      <c r="KM7" s="52">
        <f>BALANCING!KM41</f>
        <v>2556</v>
      </c>
      <c r="KN7" s="52">
        <f>BALANCING!KN41</f>
        <v>1646</v>
      </c>
      <c r="KO7" s="52">
        <f>BALANCING!KO41</f>
        <v>9523</v>
      </c>
      <c r="KP7" s="52">
        <f>BALANCING!KP41</f>
        <v>8147</v>
      </c>
      <c r="KQ7" s="52">
        <f>BALANCING!KQ41</f>
        <v>6622</v>
      </c>
      <c r="KR7" s="52">
        <f>BALANCING!KR41</f>
        <v>5611</v>
      </c>
      <c r="KS7" s="52">
        <f>BALANCING!KS41</f>
        <v>4263</v>
      </c>
      <c r="KT7" s="52">
        <f>BALANCING!KT41</f>
        <v>2381</v>
      </c>
      <c r="KU7" s="52">
        <f>BALANCING!KU41</f>
        <v>6655</v>
      </c>
      <c r="KV7" s="52">
        <f>BALANCING!KV41</f>
        <v>4127</v>
      </c>
      <c r="KW7" s="52">
        <f>BALANCING!KW41</f>
        <v>2660</v>
      </c>
      <c r="KX7" s="52">
        <f>BALANCING!KX41</f>
        <v>9400</v>
      </c>
      <c r="KY7" s="52">
        <f>BALANCING!KY41</f>
        <v>8450</v>
      </c>
      <c r="KZ7" s="52">
        <f>BALANCING!KZ41</f>
        <v>7177</v>
      </c>
      <c r="LA7" s="52">
        <f>BALANCING!LA41</f>
        <v>5647</v>
      </c>
      <c r="LB7" s="52">
        <f>BALANCING!LB41</f>
        <v>4114</v>
      </c>
      <c r="LC7" s="52">
        <f>BALANCING!LC41</f>
        <v>7922</v>
      </c>
      <c r="LD7" s="52">
        <f>BALANCING!LD41</f>
        <v>11410</v>
      </c>
      <c r="LE7" s="130"/>
      <c r="LF7" s="52">
        <f>BALANCING!LF41</f>
        <v>10042</v>
      </c>
      <c r="LG7" s="52">
        <f>BALANCING!LG41</f>
        <v>8870</v>
      </c>
      <c r="LH7" s="52">
        <f>BALANCING!LH41</f>
        <v>7166</v>
      </c>
      <c r="LI7" s="52">
        <f>BALANCING!LI41</f>
        <v>5440</v>
      </c>
      <c r="LJ7" s="52">
        <f>BALANCING!LJ41</f>
        <v>4200</v>
      </c>
      <c r="LK7" s="52">
        <f>BALANCING!LK41</f>
        <v>2910</v>
      </c>
      <c r="LL7" s="52">
        <f>BALANCING!LL41</f>
        <v>11166</v>
      </c>
      <c r="LM7" s="52">
        <f>BALANCING!LM41</f>
        <v>9571</v>
      </c>
      <c r="LN7" s="52">
        <f>BALANCING!LN41</f>
        <v>8633</v>
      </c>
      <c r="LO7" s="52">
        <f>BALANCING!LO41</f>
        <v>7247</v>
      </c>
      <c r="LP7" s="52">
        <f>BALANCING!LP41</f>
        <v>5557</v>
      </c>
      <c r="LQ7" s="52">
        <f>BALANCING!LQ41</f>
        <v>4294</v>
      </c>
      <c r="LR7" s="52">
        <f>BALANCING!LR41</f>
        <v>2800</v>
      </c>
      <c r="LS7" s="52">
        <f>BALANCING!LS41</f>
        <v>8168</v>
      </c>
      <c r="LT7" s="52">
        <f>BALANCING!LT41</f>
        <v>6989</v>
      </c>
      <c r="LU7" s="52">
        <f>BALANCING!LU41</f>
        <v>5861</v>
      </c>
      <c r="LV7" s="52">
        <f>BALANCING!LV41</f>
        <v>4800</v>
      </c>
      <c r="LW7" s="52">
        <f>BALANCING!LW41</f>
        <v>3457</v>
      </c>
      <c r="LX7" s="52">
        <f>BALANCING!LX41</f>
        <v>2052</v>
      </c>
      <c r="LY7" s="52">
        <f>BALANCING!LY41</f>
        <v>8550</v>
      </c>
      <c r="LZ7" s="52">
        <f>BALANCING!LZ41</f>
        <v>7155</v>
      </c>
      <c r="MA7" s="52">
        <f>BALANCING!MA41</f>
        <v>5920</v>
      </c>
      <c r="MB7" s="52">
        <f>BALANCING!MB41</f>
        <v>5130</v>
      </c>
      <c r="MC7" s="52">
        <f>BALANCING!MC41</f>
        <v>4027</v>
      </c>
      <c r="MD7" s="52">
        <f>BALANCING!MD41</f>
        <v>2830</v>
      </c>
      <c r="ME7" s="52">
        <f>BALANCING!ME41</f>
        <v>8557</v>
      </c>
      <c r="MF7" s="52">
        <f>BALANCING!MF41</f>
        <v>7390</v>
      </c>
      <c r="MG7" s="52">
        <f>BALANCING!MG41</f>
        <v>6255</v>
      </c>
      <c r="MH7" s="52">
        <f>BALANCING!MH41</f>
        <v>5190</v>
      </c>
      <c r="MI7" s="52">
        <f>BALANCING!MI41</f>
        <v>3894</v>
      </c>
      <c r="MJ7" s="139"/>
      <c r="MK7" s="52">
        <f>BALANCING!MK41</f>
        <v>2600</v>
      </c>
      <c r="ML7" s="52">
        <f>BALANCING!ML41</f>
        <v>1244</v>
      </c>
      <c r="MM7" s="52">
        <f>BALANCING!MM41</f>
        <v>5336</v>
      </c>
      <c r="MN7" s="52">
        <f>BALANCING!MN41</f>
        <v>4249</v>
      </c>
      <c r="MO7" s="52">
        <f>BALANCING!MO41</f>
        <v>2839</v>
      </c>
      <c r="MP7" s="52">
        <f>BALANCING!MP41</f>
        <v>9752</v>
      </c>
      <c r="MQ7" s="52">
        <f>BALANCING!MQ41</f>
        <v>8520</v>
      </c>
      <c r="MR7" s="52">
        <f>BALANCING!MR41</f>
        <v>7360</v>
      </c>
      <c r="MS7" s="52">
        <f>BALANCING!MS41</f>
        <v>6400</v>
      </c>
      <c r="MT7" s="52">
        <f>BALANCING!MT41</f>
        <v>5720</v>
      </c>
      <c r="MU7" s="52">
        <f>BALANCING!MU41</f>
        <v>4378</v>
      </c>
      <c r="MV7" s="52">
        <f>BALANCING!MV41</f>
        <v>8200</v>
      </c>
      <c r="MW7" s="52">
        <f>BALANCING!MW41</f>
        <v>6915</v>
      </c>
      <c r="MX7" s="52">
        <f>BALANCING!MX41</f>
        <v>5960</v>
      </c>
      <c r="MY7" s="52">
        <f>BALANCING!MY41</f>
        <v>4770</v>
      </c>
      <c r="MZ7" s="52">
        <f>BALANCING!MZ41</f>
        <v>3403</v>
      </c>
      <c r="NA7" s="52">
        <f>BALANCING!NA41</f>
        <v>2262</v>
      </c>
      <c r="NB7" s="52">
        <f>BALANCING!NB41</f>
        <v>1109</v>
      </c>
      <c r="NC7" s="52">
        <f>BALANCING!NC41</f>
        <v>7764</v>
      </c>
      <c r="ND7" s="52">
        <f>BALANCING!ND41</f>
        <v>6744</v>
      </c>
      <c r="NE7" s="52">
        <f>BALANCING!NE41</f>
        <v>6000</v>
      </c>
      <c r="NF7" s="52">
        <f>BALANCING!NF41</f>
        <v>4873</v>
      </c>
      <c r="NG7" s="52">
        <f>BALANCING!NG41</f>
        <v>3852</v>
      </c>
      <c r="NH7" s="52">
        <f>BALANCING!NH41</f>
        <v>2900</v>
      </c>
      <c r="NI7" s="52">
        <f>BALANCING!NI41</f>
        <v>12566</v>
      </c>
      <c r="NJ7" s="52">
        <f>BALANCING!NJ41</f>
        <v>11082</v>
      </c>
      <c r="NK7" s="52">
        <f>BALANCING!NK41</f>
        <v>10234</v>
      </c>
      <c r="NL7" s="52">
        <f>BALANCING!NL41</f>
        <v>9177</v>
      </c>
      <c r="NM7" s="52">
        <f>BALANCING!NM41</f>
        <v>8075</v>
      </c>
      <c r="NN7" s="52">
        <f>BALANCING!NN41</f>
        <v>6926</v>
      </c>
      <c r="NO7" s="52">
        <f>BALANCING!NO41</f>
        <v>5890</v>
      </c>
      <c r="NP7" s="139"/>
      <c r="NQ7" s="52">
        <f>BALANCING!NQ41</f>
        <v>4915</v>
      </c>
      <c r="NR7" s="52">
        <f>BALANCING!NR41</f>
        <v>3542</v>
      </c>
      <c r="NS7" s="52">
        <f>BALANCING!NS41</f>
        <v>10329</v>
      </c>
      <c r="NT7" s="52">
        <f>BALANCING!NT41</f>
        <v>9440</v>
      </c>
      <c r="NU7" s="52">
        <f>BALANCING!NU41</f>
        <v>8400</v>
      </c>
      <c r="NV7" s="52">
        <f>BALANCING!NV41</f>
        <v>6968</v>
      </c>
      <c r="NW7" s="52">
        <f>BALANCING!NW41</f>
        <v>5600</v>
      </c>
      <c r="NX7" s="52">
        <f>BALANCING!NX41</f>
        <v>4410</v>
      </c>
      <c r="NY7" s="52">
        <f>BALANCING!NY41</f>
        <v>3209</v>
      </c>
      <c r="NZ7" s="52">
        <f>BALANCING!NZ41</f>
        <v>6277</v>
      </c>
      <c r="OA7" s="52">
        <f>BALANCING!OA41</f>
        <v>5263</v>
      </c>
      <c r="OB7" s="52">
        <f>BALANCING!OB41</f>
        <v>4400</v>
      </c>
      <c r="OC7" s="52">
        <f>BALANCING!OC41</f>
        <v>3352</v>
      </c>
      <c r="OD7" s="52">
        <f>BALANCING!OD41</f>
        <v>2206</v>
      </c>
      <c r="OE7" s="52">
        <f>BALANCING!OE41</f>
        <v>8021</v>
      </c>
      <c r="OF7" s="52">
        <f>BALANCING!OF41</f>
        <v>6905</v>
      </c>
      <c r="OG7" s="52">
        <f>BALANCING!OG41</f>
        <v>5870</v>
      </c>
      <c r="OH7" s="52">
        <f>BALANCING!OH41</f>
        <v>4905</v>
      </c>
      <c r="OI7" s="52">
        <f>BALANCING!OI41</f>
        <v>3761</v>
      </c>
      <c r="OJ7" s="52">
        <f>BALANCING!OJ41</f>
        <v>2763</v>
      </c>
      <c r="OK7" s="52">
        <f>BALANCING!OK41</f>
        <v>11705</v>
      </c>
      <c r="OL7" s="52">
        <f>BALANCING!OL41</f>
        <v>10258</v>
      </c>
      <c r="OM7" s="52">
        <f>BALANCING!OM41</f>
        <v>9022</v>
      </c>
      <c r="ON7" s="52">
        <f>BALANCING!ON41</f>
        <v>7858</v>
      </c>
      <c r="OO7" s="52">
        <f>BALANCING!OO41</f>
        <v>7177</v>
      </c>
      <c r="OP7" s="52">
        <f>BALANCING!OP41</f>
        <v>5980</v>
      </c>
      <c r="OQ7" s="52">
        <f>BALANCING!OQ41</f>
        <v>4905</v>
      </c>
      <c r="OR7" s="52">
        <f>BALANCING!OR41</f>
        <v>3695</v>
      </c>
      <c r="OS7" s="52">
        <f>BALANCING!OS41</f>
        <v>2645</v>
      </c>
      <c r="OT7" s="52">
        <f>BALANCING!OT41</f>
        <v>13970</v>
      </c>
      <c r="OU7" s="52">
        <f>BALANCING!OU41</f>
        <v>12326</v>
      </c>
      <c r="OV7" s="130"/>
      <c r="OW7" s="52">
        <f>BALANCING!OW41</f>
        <v>11500</v>
      </c>
      <c r="OX7" s="52">
        <f>BALANCING!OX41</f>
        <v>9764</v>
      </c>
      <c r="OY7" s="52">
        <f>BALANCING!OY41</f>
        <v>8621</v>
      </c>
      <c r="OZ7" s="52">
        <f>BALANCING!OZ41</f>
        <v>7658</v>
      </c>
      <c r="PA7" s="52">
        <f>BALANCING!PA41</f>
        <v>6376</v>
      </c>
      <c r="PB7" s="52">
        <f>BALANCING!PB41</f>
        <v>13970</v>
      </c>
      <c r="PC7" s="52">
        <f>BALANCING!PC41</f>
        <v>12600</v>
      </c>
      <c r="PD7" s="52">
        <f>BALANCING!PD41</f>
        <v>11473</v>
      </c>
      <c r="PE7" s="52">
        <f>BALANCING!PE41</f>
        <v>10496</v>
      </c>
      <c r="PF7" s="52">
        <f>BALANCING!PF41</f>
        <v>9400</v>
      </c>
      <c r="PG7" s="52">
        <f>BALANCING!PG41</f>
        <v>8084</v>
      </c>
      <c r="PH7" s="52">
        <f>BALANCING!PH41</f>
        <v>7000</v>
      </c>
      <c r="PI7" s="52">
        <f>BALANCING!PI41</f>
        <v>5460</v>
      </c>
      <c r="PJ7" s="52">
        <f>BALANCING!PJ41</f>
        <v>4410</v>
      </c>
      <c r="PK7" s="52">
        <f>BALANCING!PK41</f>
        <v>3419</v>
      </c>
      <c r="PL7" s="52">
        <f>BALANCING!PL41</f>
        <v>2417</v>
      </c>
      <c r="PM7" s="52">
        <f>BALANCING!PM41</f>
        <v>1430</v>
      </c>
      <c r="PN7" s="52">
        <f>BALANCING!PN41</f>
        <v>8560</v>
      </c>
      <c r="PO7" s="52">
        <f>BALANCING!PO41</f>
        <v>7285</v>
      </c>
      <c r="PP7" s="52">
        <f>BALANCING!PP41</f>
        <v>6177</v>
      </c>
      <c r="PQ7" s="52">
        <f>BALANCING!PQ41</f>
        <v>5150</v>
      </c>
      <c r="PR7" s="52">
        <f>BALANCING!PR41</f>
        <v>4273</v>
      </c>
      <c r="PS7" s="52">
        <f>BALANCING!PS41</f>
        <v>3361</v>
      </c>
      <c r="PT7" s="52">
        <f>BALANCING!PT41</f>
        <v>2382</v>
      </c>
      <c r="PU7" s="52">
        <f>BALANCING!PU41</f>
        <v>11450</v>
      </c>
      <c r="PV7" s="52">
        <f>BALANCING!PV41</f>
        <v>10282</v>
      </c>
      <c r="PW7" s="52">
        <f>BALANCING!PW41</f>
        <v>9329</v>
      </c>
      <c r="PX7" s="52">
        <f>BALANCING!PX41</f>
        <v>7855</v>
      </c>
      <c r="PY7" s="52">
        <f>BALANCING!PY41</f>
        <v>7177</v>
      </c>
      <c r="PZ7" s="52">
        <f>BALANCING!PZ41</f>
        <v>5910</v>
      </c>
      <c r="QA7" s="130"/>
      <c r="QB7" s="52">
        <f>BALANCING!QB41</f>
        <v>4800</v>
      </c>
      <c r="QC7" s="52">
        <f>BALANCING!QC41</f>
        <v>3899</v>
      </c>
      <c r="QD7" s="52">
        <f>BALANCING!QD41</f>
        <v>2876</v>
      </c>
      <c r="QE7" s="52">
        <f>BALANCING!QE41</f>
        <v>11652</v>
      </c>
      <c r="QF7" s="52">
        <f>BALANCING!QF41</f>
        <v>10482</v>
      </c>
      <c r="QG7" s="52">
        <f>BALANCING!QG41</f>
        <v>9800</v>
      </c>
      <c r="QH7" s="52">
        <f>BALANCING!QH41</f>
        <v>8755</v>
      </c>
      <c r="QI7" s="52">
        <f>BALANCING!QI41</f>
        <v>7717</v>
      </c>
      <c r="QJ7" s="52">
        <f>BALANCING!QJ41</f>
        <v>6666</v>
      </c>
      <c r="QK7" s="52">
        <f>BALANCING!QK41</f>
        <v>5682</v>
      </c>
      <c r="QL7" s="52">
        <f>BALANCING!QL41</f>
        <v>4578</v>
      </c>
      <c r="QM7" s="52">
        <f>BALANCING!QM41</f>
        <v>13266</v>
      </c>
      <c r="QN7" s="52">
        <f>BALANCING!QN41</f>
        <v>12117</v>
      </c>
      <c r="QO7" s="52">
        <f>BALANCING!QO41</f>
        <v>10741</v>
      </c>
      <c r="QP7" s="52">
        <f>BALANCING!QP41</f>
        <v>9787</v>
      </c>
      <c r="QQ7" s="52">
        <f>BALANCING!QQ41</f>
        <v>8800</v>
      </c>
      <c r="QR7" s="52">
        <f>BALANCING!QR41</f>
        <v>7811</v>
      </c>
      <c r="QS7" s="52">
        <f>BALANCING!QS41</f>
        <v>6266</v>
      </c>
      <c r="QT7" s="52">
        <f>BALANCING!QT41</f>
        <v>12129</v>
      </c>
      <c r="QU7" s="52">
        <f>BALANCING!QU41</f>
        <v>11452</v>
      </c>
      <c r="QV7" s="52">
        <f>BALANCING!QV41</f>
        <v>10376</v>
      </c>
      <c r="QW7" s="52">
        <f>BALANCING!QW41</f>
        <v>9438</v>
      </c>
      <c r="QX7" s="52">
        <f>BALANCING!QX41</f>
        <v>8530</v>
      </c>
      <c r="QY7" s="52">
        <f>BALANCING!QY41</f>
        <v>6688</v>
      </c>
      <c r="QZ7" s="52">
        <f>BALANCING!QZ41</f>
        <v>5295</v>
      </c>
      <c r="RA7" s="52">
        <f>BALANCING!RA41</f>
        <v>13400</v>
      </c>
      <c r="RB7" s="52">
        <f>BALANCING!RB41</f>
        <v>12600</v>
      </c>
      <c r="RC7" s="52">
        <f>BALANCING!RC41</f>
        <v>11694</v>
      </c>
      <c r="RD7" s="52">
        <f>BALANCING!RD41</f>
        <v>10655</v>
      </c>
      <c r="RE7" s="52">
        <f>BALANCING!RE41</f>
        <v>9658</v>
      </c>
      <c r="RF7" s="52">
        <f>BALANCING!RF41</f>
        <v>8410</v>
      </c>
      <c r="RG7" s="130"/>
      <c r="RH7" s="52">
        <f>BALANCING!RH41</f>
        <v>7380</v>
      </c>
      <c r="RI7" s="52">
        <f>BALANCING!RI41</f>
        <v>6444</v>
      </c>
      <c r="RJ7" s="52">
        <f>BALANCING!RJ41</f>
        <v>5420</v>
      </c>
      <c r="RK7" s="52">
        <f>BALANCING!RK41</f>
        <v>3731</v>
      </c>
      <c r="RL7" s="52">
        <f>BALANCING!RL41</f>
        <v>2617</v>
      </c>
      <c r="RM7" s="52">
        <f>BALANCING!RM41</f>
        <v>9866</v>
      </c>
      <c r="RN7" s="52">
        <f>BALANCING!RN41</f>
        <v>8912</v>
      </c>
      <c r="RO7" s="52">
        <f>BALANCING!RO41</f>
        <v>7877</v>
      </c>
      <c r="RP7" s="52">
        <f>BALANCING!RP41</f>
        <v>6894</v>
      </c>
      <c r="RQ7" s="52">
        <f>BALANCING!RQ41</f>
        <v>6136</v>
      </c>
      <c r="RR7" s="52">
        <f>BALANCING!RR41</f>
        <v>4770</v>
      </c>
      <c r="RS7" s="52">
        <f>BALANCING!RS41</f>
        <v>3842</v>
      </c>
      <c r="RT7" s="52">
        <f>BALANCING!RT41</f>
        <v>2563</v>
      </c>
      <c r="RU7" s="52">
        <f>BALANCING!RU41</f>
        <v>11430</v>
      </c>
      <c r="RV7" s="52">
        <f>BALANCING!RV41</f>
        <v>10244</v>
      </c>
      <c r="RW7" s="52">
        <f>BALANCING!RW41</f>
        <v>9022</v>
      </c>
      <c r="RX7" s="52">
        <f>BALANCING!RX41</f>
        <v>8021</v>
      </c>
      <c r="RY7" s="52">
        <f>BALANCING!RY41</f>
        <v>7144</v>
      </c>
      <c r="RZ7" s="52">
        <f>BALANCING!RZ41</f>
        <v>6211</v>
      </c>
      <c r="SA7" s="52">
        <f>BALANCING!SA41</f>
        <v>5276</v>
      </c>
      <c r="SB7" s="52">
        <f>BALANCING!SB41</f>
        <v>4190</v>
      </c>
      <c r="SC7" s="52">
        <f>BALANCING!SC41</f>
        <v>13244</v>
      </c>
      <c r="SD7" s="52">
        <f>BALANCING!SD41</f>
        <v>12305</v>
      </c>
      <c r="SE7" s="52">
        <f>BALANCING!SE41</f>
        <v>11560</v>
      </c>
      <c r="SF7" s="52">
        <f>BALANCING!SF41</f>
        <v>10305</v>
      </c>
      <c r="SG7" s="52">
        <f>BALANCING!SG41</f>
        <v>9111</v>
      </c>
      <c r="SH7" s="52">
        <f>BALANCING!SH41</f>
        <v>8200</v>
      </c>
      <c r="SI7" s="52">
        <f>BALANCING!SI41</f>
        <v>6688</v>
      </c>
      <c r="SJ7" s="52">
        <f>BALANCING!SJ41</f>
        <v>5611</v>
      </c>
      <c r="SK7" s="52">
        <f>BALANCING!SK41</f>
        <v>12720</v>
      </c>
      <c r="SL7" s="130"/>
      <c r="SM7" s="52">
        <f>BALANCING!SM41</f>
        <v>11988</v>
      </c>
      <c r="SN7" s="52">
        <f>BALANCING!SN41</f>
        <v>10177</v>
      </c>
      <c r="SO7" s="52">
        <f>BALANCING!SO41</f>
        <v>7022</v>
      </c>
      <c r="SP7" s="52">
        <f>BALANCING!SP41</f>
        <v>5623</v>
      </c>
      <c r="SQ7" s="52">
        <f>BALANCING!SQ41</f>
        <v>4421</v>
      </c>
      <c r="SR7" s="52">
        <f>BALANCING!SR41</f>
        <v>3257</v>
      </c>
      <c r="SS7" s="52">
        <f>BALANCING!SS41</f>
        <v>7210</v>
      </c>
      <c r="ST7" s="52">
        <f>BALANCING!ST41</f>
        <v>6144</v>
      </c>
      <c r="SU7" s="52">
        <f>BALANCING!SU41</f>
        <v>4463</v>
      </c>
      <c r="SV7" s="52">
        <f>BALANCING!SV41</f>
        <v>3352</v>
      </c>
      <c r="SW7" s="52">
        <f>BALANCING!SW41</f>
        <v>14634</v>
      </c>
      <c r="SX7" s="52">
        <f>BALANCING!SX41</f>
        <v>13682</v>
      </c>
      <c r="SY7" s="52">
        <f>BALANCING!SY41</f>
        <v>12000</v>
      </c>
      <c r="SZ7" s="52">
        <f>BALANCING!SZ41</f>
        <v>10855</v>
      </c>
      <c r="TA7" s="52">
        <f>BALANCING!TA41</f>
        <v>9611</v>
      </c>
      <c r="TB7" s="52">
        <f>BALANCING!TB41</f>
        <v>8063</v>
      </c>
      <c r="TC7" s="52">
        <f>BALANCING!TC41</f>
        <v>6957</v>
      </c>
      <c r="TD7" s="52">
        <f>BALANCING!TD41</f>
        <v>5705</v>
      </c>
      <c r="TE7" s="52">
        <f>BALANCING!TE41</f>
        <v>4357</v>
      </c>
      <c r="TF7" s="52">
        <f>BALANCING!TF41</f>
        <v>15073</v>
      </c>
      <c r="TG7" s="52">
        <f>BALANCING!TG41</f>
        <v>13900</v>
      </c>
      <c r="TH7" s="52">
        <f>BALANCING!TH41</f>
        <v>12618</v>
      </c>
      <c r="TI7" s="52">
        <f>BALANCING!TI41</f>
        <v>11590</v>
      </c>
      <c r="TJ7" s="52">
        <f>BALANCING!TJ41</f>
        <v>10337</v>
      </c>
      <c r="TK7" s="52">
        <f>BALANCING!TK41</f>
        <v>9855</v>
      </c>
      <c r="TL7" s="52">
        <f>BALANCING!TL41</f>
        <v>9155</v>
      </c>
      <c r="TM7" s="52">
        <f>BALANCING!TM41</f>
        <v>8136</v>
      </c>
      <c r="TN7" s="52">
        <f>BALANCING!TN41</f>
        <v>7200</v>
      </c>
      <c r="TO7" s="52">
        <f>BALANCING!TO41</f>
        <v>6344</v>
      </c>
      <c r="TP7" s="52">
        <f>BALANCING!TP41</f>
        <v>5363</v>
      </c>
      <c r="TQ7" s="52">
        <f>BALANCING!TQ41</f>
        <v>11200</v>
      </c>
      <c r="TR7" s="130"/>
      <c r="TS7" s="52">
        <f>BALANCING!TS41</f>
        <v>10517</v>
      </c>
      <c r="TT7" s="52">
        <f>BALANCING!TT41</f>
        <v>9561</v>
      </c>
      <c r="TU7" s="52">
        <f>BALANCING!TU41</f>
        <v>8670</v>
      </c>
      <c r="TV7" s="52">
        <f>BALANCING!TV41</f>
        <v>7725</v>
      </c>
      <c r="TW7" s="52">
        <f>BALANCING!TW41</f>
        <v>6957</v>
      </c>
      <c r="TX7" s="52">
        <f>BALANCING!TX41</f>
        <v>5890</v>
      </c>
      <c r="TY7" s="52">
        <f>BALANCING!TY41</f>
        <v>4844</v>
      </c>
      <c r="TZ7" s="52">
        <f>BALANCING!TZ41</f>
        <v>14300</v>
      </c>
      <c r="UA7" s="52">
        <f>BALANCING!UA41</f>
        <v>13200</v>
      </c>
      <c r="UB7" s="52">
        <f>BALANCING!UB41</f>
        <v>12023</v>
      </c>
      <c r="UC7" s="52">
        <f>BALANCING!UC41</f>
        <v>10988</v>
      </c>
      <c r="UD7" s="52">
        <f>BALANCING!UD41</f>
        <v>9988</v>
      </c>
      <c r="UE7" s="52">
        <f>BALANCING!UE41</f>
        <v>8325</v>
      </c>
      <c r="UF7" s="52">
        <f>BALANCING!UF41</f>
        <v>7340</v>
      </c>
      <c r="UG7" s="52">
        <f>BALANCING!UG41</f>
        <v>6341</v>
      </c>
      <c r="UH7" s="52">
        <f>BALANCING!UH41</f>
        <v>5290</v>
      </c>
      <c r="UI7" s="52">
        <f>BALANCING!UI41</f>
        <v>4118</v>
      </c>
      <c r="UJ7" s="52">
        <f>BALANCING!UJ41</f>
        <v>12925</v>
      </c>
      <c r="UK7" s="52">
        <f>BALANCING!UK41</f>
        <v>11870</v>
      </c>
      <c r="UL7" s="52">
        <f>BALANCING!UL41</f>
        <v>10658</v>
      </c>
      <c r="UM7" s="52">
        <f>BALANCING!UM41</f>
        <v>9510</v>
      </c>
      <c r="UN7" s="52">
        <f>BALANCING!UN41</f>
        <v>8084</v>
      </c>
      <c r="UO7" s="52">
        <f>BALANCING!UO41</f>
        <v>7055</v>
      </c>
      <c r="UP7" s="52">
        <f>BALANCING!UP41</f>
        <v>5635</v>
      </c>
      <c r="UQ7" s="52">
        <f>BALANCING!UQ41</f>
        <v>4221</v>
      </c>
      <c r="UR7" s="52">
        <f>BALANCING!UR41</f>
        <v>2745</v>
      </c>
      <c r="US7" s="52">
        <f>BALANCING!US41</f>
        <v>1650</v>
      </c>
      <c r="UT7" s="52">
        <f>BALANCING!UT41</f>
        <v>410</v>
      </c>
      <c r="UU7" s="52">
        <f>BALANCING!UU41</f>
        <v>410</v>
      </c>
      <c r="UV7" s="52">
        <f>BALANCING!UV41</f>
        <v>9705</v>
      </c>
      <c r="UW7" s="52">
        <f>BALANCING!UW41</f>
        <v>8590</v>
      </c>
      <c r="UX7" s="130"/>
      <c r="UY7" s="52">
        <f>BALANCING!UY41</f>
        <v>7320</v>
      </c>
      <c r="UZ7" s="52">
        <f>BALANCING!UZ41</f>
        <v>6433</v>
      </c>
      <c r="VA7" s="52">
        <f>BALANCING!VA41</f>
        <v>4547</v>
      </c>
      <c r="VB7" s="52">
        <f>BALANCING!VB41</f>
        <v>6355</v>
      </c>
      <c r="VC7" s="52">
        <f>BALANCING!VC41</f>
        <v>10144</v>
      </c>
      <c r="VD7" s="52">
        <f>BALANCING!VD41</f>
        <v>9258</v>
      </c>
      <c r="VE7" s="52">
        <f>BALANCING!VE41</f>
        <v>7955</v>
      </c>
      <c r="VF7" s="52">
        <f>BALANCING!VF41</f>
        <v>6317</v>
      </c>
      <c r="VG7" s="52">
        <f>BALANCING!VG41</f>
        <v>5520</v>
      </c>
      <c r="VH7" s="52">
        <f>BALANCING!VH41</f>
        <v>4421</v>
      </c>
      <c r="VI7" s="52">
        <f>BALANCING!VI41</f>
        <v>10822</v>
      </c>
      <c r="VJ7" s="52">
        <f>BALANCING!VJ41</f>
        <v>9888</v>
      </c>
      <c r="VK7" s="52">
        <f>BALANCING!VK41</f>
        <v>8700</v>
      </c>
      <c r="VL7" s="52">
        <f>BALANCING!VL41</f>
        <v>7517</v>
      </c>
      <c r="VM7" s="52">
        <f>BALANCING!VM41</f>
        <v>6488</v>
      </c>
      <c r="VN7" s="52">
        <f>BALANCING!VN41</f>
        <v>5670</v>
      </c>
      <c r="VO7" s="52">
        <f>BALANCING!VO41</f>
        <v>4670</v>
      </c>
      <c r="VP7" s="52">
        <f>BALANCING!VP41</f>
        <v>3552</v>
      </c>
      <c r="VQ7" s="52">
        <f>BALANCING!VQ41</f>
        <v>10000</v>
      </c>
      <c r="VR7" s="52">
        <f>BALANCING!VR41</f>
        <v>8789</v>
      </c>
      <c r="VS7" s="52">
        <f>BALANCING!VS41</f>
        <v>7635</v>
      </c>
      <c r="VT7" s="52">
        <f>BALANCING!VT41</f>
        <v>13433</v>
      </c>
      <c r="VU7" s="52">
        <f>BALANCING!VU41</f>
        <v>12400</v>
      </c>
      <c r="VV7" s="52">
        <f>BALANCING!VV41</f>
        <v>11240</v>
      </c>
      <c r="VW7" s="52">
        <f>BALANCING!VW41</f>
        <v>9966</v>
      </c>
      <c r="VX7" s="52">
        <f>BALANCING!VX41</f>
        <v>8722</v>
      </c>
      <c r="VY7" s="52">
        <f>BALANCING!VY41</f>
        <v>7552</v>
      </c>
      <c r="VZ7" s="52">
        <f>BALANCING!VZ41</f>
        <v>6500</v>
      </c>
      <c r="WA7" s="139"/>
      <c r="WB7" s="52">
        <f>BALANCING!WB41</f>
        <v>5209</v>
      </c>
      <c r="WC7" s="52">
        <f>BALANCING!WC41</f>
        <v>4378</v>
      </c>
      <c r="WD7" s="52">
        <f>BALANCING!WD41</f>
        <v>2940</v>
      </c>
      <c r="WE7" s="52">
        <f>BALANCING!WE41</f>
        <v>1810</v>
      </c>
      <c r="WF7" s="52">
        <f>BALANCING!WF41</f>
        <v>788</v>
      </c>
      <c r="WG7" s="52">
        <f>BALANCING!WG41</f>
        <v>788</v>
      </c>
      <c r="WH7" s="52">
        <f>BALANCING!WH41</f>
        <v>7822</v>
      </c>
      <c r="WI7" s="52">
        <f>BALANCING!WI41</f>
        <v>6233</v>
      </c>
      <c r="WJ7" s="52">
        <f>BALANCING!WJ41</f>
        <v>5160</v>
      </c>
      <c r="WK7" s="52">
        <f>BALANCING!WK41</f>
        <v>3968</v>
      </c>
      <c r="WL7" s="52">
        <f>BALANCING!WL41</f>
        <v>10576</v>
      </c>
      <c r="WM7" s="52">
        <f>BALANCING!WM41</f>
        <v>9647</v>
      </c>
      <c r="WN7" s="52">
        <f>BALANCING!WN41</f>
        <v>8666</v>
      </c>
      <c r="WO7" s="52">
        <f>BALANCING!WO41</f>
        <v>7658</v>
      </c>
      <c r="WP7" s="52">
        <f>BALANCING!WP41</f>
        <v>6270</v>
      </c>
      <c r="WQ7" s="52">
        <f>BALANCING!WQ41</f>
        <v>5500</v>
      </c>
      <c r="WR7" s="52">
        <f>BALANCING!WR41</f>
        <v>4305</v>
      </c>
      <c r="WS7" s="52">
        <f>BALANCING!WS41</f>
        <v>3495.23</v>
      </c>
      <c r="WT7" s="52">
        <f>BALANCING!WT41</f>
        <v>2325</v>
      </c>
      <c r="WU7" s="52">
        <f>BALANCING!WU41</f>
        <v>1400</v>
      </c>
      <c r="WV7" s="52">
        <f>BALANCING!WV41</f>
        <v>7933</v>
      </c>
      <c r="WW7" s="52">
        <f>BALANCING!WW41</f>
        <v>6873</v>
      </c>
      <c r="WX7" s="52">
        <f>BALANCING!WX41</f>
        <v>5870</v>
      </c>
      <c r="WY7" s="52">
        <f>BALANCING!WY41</f>
        <v>4536</v>
      </c>
      <c r="WZ7" s="52">
        <f>BALANCING!WZ41</f>
        <v>11390</v>
      </c>
      <c r="XA7" s="52">
        <f>BALANCING!XA41</f>
        <v>10655</v>
      </c>
      <c r="XB7" s="52">
        <f>BALANCING!XB41</f>
        <v>9504</v>
      </c>
      <c r="XC7" s="52">
        <f>BALANCING!XC41</f>
        <v>8590</v>
      </c>
      <c r="XD7" s="52">
        <f>BALANCING!XD41</f>
        <v>7576</v>
      </c>
      <c r="XE7" s="52">
        <f>BALANCING!XE41</f>
        <v>6390</v>
      </c>
      <c r="XF7" s="52">
        <f>BALANCING!XF41</f>
        <v>4905</v>
      </c>
      <c r="XG7" s="139"/>
      <c r="XH7" s="52">
        <f>BALANCING!XH41</f>
        <v>12000</v>
      </c>
      <c r="XI7" s="52">
        <f>BALANCING!XI41</f>
        <v>11023</v>
      </c>
      <c r="XJ7" s="52">
        <f>BALANCING!XJ41</f>
        <v>10100</v>
      </c>
      <c r="XK7" s="52">
        <f>BALANCING!XK41</f>
        <v>9088</v>
      </c>
      <c r="XL7" s="52">
        <f>BALANCING!XL41</f>
        <v>7955</v>
      </c>
      <c r="XM7" s="52">
        <f>BALANCING!XM41</f>
        <v>6915</v>
      </c>
      <c r="XN7" s="52">
        <f>BALANCING!XN41</f>
        <v>5810</v>
      </c>
      <c r="XO7" s="52">
        <f>BALANCING!XO41</f>
        <v>4680</v>
      </c>
      <c r="XP7" s="52">
        <f>BALANCING!XP41</f>
        <v>3790</v>
      </c>
      <c r="XQ7" s="52">
        <f>BALANCING!XQ41</f>
        <v>2810</v>
      </c>
      <c r="XR7" s="52">
        <f>BALANCING!XR41</f>
        <v>8823</v>
      </c>
      <c r="XS7" s="52">
        <f>BALANCING!XS41</f>
        <v>7729</v>
      </c>
      <c r="XT7" s="52">
        <f>BALANCING!XT41</f>
        <v>7000</v>
      </c>
      <c r="XU7" s="52">
        <f>BALANCING!XU41</f>
        <v>6111</v>
      </c>
      <c r="XV7" s="52">
        <f>BALANCING!XV41</f>
        <v>5050</v>
      </c>
      <c r="XW7" s="52">
        <f>BALANCING!XW41</f>
        <v>4011</v>
      </c>
      <c r="XX7" s="52">
        <f>BALANCING!XX41</f>
        <v>2970</v>
      </c>
      <c r="XY7" s="52">
        <f>BALANCING!XY41</f>
        <v>2155</v>
      </c>
      <c r="XZ7" s="52">
        <f>BALANCING!XZ41</f>
        <v>8375</v>
      </c>
      <c r="YA7" s="52">
        <f>BALANCING!YA41</f>
        <v>7576</v>
      </c>
      <c r="YB7" s="52">
        <f>BALANCING!YB41</f>
        <v>6810</v>
      </c>
      <c r="YC7" s="52">
        <f>BALANCING!YC41</f>
        <v>5820</v>
      </c>
      <c r="YD7" s="52">
        <f>BALANCING!YD41</f>
        <v>4630</v>
      </c>
      <c r="YE7" s="52">
        <f>BALANCING!YE41</f>
        <v>3714</v>
      </c>
      <c r="YF7" s="52">
        <f>BALANCING!YF41</f>
        <v>12871</v>
      </c>
      <c r="YG7" s="52">
        <f>BALANCING!YG41</f>
        <v>11888</v>
      </c>
      <c r="YH7" s="52">
        <f>BALANCING!YH41</f>
        <v>11000</v>
      </c>
      <c r="YI7" s="52">
        <f>BALANCING!YI41</f>
        <v>10077</v>
      </c>
      <c r="YJ7" s="52">
        <f>BALANCING!YJ41</f>
        <v>9409</v>
      </c>
      <c r="YK7" s="52">
        <f>BALANCING!YK41</f>
        <v>8711</v>
      </c>
      <c r="YL7" s="130"/>
      <c r="YM7" s="52">
        <f>BALANCING!YM41</f>
        <v>7458</v>
      </c>
      <c r="YN7" s="52">
        <f>BALANCING!YN41</f>
        <v>6122</v>
      </c>
      <c r="YO7" s="52">
        <f>BALANCING!YO41</f>
        <v>5170</v>
      </c>
      <c r="YP7" s="52">
        <f>BALANCING!YP41</f>
        <v>4347</v>
      </c>
      <c r="YQ7" s="52">
        <f>BALANCING!YQ41</f>
        <v>3390</v>
      </c>
      <c r="YR7" s="52">
        <f>BALANCING!YR41</f>
        <v>2600</v>
      </c>
      <c r="YS7" s="52">
        <f>BALANCING!YS41</f>
        <v>1712</v>
      </c>
      <c r="YT7" s="52">
        <f>BALANCING!YT41</f>
        <v>1237</v>
      </c>
      <c r="YU7" s="52">
        <f>BALANCING!YU41</f>
        <v>7177</v>
      </c>
      <c r="YV7" s="52">
        <f>BALANCING!YV41</f>
        <v>6288</v>
      </c>
      <c r="YW7" s="52">
        <f>BALANCING!YW41</f>
        <v>5354</v>
      </c>
      <c r="YX7" s="52">
        <f>BALANCING!YX41</f>
        <v>14591</v>
      </c>
      <c r="YY7" s="52">
        <f>BALANCING!YY41</f>
        <v>13526</v>
      </c>
      <c r="YZ7" s="52">
        <f>BALANCING!YZ41</f>
        <v>12555</v>
      </c>
      <c r="ZA7" s="52">
        <f>BALANCING!ZA41</f>
        <v>11778</v>
      </c>
      <c r="ZB7" s="52">
        <f>BALANCING!ZB41</f>
        <v>10866</v>
      </c>
      <c r="ZC7" s="52">
        <f>BALANCING!ZC41</f>
        <v>9623</v>
      </c>
      <c r="ZD7" s="52">
        <f>BALANCING!ZD41</f>
        <v>8929</v>
      </c>
      <c r="ZE7" s="52">
        <f>BALANCING!ZE41</f>
        <v>7866</v>
      </c>
      <c r="ZF7" s="52">
        <f>BALANCING!ZF41</f>
        <v>7105</v>
      </c>
      <c r="ZG7" s="52">
        <f>BALANCING!ZG41</f>
        <v>5820</v>
      </c>
      <c r="ZH7" s="52">
        <f>BALANCING!ZH41</f>
        <v>4680</v>
      </c>
      <c r="ZI7" s="52">
        <f>BALANCING!ZI41</f>
        <v>9635</v>
      </c>
      <c r="ZJ7" s="52">
        <f>BALANCING!ZJ41</f>
        <v>8410</v>
      </c>
      <c r="ZK7" s="52">
        <f>BALANCING!ZK41</f>
        <v>7623</v>
      </c>
      <c r="ZL7" s="52">
        <f>BALANCING!ZL41</f>
        <v>6433</v>
      </c>
      <c r="ZM7" s="52">
        <f>BALANCING!ZM41</f>
        <v>5371</v>
      </c>
      <c r="ZN7" s="52">
        <f>BALANCING!ZN41</f>
        <v>13870</v>
      </c>
      <c r="ZO7" s="52">
        <f>BALANCING!ZO41</f>
        <v>12844</v>
      </c>
      <c r="ZP7" s="52">
        <f>BALANCING!ZP41</f>
        <v>11680</v>
      </c>
      <c r="ZQ7" s="52">
        <f>BALANCING!ZQ41</f>
        <v>10840</v>
      </c>
      <c r="ZR7" s="130"/>
      <c r="ZS7" s="52">
        <f>BALANCING!ZS41</f>
        <v>9476</v>
      </c>
      <c r="ZT7" s="52">
        <f>BALANCING!ZT41</f>
        <v>8500</v>
      </c>
      <c r="ZU7" s="52">
        <f>BALANCING!ZU41</f>
        <v>7576</v>
      </c>
      <c r="ZV7" s="52">
        <f>BALANCING!ZV41</f>
        <v>6755</v>
      </c>
      <c r="ZW7" s="52">
        <f>BALANCING!ZW41</f>
        <v>15631</v>
      </c>
      <c r="ZX7" s="52">
        <f>BALANCING!ZX41</f>
        <v>14643</v>
      </c>
      <c r="ZY7" s="52">
        <f>BALANCING!ZY41</f>
        <v>13511</v>
      </c>
      <c r="ZZ7" s="52">
        <f>BALANCING!ZZ41</f>
        <v>12544</v>
      </c>
      <c r="AAA7" s="52">
        <f>BALANCING!AAA41</f>
        <v>11780</v>
      </c>
      <c r="AAB7" s="52">
        <f>BALANCING!AAB41</f>
        <v>9822</v>
      </c>
      <c r="AAC7" s="52">
        <f>BALANCING!AAC41</f>
        <v>8500</v>
      </c>
      <c r="AAD7" s="52">
        <f>BALANCING!AAD41</f>
        <v>7435</v>
      </c>
      <c r="AAE7" s="52">
        <f>BALANCING!AAE41</f>
        <v>6344</v>
      </c>
      <c r="AAF7" s="52">
        <f>BALANCING!AAF41</f>
        <v>5209</v>
      </c>
      <c r="AAG7" s="52">
        <f>BALANCING!AAG41</f>
        <v>4181</v>
      </c>
      <c r="AAH7" s="52">
        <f>BALANCING!AAH41</f>
        <v>3190</v>
      </c>
      <c r="AAI7" s="52">
        <f>BALANCING!AAI41</f>
        <v>12378</v>
      </c>
      <c r="AAJ7" s="52">
        <f>BALANCING!AAJ41</f>
        <v>10866</v>
      </c>
      <c r="AAK7" s="52">
        <f>BALANCING!AAK41</f>
        <v>9855</v>
      </c>
      <c r="AAL7" s="52">
        <f>BALANCING!AAL41</f>
        <v>8894</v>
      </c>
      <c r="AAM7" s="52">
        <f>BALANCING!AAM41</f>
        <v>7600</v>
      </c>
      <c r="AAN7" s="52">
        <f>BALANCING!AAN41</f>
        <v>6863</v>
      </c>
      <c r="AAO7" s="52">
        <f>BALANCING!AAO41</f>
        <v>5658</v>
      </c>
      <c r="AAP7" s="52">
        <f>BALANCING!AAP41</f>
        <v>4810</v>
      </c>
      <c r="AAQ7" s="52">
        <f>BALANCING!AAQ41</f>
        <v>3989</v>
      </c>
      <c r="AAR7" s="52">
        <f>BALANCING!AAR41</f>
        <v>12935</v>
      </c>
      <c r="AAS7" s="52">
        <f>BALANCING!AAS41</f>
        <v>11968</v>
      </c>
      <c r="AAT7" s="52">
        <f>BALANCING!AAT41</f>
        <v>10933</v>
      </c>
      <c r="AAU7" s="52">
        <f>BALANCING!AAU41</f>
        <v>10133</v>
      </c>
      <c r="AAV7" s="52">
        <f>BALANCING!AAV41</f>
        <v>9305</v>
      </c>
      <c r="AAW7" s="130"/>
      <c r="AAX7" s="52">
        <f>BALANCING!AAX41</f>
        <v>8262</v>
      </c>
      <c r="AAY7" s="52">
        <f>BALANCING!AAY41</f>
        <v>7380</v>
      </c>
      <c r="AAZ7" s="52">
        <f>BALANCING!AAZ41</f>
        <v>6322</v>
      </c>
      <c r="ABA7" s="52">
        <f>BALANCING!ABA41</f>
        <v>5373</v>
      </c>
      <c r="ABB7" s="52">
        <f>BALANCING!ABB41</f>
        <v>12336</v>
      </c>
      <c r="ABC7" s="52">
        <f>BALANCING!ABC41</f>
        <v>11490</v>
      </c>
      <c r="ABD7" s="52">
        <f>BALANCING!ABD41</f>
        <v>10411</v>
      </c>
      <c r="ABE7" s="52">
        <f>BALANCING!ABE41</f>
        <v>9376</v>
      </c>
      <c r="ABF7" s="52">
        <f>BALANCING!ABF41</f>
        <v>8600</v>
      </c>
      <c r="ABG7" s="52">
        <f>BALANCING!ABG41</f>
        <v>13366</v>
      </c>
      <c r="ABH7" s="52">
        <f>BALANCING!ABH41</f>
        <v>12260</v>
      </c>
      <c r="ABI7" s="52">
        <f>BALANCING!ABI41</f>
        <v>11386</v>
      </c>
      <c r="ABJ7" s="52">
        <f>BALANCING!ABJ41</f>
        <v>10376</v>
      </c>
      <c r="ABK7" s="52">
        <f>BALANCING!ABK41</f>
        <v>9258</v>
      </c>
      <c r="ABL7" s="52">
        <f>BALANCING!ABL41</f>
        <v>8312</v>
      </c>
      <c r="ABM7" s="52">
        <f>BALANCING!ABM41</f>
        <v>7333</v>
      </c>
      <c r="ABN7" s="52">
        <f>BALANCING!ABN41</f>
        <v>6411</v>
      </c>
      <c r="ABO7" s="52">
        <f>BALANCING!ABO41</f>
        <v>5095</v>
      </c>
      <c r="ABP7" s="52">
        <f>BALANCING!ABP41</f>
        <v>3842</v>
      </c>
      <c r="ABQ7" s="52">
        <f>BALANCING!ABQ41</f>
        <v>12985</v>
      </c>
      <c r="ABR7" s="52">
        <f>BALANCING!ABR41</f>
        <v>12378</v>
      </c>
      <c r="ABS7" s="52">
        <f>BALANCING!ABS41</f>
        <v>11660</v>
      </c>
      <c r="ABT7" s="52">
        <f>BALANCING!ABT41</f>
        <v>10670</v>
      </c>
      <c r="ABU7" s="52">
        <f>BALANCING!ABU41</f>
        <v>9810</v>
      </c>
      <c r="ABV7" s="52">
        <f>BALANCING!ABV41</f>
        <v>8769</v>
      </c>
      <c r="ABW7" s="52">
        <f>BALANCING!ABW41</f>
        <v>7855</v>
      </c>
      <c r="ABX7" s="52">
        <f>BALANCING!ABX41</f>
        <v>7055</v>
      </c>
      <c r="ABY7" s="52">
        <f>BALANCING!ABY41</f>
        <v>5670</v>
      </c>
      <c r="ABZ7" s="52">
        <f>BALANCING!ABZ41</f>
        <v>4670</v>
      </c>
      <c r="ACA7" s="52">
        <f>BALANCING!ACA41</f>
        <v>15778</v>
      </c>
      <c r="ACB7" s="52">
        <f>BALANCING!ACB41</f>
        <v>14920</v>
      </c>
      <c r="ACC7" s="130"/>
      <c r="ACD7" s="52">
        <f>BALANCING!ACD41</f>
        <v>13800</v>
      </c>
      <c r="ACE7" s="52">
        <f>BALANCING!ACE41</f>
        <v>12488</v>
      </c>
      <c r="ACF7" s="52">
        <f>BALANCING!ACF41</f>
        <v>11505</v>
      </c>
      <c r="ACG7" s="52">
        <f>BALANCING!ACG41</f>
        <v>10482</v>
      </c>
      <c r="ACH7" s="52">
        <f>BALANCING!ACH41</f>
        <v>9552</v>
      </c>
      <c r="ACI7" s="52">
        <f>BALANCING!ACI41</f>
        <v>8550</v>
      </c>
      <c r="ACJ7" s="52">
        <f>BALANCING!ACJ41</f>
        <v>7576</v>
      </c>
      <c r="ACK7" s="52">
        <f>BALANCING!ACK41</f>
        <v>6422</v>
      </c>
      <c r="ACL7" s="52">
        <f>BALANCING!ACL41</f>
        <v>13344</v>
      </c>
      <c r="ACM7" s="52">
        <f>BALANCING!ACM41</f>
        <v>12555</v>
      </c>
      <c r="ACN7" s="52">
        <f>BALANCING!ACN41</f>
        <v>11520</v>
      </c>
      <c r="ACO7" s="52">
        <f>BALANCING!ACO41</f>
        <v>10470</v>
      </c>
      <c r="ACP7" s="52">
        <f>BALANCING!ACP41</f>
        <v>9600</v>
      </c>
      <c r="ACQ7" s="52">
        <f>BALANCING!ACQ41</f>
        <v>8410</v>
      </c>
      <c r="ACR7" s="52">
        <f>BALANCING!ACR41</f>
        <v>7440</v>
      </c>
      <c r="ACS7" s="52">
        <f>BALANCING!ACS41</f>
        <v>6277</v>
      </c>
      <c r="ACT7" s="52">
        <f>BALANCING!ACT41</f>
        <v>5381</v>
      </c>
      <c r="ACU7" s="52">
        <f>BALANCING!ACU41</f>
        <v>4221</v>
      </c>
      <c r="ACV7" s="52">
        <f>BALANCING!ACV41</f>
        <v>3190</v>
      </c>
      <c r="ACW7" s="52">
        <f>BALANCING!ACW41</f>
        <v>2312</v>
      </c>
      <c r="ACX7" s="52">
        <f>BALANCING!ACX41</f>
        <v>1423</v>
      </c>
      <c r="ACY7" s="52">
        <f>BALANCING!ACY41</f>
        <v>10458</v>
      </c>
      <c r="ACZ7" s="52">
        <f>BALANCING!ACZ41</f>
        <v>9447</v>
      </c>
      <c r="ADA7" s="52">
        <f>BALANCING!ADA41</f>
        <v>8420</v>
      </c>
      <c r="ADB7" s="52">
        <f>BALANCING!ADB41</f>
        <v>7380</v>
      </c>
      <c r="ADC7" s="52">
        <f>BALANCING!ADC41</f>
        <v>16480</v>
      </c>
      <c r="ADD7" s="52">
        <f>BALANCING!ADD41</f>
        <v>15580</v>
      </c>
      <c r="ADE7" s="52">
        <f>BALANCING!ADE41</f>
        <v>14626</v>
      </c>
      <c r="ADF7" s="52">
        <f>BALANCING!ADF41</f>
        <v>13682</v>
      </c>
      <c r="ADG7" s="52">
        <f>BALANCING!ADG41</f>
        <v>12828</v>
      </c>
      <c r="ADH7" s="52">
        <f>BALANCING!ADH41</f>
        <v>11877</v>
      </c>
      <c r="ADI7" s="130"/>
      <c r="ADJ7" s="52">
        <f>BALANCING!ADJ41</f>
        <v>11047</v>
      </c>
      <c r="ADK7" s="52">
        <f>BALANCING!ADK41</f>
        <v>10055</v>
      </c>
      <c r="ADL7" s="52">
        <f>BALANCING!ADL41</f>
        <v>8925</v>
      </c>
      <c r="ADM7" s="52">
        <f>BALANCING!ADM41</f>
        <v>7911</v>
      </c>
      <c r="ADN7" s="52">
        <f>BALANCING!ADN41</f>
        <v>6821</v>
      </c>
      <c r="ADO7" s="52">
        <f>BALANCING!ADO41</f>
        <v>13658</v>
      </c>
      <c r="ADP7" s="52">
        <f>BALANCING!ADP41</f>
        <v>12850</v>
      </c>
      <c r="ADQ7" s="52">
        <f>BALANCING!ADQ41</f>
        <v>12105</v>
      </c>
      <c r="ADR7" s="52">
        <f>BALANCING!ADR41</f>
        <v>11000</v>
      </c>
      <c r="ADS7" s="52">
        <f>BALANCING!ADS41</f>
        <v>10077</v>
      </c>
      <c r="ADT7" s="52">
        <f>BALANCING!ADT41</f>
        <v>9033</v>
      </c>
      <c r="ADU7" s="52">
        <f>BALANCING!ADU41</f>
        <v>8031</v>
      </c>
      <c r="ADV7" s="52">
        <f>BALANCING!ADV41</f>
        <v>6777</v>
      </c>
      <c r="ADW7" s="52">
        <f>BALANCING!ADW41</f>
        <v>6066</v>
      </c>
      <c r="ADX7" s="52">
        <f>BALANCING!ADX41</f>
        <v>4936</v>
      </c>
      <c r="ADY7" s="52">
        <f>BALANCING!ADY41</f>
        <v>11888</v>
      </c>
      <c r="ADZ7" s="52">
        <f>BALANCING!ADZ41</f>
        <v>11000</v>
      </c>
      <c r="AEA7" s="52">
        <f>BALANCING!AEA41</f>
        <v>10044</v>
      </c>
      <c r="AEB7" s="52">
        <f>BALANCING!AEB41</f>
        <v>9235</v>
      </c>
      <c r="AEC7" s="52">
        <f>BALANCING!AEC41</f>
        <v>8084</v>
      </c>
      <c r="AED7" s="52">
        <f>BALANCING!AED41</f>
        <v>7200</v>
      </c>
      <c r="AEE7" s="52">
        <f>BALANCING!AEE41</f>
        <v>6122</v>
      </c>
      <c r="AEF7" s="52">
        <f>BALANCING!AEF41</f>
        <v>5236</v>
      </c>
      <c r="AEG7" s="52">
        <f>BALANCING!AEG41</f>
        <v>4526</v>
      </c>
      <c r="AEH7" s="52">
        <f>BALANCING!AEH41</f>
        <v>3800</v>
      </c>
      <c r="AEI7" s="52">
        <f>BALANCING!AEI41</f>
        <v>10717</v>
      </c>
      <c r="AEJ7" s="52">
        <f>BALANCING!AEJ41</f>
        <v>9623</v>
      </c>
      <c r="AEK7" s="52">
        <f>BALANCING!AEK41</f>
        <v>9022</v>
      </c>
      <c r="AEL7" s="52">
        <f>BALANCING!AEL41</f>
        <v>8337</v>
      </c>
      <c r="AEM7" s="52">
        <f>BALANCING!AEM41</f>
        <v>7200</v>
      </c>
      <c r="AEN7" s="130"/>
      <c r="AEO7" s="52">
        <f>BALANCING!AEO41</f>
        <v>6411</v>
      </c>
      <c r="AEP7" s="52">
        <f>BALANCING!AEP41</f>
        <v>5550</v>
      </c>
      <c r="AEQ7" s="52">
        <f>BALANCING!AEQ41</f>
        <v>9800</v>
      </c>
      <c r="AER7" s="52">
        <f>BALANCING!AER41</f>
        <v>8952</v>
      </c>
      <c r="AES7" s="52">
        <f>BALANCING!AES41</f>
        <v>8126</v>
      </c>
      <c r="AET7" s="52">
        <f>BALANCING!AET41</f>
        <v>7188</v>
      </c>
      <c r="AEU7" s="52">
        <f>BALANCING!AEU41</f>
        <v>6377</v>
      </c>
      <c r="AEV7" s="52">
        <f>BALANCING!AEV41</f>
        <v>5410</v>
      </c>
      <c r="AEW7" s="52">
        <f>BALANCING!AEW41</f>
        <v>4484</v>
      </c>
      <c r="AEX7" s="52">
        <f>BALANCING!AEX41</f>
        <v>3560</v>
      </c>
      <c r="AEY7" s="52">
        <f>BALANCING!AEY41</f>
        <v>10623</v>
      </c>
      <c r="AEZ7" s="52">
        <f>BALANCING!AEZ41</f>
        <v>10033</v>
      </c>
      <c r="AFA7" s="52">
        <f>BALANCING!AFA41</f>
        <v>9189</v>
      </c>
      <c r="AFB7" s="52">
        <f>BALANCING!AFB41</f>
        <v>8510</v>
      </c>
      <c r="AFC7" s="52">
        <f>BALANCING!AFC41</f>
        <v>7576</v>
      </c>
      <c r="AFD7" s="52">
        <f>BALANCING!AFD41</f>
        <v>6733</v>
      </c>
      <c r="AFE7" s="52">
        <f>BALANCING!AFE41</f>
        <v>13717</v>
      </c>
      <c r="AFF7" s="52">
        <f>BALANCING!AFF41</f>
        <v>12588</v>
      </c>
      <c r="AFG7" s="52">
        <f>BALANCING!AFG41</f>
        <v>11640</v>
      </c>
      <c r="AFH7" s="52">
        <f>BALANCING!AFH41</f>
        <v>10647</v>
      </c>
      <c r="AFI7" s="52">
        <f>BALANCING!AFI41</f>
        <v>9866</v>
      </c>
      <c r="AFJ7" s="52">
        <f>BALANCING!AFJ41</f>
        <v>9235</v>
      </c>
      <c r="AFK7" s="52">
        <f>BALANCING!AFK41</f>
        <v>8410</v>
      </c>
      <c r="AFL7" s="52">
        <f>BALANCING!AFL41</f>
        <v>7670</v>
      </c>
      <c r="AFM7" s="52">
        <f>BALANCING!AFM41</f>
        <v>6622</v>
      </c>
      <c r="AFN7" s="52">
        <f>BALANCING!AFN41</f>
        <v>5860</v>
      </c>
      <c r="AFO7" s="52">
        <f>BALANCING!AFO41</f>
        <v>5080</v>
      </c>
      <c r="AFP7" s="52">
        <f>BALANCING!AFP41</f>
        <v>4210</v>
      </c>
      <c r="AFQ7" s="52">
        <f>BALANCING!AFQ41</f>
        <v>3418</v>
      </c>
      <c r="AFR7" s="52">
        <f>BALANCING!AFR41</f>
        <v>2582</v>
      </c>
      <c r="AFS7" s="52">
        <f>BALANCING!AFS41</f>
        <v>1876</v>
      </c>
      <c r="AFT7" s="130"/>
      <c r="AFU7" s="52">
        <f>BALANCING!AFU41</f>
        <v>14000</v>
      </c>
      <c r="AFV7" s="52">
        <f>BALANCING!AFV41</f>
        <v>13244</v>
      </c>
      <c r="AFW7" s="52">
        <f>BALANCING!AFW41</f>
        <v>12458</v>
      </c>
      <c r="AFX7" s="52">
        <f>BALANCING!AFX41</f>
        <v>11750</v>
      </c>
      <c r="AFY7" s="52">
        <f>BALANCING!AFY41</f>
        <v>10855</v>
      </c>
      <c r="AFZ7" s="52">
        <f>BALANCING!AFZ41</f>
        <v>10188</v>
      </c>
      <c r="AGA7" s="52">
        <f>BALANCING!AGA41</f>
        <v>9364</v>
      </c>
      <c r="AGB7" s="52">
        <f>BALANCING!AGB41</f>
        <v>8600</v>
      </c>
      <c r="AGC7" s="52">
        <f>BALANCING!AGC41</f>
        <v>7866</v>
      </c>
      <c r="AGD7" s="52">
        <f>BALANCING!AGD41</f>
        <v>7111</v>
      </c>
      <c r="AGE7" s="52">
        <f>BALANCING!AGE41</f>
        <v>6244</v>
      </c>
      <c r="AGF7" s="52">
        <f>BALANCING!AGF41</f>
        <v>5400</v>
      </c>
      <c r="AGG7" s="52">
        <f>BALANCING!AGG41</f>
        <v>4700</v>
      </c>
      <c r="AGH7" s="52">
        <f>BALANCING!AGH41</f>
        <v>11855</v>
      </c>
      <c r="AGI7" s="52">
        <f>BALANCING!AGI41</f>
        <v>11129</v>
      </c>
      <c r="AGJ7" s="52">
        <f>BALANCING!AGJ41</f>
        <v>10447</v>
      </c>
      <c r="AGK7" s="52">
        <f>BALANCING!AGK41</f>
        <v>9670</v>
      </c>
      <c r="AGL7" s="52">
        <f>BALANCING!AGL41</f>
        <v>8905</v>
      </c>
      <c r="AGM7" s="52">
        <f>BALANCING!AGM41</f>
        <v>8189</v>
      </c>
      <c r="AGN7" s="52">
        <f>BALANCING!AGN41</f>
        <v>7300</v>
      </c>
      <c r="AGO7" s="52">
        <f>BALANCING!AGO41</f>
        <v>6333</v>
      </c>
      <c r="AGP7" s="52">
        <f>BALANCING!AGP41</f>
        <v>5170</v>
      </c>
      <c r="AGQ7" s="52">
        <f>BALANCING!AGQ41</f>
        <v>9166</v>
      </c>
      <c r="AGR7" s="52">
        <f>BALANCING!AGR41</f>
        <v>8450</v>
      </c>
      <c r="AGS7" s="52">
        <f>BALANCING!AGS41</f>
        <v>7717</v>
      </c>
      <c r="AGT7" s="52">
        <f>BALANCING!AGT41</f>
        <v>6810</v>
      </c>
      <c r="AGU7" s="52">
        <f>BALANCING!AGU41</f>
        <v>5970</v>
      </c>
      <c r="AGV7" s="52">
        <f>BALANCING!AGV41</f>
        <v>4926</v>
      </c>
      <c r="AGW7" s="52">
        <f>BALANCING!AGW41</f>
        <v>10800</v>
      </c>
      <c r="AGX7" s="52">
        <f>BALANCING!AGX41</f>
        <v>9933</v>
      </c>
      <c r="AGY7" s="139"/>
      <c r="AGZ7" s="52">
        <f>BALANCING!AGZ41</f>
        <v>9100</v>
      </c>
      <c r="AHA7" s="52">
        <f>BALANCING!AHA41</f>
        <v>8189</v>
      </c>
      <c r="AHB7" s="52">
        <f>BALANCING!AHB41</f>
        <v>7100</v>
      </c>
      <c r="AHC7" s="52">
        <f>BALANCING!AHC41</f>
        <v>6233</v>
      </c>
      <c r="AHD7" s="52">
        <f>BALANCING!AHD41</f>
        <v>4810</v>
      </c>
      <c r="AHE7" s="52">
        <f>BALANCING!AHE41</f>
        <v>11933</v>
      </c>
      <c r="AHF7" s="52">
        <f>BALANCING!AHF41</f>
        <v>11058</v>
      </c>
      <c r="AHG7" s="52">
        <f>BALANCING!AHG41</f>
        <v>10237</v>
      </c>
      <c r="AHH7" s="52">
        <f>BALANCING!AHH41</f>
        <v>9166</v>
      </c>
      <c r="AHI7" s="52">
        <f>BALANCING!AHI41</f>
        <v>8350</v>
      </c>
      <c r="AHJ7" s="52">
        <f>BALANCING!AHJ41</f>
        <v>15747</v>
      </c>
      <c r="AHK7" s="52">
        <f>BALANCING!AHK41</f>
        <v>14652</v>
      </c>
      <c r="AHL7" s="52">
        <f>BALANCING!AHL41</f>
        <v>13820</v>
      </c>
      <c r="AHM7" s="52">
        <f>BALANCING!AHM41</f>
        <v>13200</v>
      </c>
      <c r="AHN7" s="52">
        <f>BALANCING!AHN41</f>
        <v>12231</v>
      </c>
      <c r="AHO7" s="52">
        <f>BALANCING!AHO41</f>
        <v>11400</v>
      </c>
      <c r="AHP7" s="52">
        <f>BALANCING!AHP41</f>
        <v>10494</v>
      </c>
      <c r="AHQ7" s="52">
        <f>BALANCING!AHQ41</f>
        <v>9523</v>
      </c>
      <c r="AHR7" s="52">
        <f>BALANCING!AHR41</f>
        <v>8611</v>
      </c>
      <c r="AHS7" s="52">
        <f>BALANCING!AHS41</f>
        <v>7877</v>
      </c>
      <c r="AHT7" s="52">
        <f>BALANCING!AHT41</f>
        <v>6915</v>
      </c>
      <c r="AHU7" s="52">
        <f>BALANCING!AHU41</f>
        <v>5940</v>
      </c>
      <c r="AHV7" s="52">
        <f>BALANCING!AHV41</f>
        <v>4873</v>
      </c>
      <c r="AHW7" s="52">
        <f>BALANCING!AHW41</f>
        <v>12035</v>
      </c>
      <c r="AHX7" s="52">
        <f>BALANCING!AHX41</f>
        <v>11466</v>
      </c>
      <c r="AHY7" s="52">
        <f>BALANCING!AHY41</f>
        <v>10866</v>
      </c>
      <c r="AHZ7" s="52">
        <f>BALANCING!AHZ41</f>
        <v>10200</v>
      </c>
      <c r="AIA7" s="52">
        <f>BALANCING!AIA41</f>
        <v>9670</v>
      </c>
      <c r="AIB7" s="52">
        <f>BALANCING!AIB41</f>
        <v>9000</v>
      </c>
      <c r="AIC7" s="52">
        <f>BALANCING!AIC41</f>
        <v>8200</v>
      </c>
      <c r="AID7" s="52">
        <f>BALANCING!AID41</f>
        <v>10258</v>
      </c>
      <c r="AIE7" s="130"/>
      <c r="AIF7" s="52">
        <f>BALANCING!AIF41</f>
        <v>9483</v>
      </c>
      <c r="AIG7" s="52">
        <f>BALANCING!AIG41</f>
        <v>8777</v>
      </c>
      <c r="AIH7" s="52">
        <f>BALANCING!AIH41</f>
        <v>7977</v>
      </c>
      <c r="AII7" s="52">
        <f>BALANCING!AII41</f>
        <v>10305</v>
      </c>
      <c r="AIJ7" s="52">
        <f>BALANCING!AIJ41</f>
        <v>9426</v>
      </c>
      <c r="AIK7" s="52">
        <f>BALANCING!AIK41</f>
        <v>8688</v>
      </c>
      <c r="AIL7" s="52">
        <f>BALANCING!AIL41</f>
        <v>7833</v>
      </c>
      <c r="AIM7" s="52">
        <f>BALANCING!AIM41</f>
        <v>6915</v>
      </c>
      <c r="AIN7" s="52">
        <f>BALANCING!AIN41</f>
        <v>5960</v>
      </c>
      <c r="AIO7" s="52">
        <f>BALANCING!AIO41</f>
        <v>4821</v>
      </c>
      <c r="AIP7" s="52">
        <f>BALANCING!AIP41</f>
        <v>4200</v>
      </c>
      <c r="AIQ7" s="52">
        <f>BALANCING!AIQ41</f>
        <v>3533</v>
      </c>
      <c r="AIR7" s="52">
        <f>BALANCING!AIR41</f>
        <v>7833</v>
      </c>
      <c r="AIS7" s="52">
        <f>BALANCING!AIS41</f>
        <v>7162</v>
      </c>
      <c r="AIT7" s="52">
        <f>BALANCING!AIT41</f>
        <v>6852</v>
      </c>
      <c r="AIU7" s="52">
        <f>BALANCING!AIU41</f>
        <v>6500</v>
      </c>
      <c r="AIV7" s="52">
        <f>BALANCING!AIV41</f>
        <v>6144</v>
      </c>
      <c r="AIW7" s="52">
        <f>BALANCING!AIW41</f>
        <v>5658</v>
      </c>
      <c r="AIX7" s="52">
        <f>BALANCING!AIX41</f>
        <v>4968</v>
      </c>
      <c r="AIY7" s="52">
        <f>BALANCING!AIY41</f>
        <v>4242</v>
      </c>
      <c r="AIZ7" s="52">
        <f>BALANCING!AIZ41</f>
        <v>3380</v>
      </c>
      <c r="AJA7" s="52">
        <f>BALANCING!AJA41</f>
        <v>2721</v>
      </c>
      <c r="AJB7" s="52">
        <f>BALANCING!AJB41</f>
        <v>12035</v>
      </c>
      <c r="AJC7" s="52">
        <f>BALANCING!AJC41</f>
        <v>11176</v>
      </c>
      <c r="AJD7" s="52">
        <f>BALANCING!AJD41</f>
        <v>10670</v>
      </c>
      <c r="AJE7" s="52">
        <f>BALANCING!AJE41</f>
        <v>10011</v>
      </c>
      <c r="AJF7" s="52">
        <f>BALANCING!AJF41</f>
        <v>9235</v>
      </c>
      <c r="AJG7" s="52">
        <f>BALANCING!AJG41</f>
        <v>8300</v>
      </c>
      <c r="AJH7" s="52">
        <f>BALANCING!AJH41</f>
        <v>7529</v>
      </c>
      <c r="AJI7" s="52">
        <f>BALANCING!AJI41</f>
        <v>13940</v>
      </c>
      <c r="AJJ7" s="52">
        <f>BALANCING!AJJ41</f>
        <v>13105</v>
      </c>
      <c r="AJK7" s="145"/>
      <c r="AJL7" s="52">
        <f>BALANCING!AJL41</f>
        <v>12422</v>
      </c>
      <c r="AJM7" s="52">
        <f>BALANCING!AJM41</f>
        <v>11658</v>
      </c>
      <c r="AJN7" s="52">
        <f>BALANCING!AJN41</f>
        <v>10866</v>
      </c>
      <c r="AJO7" s="52">
        <f>BALANCING!AJO41</f>
        <v>10082</v>
      </c>
      <c r="AJP7" s="52">
        <f>BALANCING!AJP41</f>
        <v>9043</v>
      </c>
      <c r="AJQ7" s="52">
        <f>BALANCING!AJQ41</f>
        <v>8372</v>
      </c>
      <c r="AJR7" s="52">
        <f>BALANCING!AJR41</f>
        <v>7705</v>
      </c>
      <c r="AJS7" s="52">
        <f>BALANCING!AJS41</f>
        <v>6688</v>
      </c>
      <c r="AJT7" s="52">
        <f>BALANCING!AJT41</f>
        <v>5764</v>
      </c>
      <c r="AJU7" s="52">
        <f>BALANCING!AJU41</f>
        <v>4968</v>
      </c>
      <c r="AJV7" s="52">
        <f>BALANCING!AJV41</f>
        <v>4123</v>
      </c>
      <c r="AJW7" s="52">
        <f>BALANCING!AJW41</f>
        <v>8084</v>
      </c>
      <c r="AJX7" s="52">
        <f>BALANCING!AJX41</f>
        <v>7144</v>
      </c>
      <c r="AJY7" s="52">
        <f>BALANCING!AJY41</f>
        <v>6366</v>
      </c>
      <c r="AJZ7" s="52">
        <f>BALANCING!AJZ41</f>
        <v>5580</v>
      </c>
      <c r="AKA7" s="52">
        <f>BALANCING!AKA41</f>
        <v>4853</v>
      </c>
      <c r="AKB7" s="52">
        <f>BALANCING!AKB41</f>
        <v>4152</v>
      </c>
      <c r="AKC7" s="52">
        <f>BALANCING!AKC41</f>
        <v>3438</v>
      </c>
      <c r="AKD7" s="52">
        <f>BALANCING!AKD41</f>
        <v>10200</v>
      </c>
      <c r="AKE7" s="52">
        <f>BALANCING!AKE41</f>
        <v>9255</v>
      </c>
      <c r="AKF7" s="52">
        <f>BALANCING!AKF41</f>
        <v>8580</v>
      </c>
      <c r="AKG7" s="52">
        <f>BALANCING!AKG41</f>
        <v>7966</v>
      </c>
      <c r="AKH7" s="52">
        <f>BALANCING!AKH41</f>
        <v>7052</v>
      </c>
      <c r="AKI7" s="52">
        <f>BALANCING!AKI41</f>
        <v>6166</v>
      </c>
      <c r="AKJ7" s="52">
        <f>BALANCING!AKJ41</f>
        <v>5281</v>
      </c>
      <c r="AKK7" s="52">
        <f>BALANCING!AKK41</f>
        <v>9600</v>
      </c>
      <c r="AKL7" s="52">
        <f>BALANCING!AKL41</f>
        <v>8800</v>
      </c>
      <c r="AKM7" s="52">
        <f>BALANCING!AKM41</f>
        <v>7866</v>
      </c>
      <c r="AKN7" s="151"/>
      <c r="AKO7" s="52">
        <f>BALANCING!AKO41</f>
        <v>7000</v>
      </c>
      <c r="AKP7" s="52">
        <f>BALANCING!AKP41</f>
        <v>6200</v>
      </c>
      <c r="AKQ7" s="52">
        <f>BALANCING!AKQ41</f>
        <v>5380</v>
      </c>
      <c r="AKR7" s="52">
        <f>BALANCING!AKR41</f>
        <v>4778</v>
      </c>
      <c r="AKS7" s="52">
        <f>BALANCING!AKS41</f>
        <v>4019</v>
      </c>
      <c r="AKT7" s="52">
        <f>BALANCING!AKT41</f>
        <v>3314</v>
      </c>
      <c r="AKU7" s="52">
        <f>BALANCING!AKU41</f>
        <v>7844</v>
      </c>
      <c r="AKV7" s="52">
        <f>BALANCING!AKV41</f>
        <v>6978</v>
      </c>
      <c r="AKW7" s="52">
        <f>BALANCING!AKW41</f>
        <v>6200</v>
      </c>
      <c r="AKX7" s="52">
        <f>BALANCING!AKX41</f>
        <v>15510</v>
      </c>
      <c r="AKY7" s="52">
        <f>BALANCING!AKY41</f>
        <v>14739</v>
      </c>
      <c r="AKZ7" s="52">
        <f>BALANCING!AKZ41</f>
        <v>14042</v>
      </c>
      <c r="ALA7" s="52">
        <f>BALANCING!ALA41</f>
        <v>13255</v>
      </c>
      <c r="ALB7" s="52">
        <f>BALANCING!ALB41</f>
        <v>12231</v>
      </c>
      <c r="ALC7" s="52">
        <f>BALANCING!ALC41</f>
        <v>11144</v>
      </c>
      <c r="ALD7" s="52">
        <f>BALANCING!ALD41</f>
        <v>10122</v>
      </c>
      <c r="ALE7" s="52">
        <f>BALANCING!ALE41</f>
        <v>9352</v>
      </c>
      <c r="ALF7" s="52">
        <f>BALANCING!ALF41</f>
        <v>8460</v>
      </c>
      <c r="ALG7" s="52">
        <f>BALANCING!ALG41</f>
        <v>12555</v>
      </c>
      <c r="ALH7" s="52">
        <f>BALANCING!ALH41</f>
        <v>11778</v>
      </c>
      <c r="ALI7" s="52">
        <f>BALANCING!ALI41</f>
        <v>10741</v>
      </c>
      <c r="ALJ7" s="52">
        <f>BALANCING!ALJ41</f>
        <v>9600</v>
      </c>
      <c r="ALK7" s="52">
        <f>BALANCING!ALK41</f>
        <v>4484</v>
      </c>
      <c r="ALL7" s="52">
        <f>BALANCING!ALL41</f>
        <v>3657</v>
      </c>
      <c r="ALM7" s="52">
        <f>BALANCING!ALM41</f>
        <v>2756</v>
      </c>
      <c r="ALN7" s="52">
        <f>BALANCING!ALN41</f>
        <v>14031</v>
      </c>
      <c r="ALO7" s="52">
        <f>BALANCING!ALO41</f>
        <v>13055</v>
      </c>
      <c r="ALP7" s="52">
        <f>BALANCING!ALP41</f>
        <v>12252</v>
      </c>
      <c r="ALQ7" s="52">
        <f>BALANCING!ALQ41</f>
        <v>11452</v>
      </c>
      <c r="ALR7" s="52">
        <f>BALANCING!ALR41</f>
        <v>10494</v>
      </c>
      <c r="ALS7" s="52">
        <f>BALANCING!ALS41</f>
        <v>9752</v>
      </c>
      <c r="ALT7" s="130"/>
      <c r="ALU7" s="52">
        <f>BALANCING!ALU41</f>
        <v>8766</v>
      </c>
      <c r="ALV7" s="52">
        <f>BALANCING!ALV41</f>
        <v>15430</v>
      </c>
      <c r="ALW7" s="52">
        <f>BALANCING!ALW41</f>
        <v>14545</v>
      </c>
      <c r="ALX7" s="52">
        <f>BALANCING!ALX41</f>
        <v>13577</v>
      </c>
      <c r="ALY7" s="52">
        <f>BALANCING!ALY41</f>
        <v>13177</v>
      </c>
      <c r="ALZ7" s="52">
        <f>BALANCING!ALZ41</f>
        <v>12488</v>
      </c>
      <c r="AMA7" s="52">
        <f>BALANCING!AMA41</f>
        <v>11660</v>
      </c>
      <c r="AMB7" s="52">
        <f>BALANCING!AMB41</f>
        <v>10800</v>
      </c>
      <c r="AMC7" s="52">
        <f>BALANCING!AMC41</f>
        <v>9922</v>
      </c>
      <c r="AMD7" s="52">
        <f>BALANCING!AMD41</f>
        <v>13970</v>
      </c>
      <c r="AME7" s="52">
        <f>BALANCING!AME41</f>
        <v>12835</v>
      </c>
      <c r="AMF7" s="52">
        <f>BALANCING!AMF41</f>
        <v>11966</v>
      </c>
      <c r="AMG7" s="52">
        <f>BALANCING!AMG41</f>
        <v>11105</v>
      </c>
      <c r="AMH7" s="52">
        <f>BALANCING!AMH41</f>
        <v>10200</v>
      </c>
      <c r="AMI7" s="52">
        <f>BALANCING!AMI41</f>
        <v>9177</v>
      </c>
      <c r="AMJ7" s="52">
        <f>BALANCING!AMJ41</f>
        <v>8000</v>
      </c>
      <c r="AMK7" s="52">
        <f>BALANCING!AMK41</f>
        <v>7188</v>
      </c>
      <c r="AML7" s="52">
        <f>BALANCING!AML41</f>
        <v>6266</v>
      </c>
      <c r="AMM7" s="52">
        <f>BALANCING!AMM41</f>
        <v>5354</v>
      </c>
      <c r="AMN7" s="52">
        <f>BALANCING!AMN41</f>
        <v>4620</v>
      </c>
      <c r="AMO7" s="52">
        <f>BALANCING!AMO41</f>
        <v>11888</v>
      </c>
      <c r="AMP7" s="52">
        <f>BALANCING!AMP41</f>
        <v>10955</v>
      </c>
      <c r="AMQ7" s="52">
        <f>BALANCING!AMQ41</f>
        <v>9977</v>
      </c>
      <c r="AMR7" s="52">
        <f>BALANCING!AMR41</f>
        <v>8917</v>
      </c>
      <c r="AMS7" s="52">
        <f>BALANCING!AMS41</f>
        <v>15788</v>
      </c>
      <c r="AMT7" s="52">
        <f>BALANCING!AMT41</f>
        <v>14840</v>
      </c>
      <c r="AMU7" s="52">
        <f>BALANCING!AMU41</f>
        <v>13800</v>
      </c>
      <c r="AMV7" s="52">
        <f>BALANCING!AMV41</f>
        <v>12745</v>
      </c>
      <c r="AMW7" s="52">
        <f>BALANCING!AMW41</f>
        <v>11768</v>
      </c>
      <c r="AMX7" s="52">
        <f>BALANCING!AMX41</f>
        <v>10966</v>
      </c>
      <c r="AMY7" s="130"/>
      <c r="AMZ7" s="52">
        <f>BALANCING!AMZ41</f>
        <v>10247</v>
      </c>
      <c r="ANA7" s="52">
        <f>BALANCING!ANA41</f>
        <v>9542</v>
      </c>
      <c r="ANB7" s="52">
        <f>BALANCING!ANB41</f>
        <v>9155</v>
      </c>
      <c r="ANC7" s="52">
        <f>BALANCING!ANC41</f>
        <v>8504</v>
      </c>
      <c r="AND7" s="52">
        <f>BALANCING!AND41</f>
        <v>8084</v>
      </c>
      <c r="ANE7" s="52">
        <f>BALANCING!ANE41</f>
        <v>12466</v>
      </c>
      <c r="ANF7" s="52">
        <f>BALANCING!ANF41</f>
        <v>12000</v>
      </c>
      <c r="ANG7" s="52">
        <f>BALANCING!ANG41</f>
        <v>11470</v>
      </c>
      <c r="ANH7" s="52">
        <f>BALANCING!ANH41</f>
        <v>10877</v>
      </c>
      <c r="ANI7" s="52">
        <f>BALANCING!ANI41</f>
        <v>10088</v>
      </c>
      <c r="ANJ7" s="52">
        <f>BALANCING!ANJ41</f>
        <v>9419</v>
      </c>
      <c r="ANK7" s="52">
        <f>BALANCING!ANK41</f>
        <v>9055</v>
      </c>
      <c r="ANL7" s="52">
        <f>BALANCING!ANL41</f>
        <v>8430</v>
      </c>
      <c r="ANM7" s="52">
        <f>BALANCING!ANM41</f>
        <v>12814</v>
      </c>
      <c r="ANN7" s="52">
        <f>BALANCING!ANN41</f>
        <v>11968</v>
      </c>
      <c r="ANO7" s="52">
        <f>BALANCING!ANO41</f>
        <v>11262</v>
      </c>
      <c r="ANP7" s="52">
        <f>BALANCING!ANP41</f>
        <v>10729</v>
      </c>
      <c r="ANQ7" s="52">
        <f>BALANCING!ANQ41</f>
        <v>10108</v>
      </c>
      <c r="ANR7" s="52">
        <f>BALANCING!ANR41</f>
        <v>9409</v>
      </c>
      <c r="ANS7" s="52">
        <f>BALANCING!ANS41</f>
        <v>8600</v>
      </c>
      <c r="ANT7" s="52">
        <f>BALANCING!ANT41</f>
        <v>8000</v>
      </c>
      <c r="ANU7" s="52">
        <f>BALANCING!ANU41</f>
        <v>11866</v>
      </c>
      <c r="ANV7" s="52">
        <f>BALANCING!ANV41</f>
        <v>11000</v>
      </c>
      <c r="ANW7" s="52">
        <f>BALANCING!ANW41</f>
        <v>10329</v>
      </c>
      <c r="ANX7" s="52">
        <f>BALANCING!ANX41</f>
        <v>9457</v>
      </c>
      <c r="ANY7" s="52">
        <f>BALANCING!ANY41</f>
        <v>8262</v>
      </c>
      <c r="ANZ7" s="52">
        <f>BALANCING!ANZ41</f>
        <v>7487</v>
      </c>
      <c r="AOA7" s="52">
        <f>BALANCING!AOA41</f>
        <v>6711</v>
      </c>
      <c r="AOB7" s="52">
        <f>BALANCING!AOB41</f>
        <v>5530</v>
      </c>
      <c r="AOC7" s="52">
        <f>BALANCING!AOC41</f>
        <v>12577</v>
      </c>
    </row>
    <row r="8" spans="1:1069" x14ac:dyDescent="0.2">
      <c r="A8" s="160"/>
      <c r="B8" t="s">
        <v>1508</v>
      </c>
      <c r="C8" s="52">
        <f>BALANCING!C8-100</f>
        <v>4490</v>
      </c>
      <c r="D8" s="52">
        <f>BALANCING!D8-100</f>
        <v>4490</v>
      </c>
      <c r="E8" s="52">
        <f>BALANCING!E8-100</f>
        <v>4490</v>
      </c>
      <c r="F8" s="52">
        <f>BALANCING!F8-100</f>
        <v>4490</v>
      </c>
      <c r="G8" s="52">
        <f>BALANCING!G8-100</f>
        <v>4490</v>
      </c>
      <c r="H8" s="52">
        <f>BALANCING!H8-100</f>
        <v>4490</v>
      </c>
      <c r="I8" s="52">
        <f>BALANCING!I8-100</f>
        <v>4490</v>
      </c>
      <c r="J8" s="52">
        <f>BALANCING!J8-100</f>
        <v>4550</v>
      </c>
      <c r="K8" s="52">
        <f>BALANCING!K8-100</f>
        <v>4550</v>
      </c>
      <c r="L8" s="52">
        <f>BALANCING!L8-100</f>
        <v>4550</v>
      </c>
      <c r="M8" s="52">
        <f>BALANCING!M8-100</f>
        <v>4550</v>
      </c>
      <c r="N8" s="52">
        <f>BALANCING!N8-100</f>
        <v>4550</v>
      </c>
      <c r="O8" s="52">
        <f>BALANCING!O8-100</f>
        <v>4550</v>
      </c>
      <c r="P8" s="52">
        <f>BALANCING!P8-100</f>
        <v>4550</v>
      </c>
      <c r="Q8" s="52">
        <f>BALANCING!Q8-100</f>
        <v>4550</v>
      </c>
      <c r="R8" s="52">
        <f>BALANCING!R8-100</f>
        <v>4550</v>
      </c>
      <c r="S8" s="52">
        <f>BALANCING!S8-100</f>
        <v>4550</v>
      </c>
      <c r="T8" s="52">
        <f>BALANCING!T8-100</f>
        <v>4550</v>
      </c>
      <c r="U8" s="52">
        <f>BALANCING!U8-100</f>
        <v>4550</v>
      </c>
      <c r="V8" s="52">
        <f>BALANCING!V8-100</f>
        <v>4550</v>
      </c>
      <c r="W8" s="52">
        <f>BALANCING!W8-100</f>
        <v>4550</v>
      </c>
      <c r="X8" s="52">
        <f>BALANCING!X8-100</f>
        <v>4550</v>
      </c>
      <c r="Y8" s="52">
        <f>BALANCING!Y8-100</f>
        <v>4550</v>
      </c>
      <c r="Z8" s="52">
        <f>BALANCING!Z8-100</f>
        <v>4550</v>
      </c>
      <c r="AA8" s="52">
        <f>BALANCING!AA8-100</f>
        <v>4550</v>
      </c>
      <c r="AB8" s="52">
        <f>BALANCING!AB8-100</f>
        <v>4550</v>
      </c>
      <c r="AC8" s="52">
        <f>BALANCING!AC8-100</f>
        <v>4550</v>
      </c>
      <c r="AD8" s="52">
        <f>BALANCING!AD8-100</f>
        <v>4550</v>
      </c>
      <c r="AE8" s="52">
        <f>BALANCING!AE8-100</f>
        <v>4590</v>
      </c>
      <c r="AF8" s="52">
        <f>BALANCING!AF8-100</f>
        <v>4590</v>
      </c>
      <c r="AG8" s="52">
        <f>BALANCING!AG8-100</f>
        <v>4590</v>
      </c>
      <c r="AH8" s="98"/>
      <c r="AI8" s="52">
        <f>BALANCING!AI8-100</f>
        <v>4590</v>
      </c>
      <c r="AJ8" s="52">
        <f>BALANCING!AJ8-100</f>
        <v>4590</v>
      </c>
      <c r="AK8" s="52">
        <f>BALANCING!AK8-100</f>
        <v>4590</v>
      </c>
      <c r="AL8" s="52">
        <f>BALANCING!AL8-100</f>
        <v>4590</v>
      </c>
      <c r="AM8" s="52">
        <f>BALANCING!AM8-100</f>
        <v>4590</v>
      </c>
      <c r="AN8" s="52">
        <f>BALANCING!AN8-100</f>
        <v>4590</v>
      </c>
      <c r="AO8" s="52">
        <f>BALANCING!AO8-100</f>
        <v>4590</v>
      </c>
      <c r="AP8" s="52">
        <f>BALANCING!AP8-100</f>
        <v>4590</v>
      </c>
      <c r="AQ8" s="52">
        <f>BALANCING!AQ8-100</f>
        <v>4750</v>
      </c>
      <c r="AR8" s="52">
        <f>BALANCING!AR8-100</f>
        <v>4750</v>
      </c>
      <c r="AS8" s="52">
        <f>BALANCING!AS8-100</f>
        <v>4750</v>
      </c>
      <c r="AT8" s="52">
        <f>BALANCING!AT8-100</f>
        <v>4750</v>
      </c>
      <c r="AU8" s="52">
        <f>BALANCING!AU8-100</f>
        <v>4750</v>
      </c>
      <c r="AV8" s="52">
        <f>BALANCING!AV8-100</f>
        <v>4800</v>
      </c>
      <c r="AW8" s="52">
        <f>BALANCING!AW8-100</f>
        <v>4800</v>
      </c>
      <c r="AX8" s="52">
        <f>BALANCING!AX8-100</f>
        <v>4800</v>
      </c>
      <c r="AY8" s="52">
        <f>BALANCING!AY8-100</f>
        <v>4800</v>
      </c>
      <c r="AZ8" s="52">
        <f>BALANCING!AZ8-100</f>
        <v>4800</v>
      </c>
      <c r="BA8" s="52">
        <f>BALANCING!BA8-100</f>
        <v>4800</v>
      </c>
      <c r="BB8" s="52">
        <f>BALANCING!BB8-100</f>
        <v>4800</v>
      </c>
      <c r="BC8" s="52">
        <f>BALANCING!BC8-100</f>
        <v>4800</v>
      </c>
      <c r="BD8" s="52">
        <f>BALANCING!BD8-100</f>
        <v>4800</v>
      </c>
      <c r="BE8" s="52">
        <f>BALANCING!BE8-100</f>
        <v>4800</v>
      </c>
      <c r="BF8" s="52">
        <f>BALANCING!BF8-100</f>
        <v>4800</v>
      </c>
      <c r="BG8" s="52">
        <f>BALANCING!BG8-100</f>
        <v>4800</v>
      </c>
      <c r="BH8" s="52">
        <f>BALANCING!BH8-100</f>
        <v>4800</v>
      </c>
      <c r="BI8" s="52">
        <f>BALANCING!BI8-100</f>
        <v>4800</v>
      </c>
      <c r="BJ8" s="52">
        <f>BALANCING!BJ8-100</f>
        <v>4850</v>
      </c>
      <c r="BK8" s="52">
        <f>BALANCING!BK8-100</f>
        <v>4850</v>
      </c>
      <c r="BL8" s="52">
        <f>BALANCING!BL8-100</f>
        <v>4850</v>
      </c>
      <c r="BM8" s="105"/>
      <c r="BN8" s="52">
        <f>BALANCING!BN8-100</f>
        <v>4850</v>
      </c>
      <c r="BO8" s="52">
        <f>BALANCING!BO8-100</f>
        <v>4850</v>
      </c>
      <c r="BP8" s="52">
        <f>BALANCING!BP8-100</f>
        <v>4850</v>
      </c>
      <c r="BQ8" s="52">
        <f>BALANCING!BQ8-100</f>
        <v>4850</v>
      </c>
      <c r="BR8" s="52">
        <f>BALANCING!BR8-100</f>
        <v>4850</v>
      </c>
      <c r="BS8" s="52">
        <f>BALANCING!BS8-100</f>
        <v>4850</v>
      </c>
      <c r="BT8" s="52">
        <f>BALANCING!BT8-100</f>
        <v>4850</v>
      </c>
      <c r="BU8" s="52">
        <f>BALANCING!BU8-100</f>
        <v>4850</v>
      </c>
      <c r="BV8" s="52">
        <f>BALANCING!BV8-100</f>
        <v>4850</v>
      </c>
      <c r="BW8" s="52">
        <f>BALANCING!BW8-100</f>
        <v>4850</v>
      </c>
      <c r="BX8" s="52">
        <f>BALANCING!BX8-100</f>
        <v>4850</v>
      </c>
      <c r="BY8" s="52">
        <f>BALANCING!BY8-100</f>
        <v>4850</v>
      </c>
      <c r="BZ8" s="52">
        <f>BALANCING!BZ8-100</f>
        <v>4850</v>
      </c>
      <c r="CA8" s="52">
        <f>BALANCING!CA8-100</f>
        <v>4850</v>
      </c>
      <c r="CB8" s="52">
        <f>BALANCING!CB8-100</f>
        <v>4850</v>
      </c>
      <c r="CC8" s="52">
        <f>BALANCING!CC8-100</f>
        <v>4850</v>
      </c>
      <c r="CD8" s="52">
        <f>BALANCING!CD8-100</f>
        <v>4850</v>
      </c>
      <c r="CE8" s="52">
        <f>BALANCING!CE8-100</f>
        <v>4850</v>
      </c>
      <c r="CF8" s="52">
        <f>BALANCING!CF8-100</f>
        <v>4850</v>
      </c>
      <c r="CG8" s="52">
        <f>BALANCING!CG8-100</f>
        <v>4850</v>
      </c>
      <c r="CH8" s="52">
        <f>BALANCING!CH8-100</f>
        <v>4850</v>
      </c>
      <c r="CI8" s="52">
        <f>BALANCING!CI8-100</f>
        <v>4850</v>
      </c>
      <c r="CJ8" s="52">
        <f>BALANCING!CJ8-100</f>
        <v>4850</v>
      </c>
      <c r="CK8" s="52">
        <f>BALANCING!CK8-100</f>
        <v>4850</v>
      </c>
      <c r="CL8" s="52">
        <f>BALANCING!CL8-100</f>
        <v>4850</v>
      </c>
      <c r="CM8" s="52">
        <f>BALANCING!CM8-100</f>
        <v>4850</v>
      </c>
      <c r="CN8" s="52">
        <f>BALANCING!CN8-100</f>
        <v>4850</v>
      </c>
      <c r="CO8" s="52">
        <f>BALANCING!CO8-100</f>
        <v>4850</v>
      </c>
      <c r="CP8" s="52">
        <f>BALANCING!CP8-100</f>
        <v>4850</v>
      </c>
      <c r="CQ8" s="52">
        <f>BALANCING!CQ8-100</f>
        <v>4850</v>
      </c>
      <c r="CR8" s="52">
        <f>BALANCING!CR8-100</f>
        <v>4850</v>
      </c>
      <c r="CT8" s="52">
        <f>BALANCING!CT8-100</f>
        <v>4850</v>
      </c>
      <c r="CU8" s="52">
        <f>BALANCING!CU8-100</f>
        <v>4850</v>
      </c>
      <c r="CV8" s="52">
        <f>BALANCING!CV8-100</f>
        <v>4850</v>
      </c>
      <c r="CW8" s="52">
        <f>BALANCING!CW8-100</f>
        <v>4850</v>
      </c>
      <c r="CX8" s="52">
        <f>BALANCING!CX8-100</f>
        <v>4850</v>
      </c>
      <c r="CY8" s="52">
        <f>BALANCING!CY8-100</f>
        <v>4850</v>
      </c>
      <c r="CZ8" s="52">
        <f>BALANCING!CZ8-100</f>
        <v>4850</v>
      </c>
      <c r="DA8" s="52">
        <f>BALANCING!DA8-100</f>
        <v>4850</v>
      </c>
      <c r="DB8" s="52">
        <f>BALANCING!DB8-100</f>
        <v>4850</v>
      </c>
      <c r="DC8" s="52">
        <f>BALANCING!DC8-100</f>
        <v>4850</v>
      </c>
      <c r="DD8" s="52">
        <f>BALANCING!DD8-100</f>
        <v>4850</v>
      </c>
      <c r="DE8" s="52">
        <f>BALANCING!DE8-100</f>
        <v>4850</v>
      </c>
      <c r="DF8" s="52">
        <f>BALANCING!DF8-100</f>
        <v>4850</v>
      </c>
      <c r="DG8" s="52">
        <f>BALANCING!DG8-100</f>
        <v>4850</v>
      </c>
      <c r="DH8" s="52">
        <f>BALANCING!DH8-100</f>
        <v>4890</v>
      </c>
      <c r="DI8" s="52">
        <f>BALANCING!DI8-100</f>
        <v>4890</v>
      </c>
      <c r="DJ8" s="52">
        <f>BALANCING!DJ8-100</f>
        <v>4890</v>
      </c>
      <c r="DK8" s="52">
        <f>BALANCING!DK8-100</f>
        <v>4890</v>
      </c>
      <c r="DL8" s="52">
        <f>BALANCING!DL8-100</f>
        <v>4890</v>
      </c>
      <c r="DM8" s="52">
        <f>BALANCING!DM8-100</f>
        <v>4890</v>
      </c>
      <c r="DN8" s="52">
        <f>BALANCING!DN8-100</f>
        <v>4890</v>
      </c>
      <c r="DO8" s="52">
        <f>BALANCING!DO8-100</f>
        <v>4890</v>
      </c>
      <c r="DP8" s="52">
        <f>BALANCING!DP8-100</f>
        <v>4890</v>
      </c>
      <c r="DQ8" s="52">
        <f>BALANCING!DQ8-100</f>
        <v>4890</v>
      </c>
      <c r="DR8" s="52">
        <f>BALANCING!DR8-100</f>
        <v>4890</v>
      </c>
      <c r="DS8" s="52">
        <f>BALANCING!DS8-100</f>
        <v>4890</v>
      </c>
      <c r="DT8" s="52">
        <f>BALANCING!DT8-100</f>
        <v>4890</v>
      </c>
      <c r="DU8" s="52">
        <f>BALANCING!DU8-100</f>
        <v>4890</v>
      </c>
      <c r="DV8" s="52">
        <f>BALANCING!DV8-100</f>
        <v>4890</v>
      </c>
      <c r="DW8" s="52">
        <f>BALANCING!DW8-100</f>
        <v>4890</v>
      </c>
      <c r="DX8" s="117"/>
      <c r="DY8" s="52">
        <f>BALANCING!DY8-100</f>
        <v>4890</v>
      </c>
      <c r="DZ8" s="52">
        <f>BALANCING!DZ8-100</f>
        <v>4890</v>
      </c>
      <c r="EA8" s="52">
        <f>BALANCING!EA8-100</f>
        <v>4890</v>
      </c>
      <c r="EB8" s="52">
        <f>BALANCING!EB8-100</f>
        <v>4890</v>
      </c>
      <c r="EC8" s="52">
        <f>BALANCING!EC8-100</f>
        <v>4890</v>
      </c>
      <c r="ED8" s="52">
        <f>BALANCING!ED8-100</f>
        <v>4890</v>
      </c>
      <c r="EE8" s="52">
        <f>BALANCING!EE8-100</f>
        <v>4890</v>
      </c>
      <c r="EF8" s="52">
        <f>BALANCING!EF8-100</f>
        <v>4890</v>
      </c>
      <c r="EG8" s="52">
        <f>BALANCING!EG8-100</f>
        <v>4750</v>
      </c>
      <c r="EH8" s="52">
        <f>BALANCING!EH8-100</f>
        <v>4750</v>
      </c>
      <c r="EI8" s="52">
        <f>BALANCING!EI8-100</f>
        <v>4750</v>
      </c>
      <c r="EJ8" s="52">
        <f>BALANCING!EJ8-100</f>
        <v>4750</v>
      </c>
      <c r="EK8" s="52">
        <f>BALANCING!EK8-100</f>
        <v>4750</v>
      </c>
      <c r="EL8" s="52">
        <f>BALANCING!EL8-100</f>
        <v>4750</v>
      </c>
      <c r="EM8" s="52">
        <f>BALANCING!EM8-100</f>
        <v>4750</v>
      </c>
      <c r="EN8" s="52">
        <f>BALANCING!EN8-100</f>
        <v>4750</v>
      </c>
      <c r="EO8" s="52">
        <f>BALANCING!EO8-100</f>
        <v>4750</v>
      </c>
      <c r="EP8" s="52">
        <f>BALANCING!EP8-100</f>
        <v>4750</v>
      </c>
      <c r="EQ8" s="52">
        <f>BALANCING!EQ8-100</f>
        <v>4750</v>
      </c>
      <c r="ER8" s="52">
        <f>BALANCING!ER8-100</f>
        <v>4750</v>
      </c>
      <c r="ES8" s="52">
        <f>BALANCING!ES8-100</f>
        <v>4750</v>
      </c>
      <c r="ET8" s="52">
        <f>BALANCING!ET8-100</f>
        <v>4750</v>
      </c>
      <c r="EU8" s="52">
        <f>BALANCING!EU8-100</f>
        <v>4750</v>
      </c>
      <c r="EV8" s="52">
        <f>BALANCING!EV8-100</f>
        <v>4750</v>
      </c>
      <c r="EW8" s="52">
        <f>BALANCING!EW8-100</f>
        <v>4750</v>
      </c>
      <c r="EX8" s="52">
        <f>BALANCING!EX8-100</f>
        <v>4750</v>
      </c>
      <c r="EY8" s="52">
        <f>BALANCING!EY8-100</f>
        <v>4750</v>
      </c>
      <c r="EZ8" s="52">
        <f>BALANCING!EZ8-100</f>
        <v>4750</v>
      </c>
      <c r="FA8" s="52">
        <f>BALANCING!FA8-100</f>
        <v>4750</v>
      </c>
      <c r="FB8" s="52">
        <f>BALANCING!FB8-100</f>
        <v>4750</v>
      </c>
      <c r="FC8" s="52">
        <f>BALANCING!FC8-100</f>
        <v>4750</v>
      </c>
      <c r="FD8" s="126"/>
      <c r="FE8" s="52">
        <f>BALANCING!FE8-100</f>
        <v>4750</v>
      </c>
      <c r="FF8" s="52">
        <f>BALANCING!FF8-100</f>
        <v>4750</v>
      </c>
      <c r="FG8" s="52">
        <f>BALANCING!FG8-100</f>
        <v>4750</v>
      </c>
      <c r="FH8" s="52">
        <f>BALANCING!FH8-100</f>
        <v>4750</v>
      </c>
      <c r="FI8" s="52">
        <f>BALANCING!FI8-100</f>
        <v>4750</v>
      </c>
      <c r="FJ8" s="52">
        <f>BALANCING!FJ8-100</f>
        <v>4750</v>
      </c>
      <c r="FK8" s="52">
        <f>BALANCING!FK8-100</f>
        <v>4750</v>
      </c>
      <c r="FL8" s="52">
        <f>BALANCING!FL8-100</f>
        <v>4750</v>
      </c>
      <c r="FM8" s="52">
        <f>BALANCING!FM8-100</f>
        <v>4750</v>
      </c>
      <c r="FN8" s="52">
        <f>BALANCING!FN8-100</f>
        <v>4750</v>
      </c>
      <c r="FO8" s="52">
        <f>BALANCING!FO8-100</f>
        <v>4750</v>
      </c>
      <c r="FP8" s="52">
        <f>BALANCING!FP8-100</f>
        <v>4750</v>
      </c>
      <c r="FQ8" s="52">
        <f>BALANCING!FQ8-100</f>
        <v>4750</v>
      </c>
      <c r="FR8" s="52">
        <f>BALANCING!FR8-100</f>
        <v>4750</v>
      </c>
      <c r="FS8" s="52">
        <f>BALANCING!FS8-100</f>
        <v>4750</v>
      </c>
      <c r="FT8" s="52">
        <f>BALANCING!FT8-100</f>
        <v>4750</v>
      </c>
      <c r="FU8" s="52">
        <f>BALANCING!FU8-100</f>
        <v>4750</v>
      </c>
      <c r="FV8" s="52">
        <f>BALANCING!FV8-100</f>
        <v>4750</v>
      </c>
      <c r="FW8" s="52">
        <f>BALANCING!FW8-100</f>
        <v>4750</v>
      </c>
      <c r="FX8" s="52">
        <f>BALANCING!FX8-100</f>
        <v>4750</v>
      </c>
      <c r="FY8" s="52">
        <f>BALANCING!FY8-100</f>
        <v>4750</v>
      </c>
      <c r="FZ8" s="52">
        <f>BALANCING!FZ8-100</f>
        <v>4750</v>
      </c>
      <c r="GA8" s="52">
        <f>BALANCING!GA8-100</f>
        <v>4750</v>
      </c>
      <c r="GB8" s="52">
        <f>BALANCING!GB8-100</f>
        <v>4750</v>
      </c>
      <c r="GC8" s="52">
        <f>BALANCING!GC8-100</f>
        <v>4750</v>
      </c>
      <c r="GD8" s="52">
        <f>BALANCING!GD8-100</f>
        <v>4750</v>
      </c>
      <c r="GE8" s="52">
        <f>BALANCING!GE8-100</f>
        <v>4750</v>
      </c>
      <c r="GF8" s="52">
        <f>BALANCING!GF8-100</f>
        <v>4750</v>
      </c>
      <c r="GG8" s="52">
        <f>BALANCING!GG8-100</f>
        <v>4750</v>
      </c>
      <c r="GH8" s="52">
        <f>BALANCING!GH8-100</f>
        <v>4750</v>
      </c>
      <c r="GI8" s="52">
        <f>BALANCING!GI8-100</f>
        <v>4750</v>
      </c>
      <c r="GJ8" s="130"/>
      <c r="GK8" s="52">
        <f>BALANCING!GK8-100</f>
        <v>4750</v>
      </c>
      <c r="GL8" s="52">
        <f>BALANCING!GL8-100</f>
        <v>4750</v>
      </c>
      <c r="GM8" s="52">
        <f>BALANCING!GM8-100</f>
        <v>4750</v>
      </c>
      <c r="GN8" s="52">
        <f>BALANCING!GN8-100</f>
        <v>4750</v>
      </c>
      <c r="GO8" s="52">
        <f>BALANCING!GO8-100</f>
        <v>4750</v>
      </c>
      <c r="GP8" s="52">
        <f>BALANCING!GP8-100</f>
        <v>4750</v>
      </c>
      <c r="GQ8" s="52">
        <f>BALANCING!GQ8-100</f>
        <v>4750</v>
      </c>
      <c r="GR8" s="52">
        <f>BALANCING!GR8-100</f>
        <v>4750</v>
      </c>
      <c r="GS8" s="52">
        <f>BALANCING!GS8-100</f>
        <v>4750</v>
      </c>
      <c r="GT8" s="52">
        <f>BALANCING!GT8-100</f>
        <v>4750</v>
      </c>
      <c r="GU8" s="52">
        <f>BALANCING!GU8-100</f>
        <v>4750</v>
      </c>
      <c r="GV8" s="52">
        <f>BALANCING!GV8-100</f>
        <v>4750</v>
      </c>
      <c r="GW8" s="52">
        <f>BALANCING!GW8-100</f>
        <v>4750</v>
      </c>
      <c r="GX8" s="52">
        <f>BALANCING!GX8-100</f>
        <v>4750</v>
      </c>
      <c r="GY8" s="52">
        <f>BALANCING!GY8-100</f>
        <v>4750</v>
      </c>
      <c r="GZ8" s="52">
        <f>BALANCING!GZ8-100</f>
        <v>4750</v>
      </c>
      <c r="HA8" s="52">
        <f>BALANCING!HA8-100</f>
        <v>4750</v>
      </c>
      <c r="HB8" s="52">
        <f>BALANCING!HB8-100</f>
        <v>4750</v>
      </c>
      <c r="HC8" s="52">
        <f>BALANCING!HC8-100</f>
        <v>4750</v>
      </c>
      <c r="HD8" s="52">
        <f>BALANCING!HD8-100</f>
        <v>4750</v>
      </c>
      <c r="HE8" s="52">
        <f>BALANCING!HE8-100</f>
        <v>4750</v>
      </c>
      <c r="HF8" s="52">
        <f>BALANCING!HF8-100</f>
        <v>4750</v>
      </c>
      <c r="HG8" s="52">
        <f>BALANCING!HG8-100</f>
        <v>4750</v>
      </c>
      <c r="HH8" s="52">
        <f>BALANCING!HH8-100</f>
        <v>4750</v>
      </c>
      <c r="HI8" s="52">
        <f>BALANCING!HI8-100</f>
        <v>4750</v>
      </c>
      <c r="HJ8" s="52">
        <f>BALANCING!HJ8-100</f>
        <v>4750</v>
      </c>
      <c r="HK8" s="52">
        <f>BALANCING!HK8-100</f>
        <v>4750</v>
      </c>
      <c r="HL8" s="52">
        <f>BALANCING!HL8-100</f>
        <v>4750</v>
      </c>
      <c r="HM8" s="52">
        <f>BALANCING!HM8-100</f>
        <v>4750</v>
      </c>
      <c r="HN8" s="130"/>
      <c r="HO8" s="52">
        <f>BALANCING!HO8-100</f>
        <v>4750</v>
      </c>
      <c r="HP8" s="52">
        <f>BALANCING!HP8-100</f>
        <v>4750</v>
      </c>
      <c r="HQ8" s="52">
        <f>BALANCING!HQ8-100</f>
        <v>4750</v>
      </c>
      <c r="HR8" s="52">
        <f>BALANCING!HR8-100</f>
        <v>4750</v>
      </c>
      <c r="HS8" s="52">
        <f>BALANCING!HS8-100</f>
        <v>4750</v>
      </c>
      <c r="HT8" s="52">
        <f>BALANCING!HT8-100</f>
        <v>4750</v>
      </c>
      <c r="HU8" s="52">
        <f>BALANCING!HU8-100</f>
        <v>4750</v>
      </c>
      <c r="HV8" s="52">
        <f>BALANCING!HV8-100</f>
        <v>4750</v>
      </c>
      <c r="HW8" s="52">
        <f>BALANCING!HW8-100</f>
        <v>4750</v>
      </c>
      <c r="HX8" s="52">
        <f>BALANCING!HX8-100</f>
        <v>4750</v>
      </c>
      <c r="HY8" s="52">
        <f>BALANCING!HY8-100</f>
        <v>4750</v>
      </c>
      <c r="HZ8" s="52">
        <f>BALANCING!HZ8-100</f>
        <v>4850</v>
      </c>
      <c r="IA8" s="52">
        <f>BALANCING!IA8-100</f>
        <v>4850</v>
      </c>
      <c r="IB8" s="52">
        <f>BALANCING!IB8-100</f>
        <v>4850</v>
      </c>
      <c r="IC8" s="52">
        <f>BALANCING!IC8-100</f>
        <v>4850</v>
      </c>
      <c r="ID8" s="52">
        <f>BALANCING!ID8-100</f>
        <v>4850</v>
      </c>
      <c r="IE8" s="52">
        <f>BALANCING!IE8-100</f>
        <v>4850</v>
      </c>
      <c r="IF8" s="52">
        <f>BALANCING!IF8-100</f>
        <v>4850</v>
      </c>
      <c r="IG8" s="52">
        <f>BALANCING!IG8-100</f>
        <v>4850</v>
      </c>
      <c r="IH8" s="52">
        <f>BALANCING!IH8-100</f>
        <v>4850</v>
      </c>
      <c r="II8" s="52">
        <f>BALANCING!II8-100</f>
        <v>4850</v>
      </c>
      <c r="IJ8" s="52">
        <f>BALANCING!IJ8-100</f>
        <v>4850</v>
      </c>
      <c r="IK8" s="52">
        <f>BALANCING!IK8-100</f>
        <v>4850</v>
      </c>
      <c r="IL8" s="52">
        <f>BALANCING!IL8-100</f>
        <v>4850</v>
      </c>
      <c r="IM8" s="52">
        <f>BALANCING!IM8-100</f>
        <v>4850</v>
      </c>
      <c r="IN8" s="52">
        <f>BALANCING!IN8-100</f>
        <v>4850</v>
      </c>
      <c r="IO8" s="52">
        <f>BALANCING!IO8-100</f>
        <v>4890</v>
      </c>
      <c r="IP8" s="52">
        <f>BALANCING!IP8-100</f>
        <v>4890</v>
      </c>
      <c r="IQ8" s="52">
        <f>BALANCING!IQ8-100</f>
        <v>4890</v>
      </c>
      <c r="IR8" s="52">
        <f>BALANCING!IR8-100</f>
        <v>4890</v>
      </c>
      <c r="IS8" s="52">
        <f>BALANCING!IS8-100</f>
        <v>4890</v>
      </c>
      <c r="IT8" s="130"/>
      <c r="IU8" s="52">
        <f>BALANCING!IU8-100</f>
        <v>4890</v>
      </c>
      <c r="IV8" s="52">
        <f>BALANCING!IV8-100</f>
        <v>4890</v>
      </c>
      <c r="IW8" s="52">
        <f>BALANCING!IW8-100</f>
        <v>4890</v>
      </c>
      <c r="IX8" s="52">
        <f>BALANCING!IX8-100</f>
        <v>4890</v>
      </c>
      <c r="IY8" s="52">
        <f>BALANCING!IY8-100</f>
        <v>4890</v>
      </c>
      <c r="IZ8" s="52">
        <f>BALANCING!IZ8-100</f>
        <v>4890</v>
      </c>
      <c r="JA8" s="52">
        <f>BALANCING!JA8-100</f>
        <v>4890</v>
      </c>
      <c r="JB8" s="52">
        <f>BALANCING!JB8-100</f>
        <v>4890</v>
      </c>
      <c r="JC8" s="52">
        <f>BALANCING!JC8-100</f>
        <v>4890</v>
      </c>
      <c r="JD8" s="52">
        <f>BALANCING!JD8-100</f>
        <v>4890</v>
      </c>
      <c r="JE8" s="52">
        <f>BALANCING!JE8-100</f>
        <v>4890</v>
      </c>
      <c r="JF8" s="52">
        <f>BALANCING!JF8-100</f>
        <v>4890</v>
      </c>
      <c r="JG8" s="52">
        <f>BALANCING!JG8-100</f>
        <v>4890</v>
      </c>
      <c r="JH8" s="52">
        <f>BALANCING!JH8-100</f>
        <v>4890</v>
      </c>
      <c r="JI8" s="52">
        <f>BALANCING!JI8-100</f>
        <v>4890</v>
      </c>
      <c r="JJ8" s="52">
        <f>BALANCING!JJ8-100</f>
        <v>4890</v>
      </c>
      <c r="JK8" s="52">
        <f>BALANCING!JK8-100</f>
        <v>4890</v>
      </c>
      <c r="JL8" s="52">
        <f>BALANCING!JL8-100</f>
        <v>4890</v>
      </c>
      <c r="JM8" s="52">
        <f>BALANCING!JM8-100</f>
        <v>4890</v>
      </c>
      <c r="JN8" s="52">
        <f>BALANCING!JN8-100</f>
        <v>4890</v>
      </c>
      <c r="JO8" s="52">
        <f>BALANCING!JO8-100</f>
        <v>4890</v>
      </c>
      <c r="JP8" s="52">
        <f>BALANCING!JP8-100</f>
        <v>4890</v>
      </c>
      <c r="JQ8" s="52">
        <f>BALANCING!JQ8-100</f>
        <v>4890</v>
      </c>
      <c r="JR8" s="52">
        <f>BALANCING!JR8-100</f>
        <v>4890</v>
      </c>
      <c r="JS8" s="52">
        <f>BALANCING!JS8-100</f>
        <v>4890</v>
      </c>
      <c r="JT8" s="52">
        <f>BALANCING!JT8-100</f>
        <v>4890</v>
      </c>
      <c r="JU8" s="52">
        <f>BALANCING!JU8-120</f>
        <v>4770</v>
      </c>
      <c r="JV8" s="52">
        <f>BALANCING!JV8-120</f>
        <v>4770</v>
      </c>
      <c r="JW8" s="52">
        <f>BALANCING!JW8-120</f>
        <v>4770</v>
      </c>
      <c r="JX8" s="52">
        <f>BALANCING!JX8-120</f>
        <v>4770</v>
      </c>
      <c r="JY8" s="139"/>
      <c r="JZ8" s="52">
        <f>BALANCING!JZ8-120</f>
        <v>4770</v>
      </c>
      <c r="KA8" s="52">
        <f>BALANCING!KA8-120</f>
        <v>4770</v>
      </c>
      <c r="KB8" s="52">
        <f>BALANCING!KB8-120</f>
        <v>4770</v>
      </c>
      <c r="KC8" s="52">
        <f>BALANCING!KC8-120</f>
        <v>4770</v>
      </c>
      <c r="KD8" s="52">
        <f>BALANCING!KD8-120</f>
        <v>4770</v>
      </c>
      <c r="KE8" s="52">
        <f>BALANCING!KE8-120</f>
        <v>4770</v>
      </c>
      <c r="KF8" s="52">
        <f>BALANCING!KF8-120</f>
        <v>4770</v>
      </c>
      <c r="KG8" s="52">
        <f>BALANCING!KG8-120</f>
        <v>4770</v>
      </c>
      <c r="KH8" s="52">
        <f>BALANCING!KH8-120</f>
        <v>4770</v>
      </c>
      <c r="KI8" s="52">
        <f>BALANCING!KI8-120</f>
        <v>4770</v>
      </c>
      <c r="KJ8" s="52">
        <f>BALANCING!KJ8-120</f>
        <v>4770</v>
      </c>
      <c r="KK8" s="52">
        <f>BALANCING!KK8-120</f>
        <v>4770</v>
      </c>
      <c r="KL8" s="52">
        <f>BALANCING!KL8-120</f>
        <v>4770</v>
      </c>
      <c r="KM8" s="52">
        <f>BALANCING!KM8-120</f>
        <v>4770</v>
      </c>
      <c r="KN8" s="52">
        <f>BALANCING!KN8-120</f>
        <v>4770</v>
      </c>
      <c r="KO8" s="52">
        <f>BALANCING!KO8-120</f>
        <v>4770</v>
      </c>
      <c r="KP8" s="52">
        <f>BALANCING!KP8-120</f>
        <v>4770</v>
      </c>
      <c r="KQ8" s="52">
        <f>BALANCING!KQ8-120</f>
        <v>4770</v>
      </c>
      <c r="KR8" s="52">
        <f>BALANCING!KR8-120</f>
        <v>4770</v>
      </c>
      <c r="KS8" s="52">
        <f>BALANCING!KS8-120</f>
        <v>4770</v>
      </c>
      <c r="KT8" s="52">
        <f>BALANCING!KT8-120</f>
        <v>4770</v>
      </c>
      <c r="KU8" s="52">
        <f>BALANCING!KU8-120</f>
        <v>4770</v>
      </c>
      <c r="KV8" s="52">
        <f>BALANCING!KV8-120</f>
        <v>4770</v>
      </c>
      <c r="KW8" s="52">
        <f>BALANCING!KW8-120</f>
        <v>4770</v>
      </c>
      <c r="KX8" s="52">
        <f>BALANCING!KX8-120</f>
        <v>4770</v>
      </c>
      <c r="KY8" s="52">
        <f>BALANCING!KY8-120</f>
        <v>4770</v>
      </c>
      <c r="KZ8" s="52">
        <f>BALANCING!KZ8-120</f>
        <v>4770</v>
      </c>
      <c r="LA8" s="52">
        <f>BALANCING!LA8-120</f>
        <v>4770</v>
      </c>
      <c r="LB8" s="52">
        <f>BALANCING!LB8-120</f>
        <v>4730</v>
      </c>
      <c r="LC8" s="52">
        <v>4730</v>
      </c>
      <c r="LD8" s="52">
        <f>BALANCING!LD8-120</f>
        <v>4730</v>
      </c>
      <c r="LE8" s="130"/>
      <c r="LF8" s="52">
        <f>BALANCING!LF8-120</f>
        <v>4730</v>
      </c>
      <c r="LG8" s="52">
        <f>BALANCING!LG8-120</f>
        <v>4730</v>
      </c>
      <c r="LH8" s="52">
        <f>BALANCING!LH8-120</f>
        <v>4730</v>
      </c>
      <c r="LI8" s="52">
        <f>BALANCING!LI8-120</f>
        <v>4730</v>
      </c>
      <c r="LJ8" s="52">
        <f>BALANCING!LJ8-120</f>
        <v>4730</v>
      </c>
      <c r="LK8" s="52">
        <f>BALANCING!LK8-120</f>
        <v>4730</v>
      </c>
      <c r="LL8" s="52">
        <f>BALANCING!LL8-120</f>
        <v>4730</v>
      </c>
      <c r="LM8" s="52">
        <f>BALANCING!LM8-120</f>
        <v>4730</v>
      </c>
      <c r="LN8" s="52">
        <f>BALANCING!LN8-120</f>
        <v>4730</v>
      </c>
      <c r="LO8" s="52">
        <f>BALANCING!LO8-120</f>
        <v>4730</v>
      </c>
      <c r="LP8" s="52">
        <f>BALANCING!LP8-120</f>
        <v>4730</v>
      </c>
      <c r="LQ8" s="52">
        <f>BALANCING!LQ8-120</f>
        <v>4730</v>
      </c>
      <c r="LR8" s="52">
        <f>BALANCING!LR8-120</f>
        <v>4730</v>
      </c>
      <c r="LS8" s="52">
        <f>BALANCING!LS8-120</f>
        <v>4730</v>
      </c>
      <c r="LT8" s="52">
        <f>BALANCING!LT8-120</f>
        <v>4730</v>
      </c>
      <c r="LU8" s="52">
        <f>BALANCING!LU8-120</f>
        <v>4730</v>
      </c>
      <c r="LV8" s="52">
        <f>BALANCING!LV8-120</f>
        <v>4730</v>
      </c>
      <c r="LW8" s="52">
        <f>BALANCING!LW8-120</f>
        <v>4730</v>
      </c>
      <c r="LX8" s="52">
        <f>BALANCING!LX8-120</f>
        <v>4730</v>
      </c>
      <c r="LY8" s="52">
        <f>BALANCING!LY8-120</f>
        <v>4730</v>
      </c>
      <c r="LZ8" s="52">
        <f>BALANCING!LZ8-120</f>
        <v>4730</v>
      </c>
      <c r="MA8" s="52">
        <f>BALANCING!MA8-120</f>
        <v>4730</v>
      </c>
      <c r="MB8" s="52">
        <f>BALANCING!MB8-120</f>
        <v>4730</v>
      </c>
      <c r="MC8" s="52">
        <f>BALANCING!MC8-120</f>
        <v>4730</v>
      </c>
      <c r="MD8" s="52">
        <f>BALANCING!MD8-120</f>
        <v>4730</v>
      </c>
      <c r="ME8" s="52">
        <f>BALANCING!ME8-120</f>
        <v>4730</v>
      </c>
      <c r="MF8" s="52">
        <f>BALANCING!MF8-120</f>
        <v>4730</v>
      </c>
      <c r="MG8" s="52">
        <f>BALANCING!MG8-120</f>
        <v>4730</v>
      </c>
      <c r="MH8" s="52">
        <f>BALANCING!MH8-120</f>
        <v>4730</v>
      </c>
      <c r="MI8" s="52">
        <f>BALANCING!MI8-120</f>
        <v>4730</v>
      </c>
      <c r="MJ8" s="139"/>
      <c r="MK8" s="52">
        <f>BALANCING!MK8-120</f>
        <v>4730</v>
      </c>
      <c r="ML8" s="52">
        <f>BALANCING!ML8-120</f>
        <v>4730</v>
      </c>
      <c r="MM8" s="52">
        <f>BALANCING!MM8-120</f>
        <v>4730</v>
      </c>
      <c r="MN8" s="52">
        <f>BALANCING!MN8-120</f>
        <v>4730</v>
      </c>
      <c r="MO8" s="52">
        <f>BALANCING!MO8-120</f>
        <v>4730</v>
      </c>
      <c r="MP8" s="52">
        <f>BALANCING!MP8-120</f>
        <v>4730</v>
      </c>
      <c r="MQ8" s="52">
        <f>BALANCING!MQ8-120</f>
        <v>4730</v>
      </c>
      <c r="MR8" s="52">
        <f>BALANCING!MR8-120</f>
        <v>4730</v>
      </c>
      <c r="MS8" s="52">
        <f>BALANCING!MS8-120</f>
        <v>4730</v>
      </c>
      <c r="MT8" s="52">
        <f>BALANCING!MT8-120</f>
        <v>4730</v>
      </c>
      <c r="MU8" s="52">
        <f>BALANCING!MU8-120</f>
        <v>4730</v>
      </c>
      <c r="MV8" s="52">
        <f>BALANCING!MV8-120</f>
        <v>4679</v>
      </c>
      <c r="MW8" s="52">
        <f>BALANCING!MW8-120</f>
        <v>4679</v>
      </c>
      <c r="MX8" s="52">
        <f>BALANCING!MX8-120</f>
        <v>4679</v>
      </c>
      <c r="MY8" s="52">
        <f>BALANCING!MY8-120</f>
        <v>4679</v>
      </c>
      <c r="MZ8" s="52">
        <f>BALANCING!MZ8-120</f>
        <v>4679</v>
      </c>
      <c r="NA8" s="52">
        <f>BALANCING!NA8-120</f>
        <v>4679</v>
      </c>
      <c r="NB8" s="52">
        <f>BALANCING!NB8-120</f>
        <v>4679</v>
      </c>
      <c r="NC8" s="52">
        <f>BALANCING!NC8-120</f>
        <v>4679</v>
      </c>
      <c r="ND8" s="52">
        <f>BALANCING!ND8-120</f>
        <v>4679</v>
      </c>
      <c r="NE8" s="52">
        <f>BALANCING!NE8-120</f>
        <v>4679</v>
      </c>
      <c r="NF8" s="52">
        <f>BALANCING!NF8-120</f>
        <v>4679</v>
      </c>
      <c r="NG8" s="52">
        <f>BALANCING!NG8-120</f>
        <v>4679</v>
      </c>
      <c r="NH8" s="52">
        <f>BALANCING!NH8-120</f>
        <v>4679</v>
      </c>
      <c r="NI8" s="52">
        <f>BALANCING!NI8-120</f>
        <v>4679</v>
      </c>
      <c r="NJ8" s="52">
        <f>BALANCING!NJ8-120</f>
        <v>4679</v>
      </c>
      <c r="NK8" s="52">
        <f>BALANCING!NK8-120</f>
        <v>4679</v>
      </c>
      <c r="NL8" s="52">
        <v>4679</v>
      </c>
      <c r="NM8" s="52">
        <f>BALANCING!NM8-120</f>
        <v>4679</v>
      </c>
      <c r="NN8" s="52">
        <f>BALANCING!NN8-120</f>
        <v>4679</v>
      </c>
      <c r="NO8" s="52">
        <f>BALANCING!NO8-120</f>
        <v>4679</v>
      </c>
      <c r="NP8" s="139"/>
      <c r="NQ8" s="52">
        <f>BALANCING!NQ8-120</f>
        <v>4679</v>
      </c>
      <c r="NR8" s="52">
        <f>BALANCING!NR8-120</f>
        <v>4679</v>
      </c>
      <c r="NS8" s="52">
        <f>BALANCING!NS8-120</f>
        <v>4629</v>
      </c>
      <c r="NT8" s="52">
        <f>BALANCING!NT8-120</f>
        <v>4629</v>
      </c>
      <c r="NU8" s="52">
        <f>BALANCING!NU8-120</f>
        <v>4629</v>
      </c>
      <c r="NV8" s="52">
        <f>BALANCING!NV8-120</f>
        <v>4629</v>
      </c>
      <c r="NW8" s="52">
        <f>BALANCING!NW8-120</f>
        <v>4629</v>
      </c>
      <c r="NX8" s="52">
        <f>BALANCING!NX8-120</f>
        <v>4629</v>
      </c>
      <c r="NY8" s="52">
        <f>BALANCING!NY8-120</f>
        <v>4629</v>
      </c>
      <c r="NZ8" s="52">
        <f>BALANCING!NZ8-120</f>
        <v>4629</v>
      </c>
      <c r="OA8" s="52">
        <f>BALANCING!OA8-120</f>
        <v>4629</v>
      </c>
      <c r="OB8" s="52">
        <f>BALANCING!OB8-120</f>
        <v>4629</v>
      </c>
      <c r="OC8" s="52">
        <f>BALANCING!OC8-120</f>
        <v>4629</v>
      </c>
      <c r="OD8" s="52">
        <f>BALANCING!OD8-120</f>
        <v>4629</v>
      </c>
      <c r="OE8" s="52">
        <f>BALANCING!OE8-120</f>
        <v>4629</v>
      </c>
      <c r="OF8" s="52">
        <f>BALANCING!OF8-120</f>
        <v>4629</v>
      </c>
      <c r="OG8" s="52">
        <f>BALANCING!OG8-120</f>
        <v>4629</v>
      </c>
      <c r="OH8" s="52">
        <f>BALANCING!OH8-120</f>
        <v>4629</v>
      </c>
      <c r="OI8" s="52">
        <f>BALANCING!OI8-120</f>
        <v>4629</v>
      </c>
      <c r="OJ8" s="52">
        <f>BALANCING!OJ8-120</f>
        <v>4629</v>
      </c>
      <c r="OK8" s="52">
        <f>BALANCING!OK8-120</f>
        <v>4629</v>
      </c>
      <c r="OL8" s="52">
        <f>BALANCING!OL8-120</f>
        <v>4629</v>
      </c>
      <c r="OM8" s="52">
        <f>BALANCING!OM8-120</f>
        <v>4629</v>
      </c>
      <c r="ON8" s="52">
        <f>BALANCING!ON8-120</f>
        <v>4629</v>
      </c>
      <c r="OO8" s="52">
        <f>BALANCING!OO8-120</f>
        <v>4629</v>
      </c>
      <c r="OP8" s="52">
        <f>BALANCING!OP8-120</f>
        <v>4629</v>
      </c>
      <c r="OQ8" s="52">
        <f>BALANCING!OQ8-120</f>
        <v>4629</v>
      </c>
      <c r="OR8" s="52">
        <f>BALANCING!OR8-120</f>
        <v>4629</v>
      </c>
      <c r="OS8" s="52">
        <f>BALANCING!OS8-120</f>
        <v>4629</v>
      </c>
      <c r="OT8" s="52">
        <f>BALANCING!OT8-120</f>
        <v>4629</v>
      </c>
      <c r="OU8" s="52">
        <f>BALANCING!OU8-120</f>
        <v>4629</v>
      </c>
      <c r="OV8" s="130"/>
      <c r="OW8" s="52">
        <f>BALANCING!OW8-120</f>
        <v>4629</v>
      </c>
      <c r="OX8" s="52">
        <f>BALANCING!OX8-120</f>
        <v>4629</v>
      </c>
      <c r="OY8" s="52">
        <f>BALANCING!OY8-120</f>
        <v>4629</v>
      </c>
      <c r="OZ8" s="52">
        <f>BALANCING!OZ8-120</f>
        <v>4629</v>
      </c>
      <c r="PA8" s="52">
        <f>BALANCING!PA8-120</f>
        <v>4629</v>
      </c>
      <c r="PB8" s="52">
        <f>BALANCING!PB8-120</f>
        <v>4629</v>
      </c>
      <c r="PC8" s="52">
        <f>BALANCING!PC8-120</f>
        <v>4629</v>
      </c>
      <c r="PD8" s="52">
        <f>BALANCING!PD8-120</f>
        <v>4629</v>
      </c>
      <c r="PE8" s="52">
        <f>BALANCING!PE8-120</f>
        <v>4629</v>
      </c>
      <c r="PF8" s="52">
        <f>BALANCING!PF8-120</f>
        <v>4629</v>
      </c>
      <c r="PG8" s="52">
        <f>BALANCING!PG8-120</f>
        <v>4629</v>
      </c>
      <c r="PH8" s="52">
        <f>BALANCING!PH8-120</f>
        <v>4629</v>
      </c>
      <c r="PI8" s="52">
        <f>BALANCING!PI8-120</f>
        <v>4629</v>
      </c>
      <c r="PJ8" s="52">
        <f>BALANCING!PJ8-120</f>
        <v>4629</v>
      </c>
      <c r="PK8" s="52">
        <f>BALANCING!PK8-120</f>
        <v>4629</v>
      </c>
      <c r="PL8" s="52">
        <f>BALANCING!PL8-120</f>
        <v>4629</v>
      </c>
      <c r="PM8" s="52">
        <f>BALANCING!PM8-120</f>
        <v>4629</v>
      </c>
      <c r="PN8" s="52">
        <f>BALANCING!PN8-120</f>
        <v>4629</v>
      </c>
      <c r="PO8" s="52">
        <f>BALANCING!PO8-120</f>
        <v>4629</v>
      </c>
      <c r="PP8" s="52">
        <f>BALANCING!PP8-120</f>
        <v>4629</v>
      </c>
      <c r="PQ8" s="52">
        <f>BALANCING!PQ8-120</f>
        <v>4629</v>
      </c>
      <c r="PR8" s="52">
        <f>BALANCING!PR8-120</f>
        <v>4629</v>
      </c>
      <c r="PS8" s="52">
        <f>BALANCING!PS8-120</f>
        <v>4629</v>
      </c>
      <c r="PT8" s="52">
        <f>BALANCING!PT8-120</f>
        <v>4629</v>
      </c>
      <c r="PU8" s="52">
        <f>BALANCING!PU8-120</f>
        <v>4629</v>
      </c>
      <c r="PV8" s="52">
        <f>BALANCING!PV8-120</f>
        <v>4629</v>
      </c>
      <c r="PW8" s="52">
        <f>BALANCING!PW8-120</f>
        <v>4629</v>
      </c>
      <c r="PX8" s="52">
        <f>BALANCING!PX8-120</f>
        <v>4629</v>
      </c>
      <c r="PY8" s="52">
        <f>BALANCING!PY8-120</f>
        <v>4629</v>
      </c>
      <c r="PZ8" s="52">
        <f>BALANCING!PZ8-120</f>
        <v>4629</v>
      </c>
      <c r="QA8" s="130"/>
      <c r="QB8" s="52">
        <f>BALANCING!QB8-120</f>
        <v>4629</v>
      </c>
      <c r="QC8" s="52">
        <f>BALANCING!QC8-120</f>
        <v>4629</v>
      </c>
      <c r="QD8" s="52">
        <f>BALANCING!QD8-120</f>
        <v>4629</v>
      </c>
      <c r="QE8" s="52">
        <f>BALANCING!QE8-120</f>
        <v>4629</v>
      </c>
      <c r="QF8" s="52">
        <f>BALANCING!QF8-120</f>
        <v>4629</v>
      </c>
      <c r="QG8" s="52">
        <f>BALANCING!QG8-120</f>
        <v>4629</v>
      </c>
      <c r="QH8" s="52">
        <f>BALANCING!QH8-120</f>
        <v>4629</v>
      </c>
      <c r="QI8" s="52">
        <f>BALANCING!QI8-120</f>
        <v>4629</v>
      </c>
      <c r="QJ8" s="52">
        <f>BALANCING!QJ8-120</f>
        <v>4479</v>
      </c>
      <c r="QK8" s="52">
        <f>BALANCING!QK8-120</f>
        <v>4479</v>
      </c>
      <c r="QL8" s="52">
        <f>BALANCING!QL8-120</f>
        <v>4479</v>
      </c>
      <c r="QM8" s="52">
        <f>BALANCING!QM8-120</f>
        <v>4479</v>
      </c>
      <c r="QN8" s="52">
        <f>BALANCING!QN8-120</f>
        <v>4479</v>
      </c>
      <c r="QO8" s="52">
        <f>BALANCING!QO8-120</f>
        <v>4479</v>
      </c>
      <c r="QP8" s="52">
        <f>BALANCING!QP8-120</f>
        <v>4479</v>
      </c>
      <c r="QQ8" s="52">
        <f>BALANCING!QQ8-120</f>
        <v>4479</v>
      </c>
      <c r="QR8" s="52">
        <f>BALANCING!QR8-120</f>
        <v>4479</v>
      </c>
      <c r="QS8" s="52">
        <f>BALANCING!QS8-120</f>
        <v>4479</v>
      </c>
      <c r="QT8" s="52">
        <f>BALANCING!QT8-120</f>
        <v>4479</v>
      </c>
      <c r="QU8" s="52">
        <f>BALANCING!QU8-120</f>
        <v>4479</v>
      </c>
      <c r="QV8" s="52">
        <f>BALANCING!QV8-120</f>
        <v>4479</v>
      </c>
      <c r="QW8" s="52">
        <f>BALANCING!QW8-120</f>
        <v>4479</v>
      </c>
      <c r="QX8" s="52">
        <f>BALANCING!QX8-120</f>
        <v>4479</v>
      </c>
      <c r="QY8" s="52">
        <f>BALANCING!QY8-120</f>
        <v>4479</v>
      </c>
      <c r="QZ8" s="52">
        <f>BALANCING!QZ8-120</f>
        <v>4479</v>
      </c>
      <c r="RA8" s="52">
        <f>BALANCING!RA8-120</f>
        <v>4479</v>
      </c>
      <c r="RB8" s="52">
        <f>BALANCING!RB8-120</f>
        <v>4479</v>
      </c>
      <c r="RC8" s="52">
        <f>BALANCING!RC8-120</f>
        <v>4479</v>
      </c>
      <c r="RD8" s="52">
        <f>BALANCING!RD8-120</f>
        <v>4479</v>
      </c>
      <c r="RE8" s="52">
        <f>BALANCING!RE8-120</f>
        <v>4479</v>
      </c>
      <c r="RF8" s="52">
        <f>BALANCING!RF8-120</f>
        <v>4479</v>
      </c>
      <c r="RG8" s="130"/>
      <c r="RH8" s="52">
        <f>BALANCING!RH8-120</f>
        <v>4479</v>
      </c>
      <c r="RI8" s="52">
        <f>BALANCING!RI8-120</f>
        <v>4479</v>
      </c>
      <c r="RJ8" s="52">
        <f>BALANCING!RJ8-120</f>
        <v>4479</v>
      </c>
      <c r="RK8" s="52">
        <f>BALANCING!RK8-120</f>
        <v>4479</v>
      </c>
      <c r="RL8" s="52">
        <f>BALANCING!RL8-120</f>
        <v>4479</v>
      </c>
      <c r="RM8" s="52">
        <f>BALANCING!RM8-120</f>
        <v>4479</v>
      </c>
      <c r="RN8" s="52">
        <f>BALANCING!RN8-120</f>
        <v>4479</v>
      </c>
      <c r="RO8" s="52">
        <f>BALANCING!RO8-120</f>
        <v>4479</v>
      </c>
      <c r="RP8" s="52">
        <f>BALANCING!RP8-120</f>
        <v>4350</v>
      </c>
      <c r="RQ8" s="52">
        <f>BALANCING!RQ8-120</f>
        <v>4350</v>
      </c>
      <c r="RR8" s="52">
        <f>BALANCING!RR8-120</f>
        <v>4350</v>
      </c>
      <c r="RS8" s="52">
        <f>BALANCING!RS8-120</f>
        <v>4350</v>
      </c>
      <c r="RT8" s="52">
        <f>BALANCING!RT8-120</f>
        <v>4350</v>
      </c>
      <c r="RU8" s="52">
        <f>BALANCING!RU8-120</f>
        <v>4350</v>
      </c>
      <c r="RV8" s="52">
        <f>BALANCING!RV8-120</f>
        <v>4350</v>
      </c>
      <c r="RW8" s="52">
        <f>BALANCING!RW8-120</f>
        <v>4350</v>
      </c>
      <c r="RX8" s="52">
        <f>BALANCING!RX8-120</f>
        <v>4350</v>
      </c>
      <c r="RY8" s="52">
        <f>BALANCING!RY8-120</f>
        <v>4350</v>
      </c>
      <c r="RZ8" s="52">
        <f>BALANCING!RZ8-120</f>
        <v>4350</v>
      </c>
      <c r="SA8" s="52">
        <f>BALANCING!SA8-120</f>
        <v>4350</v>
      </c>
      <c r="SB8" s="52">
        <f>BALANCING!SB8-120</f>
        <v>4350</v>
      </c>
      <c r="SC8" s="52">
        <f>BALANCING!SC8-120</f>
        <v>4350</v>
      </c>
      <c r="SD8" s="52">
        <f>BALANCING!SD8-120</f>
        <v>4350</v>
      </c>
      <c r="SE8" s="52">
        <f>BALANCING!SE8-120</f>
        <v>4350</v>
      </c>
      <c r="SF8" s="52">
        <f>BALANCING!SF8-120</f>
        <v>4350</v>
      </c>
      <c r="SG8" s="52">
        <f>BALANCING!SG8-120</f>
        <v>4350</v>
      </c>
      <c r="SH8" s="52">
        <f>BALANCING!SH8-120</f>
        <v>4350</v>
      </c>
      <c r="SI8" s="52">
        <f>BALANCING!SI8-120</f>
        <v>4350</v>
      </c>
      <c r="SJ8" s="52">
        <f>BALANCING!SJ8-120</f>
        <v>4350</v>
      </c>
      <c r="SK8" s="52">
        <f>BALANCING!SK8-120</f>
        <v>4350</v>
      </c>
      <c r="SL8" s="130"/>
      <c r="SM8" s="52">
        <f>BALANCING!SM8-120</f>
        <v>4350</v>
      </c>
      <c r="SN8" s="52">
        <f>BALANCING!SN8-120</f>
        <v>4350</v>
      </c>
      <c r="SO8" s="52">
        <f>BALANCING!SO8-120</f>
        <v>4350</v>
      </c>
      <c r="SP8" s="52">
        <f>BALANCING!SP8-120</f>
        <v>4350</v>
      </c>
      <c r="SQ8" s="52">
        <f>BALANCING!SQ8-120</f>
        <v>4350</v>
      </c>
      <c r="SR8" s="52">
        <f>BALANCING!SR8-120</f>
        <v>4350</v>
      </c>
      <c r="SS8" s="52">
        <f>BALANCING!SS8-120</f>
        <v>4350</v>
      </c>
      <c r="ST8" s="52">
        <f>BALANCING!ST8-120</f>
        <v>4350</v>
      </c>
      <c r="SU8" s="52">
        <f>BALANCING!SU8-120</f>
        <v>4350</v>
      </c>
      <c r="SV8" s="52">
        <f>BALANCING!SV8-120</f>
        <v>4350</v>
      </c>
      <c r="SW8" s="52">
        <f>BALANCING!SW8-120</f>
        <v>4350</v>
      </c>
      <c r="SX8" s="52">
        <f>BALANCING!SX8-120</f>
        <v>4350</v>
      </c>
      <c r="SY8" s="52">
        <f>BALANCING!SY8-120</f>
        <v>4350</v>
      </c>
      <c r="SZ8" s="52">
        <f>BALANCING!SZ8-120</f>
        <v>4350</v>
      </c>
      <c r="TA8" s="52">
        <f>BALANCING!TA8-120</f>
        <v>4350</v>
      </c>
      <c r="TB8" s="52">
        <f>BALANCING!TB8-120</f>
        <v>4350</v>
      </c>
      <c r="TC8" s="52">
        <f>BALANCING!TC8-120</f>
        <v>4350</v>
      </c>
      <c r="TD8" s="52">
        <f>BALANCING!TD8-120</f>
        <v>4350</v>
      </c>
      <c r="TE8" s="52">
        <f>BALANCING!TE8-120</f>
        <v>4350</v>
      </c>
      <c r="TF8" s="52">
        <f>BALANCING!TF8-120</f>
        <v>4350</v>
      </c>
      <c r="TG8" s="52">
        <f>BALANCING!TG8-120</f>
        <v>4350</v>
      </c>
      <c r="TH8" s="52">
        <f>BALANCING!TH8-120</f>
        <v>4350</v>
      </c>
      <c r="TI8" s="52">
        <f>BALANCING!TI8-120</f>
        <v>4350</v>
      </c>
      <c r="TJ8" s="52">
        <f>BALANCING!TJ8-120</f>
        <v>4350</v>
      </c>
      <c r="TK8" s="52">
        <f>BALANCING!TK8-120</f>
        <v>4350</v>
      </c>
      <c r="TL8" s="52">
        <f>BALANCING!TL8-120</f>
        <v>4350</v>
      </c>
      <c r="TM8" s="52">
        <f>BALANCING!TM8-120</f>
        <v>4350</v>
      </c>
      <c r="TN8" s="52">
        <f>BALANCING!TN8-120</f>
        <v>4350</v>
      </c>
      <c r="TO8" s="52">
        <f>BALANCING!TO8-120</f>
        <v>4350</v>
      </c>
      <c r="TP8" s="52">
        <f>BALANCING!TP8-120</f>
        <v>4350</v>
      </c>
      <c r="TQ8" s="52">
        <f>BALANCING!TQ8-120</f>
        <v>4350</v>
      </c>
      <c r="TR8" s="130"/>
      <c r="TS8" s="52">
        <f>BALANCING!TS8-120</f>
        <v>4350</v>
      </c>
      <c r="TT8" s="52">
        <f>BALANCING!TT8-120</f>
        <v>4350</v>
      </c>
      <c r="TU8" s="52">
        <f>BALANCING!TU8-120</f>
        <v>4350</v>
      </c>
      <c r="TV8" s="52">
        <f>BALANCING!TV8-120</f>
        <v>4350</v>
      </c>
      <c r="TW8" s="52">
        <f>BALANCING!TW8-120</f>
        <v>4350</v>
      </c>
      <c r="TX8" s="52">
        <f>BALANCING!TX8-120</f>
        <v>4350</v>
      </c>
      <c r="TY8" s="52">
        <f>BALANCING!TY8-120</f>
        <v>4350</v>
      </c>
      <c r="TZ8" s="52">
        <f>BALANCING!TZ8-120</f>
        <v>4350</v>
      </c>
      <c r="UA8" s="52">
        <f>BALANCING!UA8-120</f>
        <v>4350</v>
      </c>
      <c r="UB8" s="52">
        <f>BALANCING!UB8-120</f>
        <v>4350</v>
      </c>
      <c r="UC8" s="52">
        <f>BALANCING!UC8-120</f>
        <v>4350</v>
      </c>
      <c r="UD8" s="52">
        <f>BALANCING!UD8-120</f>
        <v>4350</v>
      </c>
      <c r="UE8" s="52">
        <f>BALANCING!UE8-120</f>
        <v>4350</v>
      </c>
      <c r="UF8" s="52">
        <f>BALANCING!UF8-120</f>
        <v>4350</v>
      </c>
      <c r="UG8" s="52">
        <f>BALANCING!UG8-120</f>
        <v>4370</v>
      </c>
      <c r="UH8" s="52">
        <f>BALANCING!UH8-120</f>
        <v>4370</v>
      </c>
      <c r="UI8" s="52">
        <f>BALANCING!UI8-120</f>
        <v>4370</v>
      </c>
      <c r="UJ8" s="52">
        <f>BALANCING!UJ8-120</f>
        <v>4370</v>
      </c>
      <c r="UK8" s="52">
        <f>BALANCING!UK8-120</f>
        <v>4370</v>
      </c>
      <c r="UL8" s="52">
        <f>BALANCING!UL8-120</f>
        <v>4370</v>
      </c>
      <c r="UM8" s="52">
        <f>BALANCING!UM8-120</f>
        <v>4370</v>
      </c>
      <c r="UN8" s="52">
        <f>BALANCING!UN8-120</f>
        <v>4370</v>
      </c>
      <c r="UO8" s="52">
        <f>BALANCING!UO8-120</f>
        <v>4370</v>
      </c>
      <c r="UP8" s="52">
        <f>BALANCING!UP8-120</f>
        <v>4370</v>
      </c>
      <c r="UQ8" s="52">
        <v>4370</v>
      </c>
      <c r="UR8" s="52">
        <f>BALANCING!UR8-120</f>
        <v>4370</v>
      </c>
      <c r="US8" s="52">
        <f>BALANCING!US8-120</f>
        <v>4370</v>
      </c>
      <c r="UT8" s="52">
        <f>BALANCING!UT8-120</f>
        <v>4370</v>
      </c>
      <c r="UU8" s="52">
        <f>BALANCING!UU8-120</f>
        <v>4370</v>
      </c>
      <c r="UV8" s="52">
        <f>BALANCING!UV8-120</f>
        <v>4370</v>
      </c>
      <c r="UW8" s="52">
        <f>BALANCING!UW8-120</f>
        <v>4370</v>
      </c>
      <c r="UX8" s="130"/>
      <c r="UY8" s="52">
        <f>BALANCING!UY8-120</f>
        <v>4370</v>
      </c>
      <c r="UZ8" s="52">
        <f>BALANCING!UZ8-120</f>
        <v>4370</v>
      </c>
      <c r="VA8" s="52">
        <f>BALANCING!VA8-120</f>
        <v>4370</v>
      </c>
      <c r="VB8" s="52">
        <f>BALANCING!VB8-120</f>
        <v>4370</v>
      </c>
      <c r="VC8" s="52">
        <f>BALANCING!VC8-120</f>
        <v>4370</v>
      </c>
      <c r="VD8" s="52">
        <f>BALANCING!VD8-120</f>
        <v>4370</v>
      </c>
      <c r="VE8" s="52">
        <f>BALANCING!VE8-120</f>
        <v>4390</v>
      </c>
      <c r="VF8" s="52">
        <f>BALANCING!VF8-120</f>
        <v>4390</v>
      </c>
      <c r="VG8" s="52">
        <f>BALANCING!VG8-120</f>
        <v>4390</v>
      </c>
      <c r="VH8" s="52">
        <f>BALANCING!VH8-120</f>
        <v>4390</v>
      </c>
      <c r="VI8" s="52">
        <f>BALANCING!VI8-120</f>
        <v>4430</v>
      </c>
      <c r="VJ8" s="52">
        <f>BALANCING!VJ8-120</f>
        <v>4430</v>
      </c>
      <c r="VK8" s="52">
        <f>BALANCING!VK8-120</f>
        <v>4430</v>
      </c>
      <c r="VL8" s="52">
        <f>BALANCING!VL8-120</f>
        <v>4430</v>
      </c>
      <c r="VM8" s="52">
        <f>BALANCING!VM8-120</f>
        <v>4430</v>
      </c>
      <c r="VN8" s="52">
        <f>BALANCING!VN8-120</f>
        <v>4430</v>
      </c>
      <c r="VO8" s="52">
        <f>BALANCING!VO8-120</f>
        <v>4430</v>
      </c>
      <c r="VP8" s="52">
        <f>BALANCING!VP8-120</f>
        <v>4430</v>
      </c>
      <c r="VQ8" s="52">
        <f>BALANCING!VQ8-120</f>
        <v>4430</v>
      </c>
      <c r="VR8" s="52">
        <f>BALANCING!VR8-120</f>
        <v>4430</v>
      </c>
      <c r="VS8" s="52">
        <f>BALANCING!VS8-120</f>
        <v>4430</v>
      </c>
      <c r="VT8" s="52">
        <f>BALANCING!VT8-120</f>
        <v>4430</v>
      </c>
      <c r="VU8" s="52">
        <f>BALANCING!VU8-120</f>
        <v>4430</v>
      </c>
      <c r="VV8" s="52">
        <f>BALANCING!VV8-120</f>
        <v>4430</v>
      </c>
      <c r="VW8" s="52">
        <f>BALANCING!VW8-120</f>
        <v>4430</v>
      </c>
      <c r="VX8" s="52">
        <f>BALANCING!VX8-120</f>
        <v>4430</v>
      </c>
      <c r="VY8" s="52">
        <f>BALANCING!VY8-120</f>
        <v>4430</v>
      </c>
      <c r="VZ8" s="52">
        <f>BALANCING!VZ8-120</f>
        <v>4430</v>
      </c>
      <c r="WA8" s="139"/>
      <c r="WB8" s="52">
        <f>BALANCING!WB8-120</f>
        <v>4430</v>
      </c>
      <c r="WC8" s="52">
        <f>BALANCING!WC8-120</f>
        <v>4430</v>
      </c>
      <c r="WD8" s="52">
        <f>BALANCING!WD8-120</f>
        <v>4430</v>
      </c>
      <c r="WE8" s="52">
        <f>BALANCING!WE8-120</f>
        <v>4430</v>
      </c>
      <c r="WF8" s="52">
        <f>BALANCING!WF8-120</f>
        <v>4430</v>
      </c>
      <c r="WG8" s="52">
        <f>BALANCING!WG8-120</f>
        <v>4430</v>
      </c>
      <c r="WH8" s="52">
        <f>BALANCING!WH8-120</f>
        <v>4430</v>
      </c>
      <c r="WI8" s="52">
        <f>BALANCING!WI8-120</f>
        <v>4430</v>
      </c>
      <c r="WJ8" s="52">
        <f>BALANCING!WJ8-120</f>
        <v>4430</v>
      </c>
      <c r="WK8" s="52">
        <f>BALANCING!WK8-120</f>
        <v>4430</v>
      </c>
      <c r="WL8" s="52">
        <f>BALANCING!WL8-120</f>
        <v>4430</v>
      </c>
      <c r="WM8" s="52">
        <f>BALANCING!WM8-120</f>
        <v>4430</v>
      </c>
      <c r="WN8" s="52">
        <f>BALANCING!WN8-120</f>
        <v>4430</v>
      </c>
      <c r="WO8" s="52">
        <f>BALANCING!WO8-120</f>
        <v>4430</v>
      </c>
      <c r="WP8" s="52">
        <f>BALANCING!WP8-120</f>
        <v>4430</v>
      </c>
      <c r="WQ8" s="52">
        <f>BALANCING!WQ8-120</f>
        <v>4430</v>
      </c>
      <c r="WR8" s="52">
        <f>BALANCING!WR8-120</f>
        <v>4430</v>
      </c>
      <c r="WS8" s="52">
        <f>BALANCING!WS8-120</f>
        <v>4430</v>
      </c>
      <c r="WT8" s="52">
        <f>BALANCING!WT8-120</f>
        <v>4430</v>
      </c>
      <c r="WU8" s="52">
        <f>BALANCING!WU8-120</f>
        <v>4430</v>
      </c>
      <c r="WV8" s="52">
        <f>BALANCING!WV8-120</f>
        <v>4430</v>
      </c>
      <c r="WW8" s="52">
        <f>BALANCING!WW8-120</f>
        <v>4430</v>
      </c>
      <c r="WX8" s="52">
        <f>BALANCING!WX8-120</f>
        <v>4430</v>
      </c>
      <c r="WY8" s="52">
        <f>BALANCING!WY8-120</f>
        <v>4430</v>
      </c>
      <c r="WZ8" s="52">
        <f>BALANCING!WZ8-120</f>
        <v>4430</v>
      </c>
      <c r="XA8" s="52">
        <f>BALANCING!XA8-120</f>
        <v>4430</v>
      </c>
      <c r="XB8" s="52">
        <f>BALANCING!XB8-120</f>
        <v>4470</v>
      </c>
      <c r="XC8" s="52">
        <f>BALANCING!XC8-120</f>
        <v>4470</v>
      </c>
      <c r="XD8" s="52">
        <f>BALANCING!XD8-120</f>
        <v>4470</v>
      </c>
      <c r="XE8" s="52">
        <f>BALANCING!XE8-120</f>
        <v>4470</v>
      </c>
      <c r="XF8" s="52">
        <f>BALANCING!XF8-120</f>
        <v>4470</v>
      </c>
      <c r="XG8" s="139"/>
      <c r="XH8" s="52">
        <f>BALANCING!XH8-120</f>
        <v>4470</v>
      </c>
      <c r="XI8" s="52">
        <f>BALANCING!XI8-120</f>
        <v>4470</v>
      </c>
      <c r="XJ8" s="52">
        <f>BALANCING!XJ8-120</f>
        <v>4470</v>
      </c>
      <c r="XK8" s="52">
        <f>BALANCING!XK8-120</f>
        <v>4470</v>
      </c>
      <c r="XL8" s="52">
        <f>BALANCING!XL8-120</f>
        <v>4470</v>
      </c>
      <c r="XM8" s="52">
        <f>BALANCING!XM8-120</f>
        <v>4470</v>
      </c>
      <c r="XN8" s="52">
        <f>BALANCING!XN8-120</f>
        <v>4470</v>
      </c>
      <c r="XO8" s="52">
        <f>BALANCING!XO8-120</f>
        <v>4470</v>
      </c>
      <c r="XP8" s="52">
        <f>BALANCING!XP8-120</f>
        <v>4470</v>
      </c>
      <c r="XQ8" s="52">
        <f>BALANCING!XQ8-120</f>
        <v>4470</v>
      </c>
      <c r="XR8" s="52">
        <f>BALANCING!XR8-120</f>
        <v>4470</v>
      </c>
      <c r="XS8" s="52">
        <f>BALANCING!XS8-120</f>
        <v>4470</v>
      </c>
      <c r="XT8" s="52">
        <f>BALANCING!XT8-120</f>
        <v>4470</v>
      </c>
      <c r="XU8" s="52">
        <f>BALANCING!XU8-120</f>
        <v>4470</v>
      </c>
      <c r="XV8" s="52">
        <f>BALANCING!XV8-120</f>
        <v>4470</v>
      </c>
      <c r="XW8" s="52">
        <f>BALANCING!XW8-120</f>
        <v>4470</v>
      </c>
      <c r="XX8" s="52">
        <f>BALANCING!XX8-120</f>
        <v>4530</v>
      </c>
      <c r="XY8" s="52">
        <f>BALANCING!XY8-120</f>
        <v>4530</v>
      </c>
      <c r="XZ8" s="52">
        <f>BALANCING!XZ8-120</f>
        <v>4530</v>
      </c>
      <c r="YA8" s="52">
        <f>BALANCING!YA8-120</f>
        <v>4530</v>
      </c>
      <c r="YB8" s="52">
        <f>BALANCING!YB8-120</f>
        <v>4530</v>
      </c>
      <c r="YC8" s="52">
        <f>BALANCING!YC8-120</f>
        <v>4530</v>
      </c>
      <c r="YD8" s="52">
        <f>BALANCING!YD8-120</f>
        <v>4530</v>
      </c>
      <c r="YE8" s="52">
        <f>BALANCING!YE8-120</f>
        <v>4530</v>
      </c>
      <c r="YF8" s="52">
        <f>BALANCING!YF8-120</f>
        <v>4530</v>
      </c>
      <c r="YG8" s="52">
        <f>BALANCING!YG8-120</f>
        <v>4530</v>
      </c>
      <c r="YH8" s="52">
        <f>BALANCING!YH8-120</f>
        <v>4530</v>
      </c>
      <c r="YI8" s="52">
        <f>BALANCING!YI8-120</f>
        <v>4530</v>
      </c>
      <c r="YJ8" s="52">
        <f>BALANCING!YJ8-120</f>
        <v>4530</v>
      </c>
      <c r="YK8" s="52">
        <f>BALANCING!YK8-120</f>
        <v>4530</v>
      </c>
      <c r="YL8" s="130"/>
      <c r="YM8" s="52">
        <f>BALANCING!YM8-120</f>
        <v>4530</v>
      </c>
      <c r="YN8" s="52">
        <f>BALANCING!YN8-120</f>
        <v>4530</v>
      </c>
      <c r="YO8" s="52">
        <f>BALANCING!YO8-120</f>
        <v>4530</v>
      </c>
      <c r="YP8" s="52">
        <f>BALANCING!YP8-120</f>
        <v>4530</v>
      </c>
      <c r="YQ8" s="52">
        <f>BALANCING!YQ8-120</f>
        <v>4530</v>
      </c>
      <c r="YR8" s="52">
        <f>BALANCING!YR8-120</f>
        <v>4530</v>
      </c>
      <c r="YS8" s="52">
        <f>BALANCING!YS8-120</f>
        <v>4530</v>
      </c>
      <c r="YT8" s="52">
        <f>BALANCING!YT8-120</f>
        <v>4530</v>
      </c>
      <c r="YU8" s="52">
        <f>BALANCING!YU8-120</f>
        <v>4530</v>
      </c>
      <c r="YV8" s="52">
        <f>BALANCING!YV8-120</f>
        <v>4530</v>
      </c>
      <c r="YW8" s="52">
        <f>BALANCING!YW8-120</f>
        <v>4530</v>
      </c>
      <c r="YX8" s="52">
        <f>BALANCING!YX8-120</f>
        <v>4530</v>
      </c>
      <c r="YY8" s="52">
        <f>BALANCING!YY8-120</f>
        <v>4530</v>
      </c>
      <c r="YZ8" s="52">
        <f>BALANCING!YZ8-120</f>
        <v>4530</v>
      </c>
      <c r="ZA8" s="52">
        <f>BALANCING!ZA8-120</f>
        <v>4530</v>
      </c>
      <c r="ZB8" s="52">
        <f>BALANCING!ZB8-120</f>
        <v>4530</v>
      </c>
      <c r="ZC8" s="52">
        <f>BALANCING!ZC8-120</f>
        <v>4530</v>
      </c>
      <c r="ZD8" s="52">
        <f>BALANCING!ZD8-120</f>
        <v>4530</v>
      </c>
      <c r="ZE8" s="52">
        <f>BALANCING!ZE8-120</f>
        <v>4530</v>
      </c>
      <c r="ZF8" s="52">
        <f>BALANCING!ZF8-120</f>
        <v>4530</v>
      </c>
      <c r="ZG8" s="52">
        <f>BALANCING!ZG8-120</f>
        <v>4530</v>
      </c>
      <c r="ZH8" s="52">
        <f>BALANCING!ZH8-120</f>
        <v>4530</v>
      </c>
      <c r="ZI8" s="52">
        <f>BALANCING!ZI8-120</f>
        <v>4530</v>
      </c>
      <c r="ZJ8" s="52">
        <f>BALANCING!ZJ8-120</f>
        <v>4530</v>
      </c>
      <c r="ZK8" s="52">
        <f>BALANCING!ZK8-120</f>
        <v>4530</v>
      </c>
      <c r="ZL8" s="52">
        <f>BALANCING!ZL8-120</f>
        <v>4530</v>
      </c>
      <c r="ZM8" s="52">
        <f>BALANCING!ZM8-120</f>
        <v>4530</v>
      </c>
      <c r="ZN8" s="52">
        <f>BALANCING!ZN8-120</f>
        <v>4530</v>
      </c>
      <c r="ZO8" s="52">
        <f>BALANCING!ZO8-120</f>
        <v>4530</v>
      </c>
      <c r="ZP8" s="52">
        <f>BALANCING!ZP8-120</f>
        <v>4530</v>
      </c>
      <c r="ZQ8" s="52">
        <f>BALANCING!ZQ8-120</f>
        <v>4530</v>
      </c>
      <c r="ZR8" s="130"/>
      <c r="ZS8" s="52">
        <f>BALANCING!ZS8-120</f>
        <v>4530</v>
      </c>
      <c r="ZT8" s="52">
        <f>BALANCING!ZT8-120</f>
        <v>4530</v>
      </c>
      <c r="ZU8" s="52">
        <f>BALANCING!ZU8-120</f>
        <v>4530</v>
      </c>
      <c r="ZV8" s="52">
        <f>BALANCING!ZV8-120</f>
        <v>4530</v>
      </c>
      <c r="ZW8" s="52">
        <f>BALANCING!ZW8-120</f>
        <v>4530</v>
      </c>
      <c r="ZX8" s="52">
        <f>BALANCING!ZX8-120</f>
        <v>4530</v>
      </c>
      <c r="ZY8" s="52">
        <f>BALANCING!ZY8-120</f>
        <v>4530</v>
      </c>
      <c r="ZZ8" s="52">
        <f>BALANCING!ZZ8-120</f>
        <v>4530</v>
      </c>
      <c r="AAA8" s="52">
        <f>BALANCING!AAA8-120</f>
        <v>4530</v>
      </c>
      <c r="AAB8" s="52">
        <f>BALANCING!AAB8-120</f>
        <v>4530</v>
      </c>
      <c r="AAC8" s="52">
        <f>BALANCING!AAC8-120</f>
        <v>4530</v>
      </c>
      <c r="AAD8" s="52">
        <f>BALANCING!AAD8-120</f>
        <v>4530</v>
      </c>
      <c r="AAE8" s="52">
        <f>BALANCING!AAE8-120</f>
        <v>4530</v>
      </c>
      <c r="AAF8" s="52">
        <f>BALANCING!AAF8-120</f>
        <v>4530</v>
      </c>
      <c r="AAG8" s="52">
        <f>BALANCING!AAG8-120</f>
        <v>4530</v>
      </c>
      <c r="AAH8" s="52">
        <f>BALANCING!AAH8-120</f>
        <v>4530</v>
      </c>
      <c r="AAI8" s="52">
        <f>BALANCING!AAI8-120</f>
        <v>4530</v>
      </c>
      <c r="AAJ8" s="52">
        <f>BALANCING!AAJ8-120</f>
        <v>4530</v>
      </c>
      <c r="AAK8" s="52">
        <f>BALANCING!AAK8-120</f>
        <v>4530</v>
      </c>
      <c r="AAL8" s="52">
        <f>BALANCING!AAL8-120</f>
        <v>4530</v>
      </c>
      <c r="AAM8" s="52">
        <f>BALANCING!AAM8-120</f>
        <v>4530</v>
      </c>
      <c r="AAN8" s="52">
        <f>BALANCING!AAN8-120</f>
        <v>4530</v>
      </c>
      <c r="AAO8" s="52">
        <f>BALANCING!AAO8-120</f>
        <v>4530</v>
      </c>
      <c r="AAP8" s="52">
        <f>BALANCING!AAP8-120</f>
        <v>4530</v>
      </c>
      <c r="AAQ8" s="52">
        <f>BALANCING!AAQ8-120</f>
        <v>4530</v>
      </c>
      <c r="AAR8" s="52">
        <f>BALANCING!AAR8-120</f>
        <v>4530</v>
      </c>
      <c r="AAS8" s="52">
        <f>BALANCING!AAS8-120</f>
        <v>4530</v>
      </c>
      <c r="AAT8" s="52">
        <f>BALANCING!AAT8-120</f>
        <v>4530</v>
      </c>
      <c r="AAU8" s="52">
        <f>BALANCING!AAU8-120</f>
        <v>4530</v>
      </c>
      <c r="AAV8" s="52">
        <f>BALANCING!AAV8-120</f>
        <v>4530</v>
      </c>
      <c r="AAW8" s="130"/>
      <c r="AAX8" s="52">
        <f>BALANCING!AAX8-120</f>
        <v>4530</v>
      </c>
      <c r="AAY8" s="52">
        <f>BALANCING!AAY8-120</f>
        <v>4530</v>
      </c>
      <c r="AAZ8" s="52">
        <f>BALANCING!AAZ8-120</f>
        <v>4530</v>
      </c>
      <c r="ABA8" s="52">
        <f>BALANCING!ABA8-120</f>
        <v>4530</v>
      </c>
      <c r="ABB8" s="52">
        <f>BALANCING!ABB8-120</f>
        <v>4530</v>
      </c>
      <c r="ABC8" s="52">
        <f>BALANCING!ABC8-120</f>
        <v>4530</v>
      </c>
      <c r="ABD8" s="52">
        <f>BALANCING!ABD8-120</f>
        <v>4530</v>
      </c>
      <c r="ABE8" s="52">
        <f>BALANCING!ABE8-120</f>
        <v>4530</v>
      </c>
      <c r="ABF8" s="52">
        <f>BALANCING!ABF8-120</f>
        <v>4530</v>
      </c>
      <c r="ABG8" s="52">
        <f>BALANCING!ABG8-120</f>
        <v>4530</v>
      </c>
      <c r="ABH8" s="52">
        <f>BALANCING!ABH8-120</f>
        <v>4530</v>
      </c>
      <c r="ABI8" s="52">
        <f>BALANCING!ABI8-120</f>
        <v>4530</v>
      </c>
      <c r="ABJ8" s="52">
        <f>BALANCING!ABJ8-120</f>
        <v>4530</v>
      </c>
      <c r="ABK8" s="52">
        <f>BALANCING!ABK8-120</f>
        <v>4530</v>
      </c>
      <c r="ABL8" s="52">
        <f>BALANCING!ABL8-120</f>
        <v>4530</v>
      </c>
      <c r="ABM8" s="52">
        <f>BALANCING!ABM8-120</f>
        <v>4530</v>
      </c>
      <c r="ABN8" s="52">
        <f>BALANCING!ABN8-120</f>
        <v>4530</v>
      </c>
      <c r="ABO8" s="52">
        <f>BALANCING!ABO8-120</f>
        <v>4530</v>
      </c>
      <c r="ABP8" s="52">
        <f>BALANCING!ABP8-120</f>
        <v>4530</v>
      </c>
      <c r="ABQ8" s="52">
        <f>BALANCING!ABQ8-120</f>
        <v>4530</v>
      </c>
      <c r="ABR8" s="52">
        <f>BALANCING!ABR8-120</f>
        <v>4530</v>
      </c>
      <c r="ABS8" s="52">
        <f>BALANCING!ABS8-120</f>
        <v>4530</v>
      </c>
      <c r="ABT8" s="52">
        <f>BALANCING!ABT8-120</f>
        <v>4530</v>
      </c>
      <c r="ABU8" s="52">
        <f>BALANCING!ABU8-120</f>
        <v>4530</v>
      </c>
      <c r="ABV8" s="52">
        <f>BALANCING!ABV8-120</f>
        <v>4530</v>
      </c>
      <c r="ABW8" s="52">
        <f>BALANCING!ABW8-120</f>
        <v>4530</v>
      </c>
      <c r="ABX8" s="52">
        <f>BALANCING!ABX8-120</f>
        <v>4530</v>
      </c>
      <c r="ABY8" s="52">
        <f>BALANCING!ABY8-120</f>
        <v>4530</v>
      </c>
      <c r="ABZ8" s="52">
        <f>BALANCING!ABZ8-120</f>
        <v>4530</v>
      </c>
      <c r="ACA8" s="52">
        <f>BALANCING!ACA8-120</f>
        <v>4530</v>
      </c>
      <c r="ACB8" s="52">
        <f>BALANCING!ACB8-120</f>
        <v>4530</v>
      </c>
      <c r="ACC8" s="130"/>
      <c r="ACD8" s="52">
        <f>BALANCING!ACD8-120</f>
        <v>4530</v>
      </c>
      <c r="ACE8" s="52">
        <f>BALANCING!ACE8-120</f>
        <v>4530</v>
      </c>
      <c r="ACF8" s="52">
        <f>BALANCING!ACF8-120</f>
        <v>4530</v>
      </c>
      <c r="ACG8" s="52">
        <f>BALANCING!ACG8-120</f>
        <v>4530</v>
      </c>
      <c r="ACH8" s="52">
        <f>BALANCING!ACH8-120</f>
        <v>4530</v>
      </c>
      <c r="ACI8" s="52">
        <f>BALANCING!ACI8-120</f>
        <v>4530</v>
      </c>
      <c r="ACJ8" s="52">
        <f>BALANCING!ACJ8-120</f>
        <v>4530</v>
      </c>
      <c r="ACK8" s="52">
        <f>BALANCING!ACK8-120</f>
        <v>4530</v>
      </c>
      <c r="ACL8" s="52">
        <f>BALANCING!ACL8-120</f>
        <v>4530</v>
      </c>
      <c r="ACM8" s="52">
        <f>BALANCING!ACM8-120</f>
        <v>4530</v>
      </c>
      <c r="ACN8" s="52">
        <f>BALANCING!ACN8-120</f>
        <v>4530</v>
      </c>
      <c r="ACO8" s="52">
        <f>BALANCING!ACO8-120</f>
        <v>4530</v>
      </c>
      <c r="ACP8" s="52">
        <f>BALANCING!ACP8-120</f>
        <v>4530</v>
      </c>
      <c r="ACQ8" s="52">
        <f>BALANCING!ACQ8-120</f>
        <v>4530</v>
      </c>
      <c r="ACR8" s="52">
        <f>BALANCING!ACR8-120</f>
        <v>4530</v>
      </c>
      <c r="ACS8" s="52">
        <f>BALANCING!ACS8-120</f>
        <v>4530</v>
      </c>
      <c r="ACT8" s="52">
        <f>BALANCING!ACT8-120</f>
        <v>4530</v>
      </c>
      <c r="ACU8" s="52">
        <f>BALANCING!ACU8-120</f>
        <v>4530</v>
      </c>
      <c r="ACV8" s="52">
        <f>BALANCING!ACV8-120</f>
        <v>4530</v>
      </c>
      <c r="ACW8" s="52">
        <f>BALANCING!ACW8-120</f>
        <v>4530</v>
      </c>
      <c r="ACX8" s="52">
        <f>BALANCING!ACX8-120</f>
        <v>4530</v>
      </c>
      <c r="ACY8" s="52">
        <f>BALANCING!ACY8-120</f>
        <v>4530</v>
      </c>
      <c r="ACZ8" s="52">
        <f>BALANCING!ACZ8-120</f>
        <v>4530</v>
      </c>
      <c r="ADA8" s="52">
        <f>BALANCING!ADA8-120</f>
        <v>4530</v>
      </c>
      <c r="ADB8" s="52">
        <f>BALANCING!ADB8-120</f>
        <v>4530</v>
      </c>
      <c r="ADC8" s="52">
        <f>BALANCING!ADC8-120</f>
        <v>4530</v>
      </c>
      <c r="ADD8" s="52">
        <f>BALANCING!ADD8-120</f>
        <v>4530</v>
      </c>
      <c r="ADE8" s="52">
        <f>BALANCING!ADE8-120</f>
        <v>4530</v>
      </c>
      <c r="ADF8" s="52">
        <f>BALANCING!ADF8-120</f>
        <v>4530</v>
      </c>
      <c r="ADG8" s="52">
        <f>BALANCING!ADG8-120</f>
        <v>4530</v>
      </c>
      <c r="ADH8" s="52">
        <f>BALANCING!ADH8-120</f>
        <v>4530</v>
      </c>
      <c r="ADI8" s="130"/>
      <c r="ADJ8" s="52">
        <f>BALANCING!ADJ8-120</f>
        <v>4530</v>
      </c>
      <c r="ADK8" s="52">
        <f>BALANCING!ADK8-120</f>
        <v>4530</v>
      </c>
      <c r="ADL8" s="52">
        <f>BALANCING!ADL8-120</f>
        <v>4530</v>
      </c>
      <c r="ADM8" s="52">
        <f>BALANCING!ADM8-120</f>
        <v>4530</v>
      </c>
      <c r="ADN8" s="52">
        <f>BALANCING!ADN8-120</f>
        <v>4530</v>
      </c>
      <c r="ADO8" s="52">
        <f>BALANCING!ADO8-120</f>
        <v>4530</v>
      </c>
      <c r="ADP8" s="52">
        <f>BALANCING!ADP8-120</f>
        <v>4530</v>
      </c>
      <c r="ADQ8" s="52">
        <f>BALANCING!ADQ8-120</f>
        <v>4530</v>
      </c>
      <c r="ADR8" s="52">
        <f>BALANCING!ADR8-120</f>
        <v>4530</v>
      </c>
      <c r="ADS8" s="52">
        <f>BALANCING!ADS8-120</f>
        <v>4530</v>
      </c>
      <c r="ADT8" s="52">
        <f>BALANCING!ADT8-120</f>
        <v>4530</v>
      </c>
      <c r="ADU8" s="52">
        <f>BALANCING!ADU8-120</f>
        <v>4530</v>
      </c>
      <c r="ADV8" s="52">
        <f>BALANCING!ADV8-120</f>
        <v>4530</v>
      </c>
      <c r="ADW8" s="52">
        <f>BALANCING!ADW8-120</f>
        <v>4530</v>
      </c>
      <c r="ADX8" s="52">
        <f>BALANCING!ADX8-120</f>
        <v>4530</v>
      </c>
      <c r="ADY8" s="52">
        <f>BALANCING!ADY8-120</f>
        <v>4530</v>
      </c>
      <c r="ADZ8" s="52">
        <f>BALANCING!ADZ8-120</f>
        <v>4530</v>
      </c>
      <c r="AEA8" s="52">
        <f>BALANCING!AEA8-120</f>
        <v>4530</v>
      </c>
      <c r="AEB8" s="52">
        <f>BALANCING!AEB8-120</f>
        <v>4530</v>
      </c>
      <c r="AEC8" s="52">
        <f>BALANCING!AEC8-120</f>
        <v>4530</v>
      </c>
      <c r="AED8" s="52">
        <f>BALANCING!AED8-120</f>
        <v>4530</v>
      </c>
      <c r="AEE8" s="52">
        <f>BALANCING!AEE8-120</f>
        <v>4530</v>
      </c>
      <c r="AEF8" s="52">
        <f>BALANCING!AEF8-120</f>
        <v>4530</v>
      </c>
      <c r="AEG8" s="52">
        <f>BALANCING!AEG8-120</f>
        <v>4530</v>
      </c>
      <c r="AEH8" s="52">
        <f>BALANCING!AEH8-120</f>
        <v>4530</v>
      </c>
      <c r="AEI8" s="52">
        <f>BALANCING!AEI8-120</f>
        <v>4530</v>
      </c>
      <c r="AEJ8" s="52">
        <f>BALANCING!AEJ8-120</f>
        <v>4530</v>
      </c>
      <c r="AEK8" s="52">
        <f>BALANCING!AEK8-120</f>
        <v>4530</v>
      </c>
      <c r="AEL8" s="52">
        <f>BALANCING!AEL8-120</f>
        <v>4530</v>
      </c>
      <c r="AEM8" s="52">
        <f>BALANCING!AEM8-120</f>
        <v>4530</v>
      </c>
      <c r="AEN8" s="130"/>
      <c r="AEO8" s="52">
        <f>BALANCING!AEO8-120</f>
        <v>4530</v>
      </c>
      <c r="AEP8" s="52">
        <f>BALANCING!AEP8-120</f>
        <v>4530</v>
      </c>
      <c r="AEQ8" s="52">
        <f>BALANCING!AEQ8-120</f>
        <v>4530</v>
      </c>
      <c r="AER8" s="52">
        <f>BALANCING!AER8-120</f>
        <v>4530</v>
      </c>
      <c r="AES8" s="52">
        <f>BALANCING!AES8-120</f>
        <v>4530</v>
      </c>
      <c r="AET8" s="52">
        <f>BALANCING!AET8-120</f>
        <v>4530</v>
      </c>
      <c r="AEU8" s="52">
        <f>BALANCING!AEU8-120</f>
        <v>4530</v>
      </c>
      <c r="AEV8" s="52">
        <f>BALANCING!AEV8-120</f>
        <v>4530</v>
      </c>
      <c r="AEW8" s="52">
        <f>BALANCING!AEW8-120</f>
        <v>4530</v>
      </c>
      <c r="AEX8" s="52">
        <f>BALANCING!AEX8-120</f>
        <v>4530</v>
      </c>
      <c r="AEY8" s="52">
        <f>BALANCING!AEY8-120</f>
        <v>4530</v>
      </c>
      <c r="AEZ8" s="52">
        <f>BALANCING!AEZ8-120</f>
        <v>4530</v>
      </c>
      <c r="AFA8" s="52">
        <f>BALANCING!AFA8-120</f>
        <v>4530</v>
      </c>
      <c r="AFB8" s="52">
        <f>BALANCING!AFB8-120</f>
        <v>4530</v>
      </c>
      <c r="AFC8" s="52">
        <f>BALANCING!AFC8-120</f>
        <v>4530</v>
      </c>
      <c r="AFD8" s="52">
        <f>BALANCING!AFD8-120</f>
        <v>4530</v>
      </c>
      <c r="AFE8" s="52">
        <f>BALANCING!AFE8-120</f>
        <v>4530</v>
      </c>
      <c r="AFF8" s="52">
        <f>BALANCING!AFF8-120</f>
        <v>4530</v>
      </c>
      <c r="AFG8" s="52">
        <f>BALANCING!AFG8-120</f>
        <v>4530</v>
      </c>
      <c r="AFH8" s="52">
        <f>BALANCING!AFH8-120</f>
        <v>4530</v>
      </c>
      <c r="AFI8" s="52">
        <f>BALANCING!AFI8-120</f>
        <v>4530</v>
      </c>
      <c r="AFJ8" s="52">
        <f>BALANCING!AFJ8-120</f>
        <v>4530</v>
      </c>
      <c r="AFK8" s="52">
        <f>BALANCING!AFK8-120</f>
        <v>4530</v>
      </c>
      <c r="AFL8" s="52">
        <f>BALANCING!AFL8-120</f>
        <v>4530</v>
      </c>
      <c r="AFM8" s="52">
        <f>BALANCING!AFM8-120</f>
        <v>4530</v>
      </c>
      <c r="AFN8" s="52">
        <f>BALANCING!AFN8-120</f>
        <v>4530</v>
      </c>
      <c r="AFO8" s="52">
        <f>BALANCING!AFO8-120</f>
        <v>4530</v>
      </c>
      <c r="AFP8" s="52">
        <f>BALANCING!AFP8-120</f>
        <v>4530</v>
      </c>
      <c r="AFQ8" s="52">
        <f>BALANCING!AFQ8-120</f>
        <v>4530</v>
      </c>
      <c r="AFR8" s="52">
        <f>BALANCING!AFR8-120</f>
        <v>4530</v>
      </c>
      <c r="AFS8" s="52">
        <f>BALANCING!AFS8-120</f>
        <v>4530</v>
      </c>
      <c r="AFT8" s="130"/>
      <c r="AFU8" s="52">
        <f>BALANCING!AFU8-120</f>
        <v>4530</v>
      </c>
      <c r="AFV8" s="52">
        <f>BALANCING!AFV8-120</f>
        <v>4530</v>
      </c>
      <c r="AFW8" s="52">
        <f>BALANCING!AFW8-120</f>
        <v>4530</v>
      </c>
      <c r="AFX8" s="52">
        <f>BALANCING!AFX8-120</f>
        <v>4530</v>
      </c>
      <c r="AFY8" s="52">
        <f>BALANCING!AFY8-120</f>
        <v>4530</v>
      </c>
      <c r="AFZ8" s="52">
        <f>BALANCING!AFZ8-120</f>
        <v>4530</v>
      </c>
      <c r="AGA8" s="52">
        <f>BALANCING!AGA8-120</f>
        <v>4530</v>
      </c>
      <c r="AGB8" s="52">
        <f>BALANCING!AGB8-120</f>
        <v>4530</v>
      </c>
      <c r="AGC8" s="52">
        <f>BALANCING!AGC8-120</f>
        <v>4530</v>
      </c>
      <c r="AGD8" s="52">
        <f>BALANCING!AGD8-120</f>
        <v>4530</v>
      </c>
      <c r="AGE8" s="52">
        <f>BALANCING!AGE8-120</f>
        <v>4530</v>
      </c>
      <c r="AGF8" s="52">
        <f>BALANCING!AGF8-120</f>
        <v>4530</v>
      </c>
      <c r="AGG8" s="52">
        <f>BALANCING!AGG8-120</f>
        <v>4530</v>
      </c>
      <c r="AGH8" s="52">
        <f>BALANCING!AGH8-120</f>
        <v>4530</v>
      </c>
      <c r="AGI8" s="52">
        <f>BALANCING!AGI8-120</f>
        <v>4530</v>
      </c>
      <c r="AGJ8" s="52">
        <f>BALANCING!AGJ8-120</f>
        <v>4530</v>
      </c>
      <c r="AGK8" s="52">
        <f>BALANCING!AGK8-120</f>
        <v>4530</v>
      </c>
      <c r="AGL8" s="52">
        <f>BALANCING!AGL8-120</f>
        <v>4530</v>
      </c>
      <c r="AGM8" s="52">
        <f>BALANCING!AGM8-120</f>
        <v>4530</v>
      </c>
      <c r="AGN8" s="52">
        <f>BALANCING!AGN8-120</f>
        <v>4530</v>
      </c>
      <c r="AGO8" s="52">
        <f>BALANCING!AGO8-120</f>
        <v>4530</v>
      </c>
      <c r="AGP8" s="52">
        <f>BALANCING!AGP8-120</f>
        <v>4429</v>
      </c>
      <c r="AGQ8" s="52">
        <f>BALANCING!AGQ8-120</f>
        <v>4429</v>
      </c>
      <c r="AGR8" s="52">
        <v>4429</v>
      </c>
      <c r="AGS8" s="52">
        <f>BALANCING!AGS8-120</f>
        <v>4429</v>
      </c>
      <c r="AGT8" s="52">
        <v>4429</v>
      </c>
      <c r="AGU8" s="52">
        <f>BALANCING!AGU8-120</f>
        <v>4429</v>
      </c>
      <c r="AGV8" s="52">
        <f>BALANCING!AGV8-120</f>
        <v>4429</v>
      </c>
      <c r="AGW8" s="52">
        <f>BALANCING!AGW8-120</f>
        <v>4429</v>
      </c>
      <c r="AGX8" s="52">
        <f>BALANCING!AGX8-120</f>
        <v>4429</v>
      </c>
      <c r="AGY8" s="139"/>
      <c r="AGZ8" s="52">
        <f>BALANCING!AGZ8-120</f>
        <v>4429</v>
      </c>
      <c r="AHA8" s="52">
        <f>BALANCING!AHA8-120</f>
        <v>4429</v>
      </c>
      <c r="AHB8" s="52">
        <f>BALANCING!AHB8-120</f>
        <v>4429</v>
      </c>
      <c r="AHC8" s="52">
        <f>BALANCING!AHC8-120</f>
        <v>4469</v>
      </c>
      <c r="AHD8" s="52">
        <f>BALANCING!AHD8-120</f>
        <v>4469</v>
      </c>
      <c r="AHE8" s="52">
        <f>BALANCING!AHE8-120</f>
        <v>4469</v>
      </c>
      <c r="AHF8" s="52">
        <f>BALANCING!AHF8-120</f>
        <v>4469</v>
      </c>
      <c r="AHG8" s="52">
        <f>BALANCING!AHG8-120</f>
        <v>4469</v>
      </c>
      <c r="AHH8" s="52">
        <f>BALANCING!AHH8-120</f>
        <v>4469</v>
      </c>
      <c r="AHI8" s="52">
        <f>BALANCING!AHI8-120</f>
        <v>4469</v>
      </c>
      <c r="AHJ8" s="52">
        <f>BALANCING!AHJ8-120</f>
        <v>4469</v>
      </c>
      <c r="AHK8" s="52">
        <f>BALANCING!AHK8-120</f>
        <v>4469</v>
      </c>
      <c r="AHL8" s="52">
        <f>BALANCING!AHL8-120</f>
        <v>4469</v>
      </c>
      <c r="AHM8" s="52">
        <f>BALANCING!AHM8-120</f>
        <v>4469</v>
      </c>
      <c r="AHN8" s="52">
        <f>BALANCING!AHN8-120</f>
        <v>4469</v>
      </c>
      <c r="AHO8" s="52">
        <f>BALANCING!AHO8-120</f>
        <v>4469</v>
      </c>
      <c r="AHP8" s="52">
        <f>BALANCING!AHP8-120</f>
        <v>4469</v>
      </c>
      <c r="AHQ8" s="52">
        <f>BALANCING!AHQ8-120</f>
        <v>4469</v>
      </c>
      <c r="AHR8" s="52">
        <f>BALANCING!AHR8-120</f>
        <v>4469</v>
      </c>
      <c r="AHS8" s="52">
        <f>BALANCING!AHS8-120</f>
        <v>4469</v>
      </c>
      <c r="AHT8" s="52">
        <f>BALANCING!AHT8-120</f>
        <v>4469</v>
      </c>
      <c r="AHU8" s="52">
        <f>BALANCING!AHU8-120</f>
        <v>4469</v>
      </c>
      <c r="AHV8" s="52">
        <f>BALANCING!AHV8-120</f>
        <v>4469</v>
      </c>
      <c r="AHW8" s="52">
        <v>4469</v>
      </c>
      <c r="AHX8" s="52">
        <f>BALANCING!AHX8-120</f>
        <v>4469</v>
      </c>
      <c r="AHY8" s="52">
        <f>BALANCING!AHY8-120</f>
        <v>4469</v>
      </c>
      <c r="AHZ8" s="52">
        <f>BALANCING!AHZ8-120</f>
        <v>4469</v>
      </c>
      <c r="AIA8" s="52">
        <f>BALANCING!AIA8-120</f>
        <v>4469</v>
      </c>
      <c r="AIB8" s="52">
        <f>BALANCING!AIB8-120</f>
        <v>4469</v>
      </c>
      <c r="AIC8" s="52">
        <f>BALANCING!AIC8-120</f>
        <v>4469</v>
      </c>
      <c r="AID8" s="52">
        <f>BALANCING!AID8-120</f>
        <v>4469</v>
      </c>
      <c r="AIE8" s="130"/>
      <c r="AIF8" s="52">
        <f>BALANCING!AIF8-120</f>
        <v>4469</v>
      </c>
      <c r="AIG8" s="52">
        <f>BALANCING!AIG8-120</f>
        <v>4469</v>
      </c>
      <c r="AIH8" s="52">
        <f>BALANCING!AIH8-120</f>
        <v>4469</v>
      </c>
      <c r="AII8" s="52">
        <f>BALANCING!AII8-120</f>
        <v>4469</v>
      </c>
      <c r="AIJ8" s="52">
        <f>BALANCING!AIJ8-120</f>
        <v>4469</v>
      </c>
      <c r="AIK8" s="52">
        <f>BALANCING!AIK8-120</f>
        <v>4469</v>
      </c>
      <c r="AIL8" s="52">
        <f>BALANCING!AIL8-120</f>
        <v>4469</v>
      </c>
      <c r="AIM8" s="52">
        <f>BALANCING!AIM8-120</f>
        <v>4469</v>
      </c>
      <c r="AIN8" s="52">
        <f>BALANCING!AIN8-120</f>
        <v>4469</v>
      </c>
      <c r="AIO8" s="52">
        <f>BALANCING!AIO8-120</f>
        <v>4469</v>
      </c>
      <c r="AIP8" s="52">
        <f>BALANCING!AIP8-120</f>
        <v>4469</v>
      </c>
      <c r="AIQ8" s="52">
        <f>BALANCING!AIQ8-120</f>
        <v>4469</v>
      </c>
      <c r="AIR8" s="52">
        <f>BALANCING!AIR8-120</f>
        <v>4469</v>
      </c>
      <c r="AIS8" s="52">
        <f>BALANCING!AIS8-120</f>
        <v>4479</v>
      </c>
      <c r="AIT8" s="52">
        <f>BALANCING!AIT8-120</f>
        <v>4479</v>
      </c>
      <c r="AIU8" s="52">
        <f>BALANCING!AIU8-120</f>
        <v>4479</v>
      </c>
      <c r="AIV8" s="52">
        <f>BALANCING!AIV8-120</f>
        <v>4479</v>
      </c>
      <c r="AIW8" s="52">
        <f>BALANCING!AIW8-120</f>
        <v>4479</v>
      </c>
      <c r="AIX8" s="52">
        <f>BALANCING!AIX8-120</f>
        <v>4479</v>
      </c>
      <c r="AIY8" s="52">
        <f>BALANCING!AIY8-120</f>
        <v>4479</v>
      </c>
      <c r="AIZ8" s="52">
        <f>BALANCING!AIZ8-120</f>
        <v>4479</v>
      </c>
      <c r="AJA8" s="52">
        <f>BALANCING!AJA8-120</f>
        <v>4479</v>
      </c>
      <c r="AJB8" s="52">
        <f>BALANCING!AJB8-120</f>
        <v>4479</v>
      </c>
      <c r="AJC8" s="52">
        <f>BALANCING!AJC8-120</f>
        <v>4479</v>
      </c>
      <c r="AJD8" s="52">
        <f>BALANCING!AJD8-120</f>
        <v>4479</v>
      </c>
      <c r="AJE8" s="52">
        <f>BALANCING!AJE8-120</f>
        <v>4479</v>
      </c>
      <c r="AJF8" s="52">
        <f>BALANCING!AJF8-120</f>
        <v>4479</v>
      </c>
      <c r="AJG8" s="52">
        <f>BALANCING!AJG8-120</f>
        <v>4479</v>
      </c>
      <c r="AJH8" s="52">
        <f>BALANCING!AJH8-120</f>
        <v>4479</v>
      </c>
      <c r="AJI8" s="52">
        <f>BALANCING!AJI8-120</f>
        <v>4479</v>
      </c>
      <c r="AJJ8" s="52">
        <f>BALANCING!AJJ8-120</f>
        <v>4479</v>
      </c>
      <c r="AJK8" s="145"/>
      <c r="AJL8" s="52">
        <f>BALANCING!AJL8-120</f>
        <v>4479</v>
      </c>
      <c r="AJM8" s="52">
        <f>BALANCING!AJM8-120</f>
        <v>4479</v>
      </c>
      <c r="AJN8" s="52">
        <f>BALANCING!AJN8-120</f>
        <v>4479</v>
      </c>
      <c r="AJO8" s="52">
        <f>BALANCING!AJO8-120</f>
        <v>4479</v>
      </c>
      <c r="AJP8" s="52">
        <f>BALANCING!AJP8-120</f>
        <v>4479</v>
      </c>
      <c r="AJQ8" s="52">
        <f>BALANCING!AJQ8-120</f>
        <v>4479</v>
      </c>
      <c r="AJR8" s="52">
        <f>BALANCING!AJR8-120</f>
        <v>4479</v>
      </c>
      <c r="AJS8" s="52">
        <f>BALANCING!AJS8-120</f>
        <v>4479</v>
      </c>
      <c r="AJT8" s="52">
        <f>BALANCING!AJT8-120</f>
        <v>4479</v>
      </c>
      <c r="AJU8" s="52">
        <f>BALANCING!AJU8-120</f>
        <v>4479</v>
      </c>
      <c r="AJV8" s="52">
        <f>BALANCING!AJV8-120</f>
        <v>4479</v>
      </c>
      <c r="AJW8" s="52">
        <f>BALANCING!AJW8-120</f>
        <v>4479</v>
      </c>
      <c r="AJX8" s="52">
        <f>BALANCING!AJX8-120</f>
        <v>4479</v>
      </c>
      <c r="AJY8" s="52">
        <f>BALANCING!AJY8-120</f>
        <v>4479</v>
      </c>
      <c r="AJZ8" s="52">
        <f>BALANCING!AJZ8-120</f>
        <v>4479</v>
      </c>
      <c r="AKA8" s="52">
        <f>BALANCING!AKA8-120</f>
        <v>4479</v>
      </c>
      <c r="AKB8" s="52">
        <f>BALANCING!AKB8-120</f>
        <v>4479</v>
      </c>
      <c r="AKC8" s="52">
        <f>BALANCING!AKC8-120</f>
        <v>4479</v>
      </c>
      <c r="AKD8" s="52">
        <f>BALANCING!AKD8-120</f>
        <v>4479</v>
      </c>
      <c r="AKE8" s="52">
        <f>BALANCING!AKE8-120</f>
        <v>4479</v>
      </c>
      <c r="AKF8" s="52">
        <f>BALANCING!AKF8-120</f>
        <v>4479</v>
      </c>
      <c r="AKG8" s="52">
        <f>BALANCING!AKG8-120</f>
        <v>4479</v>
      </c>
      <c r="AKH8" s="52">
        <f>BALANCING!AKH8-120</f>
        <v>4479</v>
      </c>
      <c r="AKI8" s="52">
        <f>BALANCING!AKI8-120</f>
        <v>4479</v>
      </c>
      <c r="AKJ8" s="52">
        <f>BALANCING!AKJ8-120</f>
        <v>4479</v>
      </c>
      <c r="AKK8" s="52">
        <f>BALANCING!AKK8-120</f>
        <v>4479</v>
      </c>
      <c r="AKL8" s="52">
        <f>BALANCING!AKL8-120</f>
        <v>4479</v>
      </c>
      <c r="AKM8" s="52">
        <f>BALANCING!AKM8-120</f>
        <v>4479</v>
      </c>
      <c r="AKN8" s="151"/>
      <c r="AKO8" s="52">
        <f>BALANCING!AKO8-120</f>
        <v>4479</v>
      </c>
      <c r="AKP8" s="52">
        <f>BALANCING!AKP8-120</f>
        <v>4479</v>
      </c>
      <c r="AKQ8" s="52">
        <f>BALANCING!AKQ8-120</f>
        <v>4479</v>
      </c>
      <c r="AKR8" s="52">
        <f>BALANCING!AKR8-120</f>
        <v>4479</v>
      </c>
      <c r="AKS8" s="52">
        <f>BALANCING!AKS8-120</f>
        <v>4479</v>
      </c>
      <c r="AKT8" s="52">
        <f>BALANCING!AKT8-120</f>
        <v>4479</v>
      </c>
      <c r="AKU8" s="52">
        <f>BALANCING!AKU8-120</f>
        <v>4479</v>
      </c>
      <c r="AKV8" s="52">
        <f>BALANCING!AKV8-120</f>
        <v>4479</v>
      </c>
      <c r="AKW8" s="52">
        <f>BALANCING!AKW8-120</f>
        <v>4479</v>
      </c>
      <c r="AKX8" s="52">
        <f>BALANCING!AKX8-120</f>
        <v>4479</v>
      </c>
      <c r="AKY8" s="52">
        <f>BALANCING!AKY8-120</f>
        <v>4529</v>
      </c>
      <c r="AKZ8" s="52">
        <f>BALANCING!AKZ8-120</f>
        <v>4529</v>
      </c>
      <c r="ALA8" s="52">
        <f>BALANCING!ALA8-120</f>
        <v>4529</v>
      </c>
      <c r="ALB8" s="52">
        <f>BALANCING!ALB8-120</f>
        <v>4529</v>
      </c>
      <c r="ALC8" s="52">
        <f>BALANCING!ALC8-120</f>
        <v>4529</v>
      </c>
      <c r="ALD8" s="52">
        <f>BALANCING!ALD8-120</f>
        <v>4529</v>
      </c>
      <c r="ALE8" s="52">
        <f>BALANCING!ALE8-120</f>
        <v>4529</v>
      </c>
      <c r="ALF8" s="52">
        <f>BALANCING!ALF8-120</f>
        <v>4579</v>
      </c>
      <c r="ALG8" s="52">
        <f>BALANCING!ALG8-120</f>
        <v>4579</v>
      </c>
      <c r="ALH8" s="52">
        <f>BALANCING!ALH8-120</f>
        <v>4579</v>
      </c>
      <c r="ALI8" s="52">
        <f>BALANCING!ALI8-120</f>
        <v>4579</v>
      </c>
      <c r="ALJ8" s="52">
        <f>BALANCING!ALJ8-120</f>
        <v>4579</v>
      </c>
      <c r="ALK8" s="52">
        <f>BALANCING!ALK8-120</f>
        <v>4579</v>
      </c>
      <c r="ALL8" s="52">
        <f>BALANCING!ALL8-120</f>
        <v>4880</v>
      </c>
      <c r="ALM8" s="52">
        <f>BALANCING!ALM8-120</f>
        <v>4880</v>
      </c>
      <c r="ALN8" s="52">
        <f>BALANCING!ALN8-120</f>
        <v>4880</v>
      </c>
      <c r="ALO8" s="52">
        <f>BALANCING!ALO8-120</f>
        <v>4880</v>
      </c>
      <c r="ALP8" s="52">
        <f>BALANCING!ALP8-120</f>
        <v>4880</v>
      </c>
      <c r="ALQ8" s="52">
        <f>BALANCING!ALQ8-120</f>
        <v>4880</v>
      </c>
      <c r="ALR8" s="52">
        <v>4880</v>
      </c>
      <c r="ALS8" s="52">
        <f>BALANCING!ALS8-120</f>
        <v>4929</v>
      </c>
      <c r="ALT8" s="130"/>
      <c r="ALU8" s="52">
        <f>BALANCING!ALU8-120</f>
        <v>4929</v>
      </c>
      <c r="ALV8" s="52">
        <f>BALANCING!ALV8-120</f>
        <v>4929</v>
      </c>
      <c r="ALW8" s="52">
        <f>BALANCING!ALW8-120</f>
        <v>5029</v>
      </c>
      <c r="ALX8" s="52">
        <f>BALANCING!ALX8-120</f>
        <v>5029</v>
      </c>
      <c r="ALY8" s="52">
        <f>BALANCING!ALY8-120</f>
        <v>5029</v>
      </c>
      <c r="ALZ8" s="52">
        <v>5029</v>
      </c>
      <c r="AMA8" s="52">
        <f>BALANCING!AMA8-120</f>
        <v>5029</v>
      </c>
      <c r="AMB8" s="52">
        <f>BALANCING!AMB8-120</f>
        <v>5029</v>
      </c>
      <c r="AMC8" s="52">
        <f>BALANCING!AMC8-120</f>
        <v>5029</v>
      </c>
      <c r="AMD8" s="52">
        <f>BALANCING!AMD8-120</f>
        <v>5029</v>
      </c>
      <c r="AME8" s="52">
        <f>BALANCING!AME8-120</f>
        <v>5029</v>
      </c>
      <c r="AMF8" s="52">
        <f>BALANCING!AMF8-120</f>
        <v>5029</v>
      </c>
      <c r="AMG8" s="52">
        <f>BALANCING!AMG8-120</f>
        <v>5029</v>
      </c>
      <c r="AMH8" s="52">
        <f>BALANCING!AMH8-120</f>
        <v>5029</v>
      </c>
      <c r="AMI8" s="52">
        <f>BALANCING!AMI8-120</f>
        <v>5079</v>
      </c>
      <c r="AMJ8" s="52">
        <f>BALANCING!AMJ8-120</f>
        <v>5079</v>
      </c>
      <c r="AMK8" s="52">
        <f>BALANCING!AMK8-120</f>
        <v>5129</v>
      </c>
      <c r="AML8" s="52">
        <f>BALANCING!AML8-120</f>
        <v>5129</v>
      </c>
      <c r="AMM8" s="52">
        <f>BALANCING!AMM8-120</f>
        <v>5129</v>
      </c>
      <c r="AMN8" s="52">
        <f>BALANCING!AMN8-120</f>
        <v>5129</v>
      </c>
      <c r="AMO8" s="52">
        <f>BALANCING!AMO8-120</f>
        <v>5129</v>
      </c>
      <c r="AMP8" s="52">
        <f>BALANCING!AMP8-120</f>
        <v>5129</v>
      </c>
      <c r="AMQ8" s="52">
        <f>BALANCING!AMQ8-120</f>
        <v>5129</v>
      </c>
      <c r="AMR8" s="52">
        <f>BALANCING!AMR8-120</f>
        <v>5129</v>
      </c>
      <c r="AMS8" s="52">
        <f>BALANCING!AMS8-120</f>
        <v>5129</v>
      </c>
      <c r="AMT8" s="52">
        <f>BALANCING!AMT8-120</f>
        <v>5129</v>
      </c>
      <c r="AMU8" s="52">
        <f>BALANCING!AMU8-120</f>
        <v>5129</v>
      </c>
      <c r="AMV8" s="52">
        <f>BALANCING!AMV8-120</f>
        <v>5129</v>
      </c>
      <c r="AMW8" s="52">
        <f>BALANCING!AMW8-120</f>
        <v>5209</v>
      </c>
      <c r="AMX8" s="52">
        <f>BALANCING!AMX8-120</f>
        <v>5209</v>
      </c>
      <c r="AMY8" s="130"/>
      <c r="AMZ8" s="52">
        <f>BALANCING!AMZ8-120</f>
        <v>5509</v>
      </c>
      <c r="ANA8" s="52">
        <f>BALANCING!ANA8-120</f>
        <v>5509</v>
      </c>
      <c r="ANB8" s="52">
        <f>BALANCING!ANB8-120</f>
        <v>5509</v>
      </c>
      <c r="ANC8" s="52">
        <f>BALANCING!ANC8-120</f>
        <v>5509</v>
      </c>
      <c r="AND8" s="52">
        <f>BALANCING!AND8-120</f>
        <v>5509</v>
      </c>
      <c r="ANE8" s="52">
        <f>BALANCING!ANE8-120</f>
        <v>5509</v>
      </c>
      <c r="ANF8" s="52">
        <f>BALANCING!ANF8-120</f>
        <v>5509</v>
      </c>
      <c r="ANG8" s="52">
        <f>BALANCING!ANG8-120</f>
        <v>5509</v>
      </c>
      <c r="ANH8" s="52">
        <f>BALANCING!ANH8-120</f>
        <v>5509</v>
      </c>
      <c r="ANI8" s="52">
        <f>BALANCING!ANI8-120</f>
        <v>5509</v>
      </c>
      <c r="ANJ8" s="52">
        <f>BALANCING!ANJ8-120</f>
        <v>5509</v>
      </c>
      <c r="ANK8" s="52">
        <f>BALANCING!ANK8-120</f>
        <v>5509</v>
      </c>
      <c r="ANL8" s="52">
        <f>BALANCING!ANL8-120</f>
        <v>5509</v>
      </c>
      <c r="ANM8" s="52">
        <f>BALANCING!ANM8-120</f>
        <v>5509</v>
      </c>
      <c r="ANN8" s="52">
        <f>BALANCING!ANN8-120</f>
        <v>5509</v>
      </c>
      <c r="ANO8" s="52">
        <f>BALANCING!ANO8-120</f>
        <v>5509</v>
      </c>
      <c r="ANP8" s="52">
        <f>BALANCING!ANP8-120</f>
        <v>5780</v>
      </c>
      <c r="ANQ8" s="52">
        <f>BALANCING!ANQ8-120</f>
        <v>5780</v>
      </c>
      <c r="ANR8" s="52">
        <f>BALANCING!ANR8-120</f>
        <v>5780</v>
      </c>
      <c r="ANS8" s="52">
        <f>BALANCING!ANS8-120</f>
        <v>5780</v>
      </c>
      <c r="ANT8" s="52">
        <f>BALANCING!ANT8-120</f>
        <v>5780</v>
      </c>
      <c r="ANU8" s="52">
        <f>BALANCING!ANU8-120</f>
        <v>5780</v>
      </c>
      <c r="ANV8" s="52">
        <f>BALANCING!ANV8-120</f>
        <v>6329</v>
      </c>
      <c r="ANW8" s="52">
        <f>BALANCING!ANW8-120</f>
        <v>6329</v>
      </c>
      <c r="ANX8" s="52">
        <f>BALANCING!ANX8-120</f>
        <v>6329</v>
      </c>
      <c r="ANY8" s="52">
        <f>BALANCING!ANY8-120</f>
        <v>6329</v>
      </c>
      <c r="ANZ8" s="52">
        <f>BALANCING!ANZ8-120</f>
        <v>6329</v>
      </c>
      <c r="AOA8" s="52">
        <f>BALANCING!AOA8-120</f>
        <v>6329</v>
      </c>
      <c r="AOB8" s="52">
        <f>BALANCING!AOB8-120</f>
        <v>6370</v>
      </c>
      <c r="AOC8" s="52">
        <f>BALANCING!AOC8-120</f>
        <v>6370</v>
      </c>
    </row>
    <row r="9" spans="1:1069" x14ac:dyDescent="0.2">
      <c r="A9" s="160"/>
      <c r="B9" t="s">
        <v>1640</v>
      </c>
      <c r="C9" s="52">
        <f t="shared" ref="C9:AG9" si="43">C8*C7</f>
        <v>59866651.700000003</v>
      </c>
      <c r="D9" s="52">
        <f t="shared" si="43"/>
        <v>55316800</v>
      </c>
      <c r="E9" s="52">
        <f t="shared" si="43"/>
        <v>52263600</v>
      </c>
      <c r="F9" s="52">
        <f t="shared" si="43"/>
        <v>47540120</v>
      </c>
      <c r="G9" s="52">
        <f t="shared" si="43"/>
        <v>41360802.399999999</v>
      </c>
      <c r="H9" s="52">
        <f t="shared" si="43"/>
        <v>37716000</v>
      </c>
      <c r="I9" s="52">
        <f t="shared" si="43"/>
        <v>32866800</v>
      </c>
      <c r="J9" s="52">
        <f t="shared" si="43"/>
        <v>28867202</v>
      </c>
      <c r="K9" s="52">
        <f t="shared" si="43"/>
        <v>24934000</v>
      </c>
      <c r="L9" s="52">
        <f t="shared" si="43"/>
        <v>20930000</v>
      </c>
      <c r="M9" s="52">
        <f t="shared" si="43"/>
        <v>75530000</v>
      </c>
      <c r="N9" s="52">
        <f t="shared" si="43"/>
        <v>72390500</v>
      </c>
      <c r="O9" s="52">
        <f t="shared" si="43"/>
        <v>68918850</v>
      </c>
      <c r="P9" s="52">
        <f t="shared" si="43"/>
        <v>65292500</v>
      </c>
      <c r="Q9" s="52">
        <f t="shared" si="43"/>
        <v>61370400</v>
      </c>
      <c r="R9" s="52">
        <f t="shared" si="43"/>
        <v>58594900</v>
      </c>
      <c r="S9" s="52">
        <f t="shared" si="43"/>
        <v>52538850</v>
      </c>
      <c r="T9" s="52">
        <f t="shared" si="43"/>
        <v>49085400</v>
      </c>
      <c r="U9" s="52">
        <f t="shared" si="43"/>
        <v>45850350</v>
      </c>
      <c r="V9" s="52">
        <f t="shared" si="43"/>
        <v>42073850</v>
      </c>
      <c r="W9" s="52">
        <f t="shared" si="43"/>
        <v>37878750</v>
      </c>
      <c r="X9" s="52">
        <f t="shared" si="43"/>
        <v>33579000</v>
      </c>
      <c r="Y9" s="52">
        <f t="shared" si="43"/>
        <v>29470350</v>
      </c>
      <c r="Z9" s="52">
        <f t="shared" si="43"/>
        <v>25480000</v>
      </c>
      <c r="AA9" s="52">
        <f t="shared" si="43"/>
        <v>65724750</v>
      </c>
      <c r="AB9" s="52">
        <f t="shared" si="43"/>
        <v>60765250</v>
      </c>
      <c r="AC9" s="52">
        <f t="shared" si="43"/>
        <v>56720300</v>
      </c>
      <c r="AD9" s="52">
        <f t="shared" si="43"/>
        <v>53112150</v>
      </c>
      <c r="AE9" s="52">
        <f t="shared" si="43"/>
        <v>47299950</v>
      </c>
      <c r="AF9" s="52">
        <f t="shared" si="43"/>
        <v>41511960</v>
      </c>
      <c r="AG9" s="52">
        <f t="shared" si="43"/>
        <v>36155430</v>
      </c>
      <c r="AH9" s="67">
        <f>AG9</f>
        <v>36155430</v>
      </c>
      <c r="AI9" s="52">
        <f t="shared" ref="AI9:BL9" si="44">AI8*AI7</f>
        <v>76790700</v>
      </c>
      <c r="AJ9" s="52">
        <f t="shared" si="44"/>
        <v>70415190</v>
      </c>
      <c r="AK9" s="52">
        <f t="shared" si="44"/>
        <v>64613430</v>
      </c>
      <c r="AL9" s="52">
        <f t="shared" si="44"/>
        <v>57834000</v>
      </c>
      <c r="AM9" s="52">
        <f t="shared" si="44"/>
        <v>50811300</v>
      </c>
      <c r="AN9" s="52">
        <f t="shared" si="44"/>
        <v>42228000</v>
      </c>
      <c r="AO9" s="52">
        <f t="shared" si="44"/>
        <v>34613190</v>
      </c>
      <c r="AP9" s="52">
        <f t="shared" si="44"/>
        <v>25557120</v>
      </c>
      <c r="AQ9" s="52">
        <f t="shared" si="44"/>
        <v>68504500</v>
      </c>
      <c r="AR9" s="52">
        <f t="shared" si="44"/>
        <v>62225000</v>
      </c>
      <c r="AS9" s="52">
        <f t="shared" si="44"/>
        <v>55898000</v>
      </c>
      <c r="AT9" s="52">
        <f t="shared" si="44"/>
        <v>50459250</v>
      </c>
      <c r="AU9" s="52">
        <f t="shared" si="44"/>
        <v>45932500</v>
      </c>
      <c r="AV9" s="52">
        <f t="shared" si="44"/>
        <v>42129600</v>
      </c>
      <c r="AW9" s="52">
        <f t="shared" si="44"/>
        <v>37161600</v>
      </c>
      <c r="AX9" s="52">
        <f t="shared" si="44"/>
        <v>32318400</v>
      </c>
      <c r="AY9" s="52">
        <f t="shared" si="44"/>
        <v>27384000</v>
      </c>
      <c r="AZ9" s="52">
        <f t="shared" si="44"/>
        <v>22416000</v>
      </c>
      <c r="BA9" s="52">
        <f t="shared" si="44"/>
        <v>17280000</v>
      </c>
      <c r="BB9" s="52">
        <f t="shared" si="44"/>
        <v>75840000</v>
      </c>
      <c r="BC9" s="52">
        <f t="shared" si="44"/>
        <v>71040000</v>
      </c>
      <c r="BD9" s="52">
        <f t="shared" si="44"/>
        <v>65558400</v>
      </c>
      <c r="BE9" s="52">
        <f t="shared" si="44"/>
        <v>59164800</v>
      </c>
      <c r="BF9" s="52">
        <f t="shared" si="44"/>
        <v>54590400</v>
      </c>
      <c r="BG9" s="52">
        <f t="shared" si="44"/>
        <v>49804800</v>
      </c>
      <c r="BH9" s="52">
        <f t="shared" si="44"/>
        <v>44611200</v>
      </c>
      <c r="BI9" s="52">
        <f t="shared" si="44"/>
        <v>39417600</v>
      </c>
      <c r="BJ9" s="52">
        <f t="shared" si="44"/>
        <v>34163400</v>
      </c>
      <c r="BK9" s="52">
        <f t="shared" si="44"/>
        <v>28372500</v>
      </c>
      <c r="BL9" s="52">
        <f t="shared" si="44"/>
        <v>81984400</v>
      </c>
      <c r="BM9" s="106">
        <f>BL9</f>
        <v>81984400</v>
      </c>
      <c r="BN9" s="52">
        <f t="shared" ref="BN9:CR9" si="45">BN8*BN7</f>
        <v>78133500</v>
      </c>
      <c r="BO9" s="52">
        <f t="shared" si="45"/>
        <v>73720000</v>
      </c>
      <c r="BP9" s="52">
        <f t="shared" si="45"/>
        <v>68152200</v>
      </c>
      <c r="BQ9" s="52">
        <f t="shared" si="45"/>
        <v>63316750</v>
      </c>
      <c r="BR9" s="52">
        <f t="shared" si="45"/>
        <v>55920500</v>
      </c>
      <c r="BS9" s="52">
        <f t="shared" si="45"/>
        <v>49712500</v>
      </c>
      <c r="BT9" s="52">
        <f t="shared" si="45"/>
        <v>44561800</v>
      </c>
      <c r="BU9" s="52">
        <f t="shared" si="45"/>
        <v>40841850</v>
      </c>
      <c r="BV9" s="52">
        <f t="shared" si="45"/>
        <v>34435000</v>
      </c>
      <c r="BW9" s="52">
        <f t="shared" si="45"/>
        <v>29420100</v>
      </c>
      <c r="BX9" s="52">
        <f t="shared" si="45"/>
        <v>24735000</v>
      </c>
      <c r="BY9" s="52">
        <f t="shared" si="45"/>
        <v>20370000</v>
      </c>
      <c r="BZ9" s="52">
        <f t="shared" si="45"/>
        <v>14811900</v>
      </c>
      <c r="CA9" s="52">
        <f t="shared" si="45"/>
        <v>33794800</v>
      </c>
      <c r="CB9" s="52">
        <f t="shared" si="45"/>
        <v>29958450</v>
      </c>
      <c r="CC9" s="52">
        <f t="shared" si="45"/>
        <v>25312150</v>
      </c>
      <c r="CD9" s="52">
        <f t="shared" si="45"/>
        <v>19885000</v>
      </c>
      <c r="CE9" s="52">
        <f t="shared" si="45"/>
        <v>58767450</v>
      </c>
      <c r="CF9" s="52">
        <f t="shared" si="45"/>
        <v>55435500</v>
      </c>
      <c r="CG9" s="52">
        <f t="shared" si="45"/>
        <v>50721300</v>
      </c>
      <c r="CH9" s="52">
        <f t="shared" si="45"/>
        <v>46366000</v>
      </c>
      <c r="CI9" s="52">
        <f t="shared" si="45"/>
        <v>42733350</v>
      </c>
      <c r="CJ9" s="52">
        <f t="shared" si="45"/>
        <v>38688450</v>
      </c>
      <c r="CK9" s="52">
        <f t="shared" si="45"/>
        <v>33387400</v>
      </c>
      <c r="CL9" s="52">
        <f t="shared" si="45"/>
        <v>78574850</v>
      </c>
      <c r="CM9" s="52">
        <f t="shared" si="45"/>
        <v>74690000</v>
      </c>
      <c r="CN9" s="52">
        <f t="shared" si="45"/>
        <v>70717850</v>
      </c>
      <c r="CO9" s="52">
        <f t="shared" si="45"/>
        <v>64878450</v>
      </c>
      <c r="CP9" s="52">
        <f t="shared" si="45"/>
        <v>61401000</v>
      </c>
      <c r="CQ9" s="52">
        <f t="shared" si="45"/>
        <v>56551000</v>
      </c>
      <c r="CR9" s="52">
        <f t="shared" si="45"/>
        <v>52093850</v>
      </c>
      <c r="CT9" s="52">
        <f t="shared" ref="CT9:DW9" si="46">CT8*CT7</f>
        <v>47297200</v>
      </c>
      <c r="CU9" s="52">
        <f t="shared" si="46"/>
        <v>43165000</v>
      </c>
      <c r="CV9" s="52">
        <f t="shared" si="46"/>
        <v>38368350</v>
      </c>
      <c r="CW9" s="52">
        <f t="shared" si="46"/>
        <v>32655050</v>
      </c>
      <c r="CX9" s="52">
        <f t="shared" si="46"/>
        <v>27955400</v>
      </c>
      <c r="CY9" s="52">
        <f t="shared" si="46"/>
        <v>23183000</v>
      </c>
      <c r="CZ9" s="52">
        <f t="shared" si="46"/>
        <v>65901800</v>
      </c>
      <c r="DA9" s="52">
        <f t="shared" si="46"/>
        <v>60998450</v>
      </c>
      <c r="DB9" s="52">
        <f t="shared" si="46"/>
        <v>55775000</v>
      </c>
      <c r="DC9" s="52">
        <f t="shared" si="46"/>
        <v>50983200</v>
      </c>
      <c r="DD9" s="52">
        <f t="shared" si="46"/>
        <v>45245650</v>
      </c>
      <c r="DE9" s="52">
        <f t="shared" si="46"/>
        <v>42568450</v>
      </c>
      <c r="DF9" s="52">
        <f t="shared" si="46"/>
        <v>40255000</v>
      </c>
      <c r="DG9" s="52">
        <f t="shared" si="46"/>
        <v>35405000</v>
      </c>
      <c r="DH9" s="52">
        <f t="shared" si="46"/>
        <v>76900140</v>
      </c>
      <c r="DI9" s="52">
        <f t="shared" si="46"/>
        <v>72694740</v>
      </c>
      <c r="DJ9" s="52">
        <f t="shared" si="46"/>
        <v>64489320</v>
      </c>
      <c r="DK9" s="52">
        <f t="shared" si="46"/>
        <v>60014970</v>
      </c>
      <c r="DL9" s="52">
        <f t="shared" si="46"/>
        <v>56616420</v>
      </c>
      <c r="DM9" s="52">
        <f t="shared" si="46"/>
        <v>49711740</v>
      </c>
      <c r="DN9" s="52">
        <f t="shared" si="46"/>
        <v>45618810</v>
      </c>
      <c r="DO9" s="52">
        <f t="shared" si="46"/>
        <v>39682350</v>
      </c>
      <c r="DP9" s="52">
        <f t="shared" si="46"/>
        <v>35208000</v>
      </c>
      <c r="DQ9" s="52">
        <f t="shared" si="46"/>
        <v>30425580</v>
      </c>
      <c r="DR9" s="52">
        <f t="shared" si="46"/>
        <v>70636050</v>
      </c>
      <c r="DS9" s="52">
        <f t="shared" si="46"/>
        <v>66015000</v>
      </c>
      <c r="DT9" s="52">
        <f t="shared" si="46"/>
        <v>60274140</v>
      </c>
      <c r="DU9" s="52">
        <f t="shared" si="46"/>
        <v>53902470</v>
      </c>
      <c r="DV9" s="52">
        <f t="shared" si="46"/>
        <v>48518580</v>
      </c>
      <c r="DW9" s="52">
        <f t="shared" si="46"/>
        <v>43951320</v>
      </c>
      <c r="DX9" s="117"/>
      <c r="DY9" s="52">
        <f t="shared" ref="DY9:FC9" si="47">DY8*DY7</f>
        <v>39271590</v>
      </c>
      <c r="DZ9" s="52">
        <f t="shared" si="47"/>
        <v>33300900</v>
      </c>
      <c r="EA9" s="52">
        <f t="shared" si="47"/>
        <v>29393790</v>
      </c>
      <c r="EB9" s="52">
        <f t="shared" si="47"/>
        <v>24939000</v>
      </c>
      <c r="EC9" s="52">
        <f t="shared" si="47"/>
        <v>19652910</v>
      </c>
      <c r="ED9" s="52">
        <f t="shared" si="47"/>
        <v>14846040</v>
      </c>
      <c r="EE9" s="52">
        <f t="shared" si="47"/>
        <v>43545450</v>
      </c>
      <c r="EF9" s="52">
        <f t="shared" si="47"/>
        <v>38464740</v>
      </c>
      <c r="EG9" s="52">
        <f t="shared" si="47"/>
        <v>30661250</v>
      </c>
      <c r="EH9" s="52">
        <f t="shared" si="47"/>
        <v>25431500</v>
      </c>
      <c r="EI9" s="52">
        <f t="shared" si="47"/>
        <v>19688750</v>
      </c>
      <c r="EJ9" s="52">
        <f t="shared" si="47"/>
        <v>12597000</v>
      </c>
      <c r="EK9" s="52">
        <f t="shared" si="47"/>
        <v>7305500</v>
      </c>
      <c r="EL9" s="52">
        <f t="shared" si="47"/>
        <v>47338500</v>
      </c>
      <c r="EM9" s="52">
        <f t="shared" si="47"/>
        <v>40755000</v>
      </c>
      <c r="EN9" s="52">
        <f t="shared" si="47"/>
        <v>35596500</v>
      </c>
      <c r="EO9" s="52">
        <f t="shared" si="47"/>
        <v>30661250</v>
      </c>
      <c r="EP9" s="52">
        <f t="shared" si="47"/>
        <v>24510000</v>
      </c>
      <c r="EQ9" s="52">
        <f t="shared" si="47"/>
        <v>19631750</v>
      </c>
      <c r="ER9" s="52">
        <f t="shared" si="47"/>
        <v>75715000</v>
      </c>
      <c r="ES9" s="52">
        <f t="shared" si="47"/>
        <v>66899000</v>
      </c>
      <c r="ET9" s="52">
        <f t="shared" si="47"/>
        <v>59736000</v>
      </c>
      <c r="EU9" s="52">
        <f t="shared" si="47"/>
        <v>50573250</v>
      </c>
      <c r="EV9" s="52">
        <f t="shared" si="47"/>
        <v>45191500</v>
      </c>
      <c r="EW9" s="52">
        <f t="shared" si="47"/>
        <v>42522000</v>
      </c>
      <c r="EX9" s="52">
        <f t="shared" si="47"/>
        <v>38399000</v>
      </c>
      <c r="EY9" s="52">
        <f t="shared" si="47"/>
        <v>34390000</v>
      </c>
      <c r="EZ9" s="52">
        <f t="shared" si="47"/>
        <v>29711250</v>
      </c>
      <c r="FA9" s="52">
        <f t="shared" si="47"/>
        <v>72475500</v>
      </c>
      <c r="FB9" s="52">
        <f t="shared" si="47"/>
        <v>66946500</v>
      </c>
      <c r="FC9" s="52">
        <f t="shared" si="47"/>
        <v>62486250</v>
      </c>
      <c r="FD9" s="126"/>
      <c r="FE9" s="52">
        <f t="shared" ref="FE9:GI9" si="48">FE8*FE7</f>
        <v>58149500</v>
      </c>
      <c r="FF9" s="52">
        <f t="shared" si="48"/>
        <v>54292500</v>
      </c>
      <c r="FG9" s="52">
        <f t="shared" si="48"/>
        <v>48079500</v>
      </c>
      <c r="FH9" s="52">
        <f t="shared" si="48"/>
        <v>43063500</v>
      </c>
      <c r="FI9" s="52">
        <f t="shared" si="48"/>
        <v>38199500</v>
      </c>
      <c r="FJ9" s="52">
        <f t="shared" si="48"/>
        <v>32699000</v>
      </c>
      <c r="FK9" s="52">
        <f t="shared" si="48"/>
        <v>28025000</v>
      </c>
      <c r="FL9" s="52">
        <f t="shared" si="48"/>
        <v>24225000</v>
      </c>
      <c r="FM9" s="52">
        <f t="shared" si="48"/>
        <v>18197250</v>
      </c>
      <c r="FN9" s="52">
        <f t="shared" si="48"/>
        <v>14506500</v>
      </c>
      <c r="FO9" s="52">
        <f t="shared" si="48"/>
        <v>42631250</v>
      </c>
      <c r="FP9" s="52">
        <f t="shared" si="48"/>
        <v>34874500</v>
      </c>
      <c r="FQ9" s="52">
        <f t="shared" si="48"/>
        <v>30927250</v>
      </c>
      <c r="FR9" s="52">
        <f t="shared" si="48"/>
        <v>25194000</v>
      </c>
      <c r="FS9" s="52">
        <f t="shared" si="48"/>
        <v>18748250</v>
      </c>
      <c r="FT9" s="52">
        <f t="shared" si="48"/>
        <v>14463750</v>
      </c>
      <c r="FU9" s="52">
        <f t="shared" si="48"/>
        <v>8293500</v>
      </c>
      <c r="FV9" s="52">
        <f t="shared" si="48"/>
        <v>40802500</v>
      </c>
      <c r="FW9" s="52">
        <f t="shared" si="48"/>
        <v>35596500</v>
      </c>
      <c r="FX9" s="52">
        <f t="shared" si="48"/>
        <v>29925000</v>
      </c>
      <c r="FY9" s="52">
        <f t="shared" si="48"/>
        <v>25260500</v>
      </c>
      <c r="FZ9" s="52">
        <f t="shared" si="48"/>
        <v>19427500</v>
      </c>
      <c r="GA9" s="52">
        <f t="shared" si="48"/>
        <v>12264500</v>
      </c>
      <c r="GB9" s="52">
        <f t="shared" si="48"/>
        <v>45652250</v>
      </c>
      <c r="GC9" s="52">
        <f t="shared" si="48"/>
        <v>41534000</v>
      </c>
      <c r="GD9" s="52">
        <f t="shared" si="48"/>
        <v>35506250</v>
      </c>
      <c r="GE9" s="52">
        <f t="shared" si="48"/>
        <v>29925000</v>
      </c>
      <c r="GF9" s="52">
        <f t="shared" si="48"/>
        <v>24557500</v>
      </c>
      <c r="GG9" s="52">
        <f t="shared" si="48"/>
        <v>17575000</v>
      </c>
      <c r="GH9" s="52">
        <f t="shared" si="48"/>
        <v>11219500</v>
      </c>
      <c r="GI9" s="52">
        <f t="shared" si="48"/>
        <v>5590750</v>
      </c>
      <c r="GJ9" s="130"/>
      <c r="GK9" s="52">
        <f t="shared" ref="GK9:HM9" si="49">GK8*GK7</f>
        <v>38446500</v>
      </c>
      <c r="GL9" s="52">
        <f t="shared" si="49"/>
        <v>32034000</v>
      </c>
      <c r="GM9" s="52">
        <f t="shared" si="49"/>
        <v>26932500</v>
      </c>
      <c r="GN9" s="52">
        <f t="shared" si="49"/>
        <v>23346250</v>
      </c>
      <c r="GO9" s="52">
        <f t="shared" si="49"/>
        <v>18149750</v>
      </c>
      <c r="GP9" s="52">
        <f t="shared" si="49"/>
        <v>51456750</v>
      </c>
      <c r="GQ9" s="52">
        <f t="shared" si="49"/>
        <v>45823250</v>
      </c>
      <c r="GR9" s="52">
        <f t="shared" si="49"/>
        <v>40185000</v>
      </c>
      <c r="GS9" s="52">
        <f t="shared" si="49"/>
        <v>35986000</v>
      </c>
      <c r="GT9" s="52">
        <f t="shared" si="49"/>
        <v>29606750</v>
      </c>
      <c r="GU9" s="52">
        <f t="shared" si="49"/>
        <v>25175000</v>
      </c>
      <c r="GV9" s="52">
        <f t="shared" si="49"/>
        <v>20548500</v>
      </c>
      <c r="GW9" s="52">
        <f t="shared" si="49"/>
        <v>16601250</v>
      </c>
      <c r="GX9" s="52">
        <f t="shared" si="49"/>
        <v>49566250</v>
      </c>
      <c r="GY9" s="52">
        <f t="shared" si="49"/>
        <v>45414750</v>
      </c>
      <c r="GZ9" s="52">
        <f t="shared" si="49"/>
        <v>40470000</v>
      </c>
      <c r="HA9" s="52">
        <f t="shared" si="49"/>
        <v>36712750</v>
      </c>
      <c r="HB9" s="52">
        <f t="shared" si="49"/>
        <v>33098000</v>
      </c>
      <c r="HC9" s="52">
        <f t="shared" si="49"/>
        <v>26490750</v>
      </c>
      <c r="HD9" s="52">
        <f t="shared" si="49"/>
        <v>50739500</v>
      </c>
      <c r="HE9" s="52">
        <f t="shared" si="49"/>
        <v>46440750</v>
      </c>
      <c r="HF9" s="52">
        <f t="shared" si="49"/>
        <v>41852250</v>
      </c>
      <c r="HG9" s="52">
        <f t="shared" si="49"/>
        <v>36936000</v>
      </c>
      <c r="HH9" s="52">
        <f t="shared" si="49"/>
        <v>29450000</v>
      </c>
      <c r="HI9" s="52">
        <f t="shared" si="49"/>
        <v>25697500</v>
      </c>
      <c r="HJ9" s="52">
        <f t="shared" si="49"/>
        <v>21099500</v>
      </c>
      <c r="HK9" s="52">
        <f t="shared" si="49"/>
        <v>16734250</v>
      </c>
      <c r="HL9" s="52">
        <f t="shared" si="49"/>
        <v>74299500</v>
      </c>
      <c r="HM9" s="52">
        <f t="shared" si="49"/>
        <v>69302500</v>
      </c>
      <c r="HN9" s="130"/>
      <c r="HO9" s="52">
        <f t="shared" ref="HO9:IS9" si="50">HO8*HO7</f>
        <v>64490750</v>
      </c>
      <c r="HP9" s="52">
        <f t="shared" si="50"/>
        <v>58149500</v>
      </c>
      <c r="HQ9" s="52">
        <f t="shared" si="50"/>
        <v>54021750</v>
      </c>
      <c r="HR9" s="52">
        <f t="shared" si="50"/>
        <v>46098750</v>
      </c>
      <c r="HS9" s="52">
        <f t="shared" si="50"/>
        <v>74247250</v>
      </c>
      <c r="HT9" s="52">
        <f t="shared" si="50"/>
        <v>68043750</v>
      </c>
      <c r="HU9" s="52">
        <f t="shared" si="50"/>
        <v>61237000</v>
      </c>
      <c r="HV9" s="52">
        <f t="shared" si="50"/>
        <v>56363500</v>
      </c>
      <c r="HW9" s="52">
        <f t="shared" si="50"/>
        <v>49566250</v>
      </c>
      <c r="HX9" s="52">
        <f t="shared" si="50"/>
        <v>44536000</v>
      </c>
      <c r="HY9" s="52">
        <f t="shared" si="50"/>
        <v>38950000</v>
      </c>
      <c r="HZ9" s="52">
        <f t="shared" si="50"/>
        <v>35012150</v>
      </c>
      <c r="IA9" s="52">
        <f t="shared" si="50"/>
        <v>30661700</v>
      </c>
      <c r="IB9" s="52">
        <f t="shared" si="50"/>
        <v>25220000</v>
      </c>
      <c r="IC9" s="52">
        <f t="shared" si="50"/>
        <v>20370000</v>
      </c>
      <c r="ID9" s="52">
        <f t="shared" si="50"/>
        <v>59727750</v>
      </c>
      <c r="IE9" s="52">
        <f t="shared" si="50"/>
        <v>55532500</v>
      </c>
      <c r="IF9" s="52">
        <f t="shared" si="50"/>
        <v>49925900</v>
      </c>
      <c r="IG9" s="52">
        <f t="shared" si="50"/>
        <v>44348400</v>
      </c>
      <c r="IH9" s="52">
        <f t="shared" si="50"/>
        <v>40225900</v>
      </c>
      <c r="II9" s="52">
        <f t="shared" si="50"/>
        <v>35196450</v>
      </c>
      <c r="IJ9" s="52">
        <f t="shared" si="50"/>
        <v>29420100</v>
      </c>
      <c r="IK9" s="52">
        <f t="shared" si="50"/>
        <v>23634050</v>
      </c>
      <c r="IL9" s="52">
        <f t="shared" si="50"/>
        <v>20088700</v>
      </c>
      <c r="IM9" s="52">
        <f t="shared" si="50"/>
        <v>13580000</v>
      </c>
      <c r="IN9" s="52">
        <f t="shared" si="50"/>
        <v>8579650</v>
      </c>
      <c r="IO9" s="52">
        <f t="shared" si="50"/>
        <v>57032070</v>
      </c>
      <c r="IP9" s="52">
        <f t="shared" si="50"/>
        <v>50904900</v>
      </c>
      <c r="IQ9" s="52">
        <f t="shared" si="50"/>
        <v>43276500</v>
      </c>
      <c r="IR9" s="52">
        <f t="shared" si="50"/>
        <v>39428070</v>
      </c>
      <c r="IS9" s="52">
        <f t="shared" si="50"/>
        <v>35794800</v>
      </c>
      <c r="IT9" s="130"/>
      <c r="IU9" s="52">
        <f t="shared" ref="IU9:JX9" si="51">IU8*IU7</f>
        <v>31672530</v>
      </c>
      <c r="IV9" s="52">
        <f t="shared" si="51"/>
        <v>25472010</v>
      </c>
      <c r="IW9" s="52">
        <f t="shared" si="51"/>
        <v>21305730</v>
      </c>
      <c r="IX9" s="52">
        <f t="shared" si="51"/>
        <v>16156560</v>
      </c>
      <c r="IY9" s="52">
        <f t="shared" si="51"/>
        <v>49168950</v>
      </c>
      <c r="IZ9" s="52">
        <f t="shared" si="51"/>
        <v>45447660</v>
      </c>
      <c r="JA9" s="52">
        <f t="shared" si="51"/>
        <v>41574780</v>
      </c>
      <c r="JB9" s="52">
        <f t="shared" si="51"/>
        <v>34934160</v>
      </c>
      <c r="JC9" s="52">
        <f t="shared" si="51"/>
        <v>39887730</v>
      </c>
      <c r="JD9" s="52">
        <f t="shared" si="51"/>
        <v>35530740</v>
      </c>
      <c r="JE9" s="52">
        <f t="shared" si="51"/>
        <v>30371790</v>
      </c>
      <c r="JF9" s="52">
        <f t="shared" si="51"/>
        <v>25134600</v>
      </c>
      <c r="JG9" s="52">
        <f t="shared" si="51"/>
        <v>76797450</v>
      </c>
      <c r="JH9" s="52">
        <f t="shared" si="51"/>
        <v>72435570</v>
      </c>
      <c r="JI9" s="52">
        <f t="shared" si="51"/>
        <v>67834080</v>
      </c>
      <c r="JJ9" s="52">
        <f t="shared" si="51"/>
        <v>63217920</v>
      </c>
      <c r="JK9" s="52">
        <f t="shared" si="51"/>
        <v>57594420</v>
      </c>
      <c r="JL9" s="52">
        <f t="shared" si="51"/>
        <v>52694640</v>
      </c>
      <c r="JM9" s="52">
        <f t="shared" si="51"/>
        <v>47403660</v>
      </c>
      <c r="JN9" s="52">
        <f t="shared" si="51"/>
        <v>42596790</v>
      </c>
      <c r="JO9" s="52">
        <f t="shared" si="51"/>
        <v>39633450</v>
      </c>
      <c r="JP9" s="52">
        <f t="shared" si="51"/>
        <v>32489160</v>
      </c>
      <c r="JQ9" s="52">
        <f t="shared" si="51"/>
        <v>28127280</v>
      </c>
      <c r="JR9" s="52">
        <f t="shared" si="51"/>
        <v>23985450</v>
      </c>
      <c r="JS9" s="52">
        <f t="shared" si="51"/>
        <v>19604010</v>
      </c>
      <c r="JT9" s="52">
        <f t="shared" si="51"/>
        <v>14670000</v>
      </c>
      <c r="JU9" s="52">
        <f t="shared" si="51"/>
        <v>58136760</v>
      </c>
      <c r="JV9" s="52">
        <f t="shared" si="51"/>
        <v>53676810</v>
      </c>
      <c r="JW9" s="52">
        <f t="shared" si="51"/>
        <v>48177000</v>
      </c>
      <c r="JX9" s="52">
        <f t="shared" si="51"/>
        <v>44050950</v>
      </c>
      <c r="JY9" s="139"/>
      <c r="JZ9" s="52">
        <f t="shared" ref="JZ9:LD9" si="52">JZ8*JZ7</f>
        <v>40688100</v>
      </c>
      <c r="KA9" s="52">
        <f t="shared" si="52"/>
        <v>36023040</v>
      </c>
      <c r="KB9" s="52">
        <f t="shared" si="52"/>
        <v>77498190</v>
      </c>
      <c r="KC9" s="52">
        <f t="shared" si="52"/>
        <v>73119330</v>
      </c>
      <c r="KD9" s="52">
        <f t="shared" si="52"/>
        <v>68449500</v>
      </c>
      <c r="KE9" s="52">
        <f t="shared" si="52"/>
        <v>63545940</v>
      </c>
      <c r="KF9" s="52">
        <f t="shared" si="52"/>
        <v>57464190</v>
      </c>
      <c r="KG9" s="52">
        <f t="shared" si="52"/>
        <v>52150410</v>
      </c>
      <c r="KH9" s="52">
        <f t="shared" si="52"/>
        <v>45396090</v>
      </c>
      <c r="KI9" s="52">
        <f t="shared" si="52"/>
        <v>39171240</v>
      </c>
      <c r="KJ9" s="52">
        <f t="shared" si="52"/>
        <v>33337530</v>
      </c>
      <c r="KK9" s="52">
        <f t="shared" si="52"/>
        <v>29149470</v>
      </c>
      <c r="KL9" s="52">
        <f t="shared" si="52"/>
        <v>19213560</v>
      </c>
      <c r="KM9" s="52">
        <f t="shared" si="52"/>
        <v>12192120</v>
      </c>
      <c r="KN9" s="52">
        <f t="shared" si="52"/>
        <v>7851420</v>
      </c>
      <c r="KO9" s="52">
        <f t="shared" si="52"/>
        <v>45424710</v>
      </c>
      <c r="KP9" s="52">
        <f t="shared" si="52"/>
        <v>38861190</v>
      </c>
      <c r="KQ9" s="52">
        <f t="shared" si="52"/>
        <v>31586940</v>
      </c>
      <c r="KR9" s="52">
        <f t="shared" si="52"/>
        <v>26764470</v>
      </c>
      <c r="KS9" s="52">
        <f t="shared" si="52"/>
        <v>20334510</v>
      </c>
      <c r="KT9" s="52">
        <f t="shared" si="52"/>
        <v>11357370</v>
      </c>
      <c r="KU9" s="52">
        <f t="shared" si="52"/>
        <v>31744350</v>
      </c>
      <c r="KV9" s="52">
        <f t="shared" si="52"/>
        <v>19685790</v>
      </c>
      <c r="KW9" s="52">
        <f t="shared" si="52"/>
        <v>12688200</v>
      </c>
      <c r="KX9" s="52">
        <f t="shared" si="52"/>
        <v>44838000</v>
      </c>
      <c r="KY9" s="52">
        <f t="shared" si="52"/>
        <v>40306500</v>
      </c>
      <c r="KZ9" s="52">
        <f t="shared" si="52"/>
        <v>34234290</v>
      </c>
      <c r="LA9" s="52">
        <f t="shared" si="52"/>
        <v>26936190</v>
      </c>
      <c r="LB9" s="52">
        <f t="shared" si="52"/>
        <v>19459220</v>
      </c>
      <c r="LC9" s="52">
        <f t="shared" si="52"/>
        <v>37471060</v>
      </c>
      <c r="LD9" s="52">
        <f t="shared" si="52"/>
        <v>53969300</v>
      </c>
      <c r="LE9" s="130"/>
      <c r="LF9" s="52">
        <f t="shared" ref="LF9:MI9" si="53">LF8*LF7</f>
        <v>47498660</v>
      </c>
      <c r="LG9" s="52">
        <f t="shared" si="53"/>
        <v>41955100</v>
      </c>
      <c r="LH9" s="52">
        <f t="shared" si="53"/>
        <v>33895180</v>
      </c>
      <c r="LI9" s="52">
        <f t="shared" si="53"/>
        <v>25731200</v>
      </c>
      <c r="LJ9" s="52">
        <f t="shared" si="53"/>
        <v>19866000</v>
      </c>
      <c r="LK9" s="52">
        <f t="shared" si="53"/>
        <v>13764300</v>
      </c>
      <c r="LL9" s="52">
        <f t="shared" si="53"/>
        <v>52815180</v>
      </c>
      <c r="LM9" s="52">
        <f t="shared" si="53"/>
        <v>45270830</v>
      </c>
      <c r="LN9" s="52">
        <f t="shared" si="53"/>
        <v>40834090</v>
      </c>
      <c r="LO9" s="52">
        <f t="shared" si="53"/>
        <v>34278310</v>
      </c>
      <c r="LP9" s="52">
        <f t="shared" si="53"/>
        <v>26284610</v>
      </c>
      <c r="LQ9" s="52">
        <f t="shared" si="53"/>
        <v>20310620</v>
      </c>
      <c r="LR9" s="52">
        <f t="shared" si="53"/>
        <v>13244000</v>
      </c>
      <c r="LS9" s="52">
        <f t="shared" si="53"/>
        <v>38634640</v>
      </c>
      <c r="LT9" s="52">
        <f t="shared" si="53"/>
        <v>33057970</v>
      </c>
      <c r="LU9" s="52">
        <f t="shared" si="53"/>
        <v>27722530</v>
      </c>
      <c r="LV9" s="52">
        <f t="shared" si="53"/>
        <v>22704000</v>
      </c>
      <c r="LW9" s="52">
        <f t="shared" si="53"/>
        <v>16351610</v>
      </c>
      <c r="LX9" s="52">
        <f t="shared" si="53"/>
        <v>9705960</v>
      </c>
      <c r="LY9" s="52">
        <f t="shared" si="53"/>
        <v>40441500</v>
      </c>
      <c r="LZ9" s="52">
        <f t="shared" si="53"/>
        <v>33843150</v>
      </c>
      <c r="MA9" s="52">
        <f t="shared" si="53"/>
        <v>28001600</v>
      </c>
      <c r="MB9" s="52">
        <f t="shared" si="53"/>
        <v>24264900</v>
      </c>
      <c r="MC9" s="52">
        <f t="shared" si="53"/>
        <v>19047710</v>
      </c>
      <c r="MD9" s="52">
        <f t="shared" si="53"/>
        <v>13385900</v>
      </c>
      <c r="ME9" s="52">
        <f t="shared" si="53"/>
        <v>40474610</v>
      </c>
      <c r="MF9" s="52">
        <f t="shared" si="53"/>
        <v>34954700</v>
      </c>
      <c r="MG9" s="52">
        <f t="shared" si="53"/>
        <v>29586150</v>
      </c>
      <c r="MH9" s="52">
        <f t="shared" si="53"/>
        <v>24548700</v>
      </c>
      <c r="MI9" s="52">
        <f t="shared" si="53"/>
        <v>18418620</v>
      </c>
      <c r="MJ9" s="139"/>
      <c r="MK9" s="52">
        <f t="shared" ref="MK9:NO9" si="54">MK8*MK7</f>
        <v>12298000</v>
      </c>
      <c r="ML9" s="52">
        <f t="shared" si="54"/>
        <v>5884120</v>
      </c>
      <c r="MM9" s="52">
        <f t="shared" si="54"/>
        <v>25239280</v>
      </c>
      <c r="MN9" s="52">
        <f t="shared" si="54"/>
        <v>20097770</v>
      </c>
      <c r="MO9" s="52">
        <f t="shared" si="54"/>
        <v>13428470</v>
      </c>
      <c r="MP9" s="52">
        <f t="shared" si="54"/>
        <v>46126960</v>
      </c>
      <c r="MQ9" s="52">
        <f t="shared" si="54"/>
        <v>40299600</v>
      </c>
      <c r="MR9" s="52">
        <f t="shared" si="54"/>
        <v>34812800</v>
      </c>
      <c r="MS9" s="52">
        <f t="shared" si="54"/>
        <v>30272000</v>
      </c>
      <c r="MT9" s="52">
        <f t="shared" si="54"/>
        <v>27055600</v>
      </c>
      <c r="MU9" s="52">
        <f t="shared" si="54"/>
        <v>20707940</v>
      </c>
      <c r="MV9" s="52">
        <f t="shared" si="54"/>
        <v>38367800</v>
      </c>
      <c r="MW9" s="52">
        <f t="shared" si="54"/>
        <v>32355285</v>
      </c>
      <c r="MX9" s="52">
        <f t="shared" si="54"/>
        <v>27886840</v>
      </c>
      <c r="MY9" s="52">
        <f t="shared" si="54"/>
        <v>22318830</v>
      </c>
      <c r="MZ9" s="52">
        <f t="shared" si="54"/>
        <v>15922637</v>
      </c>
      <c r="NA9" s="52">
        <f t="shared" si="54"/>
        <v>10583898</v>
      </c>
      <c r="NB9" s="52">
        <f t="shared" si="54"/>
        <v>5189011</v>
      </c>
      <c r="NC9" s="52">
        <f t="shared" si="54"/>
        <v>36327756</v>
      </c>
      <c r="ND9" s="52">
        <f t="shared" si="54"/>
        <v>31555176</v>
      </c>
      <c r="NE9" s="52">
        <f t="shared" si="54"/>
        <v>28074000</v>
      </c>
      <c r="NF9" s="52">
        <f t="shared" si="54"/>
        <v>22800767</v>
      </c>
      <c r="NG9" s="52">
        <f t="shared" si="54"/>
        <v>18023508</v>
      </c>
      <c r="NH9" s="52">
        <f t="shared" si="54"/>
        <v>13569100</v>
      </c>
      <c r="NI9" s="52">
        <f t="shared" si="54"/>
        <v>58796314</v>
      </c>
      <c r="NJ9" s="52">
        <f t="shared" si="54"/>
        <v>51852678</v>
      </c>
      <c r="NK9" s="52">
        <f t="shared" si="54"/>
        <v>47884886</v>
      </c>
      <c r="NL9" s="52">
        <f t="shared" si="54"/>
        <v>42939183</v>
      </c>
      <c r="NM9" s="52">
        <f t="shared" si="54"/>
        <v>37782925</v>
      </c>
      <c r="NN9" s="52">
        <f t="shared" si="54"/>
        <v>32406754</v>
      </c>
      <c r="NO9" s="52">
        <f t="shared" si="54"/>
        <v>27559310</v>
      </c>
      <c r="NP9" s="139"/>
      <c r="NQ9" s="52">
        <f t="shared" ref="NQ9:OU9" si="55">NQ8*NQ7</f>
        <v>22997285</v>
      </c>
      <c r="NR9" s="52">
        <f t="shared" si="55"/>
        <v>16573018</v>
      </c>
      <c r="NS9" s="52">
        <f t="shared" si="55"/>
        <v>47812941</v>
      </c>
      <c r="NT9" s="52">
        <f t="shared" si="55"/>
        <v>43697760</v>
      </c>
      <c r="NU9" s="52">
        <f t="shared" si="55"/>
        <v>38883600</v>
      </c>
      <c r="NV9" s="52">
        <f t="shared" si="55"/>
        <v>32254872</v>
      </c>
      <c r="NW9" s="52">
        <f t="shared" si="55"/>
        <v>25922400</v>
      </c>
      <c r="NX9" s="52">
        <f t="shared" si="55"/>
        <v>20413890</v>
      </c>
      <c r="NY9" s="52">
        <f t="shared" si="55"/>
        <v>14854461</v>
      </c>
      <c r="NZ9" s="52">
        <f t="shared" si="55"/>
        <v>29056233</v>
      </c>
      <c r="OA9" s="52">
        <f t="shared" si="55"/>
        <v>24362427</v>
      </c>
      <c r="OB9" s="52">
        <f t="shared" si="55"/>
        <v>20367600</v>
      </c>
      <c r="OC9" s="52">
        <f t="shared" si="55"/>
        <v>15516408</v>
      </c>
      <c r="OD9" s="52">
        <f t="shared" si="55"/>
        <v>10211574</v>
      </c>
      <c r="OE9" s="52">
        <f t="shared" si="55"/>
        <v>37129209</v>
      </c>
      <c r="OF9" s="52">
        <f t="shared" si="55"/>
        <v>31963245</v>
      </c>
      <c r="OG9" s="52">
        <f t="shared" si="55"/>
        <v>27172230</v>
      </c>
      <c r="OH9" s="52">
        <f t="shared" si="55"/>
        <v>22705245</v>
      </c>
      <c r="OI9" s="52">
        <f t="shared" si="55"/>
        <v>17409669</v>
      </c>
      <c r="OJ9" s="52">
        <f t="shared" si="55"/>
        <v>12789927</v>
      </c>
      <c r="OK9" s="52">
        <f t="shared" si="55"/>
        <v>54182445</v>
      </c>
      <c r="OL9" s="52">
        <f t="shared" si="55"/>
        <v>47484282</v>
      </c>
      <c r="OM9" s="52">
        <f t="shared" si="55"/>
        <v>41762838</v>
      </c>
      <c r="ON9" s="52">
        <f t="shared" si="55"/>
        <v>36374682</v>
      </c>
      <c r="OO9" s="52">
        <f t="shared" si="55"/>
        <v>33222333</v>
      </c>
      <c r="OP9" s="52">
        <f t="shared" si="55"/>
        <v>27681420</v>
      </c>
      <c r="OQ9" s="52">
        <f t="shared" si="55"/>
        <v>22705245</v>
      </c>
      <c r="OR9" s="52">
        <f t="shared" si="55"/>
        <v>17104155</v>
      </c>
      <c r="OS9" s="52">
        <f t="shared" si="55"/>
        <v>12243705</v>
      </c>
      <c r="OT9" s="52">
        <f t="shared" si="55"/>
        <v>64667130</v>
      </c>
      <c r="OU9" s="52">
        <f t="shared" si="55"/>
        <v>57057054</v>
      </c>
      <c r="OV9" s="130"/>
      <c r="OW9" s="52">
        <f t="shared" ref="OW9:PZ9" si="56">OW8*OW7</f>
        <v>53233500</v>
      </c>
      <c r="OX9" s="52">
        <f t="shared" si="56"/>
        <v>45197556</v>
      </c>
      <c r="OY9" s="52">
        <f t="shared" si="56"/>
        <v>39906609</v>
      </c>
      <c r="OZ9" s="52">
        <f t="shared" si="56"/>
        <v>35448882</v>
      </c>
      <c r="PA9" s="52">
        <f t="shared" si="56"/>
        <v>29514504</v>
      </c>
      <c r="PB9" s="52">
        <f t="shared" si="56"/>
        <v>64667130</v>
      </c>
      <c r="PC9" s="52">
        <f t="shared" si="56"/>
        <v>58325400</v>
      </c>
      <c r="PD9" s="52">
        <f t="shared" si="56"/>
        <v>53108517</v>
      </c>
      <c r="PE9" s="52">
        <f t="shared" si="56"/>
        <v>48585984</v>
      </c>
      <c r="PF9" s="52">
        <f t="shared" si="56"/>
        <v>43512600</v>
      </c>
      <c r="PG9" s="52">
        <f t="shared" si="56"/>
        <v>37420836</v>
      </c>
      <c r="PH9" s="52">
        <f t="shared" si="56"/>
        <v>32403000</v>
      </c>
      <c r="PI9" s="52">
        <f t="shared" si="56"/>
        <v>25274340</v>
      </c>
      <c r="PJ9" s="52">
        <f t="shared" si="56"/>
        <v>20413890</v>
      </c>
      <c r="PK9" s="52">
        <f t="shared" si="56"/>
        <v>15826551</v>
      </c>
      <c r="PL9" s="52">
        <f t="shared" si="56"/>
        <v>11188293</v>
      </c>
      <c r="PM9" s="52">
        <f t="shared" si="56"/>
        <v>6619470</v>
      </c>
      <c r="PN9" s="52">
        <f t="shared" si="56"/>
        <v>39624240</v>
      </c>
      <c r="PO9" s="52">
        <f t="shared" si="56"/>
        <v>33722265</v>
      </c>
      <c r="PP9" s="52">
        <f t="shared" si="56"/>
        <v>28593333</v>
      </c>
      <c r="PQ9" s="52">
        <f t="shared" si="56"/>
        <v>23839350</v>
      </c>
      <c r="PR9" s="52">
        <f t="shared" si="56"/>
        <v>19779717</v>
      </c>
      <c r="PS9" s="52">
        <f t="shared" si="56"/>
        <v>15558069</v>
      </c>
      <c r="PT9" s="52">
        <f t="shared" si="56"/>
        <v>11026278</v>
      </c>
      <c r="PU9" s="52">
        <f t="shared" si="56"/>
        <v>53002050</v>
      </c>
      <c r="PV9" s="52">
        <f t="shared" si="56"/>
        <v>47595378</v>
      </c>
      <c r="PW9" s="52">
        <f t="shared" si="56"/>
        <v>43183941</v>
      </c>
      <c r="PX9" s="52">
        <f t="shared" si="56"/>
        <v>36360795</v>
      </c>
      <c r="PY9" s="52">
        <f t="shared" si="56"/>
        <v>33222333</v>
      </c>
      <c r="PZ9" s="52">
        <f t="shared" si="56"/>
        <v>27357390</v>
      </c>
      <c r="QA9" s="130"/>
      <c r="QB9" s="52">
        <f t="shared" ref="QB9:RF9" si="57">QB8*QB7</f>
        <v>22219200</v>
      </c>
      <c r="QC9" s="52">
        <f t="shared" si="57"/>
        <v>18048471</v>
      </c>
      <c r="QD9" s="52">
        <f t="shared" si="57"/>
        <v>13313004</v>
      </c>
      <c r="QE9" s="52">
        <f t="shared" si="57"/>
        <v>53937108</v>
      </c>
      <c r="QF9" s="52">
        <f t="shared" si="57"/>
        <v>48521178</v>
      </c>
      <c r="QG9" s="52">
        <f t="shared" si="57"/>
        <v>45364200</v>
      </c>
      <c r="QH9" s="52">
        <f t="shared" si="57"/>
        <v>40526895</v>
      </c>
      <c r="QI9" s="52">
        <f t="shared" si="57"/>
        <v>35721993</v>
      </c>
      <c r="QJ9" s="52">
        <f t="shared" si="57"/>
        <v>29857014</v>
      </c>
      <c r="QK9" s="52">
        <f t="shared" si="57"/>
        <v>25449678</v>
      </c>
      <c r="QL9" s="52">
        <f t="shared" si="57"/>
        <v>20504862</v>
      </c>
      <c r="QM9" s="52">
        <f t="shared" si="57"/>
        <v>59418414</v>
      </c>
      <c r="QN9" s="52">
        <f t="shared" si="57"/>
        <v>54272043</v>
      </c>
      <c r="QO9" s="52">
        <f t="shared" si="57"/>
        <v>48108939</v>
      </c>
      <c r="QP9" s="52">
        <f t="shared" si="57"/>
        <v>43835973</v>
      </c>
      <c r="QQ9" s="52">
        <f t="shared" si="57"/>
        <v>39415200</v>
      </c>
      <c r="QR9" s="52">
        <f t="shared" si="57"/>
        <v>34985469</v>
      </c>
      <c r="QS9" s="52">
        <f t="shared" si="57"/>
        <v>28065414</v>
      </c>
      <c r="QT9" s="52">
        <f t="shared" si="57"/>
        <v>54325791</v>
      </c>
      <c r="QU9" s="52">
        <f t="shared" si="57"/>
        <v>51293508</v>
      </c>
      <c r="QV9" s="52">
        <f t="shared" si="57"/>
        <v>46474104</v>
      </c>
      <c r="QW9" s="52">
        <f t="shared" si="57"/>
        <v>42272802</v>
      </c>
      <c r="QX9" s="52">
        <f t="shared" si="57"/>
        <v>38205870</v>
      </c>
      <c r="QY9" s="52">
        <f t="shared" si="57"/>
        <v>29955552</v>
      </c>
      <c r="QZ9" s="52">
        <f t="shared" si="57"/>
        <v>23716305</v>
      </c>
      <c r="RA9" s="52">
        <f t="shared" si="57"/>
        <v>60018600</v>
      </c>
      <c r="RB9" s="52">
        <f t="shared" si="57"/>
        <v>56435400</v>
      </c>
      <c r="RC9" s="52">
        <f t="shared" si="57"/>
        <v>52377426</v>
      </c>
      <c r="RD9" s="52">
        <f t="shared" si="57"/>
        <v>47723745</v>
      </c>
      <c r="RE9" s="52">
        <f t="shared" si="57"/>
        <v>43258182</v>
      </c>
      <c r="RF9" s="52">
        <f t="shared" si="57"/>
        <v>37668390</v>
      </c>
      <c r="RG9" s="130"/>
      <c r="RH9" s="52">
        <f t="shared" ref="RH9:SK9" si="58">RH8*RH7</f>
        <v>33055020</v>
      </c>
      <c r="RI9" s="52">
        <f t="shared" si="58"/>
        <v>28862676</v>
      </c>
      <c r="RJ9" s="52">
        <f t="shared" si="58"/>
        <v>24276180</v>
      </c>
      <c r="RK9" s="52">
        <f t="shared" si="58"/>
        <v>16711149</v>
      </c>
      <c r="RL9" s="52">
        <f t="shared" si="58"/>
        <v>11721543</v>
      </c>
      <c r="RM9" s="52">
        <f t="shared" si="58"/>
        <v>44189814</v>
      </c>
      <c r="RN9" s="52">
        <f t="shared" si="58"/>
        <v>39916848</v>
      </c>
      <c r="RO9" s="52">
        <f t="shared" si="58"/>
        <v>35281083</v>
      </c>
      <c r="RP9" s="52">
        <f t="shared" si="58"/>
        <v>29988900</v>
      </c>
      <c r="RQ9" s="52">
        <f t="shared" si="58"/>
        <v>26691600</v>
      </c>
      <c r="RR9" s="52">
        <f t="shared" si="58"/>
        <v>20749500</v>
      </c>
      <c r="RS9" s="52">
        <f t="shared" si="58"/>
        <v>16712700</v>
      </c>
      <c r="RT9" s="52">
        <f t="shared" si="58"/>
        <v>11149050</v>
      </c>
      <c r="RU9" s="52">
        <f t="shared" si="58"/>
        <v>49720500</v>
      </c>
      <c r="RV9" s="52">
        <f t="shared" si="58"/>
        <v>44561400</v>
      </c>
      <c r="RW9" s="52">
        <f t="shared" si="58"/>
        <v>39245700</v>
      </c>
      <c r="RX9" s="52">
        <f t="shared" si="58"/>
        <v>34891350</v>
      </c>
      <c r="RY9" s="52">
        <f t="shared" si="58"/>
        <v>31076400</v>
      </c>
      <c r="RZ9" s="52">
        <f t="shared" si="58"/>
        <v>27017850</v>
      </c>
      <c r="SA9" s="52">
        <f t="shared" si="58"/>
        <v>22950600</v>
      </c>
      <c r="SB9" s="52">
        <f t="shared" si="58"/>
        <v>18226500</v>
      </c>
      <c r="SC9" s="52">
        <f t="shared" si="58"/>
        <v>57611400</v>
      </c>
      <c r="SD9" s="52">
        <f t="shared" si="58"/>
        <v>53526750</v>
      </c>
      <c r="SE9" s="52">
        <f t="shared" si="58"/>
        <v>50286000</v>
      </c>
      <c r="SF9" s="52">
        <f t="shared" si="58"/>
        <v>44826750</v>
      </c>
      <c r="SG9" s="52">
        <f t="shared" si="58"/>
        <v>39632850</v>
      </c>
      <c r="SH9" s="52">
        <f t="shared" si="58"/>
        <v>35670000</v>
      </c>
      <c r="SI9" s="52">
        <f t="shared" si="58"/>
        <v>29092800</v>
      </c>
      <c r="SJ9" s="52">
        <f t="shared" si="58"/>
        <v>24407850</v>
      </c>
      <c r="SK9" s="52">
        <f t="shared" si="58"/>
        <v>55332000</v>
      </c>
      <c r="SL9" s="130"/>
      <c r="SM9" s="52">
        <f t="shared" ref="SM9:TQ9" si="59">SM8*SM7</f>
        <v>52147800</v>
      </c>
      <c r="SN9" s="52">
        <f t="shared" si="59"/>
        <v>44269950</v>
      </c>
      <c r="SO9" s="52">
        <f t="shared" si="59"/>
        <v>30545700</v>
      </c>
      <c r="SP9" s="52">
        <f t="shared" si="59"/>
        <v>24460050</v>
      </c>
      <c r="SQ9" s="52">
        <f t="shared" si="59"/>
        <v>19231350</v>
      </c>
      <c r="SR9" s="52">
        <f t="shared" si="59"/>
        <v>14167950</v>
      </c>
      <c r="SS9" s="52">
        <f t="shared" si="59"/>
        <v>31363500</v>
      </c>
      <c r="ST9" s="52">
        <f t="shared" si="59"/>
        <v>26726400</v>
      </c>
      <c r="SU9" s="52">
        <f t="shared" si="59"/>
        <v>19414050</v>
      </c>
      <c r="SV9" s="52">
        <f t="shared" si="59"/>
        <v>14581200</v>
      </c>
      <c r="SW9" s="52">
        <f t="shared" si="59"/>
        <v>63657900</v>
      </c>
      <c r="SX9" s="52">
        <f t="shared" si="59"/>
        <v>59516700</v>
      </c>
      <c r="SY9" s="52">
        <f t="shared" si="59"/>
        <v>52200000</v>
      </c>
      <c r="SZ9" s="52">
        <f t="shared" si="59"/>
        <v>47219250</v>
      </c>
      <c r="TA9" s="52">
        <f t="shared" si="59"/>
        <v>41807850</v>
      </c>
      <c r="TB9" s="52">
        <f t="shared" si="59"/>
        <v>35074050</v>
      </c>
      <c r="TC9" s="52">
        <f t="shared" si="59"/>
        <v>30262950</v>
      </c>
      <c r="TD9" s="52">
        <f t="shared" si="59"/>
        <v>24816750</v>
      </c>
      <c r="TE9" s="52">
        <f t="shared" si="59"/>
        <v>18952950</v>
      </c>
      <c r="TF9" s="52">
        <f t="shared" si="59"/>
        <v>65567550</v>
      </c>
      <c r="TG9" s="52">
        <f t="shared" si="59"/>
        <v>60465000</v>
      </c>
      <c r="TH9" s="52">
        <f t="shared" si="59"/>
        <v>54888300</v>
      </c>
      <c r="TI9" s="52">
        <f t="shared" si="59"/>
        <v>50416500</v>
      </c>
      <c r="TJ9" s="52">
        <f t="shared" si="59"/>
        <v>44965950</v>
      </c>
      <c r="TK9" s="52">
        <f t="shared" si="59"/>
        <v>42869250</v>
      </c>
      <c r="TL9" s="52">
        <f t="shared" si="59"/>
        <v>39824250</v>
      </c>
      <c r="TM9" s="52">
        <f t="shared" si="59"/>
        <v>35391600</v>
      </c>
      <c r="TN9" s="52">
        <f t="shared" si="59"/>
        <v>31320000</v>
      </c>
      <c r="TO9" s="52">
        <f t="shared" si="59"/>
        <v>27596400</v>
      </c>
      <c r="TP9" s="52">
        <f t="shared" si="59"/>
        <v>23329050</v>
      </c>
      <c r="TQ9" s="52">
        <f t="shared" si="59"/>
        <v>48720000</v>
      </c>
      <c r="TR9" s="130"/>
      <c r="TS9" s="52">
        <f t="shared" ref="TS9:UW9" si="60">TS8*TS7</f>
        <v>45748950</v>
      </c>
      <c r="TT9" s="52">
        <f t="shared" si="60"/>
        <v>41590350</v>
      </c>
      <c r="TU9" s="52">
        <f t="shared" si="60"/>
        <v>37714500</v>
      </c>
      <c r="TV9" s="52">
        <f t="shared" si="60"/>
        <v>33603750</v>
      </c>
      <c r="TW9" s="52">
        <f t="shared" si="60"/>
        <v>30262950</v>
      </c>
      <c r="TX9" s="52">
        <f t="shared" si="60"/>
        <v>25621500</v>
      </c>
      <c r="TY9" s="52">
        <f t="shared" si="60"/>
        <v>21071400</v>
      </c>
      <c r="TZ9" s="52">
        <f t="shared" si="60"/>
        <v>62205000</v>
      </c>
      <c r="UA9" s="52">
        <f t="shared" si="60"/>
        <v>57420000</v>
      </c>
      <c r="UB9" s="52">
        <f t="shared" si="60"/>
        <v>52300050</v>
      </c>
      <c r="UC9" s="52">
        <f t="shared" si="60"/>
        <v>47797800</v>
      </c>
      <c r="UD9" s="52">
        <f t="shared" si="60"/>
        <v>43447800</v>
      </c>
      <c r="UE9" s="52">
        <f t="shared" si="60"/>
        <v>36213750</v>
      </c>
      <c r="UF9" s="52">
        <f t="shared" si="60"/>
        <v>31929000</v>
      </c>
      <c r="UG9" s="52">
        <f t="shared" si="60"/>
        <v>27710170</v>
      </c>
      <c r="UH9" s="52">
        <f t="shared" si="60"/>
        <v>23117300</v>
      </c>
      <c r="UI9" s="52">
        <f t="shared" si="60"/>
        <v>17995660</v>
      </c>
      <c r="UJ9" s="52">
        <f t="shared" si="60"/>
        <v>56482250</v>
      </c>
      <c r="UK9" s="52">
        <f t="shared" si="60"/>
        <v>51871900</v>
      </c>
      <c r="UL9" s="52">
        <f t="shared" si="60"/>
        <v>46575460</v>
      </c>
      <c r="UM9" s="52">
        <f t="shared" si="60"/>
        <v>41558700</v>
      </c>
      <c r="UN9" s="52">
        <f t="shared" si="60"/>
        <v>35327080</v>
      </c>
      <c r="UO9" s="52">
        <f t="shared" si="60"/>
        <v>30830350</v>
      </c>
      <c r="UP9" s="52">
        <f t="shared" si="60"/>
        <v>24624950</v>
      </c>
      <c r="UQ9" s="52">
        <f t="shared" si="60"/>
        <v>18445770</v>
      </c>
      <c r="UR9" s="52">
        <f t="shared" si="60"/>
        <v>11995650</v>
      </c>
      <c r="US9" s="52">
        <f t="shared" si="60"/>
        <v>7210500</v>
      </c>
      <c r="UT9" s="52">
        <f t="shared" si="60"/>
        <v>1791700</v>
      </c>
      <c r="UU9" s="52">
        <f t="shared" si="60"/>
        <v>1791700</v>
      </c>
      <c r="UV9" s="52">
        <f t="shared" si="60"/>
        <v>42410850</v>
      </c>
      <c r="UW9" s="52">
        <f t="shared" si="60"/>
        <v>37538300</v>
      </c>
      <c r="UX9" s="130"/>
      <c r="UY9" s="52">
        <f t="shared" ref="UY9:VZ9" si="61">UY8*UY7</f>
        <v>31988400</v>
      </c>
      <c r="UZ9" s="52">
        <f t="shared" si="61"/>
        <v>28112210</v>
      </c>
      <c r="VA9" s="52">
        <f t="shared" si="61"/>
        <v>19870390</v>
      </c>
      <c r="VB9" s="52">
        <f t="shared" si="61"/>
        <v>27771350</v>
      </c>
      <c r="VC9" s="52">
        <f t="shared" si="61"/>
        <v>44329280</v>
      </c>
      <c r="VD9" s="52">
        <f t="shared" si="61"/>
        <v>40457460</v>
      </c>
      <c r="VE9" s="52">
        <f t="shared" si="61"/>
        <v>34922450</v>
      </c>
      <c r="VF9" s="52">
        <f t="shared" si="61"/>
        <v>27731630</v>
      </c>
      <c r="VG9" s="52">
        <f t="shared" si="61"/>
        <v>24232800</v>
      </c>
      <c r="VH9" s="52">
        <f t="shared" si="61"/>
        <v>19408190</v>
      </c>
      <c r="VI9" s="52">
        <f t="shared" si="61"/>
        <v>47941460</v>
      </c>
      <c r="VJ9" s="52">
        <f t="shared" si="61"/>
        <v>43803840</v>
      </c>
      <c r="VK9" s="52">
        <f t="shared" si="61"/>
        <v>38541000</v>
      </c>
      <c r="VL9" s="52">
        <f t="shared" si="61"/>
        <v>33300310</v>
      </c>
      <c r="VM9" s="52">
        <f t="shared" si="61"/>
        <v>28741840</v>
      </c>
      <c r="VN9" s="52">
        <f t="shared" si="61"/>
        <v>25118100</v>
      </c>
      <c r="VO9" s="52">
        <f t="shared" si="61"/>
        <v>20688100</v>
      </c>
      <c r="VP9" s="52">
        <f t="shared" si="61"/>
        <v>15735360</v>
      </c>
      <c r="VQ9" s="52">
        <f t="shared" si="61"/>
        <v>44300000</v>
      </c>
      <c r="VR9" s="52">
        <f t="shared" si="61"/>
        <v>38935270</v>
      </c>
      <c r="VS9" s="52">
        <f t="shared" si="61"/>
        <v>33823050</v>
      </c>
      <c r="VT9" s="52">
        <f t="shared" si="61"/>
        <v>59508190</v>
      </c>
      <c r="VU9" s="52">
        <f t="shared" si="61"/>
        <v>54932000</v>
      </c>
      <c r="VV9" s="52">
        <f t="shared" si="61"/>
        <v>49793200</v>
      </c>
      <c r="VW9" s="52">
        <f t="shared" si="61"/>
        <v>44149380</v>
      </c>
      <c r="VX9" s="52">
        <f t="shared" si="61"/>
        <v>38638460</v>
      </c>
      <c r="VY9" s="52">
        <f t="shared" si="61"/>
        <v>33455360</v>
      </c>
      <c r="VZ9" s="52">
        <f t="shared" si="61"/>
        <v>28795000</v>
      </c>
      <c r="WA9" s="139"/>
      <c r="WB9" s="52">
        <f t="shared" ref="WB9:XF9" si="62">WB8*WB7</f>
        <v>23075870</v>
      </c>
      <c r="WC9" s="52">
        <f t="shared" si="62"/>
        <v>19394540</v>
      </c>
      <c r="WD9" s="52">
        <f t="shared" si="62"/>
        <v>13024200</v>
      </c>
      <c r="WE9" s="52">
        <f t="shared" si="62"/>
        <v>8018300</v>
      </c>
      <c r="WF9" s="52">
        <f t="shared" si="62"/>
        <v>3490840</v>
      </c>
      <c r="WG9" s="52">
        <f t="shared" si="62"/>
        <v>3490840</v>
      </c>
      <c r="WH9" s="52">
        <f t="shared" si="62"/>
        <v>34651460</v>
      </c>
      <c r="WI9" s="52">
        <f t="shared" si="62"/>
        <v>27612190</v>
      </c>
      <c r="WJ9" s="52">
        <f t="shared" si="62"/>
        <v>22858800</v>
      </c>
      <c r="WK9" s="52">
        <f t="shared" si="62"/>
        <v>17578240</v>
      </c>
      <c r="WL9" s="52">
        <f t="shared" si="62"/>
        <v>46851680</v>
      </c>
      <c r="WM9" s="52">
        <f t="shared" si="62"/>
        <v>42736210</v>
      </c>
      <c r="WN9" s="52">
        <f t="shared" si="62"/>
        <v>38390380</v>
      </c>
      <c r="WO9" s="52">
        <f t="shared" si="62"/>
        <v>33924940</v>
      </c>
      <c r="WP9" s="52">
        <f t="shared" si="62"/>
        <v>27776100</v>
      </c>
      <c r="WQ9" s="52">
        <f t="shared" si="62"/>
        <v>24365000</v>
      </c>
      <c r="WR9" s="52">
        <f t="shared" si="62"/>
        <v>19071150</v>
      </c>
      <c r="WS9" s="52">
        <f t="shared" si="62"/>
        <v>15483868.9</v>
      </c>
      <c r="WT9" s="52">
        <f t="shared" si="62"/>
        <v>10299750</v>
      </c>
      <c r="WU9" s="52">
        <f t="shared" si="62"/>
        <v>6202000</v>
      </c>
      <c r="WV9" s="52">
        <f t="shared" si="62"/>
        <v>35143190</v>
      </c>
      <c r="WW9" s="52">
        <f t="shared" si="62"/>
        <v>30447390</v>
      </c>
      <c r="WX9" s="52">
        <f t="shared" si="62"/>
        <v>26004100</v>
      </c>
      <c r="WY9" s="52">
        <f t="shared" si="62"/>
        <v>20094480</v>
      </c>
      <c r="WZ9" s="52">
        <f t="shared" si="62"/>
        <v>50457700</v>
      </c>
      <c r="XA9" s="52">
        <f t="shared" si="62"/>
        <v>47201650</v>
      </c>
      <c r="XB9" s="52">
        <f t="shared" si="62"/>
        <v>42482880</v>
      </c>
      <c r="XC9" s="52">
        <f t="shared" si="62"/>
        <v>38397300</v>
      </c>
      <c r="XD9" s="52">
        <f t="shared" si="62"/>
        <v>33864720</v>
      </c>
      <c r="XE9" s="52">
        <f t="shared" si="62"/>
        <v>28563300</v>
      </c>
      <c r="XF9" s="52">
        <f t="shared" si="62"/>
        <v>21925350</v>
      </c>
      <c r="XG9" s="139"/>
      <c r="XH9" s="52">
        <f t="shared" ref="XH9:YK9" si="63">XH8*XH7</f>
        <v>53640000</v>
      </c>
      <c r="XI9" s="52">
        <f t="shared" si="63"/>
        <v>49272810</v>
      </c>
      <c r="XJ9" s="52">
        <f t="shared" si="63"/>
        <v>45147000</v>
      </c>
      <c r="XK9" s="52">
        <f t="shared" si="63"/>
        <v>40623360</v>
      </c>
      <c r="XL9" s="52">
        <f t="shared" si="63"/>
        <v>35558850</v>
      </c>
      <c r="XM9" s="52">
        <f t="shared" si="63"/>
        <v>30910050</v>
      </c>
      <c r="XN9" s="52">
        <f t="shared" si="63"/>
        <v>25970700</v>
      </c>
      <c r="XO9" s="52">
        <f t="shared" si="63"/>
        <v>20919600</v>
      </c>
      <c r="XP9" s="52">
        <f t="shared" si="63"/>
        <v>16941300</v>
      </c>
      <c r="XQ9" s="52">
        <f t="shared" si="63"/>
        <v>12560700</v>
      </c>
      <c r="XR9" s="52">
        <f t="shared" si="63"/>
        <v>39438810</v>
      </c>
      <c r="XS9" s="52">
        <f t="shared" si="63"/>
        <v>34548630</v>
      </c>
      <c r="XT9" s="52">
        <f t="shared" si="63"/>
        <v>31290000</v>
      </c>
      <c r="XU9" s="52">
        <f t="shared" si="63"/>
        <v>27316170</v>
      </c>
      <c r="XV9" s="52">
        <f t="shared" si="63"/>
        <v>22573500</v>
      </c>
      <c r="XW9" s="52">
        <f t="shared" si="63"/>
        <v>17929170</v>
      </c>
      <c r="XX9" s="52">
        <f t="shared" si="63"/>
        <v>13454100</v>
      </c>
      <c r="XY9" s="52">
        <f t="shared" si="63"/>
        <v>9762150</v>
      </c>
      <c r="XZ9" s="52">
        <f t="shared" si="63"/>
        <v>37938750</v>
      </c>
      <c r="YA9" s="52">
        <f t="shared" si="63"/>
        <v>34319280</v>
      </c>
      <c r="YB9" s="52">
        <f t="shared" si="63"/>
        <v>30849300</v>
      </c>
      <c r="YC9" s="52">
        <f t="shared" si="63"/>
        <v>26364600</v>
      </c>
      <c r="YD9" s="52">
        <f t="shared" si="63"/>
        <v>20973900</v>
      </c>
      <c r="YE9" s="52">
        <f t="shared" si="63"/>
        <v>16824420</v>
      </c>
      <c r="YF9" s="52">
        <f t="shared" si="63"/>
        <v>58305630</v>
      </c>
      <c r="YG9" s="52">
        <f t="shared" si="63"/>
        <v>53852640</v>
      </c>
      <c r="YH9" s="52">
        <f t="shared" si="63"/>
        <v>49830000</v>
      </c>
      <c r="YI9" s="52">
        <f t="shared" si="63"/>
        <v>45648810</v>
      </c>
      <c r="YJ9" s="52">
        <f t="shared" si="63"/>
        <v>42622770</v>
      </c>
      <c r="YK9" s="52">
        <f t="shared" si="63"/>
        <v>39460830</v>
      </c>
      <c r="YL9" s="130"/>
      <c r="YM9" s="52">
        <f t="shared" ref="YM9:ZQ9" si="64">YM8*YM7</f>
        <v>33784740</v>
      </c>
      <c r="YN9" s="52">
        <f t="shared" si="64"/>
        <v>27732660</v>
      </c>
      <c r="YO9" s="52">
        <f t="shared" si="64"/>
        <v>23420100</v>
      </c>
      <c r="YP9" s="52">
        <f t="shared" si="64"/>
        <v>19691910</v>
      </c>
      <c r="YQ9" s="52">
        <f t="shared" si="64"/>
        <v>15356700</v>
      </c>
      <c r="YR9" s="52">
        <f t="shared" si="64"/>
        <v>11778000</v>
      </c>
      <c r="YS9" s="52">
        <f t="shared" si="64"/>
        <v>7755360</v>
      </c>
      <c r="YT9" s="52">
        <f t="shared" si="64"/>
        <v>5603610</v>
      </c>
      <c r="YU9" s="52">
        <f t="shared" si="64"/>
        <v>32511810</v>
      </c>
      <c r="YV9" s="52">
        <f t="shared" si="64"/>
        <v>28484640</v>
      </c>
      <c r="YW9" s="52">
        <f t="shared" si="64"/>
        <v>24253620</v>
      </c>
      <c r="YX9" s="52">
        <f t="shared" si="64"/>
        <v>66097230</v>
      </c>
      <c r="YY9" s="52">
        <f t="shared" si="64"/>
        <v>61272780</v>
      </c>
      <c r="YZ9" s="52">
        <f t="shared" si="64"/>
        <v>56874150</v>
      </c>
      <c r="ZA9" s="52">
        <f t="shared" si="64"/>
        <v>53354340</v>
      </c>
      <c r="ZB9" s="52">
        <f t="shared" si="64"/>
        <v>49222980</v>
      </c>
      <c r="ZC9" s="52">
        <f t="shared" si="64"/>
        <v>43592190</v>
      </c>
      <c r="ZD9" s="52">
        <f t="shared" si="64"/>
        <v>40448370</v>
      </c>
      <c r="ZE9" s="52">
        <f t="shared" si="64"/>
        <v>35632980</v>
      </c>
      <c r="ZF9" s="52">
        <f t="shared" si="64"/>
        <v>32185650</v>
      </c>
      <c r="ZG9" s="52">
        <f t="shared" si="64"/>
        <v>26364600</v>
      </c>
      <c r="ZH9" s="52">
        <f t="shared" si="64"/>
        <v>21200400</v>
      </c>
      <c r="ZI9" s="52">
        <f t="shared" si="64"/>
        <v>43646550</v>
      </c>
      <c r="ZJ9" s="52">
        <f t="shared" si="64"/>
        <v>38097300</v>
      </c>
      <c r="ZK9" s="52">
        <f t="shared" si="64"/>
        <v>34532190</v>
      </c>
      <c r="ZL9" s="52">
        <f t="shared" si="64"/>
        <v>29141490</v>
      </c>
      <c r="ZM9" s="52">
        <f t="shared" si="64"/>
        <v>24330630</v>
      </c>
      <c r="ZN9" s="52">
        <f t="shared" si="64"/>
        <v>62831100</v>
      </c>
      <c r="ZO9" s="52">
        <f t="shared" si="64"/>
        <v>58183320</v>
      </c>
      <c r="ZP9" s="52">
        <f t="shared" si="64"/>
        <v>52910400</v>
      </c>
      <c r="ZQ9" s="52">
        <f t="shared" si="64"/>
        <v>49105200</v>
      </c>
      <c r="ZR9" s="130"/>
      <c r="ZS9" s="52">
        <f t="shared" ref="ZS9:AAV9" si="65">ZS8*ZS7</f>
        <v>42926280</v>
      </c>
      <c r="ZT9" s="52">
        <f t="shared" si="65"/>
        <v>38505000</v>
      </c>
      <c r="ZU9" s="52">
        <f t="shared" si="65"/>
        <v>34319280</v>
      </c>
      <c r="ZV9" s="52">
        <f t="shared" si="65"/>
        <v>30600150</v>
      </c>
      <c r="ZW9" s="52">
        <f t="shared" si="65"/>
        <v>70808430</v>
      </c>
      <c r="ZX9" s="52">
        <f t="shared" si="65"/>
        <v>66332790</v>
      </c>
      <c r="ZY9" s="52">
        <f t="shared" si="65"/>
        <v>61204830</v>
      </c>
      <c r="ZZ9" s="52">
        <f t="shared" si="65"/>
        <v>56824320</v>
      </c>
      <c r="AAA9" s="52">
        <f t="shared" si="65"/>
        <v>53363400</v>
      </c>
      <c r="AAB9" s="52">
        <f t="shared" si="65"/>
        <v>44493660</v>
      </c>
      <c r="AAC9" s="52">
        <f t="shared" si="65"/>
        <v>38505000</v>
      </c>
      <c r="AAD9" s="52">
        <f t="shared" si="65"/>
        <v>33680550</v>
      </c>
      <c r="AAE9" s="52">
        <f t="shared" si="65"/>
        <v>28738320</v>
      </c>
      <c r="AAF9" s="52">
        <f t="shared" si="65"/>
        <v>23596770</v>
      </c>
      <c r="AAG9" s="52">
        <f t="shared" si="65"/>
        <v>18939930</v>
      </c>
      <c r="AAH9" s="52">
        <f t="shared" si="65"/>
        <v>14450700</v>
      </c>
      <c r="AAI9" s="52">
        <f t="shared" si="65"/>
        <v>56072340</v>
      </c>
      <c r="AAJ9" s="52">
        <f t="shared" si="65"/>
        <v>49222980</v>
      </c>
      <c r="AAK9" s="52">
        <f t="shared" si="65"/>
        <v>44643150</v>
      </c>
      <c r="AAL9" s="52">
        <f t="shared" si="65"/>
        <v>40289820</v>
      </c>
      <c r="AAM9" s="52">
        <f t="shared" si="65"/>
        <v>34428000</v>
      </c>
      <c r="AAN9" s="52">
        <f t="shared" si="65"/>
        <v>31089390</v>
      </c>
      <c r="AAO9" s="52">
        <f t="shared" si="65"/>
        <v>25630740</v>
      </c>
      <c r="AAP9" s="52">
        <f t="shared" si="65"/>
        <v>21789300</v>
      </c>
      <c r="AAQ9" s="52">
        <f t="shared" si="65"/>
        <v>18070170</v>
      </c>
      <c r="AAR9" s="52">
        <f t="shared" si="65"/>
        <v>58595550</v>
      </c>
      <c r="AAS9" s="52">
        <f t="shared" si="65"/>
        <v>54215040</v>
      </c>
      <c r="AAT9" s="52">
        <f t="shared" si="65"/>
        <v>49526490</v>
      </c>
      <c r="AAU9" s="52">
        <f t="shared" si="65"/>
        <v>45902490</v>
      </c>
      <c r="AAV9" s="52">
        <f t="shared" si="65"/>
        <v>42151650</v>
      </c>
      <c r="AAW9" s="130"/>
      <c r="AAX9" s="52">
        <f t="shared" ref="AAX9:ACB9" si="66">AAX8*AAX7</f>
        <v>37426860</v>
      </c>
      <c r="AAY9" s="52">
        <f t="shared" si="66"/>
        <v>33431400</v>
      </c>
      <c r="AAZ9" s="52">
        <f t="shared" si="66"/>
        <v>28638660</v>
      </c>
      <c r="ABA9" s="52">
        <f t="shared" si="66"/>
        <v>24339690</v>
      </c>
      <c r="ABB9" s="52">
        <f t="shared" si="66"/>
        <v>55882080</v>
      </c>
      <c r="ABC9" s="52">
        <f t="shared" si="66"/>
        <v>52049700</v>
      </c>
      <c r="ABD9" s="52">
        <f t="shared" si="66"/>
        <v>47161830</v>
      </c>
      <c r="ABE9" s="52">
        <f t="shared" si="66"/>
        <v>42473280</v>
      </c>
      <c r="ABF9" s="52">
        <f t="shared" si="66"/>
        <v>38958000</v>
      </c>
      <c r="ABG9" s="52">
        <f t="shared" si="66"/>
        <v>60547980</v>
      </c>
      <c r="ABH9" s="52">
        <f t="shared" si="66"/>
        <v>55537800</v>
      </c>
      <c r="ABI9" s="52">
        <f t="shared" si="66"/>
        <v>51578580</v>
      </c>
      <c r="ABJ9" s="52">
        <f t="shared" si="66"/>
        <v>47003280</v>
      </c>
      <c r="ABK9" s="52">
        <f t="shared" si="66"/>
        <v>41938740</v>
      </c>
      <c r="ABL9" s="52">
        <f t="shared" si="66"/>
        <v>37653360</v>
      </c>
      <c r="ABM9" s="52">
        <f t="shared" si="66"/>
        <v>33218490</v>
      </c>
      <c r="ABN9" s="52">
        <f t="shared" si="66"/>
        <v>29041830</v>
      </c>
      <c r="ABO9" s="52">
        <f t="shared" si="66"/>
        <v>23080350</v>
      </c>
      <c r="ABP9" s="52">
        <f t="shared" si="66"/>
        <v>17404260</v>
      </c>
      <c r="ABQ9" s="52">
        <f t="shared" si="66"/>
        <v>58822050</v>
      </c>
      <c r="ABR9" s="52">
        <f t="shared" si="66"/>
        <v>56072340</v>
      </c>
      <c r="ABS9" s="52">
        <f t="shared" si="66"/>
        <v>52819800</v>
      </c>
      <c r="ABT9" s="52">
        <f t="shared" si="66"/>
        <v>48335100</v>
      </c>
      <c r="ABU9" s="52">
        <f t="shared" si="66"/>
        <v>44439300</v>
      </c>
      <c r="ABV9" s="52">
        <f t="shared" si="66"/>
        <v>39723570</v>
      </c>
      <c r="ABW9" s="52">
        <f t="shared" si="66"/>
        <v>35583150</v>
      </c>
      <c r="ABX9" s="52">
        <f t="shared" si="66"/>
        <v>31959150</v>
      </c>
      <c r="ABY9" s="52">
        <f t="shared" si="66"/>
        <v>25685100</v>
      </c>
      <c r="ABZ9" s="52">
        <f t="shared" si="66"/>
        <v>21155100</v>
      </c>
      <c r="ACA9" s="52">
        <f t="shared" si="66"/>
        <v>71474340</v>
      </c>
      <c r="ACB9" s="52">
        <f t="shared" si="66"/>
        <v>67587600</v>
      </c>
      <c r="ACC9" s="130"/>
      <c r="ACD9" s="52">
        <f t="shared" ref="ACD9:ADH9" si="67">ACD8*ACD7</f>
        <v>62514000</v>
      </c>
      <c r="ACE9" s="52">
        <f t="shared" si="67"/>
        <v>56570640</v>
      </c>
      <c r="ACF9" s="52">
        <f t="shared" si="67"/>
        <v>52117650</v>
      </c>
      <c r="ACG9" s="52">
        <f t="shared" si="67"/>
        <v>47483460</v>
      </c>
      <c r="ACH9" s="52">
        <f t="shared" si="67"/>
        <v>43270560</v>
      </c>
      <c r="ACI9" s="52">
        <f t="shared" si="67"/>
        <v>38731500</v>
      </c>
      <c r="ACJ9" s="52">
        <f t="shared" si="67"/>
        <v>34319280</v>
      </c>
      <c r="ACK9" s="52">
        <f t="shared" si="67"/>
        <v>29091660</v>
      </c>
      <c r="ACL9" s="52">
        <f t="shared" si="67"/>
        <v>60448320</v>
      </c>
      <c r="ACM9" s="52">
        <f t="shared" si="67"/>
        <v>56874150</v>
      </c>
      <c r="ACN9" s="52">
        <f t="shared" si="67"/>
        <v>52185600</v>
      </c>
      <c r="ACO9" s="52">
        <f t="shared" si="67"/>
        <v>47429100</v>
      </c>
      <c r="ACP9" s="52">
        <f t="shared" si="67"/>
        <v>43488000</v>
      </c>
      <c r="ACQ9" s="52">
        <f t="shared" si="67"/>
        <v>38097300</v>
      </c>
      <c r="ACR9" s="52">
        <f t="shared" si="67"/>
        <v>33703200</v>
      </c>
      <c r="ACS9" s="52">
        <f t="shared" si="67"/>
        <v>28434810</v>
      </c>
      <c r="ACT9" s="52">
        <f t="shared" si="67"/>
        <v>24375930</v>
      </c>
      <c r="ACU9" s="52">
        <f t="shared" si="67"/>
        <v>19121130</v>
      </c>
      <c r="ACV9" s="52">
        <f t="shared" si="67"/>
        <v>14450700</v>
      </c>
      <c r="ACW9" s="52">
        <f t="shared" si="67"/>
        <v>10473360</v>
      </c>
      <c r="ACX9" s="52">
        <f t="shared" si="67"/>
        <v>6446190</v>
      </c>
      <c r="ACY9" s="52">
        <f t="shared" si="67"/>
        <v>47374740</v>
      </c>
      <c r="ACZ9" s="52">
        <f t="shared" si="67"/>
        <v>42794910</v>
      </c>
      <c r="ADA9" s="52">
        <f t="shared" si="67"/>
        <v>38142600</v>
      </c>
      <c r="ADB9" s="52">
        <f t="shared" si="67"/>
        <v>33431400</v>
      </c>
      <c r="ADC9" s="52">
        <f t="shared" si="67"/>
        <v>74654400</v>
      </c>
      <c r="ADD9" s="52">
        <f t="shared" si="67"/>
        <v>70577400</v>
      </c>
      <c r="ADE9" s="52">
        <f t="shared" si="67"/>
        <v>66255780</v>
      </c>
      <c r="ADF9" s="52">
        <f t="shared" si="67"/>
        <v>61979460</v>
      </c>
      <c r="ADG9" s="52">
        <f t="shared" si="67"/>
        <v>58110840</v>
      </c>
      <c r="ADH9" s="52">
        <f t="shared" si="67"/>
        <v>53802810</v>
      </c>
      <c r="ADI9" s="130"/>
      <c r="ADJ9" s="52">
        <f t="shared" ref="ADJ9:AEM9" si="68">ADJ8*ADJ7</f>
        <v>50042910</v>
      </c>
      <c r="ADK9" s="52">
        <f t="shared" si="68"/>
        <v>45549150</v>
      </c>
      <c r="ADL9" s="52">
        <f t="shared" si="68"/>
        <v>40430250</v>
      </c>
      <c r="ADM9" s="52">
        <f t="shared" si="68"/>
        <v>35836830</v>
      </c>
      <c r="ADN9" s="52">
        <f t="shared" si="68"/>
        <v>30899130</v>
      </c>
      <c r="ADO9" s="52">
        <f t="shared" si="68"/>
        <v>61870740</v>
      </c>
      <c r="ADP9" s="52">
        <f t="shared" si="68"/>
        <v>58210500</v>
      </c>
      <c r="ADQ9" s="52">
        <f t="shared" si="68"/>
        <v>54835650</v>
      </c>
      <c r="ADR9" s="52">
        <f t="shared" si="68"/>
        <v>49830000</v>
      </c>
      <c r="ADS9" s="52">
        <f t="shared" si="68"/>
        <v>45648810</v>
      </c>
      <c r="ADT9" s="52">
        <f t="shared" si="68"/>
        <v>40919490</v>
      </c>
      <c r="ADU9" s="52">
        <f t="shared" si="68"/>
        <v>36380430</v>
      </c>
      <c r="ADV9" s="52">
        <f t="shared" si="68"/>
        <v>30699810</v>
      </c>
      <c r="ADW9" s="52">
        <f t="shared" si="68"/>
        <v>27478980</v>
      </c>
      <c r="ADX9" s="52">
        <f t="shared" si="68"/>
        <v>22360080</v>
      </c>
      <c r="ADY9" s="52">
        <f t="shared" si="68"/>
        <v>53852640</v>
      </c>
      <c r="ADZ9" s="52">
        <f t="shared" si="68"/>
        <v>49830000</v>
      </c>
      <c r="AEA9" s="52">
        <f t="shared" si="68"/>
        <v>45499320</v>
      </c>
      <c r="AEB9" s="52">
        <f t="shared" si="68"/>
        <v>41834550</v>
      </c>
      <c r="AEC9" s="52">
        <f t="shared" si="68"/>
        <v>36620520</v>
      </c>
      <c r="AED9" s="52">
        <f t="shared" si="68"/>
        <v>32616000</v>
      </c>
      <c r="AEE9" s="52">
        <f t="shared" si="68"/>
        <v>27732660</v>
      </c>
      <c r="AEF9" s="52">
        <f t="shared" si="68"/>
        <v>23719080</v>
      </c>
      <c r="AEG9" s="52">
        <f t="shared" si="68"/>
        <v>20502780</v>
      </c>
      <c r="AEH9" s="52">
        <f t="shared" si="68"/>
        <v>17214000</v>
      </c>
      <c r="AEI9" s="52">
        <f t="shared" si="68"/>
        <v>48548010</v>
      </c>
      <c r="AEJ9" s="52">
        <f t="shared" si="68"/>
        <v>43592190</v>
      </c>
      <c r="AEK9" s="52">
        <f t="shared" si="68"/>
        <v>40869660</v>
      </c>
      <c r="AEL9" s="52">
        <f t="shared" si="68"/>
        <v>37766610</v>
      </c>
      <c r="AEM9" s="52">
        <f t="shared" si="68"/>
        <v>32616000</v>
      </c>
      <c r="AEN9" s="130"/>
      <c r="AEO9" s="52">
        <f t="shared" ref="AEO9:AFS9" si="69">AEO8*AEO7</f>
        <v>29041830</v>
      </c>
      <c r="AEP9" s="52">
        <f t="shared" si="69"/>
        <v>25141500</v>
      </c>
      <c r="AEQ9" s="52">
        <f t="shared" si="69"/>
        <v>44394000</v>
      </c>
      <c r="AER9" s="52">
        <f t="shared" si="69"/>
        <v>40552560</v>
      </c>
      <c r="AES9" s="52">
        <f t="shared" si="69"/>
        <v>36810780</v>
      </c>
      <c r="AET9" s="52">
        <f t="shared" si="69"/>
        <v>32561640</v>
      </c>
      <c r="AEU9" s="52">
        <f t="shared" si="69"/>
        <v>28887810</v>
      </c>
      <c r="AEV9" s="52">
        <f t="shared" si="69"/>
        <v>24507300</v>
      </c>
      <c r="AEW9" s="52">
        <f t="shared" si="69"/>
        <v>20312520</v>
      </c>
      <c r="AEX9" s="52">
        <f t="shared" si="69"/>
        <v>16126800</v>
      </c>
      <c r="AEY9" s="52">
        <f t="shared" si="69"/>
        <v>48122190</v>
      </c>
      <c r="AEZ9" s="52">
        <f t="shared" si="69"/>
        <v>45449490</v>
      </c>
      <c r="AFA9" s="52">
        <f t="shared" si="69"/>
        <v>41626170</v>
      </c>
      <c r="AFB9" s="52">
        <f t="shared" si="69"/>
        <v>38550300</v>
      </c>
      <c r="AFC9" s="52">
        <f t="shared" si="69"/>
        <v>34319280</v>
      </c>
      <c r="AFD9" s="52">
        <f t="shared" si="69"/>
        <v>30500490</v>
      </c>
      <c r="AFE9" s="52">
        <f t="shared" si="69"/>
        <v>62138010</v>
      </c>
      <c r="AFF9" s="52">
        <f t="shared" si="69"/>
        <v>57023640</v>
      </c>
      <c r="AFG9" s="52">
        <f t="shared" si="69"/>
        <v>52729200</v>
      </c>
      <c r="AFH9" s="52">
        <f t="shared" si="69"/>
        <v>48230910</v>
      </c>
      <c r="AFI9" s="52">
        <f t="shared" si="69"/>
        <v>44692980</v>
      </c>
      <c r="AFJ9" s="52">
        <f t="shared" si="69"/>
        <v>41834550</v>
      </c>
      <c r="AFK9" s="52">
        <f t="shared" si="69"/>
        <v>38097300</v>
      </c>
      <c r="AFL9" s="52">
        <f t="shared" si="69"/>
        <v>34745100</v>
      </c>
      <c r="AFM9" s="52">
        <f t="shared" si="69"/>
        <v>29997660</v>
      </c>
      <c r="AFN9" s="52">
        <f t="shared" si="69"/>
        <v>26545800</v>
      </c>
      <c r="AFO9" s="52">
        <f t="shared" si="69"/>
        <v>23012400</v>
      </c>
      <c r="AFP9" s="52">
        <f t="shared" si="69"/>
        <v>19071300</v>
      </c>
      <c r="AFQ9" s="52">
        <f t="shared" si="69"/>
        <v>15483540</v>
      </c>
      <c r="AFR9" s="52">
        <f t="shared" si="69"/>
        <v>11696460</v>
      </c>
      <c r="AFS9" s="52">
        <f t="shared" si="69"/>
        <v>8498280</v>
      </c>
      <c r="AFT9" s="130"/>
      <c r="AFU9" s="52">
        <f t="shared" ref="AFU9:AGX9" si="70">AFU8*AFU7</f>
        <v>63420000</v>
      </c>
      <c r="AFV9" s="52">
        <f t="shared" si="70"/>
        <v>59995320</v>
      </c>
      <c r="AFW9" s="52">
        <f t="shared" si="70"/>
        <v>56434740</v>
      </c>
      <c r="AFX9" s="52">
        <f t="shared" si="70"/>
        <v>53227500</v>
      </c>
      <c r="AFY9" s="52">
        <f t="shared" si="70"/>
        <v>49173150</v>
      </c>
      <c r="AFZ9" s="52">
        <f t="shared" si="70"/>
        <v>46151640</v>
      </c>
      <c r="AGA9" s="52">
        <f t="shared" si="70"/>
        <v>42418920</v>
      </c>
      <c r="AGB9" s="52">
        <f t="shared" si="70"/>
        <v>38958000</v>
      </c>
      <c r="AGC9" s="52">
        <f t="shared" si="70"/>
        <v>35632980</v>
      </c>
      <c r="AGD9" s="52">
        <f t="shared" si="70"/>
        <v>32212830</v>
      </c>
      <c r="AGE9" s="52">
        <f t="shared" si="70"/>
        <v>28285320</v>
      </c>
      <c r="AGF9" s="52">
        <f t="shared" si="70"/>
        <v>24462000</v>
      </c>
      <c r="AGG9" s="52">
        <f t="shared" si="70"/>
        <v>21291000</v>
      </c>
      <c r="AGH9" s="52">
        <f t="shared" si="70"/>
        <v>53703150</v>
      </c>
      <c r="AGI9" s="52">
        <f t="shared" si="70"/>
        <v>50414370</v>
      </c>
      <c r="AGJ9" s="52">
        <f t="shared" si="70"/>
        <v>47324910</v>
      </c>
      <c r="AGK9" s="52">
        <f t="shared" si="70"/>
        <v>43805100</v>
      </c>
      <c r="AGL9" s="52">
        <f t="shared" si="70"/>
        <v>40339650</v>
      </c>
      <c r="AGM9" s="52">
        <f t="shared" si="70"/>
        <v>37096170</v>
      </c>
      <c r="AGN9" s="52">
        <f t="shared" si="70"/>
        <v>33069000</v>
      </c>
      <c r="AGO9" s="52">
        <f t="shared" si="70"/>
        <v>28688490</v>
      </c>
      <c r="AGP9" s="52">
        <f t="shared" si="70"/>
        <v>22897930</v>
      </c>
      <c r="AGQ9" s="52">
        <f t="shared" si="70"/>
        <v>40596214</v>
      </c>
      <c r="AGR9" s="52">
        <f t="shared" si="70"/>
        <v>37425050</v>
      </c>
      <c r="AGS9" s="52">
        <f t="shared" si="70"/>
        <v>34178593</v>
      </c>
      <c r="AGT9" s="52">
        <f t="shared" si="70"/>
        <v>30161490</v>
      </c>
      <c r="AGU9" s="52">
        <f t="shared" si="70"/>
        <v>26441130</v>
      </c>
      <c r="AGV9" s="52">
        <f t="shared" si="70"/>
        <v>21817254</v>
      </c>
      <c r="AGW9" s="52">
        <f t="shared" si="70"/>
        <v>47833200</v>
      </c>
      <c r="AGX9" s="52">
        <f t="shared" si="70"/>
        <v>43993257</v>
      </c>
      <c r="AGY9" s="139"/>
      <c r="AGZ9" s="52">
        <f t="shared" ref="AGZ9:AID9" si="71">AGZ8*AGZ7</f>
        <v>40303900</v>
      </c>
      <c r="AHA9" s="52">
        <f t="shared" si="71"/>
        <v>36269081</v>
      </c>
      <c r="AHB9" s="52">
        <f t="shared" si="71"/>
        <v>31445900</v>
      </c>
      <c r="AHC9" s="52">
        <f t="shared" si="71"/>
        <v>27855277</v>
      </c>
      <c r="AHD9" s="52">
        <f t="shared" si="71"/>
        <v>21495890</v>
      </c>
      <c r="AHE9" s="52">
        <f t="shared" si="71"/>
        <v>53328577</v>
      </c>
      <c r="AHF9" s="52">
        <f t="shared" si="71"/>
        <v>49418202</v>
      </c>
      <c r="AHG9" s="52">
        <f t="shared" si="71"/>
        <v>45749153</v>
      </c>
      <c r="AHH9" s="52">
        <f t="shared" si="71"/>
        <v>40962854</v>
      </c>
      <c r="AHI9" s="52">
        <f t="shared" si="71"/>
        <v>37316150</v>
      </c>
      <c r="AHJ9" s="52">
        <f t="shared" si="71"/>
        <v>70373343</v>
      </c>
      <c r="AHK9" s="52">
        <f t="shared" si="71"/>
        <v>65479788</v>
      </c>
      <c r="AHL9" s="52">
        <f t="shared" si="71"/>
        <v>61761580</v>
      </c>
      <c r="AHM9" s="52">
        <f t="shared" si="71"/>
        <v>58990800</v>
      </c>
      <c r="AHN9" s="52">
        <f t="shared" si="71"/>
        <v>54660339</v>
      </c>
      <c r="AHO9" s="52">
        <f t="shared" si="71"/>
        <v>50946600</v>
      </c>
      <c r="AHP9" s="52">
        <f t="shared" si="71"/>
        <v>46897686</v>
      </c>
      <c r="AHQ9" s="52">
        <f t="shared" si="71"/>
        <v>42558287</v>
      </c>
      <c r="AHR9" s="52">
        <f t="shared" si="71"/>
        <v>38482559</v>
      </c>
      <c r="AHS9" s="52">
        <f t="shared" si="71"/>
        <v>35202313</v>
      </c>
      <c r="AHT9" s="52">
        <f t="shared" si="71"/>
        <v>30903135</v>
      </c>
      <c r="AHU9" s="52">
        <f t="shared" si="71"/>
        <v>26545860</v>
      </c>
      <c r="AHV9" s="52">
        <f t="shared" si="71"/>
        <v>21777437</v>
      </c>
      <c r="AHW9" s="52">
        <f t="shared" si="71"/>
        <v>53784415</v>
      </c>
      <c r="AHX9" s="52">
        <f t="shared" si="71"/>
        <v>51241554</v>
      </c>
      <c r="AHY9" s="52">
        <f t="shared" si="71"/>
        <v>48560154</v>
      </c>
      <c r="AHZ9" s="52">
        <f t="shared" si="71"/>
        <v>45583800</v>
      </c>
      <c r="AIA9" s="52">
        <f t="shared" si="71"/>
        <v>43215230</v>
      </c>
      <c r="AIB9" s="52">
        <f t="shared" si="71"/>
        <v>40221000</v>
      </c>
      <c r="AIC9" s="52">
        <f t="shared" si="71"/>
        <v>36645800</v>
      </c>
      <c r="AID9" s="52">
        <f t="shared" si="71"/>
        <v>45843002</v>
      </c>
      <c r="AIE9" s="130"/>
      <c r="AIF9" s="52">
        <f t="shared" ref="AIF9:AJJ9" si="72">AIF8*AIF7</f>
        <v>42379527</v>
      </c>
      <c r="AIG9" s="52">
        <f t="shared" si="72"/>
        <v>39224413</v>
      </c>
      <c r="AIH9" s="52">
        <f t="shared" si="72"/>
        <v>35649213</v>
      </c>
      <c r="AII9" s="52">
        <f t="shared" si="72"/>
        <v>46053045</v>
      </c>
      <c r="AIJ9" s="52">
        <f t="shared" si="72"/>
        <v>42124794</v>
      </c>
      <c r="AIK9" s="52">
        <f t="shared" si="72"/>
        <v>38826672</v>
      </c>
      <c r="AIL9" s="52">
        <f t="shared" si="72"/>
        <v>35005677</v>
      </c>
      <c r="AIM9" s="52">
        <f t="shared" si="72"/>
        <v>30903135</v>
      </c>
      <c r="AIN9" s="52">
        <f t="shared" si="72"/>
        <v>26635240</v>
      </c>
      <c r="AIO9" s="52">
        <f t="shared" si="72"/>
        <v>21545049</v>
      </c>
      <c r="AIP9" s="52">
        <f t="shared" si="72"/>
        <v>18769800</v>
      </c>
      <c r="AIQ9" s="52">
        <f t="shared" si="72"/>
        <v>15788977</v>
      </c>
      <c r="AIR9" s="52">
        <f t="shared" si="72"/>
        <v>35005677</v>
      </c>
      <c r="AIS9" s="52">
        <f t="shared" si="72"/>
        <v>32078598</v>
      </c>
      <c r="AIT9" s="52">
        <f t="shared" si="72"/>
        <v>30690108</v>
      </c>
      <c r="AIU9" s="52">
        <f t="shared" si="72"/>
        <v>29113500</v>
      </c>
      <c r="AIV9" s="52">
        <f t="shared" si="72"/>
        <v>27518976</v>
      </c>
      <c r="AIW9" s="52">
        <f t="shared" si="72"/>
        <v>25342182</v>
      </c>
      <c r="AIX9" s="52">
        <f t="shared" si="72"/>
        <v>22251672</v>
      </c>
      <c r="AIY9" s="52">
        <f t="shared" si="72"/>
        <v>18999918</v>
      </c>
      <c r="AIZ9" s="52">
        <f t="shared" si="72"/>
        <v>15139020</v>
      </c>
      <c r="AJA9" s="52">
        <f t="shared" si="72"/>
        <v>12187359</v>
      </c>
      <c r="AJB9" s="52">
        <f t="shared" si="72"/>
        <v>53904765</v>
      </c>
      <c r="AJC9" s="52">
        <f t="shared" si="72"/>
        <v>50057304</v>
      </c>
      <c r="AJD9" s="52">
        <f t="shared" si="72"/>
        <v>47790930</v>
      </c>
      <c r="AJE9" s="52">
        <f t="shared" si="72"/>
        <v>44839269</v>
      </c>
      <c r="AJF9" s="52">
        <f t="shared" si="72"/>
        <v>41363565</v>
      </c>
      <c r="AJG9" s="52">
        <f t="shared" si="72"/>
        <v>37175700</v>
      </c>
      <c r="AJH9" s="52">
        <f t="shared" si="72"/>
        <v>33722391</v>
      </c>
      <c r="AJI9" s="52">
        <f t="shared" si="72"/>
        <v>62437260</v>
      </c>
      <c r="AJJ9" s="52">
        <f t="shared" si="72"/>
        <v>58697295</v>
      </c>
      <c r="AJK9" s="145"/>
      <c r="AJL9" s="52">
        <f t="shared" ref="AJL9:AKM9" si="73">AJL8*AJL7</f>
        <v>55638138</v>
      </c>
      <c r="AJM9" s="52">
        <f t="shared" si="73"/>
        <v>52216182</v>
      </c>
      <c r="AJN9" s="52">
        <f t="shared" si="73"/>
        <v>48668814</v>
      </c>
      <c r="AJO9" s="52">
        <f t="shared" si="73"/>
        <v>45157278</v>
      </c>
      <c r="AJP9" s="52">
        <f t="shared" si="73"/>
        <v>40503597</v>
      </c>
      <c r="AJQ9" s="52">
        <f t="shared" si="73"/>
        <v>37498188</v>
      </c>
      <c r="AJR9" s="52">
        <f t="shared" si="73"/>
        <v>34510695</v>
      </c>
      <c r="AJS9" s="52">
        <f t="shared" si="73"/>
        <v>29955552</v>
      </c>
      <c r="AJT9" s="52">
        <f t="shared" si="73"/>
        <v>25816956</v>
      </c>
      <c r="AJU9" s="52">
        <f t="shared" si="73"/>
        <v>22251672</v>
      </c>
      <c r="AJV9" s="52">
        <f t="shared" si="73"/>
        <v>18466917</v>
      </c>
      <c r="AJW9" s="52">
        <f t="shared" si="73"/>
        <v>36208236</v>
      </c>
      <c r="AJX9" s="52">
        <f t="shared" si="73"/>
        <v>31997976</v>
      </c>
      <c r="AJY9" s="52">
        <f t="shared" si="73"/>
        <v>28513314</v>
      </c>
      <c r="AJZ9" s="52">
        <f t="shared" si="73"/>
        <v>24992820</v>
      </c>
      <c r="AKA9" s="52">
        <f t="shared" si="73"/>
        <v>21736587</v>
      </c>
      <c r="AKB9" s="52">
        <f t="shared" si="73"/>
        <v>18596808</v>
      </c>
      <c r="AKC9" s="52">
        <f t="shared" si="73"/>
        <v>15398802</v>
      </c>
      <c r="AKD9" s="52">
        <f t="shared" si="73"/>
        <v>45685800</v>
      </c>
      <c r="AKE9" s="52">
        <f t="shared" si="73"/>
        <v>41453145</v>
      </c>
      <c r="AKF9" s="52">
        <f t="shared" si="73"/>
        <v>38429820</v>
      </c>
      <c r="AKG9" s="52">
        <f t="shared" si="73"/>
        <v>35679714</v>
      </c>
      <c r="AKH9" s="52">
        <f t="shared" si="73"/>
        <v>31585908</v>
      </c>
      <c r="AKI9" s="52">
        <f t="shared" si="73"/>
        <v>27617514</v>
      </c>
      <c r="AKJ9" s="52">
        <f t="shared" si="73"/>
        <v>23653599</v>
      </c>
      <c r="AKK9" s="52">
        <f t="shared" si="73"/>
        <v>42998400</v>
      </c>
      <c r="AKL9" s="52">
        <f t="shared" si="73"/>
        <v>39415200</v>
      </c>
      <c r="AKM9" s="52">
        <f t="shared" si="73"/>
        <v>35231814</v>
      </c>
      <c r="AKN9" s="151"/>
      <c r="AKO9" s="52">
        <f t="shared" ref="AKO9:ALS9" si="74">AKO8*AKO7</f>
        <v>31353000</v>
      </c>
      <c r="AKP9" s="52">
        <f t="shared" si="74"/>
        <v>27769800</v>
      </c>
      <c r="AKQ9" s="52">
        <f t="shared" si="74"/>
        <v>24097020</v>
      </c>
      <c r="AKR9" s="52">
        <f t="shared" si="74"/>
        <v>21400662</v>
      </c>
      <c r="AKS9" s="52">
        <f t="shared" si="74"/>
        <v>18001101</v>
      </c>
      <c r="AKT9" s="52">
        <f t="shared" si="74"/>
        <v>14843406</v>
      </c>
      <c r="AKU9" s="52">
        <f t="shared" si="74"/>
        <v>35133276</v>
      </c>
      <c r="AKV9" s="52">
        <f t="shared" si="74"/>
        <v>31254462</v>
      </c>
      <c r="AKW9" s="52">
        <f t="shared" si="74"/>
        <v>27769800</v>
      </c>
      <c r="AKX9" s="52">
        <f t="shared" si="74"/>
        <v>69469290</v>
      </c>
      <c r="AKY9" s="52">
        <f t="shared" si="74"/>
        <v>66752931</v>
      </c>
      <c r="AKZ9" s="52">
        <f t="shared" si="74"/>
        <v>63596218</v>
      </c>
      <c r="ALA9" s="52">
        <f t="shared" si="74"/>
        <v>60031895</v>
      </c>
      <c r="ALB9" s="52">
        <f t="shared" si="74"/>
        <v>55394199</v>
      </c>
      <c r="ALC9" s="52">
        <f t="shared" si="74"/>
        <v>50471176</v>
      </c>
      <c r="ALD9" s="52">
        <f t="shared" si="74"/>
        <v>45842538</v>
      </c>
      <c r="ALE9" s="52">
        <f t="shared" si="74"/>
        <v>42355208</v>
      </c>
      <c r="ALF9" s="52">
        <f t="shared" si="74"/>
        <v>38738340</v>
      </c>
      <c r="ALG9" s="52">
        <f t="shared" si="74"/>
        <v>57489345</v>
      </c>
      <c r="ALH9" s="52">
        <f t="shared" si="74"/>
        <v>53931462</v>
      </c>
      <c r="ALI9" s="52">
        <f t="shared" si="74"/>
        <v>49183039</v>
      </c>
      <c r="ALJ9" s="52">
        <f t="shared" si="74"/>
        <v>43958400</v>
      </c>
      <c r="ALK9" s="52">
        <f t="shared" si="74"/>
        <v>20532236</v>
      </c>
      <c r="ALL9" s="52">
        <f t="shared" si="74"/>
        <v>17846160</v>
      </c>
      <c r="ALM9" s="52">
        <f t="shared" si="74"/>
        <v>13449280</v>
      </c>
      <c r="ALN9" s="52">
        <f t="shared" si="74"/>
        <v>68471280</v>
      </c>
      <c r="ALO9" s="52">
        <f t="shared" si="74"/>
        <v>63708400</v>
      </c>
      <c r="ALP9" s="52">
        <f t="shared" si="74"/>
        <v>59789760</v>
      </c>
      <c r="ALQ9" s="52">
        <f t="shared" si="74"/>
        <v>55885760</v>
      </c>
      <c r="ALR9" s="52">
        <f t="shared" si="74"/>
        <v>51210720</v>
      </c>
      <c r="ALS9" s="52">
        <f t="shared" si="74"/>
        <v>48067608</v>
      </c>
      <c r="ALT9" s="130"/>
      <c r="ALU9" s="52">
        <f t="shared" ref="ALU9:AMX9" si="75">ALU8*ALU7</f>
        <v>43207614</v>
      </c>
      <c r="ALV9" s="52">
        <f t="shared" si="75"/>
        <v>76054470</v>
      </c>
      <c r="ALW9" s="52">
        <f t="shared" si="75"/>
        <v>73146805</v>
      </c>
      <c r="ALX9" s="52">
        <f t="shared" si="75"/>
        <v>68278733</v>
      </c>
      <c r="ALY9" s="52">
        <f t="shared" si="75"/>
        <v>66267133</v>
      </c>
      <c r="ALZ9" s="52">
        <f t="shared" si="75"/>
        <v>62802152</v>
      </c>
      <c r="AMA9" s="52">
        <f t="shared" si="75"/>
        <v>58638140</v>
      </c>
      <c r="AMB9" s="52">
        <f t="shared" si="75"/>
        <v>54313200</v>
      </c>
      <c r="AMC9" s="52">
        <f t="shared" si="75"/>
        <v>49897738</v>
      </c>
      <c r="AMD9" s="52">
        <f t="shared" si="75"/>
        <v>70255130</v>
      </c>
      <c r="AME9" s="52">
        <f t="shared" si="75"/>
        <v>64547215</v>
      </c>
      <c r="AMF9" s="52">
        <f t="shared" si="75"/>
        <v>60177014</v>
      </c>
      <c r="AMG9" s="52">
        <f t="shared" si="75"/>
        <v>55847045</v>
      </c>
      <c r="AMH9" s="52">
        <f t="shared" si="75"/>
        <v>51295800</v>
      </c>
      <c r="AMI9" s="52">
        <f t="shared" si="75"/>
        <v>46609983</v>
      </c>
      <c r="AMJ9" s="52">
        <f t="shared" si="75"/>
        <v>40632000</v>
      </c>
      <c r="AMK9" s="52">
        <f t="shared" si="75"/>
        <v>36867252</v>
      </c>
      <c r="AML9" s="52">
        <f t="shared" si="75"/>
        <v>32138314</v>
      </c>
      <c r="AMM9" s="52">
        <f t="shared" si="75"/>
        <v>27460666</v>
      </c>
      <c r="AMN9" s="52">
        <f t="shared" si="75"/>
        <v>23695980</v>
      </c>
      <c r="AMO9" s="52">
        <f t="shared" si="75"/>
        <v>60973552</v>
      </c>
      <c r="AMP9" s="52">
        <f t="shared" si="75"/>
        <v>56188195</v>
      </c>
      <c r="AMQ9" s="52">
        <f t="shared" si="75"/>
        <v>51172033</v>
      </c>
      <c r="AMR9" s="52">
        <f t="shared" si="75"/>
        <v>45735293</v>
      </c>
      <c r="AMS9" s="52">
        <f t="shared" si="75"/>
        <v>80976652</v>
      </c>
      <c r="AMT9" s="52">
        <f t="shared" si="75"/>
        <v>76114360</v>
      </c>
      <c r="AMU9" s="52">
        <f t="shared" si="75"/>
        <v>70780200</v>
      </c>
      <c r="AMV9" s="52">
        <f t="shared" si="75"/>
        <v>65369105</v>
      </c>
      <c r="AMW9" s="52">
        <f t="shared" si="75"/>
        <v>61299512</v>
      </c>
      <c r="AMX9" s="52">
        <f t="shared" si="75"/>
        <v>57121894</v>
      </c>
      <c r="AMY9" s="130"/>
      <c r="AMZ9" s="52">
        <f t="shared" ref="AMZ9:AOC9" si="76">AMZ8*AMZ7</f>
        <v>56450723</v>
      </c>
      <c r="ANA9" s="52">
        <f t="shared" si="76"/>
        <v>52566878</v>
      </c>
      <c r="ANB9" s="52">
        <f t="shared" si="76"/>
        <v>50434895</v>
      </c>
      <c r="ANC9" s="52">
        <f t="shared" si="76"/>
        <v>46848536</v>
      </c>
      <c r="AND9" s="52">
        <f t="shared" si="76"/>
        <v>44534756</v>
      </c>
      <c r="ANE9" s="52">
        <f t="shared" si="76"/>
        <v>68675194</v>
      </c>
      <c r="ANF9" s="52">
        <f t="shared" si="76"/>
        <v>66108000</v>
      </c>
      <c r="ANG9" s="52">
        <f t="shared" si="76"/>
        <v>63188230</v>
      </c>
      <c r="ANH9" s="52">
        <f t="shared" si="76"/>
        <v>59921393</v>
      </c>
      <c r="ANI9" s="52">
        <f t="shared" si="76"/>
        <v>55574792</v>
      </c>
      <c r="ANJ9" s="52">
        <f t="shared" si="76"/>
        <v>51889271</v>
      </c>
      <c r="ANK9" s="52">
        <f t="shared" si="76"/>
        <v>49883995</v>
      </c>
      <c r="ANL9" s="52">
        <f t="shared" si="76"/>
        <v>46440870</v>
      </c>
      <c r="ANM9" s="52">
        <f t="shared" si="76"/>
        <v>70592326</v>
      </c>
      <c r="ANN9" s="52">
        <f t="shared" si="76"/>
        <v>65931712</v>
      </c>
      <c r="ANO9" s="52">
        <f t="shared" si="76"/>
        <v>62042358</v>
      </c>
      <c r="ANP9" s="52">
        <f t="shared" si="76"/>
        <v>62013620</v>
      </c>
      <c r="ANQ9" s="52">
        <f t="shared" si="76"/>
        <v>58424240</v>
      </c>
      <c r="ANR9" s="52">
        <f t="shared" si="76"/>
        <v>54384020</v>
      </c>
      <c r="ANS9" s="52">
        <f t="shared" si="76"/>
        <v>49708000</v>
      </c>
      <c r="ANT9" s="52">
        <f t="shared" si="76"/>
        <v>46240000</v>
      </c>
      <c r="ANU9" s="52">
        <f t="shared" si="76"/>
        <v>68585480</v>
      </c>
      <c r="ANV9" s="52">
        <f t="shared" si="76"/>
        <v>69619000</v>
      </c>
      <c r="ANW9" s="52">
        <f t="shared" si="76"/>
        <v>65372241</v>
      </c>
      <c r="ANX9" s="52">
        <f t="shared" si="76"/>
        <v>59853353</v>
      </c>
      <c r="ANY9" s="52">
        <f t="shared" si="76"/>
        <v>52290198</v>
      </c>
      <c r="ANZ9" s="52">
        <f t="shared" si="76"/>
        <v>47385223</v>
      </c>
      <c r="AOA9" s="52">
        <f t="shared" si="76"/>
        <v>42473919</v>
      </c>
      <c r="AOB9" s="52">
        <f t="shared" si="76"/>
        <v>35226100</v>
      </c>
      <c r="AOC9" s="52">
        <f t="shared" si="76"/>
        <v>80115490</v>
      </c>
    </row>
    <row r="10" spans="1:1069" x14ac:dyDescent="0.2">
      <c r="A10" s="160"/>
      <c r="B10" s="54" t="s">
        <v>1641</v>
      </c>
      <c r="C10" s="55">
        <f t="shared" ref="C10:AH10" si="77">C9+C6</f>
        <v>128593651.7</v>
      </c>
      <c r="D10" s="55">
        <f t="shared" si="77"/>
        <v>112046800</v>
      </c>
      <c r="E10" s="55">
        <f t="shared" si="77"/>
        <v>97489500</v>
      </c>
      <c r="F10" s="55">
        <f t="shared" si="77"/>
        <v>80331920</v>
      </c>
      <c r="G10" s="55">
        <f t="shared" si="77"/>
        <v>98580261.400000006</v>
      </c>
      <c r="H10" s="55">
        <f t="shared" si="77"/>
        <v>81181224</v>
      </c>
      <c r="I10" s="55">
        <f t="shared" si="77"/>
        <v>64655874</v>
      </c>
      <c r="J10" s="55">
        <f t="shared" si="77"/>
        <v>51667602</v>
      </c>
      <c r="K10" s="55">
        <f t="shared" si="77"/>
        <v>103945050</v>
      </c>
      <c r="L10" s="55">
        <f t="shared" si="77"/>
        <v>88732450</v>
      </c>
      <c r="M10" s="55">
        <f t="shared" si="77"/>
        <v>131941830</v>
      </c>
      <c r="N10" s="55">
        <f t="shared" si="77"/>
        <v>115553190</v>
      </c>
      <c r="O10" s="55">
        <f t="shared" si="77"/>
        <v>100475370</v>
      </c>
      <c r="P10" s="55">
        <f t="shared" si="77"/>
        <v>83829800</v>
      </c>
      <c r="Q10" s="55">
        <f t="shared" si="77"/>
        <v>131352300</v>
      </c>
      <c r="R10" s="55">
        <f t="shared" si="77"/>
        <v>116970630</v>
      </c>
      <c r="S10" s="55">
        <f t="shared" si="77"/>
        <v>99480850</v>
      </c>
      <c r="T10" s="55">
        <f t="shared" si="77"/>
        <v>82438170</v>
      </c>
      <c r="U10" s="55">
        <f t="shared" si="77"/>
        <v>67879980</v>
      </c>
      <c r="V10" s="55">
        <f t="shared" si="77"/>
        <v>54066740</v>
      </c>
      <c r="W10" s="55">
        <f t="shared" si="77"/>
        <v>121877280</v>
      </c>
      <c r="X10" s="55">
        <f t="shared" si="77"/>
        <v>107478000</v>
      </c>
      <c r="Y10" s="55">
        <f t="shared" si="77"/>
        <v>92984890</v>
      </c>
      <c r="Z10" s="55">
        <f t="shared" si="77"/>
        <v>77696140</v>
      </c>
      <c r="AA10" s="55">
        <f t="shared" si="77"/>
        <v>104441250</v>
      </c>
      <c r="AB10" s="55">
        <f t="shared" si="77"/>
        <v>134273030</v>
      </c>
      <c r="AC10" s="55">
        <f t="shared" si="77"/>
        <v>117770620</v>
      </c>
      <c r="AD10" s="55">
        <f t="shared" si="77"/>
        <v>103711450</v>
      </c>
      <c r="AE10" s="55">
        <f t="shared" si="77"/>
        <v>87574850</v>
      </c>
      <c r="AF10" s="55">
        <f t="shared" si="77"/>
        <v>72161960</v>
      </c>
      <c r="AG10" s="55">
        <f t="shared" si="77"/>
        <v>54370430</v>
      </c>
      <c r="AH10" s="67">
        <f t="shared" si="77"/>
        <v>54370430</v>
      </c>
      <c r="AI10" s="55">
        <f t="shared" ref="AI10:BN10" si="78">AI9+AI6</f>
        <v>80165700</v>
      </c>
      <c r="AJ10" s="55">
        <f t="shared" si="78"/>
        <v>125080190</v>
      </c>
      <c r="AK10" s="55">
        <f t="shared" si="78"/>
        <v>106373430</v>
      </c>
      <c r="AL10" s="55">
        <f t="shared" si="78"/>
        <v>87249000</v>
      </c>
      <c r="AM10" s="55">
        <f t="shared" si="78"/>
        <v>68336170</v>
      </c>
      <c r="AN10" s="55">
        <f t="shared" si="78"/>
        <v>111207680</v>
      </c>
      <c r="AO10" s="55">
        <f t="shared" si="78"/>
        <v>86246150</v>
      </c>
      <c r="AP10" s="55">
        <f t="shared" si="78"/>
        <v>62032060</v>
      </c>
      <c r="AQ10" s="55">
        <f t="shared" si="78"/>
        <v>92207230</v>
      </c>
      <c r="AR10" s="55">
        <f t="shared" si="78"/>
        <v>74722520</v>
      </c>
      <c r="AS10" s="55">
        <f t="shared" si="78"/>
        <v>57735260</v>
      </c>
      <c r="AT10" s="55">
        <f t="shared" si="78"/>
        <v>96533250</v>
      </c>
      <c r="AU10" s="55">
        <f t="shared" si="78"/>
        <v>87040000</v>
      </c>
      <c r="AV10" s="55">
        <f t="shared" si="78"/>
        <v>134876100</v>
      </c>
      <c r="AW10" s="55">
        <f t="shared" si="78"/>
        <v>118631100</v>
      </c>
      <c r="AX10" s="55">
        <f t="shared" si="78"/>
        <v>102111900</v>
      </c>
      <c r="AY10" s="55">
        <f t="shared" si="78"/>
        <v>86709000</v>
      </c>
      <c r="AZ10" s="55">
        <f t="shared" si="78"/>
        <v>70422000</v>
      </c>
      <c r="BA10" s="55">
        <f t="shared" si="78"/>
        <v>55631250</v>
      </c>
      <c r="BB10" s="55">
        <f t="shared" si="78"/>
        <v>150773250</v>
      </c>
      <c r="BC10" s="55">
        <f t="shared" si="78"/>
        <v>135914250</v>
      </c>
      <c r="BD10" s="55">
        <f t="shared" si="78"/>
        <v>118231650</v>
      </c>
      <c r="BE10" s="55">
        <f t="shared" si="78"/>
        <v>100114800</v>
      </c>
      <c r="BF10" s="55">
        <f t="shared" si="78"/>
        <v>85329150</v>
      </c>
      <c r="BG10" s="55">
        <f t="shared" si="78"/>
        <v>69917550</v>
      </c>
      <c r="BH10" s="55">
        <f t="shared" si="78"/>
        <v>138815520</v>
      </c>
      <c r="BI10" s="55">
        <f t="shared" si="78"/>
        <v>123047210</v>
      </c>
      <c r="BJ10" s="55">
        <f t="shared" si="78"/>
        <v>108101730</v>
      </c>
      <c r="BK10" s="55">
        <f t="shared" si="78"/>
        <v>91640900</v>
      </c>
      <c r="BL10" s="55">
        <f t="shared" si="78"/>
        <v>133546030</v>
      </c>
      <c r="BM10" s="107">
        <f t="shared" si="78"/>
        <v>133546030</v>
      </c>
      <c r="BN10" s="55">
        <f t="shared" si="78"/>
        <v>166222580</v>
      </c>
      <c r="BO10" s="55">
        <f t="shared" ref="BO10:CT10" si="79">BO9+BO6</f>
        <v>151117990</v>
      </c>
      <c r="BP10" s="55">
        <f t="shared" si="79"/>
        <v>134927870</v>
      </c>
      <c r="BQ10" s="55">
        <f t="shared" si="79"/>
        <v>120136640</v>
      </c>
      <c r="BR10" s="55">
        <f t="shared" si="79"/>
        <v>103318900</v>
      </c>
      <c r="BS10" s="55">
        <f t="shared" si="79"/>
        <v>85959580</v>
      </c>
      <c r="BT10" s="55">
        <f t="shared" si="79"/>
        <v>124356160</v>
      </c>
      <c r="BU10" s="55">
        <f t="shared" si="79"/>
        <v>109611850</v>
      </c>
      <c r="BV10" s="55">
        <f t="shared" si="79"/>
        <v>92958270</v>
      </c>
      <c r="BW10" s="55">
        <f t="shared" si="79"/>
        <v>78585360</v>
      </c>
      <c r="BX10" s="55">
        <f t="shared" si="79"/>
        <v>64806750</v>
      </c>
      <c r="BY10" s="55">
        <f t="shared" si="79"/>
        <v>50882720</v>
      </c>
      <c r="BZ10" s="55">
        <f t="shared" si="79"/>
        <v>34453670</v>
      </c>
      <c r="CA10" s="55">
        <f t="shared" si="79"/>
        <v>95031840</v>
      </c>
      <c r="CB10" s="55">
        <f t="shared" si="79"/>
        <v>80790060</v>
      </c>
      <c r="CC10" s="55">
        <f t="shared" si="79"/>
        <v>66161530</v>
      </c>
      <c r="CD10" s="55">
        <f t="shared" si="79"/>
        <v>50175540</v>
      </c>
      <c r="CE10" s="55">
        <f t="shared" si="79"/>
        <v>111291860</v>
      </c>
      <c r="CF10" s="55">
        <f t="shared" si="79"/>
        <v>98623060</v>
      </c>
      <c r="CG10" s="55">
        <f t="shared" si="79"/>
        <v>83847280</v>
      </c>
      <c r="CH10" s="55">
        <f t="shared" si="79"/>
        <v>137354000</v>
      </c>
      <c r="CI10" s="55">
        <f t="shared" si="79"/>
        <v>122802790</v>
      </c>
      <c r="CJ10" s="55">
        <f t="shared" si="79"/>
        <v>109346980</v>
      </c>
      <c r="CK10" s="55">
        <f t="shared" si="79"/>
        <v>93815070</v>
      </c>
      <c r="CL10" s="55">
        <f t="shared" si="79"/>
        <v>129284790</v>
      </c>
      <c r="CM10" s="55">
        <f t="shared" si="79"/>
        <v>115481190</v>
      </c>
      <c r="CN10" s="55">
        <f t="shared" si="79"/>
        <v>101066580</v>
      </c>
      <c r="CO10" s="55">
        <f t="shared" si="79"/>
        <v>125618230</v>
      </c>
      <c r="CP10" s="55">
        <f t="shared" si="79"/>
        <v>112185000</v>
      </c>
      <c r="CQ10" s="55">
        <f t="shared" si="79"/>
        <v>96940150</v>
      </c>
      <c r="CR10" s="55">
        <f t="shared" si="79"/>
        <v>82942592</v>
      </c>
      <c r="CS10" s="82">
        <f>SUM(BN10:CR10)</f>
        <v>3130096882</v>
      </c>
      <c r="CT10" s="55">
        <f t="shared" ref="CT10:DW10" si="80">CT9+CT6</f>
        <v>67585400</v>
      </c>
      <c r="CU10" s="55">
        <f t="shared" si="80"/>
        <v>117200913</v>
      </c>
      <c r="CV10" s="55">
        <f t="shared" si="80"/>
        <v>101635500</v>
      </c>
      <c r="CW10" s="55">
        <f t="shared" si="80"/>
        <v>82110207</v>
      </c>
      <c r="CX10" s="55">
        <f t="shared" si="80"/>
        <v>65664757</v>
      </c>
      <c r="CY10" s="55">
        <f t="shared" si="80"/>
        <v>50459951</v>
      </c>
      <c r="CZ10" s="55">
        <f t="shared" si="80"/>
        <v>130300818</v>
      </c>
      <c r="DA10" s="55">
        <f t="shared" si="80"/>
        <v>115114554</v>
      </c>
      <c r="DB10" s="55">
        <f t="shared" si="80"/>
        <v>98924798</v>
      </c>
      <c r="DC10" s="55">
        <f t="shared" si="80"/>
        <v>82718216</v>
      </c>
      <c r="DD10" s="55">
        <f t="shared" si="80"/>
        <v>123696916</v>
      </c>
      <c r="DE10" s="55">
        <f t="shared" si="80"/>
        <v>110971718</v>
      </c>
      <c r="DF10" s="55">
        <f t="shared" si="80"/>
        <v>98984000</v>
      </c>
      <c r="DG10" s="55">
        <f t="shared" si="80"/>
        <v>83028880</v>
      </c>
      <c r="DH10" s="55">
        <f t="shared" si="80"/>
        <v>115551540</v>
      </c>
      <c r="DI10" s="55">
        <f t="shared" si="80"/>
        <v>175389090</v>
      </c>
      <c r="DJ10" s="55">
        <f t="shared" si="80"/>
        <v>159913370</v>
      </c>
      <c r="DK10" s="55">
        <f t="shared" si="80"/>
        <v>145334720</v>
      </c>
      <c r="DL10" s="55">
        <f t="shared" si="80"/>
        <v>133216170</v>
      </c>
      <c r="DM10" s="55">
        <f t="shared" si="80"/>
        <v>117002890</v>
      </c>
      <c r="DN10" s="55">
        <f t="shared" si="80"/>
        <v>105132810</v>
      </c>
      <c r="DO10" s="55">
        <f t="shared" si="80"/>
        <v>89457200</v>
      </c>
      <c r="DP10" s="55">
        <f t="shared" si="80"/>
        <v>74829500</v>
      </c>
      <c r="DQ10" s="55">
        <f t="shared" si="80"/>
        <v>108905580</v>
      </c>
      <c r="DR10" s="55">
        <f t="shared" si="80"/>
        <v>137812750</v>
      </c>
      <c r="DS10" s="55">
        <f t="shared" si="80"/>
        <v>123785000</v>
      </c>
      <c r="DT10" s="55">
        <f t="shared" si="80"/>
        <v>109438590</v>
      </c>
      <c r="DU10" s="55">
        <f t="shared" si="80"/>
        <v>95115370</v>
      </c>
      <c r="DV10" s="55">
        <f t="shared" si="80"/>
        <v>82308580</v>
      </c>
      <c r="DW10" s="55">
        <f t="shared" si="80"/>
        <v>68492670</v>
      </c>
      <c r="DX10" s="55">
        <f>DW10</f>
        <v>68492670</v>
      </c>
      <c r="DY10" s="55">
        <f t="shared" ref="DY10:FC10" si="81">DY9+DY6</f>
        <v>52847540</v>
      </c>
      <c r="DZ10" s="55">
        <f t="shared" si="81"/>
        <v>37524650</v>
      </c>
      <c r="EA10" s="55">
        <f t="shared" si="81"/>
        <v>79762690</v>
      </c>
      <c r="EB10" s="55">
        <f t="shared" si="81"/>
        <v>67263700</v>
      </c>
      <c r="EC10" s="55">
        <f t="shared" si="81"/>
        <v>53442910</v>
      </c>
      <c r="ED10" s="55">
        <f t="shared" si="81"/>
        <v>39420090</v>
      </c>
      <c r="EE10" s="55">
        <f t="shared" si="81"/>
        <v>97015400</v>
      </c>
      <c r="EF10" s="55">
        <f t="shared" si="81"/>
        <v>81683240</v>
      </c>
      <c r="EG10" s="55">
        <f t="shared" si="81"/>
        <v>61115780</v>
      </c>
      <c r="EH10" s="55">
        <f t="shared" si="81"/>
        <v>45179070</v>
      </c>
      <c r="EI10" s="55">
        <f t="shared" si="81"/>
        <v>93510700</v>
      </c>
      <c r="EJ10" s="55">
        <f t="shared" si="81"/>
        <v>75706700</v>
      </c>
      <c r="EK10" s="55">
        <f t="shared" si="81"/>
        <v>60263690</v>
      </c>
      <c r="EL10" s="55">
        <f t="shared" si="81"/>
        <v>90589540</v>
      </c>
      <c r="EM10" s="55">
        <f t="shared" si="81"/>
        <v>118888300</v>
      </c>
      <c r="EN10" s="55">
        <f t="shared" si="81"/>
        <v>100742850</v>
      </c>
      <c r="EO10" s="55">
        <f t="shared" si="81"/>
        <v>84989550</v>
      </c>
      <c r="EP10" s="55">
        <f t="shared" si="81"/>
        <v>66671300</v>
      </c>
      <c r="EQ10" s="55">
        <f t="shared" si="81"/>
        <v>110249450</v>
      </c>
      <c r="ER10" s="55">
        <f t="shared" si="81"/>
        <v>154414330</v>
      </c>
      <c r="ES10" s="55">
        <f t="shared" si="81"/>
        <v>132785950</v>
      </c>
      <c r="ET10" s="55">
        <f t="shared" si="81"/>
        <v>110810950</v>
      </c>
      <c r="EU10" s="55">
        <f t="shared" si="81"/>
        <v>139445250</v>
      </c>
      <c r="EV10" s="55">
        <f t="shared" si="81"/>
        <v>120362400</v>
      </c>
      <c r="EW10" s="55">
        <f t="shared" si="81"/>
        <v>107615450</v>
      </c>
      <c r="EX10" s="55">
        <f t="shared" si="81"/>
        <v>95176570</v>
      </c>
      <c r="EY10" s="55">
        <f t="shared" si="81"/>
        <v>81841300</v>
      </c>
      <c r="EZ10" s="55">
        <f t="shared" si="81"/>
        <v>125481410</v>
      </c>
      <c r="FA10" s="55">
        <f t="shared" si="81"/>
        <v>157665660</v>
      </c>
      <c r="FB10" s="55">
        <f t="shared" si="81"/>
        <v>142064500</v>
      </c>
      <c r="FC10" s="55">
        <f t="shared" si="81"/>
        <v>126294230</v>
      </c>
      <c r="FD10" s="126"/>
      <c r="FE10" s="55">
        <f t="shared" ref="FE10:GI10" si="82">FE9+FE6</f>
        <v>112266200</v>
      </c>
      <c r="FF10" s="55">
        <f t="shared" si="82"/>
        <v>98040800</v>
      </c>
      <c r="FG10" s="55">
        <f t="shared" si="82"/>
        <v>83522500</v>
      </c>
      <c r="FH10" s="55">
        <f t="shared" si="82"/>
        <v>67820700</v>
      </c>
      <c r="FI10" s="55">
        <f t="shared" si="82"/>
        <v>52366120</v>
      </c>
      <c r="FJ10" s="55">
        <f t="shared" si="82"/>
        <v>110541350</v>
      </c>
      <c r="FK10" s="55">
        <f t="shared" si="82"/>
        <v>95848090</v>
      </c>
      <c r="FL10" s="55">
        <f t="shared" si="82"/>
        <v>81425770</v>
      </c>
      <c r="FM10" s="55">
        <f t="shared" si="82"/>
        <v>65384050</v>
      </c>
      <c r="FN10" s="55">
        <f t="shared" si="82"/>
        <v>51943830</v>
      </c>
      <c r="FO10" s="55">
        <f t="shared" si="82"/>
        <v>133799110</v>
      </c>
      <c r="FP10" s="55">
        <f t="shared" si="82"/>
        <v>116076000</v>
      </c>
      <c r="FQ10" s="55">
        <f t="shared" si="82"/>
        <v>101199610</v>
      </c>
      <c r="FR10" s="55">
        <f t="shared" si="82"/>
        <v>86367560</v>
      </c>
      <c r="FS10" s="55">
        <f t="shared" si="82"/>
        <v>71584770</v>
      </c>
      <c r="FT10" s="55">
        <f t="shared" si="82"/>
        <v>57402680</v>
      </c>
      <c r="FU10" s="55">
        <f t="shared" si="82"/>
        <v>101344600</v>
      </c>
      <c r="FV10" s="55">
        <f t="shared" si="82"/>
        <v>124733640</v>
      </c>
      <c r="FW10" s="55">
        <f t="shared" si="82"/>
        <v>108831260</v>
      </c>
      <c r="FX10" s="55">
        <f t="shared" si="82"/>
        <v>91638140</v>
      </c>
      <c r="FY10" s="55">
        <f t="shared" si="82"/>
        <v>76933220</v>
      </c>
      <c r="FZ10" s="55">
        <f t="shared" si="82"/>
        <v>62302950</v>
      </c>
      <c r="GA10" s="55">
        <f t="shared" si="82"/>
        <v>45438090</v>
      </c>
      <c r="GB10" s="55">
        <f t="shared" si="82"/>
        <v>133212330</v>
      </c>
      <c r="GC10" s="55">
        <f t="shared" si="82"/>
        <v>117318540</v>
      </c>
      <c r="GD10" s="55">
        <f t="shared" si="82"/>
        <v>100821880</v>
      </c>
      <c r="GE10" s="55">
        <f t="shared" si="82"/>
        <v>86173570</v>
      </c>
      <c r="GF10" s="55">
        <f t="shared" si="82"/>
        <v>71585600</v>
      </c>
      <c r="GG10" s="55">
        <f t="shared" si="82"/>
        <v>53689830</v>
      </c>
      <c r="GH10" s="55">
        <f t="shared" si="82"/>
        <v>38246110</v>
      </c>
      <c r="GI10" s="55">
        <f t="shared" si="82"/>
        <v>79615720</v>
      </c>
      <c r="GJ10" s="130"/>
      <c r="GK10" s="55">
        <f t="shared" ref="GK10:HM10" si="83">GK9+GK6</f>
        <v>102963390</v>
      </c>
      <c r="GL10" s="55">
        <f t="shared" si="83"/>
        <v>86554950</v>
      </c>
      <c r="GM10" s="55">
        <f t="shared" si="83"/>
        <v>67777800</v>
      </c>
      <c r="GN10" s="55">
        <f t="shared" si="83"/>
        <v>52187080</v>
      </c>
      <c r="GO10" s="55">
        <f t="shared" si="83"/>
        <v>36153860</v>
      </c>
      <c r="GP10" s="55">
        <f t="shared" si="83"/>
        <v>109647030</v>
      </c>
      <c r="GQ10" s="55">
        <f t="shared" si="83"/>
        <v>91858550</v>
      </c>
      <c r="GR10" s="55">
        <f t="shared" si="83"/>
        <v>75835110</v>
      </c>
      <c r="GS10" s="55">
        <f t="shared" si="83"/>
        <v>61058890</v>
      </c>
      <c r="GT10" s="55">
        <f t="shared" si="83"/>
        <v>106761290</v>
      </c>
      <c r="GU10" s="55">
        <f t="shared" si="83"/>
        <v>92411450</v>
      </c>
      <c r="GV10" s="55">
        <f t="shared" si="83"/>
        <v>77638500</v>
      </c>
      <c r="GW10" s="55">
        <f t="shared" si="83"/>
        <v>62325150</v>
      </c>
      <c r="GX10" s="55">
        <f t="shared" si="83"/>
        <v>84904960</v>
      </c>
      <c r="GY10" s="55">
        <f t="shared" si="83"/>
        <v>71504880</v>
      </c>
      <c r="GZ10" s="55">
        <f t="shared" si="83"/>
        <v>123977100</v>
      </c>
      <c r="HA10" s="55">
        <f t="shared" si="83"/>
        <v>109486930</v>
      </c>
      <c r="HB10" s="55">
        <f t="shared" si="83"/>
        <v>96685880</v>
      </c>
      <c r="HC10" s="55">
        <f t="shared" si="83"/>
        <v>81167400</v>
      </c>
      <c r="HD10" s="55">
        <f t="shared" si="83"/>
        <v>94563860</v>
      </c>
      <c r="HE10" s="55">
        <f t="shared" si="83"/>
        <v>80580570</v>
      </c>
      <c r="HF10" s="55">
        <f t="shared" si="83"/>
        <v>66260820</v>
      </c>
      <c r="HG10" s="55">
        <f t="shared" si="83"/>
        <v>118647360</v>
      </c>
      <c r="HH10" s="55">
        <f t="shared" si="83"/>
        <v>101129090</v>
      </c>
      <c r="HI10" s="55">
        <f t="shared" si="83"/>
        <v>89721340</v>
      </c>
      <c r="HJ10" s="55">
        <f t="shared" si="83"/>
        <v>74800430</v>
      </c>
      <c r="HK10" s="55">
        <f t="shared" si="83"/>
        <v>61119130</v>
      </c>
      <c r="HL10" s="55">
        <f t="shared" si="83"/>
        <v>161050350</v>
      </c>
      <c r="HM10" s="55">
        <f t="shared" si="83"/>
        <v>145513549.89999998</v>
      </c>
      <c r="HN10" s="130"/>
      <c r="HO10" s="55">
        <f t="shared" ref="HO10:IS10" si="84">HO9+HO6</f>
        <v>128903840</v>
      </c>
      <c r="HP10" s="55">
        <f t="shared" si="84"/>
        <v>110594450</v>
      </c>
      <c r="HQ10" s="55">
        <f t="shared" si="84"/>
        <v>94991610</v>
      </c>
      <c r="HR10" s="55">
        <f t="shared" si="84"/>
        <v>76086570</v>
      </c>
      <c r="HS10" s="55">
        <f t="shared" si="84"/>
        <v>155211250</v>
      </c>
      <c r="HT10" s="55">
        <f t="shared" si="84"/>
        <v>138451290</v>
      </c>
      <c r="HU10" s="55">
        <f t="shared" si="84"/>
        <v>119365000</v>
      </c>
      <c r="HV10" s="55">
        <f t="shared" si="84"/>
        <v>103649590</v>
      </c>
      <c r="HW10" s="55">
        <f t="shared" si="84"/>
        <v>86529430</v>
      </c>
      <c r="HX10" s="55">
        <f t="shared" si="84"/>
        <v>71793880</v>
      </c>
      <c r="HY10" s="55">
        <f t="shared" si="84"/>
        <v>117723820</v>
      </c>
      <c r="HZ10" s="55">
        <f t="shared" si="84"/>
        <v>105477650</v>
      </c>
      <c r="IA10" s="55">
        <f t="shared" si="84"/>
        <v>92664200</v>
      </c>
      <c r="IB10" s="55">
        <f t="shared" si="84"/>
        <v>78875000</v>
      </c>
      <c r="IC10" s="55">
        <f t="shared" si="84"/>
        <v>63047250</v>
      </c>
      <c r="ID10" s="55">
        <f t="shared" si="84"/>
        <v>154821000</v>
      </c>
      <c r="IE10" s="55">
        <f t="shared" si="84"/>
        <v>140986750</v>
      </c>
      <c r="IF10" s="55">
        <f t="shared" si="84"/>
        <v>124764650</v>
      </c>
      <c r="IG10" s="55">
        <f t="shared" si="84"/>
        <v>109621650</v>
      </c>
      <c r="IH10" s="55">
        <f t="shared" si="84"/>
        <v>95812900</v>
      </c>
      <c r="II10" s="55">
        <f t="shared" si="84"/>
        <v>82131450</v>
      </c>
      <c r="IJ10" s="55">
        <f t="shared" si="84"/>
        <v>65739600</v>
      </c>
      <c r="IK10" s="55">
        <f t="shared" si="84"/>
        <v>101507300</v>
      </c>
      <c r="IL10" s="55">
        <f t="shared" si="84"/>
        <v>88559200</v>
      </c>
      <c r="IM10" s="55">
        <f t="shared" si="84"/>
        <v>71991500</v>
      </c>
      <c r="IN10" s="55">
        <f t="shared" si="84"/>
        <v>58276150</v>
      </c>
      <c r="IO10" s="55">
        <f t="shared" si="84"/>
        <v>96800820</v>
      </c>
      <c r="IP10" s="55">
        <f t="shared" si="84"/>
        <v>81018900</v>
      </c>
      <c r="IQ10" s="55">
        <f t="shared" si="84"/>
        <v>132426750</v>
      </c>
      <c r="IR10" s="55">
        <f t="shared" si="84"/>
        <v>118508820</v>
      </c>
      <c r="IS10" s="55">
        <f t="shared" si="84"/>
        <v>107656800</v>
      </c>
      <c r="IT10" s="130"/>
      <c r="IU10" s="55">
        <f t="shared" ref="IU10:JX10" si="85">IU9+IU6</f>
        <v>95943030</v>
      </c>
      <c r="IV10" s="55">
        <f t="shared" si="85"/>
        <v>79809510</v>
      </c>
      <c r="IW10" s="55">
        <f t="shared" si="85"/>
        <v>67069980</v>
      </c>
      <c r="IX10" s="55">
        <f t="shared" si="85"/>
        <v>53022060</v>
      </c>
      <c r="IY10" s="55">
        <f t="shared" si="85"/>
        <v>76468950</v>
      </c>
      <c r="IZ10" s="55">
        <f t="shared" si="85"/>
        <v>61827660</v>
      </c>
      <c r="JA10" s="55">
        <f t="shared" si="85"/>
        <v>111704280</v>
      </c>
      <c r="JB10" s="55">
        <f t="shared" si="85"/>
        <v>95398410</v>
      </c>
      <c r="JC10" s="55">
        <f t="shared" si="85"/>
        <v>91978230</v>
      </c>
      <c r="JD10" s="55">
        <f t="shared" si="85"/>
        <v>77268240</v>
      </c>
      <c r="JE10" s="55">
        <f t="shared" si="85"/>
        <v>63772290</v>
      </c>
      <c r="JF10" s="55">
        <f t="shared" si="85"/>
        <v>49179600</v>
      </c>
      <c r="JG10" s="55">
        <f t="shared" si="85"/>
        <v>91943700</v>
      </c>
      <c r="JH10" s="55">
        <f t="shared" si="85"/>
        <v>142727820</v>
      </c>
      <c r="JI10" s="55">
        <f t="shared" si="85"/>
        <v>128235330</v>
      </c>
      <c r="JJ10" s="55">
        <f t="shared" si="85"/>
        <v>114956670</v>
      </c>
      <c r="JK10" s="55">
        <f t="shared" si="85"/>
        <v>101258670</v>
      </c>
      <c r="JL10" s="55">
        <f t="shared" si="85"/>
        <v>88158390</v>
      </c>
      <c r="JM10" s="55">
        <f t="shared" si="85"/>
        <v>73165410</v>
      </c>
      <c r="JN10" s="55">
        <f t="shared" si="85"/>
        <v>127757040</v>
      </c>
      <c r="JO10" s="55">
        <f t="shared" si="85"/>
        <v>117275700</v>
      </c>
      <c r="JP10" s="55">
        <f t="shared" si="85"/>
        <v>100959660</v>
      </c>
      <c r="JQ10" s="55">
        <f t="shared" si="85"/>
        <v>88901280</v>
      </c>
      <c r="JR10" s="55">
        <f t="shared" si="85"/>
        <v>75550950</v>
      </c>
      <c r="JS10" s="55">
        <f t="shared" si="85"/>
        <v>62218260</v>
      </c>
      <c r="JT10" s="55">
        <f t="shared" si="85"/>
        <v>46805250</v>
      </c>
      <c r="JU10" s="55">
        <f t="shared" si="85"/>
        <v>77173260</v>
      </c>
      <c r="JV10" s="55">
        <f t="shared" si="85"/>
        <v>120249480</v>
      </c>
      <c r="JW10" s="55">
        <f t="shared" si="85"/>
        <v>106528110</v>
      </c>
      <c r="JX10" s="55">
        <f t="shared" si="85"/>
        <v>93150190</v>
      </c>
      <c r="JY10" s="140"/>
      <c r="JZ10" s="55">
        <f t="shared" ref="JZ10:LD10" si="86">JZ9+JZ6</f>
        <v>80723750</v>
      </c>
      <c r="KA10" s="55">
        <f t="shared" si="86"/>
        <v>66357040</v>
      </c>
      <c r="KB10" s="55">
        <f t="shared" si="86"/>
        <v>99061480</v>
      </c>
      <c r="KC10" s="55">
        <f t="shared" si="86"/>
        <v>136794580</v>
      </c>
      <c r="KD10" s="55">
        <f t="shared" si="86"/>
        <v>122266200</v>
      </c>
      <c r="KE10" s="55">
        <f t="shared" si="86"/>
        <v>108058470</v>
      </c>
      <c r="KF10" s="55">
        <f t="shared" si="86"/>
        <v>92327370</v>
      </c>
      <c r="KG10" s="55">
        <f t="shared" si="86"/>
        <v>78964620</v>
      </c>
      <c r="KH10" s="55">
        <f t="shared" si="86"/>
        <v>62869520</v>
      </c>
      <c r="KI10" s="55">
        <f t="shared" si="86"/>
        <v>125189050</v>
      </c>
      <c r="KJ10" s="55">
        <f t="shared" si="86"/>
        <v>108937180</v>
      </c>
      <c r="KK10" s="55">
        <f t="shared" si="86"/>
        <v>95476330</v>
      </c>
      <c r="KL10" s="55">
        <f t="shared" si="86"/>
        <v>74996740</v>
      </c>
      <c r="KM10" s="55">
        <f t="shared" si="86"/>
        <v>59314420</v>
      </c>
      <c r="KN10" s="55">
        <f t="shared" si="86"/>
        <v>46945670</v>
      </c>
      <c r="KO10" s="55">
        <f t="shared" si="86"/>
        <v>75261860</v>
      </c>
      <c r="KP10" s="55">
        <f t="shared" si="86"/>
        <v>60027000</v>
      </c>
      <c r="KQ10" s="55">
        <f t="shared" si="86"/>
        <v>43469500</v>
      </c>
      <c r="KR10" s="55">
        <f t="shared" si="86"/>
        <v>81648090</v>
      </c>
      <c r="KS10" s="55">
        <f t="shared" si="86"/>
        <v>65249750</v>
      </c>
      <c r="KT10" s="55">
        <f t="shared" si="86"/>
        <v>64326810</v>
      </c>
      <c r="KU10" s="55">
        <f t="shared" si="86"/>
        <v>107344000</v>
      </c>
      <c r="KV10" s="55">
        <f t="shared" si="86"/>
        <v>85704080</v>
      </c>
      <c r="KW10" s="55">
        <f t="shared" si="86"/>
        <v>68183730</v>
      </c>
      <c r="KX10" s="55">
        <f t="shared" si="86"/>
        <v>132843210</v>
      </c>
      <c r="KY10" s="55">
        <f t="shared" si="86"/>
        <v>118233500</v>
      </c>
      <c r="KZ10" s="55">
        <f t="shared" si="86"/>
        <v>102496250</v>
      </c>
      <c r="LA10" s="55">
        <f t="shared" si="86"/>
        <v>85836450</v>
      </c>
      <c r="LB10" s="55">
        <f t="shared" si="86"/>
        <v>69384800</v>
      </c>
      <c r="LC10" s="55">
        <f t="shared" si="86"/>
        <v>124890510</v>
      </c>
      <c r="LD10" s="55">
        <f t="shared" si="86"/>
        <v>128815390</v>
      </c>
      <c r="LE10" s="130"/>
      <c r="LF10" s="55">
        <f t="shared" ref="LF10:MI10" si="87">LF9+LF6</f>
        <v>109797160</v>
      </c>
      <c r="LG10" s="55">
        <f t="shared" si="87"/>
        <v>94689100</v>
      </c>
      <c r="LH10" s="55">
        <f t="shared" si="87"/>
        <v>75617080</v>
      </c>
      <c r="LI10" s="55">
        <f t="shared" si="87"/>
        <v>56001550</v>
      </c>
      <c r="LJ10" s="55">
        <f t="shared" si="87"/>
        <v>40856200</v>
      </c>
      <c r="LK10" s="55">
        <f t="shared" si="87"/>
        <v>87059390</v>
      </c>
      <c r="LL10" s="55">
        <f t="shared" si="87"/>
        <v>114648380</v>
      </c>
      <c r="LM10" s="55">
        <f t="shared" si="87"/>
        <v>93765430</v>
      </c>
      <c r="LN10" s="55">
        <f t="shared" si="87"/>
        <v>78905970</v>
      </c>
      <c r="LO10" s="55">
        <f t="shared" si="87"/>
        <v>61813730</v>
      </c>
      <c r="LP10" s="55">
        <f t="shared" si="87"/>
        <v>95340300</v>
      </c>
      <c r="LQ10" s="55">
        <f t="shared" si="87"/>
        <v>79915550</v>
      </c>
      <c r="LR10" s="55">
        <f t="shared" si="87"/>
        <v>63160350</v>
      </c>
      <c r="LS10" s="55">
        <f t="shared" si="87"/>
        <v>118624880</v>
      </c>
      <c r="LT10" s="55">
        <f t="shared" si="87"/>
        <v>99921580</v>
      </c>
      <c r="LU10" s="55">
        <f t="shared" si="87"/>
        <v>84039340</v>
      </c>
      <c r="LV10" s="55">
        <f t="shared" si="87"/>
        <v>69688960</v>
      </c>
      <c r="LW10" s="55">
        <f t="shared" si="87"/>
        <v>52769090</v>
      </c>
      <c r="LX10" s="55">
        <f t="shared" si="87"/>
        <v>36750230</v>
      </c>
      <c r="LY10" s="55">
        <f t="shared" si="87"/>
        <v>57166450</v>
      </c>
      <c r="LZ10" s="55">
        <f t="shared" si="87"/>
        <v>96591440</v>
      </c>
      <c r="MA10" s="55">
        <f t="shared" si="87"/>
        <v>80389210</v>
      </c>
      <c r="MB10" s="55">
        <f t="shared" si="87"/>
        <v>65986800</v>
      </c>
      <c r="MC10" s="55">
        <f t="shared" si="87"/>
        <v>49090580</v>
      </c>
      <c r="MD10" s="55">
        <f t="shared" si="87"/>
        <v>34407120</v>
      </c>
      <c r="ME10" s="55">
        <f t="shared" si="87"/>
        <v>51703850</v>
      </c>
      <c r="MF10" s="55">
        <f t="shared" si="87"/>
        <v>105147790</v>
      </c>
      <c r="MG10" s="55">
        <f t="shared" si="87"/>
        <v>89842500</v>
      </c>
      <c r="MH10" s="55">
        <f t="shared" si="87"/>
        <v>74506410</v>
      </c>
      <c r="MI10" s="55">
        <f t="shared" si="87"/>
        <v>105321150</v>
      </c>
      <c r="MJ10" s="140"/>
      <c r="MK10" s="55">
        <f t="shared" ref="MK10:NO10" si="88">MK9+MK6</f>
        <v>87940270</v>
      </c>
      <c r="ML10" s="55">
        <f t="shared" si="88"/>
        <v>71693050</v>
      </c>
      <c r="MM10" s="55">
        <f t="shared" si="88"/>
        <v>81830100</v>
      </c>
      <c r="MN10" s="55">
        <f t="shared" si="88"/>
        <v>67201640</v>
      </c>
      <c r="MO10" s="55">
        <f t="shared" si="88"/>
        <v>49959690</v>
      </c>
      <c r="MP10" s="55">
        <f t="shared" si="88"/>
        <v>113336960</v>
      </c>
      <c r="MQ10" s="55">
        <f t="shared" si="88"/>
        <v>107276950</v>
      </c>
      <c r="MR10" s="55">
        <f t="shared" si="88"/>
        <v>92168780</v>
      </c>
      <c r="MS10" s="55">
        <f t="shared" si="88"/>
        <v>78611500</v>
      </c>
      <c r="MT10" s="55">
        <f t="shared" si="88"/>
        <v>67485000</v>
      </c>
      <c r="MU10" s="55">
        <f t="shared" si="88"/>
        <v>51986440</v>
      </c>
      <c r="MV10" s="55">
        <f t="shared" si="88"/>
        <v>131081410</v>
      </c>
      <c r="MW10" s="55">
        <f t="shared" si="88"/>
        <v>112438585</v>
      </c>
      <c r="MX10" s="55">
        <f t="shared" si="88"/>
        <v>100437450</v>
      </c>
      <c r="MY10" s="55">
        <f t="shared" si="88"/>
        <v>86369960</v>
      </c>
      <c r="MZ10" s="55">
        <f t="shared" si="88"/>
        <v>69432137</v>
      </c>
      <c r="NA10" s="55">
        <f t="shared" si="88"/>
        <v>55588748</v>
      </c>
      <c r="NB10" s="55">
        <f t="shared" si="88"/>
        <v>39941751</v>
      </c>
      <c r="NC10" s="55">
        <f t="shared" si="88"/>
        <v>61469466</v>
      </c>
      <c r="ND10" s="55">
        <f t="shared" si="88"/>
        <v>46274166</v>
      </c>
      <c r="NE10" s="55">
        <f t="shared" si="88"/>
        <v>86944790</v>
      </c>
      <c r="NF10" s="55">
        <f t="shared" si="88"/>
        <v>72810177</v>
      </c>
      <c r="NG10" s="55">
        <f t="shared" si="88"/>
        <v>59379788</v>
      </c>
      <c r="NH10" s="55">
        <f t="shared" si="88"/>
        <v>46970100</v>
      </c>
      <c r="NI10" s="55">
        <f t="shared" si="88"/>
        <v>143388474</v>
      </c>
      <c r="NJ10" s="55">
        <f t="shared" si="88"/>
        <v>126874118</v>
      </c>
      <c r="NK10" s="55">
        <f t="shared" si="88"/>
        <v>111196926</v>
      </c>
      <c r="NL10" s="55">
        <f t="shared" si="88"/>
        <v>99032543</v>
      </c>
      <c r="NM10" s="55">
        <f t="shared" si="88"/>
        <v>83949965</v>
      </c>
      <c r="NN10" s="55">
        <f t="shared" si="88"/>
        <v>69577114</v>
      </c>
      <c r="NO10" s="55">
        <f t="shared" si="88"/>
        <v>108158590</v>
      </c>
      <c r="NP10" s="140"/>
      <c r="NQ10" s="55">
        <f t="shared" ref="NQ10:OU10" si="89">NQ9+NQ6</f>
        <v>94508445</v>
      </c>
      <c r="NR10" s="55">
        <f t="shared" si="89"/>
        <v>79133218</v>
      </c>
      <c r="NS10" s="55">
        <f t="shared" si="89"/>
        <v>99400341</v>
      </c>
      <c r="NT10" s="55">
        <f t="shared" si="89"/>
        <v>85949760</v>
      </c>
      <c r="NU10" s="55">
        <f t="shared" si="89"/>
        <v>71709380</v>
      </c>
      <c r="NV10" s="55">
        <f t="shared" si="89"/>
        <v>54064952</v>
      </c>
      <c r="NW10" s="55">
        <f t="shared" si="89"/>
        <v>89074050</v>
      </c>
      <c r="NX10" s="55">
        <f t="shared" si="89"/>
        <v>74063870</v>
      </c>
      <c r="NY10" s="55">
        <f t="shared" si="89"/>
        <v>57996771</v>
      </c>
      <c r="NZ10" s="55">
        <f t="shared" si="89"/>
        <v>61670753</v>
      </c>
      <c r="OA10" s="55">
        <f t="shared" si="89"/>
        <v>98117317</v>
      </c>
      <c r="OB10" s="55">
        <f t="shared" si="89"/>
        <v>85028250</v>
      </c>
      <c r="OC10" s="55">
        <f t="shared" si="89"/>
        <v>70710598</v>
      </c>
      <c r="OD10" s="55">
        <f t="shared" si="89"/>
        <v>55431274</v>
      </c>
      <c r="OE10" s="55">
        <f t="shared" si="89"/>
        <v>72671189</v>
      </c>
      <c r="OF10" s="55">
        <f t="shared" si="89"/>
        <v>102322885</v>
      </c>
      <c r="OG10" s="55">
        <f t="shared" si="89"/>
        <v>86878330</v>
      </c>
      <c r="OH10" s="55">
        <f t="shared" si="89"/>
        <v>73478065</v>
      </c>
      <c r="OI10" s="55">
        <f t="shared" si="89"/>
        <v>58122489</v>
      </c>
      <c r="OJ10" s="55">
        <f t="shared" si="89"/>
        <v>44413537</v>
      </c>
      <c r="OK10" s="55">
        <f t="shared" si="89"/>
        <v>137954055</v>
      </c>
      <c r="OL10" s="55">
        <f t="shared" si="89"/>
        <v>121506282</v>
      </c>
      <c r="OM10" s="55">
        <f t="shared" si="89"/>
        <v>106770378</v>
      </c>
      <c r="ON10" s="55">
        <f t="shared" si="89"/>
        <v>90948162</v>
      </c>
      <c r="OO10" s="55">
        <f t="shared" si="89"/>
        <v>80768793</v>
      </c>
      <c r="OP10" s="55">
        <f t="shared" si="89"/>
        <v>66213420</v>
      </c>
      <c r="OQ10" s="55">
        <f t="shared" si="89"/>
        <v>51680295</v>
      </c>
      <c r="OR10" s="55">
        <f t="shared" si="89"/>
        <v>38007765</v>
      </c>
      <c r="OS10" s="55">
        <f t="shared" si="89"/>
        <v>23255745</v>
      </c>
      <c r="OT10" s="55">
        <f t="shared" si="89"/>
        <v>126997710</v>
      </c>
      <c r="OU10" s="55">
        <f t="shared" si="89"/>
        <v>108649374</v>
      </c>
      <c r="OV10" s="130"/>
      <c r="OW10" s="55">
        <f t="shared" ref="OW10:PZ10" si="90">OW9+OW6</f>
        <v>96211890</v>
      </c>
      <c r="OX10" s="55">
        <f t="shared" si="90"/>
        <v>78390846</v>
      </c>
      <c r="OY10" s="55">
        <f t="shared" si="90"/>
        <v>63613929</v>
      </c>
      <c r="OZ10" s="55">
        <f t="shared" si="90"/>
        <v>115554882</v>
      </c>
      <c r="PA10" s="55">
        <f t="shared" si="90"/>
        <v>100367754</v>
      </c>
      <c r="PB10" s="55">
        <f t="shared" si="90"/>
        <v>125567970</v>
      </c>
      <c r="PC10" s="55">
        <f t="shared" si="90"/>
        <v>108964560</v>
      </c>
      <c r="PD10" s="55">
        <f t="shared" si="90"/>
        <v>94976577</v>
      </c>
      <c r="PE10" s="55">
        <f t="shared" si="90"/>
        <v>79918584</v>
      </c>
      <c r="PF10" s="55">
        <f t="shared" si="90"/>
        <v>66013260</v>
      </c>
      <c r="PG10" s="55">
        <f t="shared" si="90"/>
        <v>82239636</v>
      </c>
      <c r="PH10" s="55">
        <f t="shared" si="90"/>
        <v>69155430</v>
      </c>
      <c r="PI10" s="55">
        <f t="shared" si="90"/>
        <v>51192180</v>
      </c>
      <c r="PJ10" s="55">
        <f t="shared" si="90"/>
        <v>96570360</v>
      </c>
      <c r="PK10" s="55">
        <f t="shared" si="90"/>
        <v>84043401</v>
      </c>
      <c r="PL10" s="55">
        <f t="shared" si="90"/>
        <v>69402033</v>
      </c>
      <c r="PM10" s="55">
        <f t="shared" si="90"/>
        <v>55823820</v>
      </c>
      <c r="PN10" s="55">
        <f t="shared" si="90"/>
        <v>80351550</v>
      </c>
      <c r="PO10" s="55">
        <f t="shared" si="90"/>
        <v>66646845</v>
      </c>
      <c r="PP10" s="55">
        <f t="shared" si="90"/>
        <v>53192973</v>
      </c>
      <c r="PQ10" s="55">
        <f t="shared" si="90"/>
        <v>101562450</v>
      </c>
      <c r="PR10" s="55">
        <f t="shared" si="90"/>
        <v>90531567</v>
      </c>
      <c r="PS10" s="55">
        <f t="shared" si="90"/>
        <v>78370299</v>
      </c>
      <c r="PT10" s="55">
        <f t="shared" si="90"/>
        <v>65214438</v>
      </c>
      <c r="PU10" s="55">
        <f t="shared" si="90"/>
        <v>100229100</v>
      </c>
      <c r="PV10" s="55">
        <f t="shared" si="90"/>
        <v>88104678</v>
      </c>
      <c r="PW10" s="55">
        <f t="shared" si="90"/>
        <v>74932281</v>
      </c>
      <c r="PX10" s="55">
        <f t="shared" si="90"/>
        <v>110965845</v>
      </c>
      <c r="PY10" s="55">
        <f t="shared" si="90"/>
        <v>103299873</v>
      </c>
      <c r="PZ10" s="55">
        <f t="shared" si="90"/>
        <v>89211390</v>
      </c>
      <c r="QA10" s="130"/>
      <c r="QB10" s="55">
        <f t="shared" ref="QB10:RF10" si="91">QB9+QB6</f>
        <v>76554390</v>
      </c>
      <c r="QC10" s="55">
        <f t="shared" si="91"/>
        <v>65376921</v>
      </c>
      <c r="QD10" s="55">
        <f t="shared" si="91"/>
        <v>94833404</v>
      </c>
      <c r="QE10" s="55">
        <f t="shared" si="91"/>
        <v>124911828</v>
      </c>
      <c r="QF10" s="55">
        <f t="shared" si="91"/>
        <v>108569578</v>
      </c>
      <c r="QG10" s="55">
        <f t="shared" si="91"/>
        <v>97145880</v>
      </c>
      <c r="QH10" s="55">
        <f t="shared" si="91"/>
        <v>81840975</v>
      </c>
      <c r="QI10" s="55">
        <f t="shared" si="91"/>
        <v>68500953</v>
      </c>
      <c r="QJ10" s="55">
        <f t="shared" si="91"/>
        <v>102676374</v>
      </c>
      <c r="QK10" s="55">
        <f t="shared" si="91"/>
        <v>89865678</v>
      </c>
      <c r="QL10" s="55">
        <f t="shared" si="91"/>
        <v>74389822</v>
      </c>
      <c r="QM10" s="55">
        <f t="shared" si="91"/>
        <v>103714174</v>
      </c>
      <c r="QN10" s="55">
        <f t="shared" si="91"/>
        <v>89578843</v>
      </c>
      <c r="QO10" s="55">
        <f t="shared" si="91"/>
        <v>73128699</v>
      </c>
      <c r="QP10" s="55">
        <f t="shared" si="91"/>
        <v>60022933</v>
      </c>
      <c r="QQ10" s="55">
        <f t="shared" si="91"/>
        <v>112014960</v>
      </c>
      <c r="QR10" s="55">
        <f t="shared" si="91"/>
        <v>99450269</v>
      </c>
      <c r="QS10" s="55">
        <f t="shared" si="91"/>
        <v>82779974</v>
      </c>
      <c r="QT10" s="55">
        <f t="shared" si="91"/>
        <v>99734191</v>
      </c>
      <c r="QU10" s="55">
        <f t="shared" si="91"/>
        <v>88757268</v>
      </c>
      <c r="QV10" s="55">
        <f t="shared" si="91"/>
        <v>76144504</v>
      </c>
      <c r="QW10" s="55">
        <f t="shared" si="91"/>
        <v>64686642</v>
      </c>
      <c r="QX10" s="55">
        <f t="shared" si="91"/>
        <v>53002030</v>
      </c>
      <c r="QY10" s="55">
        <f t="shared" si="91"/>
        <v>95669632</v>
      </c>
      <c r="QZ10" s="55">
        <f t="shared" si="91"/>
        <v>78318625</v>
      </c>
      <c r="RA10" s="55">
        <f t="shared" si="91"/>
        <v>106359080</v>
      </c>
      <c r="RB10" s="55">
        <f t="shared" si="91"/>
        <v>95426600</v>
      </c>
      <c r="RC10" s="55">
        <f t="shared" si="91"/>
        <v>83487426</v>
      </c>
      <c r="RD10" s="55">
        <f t="shared" si="91"/>
        <v>71006225</v>
      </c>
      <c r="RE10" s="55">
        <f t="shared" si="91"/>
        <v>123387315</v>
      </c>
      <c r="RF10" s="55">
        <f t="shared" si="91"/>
        <v>109417974</v>
      </c>
      <c r="RG10" s="130"/>
      <c r="RH10" s="55">
        <f t="shared" ref="RH10:SK10" si="92">RH9+RH6</f>
        <v>95378220</v>
      </c>
      <c r="RI10" s="55">
        <f t="shared" si="92"/>
        <v>81769230</v>
      </c>
      <c r="RJ10" s="55">
        <f t="shared" si="92"/>
        <v>69426417</v>
      </c>
      <c r="RK10" s="55">
        <f t="shared" si="92"/>
        <v>52313277</v>
      </c>
      <c r="RL10" s="55">
        <f t="shared" si="92"/>
        <v>39805935</v>
      </c>
      <c r="RM10" s="55">
        <f t="shared" si="92"/>
        <v>65199549</v>
      </c>
      <c r="RN10" s="55">
        <f t="shared" si="92"/>
        <v>112951848</v>
      </c>
      <c r="RO10" s="55">
        <f t="shared" si="92"/>
        <v>99941403</v>
      </c>
      <c r="RP10" s="55">
        <f t="shared" si="92"/>
        <v>86294016</v>
      </c>
      <c r="RQ10" s="55">
        <f t="shared" si="92"/>
        <v>75094329</v>
      </c>
      <c r="RR10" s="55">
        <f t="shared" si="92"/>
        <v>61040475</v>
      </c>
      <c r="RS10" s="55">
        <f t="shared" si="92"/>
        <v>97752336</v>
      </c>
      <c r="RT10" s="55">
        <f t="shared" si="92"/>
        <v>84597915</v>
      </c>
      <c r="RU10" s="55">
        <f t="shared" si="92"/>
        <v>116420931</v>
      </c>
      <c r="RV10" s="55">
        <f t="shared" si="92"/>
        <v>102940710</v>
      </c>
      <c r="RW10" s="55">
        <f t="shared" si="92"/>
        <v>89542470</v>
      </c>
      <c r="RX10" s="55">
        <f t="shared" si="92"/>
        <v>77982000</v>
      </c>
      <c r="RY10" s="55">
        <f t="shared" si="92"/>
        <v>65420400</v>
      </c>
      <c r="RZ10" s="55">
        <f t="shared" si="92"/>
        <v>52170060</v>
      </c>
      <c r="SA10" s="55">
        <f t="shared" si="92"/>
        <v>92592600</v>
      </c>
      <c r="SB10" s="55">
        <f t="shared" si="92"/>
        <v>80737350</v>
      </c>
      <c r="SC10" s="55">
        <f t="shared" si="92"/>
        <v>110820750</v>
      </c>
      <c r="SD10" s="55">
        <f t="shared" si="92"/>
        <v>97353510</v>
      </c>
      <c r="SE10" s="55">
        <f t="shared" si="92"/>
        <v>124478580</v>
      </c>
      <c r="SF10" s="55">
        <f t="shared" si="92"/>
        <v>111072510</v>
      </c>
      <c r="SG10" s="55">
        <f t="shared" si="92"/>
        <v>97469100</v>
      </c>
      <c r="SH10" s="55">
        <f t="shared" si="92"/>
        <v>85554660</v>
      </c>
      <c r="SI10" s="55">
        <f t="shared" si="92"/>
        <v>70839840</v>
      </c>
      <c r="SJ10" s="55">
        <f t="shared" si="92"/>
        <v>57320850</v>
      </c>
      <c r="SK10" s="55">
        <f t="shared" si="92"/>
        <v>78332940</v>
      </c>
      <c r="SL10" s="130"/>
      <c r="SM10" s="55">
        <f t="shared" ref="SM10:TQ10" si="93">SM9+SM6</f>
        <v>128963880</v>
      </c>
      <c r="SN10" s="55">
        <f t="shared" si="93"/>
        <v>112652670</v>
      </c>
      <c r="SO10" s="55">
        <f t="shared" si="93"/>
        <v>91439520</v>
      </c>
      <c r="SP10" s="55">
        <f t="shared" si="93"/>
        <v>77230560</v>
      </c>
      <c r="SQ10" s="55">
        <f t="shared" si="93"/>
        <v>64512960</v>
      </c>
      <c r="SR10" s="55">
        <f t="shared" si="93"/>
        <v>93120990</v>
      </c>
      <c r="SS10" s="55">
        <f t="shared" si="93"/>
        <v>100051500</v>
      </c>
      <c r="ST10" s="55">
        <f t="shared" si="93"/>
        <v>87386490</v>
      </c>
      <c r="SU10" s="55">
        <f t="shared" si="93"/>
        <v>70930050</v>
      </c>
      <c r="SV10" s="55">
        <f t="shared" si="93"/>
        <v>58250550</v>
      </c>
      <c r="SW10" s="55">
        <f t="shared" si="93"/>
        <v>98955900</v>
      </c>
      <c r="SX10" s="55">
        <f t="shared" si="93"/>
        <v>124016640</v>
      </c>
      <c r="SY10" s="55">
        <f t="shared" si="93"/>
        <v>107136090</v>
      </c>
      <c r="SZ10" s="55">
        <f t="shared" si="93"/>
        <v>92691660</v>
      </c>
      <c r="TA10" s="55">
        <f t="shared" si="93"/>
        <v>79715040</v>
      </c>
      <c r="TB10" s="55">
        <f t="shared" si="93"/>
        <v>64648050</v>
      </c>
      <c r="TC10" s="55">
        <f t="shared" si="93"/>
        <v>51098310</v>
      </c>
      <c r="TD10" s="55">
        <f t="shared" si="93"/>
        <v>37142430</v>
      </c>
      <c r="TE10" s="55">
        <f t="shared" si="93"/>
        <v>73946280</v>
      </c>
      <c r="TF10" s="55">
        <f t="shared" si="93"/>
        <v>111359550</v>
      </c>
      <c r="TG10" s="55">
        <f t="shared" si="93"/>
        <v>96058740</v>
      </c>
      <c r="TH10" s="55">
        <f t="shared" si="93"/>
        <v>80646300</v>
      </c>
      <c r="TI10" s="55">
        <f t="shared" si="93"/>
        <v>66276750</v>
      </c>
      <c r="TJ10" s="55">
        <f t="shared" si="93"/>
        <v>121858350</v>
      </c>
      <c r="TK10" s="55">
        <f t="shared" si="93"/>
        <v>111924540</v>
      </c>
      <c r="TL10" s="55">
        <f t="shared" si="93"/>
        <v>101881950</v>
      </c>
      <c r="TM10" s="55">
        <f t="shared" si="93"/>
        <v>89769600</v>
      </c>
      <c r="TN10" s="55">
        <f t="shared" si="93"/>
        <v>78008760</v>
      </c>
      <c r="TO10" s="55">
        <f t="shared" si="93"/>
        <v>67716870</v>
      </c>
      <c r="TP10" s="55">
        <f t="shared" si="93"/>
        <v>55550400</v>
      </c>
      <c r="TQ10" s="55">
        <f t="shared" si="93"/>
        <v>72364890</v>
      </c>
      <c r="TR10" s="130"/>
      <c r="TS10" s="55">
        <f t="shared" ref="TS10:UW10" si="94">TS9+TS6</f>
        <v>115281240</v>
      </c>
      <c r="TT10" s="55">
        <f t="shared" si="94"/>
        <v>104148900</v>
      </c>
      <c r="TU10" s="55">
        <f t="shared" si="94"/>
        <v>92989260</v>
      </c>
      <c r="TV10" s="55">
        <f t="shared" si="94"/>
        <v>80769510</v>
      </c>
      <c r="TW10" s="55">
        <f t="shared" si="94"/>
        <v>112068450</v>
      </c>
      <c r="TX10" s="55">
        <f t="shared" si="94"/>
        <v>98984100</v>
      </c>
      <c r="TY10" s="55">
        <f t="shared" si="94"/>
        <v>85466400</v>
      </c>
      <c r="TZ10" s="55">
        <f t="shared" si="94"/>
        <v>118777200</v>
      </c>
      <c r="UA10" s="55">
        <f t="shared" si="94"/>
        <v>106074000</v>
      </c>
      <c r="UB10" s="55">
        <f t="shared" si="94"/>
        <v>92420520</v>
      </c>
      <c r="UC10" s="55">
        <f t="shared" si="94"/>
        <v>78626310</v>
      </c>
      <c r="UD10" s="55">
        <f t="shared" si="94"/>
        <v>109641090</v>
      </c>
      <c r="UE10" s="55">
        <f t="shared" si="94"/>
        <v>94455450</v>
      </c>
      <c r="UF10" s="55">
        <f t="shared" si="94"/>
        <v>81393900</v>
      </c>
      <c r="UG10" s="55">
        <f t="shared" si="94"/>
        <v>68465050</v>
      </c>
      <c r="UH10" s="55">
        <f t="shared" si="94"/>
        <v>55553300</v>
      </c>
      <c r="UI10" s="55">
        <f t="shared" si="94"/>
        <v>41368660</v>
      </c>
      <c r="UJ10" s="55">
        <f t="shared" si="94"/>
        <v>70830410</v>
      </c>
      <c r="UK10" s="55">
        <f t="shared" si="94"/>
        <v>57285850</v>
      </c>
      <c r="UL10" s="55">
        <f t="shared" si="94"/>
        <v>91818910</v>
      </c>
      <c r="UM10" s="55">
        <f t="shared" si="94"/>
        <v>79289400</v>
      </c>
      <c r="UN10" s="55">
        <f t="shared" si="94"/>
        <v>64614880</v>
      </c>
      <c r="UO10" s="55">
        <f t="shared" si="94"/>
        <v>51970990</v>
      </c>
      <c r="UP10" s="55">
        <f t="shared" si="94"/>
        <v>73612850</v>
      </c>
      <c r="UQ10" s="55">
        <f t="shared" si="94"/>
        <v>59200650</v>
      </c>
      <c r="UR10" s="55">
        <f t="shared" si="94"/>
        <v>44775090</v>
      </c>
      <c r="US10" s="55">
        <f t="shared" si="94"/>
        <v>31275150</v>
      </c>
      <c r="UT10" s="55">
        <f t="shared" si="94"/>
        <v>18009700</v>
      </c>
      <c r="UU10" s="55">
        <f t="shared" si="94"/>
        <v>61731520</v>
      </c>
      <c r="UV10" s="55">
        <f t="shared" si="94"/>
        <v>94241670</v>
      </c>
      <c r="UW10" s="55">
        <f t="shared" si="94"/>
        <v>80325200</v>
      </c>
      <c r="UX10" s="130"/>
      <c r="UY10" s="55">
        <f t="shared" ref="UY10:VZ10" si="95">UY9+UY6</f>
        <v>65378400</v>
      </c>
      <c r="UZ10" s="55">
        <f t="shared" si="95"/>
        <v>53564930</v>
      </c>
      <c r="VA10" s="55">
        <f t="shared" si="95"/>
        <v>36126550</v>
      </c>
      <c r="VB10" s="55">
        <f t="shared" si="95"/>
        <v>98472290</v>
      </c>
      <c r="VC10" s="55">
        <f t="shared" si="95"/>
        <v>106439450</v>
      </c>
      <c r="VD10" s="55">
        <f t="shared" si="95"/>
        <v>94239210</v>
      </c>
      <c r="VE10" s="55">
        <f t="shared" si="95"/>
        <v>79787702</v>
      </c>
      <c r="VF10" s="55">
        <f t="shared" si="95"/>
        <v>64420013</v>
      </c>
      <c r="VG10" s="55">
        <f t="shared" si="95"/>
        <v>53050170</v>
      </c>
      <c r="VH10" s="55">
        <f t="shared" si="95"/>
        <v>39929216</v>
      </c>
      <c r="VI10" s="55">
        <f t="shared" si="95"/>
        <v>122446070</v>
      </c>
      <c r="VJ10" s="55">
        <f t="shared" si="95"/>
        <v>110494785</v>
      </c>
      <c r="VK10" s="55">
        <f t="shared" si="95"/>
        <v>97322700</v>
      </c>
      <c r="VL10" s="55">
        <f t="shared" si="95"/>
        <v>80980393</v>
      </c>
      <c r="VM10" s="55">
        <f t="shared" si="95"/>
        <v>107299042</v>
      </c>
      <c r="VN10" s="55">
        <f t="shared" si="95"/>
        <v>94413600</v>
      </c>
      <c r="VO10" s="55">
        <f t="shared" si="95"/>
        <v>80956069</v>
      </c>
      <c r="VP10" s="55">
        <f t="shared" si="95"/>
        <v>68237454</v>
      </c>
      <c r="VQ10" s="55">
        <f t="shared" si="95"/>
        <v>121930076</v>
      </c>
      <c r="VR10" s="55">
        <f t="shared" si="95"/>
        <v>108651322</v>
      </c>
      <c r="VS10" s="55">
        <f t="shared" si="95"/>
        <v>95414802</v>
      </c>
      <c r="VT10" s="55">
        <f t="shared" si="95"/>
        <v>111436804</v>
      </c>
      <c r="VU10" s="55">
        <f t="shared" si="95"/>
        <v>99500954</v>
      </c>
      <c r="VV10" s="55">
        <f t="shared" si="95"/>
        <v>86591500</v>
      </c>
      <c r="VW10" s="55">
        <f t="shared" si="95"/>
        <v>72871170</v>
      </c>
      <c r="VX10" s="55">
        <f t="shared" si="95"/>
        <v>59971916</v>
      </c>
      <c r="VY10" s="55">
        <f t="shared" si="95"/>
        <v>102975473</v>
      </c>
      <c r="VZ10" s="55">
        <f t="shared" si="95"/>
        <v>90654376</v>
      </c>
      <c r="WA10" s="140"/>
      <c r="WB10" s="55">
        <f t="shared" ref="WB10:XF10" si="96">WB9+WB6</f>
        <v>75644870</v>
      </c>
      <c r="WC10" s="55">
        <f t="shared" si="96"/>
        <v>64699460</v>
      </c>
      <c r="WD10" s="55">
        <f t="shared" si="96"/>
        <v>50539350</v>
      </c>
      <c r="WE10" s="55">
        <f t="shared" si="96"/>
        <v>37987409</v>
      </c>
      <c r="WF10" s="55">
        <f t="shared" si="96"/>
        <v>27079984</v>
      </c>
      <c r="WG10" s="55">
        <f t="shared" si="96"/>
        <v>19457479</v>
      </c>
      <c r="WH10" s="55">
        <f t="shared" si="96"/>
        <v>117806060</v>
      </c>
      <c r="WI10" s="55">
        <f t="shared" si="96"/>
        <v>103435804</v>
      </c>
      <c r="WJ10" s="55">
        <f t="shared" si="96"/>
        <v>91021677</v>
      </c>
      <c r="WK10" s="55">
        <f t="shared" si="96"/>
        <v>77086348</v>
      </c>
      <c r="WL10" s="55">
        <f t="shared" si="96"/>
        <v>97399163</v>
      </c>
      <c r="WM10" s="55">
        <f t="shared" si="96"/>
        <v>86382817</v>
      </c>
      <c r="WN10" s="55">
        <f t="shared" si="96"/>
        <v>75269923</v>
      </c>
      <c r="WO10" s="55">
        <f t="shared" si="96"/>
        <v>62489023</v>
      </c>
      <c r="WP10" s="55">
        <f t="shared" si="96"/>
        <v>47346105</v>
      </c>
      <c r="WQ10" s="55">
        <f t="shared" si="96"/>
        <v>107997500</v>
      </c>
      <c r="WR10" s="55">
        <f t="shared" si="96"/>
        <v>95989155</v>
      </c>
      <c r="WS10" s="55">
        <f t="shared" si="96"/>
        <v>85559062.75</v>
      </c>
      <c r="WT10" s="55">
        <f t="shared" si="96"/>
        <v>72316833</v>
      </c>
      <c r="WU10" s="55">
        <f t="shared" si="96"/>
        <v>61050583</v>
      </c>
      <c r="WV10" s="55">
        <f t="shared" si="96"/>
        <v>82455290</v>
      </c>
      <c r="WW10" s="55">
        <f t="shared" si="96"/>
        <v>69013920</v>
      </c>
      <c r="WX10" s="55">
        <f t="shared" si="96"/>
        <v>56637490</v>
      </c>
      <c r="WY10" s="55">
        <f t="shared" si="96"/>
        <v>42555780</v>
      </c>
      <c r="WZ10" s="55">
        <f t="shared" si="96"/>
        <v>65564119</v>
      </c>
      <c r="XA10" s="55">
        <f t="shared" si="96"/>
        <v>111608233</v>
      </c>
      <c r="XB10" s="55">
        <f t="shared" si="96"/>
        <v>98234694</v>
      </c>
      <c r="XC10" s="55">
        <f t="shared" si="96"/>
        <v>84328269</v>
      </c>
      <c r="XD10" s="55">
        <f t="shared" si="96"/>
        <v>69884043</v>
      </c>
      <c r="XE10" s="55">
        <f t="shared" si="96"/>
        <v>56281500</v>
      </c>
      <c r="XF10" s="55">
        <f t="shared" si="96"/>
        <v>109820718</v>
      </c>
      <c r="XG10" s="140"/>
      <c r="XH10" s="55">
        <f t="shared" ref="XH10:YK10" si="97">XH9+XH6</f>
        <v>133473195</v>
      </c>
      <c r="XI10" s="55">
        <f t="shared" si="97"/>
        <v>122009190</v>
      </c>
      <c r="XJ10" s="55">
        <f t="shared" si="97"/>
        <v>109312490</v>
      </c>
      <c r="XK10" s="55">
        <f t="shared" si="97"/>
        <v>96945660</v>
      </c>
      <c r="XL10" s="55">
        <f t="shared" si="97"/>
        <v>83142140</v>
      </c>
      <c r="XM10" s="55">
        <f t="shared" si="97"/>
        <v>70988465</v>
      </c>
      <c r="XN10" s="55">
        <f t="shared" si="97"/>
        <v>56914610</v>
      </c>
      <c r="XO10" s="55">
        <f t="shared" si="97"/>
        <v>44425345</v>
      </c>
      <c r="XP10" s="55">
        <f t="shared" si="97"/>
        <v>99309090</v>
      </c>
      <c r="XQ10" s="55">
        <f t="shared" si="97"/>
        <v>86503970</v>
      </c>
      <c r="XR10" s="55">
        <f t="shared" si="97"/>
        <v>104400055</v>
      </c>
      <c r="XS10" s="55">
        <f t="shared" si="97"/>
        <v>90870930</v>
      </c>
      <c r="XT10" s="55">
        <f t="shared" si="97"/>
        <v>79468915</v>
      </c>
      <c r="XU10" s="55">
        <f t="shared" si="97"/>
        <v>68028330</v>
      </c>
      <c r="XV10" s="55">
        <f t="shared" si="97"/>
        <v>92943020</v>
      </c>
      <c r="XW10" s="55">
        <f t="shared" si="97"/>
        <v>79183245</v>
      </c>
      <c r="XX10" s="55">
        <f t="shared" si="97"/>
        <v>66835260</v>
      </c>
      <c r="XY10" s="55">
        <f t="shared" si="97"/>
        <v>93224550</v>
      </c>
      <c r="XZ10" s="55">
        <f t="shared" si="97"/>
        <v>111064950</v>
      </c>
      <c r="YA10" s="55">
        <f t="shared" si="97"/>
        <v>101079540</v>
      </c>
      <c r="YB10" s="55">
        <f t="shared" si="97"/>
        <v>89823600</v>
      </c>
      <c r="YC10" s="55">
        <f t="shared" si="97"/>
        <v>77292120</v>
      </c>
      <c r="YD10" s="55">
        <f t="shared" si="97"/>
        <v>102953490</v>
      </c>
      <c r="YE10" s="55">
        <f t="shared" si="97"/>
        <v>90240420</v>
      </c>
      <c r="YF10" s="55">
        <f t="shared" si="97"/>
        <v>121955370</v>
      </c>
      <c r="YG10" s="55">
        <f t="shared" si="97"/>
        <v>108731100</v>
      </c>
      <c r="YH10" s="55">
        <f t="shared" si="97"/>
        <v>96681000</v>
      </c>
      <c r="YI10" s="55">
        <f t="shared" si="97"/>
        <v>84911880</v>
      </c>
      <c r="YJ10" s="55">
        <f t="shared" si="97"/>
        <v>117396000</v>
      </c>
      <c r="YK10" s="55">
        <f t="shared" si="97"/>
        <v>106167960</v>
      </c>
      <c r="YL10" s="130"/>
      <c r="YM10" s="55">
        <f t="shared" ref="YM10:ZQ10" si="98">YM9+YM6</f>
        <v>92662440</v>
      </c>
      <c r="YN10" s="55">
        <f t="shared" si="98"/>
        <v>76351440</v>
      </c>
      <c r="YO10" s="55">
        <f t="shared" si="98"/>
        <v>63079230</v>
      </c>
      <c r="YP10" s="55">
        <f t="shared" si="98"/>
        <v>49493010</v>
      </c>
      <c r="YQ10" s="55">
        <f t="shared" si="98"/>
        <v>34338600</v>
      </c>
      <c r="YR10" s="55">
        <f t="shared" si="98"/>
        <v>20365740</v>
      </c>
      <c r="YS10" s="55">
        <f t="shared" si="98"/>
        <v>8938710</v>
      </c>
      <c r="YT10" s="55">
        <f t="shared" si="98"/>
        <v>6786960</v>
      </c>
      <c r="YU10" s="55">
        <f t="shared" si="98"/>
        <v>66321810</v>
      </c>
      <c r="YV10" s="55">
        <f t="shared" si="98"/>
        <v>51818370</v>
      </c>
      <c r="YW10" s="55">
        <f t="shared" si="98"/>
        <v>76074690</v>
      </c>
      <c r="YX10" s="55">
        <f t="shared" si="98"/>
        <v>109084230</v>
      </c>
      <c r="YY10" s="55">
        <f t="shared" si="98"/>
        <v>97193490</v>
      </c>
      <c r="YZ10" s="55">
        <f t="shared" si="98"/>
        <v>85153800</v>
      </c>
      <c r="ZA10" s="55">
        <f t="shared" si="98"/>
        <v>73268430</v>
      </c>
      <c r="ZB10" s="55">
        <f t="shared" si="98"/>
        <v>123822330</v>
      </c>
      <c r="ZC10" s="55">
        <f t="shared" si="98"/>
        <v>109062840</v>
      </c>
      <c r="ZD10" s="55">
        <f t="shared" si="98"/>
        <v>97331280</v>
      </c>
      <c r="ZE10" s="55">
        <f t="shared" si="98"/>
        <v>83126370</v>
      </c>
      <c r="ZF10" s="55">
        <f t="shared" si="98"/>
        <v>70936740</v>
      </c>
      <c r="ZG10" s="55">
        <f t="shared" si="98"/>
        <v>56672850</v>
      </c>
      <c r="ZH10" s="55">
        <f t="shared" si="98"/>
        <v>76489410</v>
      </c>
      <c r="ZI10" s="55">
        <f t="shared" si="98"/>
        <v>88285410</v>
      </c>
      <c r="ZJ10" s="55">
        <f t="shared" si="98"/>
        <v>71477430</v>
      </c>
      <c r="ZK10" s="55">
        <f t="shared" si="98"/>
        <v>56281680</v>
      </c>
      <c r="ZL10" s="55">
        <f t="shared" si="98"/>
        <v>40931520</v>
      </c>
      <c r="ZM10" s="55">
        <f t="shared" si="98"/>
        <v>90713600</v>
      </c>
      <c r="ZN10" s="55">
        <f t="shared" si="98"/>
        <v>119206220</v>
      </c>
      <c r="ZO10" s="55">
        <f t="shared" si="98"/>
        <v>143987850</v>
      </c>
      <c r="ZP10" s="55">
        <f t="shared" si="98"/>
        <v>128989540</v>
      </c>
      <c r="ZQ10" s="55">
        <f t="shared" si="98"/>
        <v>115118050</v>
      </c>
      <c r="ZR10" s="130"/>
      <c r="ZS10" s="55">
        <f t="shared" ref="ZS10:AAV10" si="99">ZS9+ZS6</f>
        <v>100119560</v>
      </c>
      <c r="ZT10" s="55">
        <f t="shared" si="99"/>
        <v>86537810</v>
      </c>
      <c r="ZU10" s="55">
        <f t="shared" si="99"/>
        <v>72500080</v>
      </c>
      <c r="ZV10" s="55">
        <f t="shared" si="99"/>
        <v>59386720</v>
      </c>
      <c r="ZW10" s="55">
        <f t="shared" si="99"/>
        <v>88929700</v>
      </c>
      <c r="ZX10" s="55">
        <f t="shared" si="99"/>
        <v>137580890</v>
      </c>
      <c r="ZY10" s="55">
        <f t="shared" si="99"/>
        <v>122678840</v>
      </c>
      <c r="ZZ10" s="55">
        <f t="shared" si="99"/>
        <v>108787220</v>
      </c>
      <c r="AAA10" s="55">
        <f t="shared" si="99"/>
        <v>96852500</v>
      </c>
      <c r="AAB10" s="55">
        <f t="shared" si="99"/>
        <v>78632360</v>
      </c>
      <c r="AAC10" s="55">
        <f t="shared" si="99"/>
        <v>64286780</v>
      </c>
      <c r="AAD10" s="55">
        <f t="shared" si="99"/>
        <v>114571250</v>
      </c>
      <c r="AAE10" s="55">
        <f t="shared" si="99"/>
        <v>98759180</v>
      </c>
      <c r="AAF10" s="55">
        <f t="shared" si="99"/>
        <v>82767270</v>
      </c>
      <c r="AAG10" s="55">
        <f t="shared" si="99"/>
        <v>68394780</v>
      </c>
      <c r="AAH10" s="55">
        <f t="shared" si="99"/>
        <v>54438270</v>
      </c>
      <c r="AAI10" s="55">
        <f t="shared" si="99"/>
        <v>86548800</v>
      </c>
      <c r="AAJ10" s="55">
        <f t="shared" si="99"/>
        <v>129032540</v>
      </c>
      <c r="AAK10" s="55">
        <f t="shared" si="99"/>
        <v>114410770</v>
      </c>
      <c r="AAL10" s="55">
        <f t="shared" si="99"/>
        <v>100624250</v>
      </c>
      <c r="AAM10" s="55">
        <f t="shared" si="99"/>
        <v>83989990</v>
      </c>
      <c r="AAN10" s="55">
        <f t="shared" si="99"/>
        <v>72698670</v>
      </c>
      <c r="AAO10" s="55">
        <f t="shared" si="99"/>
        <v>58040590</v>
      </c>
      <c r="AAP10" s="55">
        <f t="shared" si="99"/>
        <v>108192840</v>
      </c>
      <c r="AAQ10" s="55">
        <f t="shared" si="99"/>
        <v>94797020</v>
      </c>
      <c r="AAR10" s="55">
        <f t="shared" si="99"/>
        <v>126069400</v>
      </c>
      <c r="AAS10" s="55">
        <f t="shared" si="99"/>
        <v>111729740</v>
      </c>
      <c r="AAT10" s="55">
        <f t="shared" si="99"/>
        <v>96083690</v>
      </c>
      <c r="AAU10" s="55">
        <f t="shared" si="99"/>
        <v>83528110</v>
      </c>
      <c r="AAV10" s="55">
        <f t="shared" si="99"/>
        <v>70665500</v>
      </c>
      <c r="AAW10" s="130"/>
      <c r="AAX10" s="55">
        <f t="shared" ref="AAX10:ACB10" si="100">AAX9+AAX6</f>
        <v>116574100</v>
      </c>
      <c r="AAY10" s="55">
        <f t="shared" si="100"/>
        <v>104314250</v>
      </c>
      <c r="AAZ10" s="55">
        <f t="shared" si="100"/>
        <v>90799340</v>
      </c>
      <c r="ABA10" s="55">
        <f t="shared" si="100"/>
        <v>76448690</v>
      </c>
      <c r="ABB10" s="55">
        <f t="shared" si="100"/>
        <v>95241420</v>
      </c>
      <c r="ABC10" s="55">
        <f t="shared" si="100"/>
        <v>81104120</v>
      </c>
      <c r="ABD10" s="55">
        <f t="shared" si="100"/>
        <v>67289540</v>
      </c>
      <c r="ABE10" s="55">
        <f t="shared" si="100"/>
        <v>110760420</v>
      </c>
      <c r="ABF10" s="55">
        <f t="shared" si="100"/>
        <v>98138240</v>
      </c>
      <c r="ABG10" s="55">
        <f t="shared" si="100"/>
        <v>110708980</v>
      </c>
      <c r="ABH10" s="55">
        <f t="shared" si="100"/>
        <v>95983150</v>
      </c>
      <c r="ABI10" s="55">
        <f t="shared" si="100"/>
        <v>85936430</v>
      </c>
      <c r="ABJ10" s="55">
        <f t="shared" si="100"/>
        <v>71660090</v>
      </c>
      <c r="ABK10" s="55">
        <f t="shared" si="100"/>
        <v>57751630</v>
      </c>
      <c r="ABL10" s="55">
        <f t="shared" si="100"/>
        <v>44037930</v>
      </c>
      <c r="ABM10" s="55">
        <f t="shared" si="100"/>
        <v>102830270</v>
      </c>
      <c r="ABN10" s="55">
        <f t="shared" si="100"/>
        <v>89069450</v>
      </c>
      <c r="ABO10" s="55">
        <f t="shared" si="100"/>
        <v>72949150</v>
      </c>
      <c r="ABP10" s="55">
        <f t="shared" si="100"/>
        <v>96249560</v>
      </c>
      <c r="ABQ10" s="55">
        <f t="shared" si="100"/>
        <v>127917610</v>
      </c>
      <c r="ABR10" s="55">
        <f t="shared" si="100"/>
        <v>115895420</v>
      </c>
      <c r="ABS10" s="55">
        <f t="shared" si="100"/>
        <v>103467800</v>
      </c>
      <c r="ABT10" s="55">
        <f t="shared" si="100"/>
        <v>89403810</v>
      </c>
      <c r="ABU10" s="55">
        <f t="shared" si="100"/>
        <v>75363800</v>
      </c>
      <c r="ABV10" s="55">
        <f t="shared" si="100"/>
        <v>119026650</v>
      </c>
      <c r="ABW10" s="55">
        <f t="shared" si="100"/>
        <v>104357290</v>
      </c>
      <c r="ABX10" s="55">
        <f t="shared" si="100"/>
        <v>91626390</v>
      </c>
      <c r="ABY10" s="55">
        <f t="shared" si="100"/>
        <v>75553900</v>
      </c>
      <c r="ABZ10" s="55">
        <f t="shared" si="100"/>
        <v>101013360</v>
      </c>
      <c r="ACA10" s="55">
        <f t="shared" si="100"/>
        <v>142625040</v>
      </c>
      <c r="ACB10" s="55">
        <f t="shared" si="100"/>
        <v>129232060</v>
      </c>
      <c r="ACC10" s="130"/>
      <c r="ACD10" s="55">
        <f t="shared" ref="ACD10:ADH10" si="101">ACD9+ACD6</f>
        <v>114545080</v>
      </c>
      <c r="ACE10" s="55">
        <f t="shared" si="101"/>
        <v>97015990</v>
      </c>
      <c r="ACF10" s="55">
        <f t="shared" si="101"/>
        <v>82068150</v>
      </c>
      <c r="ACG10" s="55">
        <f t="shared" si="101"/>
        <v>67007290</v>
      </c>
      <c r="ACH10" s="55">
        <f t="shared" si="101"/>
        <v>51564170</v>
      </c>
      <c r="ACI10" s="55">
        <f t="shared" si="101"/>
        <v>103015500</v>
      </c>
      <c r="ACJ10" s="55">
        <f t="shared" si="101"/>
        <v>89188080</v>
      </c>
      <c r="ACK10" s="55">
        <f t="shared" si="101"/>
        <v>73888116</v>
      </c>
      <c r="ACL10" s="55">
        <f t="shared" si="101"/>
        <v>96235515</v>
      </c>
      <c r="ACM10" s="55">
        <f t="shared" si="101"/>
        <v>84470217</v>
      </c>
      <c r="ACN10" s="55">
        <f t="shared" si="101"/>
        <v>69307605</v>
      </c>
      <c r="ACO10" s="55">
        <f t="shared" si="101"/>
        <v>56492250</v>
      </c>
      <c r="ACP10" s="55">
        <f t="shared" si="101"/>
        <v>128387670</v>
      </c>
      <c r="ACQ10" s="55">
        <f t="shared" si="101"/>
        <v>113806446</v>
      </c>
      <c r="ACR10" s="55">
        <f t="shared" si="101"/>
        <v>99193032</v>
      </c>
      <c r="ACS10" s="55">
        <f t="shared" si="101"/>
        <v>86022555</v>
      </c>
      <c r="ACT10" s="55">
        <f t="shared" si="101"/>
        <v>72876030</v>
      </c>
      <c r="ACU10" s="55">
        <f t="shared" si="101"/>
        <v>58313130</v>
      </c>
      <c r="ACV10" s="55">
        <f t="shared" si="101"/>
        <v>97562235</v>
      </c>
      <c r="ACW10" s="55">
        <f t="shared" si="101"/>
        <v>86182506</v>
      </c>
      <c r="ACX10" s="55">
        <f t="shared" si="101"/>
        <v>73616379</v>
      </c>
      <c r="ACY10" s="55">
        <f t="shared" si="101"/>
        <v>104766525</v>
      </c>
      <c r="ACZ10" s="55">
        <f t="shared" si="101"/>
        <v>91295010</v>
      </c>
      <c r="ADA10" s="55">
        <f t="shared" si="101"/>
        <v>79117836</v>
      </c>
      <c r="ADB10" s="55">
        <f t="shared" si="101"/>
        <v>111252015</v>
      </c>
      <c r="ADC10" s="55">
        <f t="shared" si="101"/>
        <v>144107523</v>
      </c>
      <c r="ADD10" s="55">
        <f t="shared" si="101"/>
        <v>131373990</v>
      </c>
      <c r="ADE10" s="55">
        <f t="shared" si="101"/>
        <v>119948820</v>
      </c>
      <c r="ADF10" s="55">
        <f t="shared" si="101"/>
        <v>106232127</v>
      </c>
      <c r="ADG10" s="55">
        <f t="shared" si="101"/>
        <v>131747709</v>
      </c>
      <c r="ADH10" s="55">
        <f t="shared" si="101"/>
        <v>119292642</v>
      </c>
      <c r="ADI10" s="130"/>
      <c r="ADJ10" s="55">
        <f t="shared" ref="ADJ10:AEM10" si="102">ADJ9+ADJ6</f>
        <v>107576766</v>
      </c>
      <c r="ADK10" s="55">
        <f t="shared" si="102"/>
        <v>95460162</v>
      </c>
      <c r="ADL10" s="55">
        <f t="shared" si="102"/>
        <v>83541450</v>
      </c>
      <c r="ADM10" s="55">
        <f t="shared" si="102"/>
        <v>69899577</v>
      </c>
      <c r="ADN10" s="55">
        <f t="shared" si="102"/>
        <v>114182130</v>
      </c>
      <c r="ADO10" s="55">
        <f t="shared" si="102"/>
        <v>135664377</v>
      </c>
      <c r="ADP10" s="55">
        <f t="shared" si="102"/>
        <v>123391695</v>
      </c>
      <c r="ADQ10" s="55">
        <f t="shared" si="102"/>
        <v>111664050</v>
      </c>
      <c r="ADR10" s="55">
        <f t="shared" si="102"/>
        <v>99133536</v>
      </c>
      <c r="ADS10" s="55">
        <f t="shared" si="102"/>
        <v>88206423</v>
      </c>
      <c r="ADT10" s="55">
        <f t="shared" si="102"/>
        <v>75643602</v>
      </c>
      <c r="ADU10" s="55">
        <f t="shared" si="102"/>
        <v>125934150</v>
      </c>
      <c r="ADV10" s="55">
        <f t="shared" si="102"/>
        <v>111170784</v>
      </c>
      <c r="ADW10" s="55">
        <f t="shared" si="102"/>
        <v>100361403</v>
      </c>
      <c r="ADX10" s="55">
        <f t="shared" si="102"/>
        <v>86664354</v>
      </c>
      <c r="ADY10" s="55">
        <f t="shared" si="102"/>
        <v>110935788</v>
      </c>
      <c r="ADZ10" s="55">
        <f t="shared" si="102"/>
        <v>100534650</v>
      </c>
      <c r="AEA10" s="55">
        <f t="shared" si="102"/>
        <v>88262691</v>
      </c>
      <c r="AEB10" s="55">
        <f t="shared" si="102"/>
        <v>77220027</v>
      </c>
      <c r="AEC10" s="55">
        <f t="shared" si="102"/>
        <v>118507305</v>
      </c>
      <c r="AED10" s="55">
        <f t="shared" si="102"/>
        <v>107227770</v>
      </c>
      <c r="AEE10" s="55">
        <f t="shared" si="102"/>
        <v>94028512</v>
      </c>
      <c r="AEF10" s="55">
        <f t="shared" si="102"/>
        <v>82667158</v>
      </c>
      <c r="AEG10" s="55">
        <f t="shared" si="102"/>
        <v>72093326</v>
      </c>
      <c r="AEH10" s="55">
        <f t="shared" si="102"/>
        <v>61232338</v>
      </c>
      <c r="AEI10" s="55">
        <f t="shared" si="102"/>
        <v>83574351</v>
      </c>
      <c r="AEJ10" s="55">
        <f t="shared" si="102"/>
        <v>109673366</v>
      </c>
      <c r="AEK10" s="55">
        <f t="shared" si="102"/>
        <v>99271290</v>
      </c>
      <c r="AEL10" s="55">
        <f t="shared" si="102"/>
        <v>87098179</v>
      </c>
      <c r="AEM10" s="55">
        <f t="shared" si="102"/>
        <v>118305877</v>
      </c>
      <c r="AEN10" s="130"/>
      <c r="AEO10" s="55">
        <f t="shared" ref="AEO10:AFS10" si="103">AEO9+AEO6</f>
        <v>107798648</v>
      </c>
      <c r="AEP10" s="55">
        <f t="shared" si="103"/>
        <v>96579818</v>
      </c>
      <c r="AEQ10" s="55">
        <f t="shared" si="103"/>
        <v>107547776</v>
      </c>
      <c r="AER10" s="55">
        <f t="shared" si="103"/>
        <v>94733855</v>
      </c>
      <c r="AES10" s="55">
        <f t="shared" si="103"/>
        <v>83649180</v>
      </c>
      <c r="AET10" s="55">
        <f t="shared" si="103"/>
        <v>71227715</v>
      </c>
      <c r="AEU10" s="55">
        <f t="shared" si="103"/>
        <v>60113410</v>
      </c>
      <c r="AEV10" s="55">
        <f t="shared" si="103"/>
        <v>86660881</v>
      </c>
      <c r="AEW10" s="55">
        <f t="shared" si="103"/>
        <v>73327734</v>
      </c>
      <c r="AEX10" s="55">
        <f t="shared" si="103"/>
        <v>59452320</v>
      </c>
      <c r="AEY10" s="55">
        <f t="shared" si="103"/>
        <v>83085104</v>
      </c>
      <c r="AEZ10" s="55">
        <f t="shared" si="103"/>
        <v>72874349</v>
      </c>
      <c r="AFA10" s="55">
        <f t="shared" si="103"/>
        <v>61556885</v>
      </c>
      <c r="AFB10" s="55">
        <f t="shared" si="103"/>
        <v>113589320</v>
      </c>
      <c r="AFC10" s="55">
        <f t="shared" si="103"/>
        <v>101132306</v>
      </c>
      <c r="AFD10" s="55">
        <f t="shared" si="103"/>
        <v>89292440</v>
      </c>
      <c r="AFE10" s="55">
        <f t="shared" si="103"/>
        <v>113855410</v>
      </c>
      <c r="AFF10" s="55">
        <f t="shared" si="103"/>
        <v>138990840</v>
      </c>
      <c r="AFG10" s="55">
        <f t="shared" si="103"/>
        <v>127036370</v>
      </c>
      <c r="AFH10" s="55">
        <f t="shared" si="103"/>
        <v>115014662</v>
      </c>
      <c r="AFI10" s="55">
        <f t="shared" si="103"/>
        <v>103094610</v>
      </c>
      <c r="AFJ10" s="55">
        <f t="shared" si="103"/>
        <v>92629819</v>
      </c>
      <c r="AFK10" s="55">
        <f t="shared" si="103"/>
        <v>82115638</v>
      </c>
      <c r="AFL10" s="55">
        <f t="shared" si="103"/>
        <v>109198640</v>
      </c>
      <c r="AFM10" s="55">
        <f t="shared" si="103"/>
        <v>94605378</v>
      </c>
      <c r="AFN10" s="55">
        <f t="shared" si="103"/>
        <v>83025104</v>
      </c>
      <c r="AFO10" s="55">
        <f t="shared" si="103"/>
        <v>70978857</v>
      </c>
      <c r="AFP10" s="55">
        <f t="shared" si="103"/>
        <v>59688019</v>
      </c>
      <c r="AFQ10" s="55">
        <f t="shared" si="103"/>
        <v>49064406</v>
      </c>
      <c r="AFR10" s="55">
        <f t="shared" si="103"/>
        <v>37821350</v>
      </c>
      <c r="AFS10" s="55">
        <f t="shared" si="103"/>
        <v>26099985</v>
      </c>
      <c r="AFT10" s="130"/>
      <c r="AFU10" s="55">
        <f t="shared" ref="AFU10:AGX10" si="104">AFU9+AFU6</f>
        <v>129789776</v>
      </c>
      <c r="AFV10" s="55">
        <f t="shared" si="104"/>
        <v>117846740</v>
      </c>
      <c r="AFW10" s="55">
        <f t="shared" si="104"/>
        <v>106414890</v>
      </c>
      <c r="AFX10" s="55">
        <f t="shared" si="104"/>
        <v>95321893</v>
      </c>
      <c r="AFY10" s="55">
        <f t="shared" si="104"/>
        <v>82710555</v>
      </c>
      <c r="AFZ10" s="55">
        <f t="shared" si="104"/>
        <v>119600730</v>
      </c>
      <c r="AGA10" s="55">
        <f t="shared" si="104"/>
        <v>107180639</v>
      </c>
      <c r="AGB10" s="55">
        <f t="shared" si="104"/>
        <v>96857710</v>
      </c>
      <c r="AGC10" s="55">
        <f t="shared" si="104"/>
        <v>84565237</v>
      </c>
      <c r="AGD10" s="55">
        <f t="shared" si="104"/>
        <v>72491519</v>
      </c>
      <c r="AGE10" s="55">
        <f t="shared" si="104"/>
        <v>61069401</v>
      </c>
      <c r="AGF10" s="55">
        <f t="shared" si="104"/>
        <v>112658856</v>
      </c>
      <c r="AGG10" s="55">
        <f t="shared" si="104"/>
        <v>101858036</v>
      </c>
      <c r="AGH10" s="55">
        <f t="shared" si="104"/>
        <v>126959080</v>
      </c>
      <c r="AGI10" s="55">
        <f t="shared" si="104"/>
        <v>115605870</v>
      </c>
      <c r="AGJ10" s="55">
        <f t="shared" si="104"/>
        <v>105176330</v>
      </c>
      <c r="AGK10" s="55">
        <f t="shared" si="104"/>
        <v>92549026</v>
      </c>
      <c r="AGL10" s="55">
        <f t="shared" si="104"/>
        <v>80787354</v>
      </c>
      <c r="AGM10" s="55">
        <f t="shared" si="104"/>
        <v>69503589</v>
      </c>
      <c r="AGN10" s="55">
        <f t="shared" si="104"/>
        <v>56552427</v>
      </c>
      <c r="AGO10" s="55">
        <f t="shared" si="104"/>
        <v>105078441</v>
      </c>
      <c r="AGP10" s="55">
        <f t="shared" si="104"/>
        <v>89480182</v>
      </c>
      <c r="AGQ10" s="55">
        <f t="shared" si="104"/>
        <v>99862531</v>
      </c>
      <c r="AGR10" s="55">
        <f t="shared" si="104"/>
        <v>88907019</v>
      </c>
      <c r="AGS10" s="55">
        <f t="shared" si="104"/>
        <v>76442001</v>
      </c>
      <c r="AGT10" s="55">
        <f t="shared" si="104"/>
        <v>107517241</v>
      </c>
      <c r="AGU10" s="55">
        <f t="shared" si="104"/>
        <v>95114339</v>
      </c>
      <c r="AGV10" s="55">
        <f t="shared" si="104"/>
        <v>80426827</v>
      </c>
      <c r="AGW10" s="55">
        <f t="shared" si="104"/>
        <v>96495033</v>
      </c>
      <c r="AGX10" s="55">
        <f t="shared" si="104"/>
        <v>84383013</v>
      </c>
      <c r="AGY10" s="140"/>
      <c r="AGZ10" s="55">
        <f t="shared" ref="AGZ10:AID10" si="105">AGZ9+AGZ6</f>
        <v>71967653</v>
      </c>
      <c r="AHA10" s="55">
        <f t="shared" si="105"/>
        <v>59448281</v>
      </c>
      <c r="AHB10" s="55">
        <f t="shared" si="105"/>
        <v>109260406</v>
      </c>
      <c r="AHC10" s="55">
        <f t="shared" si="105"/>
        <v>96209772</v>
      </c>
      <c r="AHD10" s="55">
        <f t="shared" si="105"/>
        <v>79622563</v>
      </c>
      <c r="AHE10" s="55">
        <f t="shared" si="105"/>
        <v>102207715</v>
      </c>
      <c r="AHF10" s="55">
        <f t="shared" si="105"/>
        <v>89981802</v>
      </c>
      <c r="AHG10" s="55">
        <f t="shared" si="105"/>
        <v>77364616</v>
      </c>
      <c r="AHH10" s="55">
        <f t="shared" si="105"/>
        <v>65151315</v>
      </c>
      <c r="AHI10" s="55">
        <f t="shared" si="105"/>
        <v>52672370</v>
      </c>
      <c r="AHJ10" s="55">
        <f t="shared" si="105"/>
        <v>138351176</v>
      </c>
      <c r="AHK10" s="55">
        <f t="shared" si="105"/>
        <v>123606461</v>
      </c>
      <c r="AHL10" s="55">
        <f t="shared" si="105"/>
        <v>109781156</v>
      </c>
      <c r="AHM10" s="55">
        <f t="shared" si="105"/>
        <v>98530652</v>
      </c>
      <c r="AHN10" s="55">
        <f t="shared" si="105"/>
        <v>85565939</v>
      </c>
      <c r="AHO10" s="55">
        <f t="shared" si="105"/>
        <v>73546320</v>
      </c>
      <c r="AHP10" s="55">
        <f t="shared" si="105"/>
        <v>128990686</v>
      </c>
      <c r="AHQ10" s="55">
        <f t="shared" si="105"/>
        <v>114993287</v>
      </c>
      <c r="AHR10" s="55">
        <f t="shared" si="105"/>
        <v>100718711</v>
      </c>
      <c r="AHS10" s="55">
        <f t="shared" si="105"/>
        <v>88060547</v>
      </c>
      <c r="AHT10" s="55">
        <f t="shared" si="105"/>
        <v>74170975</v>
      </c>
      <c r="AHU10" s="55">
        <f t="shared" si="105"/>
        <v>59600365</v>
      </c>
      <c r="AHV10" s="55">
        <f t="shared" si="105"/>
        <v>43575543</v>
      </c>
      <c r="AHW10" s="55">
        <f t="shared" si="105"/>
        <v>131483025</v>
      </c>
      <c r="AHX10" s="55">
        <f t="shared" si="105"/>
        <v>120832273</v>
      </c>
      <c r="AHY10" s="55">
        <f t="shared" si="105"/>
        <v>109970547</v>
      </c>
      <c r="AHZ10" s="55">
        <f t="shared" si="105"/>
        <v>99668600</v>
      </c>
      <c r="AIA10" s="55">
        <f t="shared" si="105"/>
        <v>90751906</v>
      </c>
      <c r="AIB10" s="55">
        <f t="shared" si="105"/>
        <v>80784600</v>
      </c>
      <c r="AIC10" s="55">
        <f t="shared" si="105"/>
        <v>69000100</v>
      </c>
      <c r="AID10" s="55">
        <f t="shared" si="105"/>
        <v>116346402</v>
      </c>
      <c r="AIE10" s="130"/>
      <c r="AIF10" s="55">
        <f t="shared" ref="AIF10:AJJ10" si="106">AIF9+AIF6</f>
        <v>105764981</v>
      </c>
      <c r="AIG10" s="55">
        <f t="shared" si="106"/>
        <v>94782058</v>
      </c>
      <c r="AIH10" s="55">
        <f t="shared" si="106"/>
        <v>83311443</v>
      </c>
      <c r="AII10" s="55">
        <f t="shared" si="106"/>
        <v>85274183</v>
      </c>
      <c r="AIJ10" s="55">
        <f t="shared" si="106"/>
        <v>72064594</v>
      </c>
      <c r="AIK10" s="55">
        <f t="shared" si="106"/>
        <v>106968691</v>
      </c>
      <c r="AIL10" s="55">
        <f t="shared" si="106"/>
        <v>93735975</v>
      </c>
      <c r="AIM10" s="55">
        <f t="shared" si="106"/>
        <v>80545255</v>
      </c>
      <c r="AIN10" s="55">
        <f t="shared" si="106"/>
        <v>108873110</v>
      </c>
      <c r="AIO10" s="55">
        <f t="shared" si="106"/>
        <v>92758312</v>
      </c>
      <c r="AIP10" s="55">
        <f t="shared" si="106"/>
        <v>81005952</v>
      </c>
      <c r="AIQ10" s="55">
        <f t="shared" si="106"/>
        <v>69820658</v>
      </c>
      <c r="AIR10" s="55">
        <f t="shared" si="106"/>
        <v>79838113</v>
      </c>
      <c r="AIS10" s="55">
        <f t="shared" si="106"/>
        <v>68890653</v>
      </c>
      <c r="AIT10" s="55">
        <f t="shared" si="106"/>
        <v>62169416</v>
      </c>
      <c r="AIU10" s="55">
        <f t="shared" si="106"/>
        <v>53147454</v>
      </c>
      <c r="AIV10" s="55">
        <f t="shared" si="106"/>
        <v>47264289</v>
      </c>
      <c r="AIW10" s="55">
        <f t="shared" si="106"/>
        <v>40096278</v>
      </c>
      <c r="AIX10" s="55">
        <f t="shared" si="106"/>
        <v>53111347</v>
      </c>
      <c r="AIY10" s="55">
        <f t="shared" si="106"/>
        <v>41628720</v>
      </c>
      <c r="AIZ10" s="55">
        <f t="shared" si="106"/>
        <v>28702640</v>
      </c>
      <c r="AJA10" s="55">
        <f t="shared" si="106"/>
        <v>70979309</v>
      </c>
      <c r="AJB10" s="55">
        <f t="shared" si="106"/>
        <v>103236334</v>
      </c>
      <c r="AJC10" s="55">
        <f t="shared" si="106"/>
        <v>89889460</v>
      </c>
      <c r="AJD10" s="55">
        <f t="shared" si="106"/>
        <v>102923630</v>
      </c>
      <c r="AJE10" s="55">
        <f t="shared" si="106"/>
        <v>91726459</v>
      </c>
      <c r="AJF10" s="55">
        <f t="shared" si="106"/>
        <v>79146541</v>
      </c>
      <c r="AJG10" s="55">
        <f t="shared" si="106"/>
        <v>66791230</v>
      </c>
      <c r="AJH10" s="55">
        <f t="shared" si="106"/>
        <v>55409991</v>
      </c>
      <c r="AJI10" s="55">
        <f t="shared" si="106"/>
        <v>123344913</v>
      </c>
      <c r="AJJ10" s="55">
        <f t="shared" si="106"/>
        <v>111250293</v>
      </c>
      <c r="AJK10" s="145"/>
      <c r="AJL10" s="55">
        <f t="shared" ref="AJL10:AKM10" si="107">AJL9+AJL6</f>
        <v>100984938</v>
      </c>
      <c r="AJM10" s="55">
        <f t="shared" si="107"/>
        <v>89553357</v>
      </c>
      <c r="AJN10" s="55">
        <f t="shared" si="107"/>
        <v>76059267</v>
      </c>
      <c r="AJO10" s="55">
        <f t="shared" si="107"/>
        <v>64429668</v>
      </c>
      <c r="AJP10" s="55">
        <f t="shared" si="107"/>
        <v>51623421</v>
      </c>
      <c r="AJQ10" s="55">
        <f t="shared" si="107"/>
        <v>85486932</v>
      </c>
      <c r="AJR10" s="55">
        <f t="shared" si="107"/>
        <v>111176361</v>
      </c>
      <c r="AJS10" s="55">
        <f t="shared" si="107"/>
        <v>98232060</v>
      </c>
      <c r="AJT10" s="55">
        <f t="shared" si="107"/>
        <v>84866376</v>
      </c>
      <c r="AJU10" s="55">
        <f t="shared" si="107"/>
        <v>72665484</v>
      </c>
      <c r="AJV10" s="55">
        <f t="shared" si="107"/>
        <v>60856317</v>
      </c>
      <c r="AJW10" s="55">
        <f t="shared" si="107"/>
        <v>69947241</v>
      </c>
      <c r="AJX10" s="55">
        <f t="shared" si="107"/>
        <v>56184579</v>
      </c>
      <c r="AJY10" s="55">
        <f t="shared" si="107"/>
        <v>103172877</v>
      </c>
      <c r="AJZ10" s="55">
        <f t="shared" si="107"/>
        <v>91534320</v>
      </c>
      <c r="AKA10" s="55">
        <f t="shared" si="107"/>
        <v>80692356</v>
      </c>
      <c r="AKB10" s="55">
        <f t="shared" si="107"/>
        <v>68764170</v>
      </c>
      <c r="AKC10" s="55">
        <f t="shared" si="107"/>
        <v>57620616</v>
      </c>
      <c r="AKD10" s="55">
        <f t="shared" si="107"/>
        <v>119931327</v>
      </c>
      <c r="AKE10" s="55">
        <f t="shared" si="107"/>
        <v>108704421</v>
      </c>
      <c r="AKF10" s="55">
        <f t="shared" si="107"/>
        <v>97084920</v>
      </c>
      <c r="AKG10" s="55">
        <f t="shared" si="107"/>
        <v>87705309</v>
      </c>
      <c r="AKH10" s="55">
        <f t="shared" si="107"/>
        <v>75946908</v>
      </c>
      <c r="AKI10" s="55">
        <f t="shared" si="107"/>
        <v>64397712</v>
      </c>
      <c r="AKJ10" s="55">
        <f t="shared" si="107"/>
        <v>52621332</v>
      </c>
      <c r="AKK10" s="55">
        <f t="shared" si="107"/>
        <v>64631781</v>
      </c>
      <c r="AKL10" s="55">
        <f t="shared" si="107"/>
        <v>53965608</v>
      </c>
      <c r="AKM10" s="55">
        <f t="shared" si="107"/>
        <v>106643166</v>
      </c>
      <c r="AKN10" s="53"/>
      <c r="AKO10" s="55">
        <f t="shared" ref="AKO10:ALS10" si="108">AKO9+AKO6</f>
        <v>94754727</v>
      </c>
      <c r="AKP10" s="55">
        <f t="shared" si="108"/>
        <v>84177276</v>
      </c>
      <c r="AKQ10" s="55">
        <f t="shared" si="108"/>
        <v>72554019</v>
      </c>
      <c r="AKR10" s="55">
        <f t="shared" si="108"/>
        <v>62690895</v>
      </c>
      <c r="AKS10" s="55">
        <f t="shared" si="108"/>
        <v>51611952</v>
      </c>
      <c r="AKT10" s="55">
        <f t="shared" si="108"/>
        <v>95097384</v>
      </c>
      <c r="AKU10" s="55">
        <f t="shared" si="108"/>
        <v>107924748</v>
      </c>
      <c r="AKV10" s="55">
        <f t="shared" si="108"/>
        <v>96056025</v>
      </c>
      <c r="AKW10" s="55">
        <f t="shared" si="108"/>
        <v>84305430</v>
      </c>
      <c r="AKX10" s="55">
        <f t="shared" si="108"/>
        <v>118429047</v>
      </c>
      <c r="AKY10" s="55">
        <f t="shared" si="108"/>
        <v>109129200</v>
      </c>
      <c r="AKZ10" s="55">
        <f t="shared" si="108"/>
        <v>97996129</v>
      </c>
      <c r="ALA10" s="55">
        <f t="shared" si="108"/>
        <v>135394039</v>
      </c>
      <c r="ALB10" s="55">
        <f t="shared" si="108"/>
        <v>120902902</v>
      </c>
      <c r="ALC10" s="55">
        <f t="shared" si="108"/>
        <v>108048332</v>
      </c>
      <c r="ALD10" s="55">
        <f t="shared" si="108"/>
        <v>92276692</v>
      </c>
      <c r="ALE10" s="55">
        <f t="shared" si="108"/>
        <v>79488590</v>
      </c>
      <c r="ALF10" s="55">
        <f t="shared" si="108"/>
        <v>68796673</v>
      </c>
      <c r="ALG10" s="55">
        <f t="shared" si="108"/>
        <v>77891998</v>
      </c>
      <c r="ALH10" s="55">
        <f t="shared" si="108"/>
        <v>130774582</v>
      </c>
      <c r="ALI10" s="55">
        <f t="shared" si="108"/>
        <v>117129858</v>
      </c>
      <c r="ALJ10" s="55">
        <f t="shared" si="108"/>
        <v>105121098</v>
      </c>
      <c r="ALK10" s="55">
        <f t="shared" si="108"/>
        <v>72431516</v>
      </c>
      <c r="ALL10" s="55">
        <f t="shared" si="108"/>
        <v>61073529</v>
      </c>
      <c r="ALM10" s="55">
        <f t="shared" si="108"/>
        <v>47026549</v>
      </c>
      <c r="ALN10" s="55">
        <f t="shared" si="108"/>
        <v>132801894</v>
      </c>
      <c r="ALO10" s="55">
        <f t="shared" si="108"/>
        <v>118165438</v>
      </c>
      <c r="ALP10" s="55">
        <f t="shared" si="108"/>
        <v>141292473</v>
      </c>
      <c r="ALQ10" s="55">
        <f t="shared" si="108"/>
        <v>125127767</v>
      </c>
      <c r="ALR10" s="55">
        <f t="shared" si="108"/>
        <v>108537393</v>
      </c>
      <c r="ALS10" s="55">
        <f t="shared" si="108"/>
        <v>97483248</v>
      </c>
      <c r="ALT10" s="130"/>
      <c r="ALU10" s="55">
        <f t="shared" ref="ALU10:AMX10" si="109">ALU9+ALU6</f>
        <v>80367555</v>
      </c>
      <c r="ALV10" s="55">
        <f t="shared" si="109"/>
        <v>142501965</v>
      </c>
      <c r="ALW10" s="55">
        <f t="shared" si="109"/>
        <v>155111638</v>
      </c>
      <c r="ALX10" s="55">
        <f t="shared" si="109"/>
        <v>140184692</v>
      </c>
      <c r="ALY10" s="55">
        <f t="shared" si="109"/>
        <v>131939278</v>
      </c>
      <c r="ALZ10" s="55">
        <f t="shared" si="109"/>
        <v>121847639</v>
      </c>
      <c r="AMA10" s="55">
        <f t="shared" si="109"/>
        <v>106627136</v>
      </c>
      <c r="AMB10" s="55">
        <f t="shared" si="109"/>
        <v>92072745</v>
      </c>
      <c r="AMC10" s="55">
        <f t="shared" si="109"/>
        <v>76352680</v>
      </c>
      <c r="AMD10" s="55">
        <f t="shared" si="109"/>
        <v>85658750</v>
      </c>
      <c r="AME10" s="55">
        <f t="shared" si="109"/>
        <v>68744443</v>
      </c>
      <c r="AMF10" s="55">
        <f t="shared" si="109"/>
        <v>103880909</v>
      </c>
      <c r="AMG10" s="55">
        <f t="shared" si="109"/>
        <v>87636395</v>
      </c>
      <c r="AMH10" s="55">
        <f t="shared" si="109"/>
        <v>116595777</v>
      </c>
      <c r="AMI10" s="55">
        <f t="shared" si="109"/>
        <v>103794440</v>
      </c>
      <c r="AMJ10" s="55">
        <f t="shared" si="109"/>
        <v>88985613</v>
      </c>
      <c r="AMK10" s="55">
        <f t="shared" si="109"/>
        <v>116840134</v>
      </c>
      <c r="AML10" s="55">
        <f t="shared" si="109"/>
        <v>100108414</v>
      </c>
      <c r="AMM10" s="55">
        <f t="shared" si="109"/>
        <v>83896925</v>
      </c>
      <c r="AMN10" s="55">
        <f t="shared" si="109"/>
        <v>59672712</v>
      </c>
      <c r="AMO10" s="55">
        <f t="shared" si="109"/>
        <v>117947249</v>
      </c>
      <c r="AMP10" s="55">
        <f t="shared" si="109"/>
        <v>96864193</v>
      </c>
      <c r="AMQ10" s="55">
        <f t="shared" si="109"/>
        <v>68126641</v>
      </c>
      <c r="AMR10" s="55">
        <f t="shared" si="109"/>
        <v>106921418</v>
      </c>
      <c r="AMS10" s="55">
        <f t="shared" si="109"/>
        <v>116305924</v>
      </c>
      <c r="AMT10" s="55">
        <f t="shared" si="109"/>
        <v>88679704</v>
      </c>
      <c r="AMU10" s="55">
        <f t="shared" si="109"/>
        <v>72990969</v>
      </c>
      <c r="AMV10" s="55">
        <f t="shared" si="109"/>
        <v>101408405</v>
      </c>
      <c r="AMW10" s="55">
        <f t="shared" si="109"/>
        <v>75591515</v>
      </c>
      <c r="AMX10" s="55">
        <f t="shared" si="109"/>
        <v>107684494</v>
      </c>
      <c r="AMY10" s="130"/>
      <c r="AMZ10" s="55">
        <f t="shared" ref="AMZ10:AOC10" si="110">AMZ9+AMZ6</f>
        <v>143326911</v>
      </c>
      <c r="ANA10" s="55">
        <f t="shared" si="110"/>
        <v>127755061</v>
      </c>
      <c r="ANB10" s="55">
        <f t="shared" si="110"/>
        <v>116077409</v>
      </c>
      <c r="ANC10" s="55">
        <f t="shared" si="110"/>
        <v>100105670</v>
      </c>
      <c r="AND10" s="55">
        <f t="shared" si="110"/>
        <v>130897676</v>
      </c>
      <c r="ANE10" s="55">
        <f t="shared" si="110"/>
        <v>142206414</v>
      </c>
      <c r="ANF10" s="55">
        <f t="shared" si="110"/>
        <v>127767108</v>
      </c>
      <c r="ANG10" s="55">
        <f t="shared" si="110"/>
        <v>152340650</v>
      </c>
      <c r="ANH10" s="55">
        <f t="shared" si="110"/>
        <v>136415062</v>
      </c>
      <c r="ANI10" s="55">
        <f t="shared" si="110"/>
        <v>122020682</v>
      </c>
      <c r="ANJ10" s="55">
        <f t="shared" si="110"/>
        <v>106931685</v>
      </c>
      <c r="ANK10" s="55">
        <f t="shared" si="110"/>
        <v>94237045</v>
      </c>
      <c r="ANL10" s="55">
        <f t="shared" si="110"/>
        <v>79418339</v>
      </c>
      <c r="ANM10" s="55">
        <f t="shared" si="110"/>
        <v>128809191</v>
      </c>
      <c r="ANN10" s="55">
        <f t="shared" si="110"/>
        <v>112136990</v>
      </c>
      <c r="ANO10" s="55">
        <f t="shared" si="110"/>
        <v>99354710</v>
      </c>
      <c r="ANP10" s="55">
        <f t="shared" si="110"/>
        <v>126728030</v>
      </c>
      <c r="ANQ10" s="55">
        <f t="shared" si="110"/>
        <v>114758940</v>
      </c>
      <c r="ANR10" s="55">
        <f t="shared" si="110"/>
        <v>102565820</v>
      </c>
      <c r="ANS10" s="55">
        <f t="shared" si="110"/>
        <v>150166440</v>
      </c>
      <c r="ANT10" s="55">
        <f t="shared" si="110"/>
        <v>140090300</v>
      </c>
      <c r="ANU10" s="55">
        <f t="shared" si="110"/>
        <v>151745060</v>
      </c>
      <c r="ANV10" s="55">
        <f t="shared" si="110"/>
        <v>144791190</v>
      </c>
      <c r="ANW10" s="55">
        <f t="shared" si="110"/>
        <v>131232961</v>
      </c>
      <c r="ANX10" s="55">
        <f t="shared" si="110"/>
        <v>116378083</v>
      </c>
      <c r="ANY10" s="55">
        <f t="shared" si="110"/>
        <v>96855298</v>
      </c>
      <c r="ANZ10" s="55">
        <f t="shared" si="110"/>
        <v>138581233</v>
      </c>
      <c r="AOA10" s="55">
        <f t="shared" si="110"/>
        <v>125841919</v>
      </c>
      <c r="AOB10" s="55">
        <f t="shared" si="110"/>
        <v>111093100</v>
      </c>
      <c r="AOC10" s="55">
        <f t="shared" si="110"/>
        <v>187708690</v>
      </c>
    </row>
    <row r="11" spans="1:1069" x14ac:dyDescent="0.2">
      <c r="A11" s="174"/>
      <c r="B11" s="13" t="s">
        <v>1642</v>
      </c>
      <c r="C11" s="57">
        <v>7217036</v>
      </c>
      <c r="D11" s="57">
        <v>7217036</v>
      </c>
      <c r="E11" s="57">
        <v>8481819</v>
      </c>
      <c r="F11" s="57">
        <f>E11</f>
        <v>8481819</v>
      </c>
      <c r="G11" s="57">
        <v>8193596</v>
      </c>
      <c r="H11" s="57">
        <v>8170887</v>
      </c>
      <c r="I11" s="57">
        <f>H11</f>
        <v>8170887</v>
      </c>
      <c r="J11" s="57">
        <v>9397585</v>
      </c>
      <c r="K11" s="57">
        <v>9333398</v>
      </c>
      <c r="L11" s="57">
        <v>9303498</v>
      </c>
      <c r="M11" s="57">
        <v>13672401</v>
      </c>
      <c r="N11" s="57">
        <v>13590112</v>
      </c>
      <c r="O11" s="57">
        <v>13443346</v>
      </c>
      <c r="P11" s="57">
        <v>13371084</v>
      </c>
      <c r="Q11" s="57">
        <v>12984570</v>
      </c>
      <c r="R11" s="57">
        <v>12868562</v>
      </c>
      <c r="S11" s="57">
        <v>12798605</v>
      </c>
      <c r="T11" s="57">
        <v>12606097</v>
      </c>
      <c r="U11" s="57">
        <v>12576049</v>
      </c>
      <c r="V11" s="57">
        <v>12389566</v>
      </c>
      <c r="W11" s="57">
        <v>12166258</v>
      </c>
      <c r="X11" s="57">
        <v>12153403</v>
      </c>
      <c r="Y11" s="57">
        <v>12028545</v>
      </c>
      <c r="Z11" s="57">
        <v>11880843</v>
      </c>
      <c r="AA11" s="57">
        <v>11853145</v>
      </c>
      <c r="AB11" s="57">
        <v>11604755</v>
      </c>
      <c r="AC11" s="57">
        <v>11525781</v>
      </c>
      <c r="AD11" s="57">
        <v>11281220</v>
      </c>
      <c r="AE11" s="57">
        <v>11271516</v>
      </c>
      <c r="AF11" s="57">
        <v>14955062</v>
      </c>
      <c r="AG11" s="57">
        <v>16032831</v>
      </c>
      <c r="AH11" s="67">
        <f>AG11</f>
        <v>16032831</v>
      </c>
      <c r="AI11" s="57">
        <v>15757743</v>
      </c>
      <c r="AJ11" s="57">
        <v>15667415</v>
      </c>
      <c r="AK11" s="57">
        <v>15516106</v>
      </c>
      <c r="AL11" s="57">
        <v>15487015</v>
      </c>
      <c r="AM11" s="57">
        <v>16657186</v>
      </c>
      <c r="AN11" s="57">
        <v>16587209</v>
      </c>
      <c r="AO11" s="57">
        <v>16546727</v>
      </c>
      <c r="AP11" s="57">
        <v>16457182</v>
      </c>
      <c r="AQ11" s="57">
        <v>16197220</v>
      </c>
      <c r="AR11" s="57">
        <v>16038776</v>
      </c>
      <c r="AS11" s="57">
        <v>15856681</v>
      </c>
      <c r="AT11" s="57">
        <v>15385949</v>
      </c>
      <c r="AU11" s="57">
        <v>15061601</v>
      </c>
      <c r="AV11" s="57">
        <v>14903910</v>
      </c>
      <c r="AW11" s="57">
        <v>14753448</v>
      </c>
      <c r="AX11" s="57">
        <v>14560413</v>
      </c>
      <c r="AY11" s="57">
        <v>14389822</v>
      </c>
      <c r="AZ11" s="57">
        <v>14298329</v>
      </c>
      <c r="BA11" s="57">
        <v>13862417</v>
      </c>
      <c r="BB11" s="57">
        <v>13602192</v>
      </c>
      <c r="BC11" s="57">
        <v>13457955</v>
      </c>
      <c r="BD11" s="57">
        <v>13457955</v>
      </c>
      <c r="BE11" s="57">
        <v>13030031</v>
      </c>
      <c r="BF11" s="57">
        <v>12996631</v>
      </c>
      <c r="BG11" s="57">
        <v>12781550</v>
      </c>
      <c r="BH11" s="57">
        <v>12071123</v>
      </c>
      <c r="BI11" s="57">
        <v>11637404</v>
      </c>
      <c r="BJ11" s="57">
        <v>11491742</v>
      </c>
      <c r="BK11" s="57">
        <v>11304512</v>
      </c>
      <c r="BL11" s="57">
        <v>10771871</v>
      </c>
      <c r="BM11" s="106">
        <f>BL11</f>
        <v>10771871</v>
      </c>
      <c r="BN11" s="57">
        <v>10664972</v>
      </c>
      <c r="BO11" s="57">
        <v>10586288</v>
      </c>
      <c r="BP11" s="57">
        <v>10489779</v>
      </c>
      <c r="BQ11" s="57">
        <v>9988678</v>
      </c>
      <c r="BR11" s="57">
        <v>9874423</v>
      </c>
      <c r="BS11" s="57">
        <v>9749600</v>
      </c>
      <c r="BT11" s="57">
        <v>9431890</v>
      </c>
      <c r="BU11" s="57">
        <v>9258417</v>
      </c>
      <c r="BV11" s="57">
        <v>9249420</v>
      </c>
      <c r="BW11" s="57">
        <v>9028035</v>
      </c>
      <c r="BX11" s="57">
        <v>8920182</v>
      </c>
      <c r="BY11" s="57">
        <v>8368724</v>
      </c>
      <c r="BZ11" s="57">
        <v>40489225</v>
      </c>
      <c r="CA11" s="57">
        <v>40354188</v>
      </c>
      <c r="CB11" s="57">
        <v>40246853</v>
      </c>
      <c r="CC11" s="57">
        <v>40196359</v>
      </c>
      <c r="CD11" s="57">
        <v>39586243</v>
      </c>
      <c r="CE11" s="57">
        <f>CD11</f>
        <v>39586243</v>
      </c>
      <c r="CF11" s="57">
        <v>43667302</v>
      </c>
      <c r="CG11" s="57">
        <v>43607982</v>
      </c>
      <c r="CH11" s="57">
        <v>43079902</v>
      </c>
      <c r="CI11" s="57">
        <v>42875822</v>
      </c>
      <c r="CJ11" s="57">
        <v>42588302</v>
      </c>
      <c r="CK11" s="57">
        <v>42344429</v>
      </c>
      <c r="CL11" s="57">
        <v>42101192</v>
      </c>
      <c r="CM11" s="57">
        <v>42047992</v>
      </c>
      <c r="CN11" s="57">
        <v>41827321</v>
      </c>
      <c r="CO11" s="57">
        <v>40939783</v>
      </c>
      <c r="CP11" s="57">
        <v>41388442</v>
      </c>
      <c r="CQ11" s="57">
        <v>40939783</v>
      </c>
      <c r="CR11" s="57">
        <v>40642342</v>
      </c>
      <c r="CT11" s="57">
        <v>39532406</v>
      </c>
      <c r="CU11" s="57">
        <v>39191732</v>
      </c>
      <c r="CV11" s="57">
        <v>38641391</v>
      </c>
      <c r="CW11">
        <v>36535655</v>
      </c>
      <c r="CX11" s="57">
        <v>35685266</v>
      </c>
      <c r="CY11" s="57">
        <v>35307036</v>
      </c>
      <c r="CZ11" s="57">
        <v>35172208</v>
      </c>
      <c r="DA11" s="57">
        <v>34454950</v>
      </c>
      <c r="DB11" s="57">
        <v>33981365</v>
      </c>
      <c r="DC11" s="57">
        <v>33594378</v>
      </c>
      <c r="DD11" s="57">
        <v>33456908</v>
      </c>
      <c r="DE11" s="57">
        <v>32260538</v>
      </c>
      <c r="DF11" s="57">
        <v>32097299</v>
      </c>
      <c r="DG11" s="57">
        <v>33926249</v>
      </c>
      <c r="DH11" s="57">
        <v>33494968</v>
      </c>
      <c r="DI11" s="57">
        <v>33384564</v>
      </c>
      <c r="DJ11" s="57">
        <v>32713310</v>
      </c>
      <c r="DK11" s="57">
        <v>32015571</v>
      </c>
      <c r="DL11" s="57">
        <v>31797057</v>
      </c>
      <c r="DM11" s="57">
        <v>31292373</v>
      </c>
      <c r="DN11" s="57">
        <v>30628507</v>
      </c>
      <c r="DO11" s="57">
        <v>30137800</v>
      </c>
      <c r="DP11" s="57">
        <v>29741565</v>
      </c>
      <c r="DQ11" s="57">
        <v>29465971</v>
      </c>
      <c r="DR11" s="57">
        <v>28627174</v>
      </c>
      <c r="DS11" s="57">
        <v>28512967</v>
      </c>
      <c r="DT11" s="57">
        <v>28183604</v>
      </c>
      <c r="DU11" s="57">
        <v>27631540</v>
      </c>
      <c r="DV11" s="57">
        <v>26846703</v>
      </c>
      <c r="DW11" s="57">
        <v>26588211</v>
      </c>
      <c r="DX11" s="117"/>
      <c r="DY11" s="57">
        <v>26317629</v>
      </c>
      <c r="DZ11" s="57">
        <v>26137755</v>
      </c>
      <c r="EA11" s="57">
        <v>25797307</v>
      </c>
      <c r="EB11" s="57">
        <v>25392712</v>
      </c>
      <c r="EC11" s="57">
        <v>25103317</v>
      </c>
      <c r="ED11" s="57">
        <v>24649815</v>
      </c>
      <c r="EE11" s="57">
        <v>23692529</v>
      </c>
      <c r="EF11" s="57">
        <v>22577032</v>
      </c>
      <c r="EG11" s="57">
        <v>22287162</v>
      </c>
      <c r="EH11" s="57">
        <v>22186165</v>
      </c>
      <c r="EI11" s="57">
        <v>22139245</v>
      </c>
      <c r="EJ11" s="57">
        <v>21367473</v>
      </c>
      <c r="EK11" s="57">
        <v>20949544</v>
      </c>
      <c r="EL11" s="57">
        <v>20485168</v>
      </c>
      <c r="EM11" s="57">
        <v>20196694</v>
      </c>
      <c r="EN11" s="57">
        <v>19910310</v>
      </c>
      <c r="EO11" s="57">
        <v>19287117</v>
      </c>
      <c r="EP11" s="57">
        <v>18447161</v>
      </c>
      <c r="EQ11" s="57">
        <v>17874603</v>
      </c>
      <c r="ER11" s="57">
        <v>17302044</v>
      </c>
      <c r="ES11" s="57">
        <v>20671835</v>
      </c>
      <c r="ET11" s="57">
        <v>19733103</v>
      </c>
      <c r="EU11" s="57">
        <v>19208319</v>
      </c>
      <c r="EV11" s="57">
        <v>18756599</v>
      </c>
      <c r="EW11" s="57">
        <v>18684999</v>
      </c>
      <c r="EX11" s="57">
        <v>18016859</v>
      </c>
      <c r="EY11" s="57">
        <v>17664553</v>
      </c>
      <c r="EZ11" s="57">
        <v>16997153</v>
      </c>
      <c r="FA11" s="57">
        <v>16496739</v>
      </c>
      <c r="FB11" s="57">
        <v>16005259</v>
      </c>
      <c r="FC11" s="57">
        <v>15913259</v>
      </c>
      <c r="FD11" s="126"/>
      <c r="FE11" s="57">
        <v>15144030</v>
      </c>
      <c r="FF11" s="57">
        <v>15038230</v>
      </c>
      <c r="FG11" s="57">
        <v>14777837</v>
      </c>
      <c r="FH11" s="57">
        <v>14651765</v>
      </c>
      <c r="FI11" s="57">
        <v>13648883</v>
      </c>
      <c r="FJ11" s="57">
        <v>13053917</v>
      </c>
      <c r="FK11" s="57">
        <v>12804437</v>
      </c>
      <c r="FL11" s="57">
        <v>12804437</v>
      </c>
      <c r="FM11" s="57">
        <v>12444567</v>
      </c>
      <c r="FN11" s="57">
        <v>14129519</v>
      </c>
      <c r="FO11" s="57">
        <v>14030965</v>
      </c>
      <c r="FP11" s="57">
        <v>13749551</v>
      </c>
      <c r="FQ11" s="57">
        <v>16377816</v>
      </c>
      <c r="FR11" s="57">
        <v>16024536</v>
      </c>
      <c r="FS11" s="57">
        <v>14804232</v>
      </c>
      <c r="FT11" s="57">
        <v>14341930</v>
      </c>
      <c r="FU11" s="57">
        <v>14128225</v>
      </c>
      <c r="FV11" s="57">
        <v>13786090</v>
      </c>
      <c r="FW11" s="57">
        <v>13200050</v>
      </c>
      <c r="FX11" s="57">
        <v>12841751</v>
      </c>
      <c r="FY11" s="57">
        <v>12643948</v>
      </c>
      <c r="FZ11" s="57">
        <v>12122015</v>
      </c>
      <c r="GA11" s="57">
        <v>28380804</v>
      </c>
      <c r="GB11" s="57">
        <v>28266830</v>
      </c>
      <c r="GC11" s="57">
        <v>27878216</v>
      </c>
      <c r="GD11" s="57">
        <v>26922437</v>
      </c>
      <c r="GE11" s="57">
        <v>25575715</v>
      </c>
      <c r="GF11" s="57">
        <v>25499003</v>
      </c>
      <c r="GG11" s="57">
        <v>25228429</v>
      </c>
      <c r="GH11" s="57">
        <v>25210029</v>
      </c>
      <c r="GI11" s="57">
        <v>24799709</v>
      </c>
      <c r="GJ11" s="130"/>
      <c r="GK11" s="57">
        <v>24585349</v>
      </c>
      <c r="GL11" s="57">
        <v>23993935</v>
      </c>
      <c r="GM11" s="57">
        <v>23617655</v>
      </c>
      <c r="GN11" s="57">
        <v>23547735</v>
      </c>
      <c r="GO11" s="57">
        <v>25548382</v>
      </c>
      <c r="GP11" s="57">
        <v>25253439</v>
      </c>
      <c r="GQ11" s="57">
        <v>24472685</v>
      </c>
      <c r="GR11" s="57">
        <v>24399085</v>
      </c>
      <c r="GS11" s="57">
        <v>24018686</v>
      </c>
      <c r="GT11" s="57">
        <v>23660685</v>
      </c>
      <c r="GU11" s="57">
        <v>26055044</v>
      </c>
      <c r="GV11" s="57">
        <v>24356151</v>
      </c>
      <c r="GW11" s="57">
        <v>23588331</v>
      </c>
      <c r="GX11" s="57">
        <v>23397285</v>
      </c>
      <c r="GY11" s="57">
        <v>23317778</v>
      </c>
      <c r="GZ11" s="57">
        <v>30799147</v>
      </c>
      <c r="HA11" s="57">
        <v>29385731</v>
      </c>
      <c r="HB11" s="57">
        <v>28941061</v>
      </c>
      <c r="HC11" s="57">
        <v>28623497</v>
      </c>
      <c r="HD11" s="57">
        <v>28342897</v>
      </c>
      <c r="HE11" s="57">
        <v>27964609</v>
      </c>
      <c r="HF11" s="57">
        <v>27504629</v>
      </c>
      <c r="HG11" s="57">
        <v>29709878</v>
      </c>
      <c r="HH11" s="57">
        <v>28896688</v>
      </c>
      <c r="HI11" s="57">
        <v>28424304</v>
      </c>
      <c r="HJ11" s="57">
        <v>27468014</v>
      </c>
      <c r="HK11" s="57">
        <v>27087294</v>
      </c>
      <c r="HL11" s="57">
        <v>26525545</v>
      </c>
      <c r="HM11" s="57">
        <v>26160204</v>
      </c>
      <c r="HN11" s="130"/>
      <c r="HO11" s="57">
        <v>25492070</v>
      </c>
      <c r="HP11" s="57">
        <v>25252056</v>
      </c>
      <c r="HQ11" s="57">
        <v>27725456</v>
      </c>
      <c r="HR11" s="57">
        <v>27337312</v>
      </c>
      <c r="HS11" s="57">
        <v>28156112</v>
      </c>
      <c r="HT11" s="57">
        <v>27423205</v>
      </c>
      <c r="HU11" s="57">
        <v>27213445</v>
      </c>
      <c r="HV11" s="57">
        <v>26346081</v>
      </c>
      <c r="HW11" s="57">
        <v>25960601</v>
      </c>
      <c r="HX11" s="57">
        <v>25881481</v>
      </c>
      <c r="HY11" s="57">
        <v>24964461</v>
      </c>
      <c r="HZ11" s="57">
        <v>24176969</v>
      </c>
      <c r="IA11" s="57">
        <v>23649965</v>
      </c>
      <c r="IB11" s="57">
        <v>23260609</v>
      </c>
      <c r="IC11" s="57">
        <v>22829658</v>
      </c>
      <c r="ID11" s="57">
        <v>22380380</v>
      </c>
      <c r="IE11" s="57">
        <v>22015898</v>
      </c>
      <c r="IF11" s="57">
        <v>20798422</v>
      </c>
      <c r="IG11" s="57">
        <v>20834332</v>
      </c>
      <c r="IH11" s="57">
        <v>20387758</v>
      </c>
      <c r="II11" s="57">
        <v>30813988</v>
      </c>
      <c r="IJ11" s="57">
        <v>30319948</v>
      </c>
      <c r="IK11" s="57">
        <v>29540705</v>
      </c>
      <c r="IL11" s="57">
        <v>29280971</v>
      </c>
      <c r="IM11" s="57">
        <v>28884559</v>
      </c>
      <c r="IN11" s="57">
        <v>28319945</v>
      </c>
      <c r="IO11" s="57">
        <v>28036585</v>
      </c>
      <c r="IP11" s="57">
        <v>27009767</v>
      </c>
      <c r="IQ11" s="57">
        <v>26243233</v>
      </c>
      <c r="IR11" s="57">
        <v>26163563</v>
      </c>
      <c r="IS11" s="57">
        <v>25968414</v>
      </c>
      <c r="IT11" s="130"/>
      <c r="IU11" s="57">
        <v>25418220</v>
      </c>
      <c r="IV11" s="57">
        <v>24719400</v>
      </c>
      <c r="IW11" s="57">
        <v>23726960</v>
      </c>
      <c r="IX11" s="57">
        <v>23126606</v>
      </c>
      <c r="IY11" s="57">
        <v>22178486</v>
      </c>
      <c r="IZ11" s="57">
        <v>21401066</v>
      </c>
      <c r="JA11" s="57">
        <v>20708742</v>
      </c>
      <c r="JB11" s="57">
        <v>19983402</v>
      </c>
      <c r="JC11" s="57">
        <v>19305142</v>
      </c>
      <c r="JD11" s="57">
        <v>19272022</v>
      </c>
      <c r="JE11" s="57">
        <v>18502172</v>
      </c>
      <c r="JF11" s="57">
        <v>18077566</v>
      </c>
      <c r="JG11" s="57">
        <v>24727331</v>
      </c>
      <c r="JH11" s="57">
        <v>24637981</v>
      </c>
      <c r="JI11" s="57">
        <v>24212301</v>
      </c>
      <c r="JJ11" s="57">
        <v>23914251</v>
      </c>
      <c r="JK11" s="57">
        <v>23298678</v>
      </c>
      <c r="JL11" s="57">
        <v>23279248</v>
      </c>
      <c r="JM11" s="57">
        <v>22536128</v>
      </c>
      <c r="JN11" s="57">
        <v>21990694</v>
      </c>
      <c r="JO11" s="57">
        <v>21671504</v>
      </c>
      <c r="JP11" s="57">
        <v>21562074</v>
      </c>
      <c r="JQ11" s="57">
        <v>21201550</v>
      </c>
      <c r="JR11" s="57">
        <v>20925456</v>
      </c>
      <c r="JS11" s="57">
        <v>20512908</v>
      </c>
      <c r="JT11" s="57">
        <v>20313748</v>
      </c>
      <c r="JU11" s="57">
        <v>19661218</v>
      </c>
      <c r="JV11" s="57">
        <v>19244138</v>
      </c>
      <c r="JW11" s="57">
        <v>18903905</v>
      </c>
      <c r="JX11" s="57">
        <v>18360315</v>
      </c>
      <c r="JY11" s="139"/>
      <c r="JZ11" s="57">
        <v>17692211</v>
      </c>
      <c r="KA11" s="57">
        <v>17413891</v>
      </c>
      <c r="KB11" s="57">
        <v>16256751</v>
      </c>
      <c r="KC11" s="57">
        <v>15746972</v>
      </c>
      <c r="KD11" s="57">
        <v>15521996</v>
      </c>
      <c r="KE11" s="57">
        <v>14317786</v>
      </c>
      <c r="KF11" s="57">
        <v>28526529</v>
      </c>
      <c r="KG11" s="57">
        <v>27627929</v>
      </c>
      <c r="KH11" s="57">
        <v>26863733</v>
      </c>
      <c r="KI11" s="57">
        <v>24662265</v>
      </c>
      <c r="KJ11" s="57">
        <v>24087585</v>
      </c>
      <c r="KK11" s="57">
        <v>38063488</v>
      </c>
      <c r="KL11" s="57">
        <v>37925488</v>
      </c>
      <c r="KM11" s="57">
        <v>17692211</v>
      </c>
      <c r="KN11" s="57">
        <v>37785709</v>
      </c>
      <c r="KO11" s="57">
        <v>37504439</v>
      </c>
      <c r="KP11" s="57">
        <v>35766439</v>
      </c>
      <c r="KQ11" s="57">
        <v>36001681</v>
      </c>
      <c r="KR11" s="57">
        <v>35511633</v>
      </c>
      <c r="KS11" s="57">
        <v>34949263</v>
      </c>
      <c r="KT11" s="57">
        <v>34633703</v>
      </c>
      <c r="KU11" s="57">
        <v>35740309</v>
      </c>
      <c r="KV11" s="57">
        <v>35245649</v>
      </c>
      <c r="KW11" s="57">
        <v>34791681</v>
      </c>
      <c r="KX11" s="57">
        <v>34204268</v>
      </c>
      <c r="KY11" s="57">
        <v>33776638</v>
      </c>
      <c r="KZ11" s="57">
        <v>33131680</v>
      </c>
      <c r="LA11" s="57">
        <v>32498308</v>
      </c>
      <c r="LB11" s="57">
        <v>31875158</v>
      </c>
      <c r="LC11" s="57">
        <v>30369220</v>
      </c>
      <c r="LD11" s="57">
        <v>29919518</v>
      </c>
      <c r="LE11" s="130"/>
      <c r="LF11" s="57">
        <v>28205318</v>
      </c>
      <c r="LG11" s="57">
        <v>28205318</v>
      </c>
      <c r="LH11" s="57">
        <v>30924000</v>
      </c>
      <c r="LI11" s="57">
        <v>30269337</v>
      </c>
      <c r="LJ11" s="57">
        <v>29503307</v>
      </c>
      <c r="LK11" s="57">
        <v>29350037</v>
      </c>
      <c r="LL11" s="57">
        <v>29290127</v>
      </c>
      <c r="LM11" s="57">
        <v>37090692</v>
      </c>
      <c r="LN11" s="57">
        <v>37075752</v>
      </c>
      <c r="LO11" s="57">
        <v>36479402</v>
      </c>
      <c r="LP11" s="57">
        <v>36032332</v>
      </c>
      <c r="LQ11" s="57">
        <v>34927775</v>
      </c>
      <c r="LR11" s="57">
        <v>34726181</v>
      </c>
      <c r="LS11" s="57">
        <v>33600532</v>
      </c>
      <c r="LT11" s="57">
        <v>33139031</v>
      </c>
      <c r="LU11" s="57">
        <v>33094660</v>
      </c>
      <c r="LV11" s="57">
        <v>32487772</v>
      </c>
      <c r="LW11" s="57">
        <v>32366094</v>
      </c>
      <c r="LX11" s="57">
        <v>34934818</v>
      </c>
      <c r="LY11" s="57">
        <v>34551499</v>
      </c>
      <c r="LZ11" s="57">
        <v>33844730</v>
      </c>
      <c r="MA11" s="57">
        <v>33191313</v>
      </c>
      <c r="MB11" s="57">
        <v>32402266</v>
      </c>
      <c r="MC11" s="57">
        <v>31831466</v>
      </c>
      <c r="MD11" s="57">
        <v>31704001</v>
      </c>
      <c r="ME11" s="57">
        <v>30676820</v>
      </c>
      <c r="MF11" s="57">
        <v>29724188</v>
      </c>
      <c r="MG11" s="57">
        <v>29272948</v>
      </c>
      <c r="MH11" s="57">
        <v>28344324</v>
      </c>
      <c r="MI11" s="57">
        <v>28124334</v>
      </c>
      <c r="MJ11" s="139"/>
      <c r="MK11" s="57">
        <v>26797085</v>
      </c>
      <c r="ML11" s="57">
        <v>26596569</v>
      </c>
      <c r="MM11" s="57">
        <v>26332233</v>
      </c>
      <c r="MN11" s="57">
        <v>25682981</v>
      </c>
      <c r="MO11" s="57">
        <v>32516240</v>
      </c>
      <c r="MP11" s="57">
        <v>32018852</v>
      </c>
      <c r="MQ11" s="57">
        <v>32382971</v>
      </c>
      <c r="MR11" s="57">
        <v>31972516</v>
      </c>
      <c r="MS11" s="57">
        <v>31163445</v>
      </c>
      <c r="MT11" s="57">
        <v>30726602</v>
      </c>
      <c r="MU11" s="57">
        <v>30374534</v>
      </c>
      <c r="MV11" s="57">
        <v>33730397</v>
      </c>
      <c r="MW11" s="57">
        <v>33410740</v>
      </c>
      <c r="MX11" s="57">
        <v>32697448</v>
      </c>
      <c r="MY11" s="57">
        <v>32609440</v>
      </c>
      <c r="MZ11" s="57">
        <v>32162321</v>
      </c>
      <c r="NA11" s="57">
        <v>30696680</v>
      </c>
      <c r="NB11" s="57">
        <v>29634440</v>
      </c>
      <c r="NC11" s="57">
        <v>28933171</v>
      </c>
      <c r="ND11" s="57">
        <v>28379674</v>
      </c>
      <c r="NE11" s="57">
        <v>28102458</v>
      </c>
      <c r="NF11" s="57">
        <v>27653825</v>
      </c>
      <c r="NG11" s="57">
        <v>29669923</v>
      </c>
      <c r="NH11" s="57">
        <v>29138277</v>
      </c>
      <c r="NI11" s="57">
        <v>28805123</v>
      </c>
      <c r="NJ11" s="57">
        <v>30568127</v>
      </c>
      <c r="NK11" s="57">
        <v>30020487</v>
      </c>
      <c r="NL11" s="57">
        <v>29141101</v>
      </c>
      <c r="NM11" s="57">
        <v>28900659</v>
      </c>
      <c r="NN11" s="57">
        <v>27484871</v>
      </c>
      <c r="NO11" s="57">
        <v>29177537</v>
      </c>
      <c r="NP11" s="139"/>
      <c r="NQ11" s="57">
        <v>28923689</v>
      </c>
      <c r="NR11" s="57">
        <v>28333471</v>
      </c>
      <c r="NS11" s="57">
        <v>28025376</v>
      </c>
      <c r="NT11" s="57">
        <v>27831272</v>
      </c>
      <c r="NU11" s="57">
        <v>27135098</v>
      </c>
      <c r="NV11" s="57">
        <v>26804910</v>
      </c>
      <c r="NW11" s="57">
        <v>26423376</v>
      </c>
      <c r="NX11" s="57">
        <v>25787746</v>
      </c>
      <c r="NY11" s="57">
        <v>25303355</v>
      </c>
      <c r="NZ11" s="57">
        <v>24829531</v>
      </c>
      <c r="OA11" s="57">
        <v>24609165</v>
      </c>
      <c r="OB11" s="57">
        <v>24285245</v>
      </c>
      <c r="OC11" s="57">
        <v>23176496</v>
      </c>
      <c r="OD11" s="57">
        <v>22724511</v>
      </c>
      <c r="OE11" s="57">
        <v>22339723</v>
      </c>
      <c r="OF11" s="57">
        <v>21524306</v>
      </c>
      <c r="OG11" s="57">
        <v>26938146</v>
      </c>
      <c r="OH11" s="57">
        <v>27708495</v>
      </c>
      <c r="OI11" s="57">
        <v>27206683</v>
      </c>
      <c r="OJ11" s="57">
        <v>26172497</v>
      </c>
      <c r="OK11" s="57">
        <v>25908473</v>
      </c>
      <c r="OL11" s="57">
        <v>25307510</v>
      </c>
      <c r="OM11" s="57">
        <v>24528021</v>
      </c>
      <c r="ON11" s="57">
        <v>23967916</v>
      </c>
      <c r="OO11" s="57">
        <v>23387212</v>
      </c>
      <c r="OP11" s="57">
        <v>22757652</v>
      </c>
      <c r="OQ11" s="57">
        <v>21268637</v>
      </c>
      <c r="OR11" s="57">
        <v>24925675</v>
      </c>
      <c r="OS11" s="57">
        <v>24081443</v>
      </c>
      <c r="OT11" s="57">
        <v>22534673</v>
      </c>
      <c r="OU11" s="57">
        <v>20703853</v>
      </c>
      <c r="OV11" s="130"/>
      <c r="OW11" s="57">
        <v>24182343</v>
      </c>
      <c r="OX11" s="57">
        <v>23096597</v>
      </c>
      <c r="OY11" s="57">
        <v>22835751</v>
      </c>
      <c r="OZ11" s="57">
        <v>22186067</v>
      </c>
      <c r="PA11" s="57">
        <v>21299492</v>
      </c>
      <c r="PB11" s="57">
        <v>23001568</v>
      </c>
      <c r="PC11" s="57">
        <v>22519450</v>
      </c>
      <c r="PD11" s="57">
        <v>21697753</v>
      </c>
      <c r="PE11" s="57">
        <v>20916833</v>
      </c>
      <c r="PF11" s="57">
        <v>19715713</v>
      </c>
      <c r="PG11" s="57">
        <v>23145706</v>
      </c>
      <c r="PH11" s="57">
        <v>22826702</v>
      </c>
      <c r="PI11" s="57">
        <v>22558154</v>
      </c>
      <c r="PJ11" s="57">
        <v>21879884</v>
      </c>
      <c r="PK11" s="57">
        <v>21613614</v>
      </c>
      <c r="PL11" s="57">
        <v>21206526</v>
      </c>
      <c r="PM11" s="57">
        <v>21134175</v>
      </c>
      <c r="PN11" s="57">
        <v>22510695</v>
      </c>
      <c r="PO11" s="57">
        <v>21782556</v>
      </c>
      <c r="PP11" s="57">
        <v>21351750</v>
      </c>
      <c r="PQ11" s="57">
        <v>21125590</v>
      </c>
      <c r="PR11" s="57">
        <v>20930682</v>
      </c>
      <c r="PS11" s="57">
        <v>20000078</v>
      </c>
      <c r="PT11" s="57">
        <v>19778798</v>
      </c>
      <c r="PU11" s="57">
        <v>19624230</v>
      </c>
      <c r="PV11" s="57">
        <v>19345469</v>
      </c>
      <c r="PW11" s="57">
        <v>18820055</v>
      </c>
      <c r="PX11" s="57">
        <v>18006779</v>
      </c>
      <c r="PY11" s="57">
        <v>19857709</v>
      </c>
      <c r="PZ11" s="57">
        <v>19678957</v>
      </c>
      <c r="QA11" s="130"/>
      <c r="QB11" s="57">
        <v>18388372</v>
      </c>
      <c r="QC11" s="57">
        <v>17973660</v>
      </c>
      <c r="QD11" s="57">
        <v>18876193</v>
      </c>
      <c r="QE11" s="57">
        <v>19164864</v>
      </c>
      <c r="QF11" s="57">
        <v>18982359</v>
      </c>
      <c r="QG11" s="57">
        <v>18711825</v>
      </c>
      <c r="QH11" s="57">
        <v>18527873</v>
      </c>
      <c r="QI11" s="57">
        <v>19503228</v>
      </c>
      <c r="QJ11" s="57">
        <v>18710772</v>
      </c>
      <c r="QK11" s="57">
        <v>18170612</v>
      </c>
      <c r="QL11" s="57">
        <v>17324731</v>
      </c>
      <c r="QM11" s="57">
        <v>19868795</v>
      </c>
      <c r="QN11" s="57">
        <v>19537170</v>
      </c>
      <c r="QO11" s="57">
        <v>21160425</v>
      </c>
      <c r="QP11" s="57">
        <v>19970261</v>
      </c>
      <c r="QQ11" s="57">
        <v>19830421</v>
      </c>
      <c r="QR11" s="57">
        <v>18955753</v>
      </c>
      <c r="QS11" s="57">
        <v>18776353</v>
      </c>
      <c r="QT11" s="57">
        <v>17497176</v>
      </c>
      <c r="QU11" s="57">
        <v>17043860</v>
      </c>
      <c r="QV11" s="57">
        <v>16729563</v>
      </c>
      <c r="QW11" s="57">
        <v>16063615</v>
      </c>
      <c r="QX11" s="57">
        <v>15354429</v>
      </c>
      <c r="QY11" s="57">
        <v>14447685</v>
      </c>
      <c r="QZ11" s="57">
        <v>13278037</v>
      </c>
      <c r="RA11" s="57">
        <v>12914237</v>
      </c>
      <c r="RB11" s="57">
        <v>12083247</v>
      </c>
      <c r="RC11" s="57">
        <v>14908124</v>
      </c>
      <c r="RD11" s="57">
        <v>14399161</v>
      </c>
      <c r="RE11" s="57">
        <v>13565333</v>
      </c>
      <c r="RF11" s="57">
        <v>12891061</v>
      </c>
      <c r="RG11" s="130"/>
      <c r="RH11" s="57">
        <v>12292615</v>
      </c>
      <c r="RI11" s="57">
        <v>12064191</v>
      </c>
      <c r="RJ11" s="57">
        <v>11511426</v>
      </c>
      <c r="RK11" s="57">
        <v>11503252</v>
      </c>
      <c r="RL11" s="57">
        <v>14684756</v>
      </c>
      <c r="RM11" s="57">
        <v>14576288</v>
      </c>
      <c r="RN11" s="57">
        <v>13966659</v>
      </c>
      <c r="RO11" s="57">
        <v>13656903</v>
      </c>
      <c r="RP11" s="57">
        <v>13011933</v>
      </c>
      <c r="RQ11" s="57">
        <v>15606889</v>
      </c>
      <c r="RR11" s="57">
        <v>15314747</v>
      </c>
      <c r="RS11" s="57">
        <v>14983453</v>
      </c>
      <c r="RT11" s="57">
        <v>13715058</v>
      </c>
      <c r="RU11" s="57">
        <v>12918433</v>
      </c>
      <c r="RV11" s="57">
        <v>12269337</v>
      </c>
      <c r="RW11" s="57">
        <v>12738180</v>
      </c>
      <c r="RX11" s="57">
        <v>12278040</v>
      </c>
      <c r="RY11" s="57">
        <v>11556940</v>
      </c>
      <c r="RZ11" s="57">
        <v>10963834</v>
      </c>
      <c r="SA11" s="57">
        <v>10418462</v>
      </c>
      <c r="SB11" s="57">
        <v>9659522</v>
      </c>
      <c r="SC11" s="57">
        <v>9312650</v>
      </c>
      <c r="SD11" s="57">
        <v>8676946</v>
      </c>
      <c r="SE11" s="57">
        <v>10989218</v>
      </c>
      <c r="SF11" s="57">
        <v>10352146</v>
      </c>
      <c r="SG11" s="57">
        <v>9296769</v>
      </c>
      <c r="SH11" s="57">
        <v>8881285</v>
      </c>
      <c r="SI11" s="57">
        <v>7889057</v>
      </c>
      <c r="SJ11" s="57">
        <v>7498127</v>
      </c>
      <c r="SK11" s="57">
        <v>12763492</v>
      </c>
      <c r="SL11" s="130"/>
      <c r="SM11" s="57">
        <v>12571852</v>
      </c>
      <c r="SN11" s="57">
        <v>12416996</v>
      </c>
      <c r="SO11" s="57">
        <v>12073836</v>
      </c>
      <c r="SP11" s="57">
        <v>11106533</v>
      </c>
      <c r="SQ11" s="57">
        <v>10817173</v>
      </c>
      <c r="SR11" s="57">
        <v>9950237</v>
      </c>
      <c r="SS11" s="57">
        <v>9445120</v>
      </c>
      <c r="ST11" s="57">
        <v>9362880</v>
      </c>
      <c r="SU11" s="57">
        <v>8667378</v>
      </c>
      <c r="SV11" s="57">
        <v>26441118</v>
      </c>
      <c r="SW11" s="57">
        <v>26315078</v>
      </c>
      <c r="SX11" s="57">
        <v>26134493</v>
      </c>
      <c r="SY11" s="57">
        <v>25673177</v>
      </c>
      <c r="SZ11" s="57">
        <v>24743217</v>
      </c>
      <c r="TA11" s="57">
        <v>24487837</v>
      </c>
      <c r="TB11" s="57">
        <v>24342181</v>
      </c>
      <c r="TC11" s="57">
        <v>24217304</v>
      </c>
      <c r="TD11" s="57">
        <v>23451373</v>
      </c>
      <c r="TE11" s="57">
        <v>22897285</v>
      </c>
      <c r="TF11" s="57">
        <v>22458991</v>
      </c>
      <c r="TG11" s="57">
        <v>21332912</v>
      </c>
      <c r="TH11" s="57">
        <v>19975969</v>
      </c>
      <c r="TI11" s="57">
        <v>19260898</v>
      </c>
      <c r="TJ11" s="57">
        <v>18892378</v>
      </c>
      <c r="TK11" s="57">
        <v>18730666</v>
      </c>
      <c r="TL11" s="57">
        <v>17931347</v>
      </c>
      <c r="TM11" s="57">
        <v>17176179</v>
      </c>
      <c r="TN11" s="57">
        <v>21036906</v>
      </c>
      <c r="TO11" s="57">
        <v>20481858</v>
      </c>
      <c r="TP11" s="57">
        <v>20046244</v>
      </c>
      <c r="TQ11" s="57">
        <v>19930150</v>
      </c>
      <c r="TR11" s="130"/>
      <c r="TS11" s="57">
        <v>19441694</v>
      </c>
      <c r="TT11" s="57">
        <v>18777172</v>
      </c>
      <c r="TU11" s="57">
        <v>18343676</v>
      </c>
      <c r="TV11" s="57">
        <v>17487870</v>
      </c>
      <c r="TW11" s="57">
        <v>17128494</v>
      </c>
      <c r="TX11" s="57">
        <v>16679862</v>
      </c>
      <c r="TY11" s="57">
        <v>16336167</v>
      </c>
      <c r="TZ11" s="57">
        <v>16178879</v>
      </c>
      <c r="UA11" s="57">
        <v>15762311</v>
      </c>
      <c r="UB11" s="57">
        <v>19764680</v>
      </c>
      <c r="UC11" s="57">
        <v>19272804</v>
      </c>
      <c r="UD11" s="57">
        <v>19081148</v>
      </c>
      <c r="UE11" s="57">
        <v>18450165</v>
      </c>
      <c r="UF11" s="57">
        <v>17757703</v>
      </c>
      <c r="UG11" s="57">
        <v>17561775</v>
      </c>
      <c r="UH11" s="57">
        <v>17352951</v>
      </c>
      <c r="UI11" s="57">
        <v>16804678</v>
      </c>
      <c r="UJ11" s="57">
        <v>16602420</v>
      </c>
      <c r="UK11" s="57">
        <v>15951959</v>
      </c>
      <c r="UL11" s="57">
        <v>15367372</v>
      </c>
      <c r="UM11" s="57">
        <v>14243531</v>
      </c>
      <c r="UN11" s="57">
        <v>13634229</v>
      </c>
      <c r="UO11" s="57">
        <v>13337989</v>
      </c>
      <c r="UP11" s="57">
        <v>12465290</v>
      </c>
      <c r="UQ11" s="57">
        <v>11924046</v>
      </c>
      <c r="UR11" s="57">
        <v>11589166</v>
      </c>
      <c r="US11" s="57">
        <v>11462206</v>
      </c>
      <c r="UT11" s="57">
        <v>25275186</v>
      </c>
      <c r="UU11" s="57">
        <v>24859306</v>
      </c>
      <c r="UV11" s="57">
        <v>24475682</v>
      </c>
      <c r="UW11" s="57">
        <v>23589547</v>
      </c>
      <c r="UX11" s="130"/>
      <c r="UY11" s="57">
        <v>29238219</v>
      </c>
      <c r="UZ11" s="57">
        <v>28942275</v>
      </c>
      <c r="VA11" s="57">
        <v>28177490</v>
      </c>
      <c r="VB11" s="57">
        <v>27150379</v>
      </c>
      <c r="VC11" s="57">
        <v>29238219</v>
      </c>
      <c r="VD11" s="57">
        <v>25851931</v>
      </c>
      <c r="VE11" s="57">
        <v>25101202</v>
      </c>
      <c r="VF11" s="57">
        <v>24297077</v>
      </c>
      <c r="VG11" s="57">
        <v>27781738</v>
      </c>
      <c r="VH11" s="57">
        <v>27345490</v>
      </c>
      <c r="VI11" s="57">
        <v>26967158</v>
      </c>
      <c r="VJ11" s="57">
        <v>26282356</v>
      </c>
      <c r="VK11" s="57">
        <v>29295703</v>
      </c>
      <c r="VL11" s="57">
        <v>28709480</v>
      </c>
      <c r="VM11" s="57">
        <v>28016424</v>
      </c>
      <c r="VN11" s="57">
        <v>27488391</v>
      </c>
      <c r="VO11" s="57">
        <v>27311097</v>
      </c>
      <c r="VP11" s="57">
        <v>26921403</v>
      </c>
      <c r="VQ11" s="57">
        <v>26263803</v>
      </c>
      <c r="VR11" s="57">
        <v>25611217</v>
      </c>
      <c r="VS11" s="57">
        <v>24982653</v>
      </c>
      <c r="VT11" s="57">
        <v>24574204</v>
      </c>
      <c r="VU11" s="57">
        <v>24013332</v>
      </c>
      <c r="VV11" s="57">
        <v>23564092</v>
      </c>
      <c r="VW11" s="57">
        <v>27249969</v>
      </c>
      <c r="VX11" s="57">
        <v>26430258</v>
      </c>
      <c r="VY11" s="57">
        <v>26172594</v>
      </c>
      <c r="VZ11" s="57">
        <v>26172594</v>
      </c>
      <c r="WA11" s="139"/>
      <c r="WB11" s="57">
        <v>25067588</v>
      </c>
      <c r="WC11" s="57">
        <v>24182772</v>
      </c>
      <c r="WD11" s="57">
        <v>26544636</v>
      </c>
      <c r="WE11" s="57">
        <v>25899662</v>
      </c>
      <c r="WF11" s="57">
        <v>25153714</v>
      </c>
      <c r="WG11" s="57">
        <v>24395328</v>
      </c>
      <c r="WH11" s="57">
        <v>23988794</v>
      </c>
      <c r="WI11" s="57">
        <v>22878398</v>
      </c>
      <c r="WJ11" s="57">
        <v>24762444</v>
      </c>
      <c r="WK11" s="57">
        <v>24567041</v>
      </c>
      <c r="WL11" s="57">
        <v>24118746</v>
      </c>
      <c r="WM11" s="57">
        <v>24118746</v>
      </c>
      <c r="WN11" s="57">
        <v>23078266</v>
      </c>
      <c r="WO11" s="57">
        <v>23922703</v>
      </c>
      <c r="WP11" s="57">
        <v>23062187</v>
      </c>
      <c r="WQ11" s="57">
        <v>22996599</v>
      </c>
      <c r="WR11" s="57">
        <v>22516157</v>
      </c>
      <c r="WS11" s="57">
        <v>21938110</v>
      </c>
      <c r="WT11" s="57">
        <v>21689501</v>
      </c>
      <c r="WU11" s="57">
        <v>27812605</v>
      </c>
      <c r="WV11" s="57">
        <v>27812605</v>
      </c>
      <c r="WW11" s="57">
        <v>27172037</v>
      </c>
      <c r="WX11" s="57">
        <v>26198544</v>
      </c>
      <c r="WY11" s="57">
        <v>25817824</v>
      </c>
      <c r="WZ11" s="57">
        <v>24632465</v>
      </c>
      <c r="XA11" s="57">
        <v>23753641</v>
      </c>
      <c r="XB11" s="57">
        <v>23056502</v>
      </c>
      <c r="XC11" s="57">
        <v>22360274</v>
      </c>
      <c r="XD11" s="57">
        <v>27947804</v>
      </c>
      <c r="XE11" s="57">
        <v>27474064</v>
      </c>
      <c r="XF11" s="57">
        <v>26821334</v>
      </c>
      <c r="XG11" s="139"/>
      <c r="XH11" s="57">
        <v>26244622</v>
      </c>
      <c r="XI11" s="57">
        <v>25095232</v>
      </c>
      <c r="XJ11" s="57">
        <v>24762208</v>
      </c>
      <c r="XK11" s="57">
        <v>27143339</v>
      </c>
      <c r="XL11" s="57">
        <v>26788918</v>
      </c>
      <c r="XM11" s="57">
        <v>26446800</v>
      </c>
      <c r="XN11" s="57">
        <v>25550072</v>
      </c>
      <c r="XO11" s="57">
        <v>25138267</v>
      </c>
      <c r="XP11" s="57">
        <v>24693299</v>
      </c>
      <c r="XQ11" s="57">
        <v>24280547</v>
      </c>
      <c r="XR11" s="57">
        <v>23564741</v>
      </c>
      <c r="XS11" s="57">
        <v>23064383</v>
      </c>
      <c r="XT11" s="57">
        <v>22303645</v>
      </c>
      <c r="XU11" s="57">
        <v>21439184</v>
      </c>
      <c r="XV11" s="57">
        <v>20679964</v>
      </c>
      <c r="XW11" s="57">
        <v>20344803</v>
      </c>
      <c r="XX11" s="57">
        <v>20080779</v>
      </c>
      <c r="XY11" s="57">
        <v>19396034</v>
      </c>
      <c r="XZ11" s="57">
        <v>18833954</v>
      </c>
      <c r="YA11" s="57">
        <v>18480178</v>
      </c>
      <c r="YB11" s="57">
        <v>17870774</v>
      </c>
      <c r="YC11" s="57">
        <v>24818843</v>
      </c>
      <c r="YD11" s="57">
        <v>24548189</v>
      </c>
      <c r="YE11" s="57">
        <v>24001195</v>
      </c>
      <c r="YF11" s="57">
        <v>23741503</v>
      </c>
      <c r="YG11" s="57">
        <v>28563862</v>
      </c>
      <c r="YH11" s="57">
        <v>27752454</v>
      </c>
      <c r="YI11" s="57">
        <v>27293710</v>
      </c>
      <c r="YJ11" s="57">
        <v>26986462</v>
      </c>
      <c r="YK11" s="57">
        <v>26400624</v>
      </c>
      <c r="YL11" s="130"/>
      <c r="YM11" s="57">
        <v>25276258</v>
      </c>
      <c r="YN11" s="57">
        <v>24460905</v>
      </c>
      <c r="YO11" s="57">
        <v>23568548</v>
      </c>
      <c r="YP11" s="57">
        <v>23102124</v>
      </c>
      <c r="YQ11" s="57">
        <v>22501084</v>
      </c>
      <c r="YR11" s="57">
        <v>22166235</v>
      </c>
      <c r="YS11" s="57">
        <v>21938877</v>
      </c>
      <c r="YT11" s="57">
        <v>21118949</v>
      </c>
      <c r="YU11" s="57">
        <v>19955192</v>
      </c>
      <c r="YV11" s="57">
        <v>18956072</v>
      </c>
      <c r="YW11" s="57">
        <v>23379432</v>
      </c>
      <c r="YX11" s="57">
        <v>22794312</v>
      </c>
      <c r="YY11" s="57">
        <v>21927133</v>
      </c>
      <c r="YZ11" s="57">
        <v>20623383</v>
      </c>
      <c r="ZA11" s="57">
        <v>19792834</v>
      </c>
      <c r="ZB11" s="57">
        <v>20958451</v>
      </c>
      <c r="ZC11" s="57">
        <v>20804347</v>
      </c>
      <c r="ZD11" s="57">
        <v>20332403</v>
      </c>
      <c r="ZE11" s="57">
        <v>19461794</v>
      </c>
      <c r="ZF11" s="57">
        <v>18966401</v>
      </c>
      <c r="ZG11" s="57">
        <v>18631225</v>
      </c>
      <c r="ZH11" s="57">
        <v>22785228</v>
      </c>
      <c r="ZI11" s="57">
        <v>22272072</v>
      </c>
      <c r="ZJ11" s="57">
        <v>24520488</v>
      </c>
      <c r="ZK11" s="57">
        <v>24149432</v>
      </c>
      <c r="ZL11" s="57">
        <v>26408409</v>
      </c>
      <c r="ZM11" s="57">
        <v>24290582</v>
      </c>
      <c r="ZN11" s="57">
        <v>23572878</v>
      </c>
      <c r="ZO11" s="57">
        <v>22604624</v>
      </c>
      <c r="ZP11" s="57">
        <v>22127084</v>
      </c>
      <c r="ZQ11" s="57">
        <v>21139088</v>
      </c>
      <c r="ZR11" s="130"/>
      <c r="ZS11" s="57">
        <v>20238311</v>
      </c>
      <c r="ZT11" s="57">
        <v>19856558</v>
      </c>
      <c r="ZU11" s="57">
        <v>23422600</v>
      </c>
      <c r="ZV11" s="57">
        <v>22467248</v>
      </c>
      <c r="ZW11" s="57">
        <v>22129424</v>
      </c>
      <c r="ZX11" s="57">
        <v>21647829</v>
      </c>
      <c r="ZY11" s="57">
        <v>20930720</v>
      </c>
      <c r="ZZ11" s="57">
        <v>20163256</v>
      </c>
      <c r="AAA11" s="57">
        <v>19682047</v>
      </c>
      <c r="AAB11" s="57">
        <v>19430887</v>
      </c>
      <c r="AAC11" s="57">
        <v>30948452</v>
      </c>
      <c r="AAD11" s="57">
        <v>30448893</v>
      </c>
      <c r="AAE11" s="57">
        <v>29869728</v>
      </c>
      <c r="AAF11" s="57">
        <v>29479327</v>
      </c>
      <c r="AAG11" s="57">
        <v>29351447</v>
      </c>
      <c r="AAH11" s="57">
        <v>29123288</v>
      </c>
      <c r="AAI11" s="57">
        <v>28687493</v>
      </c>
      <c r="AAJ11" s="57">
        <v>27745849</v>
      </c>
      <c r="AAK11" s="57">
        <v>27280650</v>
      </c>
      <c r="AAL11" s="57">
        <v>26890265</v>
      </c>
      <c r="AAM11" s="57">
        <v>25368910</v>
      </c>
      <c r="AAN11" s="57">
        <v>25023920</v>
      </c>
      <c r="AAO11" s="57">
        <v>24855551</v>
      </c>
      <c r="AAP11" s="57">
        <v>24554274</v>
      </c>
      <c r="AAQ11" s="57">
        <v>23662359</v>
      </c>
      <c r="AAR11" s="57">
        <v>22710692</v>
      </c>
      <c r="AAS11" s="57">
        <v>22467682</v>
      </c>
      <c r="AAT11" s="57">
        <v>21799454</v>
      </c>
      <c r="AAU11" s="57">
        <v>33691618</v>
      </c>
      <c r="AAV11" s="57">
        <v>32566852</v>
      </c>
      <c r="AAW11" s="130"/>
      <c r="AAX11" s="57">
        <v>31754116</v>
      </c>
      <c r="AAY11" s="57">
        <v>31292297</v>
      </c>
      <c r="AAZ11" s="57">
        <v>30774234</v>
      </c>
      <c r="ABA11" s="57">
        <v>30373400</v>
      </c>
      <c r="ABB11" s="57">
        <v>30073029</v>
      </c>
      <c r="ABC11" s="57">
        <v>29623449</v>
      </c>
      <c r="ABD11" s="57">
        <v>29326289</v>
      </c>
      <c r="ABE11" s="57">
        <v>28670329</v>
      </c>
      <c r="ABF11" s="57">
        <v>28353400</v>
      </c>
      <c r="ABG11" s="57">
        <v>26781166</v>
      </c>
      <c r="ABH11" s="57">
        <v>26781166</v>
      </c>
      <c r="ABI11" s="57">
        <v>25670979</v>
      </c>
      <c r="ABJ11" s="57">
        <v>27155695</v>
      </c>
      <c r="ABK11" s="57">
        <v>26564504</v>
      </c>
      <c r="ABL11" s="57">
        <v>25652885</v>
      </c>
      <c r="ABM11" s="57">
        <v>24839169</v>
      </c>
      <c r="ABN11" s="57">
        <v>28299608</v>
      </c>
      <c r="ABO11" s="57">
        <v>27911459</v>
      </c>
      <c r="ABP11" s="57">
        <v>27411810</v>
      </c>
      <c r="ABQ11" s="57">
        <v>26697569</v>
      </c>
      <c r="ABR11" s="57">
        <v>25811343</v>
      </c>
      <c r="ABS11" s="57">
        <v>25451623</v>
      </c>
      <c r="ABT11" s="57">
        <v>25284044</v>
      </c>
      <c r="ABU11" s="57">
        <v>24316385</v>
      </c>
      <c r="ABV11" s="57">
        <v>23680481</v>
      </c>
      <c r="ABW11" s="57">
        <v>22579390</v>
      </c>
      <c r="ABX11" s="57">
        <v>21390586</v>
      </c>
      <c r="ABY11" s="57">
        <v>20841626</v>
      </c>
      <c r="ABZ11" s="57">
        <v>20543190</v>
      </c>
      <c r="ACA11" s="57">
        <v>20011986</v>
      </c>
      <c r="ACB11" s="57">
        <v>19609947</v>
      </c>
      <c r="ACC11" s="130"/>
      <c r="ACD11" s="57">
        <v>31095459</v>
      </c>
      <c r="ACE11" s="57">
        <v>30302051</v>
      </c>
      <c r="ACF11" s="57">
        <v>29731135</v>
      </c>
      <c r="ACG11" s="57">
        <v>29297875</v>
      </c>
      <c r="ACH11" s="57">
        <v>28601919</v>
      </c>
      <c r="ACI11" s="57">
        <v>27575281</v>
      </c>
      <c r="ACJ11" s="57">
        <v>26515226</v>
      </c>
      <c r="ACK11" s="57">
        <v>25910787</v>
      </c>
      <c r="ACL11" s="57">
        <v>24614643</v>
      </c>
      <c r="ACM11" s="57">
        <v>23869125</v>
      </c>
      <c r="ACN11" s="57">
        <v>22447126</v>
      </c>
      <c r="ACO11" s="57">
        <v>21626488</v>
      </c>
      <c r="ACP11" s="57">
        <v>28200671</v>
      </c>
      <c r="ACQ11" s="57">
        <v>27436773</v>
      </c>
      <c r="ACR11" s="57">
        <v>26808593</v>
      </c>
      <c r="ACS11" s="57">
        <v>26245434</v>
      </c>
      <c r="ACT11" s="57">
        <v>25834310</v>
      </c>
      <c r="ACU11" s="57">
        <v>26557233</v>
      </c>
      <c r="ACV11" s="57">
        <v>26124834</v>
      </c>
      <c r="ACW11" s="57">
        <v>25106412</v>
      </c>
      <c r="ACX11" s="57">
        <v>24858013</v>
      </c>
      <c r="ACY11" s="57">
        <v>23688692</v>
      </c>
      <c r="ACZ11" s="57">
        <v>23122894</v>
      </c>
      <c r="ADA11" s="57">
        <v>22294895</v>
      </c>
      <c r="ADB11" s="57">
        <v>21844095</v>
      </c>
      <c r="ADC11" s="57">
        <v>27984897</v>
      </c>
      <c r="ADD11" s="57">
        <v>27373582</v>
      </c>
      <c r="ADE11" s="57">
        <v>26597781</v>
      </c>
      <c r="ADF11" s="57">
        <v>26092286</v>
      </c>
      <c r="ADG11" s="57">
        <v>25513606</v>
      </c>
      <c r="ADH11" s="57">
        <v>25008098</v>
      </c>
      <c r="ADI11" s="130"/>
      <c r="ADJ11" s="57">
        <v>25081554</v>
      </c>
      <c r="ADK11" s="57">
        <v>24633998</v>
      </c>
      <c r="ADL11" s="57">
        <v>23745671</v>
      </c>
      <c r="ADM11" s="57">
        <v>22525892</v>
      </c>
      <c r="ADN11" s="57">
        <v>21408864</v>
      </c>
      <c r="ADO11" s="57">
        <v>20753758</v>
      </c>
      <c r="ADP11" s="57">
        <v>30211403</v>
      </c>
      <c r="ADQ11" s="57">
        <v>29529444</v>
      </c>
      <c r="ADR11" s="57">
        <v>29022525</v>
      </c>
      <c r="ADS11" s="57">
        <v>28067008</v>
      </c>
      <c r="ADT11" s="57">
        <v>27736279</v>
      </c>
      <c r="ADU11" s="57">
        <v>26459036</v>
      </c>
      <c r="ADV11" s="57">
        <v>25630233</v>
      </c>
      <c r="ADW11" s="57">
        <v>25323000</v>
      </c>
      <c r="ADX11" s="57">
        <v>24748249</v>
      </c>
      <c r="ADY11" s="57">
        <v>29177609</v>
      </c>
      <c r="ADZ11" s="57">
        <v>28408992</v>
      </c>
      <c r="AEA11" s="57">
        <v>28029543</v>
      </c>
      <c r="AEB11" s="57">
        <v>27558673</v>
      </c>
      <c r="AEC11" s="57">
        <v>33371726</v>
      </c>
      <c r="AED11" s="57">
        <v>32938440</v>
      </c>
      <c r="AEE11" s="57">
        <v>32425426</v>
      </c>
      <c r="AEF11" s="57">
        <v>32071710</v>
      </c>
      <c r="AEG11" s="57">
        <v>31998777</v>
      </c>
      <c r="AEH11" s="57">
        <v>31464806</v>
      </c>
      <c r="AEI11" s="57">
        <v>31109250</v>
      </c>
      <c r="AEJ11" s="57">
        <v>29812650</v>
      </c>
      <c r="AEK11" s="57">
        <v>29533705</v>
      </c>
      <c r="AEL11" s="57">
        <v>29067285</v>
      </c>
      <c r="AEM11" s="57">
        <v>28269105</v>
      </c>
      <c r="AEN11" s="130"/>
      <c r="AEO11" s="57">
        <v>26606211</v>
      </c>
      <c r="AEP11" s="57">
        <v>26258485</v>
      </c>
      <c r="AEQ11" s="57">
        <v>24979669</v>
      </c>
      <c r="AER11" s="57">
        <v>36430294</v>
      </c>
      <c r="AES11" s="57">
        <v>35881054</v>
      </c>
      <c r="AET11" s="57">
        <v>35498818</v>
      </c>
      <c r="AEU11" s="57">
        <v>34718918</v>
      </c>
      <c r="AEV11" s="57">
        <v>34138963</v>
      </c>
      <c r="AEW11" s="57">
        <v>33326786</v>
      </c>
      <c r="AEX11" s="57">
        <v>32677517</v>
      </c>
      <c r="AEY11" s="57">
        <v>32122308</v>
      </c>
      <c r="AEZ11" s="57">
        <v>31464508</v>
      </c>
      <c r="AFA11" s="57">
        <v>29900409</v>
      </c>
      <c r="AFB11" s="57">
        <v>29324511</v>
      </c>
      <c r="AFC11" s="57">
        <v>29118915</v>
      </c>
      <c r="AFD11" s="57">
        <v>28138194</v>
      </c>
      <c r="AFE11" s="57">
        <v>27596799</v>
      </c>
      <c r="AFF11" s="57">
        <v>27288163</v>
      </c>
      <c r="AFG11" s="57">
        <v>32443900</v>
      </c>
      <c r="AFH11" s="57">
        <v>32019810</v>
      </c>
      <c r="AFI11" s="57">
        <v>30715083</v>
      </c>
      <c r="AFJ11" s="57">
        <v>30370084</v>
      </c>
      <c r="AFK11" s="57">
        <v>30023706</v>
      </c>
      <c r="AFL11" s="57">
        <v>29384272</v>
      </c>
      <c r="AFM11" s="57">
        <v>28720952</v>
      </c>
      <c r="AFN11" s="57">
        <v>27881128</v>
      </c>
      <c r="AFO11" s="57">
        <v>27155480</v>
      </c>
      <c r="AFP11" s="57">
        <v>26961111</v>
      </c>
      <c r="AFQ11" s="57">
        <v>26027800</v>
      </c>
      <c r="AFR11" s="57">
        <v>33547043</v>
      </c>
      <c r="AFS11" s="57">
        <v>32519485</v>
      </c>
      <c r="AFT11" s="130"/>
      <c r="AFU11" s="57">
        <v>31545021</v>
      </c>
      <c r="AFV11" s="57">
        <v>30229293</v>
      </c>
      <c r="AFW11" s="57">
        <v>29912692</v>
      </c>
      <c r="AFX11" s="57">
        <v>28935468</v>
      </c>
      <c r="AFY11" s="57">
        <v>27827318</v>
      </c>
      <c r="AFZ11" s="57">
        <v>27053408</v>
      </c>
      <c r="AGA11" s="57">
        <v>31288157</v>
      </c>
      <c r="AGB11" s="57">
        <v>29259401</v>
      </c>
      <c r="AGC11" s="57">
        <v>29032024</v>
      </c>
      <c r="AGD11" s="57">
        <v>28570186</v>
      </c>
      <c r="AGE11" s="57">
        <v>27847551</v>
      </c>
      <c r="AGF11" s="57">
        <v>27070641</v>
      </c>
      <c r="AGG11" s="57">
        <v>26347916</v>
      </c>
      <c r="AGH11" s="57">
        <v>25978655</v>
      </c>
      <c r="AGI11" s="57">
        <v>25138896</v>
      </c>
      <c r="AGJ11" s="57">
        <v>24850853</v>
      </c>
      <c r="AGK11" s="57">
        <v>24134535</v>
      </c>
      <c r="AGL11" s="57">
        <v>23799668</v>
      </c>
      <c r="AGM11" s="57">
        <v>22685548</v>
      </c>
      <c r="AGN11" s="57">
        <v>28673803</v>
      </c>
      <c r="AGO11" s="57">
        <v>27865019</v>
      </c>
      <c r="AGP11" s="57">
        <v>26660816</v>
      </c>
      <c r="AGQ11" s="57">
        <v>26400014</v>
      </c>
      <c r="AGR11" s="57">
        <v>31442070</v>
      </c>
      <c r="AGS11" s="57">
        <v>31000615</v>
      </c>
      <c r="AGT11" s="57">
        <v>29165190</v>
      </c>
      <c r="AGU11" s="57">
        <v>28464789</v>
      </c>
      <c r="AGV11" s="57">
        <v>27373672</v>
      </c>
      <c r="AGW11" s="57">
        <v>26805595</v>
      </c>
      <c r="AGX11" s="57">
        <v>26048524</v>
      </c>
      <c r="AGY11" s="139"/>
      <c r="AGZ11" s="57">
        <v>29098154</v>
      </c>
      <c r="AHA11" s="57">
        <v>28382401</v>
      </c>
      <c r="AHB11" s="57">
        <v>26907327</v>
      </c>
      <c r="AHC11" s="57">
        <v>26306568</v>
      </c>
      <c r="AHD11" s="57">
        <v>25550795</v>
      </c>
      <c r="AHE11" s="57">
        <v>25355776</v>
      </c>
      <c r="AHF11" s="57">
        <v>24574726</v>
      </c>
      <c r="AHG11" s="57">
        <v>24022982</v>
      </c>
      <c r="AHH11" s="57">
        <v>30192768</v>
      </c>
      <c r="AHI11" s="57">
        <v>29384120</v>
      </c>
      <c r="AHJ11" s="57">
        <v>28420693</v>
      </c>
      <c r="AHK11" s="57">
        <v>27595454</v>
      </c>
      <c r="AHL11" s="57">
        <v>27240749</v>
      </c>
      <c r="AHM11" s="57">
        <v>26650441</v>
      </c>
      <c r="AHN11" s="57">
        <v>26203923</v>
      </c>
      <c r="AHO11" s="57">
        <v>25702402</v>
      </c>
      <c r="AHP11" s="57">
        <v>24053976</v>
      </c>
      <c r="AHQ11" s="57">
        <v>23158444</v>
      </c>
      <c r="AHR11" s="57">
        <v>21216777</v>
      </c>
      <c r="AHS11" s="57">
        <v>20125333</v>
      </c>
      <c r="AHT11" s="57">
        <v>19435490</v>
      </c>
      <c r="AHU11" s="57">
        <v>30713061</v>
      </c>
      <c r="AHV11" s="57">
        <v>29317246</v>
      </c>
      <c r="AHW11" s="57">
        <v>30231200</v>
      </c>
      <c r="AHX11" s="57">
        <v>29454367</v>
      </c>
      <c r="AHY11" s="57">
        <v>28633929</v>
      </c>
      <c r="AHZ11" s="57">
        <v>28074029</v>
      </c>
      <c r="AIA11" s="57">
        <v>27408951</v>
      </c>
      <c r="AIB11" s="57">
        <v>26184485</v>
      </c>
      <c r="AIC11" s="57">
        <v>25427947</v>
      </c>
      <c r="AID11" s="57">
        <v>24738682</v>
      </c>
      <c r="AIE11" s="130"/>
      <c r="AIF11" s="57">
        <v>24259519</v>
      </c>
      <c r="AIG11" s="57">
        <v>23288805</v>
      </c>
      <c r="AIH11" s="57">
        <v>22715330</v>
      </c>
      <c r="AII11" s="57">
        <v>22657087</v>
      </c>
      <c r="AIJ11" s="57">
        <v>33649164</v>
      </c>
      <c r="AIK11" s="57">
        <v>33174315</v>
      </c>
      <c r="AIL11" s="57">
        <v>33067159</v>
      </c>
      <c r="AIM11" s="57">
        <v>32185175</v>
      </c>
      <c r="AIN11" s="57">
        <v>31268071</v>
      </c>
      <c r="AIO11" s="57">
        <v>30331995</v>
      </c>
      <c r="AIP11" s="57">
        <v>29346222</v>
      </c>
      <c r="AIQ11" s="57">
        <v>29101525</v>
      </c>
      <c r="AIR11" s="57">
        <v>28493869</v>
      </c>
      <c r="AIS11" s="57">
        <v>27665415</v>
      </c>
      <c r="AIT11" s="57">
        <v>27429925</v>
      </c>
      <c r="AIU11" s="57">
        <v>27420725</v>
      </c>
      <c r="AIV11" s="57">
        <v>27284565</v>
      </c>
      <c r="AIW11" s="57">
        <v>26828617</v>
      </c>
      <c r="AIX11" s="57">
        <v>26457637</v>
      </c>
      <c r="AIY11" s="57">
        <v>25599344</v>
      </c>
      <c r="AIZ11" s="57">
        <v>25070751</v>
      </c>
      <c r="AJA11" s="57">
        <v>24279813</v>
      </c>
      <c r="AJB11" s="57">
        <v>23667218</v>
      </c>
      <c r="AJC11" s="57">
        <v>31035065</v>
      </c>
      <c r="AJD11" s="57">
        <v>30456868</v>
      </c>
      <c r="AJE11" s="57">
        <v>30185718</v>
      </c>
      <c r="AJF11" s="57">
        <v>29487285</v>
      </c>
      <c r="AJG11" s="57">
        <v>29288446</v>
      </c>
      <c r="AJH11" s="57">
        <v>28393817</v>
      </c>
      <c r="AJI11" s="57">
        <v>28065239</v>
      </c>
      <c r="AJJ11" s="57">
        <v>26966363</v>
      </c>
      <c r="AJK11" s="145"/>
      <c r="AJL11" s="57">
        <v>26329771</v>
      </c>
      <c r="AJM11" s="57">
        <v>28895096</v>
      </c>
      <c r="AJN11" s="57">
        <v>28162334</v>
      </c>
      <c r="AJO11" s="57">
        <v>26385226</v>
      </c>
      <c r="AJP11" s="57">
        <v>26385226</v>
      </c>
      <c r="AJQ11" s="57">
        <v>24639483</v>
      </c>
      <c r="AJR11" s="57">
        <v>23944840</v>
      </c>
      <c r="AJS11" s="57">
        <v>23630277</v>
      </c>
      <c r="AJT11" s="57">
        <v>22961153</v>
      </c>
      <c r="AJU11" s="57">
        <v>28162334</v>
      </c>
      <c r="AJV11" s="57">
        <v>19614578</v>
      </c>
      <c r="AJW11" s="57">
        <v>18035063</v>
      </c>
      <c r="AJX11" s="57">
        <v>16855916</v>
      </c>
      <c r="AJY11" s="57">
        <v>26221038</v>
      </c>
      <c r="AJZ11" s="57">
        <v>25790992</v>
      </c>
      <c r="AKA11" s="57">
        <v>33321475</v>
      </c>
      <c r="AKB11" s="57">
        <v>32499902</v>
      </c>
      <c r="AKC11" s="57">
        <v>31815416</v>
      </c>
      <c r="AKD11" s="57">
        <v>31045010</v>
      </c>
      <c r="AKE11" s="57">
        <v>30485175</v>
      </c>
      <c r="AKF11" s="57">
        <v>29517416</v>
      </c>
      <c r="AKG11" s="57">
        <v>28531690</v>
      </c>
      <c r="AKH11" s="57">
        <v>26756188</v>
      </c>
      <c r="AKI11" s="57">
        <v>26004485</v>
      </c>
      <c r="AKJ11" s="57">
        <v>24875193</v>
      </c>
      <c r="AKK11" s="57">
        <v>24513321</v>
      </c>
      <c r="AKL11" s="57">
        <v>23028957</v>
      </c>
      <c r="AKM11" s="57">
        <v>21811251</v>
      </c>
      <c r="AKN11" s="151"/>
      <c r="AKO11" s="57">
        <v>21446797</v>
      </c>
      <c r="AKP11" s="57">
        <v>30366493</v>
      </c>
      <c r="AKQ11" s="57">
        <v>29822357</v>
      </c>
      <c r="AKR11" s="57">
        <v>29175346</v>
      </c>
      <c r="AKS11" s="57">
        <v>28752057</v>
      </c>
      <c r="AKT11" s="57">
        <v>30366493</v>
      </c>
      <c r="AKU11" s="57">
        <v>27224405</v>
      </c>
      <c r="AKV11" s="57">
        <v>26177971</v>
      </c>
      <c r="AKW11" s="57">
        <v>25129638</v>
      </c>
      <c r="AKX11" s="57">
        <v>24510015</v>
      </c>
      <c r="AKY11" s="57">
        <v>23463983</v>
      </c>
      <c r="AKZ11" s="57">
        <v>30442749</v>
      </c>
      <c r="ALA11" s="57">
        <v>29142680</v>
      </c>
      <c r="ALB11" s="57">
        <v>31018708</v>
      </c>
      <c r="ALC11" s="57">
        <v>30735532</v>
      </c>
      <c r="ALD11" s="57">
        <v>29620085</v>
      </c>
      <c r="ALE11" s="57">
        <v>28805650</v>
      </c>
      <c r="ALF11" s="57">
        <v>29405200</v>
      </c>
      <c r="ALG11" s="57">
        <v>28067709</v>
      </c>
      <c r="ALH11" s="57">
        <v>27670281</v>
      </c>
      <c r="ALI11" s="57">
        <v>27169135</v>
      </c>
      <c r="ALJ11" s="57">
        <v>25975970</v>
      </c>
      <c r="ALK11" s="57">
        <v>24899292</v>
      </c>
      <c r="ALL11" s="57">
        <v>28222026</v>
      </c>
      <c r="ALM11" s="57">
        <v>27522104</v>
      </c>
      <c r="ALN11" s="57">
        <v>26365484</v>
      </c>
      <c r="ALO11" s="57">
        <v>25424574</v>
      </c>
      <c r="ALP11" s="57">
        <v>24193074</v>
      </c>
      <c r="ALQ11" s="57">
        <v>29804662</v>
      </c>
      <c r="ALR11" s="57">
        <v>29221682</v>
      </c>
      <c r="ALS11" s="57">
        <v>34378619</v>
      </c>
      <c r="ALT11" s="130"/>
      <c r="ALU11" s="57">
        <v>33793795</v>
      </c>
      <c r="ALV11" s="57">
        <v>36067590</v>
      </c>
      <c r="ALW11" s="57">
        <v>34988919</v>
      </c>
      <c r="ALX11" s="57">
        <v>34334541</v>
      </c>
      <c r="ALY11" s="57">
        <v>33457782</v>
      </c>
      <c r="ALZ11" s="57">
        <v>33201984</v>
      </c>
      <c r="AMA11" s="57">
        <v>32919544</v>
      </c>
      <c r="AMB11" s="57">
        <v>31915018</v>
      </c>
      <c r="AMC11" s="57">
        <v>31152923</v>
      </c>
      <c r="AMD11" s="57">
        <v>30202830</v>
      </c>
      <c r="AME11" s="57">
        <v>28910374</v>
      </c>
      <c r="AMF11" s="57">
        <v>28624738</v>
      </c>
      <c r="AMG11" s="57">
        <v>27365313</v>
      </c>
      <c r="AMH11" s="57">
        <v>26461875</v>
      </c>
      <c r="AMI11" s="57">
        <v>33292846</v>
      </c>
      <c r="AMJ11" s="57">
        <v>33292846</v>
      </c>
      <c r="AMK11" s="57">
        <v>32002606</v>
      </c>
      <c r="AML11" s="57">
        <v>31257918</v>
      </c>
      <c r="AMM11" s="57">
        <v>30487724</v>
      </c>
      <c r="AMN11" s="57">
        <v>29478299</v>
      </c>
      <c r="AMO11" s="57">
        <v>28653270</v>
      </c>
      <c r="AMP11" s="57">
        <v>27746338</v>
      </c>
      <c r="AMQ11" s="57">
        <v>26760618</v>
      </c>
      <c r="AMR11" s="57">
        <v>25131597</v>
      </c>
      <c r="AMS11" s="57">
        <v>33928194</v>
      </c>
      <c r="AMT11" s="57">
        <v>32762240</v>
      </c>
      <c r="AMU11" s="57">
        <v>31869017</v>
      </c>
      <c r="AMV11" s="57">
        <v>31012637</v>
      </c>
      <c r="AMW11" s="57">
        <v>30263628</v>
      </c>
      <c r="AMX11" s="57">
        <v>29159155</v>
      </c>
      <c r="AMY11" s="130"/>
      <c r="AMZ11" s="57">
        <v>35261067</v>
      </c>
      <c r="ANA11" s="57">
        <v>34612048</v>
      </c>
      <c r="ANB11" s="57">
        <v>34217587</v>
      </c>
      <c r="ANC11" s="57">
        <v>32686641</v>
      </c>
      <c r="AND11" s="57">
        <v>35055753</v>
      </c>
      <c r="ANE11" s="57">
        <v>34091540</v>
      </c>
      <c r="ANF11" s="57">
        <v>33687000</v>
      </c>
      <c r="ANG11" s="57">
        <v>32076867</v>
      </c>
      <c r="ANH11" s="57">
        <v>30824278</v>
      </c>
      <c r="ANI11" s="57">
        <v>29734113</v>
      </c>
      <c r="ANJ11" s="57">
        <v>31433420</v>
      </c>
      <c r="ANK11" s="57">
        <v>30875285</v>
      </c>
      <c r="ANL11" s="57">
        <v>29844788</v>
      </c>
      <c r="ANM11" s="57">
        <v>29007228</v>
      </c>
      <c r="ANN11" s="57">
        <v>27874804</v>
      </c>
      <c r="ANO11" s="57">
        <v>33234911</v>
      </c>
      <c r="ANP11" s="57">
        <v>32342945</v>
      </c>
      <c r="ANQ11" s="57">
        <v>31836526</v>
      </c>
      <c r="ANR11" s="57">
        <v>30844815</v>
      </c>
      <c r="ANS11" s="57">
        <v>29908916</v>
      </c>
      <c r="ANT11" s="57">
        <v>29327776</v>
      </c>
      <c r="ANU11" s="57">
        <v>27942351</v>
      </c>
      <c r="ANV11" s="57">
        <v>26479813</v>
      </c>
      <c r="ANW11" s="57">
        <v>25221800</v>
      </c>
      <c r="ANX11" s="57">
        <v>23295095</v>
      </c>
      <c r="ANY11" s="57">
        <v>22591286</v>
      </c>
      <c r="ANZ11" s="57">
        <v>22066463</v>
      </c>
      <c r="AOA11" s="57">
        <v>21155664</v>
      </c>
      <c r="AOB11" s="57">
        <v>20438064</v>
      </c>
      <c r="AOC11" s="57">
        <v>19525930</v>
      </c>
    </row>
    <row r="12" spans="1:1069" x14ac:dyDescent="0.2">
      <c r="A12" s="160"/>
      <c r="B12" s="13" t="s">
        <v>1643</v>
      </c>
      <c r="C12" s="58">
        <v>11663000</v>
      </c>
      <c r="D12" s="59">
        <v>11663000</v>
      </c>
      <c r="E12" s="59">
        <v>11535000</v>
      </c>
      <c r="F12" s="59">
        <f>E12</f>
        <v>11535000</v>
      </c>
      <c r="G12" s="59">
        <v>12081000</v>
      </c>
      <c r="H12" s="59">
        <v>11836000</v>
      </c>
      <c r="I12" s="59">
        <v>11618000</v>
      </c>
      <c r="J12" s="59">
        <v>11618000</v>
      </c>
      <c r="K12" s="59">
        <v>11573000</v>
      </c>
      <c r="L12" s="59">
        <v>11868000</v>
      </c>
      <c r="M12" s="59">
        <v>11868000</v>
      </c>
      <c r="N12" s="59">
        <v>11823000</v>
      </c>
      <c r="O12" s="59">
        <v>11657000</v>
      </c>
      <c r="P12" s="59">
        <v>11612000</v>
      </c>
      <c r="Q12" s="59">
        <v>11854000</v>
      </c>
      <c r="R12" s="59">
        <v>11809000</v>
      </c>
      <c r="S12" s="59">
        <v>11764000</v>
      </c>
      <c r="T12" s="59">
        <v>11674000</v>
      </c>
      <c r="U12" s="59">
        <v>11584000</v>
      </c>
      <c r="V12" s="59">
        <v>11429000</v>
      </c>
      <c r="W12" s="59">
        <v>11602000</v>
      </c>
      <c r="X12" s="59">
        <v>11557000</v>
      </c>
      <c r="Y12" s="59">
        <v>11429000</v>
      </c>
      <c r="Z12" s="59">
        <v>11294000</v>
      </c>
      <c r="AA12" s="59">
        <v>11294000</v>
      </c>
      <c r="AB12" s="59">
        <v>11139000</v>
      </c>
      <c r="AC12" s="59">
        <v>11139000</v>
      </c>
      <c r="AD12" s="59">
        <v>10883000</v>
      </c>
      <c r="AE12" s="59">
        <v>10838000</v>
      </c>
      <c r="AF12" s="59">
        <v>10793000</v>
      </c>
      <c r="AG12" s="59">
        <v>11899000</v>
      </c>
      <c r="AH12" s="67">
        <f>AG12</f>
        <v>11899000</v>
      </c>
      <c r="AI12" s="57">
        <v>11816000</v>
      </c>
      <c r="AJ12" s="59">
        <v>11726000</v>
      </c>
      <c r="AK12" s="59">
        <v>11681000</v>
      </c>
      <c r="AL12" s="59">
        <v>11598000</v>
      </c>
      <c r="AM12" s="59">
        <v>12335000</v>
      </c>
      <c r="AN12" s="59">
        <v>12245000</v>
      </c>
      <c r="AO12" s="59">
        <v>11829000</v>
      </c>
      <c r="AP12" s="59">
        <v>11784000</v>
      </c>
      <c r="AQ12" s="59">
        <v>11739000</v>
      </c>
      <c r="AR12" s="59">
        <v>11559000</v>
      </c>
      <c r="AS12" s="59">
        <v>11476000</v>
      </c>
      <c r="AT12" s="59">
        <v>11431000</v>
      </c>
      <c r="AU12" s="59">
        <v>11231000</v>
      </c>
      <c r="AV12" s="59">
        <v>11020000</v>
      </c>
      <c r="AW12" s="59">
        <v>11020000</v>
      </c>
      <c r="AX12" s="59">
        <v>10975000</v>
      </c>
      <c r="AY12" s="59">
        <v>10975000</v>
      </c>
      <c r="AZ12" s="59">
        <v>10930000</v>
      </c>
      <c r="BA12" s="59">
        <v>10930000</v>
      </c>
      <c r="BB12" s="59">
        <v>12408000</v>
      </c>
      <c r="BC12" s="59">
        <v>12310000</v>
      </c>
      <c r="BD12" s="59">
        <v>12124000</v>
      </c>
      <c r="BE12" s="59">
        <v>12075000</v>
      </c>
      <c r="BF12" s="59">
        <v>11933000</v>
      </c>
      <c r="BG12" s="59">
        <v>11747000</v>
      </c>
      <c r="BH12" s="59">
        <v>11698000</v>
      </c>
      <c r="BI12" s="59">
        <v>11600000</v>
      </c>
      <c r="BJ12" s="59">
        <v>11458000</v>
      </c>
      <c r="BK12" s="59">
        <v>11409000</v>
      </c>
      <c r="BL12" s="59">
        <v>11164000</v>
      </c>
      <c r="BM12" s="106">
        <f>BL12</f>
        <v>11164000</v>
      </c>
      <c r="BN12" s="59">
        <v>11115000</v>
      </c>
      <c r="BO12" s="59">
        <v>10769000</v>
      </c>
      <c r="BP12" s="59">
        <v>10671000</v>
      </c>
      <c r="BQ12" s="59">
        <v>11129000</v>
      </c>
      <c r="BR12" s="59">
        <v>11031000</v>
      </c>
      <c r="BS12" s="59">
        <v>10871000</v>
      </c>
      <c r="BT12" s="59">
        <v>10636000</v>
      </c>
      <c r="BU12" s="59">
        <v>10636000</v>
      </c>
      <c r="BV12" s="59">
        <v>10636000</v>
      </c>
      <c r="BW12" s="59">
        <v>10636000</v>
      </c>
      <c r="BX12" s="59">
        <v>10636000</v>
      </c>
      <c r="BY12" s="59">
        <v>10489000</v>
      </c>
      <c r="BZ12" s="59">
        <v>10440000</v>
      </c>
      <c r="CA12" s="59">
        <v>10342000</v>
      </c>
      <c r="CB12" s="59">
        <v>10249000</v>
      </c>
      <c r="CC12" s="59">
        <v>10089000</v>
      </c>
      <c r="CD12" s="59">
        <v>10040000</v>
      </c>
      <c r="CE12" s="59">
        <f>CD12</f>
        <v>10040000</v>
      </c>
      <c r="CF12" s="59">
        <v>11627000</v>
      </c>
      <c r="CG12" s="59">
        <v>11436000</v>
      </c>
      <c r="CH12" s="59">
        <v>11338000</v>
      </c>
      <c r="CI12" s="59">
        <v>11191000</v>
      </c>
      <c r="CJ12" s="59">
        <v>11142000</v>
      </c>
      <c r="CK12" s="59">
        <v>11049000</v>
      </c>
      <c r="CL12" s="59">
        <v>10907000</v>
      </c>
      <c r="CM12" s="59">
        <v>10809000</v>
      </c>
      <c r="CN12" s="59">
        <v>10809000</v>
      </c>
      <c r="CO12" s="59">
        <v>10197000</v>
      </c>
      <c r="CP12" s="59">
        <v>10339000</v>
      </c>
      <c r="CQ12" s="59">
        <v>10374000</v>
      </c>
      <c r="CR12" s="59">
        <v>10281000</v>
      </c>
      <c r="CT12" s="59">
        <v>11690000</v>
      </c>
      <c r="CU12" s="59">
        <v>11597000</v>
      </c>
      <c r="CV12" s="59">
        <v>11597000</v>
      </c>
      <c r="CW12" s="59">
        <v>11406000</v>
      </c>
      <c r="CX12" s="59">
        <v>11308000</v>
      </c>
      <c r="CY12" s="59">
        <v>11308000</v>
      </c>
      <c r="CZ12" s="59">
        <v>10913000</v>
      </c>
      <c r="DA12" s="59">
        <v>10766000</v>
      </c>
      <c r="DB12" s="59">
        <v>10557000</v>
      </c>
      <c r="DC12" s="59">
        <v>11928000</v>
      </c>
      <c r="DD12" s="59">
        <v>11928000</v>
      </c>
      <c r="DE12" s="59">
        <v>11928000</v>
      </c>
      <c r="DF12" s="82">
        <f>DE12</f>
        <v>11928000</v>
      </c>
      <c r="DG12" s="59">
        <v>12194000</v>
      </c>
      <c r="DH12" s="59">
        <v>11959000</v>
      </c>
      <c r="DI12" s="82">
        <f>DH12</f>
        <v>11959000</v>
      </c>
      <c r="DJ12" s="59">
        <v>11817000</v>
      </c>
      <c r="DK12" s="59">
        <v>11582000</v>
      </c>
      <c r="DL12" s="59">
        <v>11440000</v>
      </c>
      <c r="DM12" s="59">
        <v>11205000</v>
      </c>
      <c r="DN12" s="59">
        <v>11205000</v>
      </c>
      <c r="DO12" s="59">
        <v>11156000</v>
      </c>
      <c r="DP12" s="59">
        <v>12532000</v>
      </c>
      <c r="DQ12" s="59">
        <v>12385000</v>
      </c>
      <c r="DR12" s="59">
        <v>12287000</v>
      </c>
      <c r="DS12" s="59">
        <v>12287000</v>
      </c>
      <c r="DT12" s="59">
        <v>12096000</v>
      </c>
      <c r="DU12" s="59">
        <v>12488000</v>
      </c>
      <c r="DV12" s="59">
        <v>12439000</v>
      </c>
      <c r="DW12" s="59">
        <v>12194000</v>
      </c>
      <c r="DX12" s="117"/>
      <c r="DY12" s="59">
        <v>11906000</v>
      </c>
      <c r="DZ12" s="59">
        <v>11857000</v>
      </c>
      <c r="EA12" s="59">
        <v>11710000</v>
      </c>
      <c r="EB12" s="59">
        <v>11612000</v>
      </c>
      <c r="EC12" s="59">
        <v>11470000</v>
      </c>
      <c r="ED12" s="59">
        <v>11421000</v>
      </c>
      <c r="EE12" s="59">
        <v>11235000</v>
      </c>
      <c r="EF12" s="59">
        <v>11026000</v>
      </c>
      <c r="EG12" s="59">
        <v>10884000</v>
      </c>
      <c r="EH12" s="59">
        <v>10791000</v>
      </c>
      <c r="EI12" s="59">
        <v>10791000</v>
      </c>
      <c r="EJ12" s="59">
        <v>10502000</v>
      </c>
      <c r="EK12" s="59">
        <v>11580000</v>
      </c>
      <c r="EL12" s="59">
        <v>11580000</v>
      </c>
      <c r="EM12" s="59">
        <v>11580000</v>
      </c>
      <c r="EN12" s="59">
        <v>11580000</v>
      </c>
      <c r="EO12" s="59">
        <v>11247000</v>
      </c>
      <c r="EP12" s="59">
        <v>11247000</v>
      </c>
      <c r="EQ12" s="59">
        <v>11198000</v>
      </c>
      <c r="ER12" s="59">
        <v>11007000</v>
      </c>
      <c r="ES12" s="59">
        <v>10620000</v>
      </c>
      <c r="ET12" s="59">
        <v>10478000</v>
      </c>
      <c r="EU12" s="59">
        <v>10793000</v>
      </c>
      <c r="EV12" s="59">
        <v>10607000</v>
      </c>
      <c r="EW12" s="59">
        <v>10367000</v>
      </c>
      <c r="EX12" s="59">
        <v>10367000</v>
      </c>
      <c r="EY12" s="59">
        <v>10274000</v>
      </c>
      <c r="EZ12" s="59">
        <v>10225000</v>
      </c>
      <c r="FA12" s="59">
        <v>9770000</v>
      </c>
      <c r="FB12" s="59">
        <v>10167000</v>
      </c>
      <c r="FC12" s="59">
        <v>10069000</v>
      </c>
      <c r="FD12" s="126"/>
      <c r="FE12" s="59">
        <v>9971000</v>
      </c>
      <c r="FF12" s="59">
        <v>10792000</v>
      </c>
      <c r="FG12" s="59">
        <v>10743000</v>
      </c>
      <c r="FH12" s="59">
        <v>12600000</v>
      </c>
      <c r="FI12" s="59">
        <v>12551000</v>
      </c>
      <c r="FJ12" s="59">
        <v>12360000</v>
      </c>
      <c r="FK12" s="59">
        <v>12262000</v>
      </c>
      <c r="FL12" s="59">
        <v>12022000</v>
      </c>
      <c r="FM12" s="59">
        <v>11782000</v>
      </c>
      <c r="FN12" s="59">
        <v>11689000</v>
      </c>
      <c r="FO12" s="59">
        <v>12600000</v>
      </c>
      <c r="FP12" s="59">
        <v>12458000</v>
      </c>
      <c r="FQ12" s="59">
        <v>12311000</v>
      </c>
      <c r="FR12" s="59">
        <v>12151000</v>
      </c>
      <c r="FS12" s="59">
        <v>12053000</v>
      </c>
      <c r="FT12" s="59">
        <v>11867000</v>
      </c>
      <c r="FU12" s="59">
        <v>11818000</v>
      </c>
      <c r="FV12" s="59">
        <v>12551000</v>
      </c>
      <c r="FW12" s="59">
        <v>12458000</v>
      </c>
      <c r="FX12" s="59">
        <v>12200000</v>
      </c>
      <c r="FY12" s="59">
        <v>11517000</v>
      </c>
      <c r="FZ12" s="59">
        <v>11468000</v>
      </c>
      <c r="GA12" s="59">
        <v>12126000</v>
      </c>
      <c r="GB12" s="59">
        <v>11984000</v>
      </c>
      <c r="GC12" s="59">
        <v>11935000</v>
      </c>
      <c r="GD12" s="59">
        <v>11842000</v>
      </c>
      <c r="GE12" s="59">
        <v>11656000</v>
      </c>
      <c r="GF12" s="59">
        <v>11509000</v>
      </c>
      <c r="GG12" s="59">
        <v>11362000</v>
      </c>
      <c r="GH12" s="59">
        <v>11362000</v>
      </c>
      <c r="GI12" s="59">
        <v>11202000</v>
      </c>
      <c r="GJ12" s="130"/>
      <c r="GK12" s="59">
        <v>10949000</v>
      </c>
      <c r="GL12" s="59">
        <v>10949000</v>
      </c>
      <c r="GM12" s="59">
        <v>10598000</v>
      </c>
      <c r="GN12" s="59">
        <v>10314000</v>
      </c>
      <c r="GO12" s="59">
        <v>10918000</v>
      </c>
      <c r="GP12" s="59">
        <v>10683000</v>
      </c>
      <c r="GQ12" s="59">
        <v>10634000</v>
      </c>
      <c r="GR12" s="59">
        <v>10634000</v>
      </c>
      <c r="GS12" s="59">
        <v>10492000</v>
      </c>
      <c r="GT12" s="59">
        <v>10350000</v>
      </c>
      <c r="GU12" s="59">
        <v>12219000</v>
      </c>
      <c r="GV12" s="59">
        <v>12219000</v>
      </c>
      <c r="GW12" s="59">
        <v>12023000</v>
      </c>
      <c r="GX12" s="59">
        <v>12023000</v>
      </c>
      <c r="GY12" s="59">
        <v>11814000</v>
      </c>
      <c r="GZ12" s="59">
        <v>11716000</v>
      </c>
      <c r="HA12" s="59">
        <v>11463000</v>
      </c>
      <c r="HB12" s="59">
        <v>11174000</v>
      </c>
      <c r="HC12" s="59">
        <v>11174000</v>
      </c>
      <c r="HD12" s="59">
        <v>11125000</v>
      </c>
      <c r="HE12" s="59">
        <v>11228000</v>
      </c>
      <c r="HF12" s="59">
        <v>11086000</v>
      </c>
      <c r="HG12" s="59">
        <v>10895000</v>
      </c>
      <c r="HH12" s="59">
        <v>10753000</v>
      </c>
      <c r="HI12" s="59">
        <v>10655000</v>
      </c>
      <c r="HJ12" s="59">
        <v>10386000</v>
      </c>
      <c r="HK12" s="59">
        <v>10244000</v>
      </c>
      <c r="HL12" s="59">
        <v>10244000</v>
      </c>
      <c r="HM12" s="59">
        <v>11408000</v>
      </c>
      <c r="HN12" s="130"/>
      <c r="HO12" s="59">
        <v>11315000</v>
      </c>
      <c r="HP12" s="59">
        <v>11315000</v>
      </c>
      <c r="HQ12" s="59">
        <v>10938000</v>
      </c>
      <c r="HR12" s="59">
        <v>10938000</v>
      </c>
      <c r="HS12" s="59">
        <v>10796000</v>
      </c>
      <c r="HT12" s="59">
        <v>10796000</v>
      </c>
      <c r="HU12" s="59">
        <v>10796000</v>
      </c>
      <c r="HV12" s="59">
        <v>10494000</v>
      </c>
      <c r="HW12" s="59">
        <v>10396000</v>
      </c>
      <c r="HX12" s="59">
        <v>10396000</v>
      </c>
      <c r="HY12" s="59">
        <v>10254000</v>
      </c>
      <c r="HZ12" s="59">
        <v>10254000</v>
      </c>
      <c r="IA12" s="59">
        <v>12170000</v>
      </c>
      <c r="IB12" s="59">
        <v>11985000</v>
      </c>
      <c r="IC12" s="59">
        <v>11794000</v>
      </c>
      <c r="ID12" s="59">
        <v>11701000</v>
      </c>
      <c r="IE12" s="59">
        <v>11559000</v>
      </c>
      <c r="IF12" s="59">
        <v>11510000</v>
      </c>
      <c r="IG12" s="59">
        <v>11417000</v>
      </c>
      <c r="IH12" s="59">
        <v>11257000</v>
      </c>
      <c r="II12" s="59">
        <v>11936000</v>
      </c>
      <c r="IJ12" s="59">
        <v>11843000</v>
      </c>
      <c r="IK12" s="59">
        <v>11400000</v>
      </c>
      <c r="IL12" s="59">
        <v>11258000</v>
      </c>
      <c r="IM12" s="59">
        <v>10957000</v>
      </c>
      <c r="IN12" s="59">
        <v>10957000</v>
      </c>
      <c r="IO12" s="59">
        <v>10957000</v>
      </c>
      <c r="IP12" s="59">
        <v>10797000</v>
      </c>
      <c r="IQ12" s="59">
        <v>10588000</v>
      </c>
      <c r="IR12" s="59">
        <v>10539000</v>
      </c>
      <c r="IS12" s="59">
        <v>10539000</v>
      </c>
      <c r="IT12" s="130"/>
      <c r="IU12" s="59">
        <v>10490000</v>
      </c>
      <c r="IV12" s="59">
        <v>10343000</v>
      </c>
      <c r="IW12" s="59">
        <v>11231000</v>
      </c>
      <c r="IX12" s="59">
        <v>11084000</v>
      </c>
      <c r="IY12" s="59">
        <v>11084000</v>
      </c>
      <c r="IZ12" s="59">
        <v>11084000</v>
      </c>
      <c r="JA12" s="59">
        <v>11685000</v>
      </c>
      <c r="JB12" s="59">
        <v>11587000</v>
      </c>
      <c r="JC12" s="59">
        <v>11077000</v>
      </c>
      <c r="JD12" s="59">
        <v>11077000</v>
      </c>
      <c r="JE12" s="59">
        <v>10842000</v>
      </c>
      <c r="JF12" s="59">
        <v>10842000</v>
      </c>
      <c r="JG12" s="59">
        <v>11268000</v>
      </c>
      <c r="JH12" s="59">
        <v>11126000</v>
      </c>
      <c r="JI12" s="59">
        <v>10623000</v>
      </c>
      <c r="JJ12" s="59">
        <v>10623000</v>
      </c>
      <c r="JK12" s="59">
        <v>10623000</v>
      </c>
      <c r="JL12" s="59">
        <v>11137000</v>
      </c>
      <c r="JM12" s="59">
        <v>10995000</v>
      </c>
      <c r="JN12" s="59">
        <v>10760000</v>
      </c>
      <c r="JO12" s="59">
        <v>10569000</v>
      </c>
      <c r="JP12" s="59">
        <v>10471000</v>
      </c>
      <c r="JQ12" s="59">
        <v>10329000</v>
      </c>
      <c r="JR12" s="59">
        <v>10125000</v>
      </c>
      <c r="JS12" s="59">
        <v>9412000</v>
      </c>
      <c r="JT12" s="59">
        <v>9319000</v>
      </c>
      <c r="JU12" s="59">
        <v>9319000</v>
      </c>
      <c r="JV12" s="59">
        <v>8973000</v>
      </c>
      <c r="JW12" s="59">
        <v>8875000</v>
      </c>
      <c r="JX12" s="59">
        <v>8875000</v>
      </c>
      <c r="JY12" s="140"/>
      <c r="JZ12" s="59">
        <v>8640000</v>
      </c>
      <c r="KA12" s="59">
        <v>10093000</v>
      </c>
      <c r="KB12" s="59">
        <v>9902000</v>
      </c>
      <c r="KC12" s="59">
        <v>9902000</v>
      </c>
      <c r="KD12" s="59">
        <v>9809000</v>
      </c>
      <c r="KE12" s="59">
        <v>9809000</v>
      </c>
      <c r="KF12" s="59">
        <v>9936000</v>
      </c>
      <c r="KG12" s="59">
        <v>9936000</v>
      </c>
      <c r="KH12" s="59">
        <v>9789000</v>
      </c>
      <c r="KI12" s="59">
        <v>9696000</v>
      </c>
      <c r="KJ12" s="59">
        <v>9647000</v>
      </c>
      <c r="KK12" s="59">
        <v>9735000</v>
      </c>
      <c r="KL12" s="59">
        <v>9460000</v>
      </c>
      <c r="KM12" s="59">
        <v>8640000</v>
      </c>
      <c r="KN12" s="59">
        <v>9318000</v>
      </c>
      <c r="KO12" s="59">
        <v>9220000</v>
      </c>
      <c r="KP12" s="59">
        <v>13364000</v>
      </c>
      <c r="KQ12" s="59">
        <v>13222000</v>
      </c>
      <c r="KR12" s="59">
        <v>13222000</v>
      </c>
      <c r="KS12" s="59">
        <v>13222000</v>
      </c>
      <c r="KT12" s="59">
        <v>13129000</v>
      </c>
      <c r="KU12" s="59">
        <v>12987000</v>
      </c>
      <c r="KV12" s="59">
        <v>12987000</v>
      </c>
      <c r="KW12" s="59">
        <v>12987000</v>
      </c>
      <c r="KX12" s="59">
        <v>12845000</v>
      </c>
      <c r="KY12" s="59">
        <v>12703000</v>
      </c>
      <c r="KZ12" s="59">
        <v>13320000</v>
      </c>
      <c r="LA12" s="59">
        <v>13271000</v>
      </c>
      <c r="LB12" s="59">
        <v>13266000</v>
      </c>
      <c r="LC12" s="59">
        <v>12982000</v>
      </c>
      <c r="LD12" s="59">
        <v>12796000</v>
      </c>
      <c r="LE12" s="130"/>
      <c r="LF12" s="59">
        <v>12654000</v>
      </c>
      <c r="LG12" s="59">
        <v>12654000</v>
      </c>
      <c r="LH12" s="59">
        <v>12894000</v>
      </c>
      <c r="LI12" s="59">
        <v>12894000</v>
      </c>
      <c r="LJ12" s="59">
        <v>12894000</v>
      </c>
      <c r="LK12" s="59">
        <v>12894000</v>
      </c>
      <c r="LL12" s="59">
        <v>12894000</v>
      </c>
      <c r="LM12" s="59">
        <v>12801000</v>
      </c>
      <c r="LN12" s="59">
        <v>12450000</v>
      </c>
      <c r="LO12" s="59">
        <v>12290000</v>
      </c>
      <c r="LP12" s="59">
        <v>12094000</v>
      </c>
      <c r="LQ12" s="59">
        <v>12094000</v>
      </c>
      <c r="LR12" s="59">
        <v>12045000</v>
      </c>
      <c r="LS12" s="59">
        <v>11743000</v>
      </c>
      <c r="LT12" s="59">
        <v>11601000</v>
      </c>
      <c r="LU12" s="59">
        <v>11317000</v>
      </c>
      <c r="LV12" s="59">
        <v>11219000</v>
      </c>
      <c r="LW12" s="59">
        <v>11219000</v>
      </c>
      <c r="LX12" s="59">
        <v>12688000</v>
      </c>
      <c r="LY12" s="59">
        <v>12530000</v>
      </c>
      <c r="LZ12" s="59">
        <v>12530000</v>
      </c>
      <c r="MA12" s="59">
        <v>12530000</v>
      </c>
      <c r="MB12" s="59">
        <v>12530000</v>
      </c>
      <c r="MC12" s="59">
        <v>12530000</v>
      </c>
      <c r="MD12" s="59">
        <v>12998860</v>
      </c>
      <c r="ME12" s="59">
        <v>12998860</v>
      </c>
      <c r="MF12" s="59">
        <v>12952860</v>
      </c>
      <c r="MG12" s="59">
        <v>12817000</v>
      </c>
      <c r="MH12" s="59">
        <v>12771000</v>
      </c>
      <c r="MI12" s="59">
        <v>12478000</v>
      </c>
      <c r="MJ12" s="140"/>
      <c r="MK12" s="59">
        <v>12389000</v>
      </c>
      <c r="ML12" s="59">
        <v>12343000</v>
      </c>
      <c r="MM12" s="59">
        <v>12208000</v>
      </c>
      <c r="MN12" s="59">
        <v>12074000</v>
      </c>
      <c r="MO12" s="59">
        <v>11939000</v>
      </c>
      <c r="MP12" s="59">
        <v>11939000</v>
      </c>
      <c r="MQ12" s="59">
        <v>11712000</v>
      </c>
      <c r="MR12" s="59">
        <v>11577000</v>
      </c>
      <c r="MS12" s="59">
        <v>11442000</v>
      </c>
      <c r="MT12" s="59">
        <v>11442000</v>
      </c>
      <c r="MU12" s="59">
        <v>11307000</v>
      </c>
      <c r="MV12" s="59">
        <v>11620000</v>
      </c>
      <c r="MW12" s="59">
        <v>11439000</v>
      </c>
      <c r="MX12" s="59">
        <v>11347000</v>
      </c>
      <c r="MY12" s="59">
        <v>11209000</v>
      </c>
      <c r="MZ12" s="59">
        <v>11163000</v>
      </c>
      <c r="NA12" s="59">
        <v>11163000</v>
      </c>
      <c r="NB12" s="59">
        <v>11029000</v>
      </c>
      <c r="NC12" s="59">
        <v>10937000</v>
      </c>
      <c r="ND12" s="59">
        <v>10937000</v>
      </c>
      <c r="NE12" s="59">
        <v>10877000</v>
      </c>
      <c r="NF12" s="59">
        <v>10831000</v>
      </c>
      <c r="NG12" s="59">
        <v>15567000</v>
      </c>
      <c r="NH12" s="59">
        <v>15386000</v>
      </c>
      <c r="NI12" s="59">
        <v>15432000</v>
      </c>
      <c r="NJ12" s="59">
        <v>15432000</v>
      </c>
      <c r="NK12" s="59">
        <v>15340000</v>
      </c>
      <c r="NL12" s="59">
        <v>15248000</v>
      </c>
      <c r="NM12" s="59">
        <v>15248000</v>
      </c>
      <c r="NN12" s="59">
        <v>15248000</v>
      </c>
      <c r="NO12" s="59">
        <v>15708000</v>
      </c>
      <c r="NP12" s="140"/>
      <c r="NQ12" s="59">
        <v>15484000</v>
      </c>
      <c r="NR12" s="59">
        <v>15484000</v>
      </c>
      <c r="NS12" s="59">
        <v>15484000</v>
      </c>
      <c r="NT12" s="59">
        <v>15484000</v>
      </c>
      <c r="NU12" s="59">
        <v>15392000</v>
      </c>
      <c r="NV12" s="59">
        <v>15346000</v>
      </c>
      <c r="NW12" s="59">
        <v>15074000</v>
      </c>
      <c r="NX12" s="59">
        <v>14942000</v>
      </c>
      <c r="NY12" s="59">
        <v>14896000</v>
      </c>
      <c r="NZ12" s="59">
        <v>14807000</v>
      </c>
      <c r="OA12" s="59">
        <v>14807000</v>
      </c>
      <c r="OB12" s="59">
        <v>14807000</v>
      </c>
      <c r="OC12" s="59">
        <v>15732000</v>
      </c>
      <c r="OD12" s="59">
        <v>15686000</v>
      </c>
      <c r="OE12" s="59">
        <v>15686000</v>
      </c>
      <c r="OF12" s="59">
        <v>15594000</v>
      </c>
      <c r="OG12" s="59">
        <v>15456000</v>
      </c>
      <c r="OH12" s="59">
        <v>15318000</v>
      </c>
      <c r="OI12" s="59">
        <v>14704000</v>
      </c>
      <c r="OJ12" s="59">
        <v>14658000</v>
      </c>
      <c r="OK12" s="59">
        <v>14523000</v>
      </c>
      <c r="OL12" s="59">
        <v>14661000</v>
      </c>
      <c r="OM12" s="59">
        <v>14394000</v>
      </c>
      <c r="ON12" s="59">
        <v>15121000</v>
      </c>
      <c r="OO12" s="59">
        <v>14897000</v>
      </c>
      <c r="OP12" s="59">
        <v>14682000</v>
      </c>
      <c r="OQ12" s="59">
        <v>14455000</v>
      </c>
      <c r="OR12" s="59">
        <v>15164000</v>
      </c>
      <c r="OS12" s="59">
        <v>15164000</v>
      </c>
      <c r="OT12" s="59">
        <v>14960000</v>
      </c>
      <c r="OU12" s="59">
        <v>14960000</v>
      </c>
      <c r="OV12" s="130"/>
      <c r="OW12" s="59">
        <v>14848000</v>
      </c>
      <c r="OX12" s="59">
        <v>14489000</v>
      </c>
      <c r="OY12" s="59">
        <v>14443000</v>
      </c>
      <c r="OZ12" s="59">
        <v>14216000</v>
      </c>
      <c r="PA12" s="59">
        <v>14216000</v>
      </c>
      <c r="PB12" s="59">
        <v>14170000</v>
      </c>
      <c r="PC12" s="59">
        <v>14078000</v>
      </c>
      <c r="PD12" s="59">
        <v>14078000</v>
      </c>
      <c r="PE12" s="59">
        <v>13989000</v>
      </c>
      <c r="PF12" s="59">
        <v>15075000</v>
      </c>
      <c r="PG12" s="59">
        <v>15075000</v>
      </c>
      <c r="PH12" s="59">
        <v>14937000</v>
      </c>
      <c r="PI12" s="59">
        <v>14802000</v>
      </c>
      <c r="PJ12" s="59">
        <v>14802000</v>
      </c>
      <c r="PK12" s="59">
        <v>14598000</v>
      </c>
      <c r="PL12" s="59">
        <v>14420000</v>
      </c>
      <c r="PM12" s="59">
        <v>14374000</v>
      </c>
      <c r="PN12" s="59">
        <v>14894000</v>
      </c>
      <c r="PO12" s="59">
        <v>14713000</v>
      </c>
      <c r="PP12" s="59">
        <v>14535000</v>
      </c>
      <c r="PQ12" s="59">
        <v>14489000</v>
      </c>
      <c r="PR12" s="59">
        <v>14354000</v>
      </c>
      <c r="PS12" s="59">
        <v>14308000</v>
      </c>
      <c r="PT12" s="59">
        <v>14308000</v>
      </c>
      <c r="PU12" s="59">
        <v>14901000</v>
      </c>
      <c r="PV12" s="59">
        <v>14855000</v>
      </c>
      <c r="PW12" s="59">
        <v>14855000</v>
      </c>
      <c r="PX12" s="59">
        <v>14631000</v>
      </c>
      <c r="PY12" s="59">
        <v>14904000</v>
      </c>
      <c r="PZ12" s="59">
        <v>14700000</v>
      </c>
      <c r="QA12" s="130"/>
      <c r="QB12" s="59">
        <v>14654000</v>
      </c>
      <c r="QC12" s="59">
        <v>14272000</v>
      </c>
      <c r="QD12" s="59">
        <v>14226000</v>
      </c>
      <c r="QE12" s="59">
        <v>14364000</v>
      </c>
      <c r="QF12" s="59">
        <v>14318000</v>
      </c>
      <c r="QG12" s="59">
        <v>14318000</v>
      </c>
      <c r="QH12" s="59">
        <v>14318000</v>
      </c>
      <c r="QI12" s="59">
        <v>14140000</v>
      </c>
      <c r="QJ12" s="59">
        <v>14140000</v>
      </c>
      <c r="QK12" s="59">
        <v>13962000</v>
      </c>
      <c r="QL12" s="59">
        <v>13916000</v>
      </c>
      <c r="QM12" s="59">
        <v>14232000</v>
      </c>
      <c r="QN12" s="59">
        <v>14048000</v>
      </c>
      <c r="QO12" s="59">
        <v>14447000</v>
      </c>
      <c r="QP12" s="59">
        <v>14718000</v>
      </c>
      <c r="QQ12" s="59">
        <v>14828000</v>
      </c>
      <c r="QR12" s="59">
        <v>14739000</v>
      </c>
      <c r="QS12" s="59">
        <v>14380000</v>
      </c>
      <c r="QT12" s="59">
        <v>14291000</v>
      </c>
      <c r="QU12" s="59">
        <v>14791000</v>
      </c>
      <c r="QV12" s="59">
        <v>14607000</v>
      </c>
      <c r="QW12" s="59">
        <v>14561000</v>
      </c>
      <c r="QX12" s="59">
        <v>14561000</v>
      </c>
      <c r="QY12" s="59">
        <v>14561000</v>
      </c>
      <c r="QZ12" s="59">
        <v>14472000</v>
      </c>
      <c r="RA12" s="59">
        <v>14245000</v>
      </c>
      <c r="RB12" s="59">
        <v>14110000</v>
      </c>
      <c r="RC12" s="59">
        <v>14653000</v>
      </c>
      <c r="RD12" s="59">
        <v>14437000</v>
      </c>
      <c r="RE12" s="59">
        <v>14923000</v>
      </c>
      <c r="RF12" s="59">
        <v>14835000</v>
      </c>
      <c r="RG12" s="130"/>
      <c r="RH12" s="59">
        <v>14700000</v>
      </c>
      <c r="RI12" s="59">
        <v>14269000</v>
      </c>
      <c r="RJ12" s="59">
        <v>14180000</v>
      </c>
      <c r="RK12" s="59">
        <v>14088000</v>
      </c>
      <c r="RL12" s="59">
        <v>14226000</v>
      </c>
      <c r="RM12" s="59">
        <v>14137000</v>
      </c>
      <c r="RN12" s="59">
        <v>13867000</v>
      </c>
      <c r="RO12" s="59">
        <v>13867000</v>
      </c>
      <c r="RP12" s="59">
        <v>13867000</v>
      </c>
      <c r="RQ12" s="59">
        <v>14723000</v>
      </c>
      <c r="RR12" s="59">
        <v>14723000</v>
      </c>
      <c r="RS12" s="59">
        <v>14462000</v>
      </c>
      <c r="RT12" s="59">
        <v>14416000</v>
      </c>
      <c r="RU12" s="59">
        <v>14324000</v>
      </c>
      <c r="RV12" s="59">
        <v>14100000</v>
      </c>
      <c r="RW12" s="59">
        <v>14709000</v>
      </c>
      <c r="RX12" s="59">
        <v>14571000</v>
      </c>
      <c r="RY12" s="59">
        <v>14571000</v>
      </c>
      <c r="RZ12" s="59">
        <v>14525000</v>
      </c>
      <c r="SA12" s="59">
        <v>14436000</v>
      </c>
      <c r="SB12" s="59">
        <v>14301000</v>
      </c>
      <c r="SC12" s="59">
        <v>14166000</v>
      </c>
      <c r="SD12" s="59">
        <v>13988000</v>
      </c>
      <c r="SE12" s="59">
        <v>14522000</v>
      </c>
      <c r="SF12" s="59">
        <v>14387000</v>
      </c>
      <c r="SG12" s="59">
        <v>14341000</v>
      </c>
      <c r="SH12" s="59">
        <v>14295000</v>
      </c>
      <c r="SI12" s="59">
        <v>14091000</v>
      </c>
      <c r="SJ12" s="59">
        <v>13868000</v>
      </c>
      <c r="SK12" s="59">
        <v>13868000</v>
      </c>
      <c r="SL12" s="130"/>
      <c r="SM12" s="59">
        <v>13730000</v>
      </c>
      <c r="SN12" s="59">
        <v>13684000</v>
      </c>
      <c r="SO12" s="59">
        <v>13503000</v>
      </c>
      <c r="SP12" s="59">
        <v>14609000</v>
      </c>
      <c r="SQ12" s="59">
        <v>14517000</v>
      </c>
      <c r="SR12" s="59">
        <v>14425000</v>
      </c>
      <c r="SS12" s="59">
        <v>14336000</v>
      </c>
      <c r="ST12" s="59">
        <v>13951000</v>
      </c>
      <c r="SU12" s="59">
        <v>13951000</v>
      </c>
      <c r="SV12" s="59">
        <v>13931000</v>
      </c>
      <c r="SW12" s="59">
        <v>13842000</v>
      </c>
      <c r="SX12" s="59">
        <v>13753000</v>
      </c>
      <c r="SY12" s="59">
        <v>13664000</v>
      </c>
      <c r="SZ12" s="59">
        <v>13572000</v>
      </c>
      <c r="TA12" s="59">
        <v>14563000</v>
      </c>
      <c r="TB12" s="59">
        <v>14272000</v>
      </c>
      <c r="TC12" s="59">
        <v>14094000</v>
      </c>
      <c r="TD12" s="59">
        <v>13916000</v>
      </c>
      <c r="TE12" s="59">
        <v>13959000</v>
      </c>
      <c r="TF12" s="59">
        <v>13735000</v>
      </c>
      <c r="TG12" s="59">
        <v>13646000</v>
      </c>
      <c r="TH12" s="59">
        <v>13422000</v>
      </c>
      <c r="TI12" s="59">
        <v>13376000</v>
      </c>
      <c r="TJ12" s="59">
        <v>13083000</v>
      </c>
      <c r="TK12" s="59">
        <v>12744000</v>
      </c>
      <c r="TL12" s="59">
        <v>12273000</v>
      </c>
      <c r="TM12" s="59">
        <v>12003000</v>
      </c>
      <c r="TN12" s="59">
        <v>12003000</v>
      </c>
      <c r="TO12" s="59">
        <v>11957000</v>
      </c>
      <c r="TP12" s="59">
        <v>11957000</v>
      </c>
      <c r="TQ12" s="59">
        <v>11865000</v>
      </c>
      <c r="TR12" s="130"/>
      <c r="TS12" s="59">
        <v>11819000</v>
      </c>
      <c r="TT12" s="59">
        <v>11819000</v>
      </c>
      <c r="TU12" s="59">
        <v>12871000</v>
      </c>
      <c r="TV12" s="59">
        <v>12871000</v>
      </c>
      <c r="TW12" s="59">
        <v>12736000</v>
      </c>
      <c r="TX12" s="59">
        <v>12509000</v>
      </c>
      <c r="TY12" s="59">
        <v>12325000</v>
      </c>
      <c r="TZ12" s="59">
        <v>12325000</v>
      </c>
      <c r="UA12" s="59">
        <v>12167000</v>
      </c>
      <c r="UB12" s="59">
        <v>15376000</v>
      </c>
      <c r="UC12" s="59">
        <v>15376000</v>
      </c>
      <c r="UD12" s="59">
        <v>15316000</v>
      </c>
      <c r="UE12" s="59">
        <v>14563000</v>
      </c>
      <c r="UF12" s="59">
        <v>14474000</v>
      </c>
      <c r="UG12" s="59">
        <v>14339000</v>
      </c>
      <c r="UH12" s="59">
        <v>14204000</v>
      </c>
      <c r="UI12" s="59">
        <v>13573000</v>
      </c>
      <c r="UJ12" s="59">
        <v>13438000</v>
      </c>
      <c r="UK12" s="59">
        <v>13303000</v>
      </c>
      <c r="UL12" s="59">
        <v>13303000</v>
      </c>
      <c r="UM12" s="59">
        <v>13214000</v>
      </c>
      <c r="UN12" s="59">
        <v>14607000</v>
      </c>
      <c r="UO12" s="59">
        <v>14607000</v>
      </c>
      <c r="UP12" s="59">
        <v>14561000</v>
      </c>
      <c r="UQ12" s="59">
        <v>14515000</v>
      </c>
      <c r="UR12" s="59">
        <v>14423000</v>
      </c>
      <c r="US12" s="59">
        <v>14334000</v>
      </c>
      <c r="UT12" s="59">
        <v>16001000</v>
      </c>
      <c r="UU12" s="59">
        <v>16001000</v>
      </c>
      <c r="UV12" s="59">
        <v>15955000</v>
      </c>
      <c r="UW12" s="59">
        <v>15909000</v>
      </c>
      <c r="UX12" s="130"/>
      <c r="UY12" s="59">
        <v>16116000</v>
      </c>
      <c r="UZ12" s="59">
        <v>15846000</v>
      </c>
      <c r="VA12" s="59">
        <v>15757000</v>
      </c>
      <c r="VB12" s="59">
        <v>15668000</v>
      </c>
      <c r="VC12" s="59">
        <v>16116000</v>
      </c>
      <c r="VD12" s="59">
        <v>15576000</v>
      </c>
      <c r="VE12" s="59">
        <v>15576000</v>
      </c>
      <c r="VF12" s="59">
        <v>15306000</v>
      </c>
      <c r="VG12" s="59">
        <v>16294000</v>
      </c>
      <c r="VH12" s="59">
        <v>15985000</v>
      </c>
      <c r="VI12" s="59">
        <v>16350000</v>
      </c>
      <c r="VJ12" s="59">
        <v>15964000</v>
      </c>
      <c r="VK12" s="59">
        <v>15760000</v>
      </c>
      <c r="VL12" s="59">
        <v>15760000</v>
      </c>
      <c r="VM12" s="59">
        <v>15378000</v>
      </c>
      <c r="VN12" s="59">
        <v>15332000</v>
      </c>
      <c r="VO12" s="59">
        <v>15174000</v>
      </c>
      <c r="VP12" s="59">
        <v>15174000</v>
      </c>
      <c r="VQ12" s="59">
        <v>15128000</v>
      </c>
      <c r="VR12" s="59">
        <v>15036000</v>
      </c>
      <c r="VS12" s="59">
        <v>14769000</v>
      </c>
      <c r="VT12" s="59">
        <v>14500000</v>
      </c>
      <c r="VU12" s="59">
        <v>14322000</v>
      </c>
      <c r="VV12" s="59">
        <v>14184000</v>
      </c>
      <c r="VW12" s="59">
        <v>15689000</v>
      </c>
      <c r="VX12" s="59">
        <v>15689000</v>
      </c>
      <c r="VY12" s="59">
        <v>15689000</v>
      </c>
      <c r="VZ12" s="59">
        <v>15373000</v>
      </c>
      <c r="WA12" s="140"/>
      <c r="WB12" s="59">
        <v>15557000</v>
      </c>
      <c r="WC12" s="59">
        <v>15172000</v>
      </c>
      <c r="WD12" s="59">
        <v>15037000</v>
      </c>
      <c r="WE12" s="59">
        <v>14698000</v>
      </c>
      <c r="WF12" s="59">
        <v>14609000</v>
      </c>
      <c r="WG12" s="59">
        <v>14471000</v>
      </c>
      <c r="WH12" s="59">
        <v>14313000</v>
      </c>
      <c r="WI12" s="59">
        <v>14267000</v>
      </c>
      <c r="WJ12" s="59">
        <v>14267000</v>
      </c>
      <c r="WK12" s="59">
        <v>14221000</v>
      </c>
      <c r="WL12" s="59">
        <v>15393000</v>
      </c>
      <c r="WM12" s="59">
        <v>15393000</v>
      </c>
      <c r="WN12" s="59">
        <v>15255000</v>
      </c>
      <c r="WO12" s="59">
        <v>15488000</v>
      </c>
      <c r="WP12" s="59">
        <v>15488000</v>
      </c>
      <c r="WQ12" s="59">
        <v>15354000</v>
      </c>
      <c r="WR12" s="59">
        <v>15150000</v>
      </c>
      <c r="WS12" s="59">
        <v>15150000</v>
      </c>
      <c r="WT12" s="59">
        <v>15150000</v>
      </c>
      <c r="WU12" s="59">
        <v>15150000</v>
      </c>
      <c r="WV12" s="59">
        <v>15058000</v>
      </c>
      <c r="WW12" s="59">
        <v>14966000</v>
      </c>
      <c r="WX12" s="59">
        <v>14874000</v>
      </c>
      <c r="WY12" s="59">
        <v>14874000</v>
      </c>
      <c r="WZ12" s="59">
        <v>14874000</v>
      </c>
      <c r="XA12" s="59">
        <v>15058000</v>
      </c>
      <c r="XB12" s="59">
        <v>14969000</v>
      </c>
      <c r="XC12" s="59">
        <v>14719000</v>
      </c>
      <c r="XD12" s="59">
        <v>14630000</v>
      </c>
      <c r="XE12" s="59">
        <v>14189000</v>
      </c>
      <c r="XF12" s="59">
        <v>14143000</v>
      </c>
      <c r="XG12" s="140"/>
      <c r="XH12" s="59">
        <v>14143000</v>
      </c>
      <c r="XI12" s="59">
        <v>13791000</v>
      </c>
      <c r="XJ12" s="59">
        <v>14274000</v>
      </c>
      <c r="XK12" s="59">
        <v>14274000</v>
      </c>
      <c r="XL12" s="59">
        <v>14274000</v>
      </c>
      <c r="XM12" s="59">
        <v>14512000</v>
      </c>
      <c r="XN12" s="59">
        <v>14512000</v>
      </c>
      <c r="XO12" s="59">
        <v>14466000</v>
      </c>
      <c r="XP12" s="59">
        <v>14420000</v>
      </c>
      <c r="XQ12" s="59">
        <v>14096500</v>
      </c>
      <c r="XR12" s="59">
        <v>14096500</v>
      </c>
      <c r="XS12" s="59">
        <v>15003000</v>
      </c>
      <c r="XT12" s="59">
        <v>14911000</v>
      </c>
      <c r="XU12" s="59">
        <v>14679000</v>
      </c>
      <c r="XV12" s="59">
        <v>14679500</v>
      </c>
      <c r="XW12" s="59">
        <v>14544500</v>
      </c>
      <c r="XX12" s="59">
        <v>14498500</v>
      </c>
      <c r="XY12" s="59">
        <v>14274500</v>
      </c>
      <c r="XZ12" s="59">
        <v>14274500</v>
      </c>
      <c r="YA12" s="59">
        <v>14185500</v>
      </c>
      <c r="YB12" s="59">
        <v>14185500</v>
      </c>
      <c r="YC12" s="59">
        <v>14185500</v>
      </c>
      <c r="YD12" s="59">
        <v>14185500</v>
      </c>
      <c r="YE12" s="59">
        <v>14641000</v>
      </c>
      <c r="YF12" s="59">
        <v>14595000</v>
      </c>
      <c r="YG12" s="59">
        <v>15000000</v>
      </c>
      <c r="YH12" s="59">
        <v>15000000</v>
      </c>
      <c r="YI12" s="59">
        <v>14590720</v>
      </c>
      <c r="YJ12" s="59">
        <v>14366720</v>
      </c>
      <c r="YK12" s="59">
        <v>14224220</v>
      </c>
      <c r="YL12" s="130"/>
      <c r="YM12" s="59">
        <v>14178220</v>
      </c>
      <c r="YN12" s="59">
        <v>14040220</v>
      </c>
      <c r="YO12" s="59">
        <v>14040220</v>
      </c>
      <c r="YP12" s="59">
        <v>14040220</v>
      </c>
      <c r="YQ12" s="59">
        <v>14716220</v>
      </c>
      <c r="YR12" s="59">
        <v>14716220</v>
      </c>
      <c r="YS12" s="59">
        <v>14624220</v>
      </c>
      <c r="YT12" s="59">
        <v>14401220</v>
      </c>
      <c r="YU12" s="59">
        <v>14355220</v>
      </c>
      <c r="YV12" s="59">
        <v>14309220</v>
      </c>
      <c r="YW12" s="59">
        <v>14678720</v>
      </c>
      <c r="YX12" s="59">
        <v>14678720</v>
      </c>
      <c r="YY12" s="59">
        <v>14678720</v>
      </c>
      <c r="YZ12" s="59">
        <v>14678000</v>
      </c>
      <c r="ZA12" s="59">
        <v>14678000</v>
      </c>
      <c r="ZB12" s="59">
        <v>14678000</v>
      </c>
      <c r="ZC12" s="59">
        <v>14724720</v>
      </c>
      <c r="ZD12" s="59">
        <v>14586720</v>
      </c>
      <c r="ZE12" s="59">
        <v>14540720</v>
      </c>
      <c r="ZF12" s="59">
        <v>14309220</v>
      </c>
      <c r="ZG12" s="59">
        <v>14220220</v>
      </c>
      <c r="ZH12" s="59">
        <v>14085220</v>
      </c>
      <c r="ZI12" s="59">
        <v>13772220</v>
      </c>
      <c r="ZJ12" s="59">
        <v>13680220</v>
      </c>
      <c r="ZK12" s="59">
        <v>13634220</v>
      </c>
      <c r="ZL12" s="59">
        <v>13953220</v>
      </c>
      <c r="ZM12" s="59">
        <v>13764720</v>
      </c>
      <c r="ZN12" s="59">
        <v>13583720</v>
      </c>
      <c r="ZO12" s="59">
        <v>13360720</v>
      </c>
      <c r="ZP12" s="59">
        <v>13225720</v>
      </c>
      <c r="ZQ12" s="59">
        <v>13136720</v>
      </c>
      <c r="ZR12" s="130"/>
      <c r="ZS12" s="59">
        <v>13001720</v>
      </c>
      <c r="ZT12" s="59">
        <v>12912720</v>
      </c>
      <c r="ZU12" s="59">
        <v>13964720</v>
      </c>
      <c r="ZV12" s="59">
        <v>13875720</v>
      </c>
      <c r="ZW12" s="59">
        <v>13829720</v>
      </c>
      <c r="ZX12" s="59">
        <v>13641220</v>
      </c>
      <c r="ZY12" s="59">
        <v>13506220</v>
      </c>
      <c r="ZZ12" s="59">
        <v>14224220</v>
      </c>
      <c r="AAA12" s="59">
        <v>14045220</v>
      </c>
      <c r="AAB12" s="59">
        <v>14045220</v>
      </c>
      <c r="AAC12" s="59">
        <v>13726226</v>
      </c>
      <c r="AAD12" s="59">
        <v>13680220</v>
      </c>
      <c r="AAE12" s="59">
        <v>13537720</v>
      </c>
      <c r="AAF12" s="59">
        <v>13537720</v>
      </c>
      <c r="AAG12" s="59">
        <v>13356720</v>
      </c>
      <c r="AAH12" s="59">
        <v>14402220</v>
      </c>
      <c r="AAI12" s="59">
        <v>14313220</v>
      </c>
      <c r="AAJ12" s="59">
        <v>14086220</v>
      </c>
      <c r="AAK12" s="59">
        <v>13997220</v>
      </c>
      <c r="AAL12" s="59">
        <v>13997220</v>
      </c>
      <c r="AAM12" s="59">
        <v>13997220</v>
      </c>
      <c r="AAN12" s="59">
        <v>13951220</v>
      </c>
      <c r="AAO12" s="59">
        <v>14451220</v>
      </c>
      <c r="AAP12" s="59">
        <v>14451220</v>
      </c>
      <c r="AAQ12" s="59">
        <v>14362220</v>
      </c>
      <c r="AAR12" s="59">
        <v>14273220</v>
      </c>
      <c r="AAS12" s="59">
        <v>14138220</v>
      </c>
      <c r="AAT12" s="59">
        <v>14138220</v>
      </c>
      <c r="AAU12" s="59">
        <v>14092220</v>
      </c>
      <c r="AAV12" s="59">
        <v>14046220</v>
      </c>
      <c r="AAW12" s="130"/>
      <c r="AAX12" s="59">
        <v>14046220</v>
      </c>
      <c r="AAY12" s="59">
        <v>14000220</v>
      </c>
      <c r="AAZ12" s="59">
        <v>13866220</v>
      </c>
      <c r="ABA12" s="59">
        <v>13866220</v>
      </c>
      <c r="ABB12" s="59">
        <v>14591720</v>
      </c>
      <c r="ABC12" s="59">
        <v>14591720</v>
      </c>
      <c r="ABD12" s="59">
        <v>14367720</v>
      </c>
      <c r="ABE12" s="59">
        <v>14047220</v>
      </c>
      <c r="ABF12" s="59">
        <v>13955220</v>
      </c>
      <c r="ABG12" s="59">
        <v>13685220</v>
      </c>
      <c r="ABH12" s="59">
        <v>13685220</v>
      </c>
      <c r="ABI12" s="59">
        <v>13639220</v>
      </c>
      <c r="ABJ12" s="59">
        <v>14005720</v>
      </c>
      <c r="ABK12" s="59">
        <v>13916720</v>
      </c>
      <c r="ABL12" s="59">
        <v>13916720</v>
      </c>
      <c r="ABM12" s="59">
        <v>13824720</v>
      </c>
      <c r="ABN12" s="59">
        <v>13824720</v>
      </c>
      <c r="ABO12" s="59">
        <v>14413720</v>
      </c>
      <c r="ABP12" s="59">
        <v>14367720</v>
      </c>
      <c r="ABQ12" s="59">
        <v>14143720</v>
      </c>
      <c r="ABR12" s="59">
        <v>13965720</v>
      </c>
      <c r="ABS12" s="59">
        <v>13873720</v>
      </c>
      <c r="ABT12" s="59">
        <v>13603720</v>
      </c>
      <c r="ABU12" s="59">
        <v>13511720</v>
      </c>
      <c r="ABV12" s="59">
        <v>13240720</v>
      </c>
      <c r="ABW12" s="59">
        <v>13240720</v>
      </c>
      <c r="ABX12" s="59">
        <v>13194720</v>
      </c>
      <c r="ABY12" s="59">
        <v>14004720</v>
      </c>
      <c r="ABZ12" s="59">
        <v>13773220</v>
      </c>
      <c r="ACA12" s="59">
        <v>13727220</v>
      </c>
      <c r="ACB12" s="59">
        <v>13638220</v>
      </c>
      <c r="ACC12" s="130"/>
      <c r="ACD12" s="59">
        <v>14100720</v>
      </c>
      <c r="ACE12" s="59">
        <v>14100720</v>
      </c>
      <c r="ACF12" s="59">
        <v>14100720</v>
      </c>
      <c r="ACG12" s="59">
        <v>14100720</v>
      </c>
      <c r="ACH12" s="59">
        <v>14100720</v>
      </c>
      <c r="ACI12" s="59">
        <v>13962720</v>
      </c>
      <c r="ACJ12" s="59">
        <v>13916720</v>
      </c>
      <c r="ACK12" s="59">
        <v>14367720</v>
      </c>
      <c r="ACL12" s="59">
        <v>14225220</v>
      </c>
      <c r="ACM12" s="59">
        <v>14225220</v>
      </c>
      <c r="ACN12" s="59">
        <v>14082720</v>
      </c>
      <c r="ACO12" s="59">
        <v>13947720</v>
      </c>
      <c r="ACP12" s="59">
        <v>13947720</v>
      </c>
      <c r="ACQ12" s="59">
        <v>13947720</v>
      </c>
      <c r="ACR12" s="59">
        <v>13947720</v>
      </c>
      <c r="ACS12" s="59">
        <v>13947720</v>
      </c>
      <c r="ACT12" s="59">
        <v>13812720</v>
      </c>
      <c r="ACU12" s="59">
        <v>13720720</v>
      </c>
      <c r="ACV12" s="59">
        <v>13674720</v>
      </c>
      <c r="ACW12" s="59">
        <v>13674720</v>
      </c>
      <c r="ACX12" s="59">
        <v>14136220</v>
      </c>
      <c r="ACY12" s="59">
        <v>14136220</v>
      </c>
      <c r="ACZ12" s="59">
        <v>14136220</v>
      </c>
      <c r="ADA12" s="59">
        <v>13955220</v>
      </c>
      <c r="ADB12" s="59">
        <v>13909220</v>
      </c>
      <c r="ADC12" s="59">
        <v>13639220</v>
      </c>
      <c r="ADD12" s="59">
        <v>13404720</v>
      </c>
      <c r="ADE12" s="59">
        <v>13358720</v>
      </c>
      <c r="ADF12" s="59">
        <v>13216220</v>
      </c>
      <c r="ADG12" s="59">
        <v>13170220</v>
      </c>
      <c r="ADH12" s="59">
        <v>13035220</v>
      </c>
      <c r="ADI12" s="130"/>
      <c r="ADJ12" s="59">
        <v>14360220</v>
      </c>
      <c r="ADK12" s="59">
        <v>14314220</v>
      </c>
      <c r="ADL12" s="59">
        <v>14225220</v>
      </c>
      <c r="ADM12" s="59">
        <v>14225220</v>
      </c>
      <c r="ADN12" s="59">
        <v>14136220</v>
      </c>
      <c r="ADO12" s="59">
        <v>14001220</v>
      </c>
      <c r="ADP12" s="59">
        <v>14456720</v>
      </c>
      <c r="ADQ12" s="59">
        <v>14318720</v>
      </c>
      <c r="ADR12" s="59">
        <v>14318720</v>
      </c>
      <c r="ADS12" s="59">
        <v>14272720</v>
      </c>
      <c r="ADT12" s="59">
        <v>14272720</v>
      </c>
      <c r="ADU12" s="59">
        <v>14180720</v>
      </c>
      <c r="ADV12" s="59">
        <v>14088720</v>
      </c>
      <c r="ADW12" s="59">
        <v>14088720</v>
      </c>
      <c r="ADX12" s="59">
        <v>13953720</v>
      </c>
      <c r="ADY12" s="59">
        <v>14038220</v>
      </c>
      <c r="ADZ12" s="59">
        <v>13900220</v>
      </c>
      <c r="AEA12" s="59">
        <v>13854220</v>
      </c>
      <c r="AEB12" s="59">
        <v>13854220</v>
      </c>
      <c r="AEC12" s="59">
        <v>14412720</v>
      </c>
      <c r="AED12" s="59">
        <v>14412720</v>
      </c>
      <c r="AEE12" s="59">
        <v>14366720</v>
      </c>
      <c r="AEF12" s="59">
        <v>14320720</v>
      </c>
      <c r="AEG12" s="59">
        <v>14320720</v>
      </c>
      <c r="AEH12" s="59">
        <v>14320720</v>
      </c>
      <c r="AEI12" s="59">
        <v>14231720</v>
      </c>
      <c r="AEJ12" s="59">
        <v>14139720</v>
      </c>
      <c r="AEK12" s="59">
        <v>14004720</v>
      </c>
      <c r="AEL12" s="59">
        <v>13915720</v>
      </c>
      <c r="AEM12" s="59">
        <v>13780720</v>
      </c>
      <c r="AEN12" s="130"/>
      <c r="AEO12" s="59">
        <v>13645720</v>
      </c>
      <c r="AEP12" s="59">
        <v>13645720</v>
      </c>
      <c r="AEQ12" s="59">
        <v>13961772</v>
      </c>
      <c r="AER12" s="59">
        <v>13915720</v>
      </c>
      <c r="AES12" s="59">
        <v>13692720</v>
      </c>
      <c r="AET12" s="59">
        <v>13646720</v>
      </c>
      <c r="AEU12" s="59">
        <v>13646720</v>
      </c>
      <c r="AEV12" s="59">
        <v>13557720</v>
      </c>
      <c r="AEW12" s="59">
        <v>13422720</v>
      </c>
      <c r="AEX12" s="59">
        <v>13422720</v>
      </c>
      <c r="AEY12" s="59">
        <v>13422720</v>
      </c>
      <c r="AEZ12" s="59">
        <v>13330720</v>
      </c>
      <c r="AFA12" s="59">
        <v>14141720</v>
      </c>
      <c r="AFB12" s="59">
        <v>14006720</v>
      </c>
      <c r="AFC12" s="59">
        <v>13818220</v>
      </c>
      <c r="AFD12" s="59">
        <v>13818220</v>
      </c>
      <c r="AFE12" s="59">
        <v>13680220</v>
      </c>
      <c r="AFF12" s="59">
        <v>13680220</v>
      </c>
      <c r="AFG12" s="59">
        <v>14276720</v>
      </c>
      <c r="AFH12" s="59">
        <v>14184720</v>
      </c>
      <c r="AFI12" s="59">
        <v>14184720</v>
      </c>
      <c r="AFJ12" s="59">
        <v>14006720</v>
      </c>
      <c r="AFK12" s="59">
        <v>14006720</v>
      </c>
      <c r="AFL12" s="59">
        <v>14006720</v>
      </c>
      <c r="AFM12" s="59">
        <v>14006720</v>
      </c>
      <c r="AFN12" s="59">
        <v>13914720</v>
      </c>
      <c r="AFO12" s="59">
        <v>13733720</v>
      </c>
      <c r="AFP12" s="59">
        <v>13644720</v>
      </c>
      <c r="AFQ12" s="59">
        <v>13828720</v>
      </c>
      <c r="AFR12" s="59">
        <v>13828720</v>
      </c>
      <c r="AFS12" s="59">
        <v>13420720</v>
      </c>
      <c r="AFT12" s="130"/>
      <c r="AFU12" s="59">
        <v>14319720</v>
      </c>
      <c r="AFV12" s="59">
        <v>14273720</v>
      </c>
      <c r="AFW12" s="59">
        <v>14138720</v>
      </c>
      <c r="AFX12" s="59">
        <v>14092740</v>
      </c>
      <c r="AFY12" s="59">
        <v>14046720</v>
      </c>
      <c r="AFZ12" s="59">
        <v>14000720</v>
      </c>
      <c r="AGA12" s="59">
        <v>14457720</v>
      </c>
      <c r="AGB12" s="59">
        <v>14411720</v>
      </c>
      <c r="AGC12" s="59">
        <v>14276720</v>
      </c>
      <c r="AGD12" s="59">
        <v>14230720</v>
      </c>
      <c r="AGE12" s="59">
        <v>14230720</v>
      </c>
      <c r="AGF12" s="59">
        <v>14230720</v>
      </c>
      <c r="AGG12" s="59">
        <v>14006720</v>
      </c>
      <c r="AGH12" s="59">
        <v>14006720</v>
      </c>
      <c r="AGI12" s="59">
        <v>14006720</v>
      </c>
      <c r="AGJ12" s="59">
        <v>14006720</v>
      </c>
      <c r="AGK12" s="59">
        <v>14457720</v>
      </c>
      <c r="AGL12" s="59">
        <v>14457720</v>
      </c>
      <c r="AGM12" s="59">
        <v>14457720</v>
      </c>
      <c r="AGN12" s="59">
        <v>14365720</v>
      </c>
      <c r="AGO12" s="59">
        <v>14276720</v>
      </c>
      <c r="AGP12" s="59">
        <v>14184720</v>
      </c>
      <c r="AGQ12" s="59">
        <v>14184720</v>
      </c>
      <c r="AGR12" s="59">
        <v>14184720</v>
      </c>
      <c r="AGS12" s="59">
        <v>14052720</v>
      </c>
      <c r="AGT12" s="59">
        <v>13871720</v>
      </c>
      <c r="AGU12" s="59">
        <v>13825720</v>
      </c>
      <c r="AGV12" s="59">
        <v>13241720</v>
      </c>
      <c r="AGW12" s="59">
        <v>13007220</v>
      </c>
      <c r="AGX12" s="59">
        <v>13685220</v>
      </c>
      <c r="AGY12" s="140"/>
      <c r="AGZ12" s="59">
        <v>13685220</v>
      </c>
      <c r="AHA12" s="59">
        <v>13415220</v>
      </c>
      <c r="AHB12" s="59">
        <v>13415220</v>
      </c>
      <c r="AHC12" s="59">
        <v>13280220</v>
      </c>
      <c r="AHD12" s="59">
        <v>13280220</v>
      </c>
      <c r="AHE12" s="59">
        <v>14503720</v>
      </c>
      <c r="AHF12" s="59">
        <v>14457720</v>
      </c>
      <c r="AHG12" s="59">
        <v>14457720</v>
      </c>
      <c r="AHH12" s="59">
        <v>14457720</v>
      </c>
      <c r="AHI12" s="59">
        <v>14190720</v>
      </c>
      <c r="AHJ12" s="59">
        <v>14190720</v>
      </c>
      <c r="AHK12" s="59">
        <v>14144720</v>
      </c>
      <c r="AHL12" s="59">
        <v>14144720</v>
      </c>
      <c r="AHM12" s="59">
        <v>13960720</v>
      </c>
      <c r="AHN12" s="59">
        <v>13914720</v>
      </c>
      <c r="AHO12" s="59">
        <v>13914720</v>
      </c>
      <c r="AHP12" s="59">
        <v>14181720</v>
      </c>
      <c r="AHQ12" s="59">
        <v>14181720</v>
      </c>
      <c r="AHR12" s="59">
        <v>13993220</v>
      </c>
      <c r="AHS12" s="59">
        <v>13766220</v>
      </c>
      <c r="AHT12" s="59">
        <v>13588220</v>
      </c>
      <c r="AHU12" s="59">
        <v>13496220</v>
      </c>
      <c r="AHV12" s="59">
        <v>13144220</v>
      </c>
      <c r="AHW12" s="59">
        <v>12872220</v>
      </c>
      <c r="AHX12" s="59">
        <v>12737220</v>
      </c>
      <c r="AHY12" s="59">
        <v>12737220</v>
      </c>
      <c r="AHZ12" s="59">
        <v>12691220</v>
      </c>
      <c r="AIA12" s="59">
        <v>12599220</v>
      </c>
      <c r="AIB12" s="59">
        <v>12553220</v>
      </c>
      <c r="AIC12" s="59">
        <v>12418220</v>
      </c>
      <c r="AID12" s="59">
        <v>12418220</v>
      </c>
      <c r="AIE12" s="130"/>
      <c r="AIF12" s="59">
        <v>12326220</v>
      </c>
      <c r="AIG12" s="59">
        <v>12280220</v>
      </c>
      <c r="AIH12" s="59">
        <v>12234220</v>
      </c>
      <c r="AII12" s="59">
        <v>12234220</v>
      </c>
      <c r="AIJ12" s="59">
        <v>13339720</v>
      </c>
      <c r="AIK12" s="59">
        <v>13151220</v>
      </c>
      <c r="AIL12" s="59">
        <v>13151220</v>
      </c>
      <c r="AIM12" s="59">
        <v>13151220</v>
      </c>
      <c r="AIN12" s="59">
        <v>13058220</v>
      </c>
      <c r="AIO12" s="59">
        <v>13013220</v>
      </c>
      <c r="AIP12" s="59">
        <v>12967220</v>
      </c>
      <c r="AIQ12" s="59">
        <v>12921220</v>
      </c>
      <c r="AIR12" s="59">
        <v>13648220</v>
      </c>
      <c r="AIS12" s="59">
        <v>13559220</v>
      </c>
      <c r="AIT12" s="59">
        <v>13467220</v>
      </c>
      <c r="AIU12" s="59">
        <v>13467220</v>
      </c>
      <c r="AIV12" s="59">
        <v>13242220</v>
      </c>
      <c r="AIW12" s="59">
        <v>13150220</v>
      </c>
      <c r="AIX12" s="59">
        <v>13150220</v>
      </c>
      <c r="AIY12" s="59">
        <v>14145220</v>
      </c>
      <c r="AIZ12" s="59">
        <v>14007220</v>
      </c>
      <c r="AJA12" s="59">
        <v>14007220</v>
      </c>
      <c r="AJB12" s="59">
        <v>14007220</v>
      </c>
      <c r="AJC12" s="59">
        <v>13918220</v>
      </c>
      <c r="AJD12" s="59">
        <v>13826220</v>
      </c>
      <c r="AJE12" s="59">
        <v>13826220</v>
      </c>
      <c r="AJF12" s="59">
        <v>13780220</v>
      </c>
      <c r="AJG12" s="59">
        <v>13556220</v>
      </c>
      <c r="AJH12" s="59">
        <v>13375220</v>
      </c>
      <c r="AJI12" s="59">
        <v>13329220</v>
      </c>
      <c r="AJJ12" s="59">
        <v>13237220</v>
      </c>
      <c r="AJK12" s="145"/>
      <c r="AJL12" s="59">
        <v>13013220</v>
      </c>
      <c r="AJM12" s="59">
        <v>13744720</v>
      </c>
      <c r="AJN12" s="59">
        <v>13698720</v>
      </c>
      <c r="AJO12" s="59">
        <v>14056220</v>
      </c>
      <c r="AJP12" s="59">
        <v>14056220</v>
      </c>
      <c r="AJQ12" s="59">
        <v>14109720</v>
      </c>
      <c r="AJR12" s="59">
        <v>14017720</v>
      </c>
      <c r="AJS12" s="59">
        <v>13830726</v>
      </c>
      <c r="AJT12" s="59">
        <v>13790720</v>
      </c>
      <c r="AJU12" s="59">
        <v>13698720</v>
      </c>
      <c r="AJV12" s="59">
        <v>13698720</v>
      </c>
      <c r="AJW12" s="59">
        <v>13563720</v>
      </c>
      <c r="AJX12" s="59">
        <v>13563720</v>
      </c>
      <c r="AJY12" s="59">
        <v>13201720</v>
      </c>
      <c r="AJZ12" s="59">
        <v>13201720</v>
      </c>
      <c r="AKA12" s="59">
        <v>13470220</v>
      </c>
      <c r="AKB12" s="59">
        <v>13424220</v>
      </c>
      <c r="AKC12" s="59">
        <v>13335220</v>
      </c>
      <c r="AKD12" s="59">
        <v>13200220</v>
      </c>
      <c r="AKE12" s="59">
        <v>13200220</v>
      </c>
      <c r="AKF12" s="59">
        <v>14056220</v>
      </c>
      <c r="AKG12" s="59">
        <v>13964220</v>
      </c>
      <c r="AKH12" s="59">
        <v>13732720</v>
      </c>
      <c r="AKI12" s="59">
        <v>13732720</v>
      </c>
      <c r="AKJ12" s="59">
        <v>13643720</v>
      </c>
      <c r="AKK12" s="59">
        <v>13643720</v>
      </c>
      <c r="AKL12" s="59">
        <v>13505720</v>
      </c>
      <c r="AKM12" s="59">
        <v>13459720</v>
      </c>
      <c r="AKN12" s="53"/>
      <c r="AKO12" s="59">
        <v>13459720</v>
      </c>
      <c r="AKP12" s="59">
        <v>14106720</v>
      </c>
      <c r="AKQ12" s="59">
        <v>14106720</v>
      </c>
      <c r="AKR12" s="59">
        <v>14106720</v>
      </c>
      <c r="AKS12" s="59">
        <v>14014720</v>
      </c>
      <c r="AKT12" s="59">
        <v>14106720</v>
      </c>
      <c r="AKU12" s="59">
        <v>13833720</v>
      </c>
      <c r="AKV12" s="59">
        <v>13698720</v>
      </c>
      <c r="AKW12" s="59">
        <v>13698720</v>
      </c>
      <c r="AKX12" s="59">
        <v>13606720</v>
      </c>
      <c r="AKY12" s="59">
        <v>13700720</v>
      </c>
      <c r="AKZ12" s="59">
        <v>13654720</v>
      </c>
      <c r="ALA12" s="59">
        <v>13608720</v>
      </c>
      <c r="ALB12" s="59">
        <v>13519720</v>
      </c>
      <c r="ALC12" s="59">
        <v>13377220</v>
      </c>
      <c r="ALD12" s="59">
        <v>13377220</v>
      </c>
      <c r="ALE12" s="59">
        <v>13288220</v>
      </c>
      <c r="ALF12" s="59">
        <v>13920220</v>
      </c>
      <c r="ALG12" s="59">
        <v>13920220</v>
      </c>
      <c r="ALH12" s="59">
        <v>13786220</v>
      </c>
      <c r="ALI12" s="59">
        <v>13697220</v>
      </c>
      <c r="ALJ12" s="59">
        <v>13651220</v>
      </c>
      <c r="ALK12" s="59">
        <v>13562220</v>
      </c>
      <c r="ALL12" s="59">
        <v>13473220</v>
      </c>
      <c r="ALM12" s="59">
        <v>13335220</v>
      </c>
      <c r="ALN12" s="59">
        <v>13335220</v>
      </c>
      <c r="ALO12" s="59">
        <v>13246220</v>
      </c>
      <c r="ALP12" s="59">
        <v>13154220</v>
      </c>
      <c r="ALQ12" s="59">
        <v>12973220</v>
      </c>
      <c r="ALR12" s="59">
        <v>12973220</v>
      </c>
      <c r="ALS12" s="59">
        <v>12884220</v>
      </c>
      <c r="ALT12" s="130"/>
      <c r="ALU12" s="59">
        <v>12838220</v>
      </c>
      <c r="ALV12" s="59">
        <v>12838220</v>
      </c>
      <c r="ALW12" s="59">
        <v>12749220</v>
      </c>
      <c r="ALX12" s="59">
        <v>12425720</v>
      </c>
      <c r="ALY12" s="59">
        <v>12155720</v>
      </c>
      <c r="ALZ12" s="59">
        <v>14629720</v>
      </c>
      <c r="AMA12" s="59">
        <v>14626720</v>
      </c>
      <c r="AMB12" s="59">
        <v>14313720</v>
      </c>
      <c r="AMC12" s="59">
        <v>16535720</v>
      </c>
      <c r="AMD12" s="59">
        <v>16535720</v>
      </c>
      <c r="AME12" s="59">
        <v>16489720</v>
      </c>
      <c r="AMF12" s="59">
        <v>16489720</v>
      </c>
      <c r="AMG12" s="59">
        <v>16397720</v>
      </c>
      <c r="AMH12" s="59">
        <v>16216720</v>
      </c>
      <c r="AMI12" s="59">
        <v>16127720</v>
      </c>
      <c r="AMJ12" s="59">
        <v>15769720</v>
      </c>
      <c r="AMK12" s="59">
        <v>15769720</v>
      </c>
      <c r="AML12" s="59">
        <v>15680720</v>
      </c>
      <c r="AMM12" s="59">
        <v>15502720</v>
      </c>
      <c r="AMN12" s="59">
        <v>15456720</v>
      </c>
      <c r="AMO12" s="59">
        <v>15364720</v>
      </c>
      <c r="AMP12" s="59">
        <v>15137720</v>
      </c>
      <c r="AMQ12" s="59">
        <v>15456720</v>
      </c>
      <c r="AMR12" s="59">
        <v>17182720</v>
      </c>
      <c r="AMS12" s="59">
        <v>17182720</v>
      </c>
      <c r="AMT12" s="59">
        <v>17182720</v>
      </c>
      <c r="AMU12" s="59">
        <v>17129720</v>
      </c>
      <c r="AMV12" s="59">
        <v>17129720</v>
      </c>
      <c r="AMW12" s="59">
        <v>16970720</v>
      </c>
      <c r="AMX12" s="59">
        <v>16765720</v>
      </c>
      <c r="AMY12" s="130"/>
      <c r="AMZ12" s="59">
        <v>16924720</v>
      </c>
      <c r="ANA12" s="59">
        <v>16818720</v>
      </c>
      <c r="ANB12" s="59">
        <v>16719720</v>
      </c>
      <c r="ANC12" s="59">
        <v>16613720</v>
      </c>
      <c r="AND12" s="59">
        <v>16514720</v>
      </c>
      <c r="ANE12" s="59">
        <v>16355720</v>
      </c>
      <c r="ANF12" s="59">
        <v>16355720</v>
      </c>
      <c r="ANG12" s="59">
        <v>16355720</v>
      </c>
      <c r="ANH12" s="59">
        <v>16355720</v>
      </c>
      <c r="ANI12" s="59">
        <v>16193220</v>
      </c>
      <c r="ANJ12" s="59">
        <v>16140220</v>
      </c>
      <c r="ANK12" s="59">
        <v>16140220</v>
      </c>
      <c r="ANL12" s="59">
        <v>16816220</v>
      </c>
      <c r="ANM12" s="59">
        <v>16420220</v>
      </c>
      <c r="ANN12" s="59">
        <v>16321220</v>
      </c>
      <c r="ANO12" s="59">
        <v>16268220</v>
      </c>
      <c r="ANP12" s="59">
        <v>16215220</v>
      </c>
      <c r="ANQ12" s="59">
        <v>16162220</v>
      </c>
      <c r="ANR12" s="59">
        <v>16162220</v>
      </c>
      <c r="ANS12" s="59">
        <v>16581720</v>
      </c>
      <c r="ANT12" s="59">
        <v>16581720</v>
      </c>
      <c r="ANU12" s="59">
        <v>16581720</v>
      </c>
      <c r="ANV12" s="59">
        <v>16482720</v>
      </c>
      <c r="ANW12" s="59">
        <v>16429720</v>
      </c>
      <c r="ANX12" s="59">
        <v>16376720</v>
      </c>
      <c r="ANY12" s="59">
        <v>16051720</v>
      </c>
      <c r="ANZ12" s="59">
        <v>15800720</v>
      </c>
      <c r="AOA12" s="59">
        <v>15602720</v>
      </c>
      <c r="AOB12" s="59">
        <v>15602720</v>
      </c>
      <c r="AOC12" s="59">
        <v>15602720</v>
      </c>
    </row>
    <row r="13" spans="1:1069" x14ac:dyDescent="0.2">
      <c r="A13" s="60"/>
      <c r="B13" s="61" t="s">
        <v>1644</v>
      </c>
      <c r="C13" s="62">
        <f t="shared" ref="C13:AH13" si="111">C12+C11+C10</f>
        <v>147473687.69999999</v>
      </c>
      <c r="D13" s="62">
        <f t="shared" si="111"/>
        <v>130926836</v>
      </c>
      <c r="E13" s="62">
        <f t="shared" si="111"/>
        <v>117506319</v>
      </c>
      <c r="F13" s="62">
        <f t="shared" si="111"/>
        <v>100348739</v>
      </c>
      <c r="G13" s="62">
        <f t="shared" si="111"/>
        <v>118854857.40000001</v>
      </c>
      <c r="H13" s="62">
        <f t="shared" si="111"/>
        <v>101188111</v>
      </c>
      <c r="I13" s="62">
        <f t="shared" si="111"/>
        <v>84444761</v>
      </c>
      <c r="J13" s="62">
        <f t="shared" si="111"/>
        <v>72683187</v>
      </c>
      <c r="K13" s="62">
        <f t="shared" si="111"/>
        <v>124851448</v>
      </c>
      <c r="L13" s="62">
        <f t="shared" si="111"/>
        <v>109903948</v>
      </c>
      <c r="M13" s="62">
        <f t="shared" si="111"/>
        <v>157482231</v>
      </c>
      <c r="N13" s="62">
        <f t="shared" si="111"/>
        <v>140966302</v>
      </c>
      <c r="O13" s="62">
        <f t="shared" si="111"/>
        <v>125575716</v>
      </c>
      <c r="P13" s="62">
        <f t="shared" si="111"/>
        <v>108812884</v>
      </c>
      <c r="Q13" s="62">
        <f t="shared" si="111"/>
        <v>156190870</v>
      </c>
      <c r="R13" s="62">
        <f t="shared" si="111"/>
        <v>141648192</v>
      </c>
      <c r="S13" s="62">
        <f t="shared" si="111"/>
        <v>124043455</v>
      </c>
      <c r="T13" s="62">
        <f t="shared" si="111"/>
        <v>106718267</v>
      </c>
      <c r="U13" s="62">
        <f t="shared" si="111"/>
        <v>92040029</v>
      </c>
      <c r="V13" s="62">
        <f t="shared" si="111"/>
        <v>77885306</v>
      </c>
      <c r="W13" s="62">
        <f t="shared" si="111"/>
        <v>145645538</v>
      </c>
      <c r="X13" s="62">
        <f t="shared" si="111"/>
        <v>131188403</v>
      </c>
      <c r="Y13" s="62">
        <f t="shared" si="111"/>
        <v>116442435</v>
      </c>
      <c r="Z13" s="62">
        <f t="shared" si="111"/>
        <v>100870983</v>
      </c>
      <c r="AA13" s="62">
        <f t="shared" si="111"/>
        <v>127588395</v>
      </c>
      <c r="AB13" s="62">
        <f t="shared" si="111"/>
        <v>157016785</v>
      </c>
      <c r="AC13" s="62">
        <f t="shared" si="111"/>
        <v>140435401</v>
      </c>
      <c r="AD13" s="62">
        <f t="shared" si="111"/>
        <v>125875670</v>
      </c>
      <c r="AE13" s="62">
        <f t="shared" si="111"/>
        <v>109684366</v>
      </c>
      <c r="AF13" s="62">
        <f t="shared" si="111"/>
        <v>97910022</v>
      </c>
      <c r="AG13" s="62">
        <f t="shared" si="111"/>
        <v>82302261</v>
      </c>
      <c r="AH13" s="67">
        <f t="shared" si="111"/>
        <v>82302261</v>
      </c>
      <c r="AI13" s="62">
        <f t="shared" ref="AI13:BN13" si="112">AI12+AI11+AI10</f>
        <v>107739443</v>
      </c>
      <c r="AJ13" s="62">
        <f t="shared" si="112"/>
        <v>152473605</v>
      </c>
      <c r="AK13" s="62">
        <f t="shared" si="112"/>
        <v>133570536</v>
      </c>
      <c r="AL13" s="62">
        <f t="shared" si="112"/>
        <v>114334015</v>
      </c>
      <c r="AM13" s="62">
        <f t="shared" si="112"/>
        <v>97328356</v>
      </c>
      <c r="AN13" s="62">
        <f t="shared" si="112"/>
        <v>140039889</v>
      </c>
      <c r="AO13" s="62">
        <f t="shared" si="112"/>
        <v>114621877</v>
      </c>
      <c r="AP13" s="62">
        <f t="shared" si="112"/>
        <v>90273242</v>
      </c>
      <c r="AQ13" s="62">
        <f t="shared" si="112"/>
        <v>120143450</v>
      </c>
      <c r="AR13" s="62">
        <f t="shared" si="112"/>
        <v>102320296</v>
      </c>
      <c r="AS13" s="62">
        <f t="shared" si="112"/>
        <v>85067941</v>
      </c>
      <c r="AT13" s="62">
        <f t="shared" si="112"/>
        <v>123350199</v>
      </c>
      <c r="AU13" s="62">
        <f t="shared" si="112"/>
        <v>113332601</v>
      </c>
      <c r="AV13" s="62">
        <f t="shared" si="112"/>
        <v>160800010</v>
      </c>
      <c r="AW13" s="62">
        <f t="shared" si="112"/>
        <v>144404548</v>
      </c>
      <c r="AX13" s="62">
        <f t="shared" si="112"/>
        <v>127647313</v>
      </c>
      <c r="AY13" s="62">
        <f t="shared" si="112"/>
        <v>112073822</v>
      </c>
      <c r="AZ13" s="62">
        <f t="shared" si="112"/>
        <v>95650329</v>
      </c>
      <c r="BA13" s="62">
        <f t="shared" si="112"/>
        <v>80423667</v>
      </c>
      <c r="BB13" s="62">
        <f t="shared" si="112"/>
        <v>176783442</v>
      </c>
      <c r="BC13" s="62">
        <f t="shared" si="112"/>
        <v>161682205</v>
      </c>
      <c r="BD13" s="62">
        <f t="shared" si="112"/>
        <v>143813605</v>
      </c>
      <c r="BE13" s="62">
        <f t="shared" si="112"/>
        <v>125219831</v>
      </c>
      <c r="BF13" s="62">
        <f t="shared" si="112"/>
        <v>110258781</v>
      </c>
      <c r="BG13" s="62">
        <f t="shared" si="112"/>
        <v>94446100</v>
      </c>
      <c r="BH13" s="62">
        <f t="shared" si="112"/>
        <v>162584643</v>
      </c>
      <c r="BI13" s="62">
        <f t="shared" si="112"/>
        <v>146284614</v>
      </c>
      <c r="BJ13" s="62">
        <f t="shared" si="112"/>
        <v>131051472</v>
      </c>
      <c r="BK13" s="62">
        <f t="shared" si="112"/>
        <v>114354412</v>
      </c>
      <c r="BL13" s="62">
        <f t="shared" si="112"/>
        <v>155481901</v>
      </c>
      <c r="BM13" s="107">
        <f t="shared" si="112"/>
        <v>155481901</v>
      </c>
      <c r="BN13" s="62">
        <f t="shared" si="112"/>
        <v>188002552</v>
      </c>
      <c r="BO13" s="62">
        <f t="shared" ref="BO13:CT13" si="113">BO12+BO11+BO10</f>
        <v>172473278</v>
      </c>
      <c r="BP13" s="62">
        <f t="shared" si="113"/>
        <v>156088649</v>
      </c>
      <c r="BQ13" s="62">
        <f t="shared" si="113"/>
        <v>141254318</v>
      </c>
      <c r="BR13" s="62">
        <f t="shared" si="113"/>
        <v>124224323</v>
      </c>
      <c r="BS13" s="62">
        <f t="shared" si="113"/>
        <v>106580180</v>
      </c>
      <c r="BT13" s="62">
        <f t="shared" si="113"/>
        <v>144424050</v>
      </c>
      <c r="BU13" s="62">
        <f t="shared" si="113"/>
        <v>129506267</v>
      </c>
      <c r="BV13" s="62">
        <f t="shared" si="113"/>
        <v>112843690</v>
      </c>
      <c r="BW13" s="62">
        <f t="shared" si="113"/>
        <v>98249395</v>
      </c>
      <c r="BX13" s="62">
        <f t="shared" si="113"/>
        <v>84362932</v>
      </c>
      <c r="BY13" s="62"/>
      <c r="BZ13" s="62">
        <f t="shared" ref="BZ13:CR13" si="114">BZ12+BZ11+BZ10</f>
        <v>85382895</v>
      </c>
      <c r="CA13" s="62">
        <f t="shared" si="114"/>
        <v>145728028</v>
      </c>
      <c r="CB13" s="62">
        <f t="shared" si="114"/>
        <v>131285913</v>
      </c>
      <c r="CC13" s="62">
        <f t="shared" si="114"/>
        <v>116446889</v>
      </c>
      <c r="CD13" s="62">
        <f t="shared" si="114"/>
        <v>99801783</v>
      </c>
      <c r="CE13" s="62">
        <f t="shared" si="114"/>
        <v>160918103</v>
      </c>
      <c r="CF13" s="62">
        <f t="shared" si="114"/>
        <v>153917362</v>
      </c>
      <c r="CG13" s="62">
        <f t="shared" si="114"/>
        <v>138891262</v>
      </c>
      <c r="CH13" s="62">
        <f t="shared" si="114"/>
        <v>191771902</v>
      </c>
      <c r="CI13" s="62">
        <f t="shared" si="114"/>
        <v>176869612</v>
      </c>
      <c r="CJ13" s="62">
        <f t="shared" si="114"/>
        <v>163077282</v>
      </c>
      <c r="CK13" s="62">
        <f t="shared" si="114"/>
        <v>147208499</v>
      </c>
      <c r="CL13" s="62">
        <f t="shared" si="114"/>
        <v>182292982</v>
      </c>
      <c r="CM13" s="62">
        <f t="shared" si="114"/>
        <v>168338182</v>
      </c>
      <c r="CN13" s="62">
        <f t="shared" si="114"/>
        <v>153702901</v>
      </c>
      <c r="CO13" s="62">
        <f t="shared" si="114"/>
        <v>176755013</v>
      </c>
      <c r="CP13" s="62">
        <f t="shared" si="114"/>
        <v>163912442</v>
      </c>
      <c r="CQ13" s="62">
        <f t="shared" si="114"/>
        <v>148253933</v>
      </c>
      <c r="CR13" s="62">
        <f t="shared" si="114"/>
        <v>133865934</v>
      </c>
      <c r="CS13" s="82">
        <f>SUM(BN13:CR13)</f>
        <v>4296430551</v>
      </c>
      <c r="CT13" s="62">
        <f t="shared" ref="CT13:DY13" si="115">CT12+CT11+CT10</f>
        <v>118807806</v>
      </c>
      <c r="CU13" s="62">
        <f t="shared" si="115"/>
        <v>167989645</v>
      </c>
      <c r="CV13" s="62">
        <f t="shared" si="115"/>
        <v>151873891</v>
      </c>
      <c r="CW13" s="62">
        <f t="shared" si="115"/>
        <v>130051862</v>
      </c>
      <c r="CX13" s="62">
        <f t="shared" si="115"/>
        <v>112658023</v>
      </c>
      <c r="CY13" s="62">
        <f t="shared" si="115"/>
        <v>97074987</v>
      </c>
      <c r="CZ13" s="62">
        <f t="shared" si="115"/>
        <v>176386026</v>
      </c>
      <c r="DA13" s="62">
        <f t="shared" si="115"/>
        <v>160335504</v>
      </c>
      <c r="DB13" s="62">
        <f t="shared" si="115"/>
        <v>143463163</v>
      </c>
      <c r="DC13" s="62">
        <f t="shared" si="115"/>
        <v>128240594</v>
      </c>
      <c r="DD13" s="62">
        <f t="shared" si="115"/>
        <v>169081824</v>
      </c>
      <c r="DE13" s="62">
        <f t="shared" si="115"/>
        <v>155160256</v>
      </c>
      <c r="DF13" s="62">
        <f t="shared" si="115"/>
        <v>143009299</v>
      </c>
      <c r="DG13" s="62">
        <f t="shared" si="115"/>
        <v>129149129</v>
      </c>
      <c r="DH13" s="62">
        <f t="shared" si="115"/>
        <v>161005508</v>
      </c>
      <c r="DI13" s="62">
        <f t="shared" si="115"/>
        <v>220732654</v>
      </c>
      <c r="DJ13" s="62">
        <f t="shared" si="115"/>
        <v>204443680</v>
      </c>
      <c r="DK13" s="62">
        <f t="shared" si="115"/>
        <v>188932291</v>
      </c>
      <c r="DL13" s="62">
        <f t="shared" si="115"/>
        <v>176453227</v>
      </c>
      <c r="DM13" s="62">
        <f t="shared" si="115"/>
        <v>159500263</v>
      </c>
      <c r="DN13" s="62">
        <f t="shared" si="115"/>
        <v>146966317</v>
      </c>
      <c r="DO13" s="62">
        <f t="shared" si="115"/>
        <v>130751000</v>
      </c>
      <c r="DP13" s="62">
        <f t="shared" si="115"/>
        <v>117103065</v>
      </c>
      <c r="DQ13" s="62">
        <f t="shared" si="115"/>
        <v>150756551</v>
      </c>
      <c r="DR13" s="62">
        <f t="shared" si="115"/>
        <v>178726924</v>
      </c>
      <c r="DS13" s="62">
        <f t="shared" si="115"/>
        <v>164584967</v>
      </c>
      <c r="DT13" s="62">
        <f t="shared" si="115"/>
        <v>149718194</v>
      </c>
      <c r="DU13" s="62">
        <f t="shared" si="115"/>
        <v>135234910</v>
      </c>
      <c r="DV13" s="62">
        <f t="shared" si="115"/>
        <v>121594283</v>
      </c>
      <c r="DW13" s="62">
        <f t="shared" si="115"/>
        <v>107274881</v>
      </c>
      <c r="DX13" s="62">
        <f t="shared" si="115"/>
        <v>68492670</v>
      </c>
      <c r="DY13" s="62">
        <f t="shared" si="115"/>
        <v>91071169</v>
      </c>
      <c r="DZ13" s="62">
        <f t="shared" ref="DZ13:FE13" si="116">DZ12+DZ11+DZ10</f>
        <v>75519405</v>
      </c>
      <c r="EA13" s="62">
        <f t="shared" si="116"/>
        <v>117269997</v>
      </c>
      <c r="EB13" s="62">
        <f t="shared" si="116"/>
        <v>104268412</v>
      </c>
      <c r="EC13" s="62">
        <f t="shared" si="116"/>
        <v>90016227</v>
      </c>
      <c r="ED13" s="62">
        <f t="shared" si="116"/>
        <v>75490905</v>
      </c>
      <c r="EE13" s="62">
        <f t="shared" si="116"/>
        <v>131942929</v>
      </c>
      <c r="EF13" s="62">
        <f t="shared" si="116"/>
        <v>115286272</v>
      </c>
      <c r="EG13" s="62">
        <f t="shared" si="116"/>
        <v>94286942</v>
      </c>
      <c r="EH13" s="62">
        <f t="shared" si="116"/>
        <v>78156235</v>
      </c>
      <c r="EI13" s="62">
        <f t="shared" si="116"/>
        <v>126440945</v>
      </c>
      <c r="EJ13" s="62">
        <f t="shared" si="116"/>
        <v>107576173</v>
      </c>
      <c r="EK13" s="62">
        <f t="shared" si="116"/>
        <v>92793234</v>
      </c>
      <c r="EL13" s="62">
        <f t="shared" si="116"/>
        <v>122654708</v>
      </c>
      <c r="EM13" s="62">
        <f t="shared" si="116"/>
        <v>150664994</v>
      </c>
      <c r="EN13" s="62">
        <f t="shared" si="116"/>
        <v>132233160</v>
      </c>
      <c r="EO13" s="62">
        <f t="shared" si="116"/>
        <v>115523667</v>
      </c>
      <c r="EP13" s="62">
        <f t="shared" si="116"/>
        <v>96365461</v>
      </c>
      <c r="EQ13" s="62">
        <f t="shared" si="116"/>
        <v>139322053</v>
      </c>
      <c r="ER13" s="62">
        <f t="shared" si="116"/>
        <v>182723374</v>
      </c>
      <c r="ES13" s="62">
        <f t="shared" si="116"/>
        <v>164077785</v>
      </c>
      <c r="ET13" s="62">
        <f t="shared" si="116"/>
        <v>141022053</v>
      </c>
      <c r="EU13" s="62">
        <f t="shared" si="116"/>
        <v>169446569</v>
      </c>
      <c r="EV13" s="62">
        <f t="shared" si="116"/>
        <v>149725999</v>
      </c>
      <c r="EW13" s="62">
        <f t="shared" si="116"/>
        <v>136667449</v>
      </c>
      <c r="EX13" s="62">
        <f t="shared" si="116"/>
        <v>123560429</v>
      </c>
      <c r="EY13" s="62">
        <f t="shared" si="116"/>
        <v>109779853</v>
      </c>
      <c r="EZ13" s="62">
        <f t="shared" si="116"/>
        <v>152703563</v>
      </c>
      <c r="FA13" s="62">
        <f t="shared" si="116"/>
        <v>183932399</v>
      </c>
      <c r="FB13" s="62">
        <f t="shared" si="116"/>
        <v>168236759</v>
      </c>
      <c r="FC13" s="62">
        <f t="shared" si="116"/>
        <v>152276489</v>
      </c>
      <c r="FD13" s="126"/>
      <c r="FE13" s="62">
        <f t="shared" ref="FE13:GI13" si="117">FE12+FE11+FE10</f>
        <v>137381230</v>
      </c>
      <c r="FF13" s="62">
        <f t="shared" si="117"/>
        <v>123871030</v>
      </c>
      <c r="FG13" s="62">
        <f t="shared" si="117"/>
        <v>109043337</v>
      </c>
      <c r="FH13" s="62">
        <f t="shared" si="117"/>
        <v>95072465</v>
      </c>
      <c r="FI13" s="62">
        <f t="shared" si="117"/>
        <v>78566003</v>
      </c>
      <c r="FJ13" s="62">
        <f t="shared" si="117"/>
        <v>135955267</v>
      </c>
      <c r="FK13" s="62">
        <f t="shared" si="117"/>
        <v>120914527</v>
      </c>
      <c r="FL13" s="62">
        <f t="shared" si="117"/>
        <v>106252207</v>
      </c>
      <c r="FM13" s="62">
        <f t="shared" si="117"/>
        <v>89610617</v>
      </c>
      <c r="FN13" s="62">
        <f t="shared" si="117"/>
        <v>77762349</v>
      </c>
      <c r="FO13" s="62">
        <f t="shared" si="117"/>
        <v>160430075</v>
      </c>
      <c r="FP13" s="62">
        <f t="shared" si="117"/>
        <v>142283551</v>
      </c>
      <c r="FQ13" s="62">
        <f t="shared" si="117"/>
        <v>129888426</v>
      </c>
      <c r="FR13" s="62">
        <f t="shared" si="117"/>
        <v>114543096</v>
      </c>
      <c r="FS13" s="62">
        <f t="shared" si="117"/>
        <v>98442002</v>
      </c>
      <c r="FT13" s="62">
        <f t="shared" si="117"/>
        <v>83611610</v>
      </c>
      <c r="FU13" s="62">
        <f t="shared" si="117"/>
        <v>127290825</v>
      </c>
      <c r="FV13" s="62">
        <f t="shared" si="117"/>
        <v>151070730</v>
      </c>
      <c r="FW13" s="62">
        <f t="shared" si="117"/>
        <v>134489310</v>
      </c>
      <c r="FX13" s="62">
        <f t="shared" si="117"/>
        <v>116679891</v>
      </c>
      <c r="FY13" s="62">
        <f t="shared" si="117"/>
        <v>101094168</v>
      </c>
      <c r="FZ13" s="62">
        <f t="shared" si="117"/>
        <v>85892965</v>
      </c>
      <c r="GA13" s="62">
        <f t="shared" si="117"/>
        <v>85944894</v>
      </c>
      <c r="GB13" s="62">
        <f t="shared" si="117"/>
        <v>173463160</v>
      </c>
      <c r="GC13" s="62">
        <f t="shared" si="117"/>
        <v>157131756</v>
      </c>
      <c r="GD13" s="62">
        <f t="shared" si="117"/>
        <v>139586317</v>
      </c>
      <c r="GE13" s="62">
        <f t="shared" si="117"/>
        <v>123405285</v>
      </c>
      <c r="GF13" s="62">
        <f t="shared" si="117"/>
        <v>108593603</v>
      </c>
      <c r="GG13" s="62">
        <f t="shared" si="117"/>
        <v>90280259</v>
      </c>
      <c r="GH13" s="62">
        <f t="shared" si="117"/>
        <v>74818139</v>
      </c>
      <c r="GI13" s="62">
        <f t="shared" si="117"/>
        <v>115617429</v>
      </c>
      <c r="GJ13" s="130"/>
      <c r="GK13" s="62">
        <f t="shared" ref="GK13:HM13" si="118">GK12+GK11+GK10</f>
        <v>138497739</v>
      </c>
      <c r="GL13" s="62">
        <f t="shared" si="118"/>
        <v>121497885</v>
      </c>
      <c r="GM13" s="62">
        <f t="shared" si="118"/>
        <v>101993455</v>
      </c>
      <c r="GN13" s="62">
        <f t="shared" si="118"/>
        <v>86048815</v>
      </c>
      <c r="GO13" s="62">
        <f t="shared" si="118"/>
        <v>72620242</v>
      </c>
      <c r="GP13" s="62">
        <f t="shared" si="118"/>
        <v>145583469</v>
      </c>
      <c r="GQ13" s="62">
        <f t="shared" si="118"/>
        <v>126965235</v>
      </c>
      <c r="GR13" s="62">
        <f t="shared" si="118"/>
        <v>110868195</v>
      </c>
      <c r="GS13" s="62">
        <f t="shared" si="118"/>
        <v>95569576</v>
      </c>
      <c r="GT13" s="62">
        <f t="shared" si="118"/>
        <v>140771975</v>
      </c>
      <c r="GU13" s="62">
        <f t="shared" si="118"/>
        <v>130685494</v>
      </c>
      <c r="GV13" s="62">
        <f t="shared" si="118"/>
        <v>114213651</v>
      </c>
      <c r="GW13" s="62">
        <f t="shared" si="118"/>
        <v>97936481</v>
      </c>
      <c r="GX13" s="62">
        <f t="shared" si="118"/>
        <v>120325245</v>
      </c>
      <c r="GY13" s="62">
        <f t="shared" si="118"/>
        <v>106636658</v>
      </c>
      <c r="GZ13" s="62">
        <f t="shared" si="118"/>
        <v>166492247</v>
      </c>
      <c r="HA13" s="62">
        <f t="shared" si="118"/>
        <v>150335661</v>
      </c>
      <c r="HB13" s="62">
        <f t="shared" si="118"/>
        <v>136800941</v>
      </c>
      <c r="HC13" s="62">
        <f t="shared" si="118"/>
        <v>120964897</v>
      </c>
      <c r="HD13" s="62">
        <f t="shared" si="118"/>
        <v>134031757</v>
      </c>
      <c r="HE13" s="62">
        <f t="shared" si="118"/>
        <v>119773179</v>
      </c>
      <c r="HF13" s="62">
        <f t="shared" si="118"/>
        <v>104851449</v>
      </c>
      <c r="HG13" s="62">
        <f t="shared" si="118"/>
        <v>159252238</v>
      </c>
      <c r="HH13" s="62">
        <f t="shared" si="118"/>
        <v>140778778</v>
      </c>
      <c r="HI13" s="62">
        <f t="shared" si="118"/>
        <v>128800644</v>
      </c>
      <c r="HJ13" s="62">
        <f t="shared" si="118"/>
        <v>112654444</v>
      </c>
      <c r="HK13" s="62">
        <f t="shared" si="118"/>
        <v>98450424</v>
      </c>
      <c r="HL13" s="62">
        <f t="shared" si="118"/>
        <v>197819895</v>
      </c>
      <c r="HM13" s="62">
        <f t="shared" si="118"/>
        <v>183081753.89999998</v>
      </c>
      <c r="HN13" s="130"/>
      <c r="HO13" s="62">
        <f t="shared" ref="HO13:IS13" si="119">HO12+HO11+HO10</f>
        <v>165710910</v>
      </c>
      <c r="HP13" s="62">
        <f t="shared" si="119"/>
        <v>147161506</v>
      </c>
      <c r="HQ13" s="62">
        <f t="shared" si="119"/>
        <v>133655066</v>
      </c>
      <c r="HR13" s="62">
        <f t="shared" si="119"/>
        <v>114361882</v>
      </c>
      <c r="HS13" s="62">
        <f t="shared" si="119"/>
        <v>194163362</v>
      </c>
      <c r="HT13" s="62">
        <f t="shared" si="119"/>
        <v>176670495</v>
      </c>
      <c r="HU13" s="62">
        <f t="shared" si="119"/>
        <v>157374445</v>
      </c>
      <c r="HV13" s="62">
        <f t="shared" si="119"/>
        <v>140489671</v>
      </c>
      <c r="HW13" s="62">
        <f t="shared" si="119"/>
        <v>122886031</v>
      </c>
      <c r="HX13" s="62">
        <f t="shared" si="119"/>
        <v>108071361</v>
      </c>
      <c r="HY13" s="62">
        <f t="shared" si="119"/>
        <v>152942281</v>
      </c>
      <c r="HZ13" s="62">
        <f t="shared" si="119"/>
        <v>139908619</v>
      </c>
      <c r="IA13" s="62">
        <f t="shared" si="119"/>
        <v>128484165</v>
      </c>
      <c r="IB13" s="62">
        <f t="shared" si="119"/>
        <v>114120609</v>
      </c>
      <c r="IC13" s="62">
        <f t="shared" si="119"/>
        <v>97670908</v>
      </c>
      <c r="ID13" s="62">
        <f t="shared" si="119"/>
        <v>188902380</v>
      </c>
      <c r="IE13" s="62">
        <f t="shared" si="119"/>
        <v>174561648</v>
      </c>
      <c r="IF13" s="62">
        <f t="shared" si="119"/>
        <v>157073072</v>
      </c>
      <c r="IG13" s="62">
        <f t="shared" si="119"/>
        <v>141872982</v>
      </c>
      <c r="IH13" s="62">
        <f t="shared" si="119"/>
        <v>127457658</v>
      </c>
      <c r="II13" s="62">
        <f t="shared" si="119"/>
        <v>124881438</v>
      </c>
      <c r="IJ13" s="62">
        <f t="shared" si="119"/>
        <v>107902548</v>
      </c>
      <c r="IK13" s="62">
        <f t="shared" si="119"/>
        <v>142448005</v>
      </c>
      <c r="IL13" s="62">
        <f t="shared" si="119"/>
        <v>129098171</v>
      </c>
      <c r="IM13" s="62">
        <f t="shared" si="119"/>
        <v>111833059</v>
      </c>
      <c r="IN13" s="62">
        <f t="shared" si="119"/>
        <v>97553095</v>
      </c>
      <c r="IO13" s="62">
        <f t="shared" si="119"/>
        <v>135794405</v>
      </c>
      <c r="IP13" s="62">
        <f t="shared" si="119"/>
        <v>118825667</v>
      </c>
      <c r="IQ13" s="62">
        <f t="shared" si="119"/>
        <v>169257983</v>
      </c>
      <c r="IR13" s="62">
        <f t="shared" si="119"/>
        <v>155211383</v>
      </c>
      <c r="IS13" s="62">
        <f t="shared" si="119"/>
        <v>144164214</v>
      </c>
      <c r="IT13" s="130"/>
      <c r="IU13" s="62">
        <f t="shared" ref="IU13:JX13" si="120">IU12+IU11+IU10</f>
        <v>131851250</v>
      </c>
      <c r="IV13" s="62">
        <f t="shared" si="120"/>
        <v>114871910</v>
      </c>
      <c r="IW13" s="62">
        <f t="shared" si="120"/>
        <v>102027940</v>
      </c>
      <c r="IX13" s="62">
        <f t="shared" si="120"/>
        <v>87232666</v>
      </c>
      <c r="IY13" s="62">
        <f t="shared" si="120"/>
        <v>109731436</v>
      </c>
      <c r="IZ13" s="62">
        <f t="shared" si="120"/>
        <v>94312726</v>
      </c>
      <c r="JA13" s="62">
        <f t="shared" si="120"/>
        <v>144098022</v>
      </c>
      <c r="JB13" s="62">
        <f t="shared" si="120"/>
        <v>126968812</v>
      </c>
      <c r="JC13" s="62">
        <f t="shared" si="120"/>
        <v>122360372</v>
      </c>
      <c r="JD13" s="62">
        <f t="shared" si="120"/>
        <v>107617262</v>
      </c>
      <c r="JE13" s="62">
        <f t="shared" si="120"/>
        <v>93116462</v>
      </c>
      <c r="JF13" s="62">
        <f t="shared" si="120"/>
        <v>78099166</v>
      </c>
      <c r="JG13" s="62">
        <f t="shared" si="120"/>
        <v>127939031</v>
      </c>
      <c r="JH13" s="62">
        <f t="shared" si="120"/>
        <v>178491801</v>
      </c>
      <c r="JI13" s="62">
        <f t="shared" si="120"/>
        <v>163070631</v>
      </c>
      <c r="JJ13" s="62">
        <f t="shared" si="120"/>
        <v>149493921</v>
      </c>
      <c r="JK13" s="62">
        <f t="shared" si="120"/>
        <v>135180348</v>
      </c>
      <c r="JL13" s="62">
        <f t="shared" si="120"/>
        <v>122574638</v>
      </c>
      <c r="JM13" s="62">
        <f t="shared" si="120"/>
        <v>106696538</v>
      </c>
      <c r="JN13" s="62">
        <f t="shared" si="120"/>
        <v>160507734</v>
      </c>
      <c r="JO13" s="62">
        <f t="shared" si="120"/>
        <v>149516204</v>
      </c>
      <c r="JP13" s="62">
        <f t="shared" si="120"/>
        <v>132992734</v>
      </c>
      <c r="JQ13" s="62">
        <f t="shared" si="120"/>
        <v>120431830</v>
      </c>
      <c r="JR13" s="62">
        <f t="shared" si="120"/>
        <v>106601406</v>
      </c>
      <c r="JS13" s="62">
        <f t="shared" si="120"/>
        <v>92143168</v>
      </c>
      <c r="JT13" s="62">
        <f t="shared" si="120"/>
        <v>76437998</v>
      </c>
      <c r="JU13" s="62">
        <f t="shared" si="120"/>
        <v>106153478</v>
      </c>
      <c r="JV13" s="62">
        <f t="shared" si="120"/>
        <v>148466618</v>
      </c>
      <c r="JW13" s="62">
        <f t="shared" si="120"/>
        <v>134307015</v>
      </c>
      <c r="JX13" s="62">
        <f t="shared" si="120"/>
        <v>120385505</v>
      </c>
      <c r="JY13" s="140"/>
      <c r="JZ13" s="62">
        <f t="shared" ref="JZ13:LD13" si="121">JZ12+JZ11+JZ10</f>
        <v>107055961</v>
      </c>
      <c r="KA13" s="62">
        <f t="shared" si="121"/>
        <v>93863931</v>
      </c>
      <c r="KB13" s="62">
        <f t="shared" si="121"/>
        <v>125220231</v>
      </c>
      <c r="KC13" s="62">
        <f t="shared" si="121"/>
        <v>162443552</v>
      </c>
      <c r="KD13" s="62">
        <f t="shared" si="121"/>
        <v>147597196</v>
      </c>
      <c r="KE13" s="62">
        <f t="shared" si="121"/>
        <v>132185256</v>
      </c>
      <c r="KF13" s="62">
        <f t="shared" si="121"/>
        <v>130789899</v>
      </c>
      <c r="KG13" s="62">
        <f t="shared" si="121"/>
        <v>116528549</v>
      </c>
      <c r="KH13" s="62">
        <f t="shared" si="121"/>
        <v>99522253</v>
      </c>
      <c r="KI13" s="62">
        <f t="shared" si="121"/>
        <v>159547315</v>
      </c>
      <c r="KJ13" s="62">
        <f t="shared" si="121"/>
        <v>142671765</v>
      </c>
      <c r="KK13" s="62">
        <f t="shared" si="121"/>
        <v>143274818</v>
      </c>
      <c r="KL13" s="62">
        <f t="shared" si="121"/>
        <v>122382228</v>
      </c>
      <c r="KM13" s="62">
        <f t="shared" si="121"/>
        <v>85646631</v>
      </c>
      <c r="KN13" s="62">
        <f t="shared" si="121"/>
        <v>94049379</v>
      </c>
      <c r="KO13" s="62">
        <f t="shared" si="121"/>
        <v>121986299</v>
      </c>
      <c r="KP13" s="62">
        <f t="shared" si="121"/>
        <v>109157439</v>
      </c>
      <c r="KQ13" s="62">
        <f t="shared" si="121"/>
        <v>92693181</v>
      </c>
      <c r="KR13" s="62">
        <f t="shared" si="121"/>
        <v>130381723</v>
      </c>
      <c r="KS13" s="62">
        <f t="shared" si="121"/>
        <v>113421013</v>
      </c>
      <c r="KT13" s="62">
        <f t="shared" si="121"/>
        <v>112089513</v>
      </c>
      <c r="KU13" s="62">
        <f t="shared" si="121"/>
        <v>156071309</v>
      </c>
      <c r="KV13" s="62">
        <f t="shared" si="121"/>
        <v>133936729</v>
      </c>
      <c r="KW13" s="62">
        <f t="shared" si="121"/>
        <v>115962411</v>
      </c>
      <c r="KX13" s="62">
        <f t="shared" si="121"/>
        <v>179892478</v>
      </c>
      <c r="KY13" s="62">
        <f t="shared" si="121"/>
        <v>164713138</v>
      </c>
      <c r="KZ13" s="62">
        <f t="shared" si="121"/>
        <v>148947930</v>
      </c>
      <c r="LA13" s="62">
        <f t="shared" si="121"/>
        <v>131605758</v>
      </c>
      <c r="LB13" s="62">
        <f t="shared" si="121"/>
        <v>114525958</v>
      </c>
      <c r="LC13" s="62">
        <f t="shared" si="121"/>
        <v>168241730</v>
      </c>
      <c r="LD13" s="62">
        <f t="shared" si="121"/>
        <v>171530908</v>
      </c>
      <c r="LE13" s="130"/>
      <c r="LF13" s="62">
        <f t="shared" ref="LF13:MI13" si="122">LF12+LF11+LF10</f>
        <v>150656478</v>
      </c>
      <c r="LG13" s="62">
        <f t="shared" si="122"/>
        <v>135548418</v>
      </c>
      <c r="LH13" s="62">
        <f t="shared" si="122"/>
        <v>119435080</v>
      </c>
      <c r="LI13" s="62">
        <f t="shared" si="122"/>
        <v>99164887</v>
      </c>
      <c r="LJ13" s="62">
        <f t="shared" si="122"/>
        <v>83253507</v>
      </c>
      <c r="LK13" s="62">
        <f t="shared" si="122"/>
        <v>129303427</v>
      </c>
      <c r="LL13" s="62">
        <f t="shared" si="122"/>
        <v>156832507</v>
      </c>
      <c r="LM13" s="62">
        <f t="shared" si="122"/>
        <v>143657122</v>
      </c>
      <c r="LN13" s="62">
        <f t="shared" si="122"/>
        <v>128431722</v>
      </c>
      <c r="LO13" s="62">
        <f t="shared" si="122"/>
        <v>110583132</v>
      </c>
      <c r="LP13" s="62">
        <f t="shared" si="122"/>
        <v>143466632</v>
      </c>
      <c r="LQ13" s="62">
        <f t="shared" si="122"/>
        <v>126937325</v>
      </c>
      <c r="LR13" s="62">
        <f t="shared" si="122"/>
        <v>109931531</v>
      </c>
      <c r="LS13" s="62">
        <f t="shared" si="122"/>
        <v>163968412</v>
      </c>
      <c r="LT13" s="62">
        <f t="shared" si="122"/>
        <v>144661611</v>
      </c>
      <c r="LU13" s="62">
        <f t="shared" si="122"/>
        <v>128451000</v>
      </c>
      <c r="LV13" s="62">
        <f t="shared" si="122"/>
        <v>113395732</v>
      </c>
      <c r="LW13" s="62">
        <f t="shared" si="122"/>
        <v>96354184</v>
      </c>
      <c r="LX13" s="62">
        <f t="shared" si="122"/>
        <v>84373048</v>
      </c>
      <c r="LY13" s="62">
        <f t="shared" si="122"/>
        <v>104247949</v>
      </c>
      <c r="LZ13" s="62">
        <f t="shared" si="122"/>
        <v>142966170</v>
      </c>
      <c r="MA13" s="62">
        <f t="shared" si="122"/>
        <v>126110523</v>
      </c>
      <c r="MB13" s="62">
        <f t="shared" si="122"/>
        <v>110919066</v>
      </c>
      <c r="MC13" s="62">
        <f t="shared" si="122"/>
        <v>93452046</v>
      </c>
      <c r="MD13" s="62">
        <f t="shared" si="122"/>
        <v>79109981</v>
      </c>
      <c r="ME13" s="62">
        <f t="shared" si="122"/>
        <v>95379530</v>
      </c>
      <c r="MF13" s="62">
        <f t="shared" si="122"/>
        <v>147824838</v>
      </c>
      <c r="MG13" s="62">
        <f t="shared" si="122"/>
        <v>131932448</v>
      </c>
      <c r="MH13" s="62">
        <f t="shared" si="122"/>
        <v>115621734</v>
      </c>
      <c r="MI13" s="62">
        <f t="shared" si="122"/>
        <v>145923484</v>
      </c>
      <c r="MJ13" s="140"/>
      <c r="MK13" s="62">
        <f t="shared" ref="MK13:NO13" si="123">MK12+MK11+MK10</f>
        <v>127126355</v>
      </c>
      <c r="ML13" s="62">
        <f t="shared" si="123"/>
        <v>110632619</v>
      </c>
      <c r="MM13" s="62">
        <f t="shared" si="123"/>
        <v>120370333</v>
      </c>
      <c r="MN13" s="62">
        <f t="shared" si="123"/>
        <v>104958621</v>
      </c>
      <c r="MO13" s="62">
        <f t="shared" si="123"/>
        <v>94414930</v>
      </c>
      <c r="MP13" s="62">
        <f t="shared" si="123"/>
        <v>157294812</v>
      </c>
      <c r="MQ13" s="62">
        <f t="shared" si="123"/>
        <v>151371921</v>
      </c>
      <c r="MR13" s="62">
        <f t="shared" si="123"/>
        <v>135718296</v>
      </c>
      <c r="MS13" s="62">
        <f t="shared" si="123"/>
        <v>121216945</v>
      </c>
      <c r="MT13" s="62">
        <f t="shared" si="123"/>
        <v>109653602</v>
      </c>
      <c r="MU13" s="62">
        <f t="shared" si="123"/>
        <v>93667974</v>
      </c>
      <c r="MV13" s="62">
        <f t="shared" si="123"/>
        <v>176431807</v>
      </c>
      <c r="MW13" s="62">
        <f t="shared" si="123"/>
        <v>157288325</v>
      </c>
      <c r="MX13" s="62">
        <f t="shared" si="123"/>
        <v>144481898</v>
      </c>
      <c r="MY13" s="62">
        <f t="shared" si="123"/>
        <v>130188400</v>
      </c>
      <c r="MZ13" s="62">
        <f t="shared" si="123"/>
        <v>112757458</v>
      </c>
      <c r="NA13" s="62">
        <f t="shared" si="123"/>
        <v>97448428</v>
      </c>
      <c r="NB13" s="62">
        <f t="shared" si="123"/>
        <v>80605191</v>
      </c>
      <c r="NC13" s="62">
        <f t="shared" si="123"/>
        <v>101339637</v>
      </c>
      <c r="ND13" s="62">
        <f t="shared" si="123"/>
        <v>85590840</v>
      </c>
      <c r="NE13" s="62">
        <f t="shared" si="123"/>
        <v>125924248</v>
      </c>
      <c r="NF13" s="62">
        <f t="shared" si="123"/>
        <v>111295002</v>
      </c>
      <c r="NG13" s="62">
        <f t="shared" si="123"/>
        <v>104616711</v>
      </c>
      <c r="NH13" s="62">
        <f t="shared" si="123"/>
        <v>91494377</v>
      </c>
      <c r="NI13" s="62">
        <f t="shared" si="123"/>
        <v>187625597</v>
      </c>
      <c r="NJ13" s="62">
        <f t="shared" si="123"/>
        <v>172874245</v>
      </c>
      <c r="NK13" s="62">
        <f t="shared" si="123"/>
        <v>156557413</v>
      </c>
      <c r="NL13" s="62">
        <f t="shared" si="123"/>
        <v>143421644</v>
      </c>
      <c r="NM13" s="62">
        <f t="shared" si="123"/>
        <v>128098624</v>
      </c>
      <c r="NN13" s="62">
        <f t="shared" si="123"/>
        <v>112309985</v>
      </c>
      <c r="NO13" s="62">
        <f t="shared" si="123"/>
        <v>153044127</v>
      </c>
      <c r="NP13" s="140"/>
      <c r="NQ13" s="62">
        <f t="shared" ref="NQ13:OU13" si="124">NQ12+NQ11+NQ10</f>
        <v>138916134</v>
      </c>
      <c r="NR13" s="62">
        <f t="shared" si="124"/>
        <v>122950689</v>
      </c>
      <c r="NS13" s="62">
        <f t="shared" si="124"/>
        <v>142909717</v>
      </c>
      <c r="NT13" s="62">
        <f t="shared" si="124"/>
        <v>129265032</v>
      </c>
      <c r="NU13" s="62">
        <f t="shared" si="124"/>
        <v>114236478</v>
      </c>
      <c r="NV13" s="62">
        <f t="shared" si="124"/>
        <v>96215862</v>
      </c>
      <c r="NW13" s="62">
        <f t="shared" si="124"/>
        <v>130571426</v>
      </c>
      <c r="NX13" s="62">
        <f t="shared" si="124"/>
        <v>114793616</v>
      </c>
      <c r="NY13" s="62">
        <f t="shared" si="124"/>
        <v>98196126</v>
      </c>
      <c r="NZ13" s="62">
        <f t="shared" si="124"/>
        <v>101307284</v>
      </c>
      <c r="OA13" s="62">
        <f t="shared" si="124"/>
        <v>137533482</v>
      </c>
      <c r="OB13" s="62">
        <f t="shared" si="124"/>
        <v>124120495</v>
      </c>
      <c r="OC13" s="62">
        <f t="shared" si="124"/>
        <v>109619094</v>
      </c>
      <c r="OD13" s="62">
        <f t="shared" si="124"/>
        <v>93841785</v>
      </c>
      <c r="OE13" s="62">
        <f t="shared" si="124"/>
        <v>110696912</v>
      </c>
      <c r="OF13" s="62">
        <f t="shared" si="124"/>
        <v>139441191</v>
      </c>
      <c r="OG13" s="62">
        <f t="shared" si="124"/>
        <v>129272476</v>
      </c>
      <c r="OH13" s="62">
        <f t="shared" si="124"/>
        <v>116504560</v>
      </c>
      <c r="OI13" s="62">
        <f t="shared" si="124"/>
        <v>100033172</v>
      </c>
      <c r="OJ13" s="62">
        <f t="shared" si="124"/>
        <v>85244034</v>
      </c>
      <c r="OK13" s="62">
        <f t="shared" si="124"/>
        <v>178385528</v>
      </c>
      <c r="OL13" s="62">
        <f t="shared" si="124"/>
        <v>161474792</v>
      </c>
      <c r="OM13" s="62">
        <f t="shared" si="124"/>
        <v>145692399</v>
      </c>
      <c r="ON13" s="62">
        <f t="shared" si="124"/>
        <v>130037078</v>
      </c>
      <c r="OO13" s="62">
        <f t="shared" si="124"/>
        <v>119053005</v>
      </c>
      <c r="OP13" s="62">
        <f t="shared" si="124"/>
        <v>103653072</v>
      </c>
      <c r="OQ13" s="62">
        <f t="shared" si="124"/>
        <v>87403932</v>
      </c>
      <c r="OR13" s="62">
        <f t="shared" si="124"/>
        <v>78097440</v>
      </c>
      <c r="OS13" s="62">
        <f t="shared" si="124"/>
        <v>62501188</v>
      </c>
      <c r="OT13" s="62">
        <f t="shared" si="124"/>
        <v>164492383</v>
      </c>
      <c r="OU13" s="62">
        <f t="shared" si="124"/>
        <v>144313227</v>
      </c>
      <c r="OV13" s="130"/>
      <c r="OW13" s="62">
        <f t="shared" ref="OW13:PZ13" si="125">OW12+OW11+OW10</f>
        <v>135242233</v>
      </c>
      <c r="OX13" s="62">
        <f t="shared" si="125"/>
        <v>115976443</v>
      </c>
      <c r="OY13" s="62">
        <f t="shared" si="125"/>
        <v>100892680</v>
      </c>
      <c r="OZ13" s="62">
        <f t="shared" si="125"/>
        <v>151956949</v>
      </c>
      <c r="PA13" s="62">
        <f t="shared" si="125"/>
        <v>135883246</v>
      </c>
      <c r="PB13" s="62">
        <f t="shared" si="125"/>
        <v>162739538</v>
      </c>
      <c r="PC13" s="62">
        <f t="shared" si="125"/>
        <v>145562010</v>
      </c>
      <c r="PD13" s="62">
        <f t="shared" si="125"/>
        <v>130752330</v>
      </c>
      <c r="PE13" s="62">
        <f t="shared" si="125"/>
        <v>114824417</v>
      </c>
      <c r="PF13" s="62">
        <f t="shared" si="125"/>
        <v>100803973</v>
      </c>
      <c r="PG13" s="62">
        <f t="shared" si="125"/>
        <v>120460342</v>
      </c>
      <c r="PH13" s="62">
        <f t="shared" si="125"/>
        <v>106919132</v>
      </c>
      <c r="PI13" s="62">
        <f t="shared" si="125"/>
        <v>88552334</v>
      </c>
      <c r="PJ13" s="62">
        <f t="shared" si="125"/>
        <v>133252244</v>
      </c>
      <c r="PK13" s="62">
        <f t="shared" si="125"/>
        <v>120255015</v>
      </c>
      <c r="PL13" s="62">
        <f t="shared" si="125"/>
        <v>105028559</v>
      </c>
      <c r="PM13" s="62">
        <f t="shared" si="125"/>
        <v>91331995</v>
      </c>
      <c r="PN13" s="62">
        <f t="shared" si="125"/>
        <v>117756245</v>
      </c>
      <c r="PO13" s="62">
        <f t="shared" si="125"/>
        <v>103142401</v>
      </c>
      <c r="PP13" s="62">
        <f t="shared" si="125"/>
        <v>89079723</v>
      </c>
      <c r="PQ13" s="62">
        <f t="shared" si="125"/>
        <v>137177040</v>
      </c>
      <c r="PR13" s="62">
        <f t="shared" si="125"/>
        <v>125816249</v>
      </c>
      <c r="PS13" s="62">
        <f t="shared" si="125"/>
        <v>112678377</v>
      </c>
      <c r="PT13" s="62">
        <f t="shared" si="125"/>
        <v>99301236</v>
      </c>
      <c r="PU13" s="62">
        <f t="shared" si="125"/>
        <v>134754330</v>
      </c>
      <c r="PV13" s="62">
        <f t="shared" si="125"/>
        <v>122305147</v>
      </c>
      <c r="PW13" s="62">
        <f t="shared" si="125"/>
        <v>108607336</v>
      </c>
      <c r="PX13" s="62">
        <f t="shared" si="125"/>
        <v>143603624</v>
      </c>
      <c r="PY13" s="62">
        <f t="shared" si="125"/>
        <v>138061582</v>
      </c>
      <c r="PZ13" s="62">
        <f t="shared" si="125"/>
        <v>123590347</v>
      </c>
      <c r="QA13" s="130"/>
      <c r="QB13" s="62">
        <f t="shared" ref="QB13:RF13" si="126">QB12+QB11+QB10</f>
        <v>109596762</v>
      </c>
      <c r="QC13" s="62">
        <f t="shared" si="126"/>
        <v>97622581</v>
      </c>
      <c r="QD13" s="62">
        <f t="shared" si="126"/>
        <v>127935597</v>
      </c>
      <c r="QE13" s="62">
        <f t="shared" si="126"/>
        <v>158440692</v>
      </c>
      <c r="QF13" s="62">
        <f t="shared" si="126"/>
        <v>141869937</v>
      </c>
      <c r="QG13" s="62">
        <f t="shared" si="126"/>
        <v>130175705</v>
      </c>
      <c r="QH13" s="62">
        <f t="shared" si="126"/>
        <v>114686848</v>
      </c>
      <c r="QI13" s="62">
        <f t="shared" si="126"/>
        <v>102144181</v>
      </c>
      <c r="QJ13" s="62">
        <f t="shared" si="126"/>
        <v>135527146</v>
      </c>
      <c r="QK13" s="62">
        <f t="shared" si="126"/>
        <v>121998290</v>
      </c>
      <c r="QL13" s="62">
        <f t="shared" si="126"/>
        <v>105630553</v>
      </c>
      <c r="QM13" s="62">
        <f t="shared" si="126"/>
        <v>137814969</v>
      </c>
      <c r="QN13" s="62">
        <f t="shared" si="126"/>
        <v>123164013</v>
      </c>
      <c r="QO13" s="62">
        <f t="shared" si="126"/>
        <v>108736124</v>
      </c>
      <c r="QP13" s="62">
        <f t="shared" si="126"/>
        <v>94711194</v>
      </c>
      <c r="QQ13" s="62">
        <f t="shared" si="126"/>
        <v>146673381</v>
      </c>
      <c r="QR13" s="62">
        <f t="shared" si="126"/>
        <v>133145022</v>
      </c>
      <c r="QS13" s="62">
        <f t="shared" si="126"/>
        <v>115936327</v>
      </c>
      <c r="QT13" s="62">
        <f t="shared" si="126"/>
        <v>131522367</v>
      </c>
      <c r="QU13" s="62">
        <f t="shared" si="126"/>
        <v>120592128</v>
      </c>
      <c r="QV13" s="62">
        <f t="shared" si="126"/>
        <v>107481067</v>
      </c>
      <c r="QW13" s="62">
        <f t="shared" si="126"/>
        <v>95311257</v>
      </c>
      <c r="QX13" s="62">
        <f t="shared" si="126"/>
        <v>82917459</v>
      </c>
      <c r="QY13" s="62">
        <f t="shared" si="126"/>
        <v>124678317</v>
      </c>
      <c r="QZ13" s="62">
        <f t="shared" si="126"/>
        <v>106068662</v>
      </c>
      <c r="RA13" s="62">
        <f t="shared" si="126"/>
        <v>133518317</v>
      </c>
      <c r="RB13" s="62">
        <f t="shared" si="126"/>
        <v>121619847</v>
      </c>
      <c r="RC13" s="62">
        <f t="shared" si="126"/>
        <v>113048550</v>
      </c>
      <c r="RD13" s="62">
        <f t="shared" si="126"/>
        <v>99842386</v>
      </c>
      <c r="RE13" s="62">
        <f t="shared" si="126"/>
        <v>151875648</v>
      </c>
      <c r="RF13" s="62">
        <f t="shared" si="126"/>
        <v>137144035</v>
      </c>
      <c r="RG13" s="130"/>
      <c r="RH13" s="62">
        <f t="shared" ref="RH13:SK13" si="127">RH12+RH11+RH10</f>
        <v>122370835</v>
      </c>
      <c r="RI13" s="62">
        <f t="shared" si="127"/>
        <v>108102421</v>
      </c>
      <c r="RJ13" s="62">
        <f t="shared" si="127"/>
        <v>95117843</v>
      </c>
      <c r="RK13" s="62">
        <f t="shared" si="127"/>
        <v>77904529</v>
      </c>
      <c r="RL13" s="62">
        <f t="shared" si="127"/>
        <v>68716691</v>
      </c>
      <c r="RM13" s="62">
        <f t="shared" si="127"/>
        <v>93912837</v>
      </c>
      <c r="RN13" s="62">
        <f t="shared" si="127"/>
        <v>140785507</v>
      </c>
      <c r="RO13" s="62">
        <f t="shared" si="127"/>
        <v>127465306</v>
      </c>
      <c r="RP13" s="62">
        <f t="shared" si="127"/>
        <v>113172949</v>
      </c>
      <c r="RQ13" s="62">
        <f t="shared" si="127"/>
        <v>105424218</v>
      </c>
      <c r="RR13" s="62">
        <f t="shared" si="127"/>
        <v>91078222</v>
      </c>
      <c r="RS13" s="62">
        <f t="shared" si="127"/>
        <v>127197789</v>
      </c>
      <c r="RT13" s="62">
        <f t="shared" si="127"/>
        <v>112728973</v>
      </c>
      <c r="RU13" s="62">
        <f t="shared" si="127"/>
        <v>143663364</v>
      </c>
      <c r="RV13" s="62">
        <f t="shared" si="127"/>
        <v>129310047</v>
      </c>
      <c r="RW13" s="62">
        <f t="shared" si="127"/>
        <v>116989650</v>
      </c>
      <c r="RX13" s="62">
        <f t="shared" si="127"/>
        <v>104831040</v>
      </c>
      <c r="RY13" s="62">
        <f t="shared" si="127"/>
        <v>91548340</v>
      </c>
      <c r="RZ13" s="62">
        <f t="shared" si="127"/>
        <v>77658894</v>
      </c>
      <c r="SA13" s="62">
        <f t="shared" si="127"/>
        <v>117447062</v>
      </c>
      <c r="SB13" s="62">
        <f t="shared" si="127"/>
        <v>104697872</v>
      </c>
      <c r="SC13" s="62">
        <f t="shared" si="127"/>
        <v>134299400</v>
      </c>
      <c r="SD13" s="62">
        <f t="shared" si="127"/>
        <v>120018456</v>
      </c>
      <c r="SE13" s="62">
        <f t="shared" si="127"/>
        <v>149989798</v>
      </c>
      <c r="SF13" s="62">
        <f t="shared" si="127"/>
        <v>135811656</v>
      </c>
      <c r="SG13" s="62">
        <f t="shared" si="127"/>
        <v>121106869</v>
      </c>
      <c r="SH13" s="62">
        <f t="shared" si="127"/>
        <v>108730945</v>
      </c>
      <c r="SI13" s="62">
        <f t="shared" si="127"/>
        <v>92819897</v>
      </c>
      <c r="SJ13" s="62">
        <f t="shared" si="127"/>
        <v>78686977</v>
      </c>
      <c r="SK13" s="62">
        <f t="shared" si="127"/>
        <v>104964432</v>
      </c>
      <c r="SL13" s="130"/>
      <c r="SM13" s="62">
        <f t="shared" ref="SM13:TQ13" si="128">SM12+SM11+SM10</f>
        <v>155265732</v>
      </c>
      <c r="SN13" s="62">
        <f t="shared" si="128"/>
        <v>138753666</v>
      </c>
      <c r="SO13" s="62">
        <f t="shared" si="128"/>
        <v>117016356</v>
      </c>
      <c r="SP13" s="62">
        <f t="shared" si="128"/>
        <v>102946093</v>
      </c>
      <c r="SQ13" s="62">
        <f t="shared" si="128"/>
        <v>89847133</v>
      </c>
      <c r="SR13" s="62">
        <f t="shared" si="128"/>
        <v>117496227</v>
      </c>
      <c r="SS13" s="62">
        <f t="shared" si="128"/>
        <v>123832620</v>
      </c>
      <c r="ST13" s="62">
        <f t="shared" si="128"/>
        <v>110700370</v>
      </c>
      <c r="SU13" s="62">
        <f t="shared" si="128"/>
        <v>93548428</v>
      </c>
      <c r="SV13" s="62">
        <f t="shared" si="128"/>
        <v>98622668</v>
      </c>
      <c r="SW13" s="62">
        <f t="shared" si="128"/>
        <v>139112978</v>
      </c>
      <c r="SX13" s="62">
        <f t="shared" si="128"/>
        <v>163904133</v>
      </c>
      <c r="SY13" s="62">
        <f t="shared" si="128"/>
        <v>146473267</v>
      </c>
      <c r="SZ13" s="62">
        <f t="shared" si="128"/>
        <v>131006877</v>
      </c>
      <c r="TA13" s="62">
        <f t="shared" si="128"/>
        <v>118765877</v>
      </c>
      <c r="TB13" s="62">
        <f t="shared" si="128"/>
        <v>103262231</v>
      </c>
      <c r="TC13" s="62">
        <f t="shared" si="128"/>
        <v>89409614</v>
      </c>
      <c r="TD13" s="62">
        <f t="shared" si="128"/>
        <v>74509803</v>
      </c>
      <c r="TE13" s="62">
        <f t="shared" si="128"/>
        <v>110802565</v>
      </c>
      <c r="TF13" s="62">
        <f t="shared" si="128"/>
        <v>147553541</v>
      </c>
      <c r="TG13" s="62">
        <f t="shared" si="128"/>
        <v>131037652</v>
      </c>
      <c r="TH13" s="62">
        <f t="shared" si="128"/>
        <v>114044269</v>
      </c>
      <c r="TI13" s="62">
        <f t="shared" si="128"/>
        <v>98913648</v>
      </c>
      <c r="TJ13" s="62">
        <f t="shared" si="128"/>
        <v>153833728</v>
      </c>
      <c r="TK13" s="62">
        <f t="shared" si="128"/>
        <v>143399206</v>
      </c>
      <c r="TL13" s="62">
        <f t="shared" si="128"/>
        <v>132086297</v>
      </c>
      <c r="TM13" s="62">
        <f t="shared" si="128"/>
        <v>118948779</v>
      </c>
      <c r="TN13" s="62">
        <f t="shared" si="128"/>
        <v>111048666</v>
      </c>
      <c r="TO13" s="62">
        <f t="shared" si="128"/>
        <v>100155728</v>
      </c>
      <c r="TP13" s="62">
        <f t="shared" si="128"/>
        <v>87553644</v>
      </c>
      <c r="TQ13" s="62">
        <f t="shared" si="128"/>
        <v>104160040</v>
      </c>
      <c r="TR13" s="130"/>
      <c r="TS13" s="62">
        <f t="shared" ref="TS13:UW13" si="129">TS12+TS11+TS10</f>
        <v>146541934</v>
      </c>
      <c r="TT13" s="62">
        <f t="shared" si="129"/>
        <v>134745072</v>
      </c>
      <c r="TU13" s="62">
        <f t="shared" si="129"/>
        <v>124203936</v>
      </c>
      <c r="TV13" s="62">
        <f t="shared" si="129"/>
        <v>111128380</v>
      </c>
      <c r="TW13" s="62">
        <f t="shared" si="129"/>
        <v>141932944</v>
      </c>
      <c r="TX13" s="62">
        <f t="shared" si="129"/>
        <v>128172962</v>
      </c>
      <c r="TY13" s="62">
        <f t="shared" si="129"/>
        <v>114127567</v>
      </c>
      <c r="TZ13" s="62">
        <f t="shared" si="129"/>
        <v>147281079</v>
      </c>
      <c r="UA13" s="62">
        <f t="shared" si="129"/>
        <v>134003311</v>
      </c>
      <c r="UB13" s="62">
        <f t="shared" si="129"/>
        <v>127561200</v>
      </c>
      <c r="UC13" s="62">
        <f t="shared" si="129"/>
        <v>113275114</v>
      </c>
      <c r="UD13" s="62">
        <f t="shared" si="129"/>
        <v>144038238</v>
      </c>
      <c r="UE13" s="62">
        <f t="shared" si="129"/>
        <v>127468615</v>
      </c>
      <c r="UF13" s="62">
        <f t="shared" si="129"/>
        <v>113625603</v>
      </c>
      <c r="UG13" s="62">
        <f t="shared" si="129"/>
        <v>100365825</v>
      </c>
      <c r="UH13" s="62">
        <f t="shared" si="129"/>
        <v>87110251</v>
      </c>
      <c r="UI13" s="62">
        <f t="shared" si="129"/>
        <v>71746338</v>
      </c>
      <c r="UJ13" s="62">
        <f t="shared" si="129"/>
        <v>100870830</v>
      </c>
      <c r="UK13" s="62">
        <f t="shared" si="129"/>
        <v>86540809</v>
      </c>
      <c r="UL13" s="62">
        <f t="shared" si="129"/>
        <v>120489282</v>
      </c>
      <c r="UM13" s="62">
        <f t="shared" si="129"/>
        <v>106746931</v>
      </c>
      <c r="UN13" s="62">
        <f t="shared" si="129"/>
        <v>92856109</v>
      </c>
      <c r="UO13" s="62">
        <f t="shared" si="129"/>
        <v>79915979</v>
      </c>
      <c r="UP13" s="62">
        <f t="shared" si="129"/>
        <v>100639140</v>
      </c>
      <c r="UQ13" s="62">
        <f t="shared" si="129"/>
        <v>85639696</v>
      </c>
      <c r="UR13" s="62">
        <f t="shared" si="129"/>
        <v>70787256</v>
      </c>
      <c r="US13" s="62">
        <f t="shared" si="129"/>
        <v>57071356</v>
      </c>
      <c r="UT13" s="62">
        <f t="shared" si="129"/>
        <v>59285886</v>
      </c>
      <c r="UU13" s="62">
        <f t="shared" si="129"/>
        <v>102591826</v>
      </c>
      <c r="UV13" s="62">
        <f t="shared" si="129"/>
        <v>134672352</v>
      </c>
      <c r="UW13" s="62">
        <f t="shared" si="129"/>
        <v>119823747</v>
      </c>
      <c r="UX13" s="130"/>
      <c r="UY13" s="62">
        <f t="shared" ref="UY13:VZ13" si="130">UY12+UY11+UY10</f>
        <v>110732619</v>
      </c>
      <c r="UZ13" s="62">
        <f t="shared" si="130"/>
        <v>98353205</v>
      </c>
      <c r="VA13" s="62">
        <f t="shared" si="130"/>
        <v>80061040</v>
      </c>
      <c r="VB13" s="62">
        <f t="shared" si="130"/>
        <v>141290669</v>
      </c>
      <c r="VC13" s="62">
        <f t="shared" si="130"/>
        <v>151793669</v>
      </c>
      <c r="VD13" s="62">
        <f t="shared" si="130"/>
        <v>135667141</v>
      </c>
      <c r="VE13" s="62">
        <f t="shared" si="130"/>
        <v>120464904</v>
      </c>
      <c r="VF13" s="62">
        <f t="shared" si="130"/>
        <v>104023090</v>
      </c>
      <c r="VG13" s="62">
        <f t="shared" si="130"/>
        <v>97125908</v>
      </c>
      <c r="VH13" s="62">
        <f t="shared" si="130"/>
        <v>83259706</v>
      </c>
      <c r="VI13" s="62">
        <f t="shared" si="130"/>
        <v>165763228</v>
      </c>
      <c r="VJ13" s="62">
        <f t="shared" si="130"/>
        <v>152741141</v>
      </c>
      <c r="VK13" s="62">
        <f t="shared" si="130"/>
        <v>142378403</v>
      </c>
      <c r="VL13" s="62">
        <f t="shared" si="130"/>
        <v>125449873</v>
      </c>
      <c r="VM13" s="62">
        <f t="shared" si="130"/>
        <v>150693466</v>
      </c>
      <c r="VN13" s="62">
        <f t="shared" si="130"/>
        <v>137233991</v>
      </c>
      <c r="VO13" s="62">
        <f t="shared" si="130"/>
        <v>123441166</v>
      </c>
      <c r="VP13" s="62">
        <f t="shared" si="130"/>
        <v>110332857</v>
      </c>
      <c r="VQ13" s="62">
        <f t="shared" si="130"/>
        <v>163321879</v>
      </c>
      <c r="VR13" s="62">
        <f t="shared" si="130"/>
        <v>149298539</v>
      </c>
      <c r="VS13" s="62">
        <f t="shared" si="130"/>
        <v>135166455</v>
      </c>
      <c r="VT13" s="62">
        <f t="shared" si="130"/>
        <v>150511008</v>
      </c>
      <c r="VU13" s="62">
        <f t="shared" si="130"/>
        <v>137836286</v>
      </c>
      <c r="VV13" s="62">
        <f t="shared" si="130"/>
        <v>124339592</v>
      </c>
      <c r="VW13" s="62">
        <f t="shared" si="130"/>
        <v>115810139</v>
      </c>
      <c r="VX13" s="62">
        <f t="shared" si="130"/>
        <v>102091174</v>
      </c>
      <c r="VY13" s="62">
        <f t="shared" si="130"/>
        <v>144837067</v>
      </c>
      <c r="VZ13" s="62">
        <f t="shared" si="130"/>
        <v>132199970</v>
      </c>
      <c r="WA13" s="140"/>
      <c r="WB13" s="62">
        <f t="shared" ref="WB13:XF13" si="131">WB12+WB11+WB10</f>
        <v>116269458</v>
      </c>
      <c r="WC13" s="62">
        <f t="shared" si="131"/>
        <v>104054232</v>
      </c>
      <c r="WD13" s="62">
        <f t="shared" si="131"/>
        <v>92120986</v>
      </c>
      <c r="WE13" s="62">
        <f t="shared" si="131"/>
        <v>78585071</v>
      </c>
      <c r="WF13" s="62">
        <f t="shared" si="131"/>
        <v>66842698</v>
      </c>
      <c r="WG13" s="62">
        <f t="shared" si="131"/>
        <v>58323807</v>
      </c>
      <c r="WH13" s="62">
        <f t="shared" si="131"/>
        <v>156107854</v>
      </c>
      <c r="WI13" s="62">
        <f t="shared" si="131"/>
        <v>140581202</v>
      </c>
      <c r="WJ13" s="62">
        <f t="shared" si="131"/>
        <v>130051121</v>
      </c>
      <c r="WK13" s="62">
        <f t="shared" si="131"/>
        <v>115874389</v>
      </c>
      <c r="WL13" s="62">
        <f t="shared" si="131"/>
        <v>136910909</v>
      </c>
      <c r="WM13" s="62">
        <f t="shared" si="131"/>
        <v>125894563</v>
      </c>
      <c r="WN13" s="62">
        <f t="shared" si="131"/>
        <v>113603189</v>
      </c>
      <c r="WO13" s="62">
        <f t="shared" si="131"/>
        <v>101899726</v>
      </c>
      <c r="WP13" s="62">
        <f t="shared" si="131"/>
        <v>85896292</v>
      </c>
      <c r="WQ13" s="62">
        <f t="shared" si="131"/>
        <v>146348099</v>
      </c>
      <c r="WR13" s="62">
        <f t="shared" si="131"/>
        <v>133655312</v>
      </c>
      <c r="WS13" s="62">
        <f t="shared" si="131"/>
        <v>122647172.75</v>
      </c>
      <c r="WT13" s="62">
        <f t="shared" si="131"/>
        <v>109156334</v>
      </c>
      <c r="WU13" s="62">
        <f t="shared" si="131"/>
        <v>104013188</v>
      </c>
      <c r="WV13" s="62">
        <f t="shared" si="131"/>
        <v>125325895</v>
      </c>
      <c r="WW13" s="62">
        <f t="shared" si="131"/>
        <v>111151957</v>
      </c>
      <c r="WX13" s="62">
        <f t="shared" si="131"/>
        <v>97710034</v>
      </c>
      <c r="WY13" s="62">
        <f t="shared" si="131"/>
        <v>83247604</v>
      </c>
      <c r="WZ13" s="62">
        <f t="shared" si="131"/>
        <v>105070584</v>
      </c>
      <c r="XA13" s="62">
        <f t="shared" si="131"/>
        <v>150419874</v>
      </c>
      <c r="XB13" s="62">
        <f t="shared" si="131"/>
        <v>136260196</v>
      </c>
      <c r="XC13" s="62">
        <f t="shared" si="131"/>
        <v>121407543</v>
      </c>
      <c r="XD13" s="62">
        <f t="shared" si="131"/>
        <v>112461847</v>
      </c>
      <c r="XE13" s="62">
        <f t="shared" si="131"/>
        <v>97944564</v>
      </c>
      <c r="XF13" s="62">
        <f t="shared" si="131"/>
        <v>150785052</v>
      </c>
      <c r="XG13" s="140"/>
      <c r="XH13" s="62">
        <f t="shared" ref="XH13:YK13" si="132">XH12+XH11+XH10</f>
        <v>173860817</v>
      </c>
      <c r="XI13" s="62">
        <f t="shared" si="132"/>
        <v>160895422</v>
      </c>
      <c r="XJ13" s="62">
        <f t="shared" si="132"/>
        <v>148348698</v>
      </c>
      <c r="XK13" s="62">
        <f t="shared" si="132"/>
        <v>138362999</v>
      </c>
      <c r="XL13" s="62">
        <f t="shared" si="132"/>
        <v>124205058</v>
      </c>
      <c r="XM13" s="62">
        <f t="shared" si="132"/>
        <v>111947265</v>
      </c>
      <c r="XN13" s="62">
        <f t="shared" si="132"/>
        <v>96976682</v>
      </c>
      <c r="XO13" s="62">
        <f t="shared" si="132"/>
        <v>84029612</v>
      </c>
      <c r="XP13" s="62">
        <f t="shared" si="132"/>
        <v>138422389</v>
      </c>
      <c r="XQ13" s="62">
        <f t="shared" si="132"/>
        <v>124881017</v>
      </c>
      <c r="XR13" s="62">
        <f t="shared" si="132"/>
        <v>142061296</v>
      </c>
      <c r="XS13" s="62">
        <f t="shared" si="132"/>
        <v>128938313</v>
      </c>
      <c r="XT13" s="62">
        <f t="shared" si="132"/>
        <v>116683560</v>
      </c>
      <c r="XU13" s="62">
        <f t="shared" si="132"/>
        <v>104146514</v>
      </c>
      <c r="XV13" s="62">
        <f t="shared" si="132"/>
        <v>128302484</v>
      </c>
      <c r="XW13" s="62">
        <f t="shared" si="132"/>
        <v>114072548</v>
      </c>
      <c r="XX13" s="62">
        <f t="shared" si="132"/>
        <v>101414539</v>
      </c>
      <c r="XY13" s="62">
        <f t="shared" si="132"/>
        <v>126895084</v>
      </c>
      <c r="XZ13" s="62">
        <f t="shared" si="132"/>
        <v>144173404</v>
      </c>
      <c r="YA13" s="62">
        <f t="shared" si="132"/>
        <v>133745218</v>
      </c>
      <c r="YB13" s="62">
        <f t="shared" si="132"/>
        <v>121879874</v>
      </c>
      <c r="YC13" s="62">
        <f t="shared" si="132"/>
        <v>116296463</v>
      </c>
      <c r="YD13" s="62">
        <f t="shared" si="132"/>
        <v>141687179</v>
      </c>
      <c r="YE13" s="62">
        <f t="shared" si="132"/>
        <v>128882615</v>
      </c>
      <c r="YF13" s="62">
        <f t="shared" si="132"/>
        <v>160291873</v>
      </c>
      <c r="YG13" s="62">
        <f t="shared" si="132"/>
        <v>152294962</v>
      </c>
      <c r="YH13" s="62">
        <f t="shared" si="132"/>
        <v>139433454</v>
      </c>
      <c r="YI13" s="62">
        <f t="shared" si="132"/>
        <v>126796310</v>
      </c>
      <c r="YJ13" s="62">
        <f t="shared" si="132"/>
        <v>158749182</v>
      </c>
      <c r="YK13" s="62">
        <f t="shared" si="132"/>
        <v>146792804</v>
      </c>
      <c r="YL13" s="130"/>
      <c r="YM13" s="62">
        <f t="shared" ref="YM13:ZQ13" si="133">YM12+YM11+YM10</f>
        <v>132116918</v>
      </c>
      <c r="YN13" s="62">
        <f t="shared" si="133"/>
        <v>114852565</v>
      </c>
      <c r="YO13" s="62">
        <f t="shared" si="133"/>
        <v>100687998</v>
      </c>
      <c r="YP13" s="62">
        <f t="shared" si="133"/>
        <v>86635354</v>
      </c>
      <c r="YQ13" s="62">
        <f t="shared" si="133"/>
        <v>71555904</v>
      </c>
      <c r="YR13" s="62">
        <f t="shared" si="133"/>
        <v>57248195</v>
      </c>
      <c r="YS13" s="62">
        <f t="shared" si="133"/>
        <v>45501807</v>
      </c>
      <c r="YT13" s="62">
        <f t="shared" si="133"/>
        <v>42307129</v>
      </c>
      <c r="YU13" s="62">
        <f t="shared" si="133"/>
        <v>100632222</v>
      </c>
      <c r="YV13" s="62">
        <f t="shared" si="133"/>
        <v>85083662</v>
      </c>
      <c r="YW13" s="62">
        <f t="shared" si="133"/>
        <v>114132842</v>
      </c>
      <c r="YX13" s="62">
        <f t="shared" si="133"/>
        <v>146557262</v>
      </c>
      <c r="YY13" s="62">
        <f t="shared" si="133"/>
        <v>133799343</v>
      </c>
      <c r="YZ13" s="62">
        <f t="shared" si="133"/>
        <v>120455183</v>
      </c>
      <c r="ZA13" s="62">
        <f t="shared" si="133"/>
        <v>107739264</v>
      </c>
      <c r="ZB13" s="62">
        <f t="shared" si="133"/>
        <v>159458781</v>
      </c>
      <c r="ZC13" s="62">
        <f t="shared" si="133"/>
        <v>144591907</v>
      </c>
      <c r="ZD13" s="62">
        <f t="shared" si="133"/>
        <v>132250403</v>
      </c>
      <c r="ZE13" s="62">
        <f t="shared" si="133"/>
        <v>117128884</v>
      </c>
      <c r="ZF13" s="62">
        <f t="shared" si="133"/>
        <v>104212361</v>
      </c>
      <c r="ZG13" s="62">
        <f t="shared" si="133"/>
        <v>89524295</v>
      </c>
      <c r="ZH13" s="62">
        <f t="shared" si="133"/>
        <v>113359858</v>
      </c>
      <c r="ZI13" s="62">
        <f t="shared" si="133"/>
        <v>124329702</v>
      </c>
      <c r="ZJ13" s="62">
        <f t="shared" si="133"/>
        <v>109678138</v>
      </c>
      <c r="ZK13" s="62">
        <f t="shared" si="133"/>
        <v>94065332</v>
      </c>
      <c r="ZL13" s="62">
        <f t="shared" si="133"/>
        <v>81293149</v>
      </c>
      <c r="ZM13" s="62">
        <f t="shared" si="133"/>
        <v>128768902</v>
      </c>
      <c r="ZN13" s="62">
        <f t="shared" si="133"/>
        <v>156362818</v>
      </c>
      <c r="ZO13" s="62">
        <f t="shared" si="133"/>
        <v>179953194</v>
      </c>
      <c r="ZP13" s="62">
        <f t="shared" si="133"/>
        <v>164342344</v>
      </c>
      <c r="ZQ13" s="62">
        <f t="shared" si="133"/>
        <v>149393858</v>
      </c>
      <c r="ZR13" s="130"/>
      <c r="ZS13" s="62">
        <f t="shared" ref="ZS13:AAV13" si="134">ZS12+ZS11+ZS10</f>
        <v>133359591</v>
      </c>
      <c r="ZT13" s="62">
        <f t="shared" si="134"/>
        <v>119307088</v>
      </c>
      <c r="ZU13" s="62">
        <f t="shared" si="134"/>
        <v>109887400</v>
      </c>
      <c r="ZV13" s="62">
        <f t="shared" si="134"/>
        <v>95729688</v>
      </c>
      <c r="ZW13" s="62">
        <f t="shared" si="134"/>
        <v>124888844</v>
      </c>
      <c r="ZX13" s="62">
        <f t="shared" si="134"/>
        <v>172869939</v>
      </c>
      <c r="ZY13" s="62">
        <f t="shared" si="134"/>
        <v>157115780</v>
      </c>
      <c r="ZZ13" s="62">
        <f t="shared" si="134"/>
        <v>143174696</v>
      </c>
      <c r="AAA13" s="62">
        <f t="shared" si="134"/>
        <v>130579767</v>
      </c>
      <c r="AAB13" s="62">
        <f t="shared" si="134"/>
        <v>112108467</v>
      </c>
      <c r="AAC13" s="62">
        <f t="shared" si="134"/>
        <v>108961458</v>
      </c>
      <c r="AAD13" s="62">
        <f t="shared" si="134"/>
        <v>158700363</v>
      </c>
      <c r="AAE13" s="62">
        <f t="shared" si="134"/>
        <v>142166628</v>
      </c>
      <c r="AAF13" s="62">
        <f t="shared" si="134"/>
        <v>125784317</v>
      </c>
      <c r="AAG13" s="62">
        <f t="shared" si="134"/>
        <v>111102947</v>
      </c>
      <c r="AAH13" s="62">
        <f t="shared" si="134"/>
        <v>97963778</v>
      </c>
      <c r="AAI13" s="62">
        <f t="shared" si="134"/>
        <v>129549513</v>
      </c>
      <c r="AAJ13" s="62">
        <f t="shared" si="134"/>
        <v>170864609</v>
      </c>
      <c r="AAK13" s="62">
        <f t="shared" si="134"/>
        <v>155688640</v>
      </c>
      <c r="AAL13" s="62">
        <f t="shared" si="134"/>
        <v>141511735</v>
      </c>
      <c r="AAM13" s="62">
        <f t="shared" si="134"/>
        <v>123356120</v>
      </c>
      <c r="AAN13" s="62">
        <f t="shared" si="134"/>
        <v>111673810</v>
      </c>
      <c r="AAO13" s="62">
        <f t="shared" si="134"/>
        <v>97347361</v>
      </c>
      <c r="AAP13" s="62">
        <f t="shared" si="134"/>
        <v>147198334</v>
      </c>
      <c r="AAQ13" s="62">
        <f t="shared" si="134"/>
        <v>132821599</v>
      </c>
      <c r="AAR13" s="62">
        <f t="shared" si="134"/>
        <v>163053312</v>
      </c>
      <c r="AAS13" s="62">
        <f t="shared" si="134"/>
        <v>148335642</v>
      </c>
      <c r="AAT13" s="62">
        <f t="shared" si="134"/>
        <v>132021364</v>
      </c>
      <c r="AAU13" s="62">
        <f t="shared" si="134"/>
        <v>131311948</v>
      </c>
      <c r="AAV13" s="62">
        <f t="shared" si="134"/>
        <v>117278572</v>
      </c>
      <c r="AAW13" s="130"/>
      <c r="AAX13" s="62">
        <f t="shared" ref="AAX13:ACB13" si="135">AAX12+AAX11+AAX10</f>
        <v>162374436</v>
      </c>
      <c r="AAY13" s="62">
        <f t="shared" si="135"/>
        <v>149606767</v>
      </c>
      <c r="AAZ13" s="62">
        <f t="shared" si="135"/>
        <v>135439794</v>
      </c>
      <c r="ABA13" s="62">
        <f t="shared" si="135"/>
        <v>120688310</v>
      </c>
      <c r="ABB13" s="62">
        <f t="shared" si="135"/>
        <v>139906169</v>
      </c>
      <c r="ABC13" s="62">
        <f t="shared" si="135"/>
        <v>125319289</v>
      </c>
      <c r="ABD13" s="62">
        <f t="shared" si="135"/>
        <v>110983549</v>
      </c>
      <c r="ABE13" s="62">
        <f t="shared" si="135"/>
        <v>153477969</v>
      </c>
      <c r="ABF13" s="62">
        <f t="shared" si="135"/>
        <v>140446860</v>
      </c>
      <c r="ABG13" s="62">
        <f t="shared" si="135"/>
        <v>151175366</v>
      </c>
      <c r="ABH13" s="62">
        <f t="shared" si="135"/>
        <v>136449536</v>
      </c>
      <c r="ABI13" s="62">
        <f t="shared" si="135"/>
        <v>125246629</v>
      </c>
      <c r="ABJ13" s="62">
        <f t="shared" si="135"/>
        <v>112821505</v>
      </c>
      <c r="ABK13" s="62">
        <f t="shared" si="135"/>
        <v>98232854</v>
      </c>
      <c r="ABL13" s="62">
        <f t="shared" si="135"/>
        <v>83607535</v>
      </c>
      <c r="ABM13" s="62">
        <f t="shared" si="135"/>
        <v>141494159</v>
      </c>
      <c r="ABN13" s="62">
        <f t="shared" si="135"/>
        <v>131193778</v>
      </c>
      <c r="ABO13" s="62">
        <f t="shared" si="135"/>
        <v>115274329</v>
      </c>
      <c r="ABP13" s="62">
        <f t="shared" si="135"/>
        <v>138029090</v>
      </c>
      <c r="ABQ13" s="62">
        <f t="shared" si="135"/>
        <v>168758899</v>
      </c>
      <c r="ABR13" s="62">
        <f t="shared" si="135"/>
        <v>155672483</v>
      </c>
      <c r="ABS13" s="62">
        <f t="shared" si="135"/>
        <v>142793143</v>
      </c>
      <c r="ABT13" s="62">
        <f t="shared" si="135"/>
        <v>128291574</v>
      </c>
      <c r="ABU13" s="62">
        <f t="shared" si="135"/>
        <v>113191905</v>
      </c>
      <c r="ABV13" s="62">
        <f t="shared" si="135"/>
        <v>155947851</v>
      </c>
      <c r="ABW13" s="62">
        <f t="shared" si="135"/>
        <v>140177400</v>
      </c>
      <c r="ABX13" s="62">
        <f t="shared" si="135"/>
        <v>126211696</v>
      </c>
      <c r="ABY13" s="62">
        <f t="shared" si="135"/>
        <v>110400246</v>
      </c>
      <c r="ABZ13" s="62">
        <f t="shared" si="135"/>
        <v>135329770</v>
      </c>
      <c r="ACA13" s="62">
        <f t="shared" si="135"/>
        <v>176364246</v>
      </c>
      <c r="ACB13" s="62">
        <f t="shared" si="135"/>
        <v>162480227</v>
      </c>
      <c r="ACC13" s="130"/>
      <c r="ACD13" s="62">
        <f t="shared" ref="ACD13:ADH13" si="136">ACD12+ACD11+ACD10</f>
        <v>159741259</v>
      </c>
      <c r="ACE13" s="62">
        <f t="shared" si="136"/>
        <v>141418761</v>
      </c>
      <c r="ACF13" s="62">
        <f t="shared" si="136"/>
        <v>125900005</v>
      </c>
      <c r="ACG13" s="62">
        <f t="shared" si="136"/>
        <v>110405885</v>
      </c>
      <c r="ACH13" s="62">
        <f t="shared" si="136"/>
        <v>94266809</v>
      </c>
      <c r="ACI13" s="62">
        <f t="shared" si="136"/>
        <v>144553501</v>
      </c>
      <c r="ACJ13" s="62">
        <f t="shared" si="136"/>
        <v>129620026</v>
      </c>
      <c r="ACK13" s="62">
        <f t="shared" si="136"/>
        <v>114166623</v>
      </c>
      <c r="ACL13" s="62">
        <f t="shared" si="136"/>
        <v>135075378</v>
      </c>
      <c r="ACM13" s="62">
        <f t="shared" si="136"/>
        <v>122564562</v>
      </c>
      <c r="ACN13" s="62">
        <f t="shared" si="136"/>
        <v>105837451</v>
      </c>
      <c r="ACO13" s="62">
        <f t="shared" si="136"/>
        <v>92066458</v>
      </c>
      <c r="ACP13" s="62">
        <f t="shared" si="136"/>
        <v>170536061</v>
      </c>
      <c r="ACQ13" s="62">
        <f t="shared" si="136"/>
        <v>155190939</v>
      </c>
      <c r="ACR13" s="62">
        <f t="shared" si="136"/>
        <v>139949345</v>
      </c>
      <c r="ACS13" s="62">
        <f t="shared" si="136"/>
        <v>126215709</v>
      </c>
      <c r="ACT13" s="62">
        <f t="shared" si="136"/>
        <v>112523060</v>
      </c>
      <c r="ACU13" s="62">
        <f t="shared" si="136"/>
        <v>98591083</v>
      </c>
      <c r="ACV13" s="62">
        <f t="shared" si="136"/>
        <v>137361789</v>
      </c>
      <c r="ACW13" s="62">
        <f t="shared" si="136"/>
        <v>124963638</v>
      </c>
      <c r="ACX13" s="62">
        <f t="shared" si="136"/>
        <v>112610612</v>
      </c>
      <c r="ACY13" s="62">
        <f t="shared" si="136"/>
        <v>142591437</v>
      </c>
      <c r="ACZ13" s="62">
        <f t="shared" si="136"/>
        <v>128554124</v>
      </c>
      <c r="ADA13" s="62">
        <f t="shared" si="136"/>
        <v>115367951</v>
      </c>
      <c r="ADB13" s="62">
        <f t="shared" si="136"/>
        <v>147005330</v>
      </c>
      <c r="ADC13" s="62">
        <f t="shared" si="136"/>
        <v>185731640</v>
      </c>
      <c r="ADD13" s="62">
        <f t="shared" si="136"/>
        <v>172152292</v>
      </c>
      <c r="ADE13" s="62">
        <f t="shared" si="136"/>
        <v>159905321</v>
      </c>
      <c r="ADF13" s="62">
        <f t="shared" si="136"/>
        <v>145540633</v>
      </c>
      <c r="ADG13" s="62">
        <f t="shared" si="136"/>
        <v>170431535</v>
      </c>
      <c r="ADH13" s="62">
        <f t="shared" si="136"/>
        <v>157335960</v>
      </c>
      <c r="ADI13" s="130"/>
      <c r="ADJ13" s="62">
        <f t="shared" ref="ADJ13:AEM13" si="137">ADJ12+ADJ11+ADJ10</f>
        <v>147018540</v>
      </c>
      <c r="ADK13" s="62">
        <f t="shared" si="137"/>
        <v>134408380</v>
      </c>
      <c r="ADL13" s="62">
        <f t="shared" si="137"/>
        <v>121512341</v>
      </c>
      <c r="ADM13" s="62">
        <f t="shared" si="137"/>
        <v>106650689</v>
      </c>
      <c r="ADN13" s="62">
        <f t="shared" si="137"/>
        <v>149727214</v>
      </c>
      <c r="ADO13" s="62">
        <f t="shared" si="137"/>
        <v>170419355</v>
      </c>
      <c r="ADP13" s="62">
        <f t="shared" si="137"/>
        <v>168059818</v>
      </c>
      <c r="ADQ13" s="62">
        <f t="shared" si="137"/>
        <v>155512214</v>
      </c>
      <c r="ADR13" s="62">
        <f t="shared" si="137"/>
        <v>142474781</v>
      </c>
      <c r="ADS13" s="62">
        <f t="shared" si="137"/>
        <v>130546151</v>
      </c>
      <c r="ADT13" s="62">
        <f t="shared" si="137"/>
        <v>117652601</v>
      </c>
      <c r="ADU13" s="62">
        <f t="shared" si="137"/>
        <v>166573906</v>
      </c>
      <c r="ADV13" s="62">
        <f t="shared" si="137"/>
        <v>150889737</v>
      </c>
      <c r="ADW13" s="62">
        <f t="shared" si="137"/>
        <v>139773123</v>
      </c>
      <c r="ADX13" s="62">
        <f t="shared" si="137"/>
        <v>125366323</v>
      </c>
      <c r="ADY13" s="62">
        <f t="shared" si="137"/>
        <v>154151617</v>
      </c>
      <c r="ADZ13" s="62">
        <f t="shared" si="137"/>
        <v>142843862</v>
      </c>
      <c r="AEA13" s="62">
        <f t="shared" si="137"/>
        <v>130146454</v>
      </c>
      <c r="AEB13" s="62">
        <f t="shared" si="137"/>
        <v>118632920</v>
      </c>
      <c r="AEC13" s="62">
        <f t="shared" si="137"/>
        <v>166291751</v>
      </c>
      <c r="AED13" s="62">
        <f t="shared" si="137"/>
        <v>154578930</v>
      </c>
      <c r="AEE13" s="62">
        <f t="shared" si="137"/>
        <v>140820658</v>
      </c>
      <c r="AEF13" s="62">
        <f t="shared" si="137"/>
        <v>129059588</v>
      </c>
      <c r="AEG13" s="62">
        <f t="shared" si="137"/>
        <v>118412823</v>
      </c>
      <c r="AEH13" s="62">
        <f t="shared" si="137"/>
        <v>107017864</v>
      </c>
      <c r="AEI13" s="62">
        <f t="shared" si="137"/>
        <v>128915321</v>
      </c>
      <c r="AEJ13" s="62">
        <f t="shared" si="137"/>
        <v>153625736</v>
      </c>
      <c r="AEK13" s="62">
        <f t="shared" si="137"/>
        <v>142809715</v>
      </c>
      <c r="AEL13" s="62">
        <f t="shared" si="137"/>
        <v>130081184</v>
      </c>
      <c r="AEM13" s="62">
        <f t="shared" si="137"/>
        <v>160355702</v>
      </c>
      <c r="AEN13" s="130"/>
      <c r="AEO13" s="62">
        <f t="shared" ref="AEO13:AFS13" si="138">AEO12+AEO11+AEO10</f>
        <v>148050579</v>
      </c>
      <c r="AEP13" s="62">
        <f t="shared" si="138"/>
        <v>136484023</v>
      </c>
      <c r="AEQ13" s="62">
        <f t="shared" si="138"/>
        <v>146489217</v>
      </c>
      <c r="AER13" s="62">
        <f t="shared" si="138"/>
        <v>145079869</v>
      </c>
      <c r="AES13" s="62">
        <f t="shared" si="138"/>
        <v>133222954</v>
      </c>
      <c r="AET13" s="62">
        <f t="shared" si="138"/>
        <v>120373253</v>
      </c>
      <c r="AEU13" s="62">
        <f t="shared" si="138"/>
        <v>108479048</v>
      </c>
      <c r="AEV13" s="62">
        <f t="shared" si="138"/>
        <v>134357564</v>
      </c>
      <c r="AEW13" s="62">
        <f t="shared" si="138"/>
        <v>120077240</v>
      </c>
      <c r="AEX13" s="62">
        <f t="shared" si="138"/>
        <v>105552557</v>
      </c>
      <c r="AEY13" s="62">
        <f t="shared" si="138"/>
        <v>128630132</v>
      </c>
      <c r="AEZ13" s="62">
        <f t="shared" si="138"/>
        <v>117669577</v>
      </c>
      <c r="AFA13" s="62">
        <f t="shared" si="138"/>
        <v>105599014</v>
      </c>
      <c r="AFB13" s="62">
        <f t="shared" si="138"/>
        <v>156920551</v>
      </c>
      <c r="AFC13" s="62">
        <f t="shared" si="138"/>
        <v>144069441</v>
      </c>
      <c r="AFD13" s="62">
        <f t="shared" si="138"/>
        <v>131248854</v>
      </c>
      <c r="AFE13" s="62">
        <f t="shared" si="138"/>
        <v>155132429</v>
      </c>
      <c r="AFF13" s="62">
        <f t="shared" si="138"/>
        <v>179959223</v>
      </c>
      <c r="AFG13" s="62">
        <f t="shared" si="138"/>
        <v>173756990</v>
      </c>
      <c r="AFH13" s="62">
        <f t="shared" si="138"/>
        <v>161219192</v>
      </c>
      <c r="AFI13" s="62">
        <f t="shared" si="138"/>
        <v>147994413</v>
      </c>
      <c r="AFJ13" s="62">
        <f t="shared" si="138"/>
        <v>137006623</v>
      </c>
      <c r="AFK13" s="62">
        <f t="shared" si="138"/>
        <v>126146064</v>
      </c>
      <c r="AFL13" s="62">
        <f t="shared" si="138"/>
        <v>152589632</v>
      </c>
      <c r="AFM13" s="62">
        <f t="shared" si="138"/>
        <v>137333050</v>
      </c>
      <c r="AFN13" s="62">
        <f t="shared" si="138"/>
        <v>124820952</v>
      </c>
      <c r="AFO13" s="62">
        <f t="shared" si="138"/>
        <v>111868057</v>
      </c>
      <c r="AFP13" s="62">
        <f t="shared" si="138"/>
        <v>100293850</v>
      </c>
      <c r="AFQ13" s="62">
        <f t="shared" si="138"/>
        <v>88920926</v>
      </c>
      <c r="AFR13" s="62">
        <f t="shared" si="138"/>
        <v>85197113</v>
      </c>
      <c r="AFS13" s="62">
        <f t="shared" si="138"/>
        <v>72040190</v>
      </c>
      <c r="AFT13" s="130"/>
      <c r="AFU13" s="62">
        <f t="shared" ref="AFU13:AGX13" si="139">AFU12+AFU11+AFU10</f>
        <v>175654517</v>
      </c>
      <c r="AFV13" s="62">
        <f t="shared" si="139"/>
        <v>162349753</v>
      </c>
      <c r="AFW13" s="62">
        <f t="shared" si="139"/>
        <v>150466302</v>
      </c>
      <c r="AFX13" s="62">
        <f t="shared" si="139"/>
        <v>138350101</v>
      </c>
      <c r="AFY13" s="62">
        <f t="shared" si="139"/>
        <v>124584593</v>
      </c>
      <c r="AFZ13" s="62">
        <f t="shared" si="139"/>
        <v>160654858</v>
      </c>
      <c r="AGA13" s="62">
        <f t="shared" si="139"/>
        <v>152926516</v>
      </c>
      <c r="AGB13" s="62">
        <f t="shared" si="139"/>
        <v>140528831</v>
      </c>
      <c r="AGC13" s="62">
        <f t="shared" si="139"/>
        <v>127873981</v>
      </c>
      <c r="AGD13" s="62">
        <f t="shared" si="139"/>
        <v>115292425</v>
      </c>
      <c r="AGE13" s="62">
        <f t="shared" si="139"/>
        <v>103147672</v>
      </c>
      <c r="AGF13" s="62">
        <f t="shared" si="139"/>
        <v>153960217</v>
      </c>
      <c r="AGG13" s="62">
        <f t="shared" si="139"/>
        <v>142212672</v>
      </c>
      <c r="AGH13" s="62">
        <f t="shared" si="139"/>
        <v>166944455</v>
      </c>
      <c r="AGI13" s="62">
        <f t="shared" si="139"/>
        <v>154751486</v>
      </c>
      <c r="AGJ13" s="62">
        <f t="shared" si="139"/>
        <v>144033903</v>
      </c>
      <c r="AGK13" s="62">
        <f t="shared" si="139"/>
        <v>131141281</v>
      </c>
      <c r="AGL13" s="62">
        <f t="shared" si="139"/>
        <v>119044742</v>
      </c>
      <c r="AGM13" s="62">
        <f t="shared" si="139"/>
        <v>106646857</v>
      </c>
      <c r="AGN13" s="62">
        <f t="shared" si="139"/>
        <v>99591950</v>
      </c>
      <c r="AGO13" s="62">
        <f t="shared" si="139"/>
        <v>147220180</v>
      </c>
      <c r="AGP13" s="62">
        <f t="shared" si="139"/>
        <v>130325718</v>
      </c>
      <c r="AGQ13" s="62">
        <f t="shared" si="139"/>
        <v>140447265</v>
      </c>
      <c r="AGR13" s="62">
        <f t="shared" si="139"/>
        <v>134533809</v>
      </c>
      <c r="AGS13" s="62">
        <f t="shared" si="139"/>
        <v>121495336</v>
      </c>
      <c r="AGT13" s="62">
        <f t="shared" si="139"/>
        <v>150554151</v>
      </c>
      <c r="AGU13" s="62">
        <f t="shared" si="139"/>
        <v>137404848</v>
      </c>
      <c r="AGV13" s="62">
        <f t="shared" si="139"/>
        <v>121042219</v>
      </c>
      <c r="AGW13" s="62">
        <f t="shared" si="139"/>
        <v>136307848</v>
      </c>
      <c r="AGX13" s="62">
        <f t="shared" si="139"/>
        <v>124116757</v>
      </c>
      <c r="AGY13" s="140"/>
      <c r="AGZ13" s="62">
        <f t="shared" ref="AGZ13:AID13" si="140">AGZ12+AGZ11+AGZ10</f>
        <v>114751027</v>
      </c>
      <c r="AHA13" s="62">
        <f t="shared" si="140"/>
        <v>101245902</v>
      </c>
      <c r="AHB13" s="62">
        <f t="shared" si="140"/>
        <v>149582953</v>
      </c>
      <c r="AHC13" s="62">
        <f t="shared" si="140"/>
        <v>135796560</v>
      </c>
      <c r="AHD13" s="62">
        <f t="shared" si="140"/>
        <v>118453578</v>
      </c>
      <c r="AHE13" s="62">
        <f t="shared" si="140"/>
        <v>142067211</v>
      </c>
      <c r="AHF13" s="62">
        <f t="shared" si="140"/>
        <v>129014248</v>
      </c>
      <c r="AHG13" s="62">
        <f t="shared" si="140"/>
        <v>115845318</v>
      </c>
      <c r="AHH13" s="62">
        <f t="shared" si="140"/>
        <v>109801803</v>
      </c>
      <c r="AHI13" s="62">
        <f t="shared" si="140"/>
        <v>96247210</v>
      </c>
      <c r="AHJ13" s="62">
        <f t="shared" si="140"/>
        <v>180962589</v>
      </c>
      <c r="AHK13" s="62">
        <f t="shared" si="140"/>
        <v>165346635</v>
      </c>
      <c r="AHL13" s="62">
        <f t="shared" si="140"/>
        <v>151166625</v>
      </c>
      <c r="AHM13" s="62">
        <f t="shared" si="140"/>
        <v>139141813</v>
      </c>
      <c r="AHN13" s="62">
        <f t="shared" si="140"/>
        <v>125684582</v>
      </c>
      <c r="AHO13" s="62">
        <f t="shared" si="140"/>
        <v>113163442</v>
      </c>
      <c r="AHP13" s="62">
        <f t="shared" si="140"/>
        <v>167226382</v>
      </c>
      <c r="AHQ13" s="62">
        <f t="shared" si="140"/>
        <v>152333451</v>
      </c>
      <c r="AHR13" s="62">
        <f t="shared" si="140"/>
        <v>135928708</v>
      </c>
      <c r="AHS13" s="62">
        <f t="shared" si="140"/>
        <v>121952100</v>
      </c>
      <c r="AHT13" s="62">
        <f t="shared" si="140"/>
        <v>107194685</v>
      </c>
      <c r="AHU13" s="62">
        <f t="shared" si="140"/>
        <v>103809646</v>
      </c>
      <c r="AHV13" s="62">
        <f t="shared" si="140"/>
        <v>86037009</v>
      </c>
      <c r="AHW13" s="62">
        <f t="shared" si="140"/>
        <v>174586445</v>
      </c>
      <c r="AHX13" s="62">
        <f t="shared" si="140"/>
        <v>163023860</v>
      </c>
      <c r="AHY13" s="62">
        <f t="shared" si="140"/>
        <v>151341696</v>
      </c>
      <c r="AHZ13" s="62">
        <f t="shared" si="140"/>
        <v>140433849</v>
      </c>
      <c r="AIA13" s="62">
        <f t="shared" si="140"/>
        <v>130760077</v>
      </c>
      <c r="AIB13" s="62">
        <f t="shared" si="140"/>
        <v>119522305</v>
      </c>
      <c r="AIC13" s="62">
        <f t="shared" si="140"/>
        <v>106846267</v>
      </c>
      <c r="AID13" s="62">
        <f t="shared" si="140"/>
        <v>153503304</v>
      </c>
      <c r="AIE13" s="130"/>
      <c r="AIF13" s="62">
        <f t="shared" ref="AIF13:AJJ13" si="141">AIF12+AIF11+AIF10</f>
        <v>142350720</v>
      </c>
      <c r="AIG13" s="62">
        <f t="shared" si="141"/>
        <v>130351083</v>
      </c>
      <c r="AIH13" s="62">
        <f t="shared" si="141"/>
        <v>118260993</v>
      </c>
      <c r="AII13" s="62">
        <f t="shared" si="141"/>
        <v>120165490</v>
      </c>
      <c r="AIJ13" s="62">
        <f t="shared" si="141"/>
        <v>119053478</v>
      </c>
      <c r="AIK13" s="62">
        <f t="shared" si="141"/>
        <v>153294226</v>
      </c>
      <c r="AIL13" s="62">
        <f t="shared" si="141"/>
        <v>139954354</v>
      </c>
      <c r="AIM13" s="62">
        <f t="shared" si="141"/>
        <v>125881650</v>
      </c>
      <c r="AIN13" s="62">
        <f t="shared" si="141"/>
        <v>153199401</v>
      </c>
      <c r="AIO13" s="62">
        <f t="shared" si="141"/>
        <v>136103527</v>
      </c>
      <c r="AIP13" s="62">
        <f t="shared" si="141"/>
        <v>123319394</v>
      </c>
      <c r="AIQ13" s="62">
        <f t="shared" si="141"/>
        <v>111843403</v>
      </c>
      <c r="AIR13" s="62">
        <f t="shared" si="141"/>
        <v>121980202</v>
      </c>
      <c r="AIS13" s="62">
        <f t="shared" si="141"/>
        <v>110115288</v>
      </c>
      <c r="AIT13" s="62">
        <f t="shared" si="141"/>
        <v>103066561</v>
      </c>
      <c r="AIU13" s="62">
        <f t="shared" si="141"/>
        <v>94035399</v>
      </c>
      <c r="AIV13" s="62">
        <f t="shared" si="141"/>
        <v>87791074</v>
      </c>
      <c r="AIW13" s="62">
        <f t="shared" si="141"/>
        <v>80075115</v>
      </c>
      <c r="AIX13" s="62">
        <f t="shared" si="141"/>
        <v>92719204</v>
      </c>
      <c r="AIY13" s="62">
        <f t="shared" si="141"/>
        <v>81373284</v>
      </c>
      <c r="AIZ13" s="62">
        <f t="shared" si="141"/>
        <v>67780611</v>
      </c>
      <c r="AJA13" s="62">
        <f t="shared" si="141"/>
        <v>109266342</v>
      </c>
      <c r="AJB13" s="62">
        <f t="shared" si="141"/>
        <v>140910772</v>
      </c>
      <c r="AJC13" s="62">
        <f t="shared" si="141"/>
        <v>134842745</v>
      </c>
      <c r="AJD13" s="62">
        <f t="shared" si="141"/>
        <v>147206718</v>
      </c>
      <c r="AJE13" s="62">
        <f t="shared" si="141"/>
        <v>135738397</v>
      </c>
      <c r="AJF13" s="62">
        <f t="shared" si="141"/>
        <v>122414046</v>
      </c>
      <c r="AJG13" s="62">
        <f t="shared" si="141"/>
        <v>109635896</v>
      </c>
      <c r="AJH13" s="62">
        <f t="shared" si="141"/>
        <v>97179028</v>
      </c>
      <c r="AJI13" s="62">
        <f t="shared" si="141"/>
        <v>164739372</v>
      </c>
      <c r="AJJ13" s="62">
        <f t="shared" si="141"/>
        <v>151453876</v>
      </c>
      <c r="AJK13" s="145"/>
      <c r="AJL13" s="62">
        <f t="shared" ref="AJL13:AKM13" si="142">AJL12+AJL11+AJL10</f>
        <v>140327929</v>
      </c>
      <c r="AJM13" s="62">
        <f t="shared" si="142"/>
        <v>132193173</v>
      </c>
      <c r="AJN13" s="62">
        <f t="shared" si="142"/>
        <v>117920321</v>
      </c>
      <c r="AJO13" s="62">
        <f t="shared" si="142"/>
        <v>104871114</v>
      </c>
      <c r="AJP13" s="62">
        <f t="shared" si="142"/>
        <v>92064867</v>
      </c>
      <c r="AJQ13" s="62">
        <f t="shared" si="142"/>
        <v>124236135</v>
      </c>
      <c r="AJR13" s="62">
        <f t="shared" si="142"/>
        <v>149138921</v>
      </c>
      <c r="AJS13" s="62">
        <f t="shared" si="142"/>
        <v>135693063</v>
      </c>
      <c r="AJT13" s="62">
        <f t="shared" si="142"/>
        <v>121618249</v>
      </c>
      <c r="AJU13" s="62">
        <f t="shared" si="142"/>
        <v>114526538</v>
      </c>
      <c r="AJV13" s="62">
        <f t="shared" si="142"/>
        <v>94169615</v>
      </c>
      <c r="AJW13" s="62">
        <f t="shared" si="142"/>
        <v>101546024</v>
      </c>
      <c r="AJX13" s="62">
        <f t="shared" si="142"/>
        <v>86604215</v>
      </c>
      <c r="AJY13" s="62">
        <f t="shared" si="142"/>
        <v>142595635</v>
      </c>
      <c r="AJZ13" s="62">
        <f t="shared" si="142"/>
        <v>130527032</v>
      </c>
      <c r="AKA13" s="62">
        <f t="shared" si="142"/>
        <v>127484051</v>
      </c>
      <c r="AKB13" s="62">
        <f t="shared" si="142"/>
        <v>114688292</v>
      </c>
      <c r="AKC13" s="62">
        <f t="shared" si="142"/>
        <v>102771252</v>
      </c>
      <c r="AKD13" s="62">
        <f t="shared" si="142"/>
        <v>164176557</v>
      </c>
      <c r="AKE13" s="62">
        <f t="shared" si="142"/>
        <v>152389816</v>
      </c>
      <c r="AKF13" s="62">
        <f t="shared" si="142"/>
        <v>140658556</v>
      </c>
      <c r="AKG13" s="62">
        <f t="shared" si="142"/>
        <v>130201219</v>
      </c>
      <c r="AKH13" s="62">
        <f t="shared" si="142"/>
        <v>116435816</v>
      </c>
      <c r="AKI13" s="62">
        <f t="shared" si="142"/>
        <v>104134917</v>
      </c>
      <c r="AKJ13" s="62">
        <f t="shared" si="142"/>
        <v>91140245</v>
      </c>
      <c r="AKK13" s="62">
        <f t="shared" si="142"/>
        <v>102788822</v>
      </c>
      <c r="AKL13" s="62">
        <f t="shared" si="142"/>
        <v>90500285</v>
      </c>
      <c r="AKM13" s="62">
        <f t="shared" si="142"/>
        <v>141914137</v>
      </c>
      <c r="AKN13" s="53"/>
      <c r="AKO13" s="62">
        <f t="shared" ref="AKO13:ALS13" si="143">AKO12+AKO11+AKO10</f>
        <v>129661244</v>
      </c>
      <c r="AKP13" s="62">
        <f t="shared" si="143"/>
        <v>128650489</v>
      </c>
      <c r="AKQ13" s="62">
        <f t="shared" si="143"/>
        <v>116483096</v>
      </c>
      <c r="AKR13" s="62">
        <f t="shared" si="143"/>
        <v>105972961</v>
      </c>
      <c r="AKS13" s="62">
        <f t="shared" si="143"/>
        <v>94378729</v>
      </c>
      <c r="AKT13" s="62">
        <f t="shared" si="143"/>
        <v>139570597</v>
      </c>
      <c r="AKU13" s="62">
        <f t="shared" si="143"/>
        <v>148982873</v>
      </c>
      <c r="AKV13" s="62">
        <f t="shared" si="143"/>
        <v>135932716</v>
      </c>
      <c r="AKW13" s="62">
        <f t="shared" si="143"/>
        <v>123133788</v>
      </c>
      <c r="AKX13" s="62">
        <f t="shared" si="143"/>
        <v>156545782</v>
      </c>
      <c r="AKY13" s="62">
        <f t="shared" si="143"/>
        <v>146293903</v>
      </c>
      <c r="AKZ13" s="62">
        <f t="shared" si="143"/>
        <v>142093598</v>
      </c>
      <c r="ALA13" s="62">
        <f t="shared" si="143"/>
        <v>178145439</v>
      </c>
      <c r="ALB13" s="62">
        <f t="shared" si="143"/>
        <v>165441330</v>
      </c>
      <c r="ALC13" s="62">
        <f t="shared" si="143"/>
        <v>152161084</v>
      </c>
      <c r="ALD13" s="62">
        <f t="shared" si="143"/>
        <v>135273997</v>
      </c>
      <c r="ALE13" s="62">
        <f t="shared" si="143"/>
        <v>121582460</v>
      </c>
      <c r="ALF13" s="62">
        <f t="shared" si="143"/>
        <v>112122093</v>
      </c>
      <c r="ALG13" s="62">
        <f t="shared" si="143"/>
        <v>119879927</v>
      </c>
      <c r="ALH13" s="62">
        <f t="shared" si="143"/>
        <v>172231083</v>
      </c>
      <c r="ALI13" s="62">
        <f t="shared" si="143"/>
        <v>157996213</v>
      </c>
      <c r="ALJ13" s="62">
        <f t="shared" si="143"/>
        <v>144748288</v>
      </c>
      <c r="ALK13" s="62">
        <f t="shared" si="143"/>
        <v>110893028</v>
      </c>
      <c r="ALL13" s="62">
        <f t="shared" si="143"/>
        <v>102768775</v>
      </c>
      <c r="ALM13" s="62">
        <f t="shared" si="143"/>
        <v>87883873</v>
      </c>
      <c r="ALN13" s="62">
        <f t="shared" si="143"/>
        <v>172502598</v>
      </c>
      <c r="ALO13" s="62">
        <f t="shared" si="143"/>
        <v>156836232</v>
      </c>
      <c r="ALP13" s="62">
        <f t="shared" si="143"/>
        <v>178639767</v>
      </c>
      <c r="ALQ13" s="62">
        <f t="shared" si="143"/>
        <v>167905649</v>
      </c>
      <c r="ALR13" s="62">
        <f t="shared" si="143"/>
        <v>150732295</v>
      </c>
      <c r="ALS13" s="62">
        <f t="shared" si="143"/>
        <v>144746087</v>
      </c>
      <c r="ALT13" s="130"/>
      <c r="ALU13" s="62">
        <f t="shared" ref="ALU13:AMX13" si="144">ALU12+ALU11+ALU10</f>
        <v>126999570</v>
      </c>
      <c r="ALV13" s="62">
        <f t="shared" si="144"/>
        <v>191407775</v>
      </c>
      <c r="ALW13" s="62">
        <f t="shared" si="144"/>
        <v>202849777</v>
      </c>
      <c r="ALX13" s="62">
        <f t="shared" si="144"/>
        <v>186944953</v>
      </c>
      <c r="ALY13" s="62">
        <f t="shared" si="144"/>
        <v>177552780</v>
      </c>
      <c r="ALZ13" s="62">
        <f t="shared" si="144"/>
        <v>169679343</v>
      </c>
      <c r="AMA13" s="62">
        <f t="shared" si="144"/>
        <v>154173400</v>
      </c>
      <c r="AMB13" s="62">
        <f t="shared" si="144"/>
        <v>138301483</v>
      </c>
      <c r="AMC13" s="62">
        <f t="shared" si="144"/>
        <v>124041323</v>
      </c>
      <c r="AMD13" s="62">
        <f t="shared" si="144"/>
        <v>132397300</v>
      </c>
      <c r="AME13" s="62">
        <f t="shared" si="144"/>
        <v>114144537</v>
      </c>
      <c r="AMF13" s="62">
        <f t="shared" si="144"/>
        <v>148995367</v>
      </c>
      <c r="AMG13" s="62">
        <f t="shared" si="144"/>
        <v>131399428</v>
      </c>
      <c r="AMH13" s="62">
        <f t="shared" si="144"/>
        <v>159274372</v>
      </c>
      <c r="AMI13" s="62">
        <f t="shared" si="144"/>
        <v>153215006</v>
      </c>
      <c r="AMJ13" s="62">
        <f t="shared" si="144"/>
        <v>138048179</v>
      </c>
      <c r="AMK13" s="62">
        <f t="shared" si="144"/>
        <v>164612460</v>
      </c>
      <c r="AML13" s="62">
        <f t="shared" si="144"/>
        <v>147047052</v>
      </c>
      <c r="AMM13" s="62">
        <f t="shared" si="144"/>
        <v>129887369</v>
      </c>
      <c r="AMN13" s="62">
        <f t="shared" si="144"/>
        <v>104607731</v>
      </c>
      <c r="AMO13" s="62">
        <f t="shared" si="144"/>
        <v>161965239</v>
      </c>
      <c r="AMP13" s="62">
        <f t="shared" si="144"/>
        <v>139748251</v>
      </c>
      <c r="AMQ13" s="62">
        <f t="shared" si="144"/>
        <v>110343979</v>
      </c>
      <c r="AMR13" s="62">
        <f t="shared" si="144"/>
        <v>149235735</v>
      </c>
      <c r="AMS13" s="62">
        <f t="shared" si="144"/>
        <v>167416838</v>
      </c>
      <c r="AMT13" s="62">
        <f t="shared" si="144"/>
        <v>138624664</v>
      </c>
      <c r="AMU13" s="62">
        <f t="shared" si="144"/>
        <v>121989706</v>
      </c>
      <c r="AMV13" s="62">
        <f t="shared" si="144"/>
        <v>149550762</v>
      </c>
      <c r="AMW13" s="62">
        <f t="shared" si="144"/>
        <v>122825863</v>
      </c>
      <c r="AMX13" s="62">
        <f t="shared" si="144"/>
        <v>153609369</v>
      </c>
      <c r="AMY13" s="130"/>
      <c r="AMZ13" s="62">
        <f t="shared" ref="AMZ13:AOC13" si="145">AMZ12+AMZ11+AMZ10</f>
        <v>195512698</v>
      </c>
      <c r="ANA13" s="62">
        <f t="shared" si="145"/>
        <v>179185829</v>
      </c>
      <c r="ANB13" s="62">
        <f t="shared" si="145"/>
        <v>167014716</v>
      </c>
      <c r="ANC13" s="62">
        <f t="shared" si="145"/>
        <v>149406031</v>
      </c>
      <c r="AND13" s="62">
        <f t="shared" si="145"/>
        <v>182468149</v>
      </c>
      <c r="ANE13" s="62">
        <f t="shared" si="145"/>
        <v>192653674</v>
      </c>
      <c r="ANF13" s="62">
        <f t="shared" si="145"/>
        <v>177809828</v>
      </c>
      <c r="ANG13" s="62">
        <f t="shared" si="145"/>
        <v>200773237</v>
      </c>
      <c r="ANH13" s="62">
        <f t="shared" si="145"/>
        <v>183595060</v>
      </c>
      <c r="ANI13" s="62">
        <f t="shared" si="145"/>
        <v>167948015</v>
      </c>
      <c r="ANJ13" s="62">
        <f t="shared" si="145"/>
        <v>154505325</v>
      </c>
      <c r="ANK13" s="62">
        <f t="shared" si="145"/>
        <v>141252550</v>
      </c>
      <c r="ANL13" s="62">
        <f t="shared" si="145"/>
        <v>126079347</v>
      </c>
      <c r="ANM13" s="62">
        <f t="shared" si="145"/>
        <v>174236639</v>
      </c>
      <c r="ANN13" s="62">
        <f t="shared" si="145"/>
        <v>156333014</v>
      </c>
      <c r="ANO13" s="62">
        <f t="shared" si="145"/>
        <v>148857841</v>
      </c>
      <c r="ANP13" s="62">
        <f t="shared" si="145"/>
        <v>175286195</v>
      </c>
      <c r="ANQ13" s="62">
        <f t="shared" si="145"/>
        <v>162757686</v>
      </c>
      <c r="ANR13" s="62">
        <f t="shared" si="145"/>
        <v>149572855</v>
      </c>
      <c r="ANS13" s="62">
        <f t="shared" si="145"/>
        <v>196657076</v>
      </c>
      <c r="ANT13" s="62">
        <f t="shared" si="145"/>
        <v>185999796</v>
      </c>
      <c r="ANU13" s="62">
        <f t="shared" si="145"/>
        <v>196269131</v>
      </c>
      <c r="ANV13" s="62">
        <f t="shared" si="145"/>
        <v>187753723</v>
      </c>
      <c r="ANW13" s="62">
        <f t="shared" si="145"/>
        <v>172884481</v>
      </c>
      <c r="ANX13" s="62">
        <f t="shared" si="145"/>
        <v>156049898</v>
      </c>
      <c r="ANY13" s="62">
        <f t="shared" si="145"/>
        <v>135498304</v>
      </c>
      <c r="ANZ13" s="62">
        <f t="shared" si="145"/>
        <v>176448416</v>
      </c>
      <c r="AOA13" s="62">
        <f t="shared" si="145"/>
        <v>162600303</v>
      </c>
      <c r="AOB13" s="62">
        <f t="shared" si="145"/>
        <v>147133884</v>
      </c>
      <c r="AOC13" s="62">
        <f t="shared" si="145"/>
        <v>222837340</v>
      </c>
    </row>
    <row r="14" spans="1:1069" x14ac:dyDescent="0.2">
      <c r="A14" s="173" t="s">
        <v>1645</v>
      </c>
      <c r="B14" t="s">
        <v>1646</v>
      </c>
      <c r="C14" s="52">
        <v>38427722</v>
      </c>
      <c r="D14" s="52">
        <f>C14</f>
        <v>38427722</v>
      </c>
      <c r="E14" s="52">
        <v>755000</v>
      </c>
      <c r="F14" s="52">
        <f t="shared" ref="F14:AH14" si="146">E14</f>
        <v>755000</v>
      </c>
      <c r="G14" s="52">
        <f t="shared" si="146"/>
        <v>755000</v>
      </c>
      <c r="H14" s="52">
        <f t="shared" si="146"/>
        <v>755000</v>
      </c>
      <c r="I14" s="52">
        <f t="shared" si="146"/>
        <v>755000</v>
      </c>
      <c r="J14" s="52">
        <f t="shared" si="146"/>
        <v>755000</v>
      </c>
      <c r="K14" s="52">
        <f t="shared" si="146"/>
        <v>755000</v>
      </c>
      <c r="L14" s="52">
        <f t="shared" si="146"/>
        <v>755000</v>
      </c>
      <c r="M14" s="52">
        <f t="shared" si="146"/>
        <v>755000</v>
      </c>
      <c r="N14" s="52">
        <f t="shared" si="146"/>
        <v>755000</v>
      </c>
      <c r="O14" s="52">
        <f t="shared" si="146"/>
        <v>755000</v>
      </c>
      <c r="P14" s="52">
        <f t="shared" si="146"/>
        <v>755000</v>
      </c>
      <c r="Q14" s="52">
        <f t="shared" si="146"/>
        <v>755000</v>
      </c>
      <c r="R14" s="52">
        <f t="shared" si="146"/>
        <v>755000</v>
      </c>
      <c r="S14" s="52">
        <f t="shared" si="146"/>
        <v>755000</v>
      </c>
      <c r="T14" s="52">
        <f t="shared" si="146"/>
        <v>755000</v>
      </c>
      <c r="U14" s="52">
        <f t="shared" si="146"/>
        <v>755000</v>
      </c>
      <c r="V14" s="52">
        <f t="shared" si="146"/>
        <v>755000</v>
      </c>
      <c r="W14" s="52">
        <f t="shared" si="146"/>
        <v>755000</v>
      </c>
      <c r="X14" s="52">
        <f t="shared" si="146"/>
        <v>755000</v>
      </c>
      <c r="Y14" s="52">
        <f t="shared" si="146"/>
        <v>755000</v>
      </c>
      <c r="Z14" s="52">
        <f t="shared" si="146"/>
        <v>755000</v>
      </c>
      <c r="AA14" s="52">
        <f t="shared" si="146"/>
        <v>755000</v>
      </c>
      <c r="AB14" s="52">
        <f t="shared" si="146"/>
        <v>755000</v>
      </c>
      <c r="AC14" s="52">
        <f t="shared" si="146"/>
        <v>755000</v>
      </c>
      <c r="AD14" s="52">
        <f t="shared" si="146"/>
        <v>755000</v>
      </c>
      <c r="AE14" s="52">
        <f t="shared" si="146"/>
        <v>755000</v>
      </c>
      <c r="AF14" s="52">
        <f t="shared" si="146"/>
        <v>755000</v>
      </c>
      <c r="AG14" s="52">
        <f t="shared" si="146"/>
        <v>755000</v>
      </c>
      <c r="AH14" s="67">
        <f t="shared" si="146"/>
        <v>755000</v>
      </c>
      <c r="AI14" s="52">
        <f>AH14+AH26</f>
        <v>38240835</v>
      </c>
      <c r="AJ14" s="52">
        <f t="shared" ref="AJ14:AR14" si="147">AI14</f>
        <v>38240835</v>
      </c>
      <c r="AK14" s="52">
        <f t="shared" si="147"/>
        <v>38240835</v>
      </c>
      <c r="AL14" s="52">
        <f t="shared" si="147"/>
        <v>38240835</v>
      </c>
      <c r="AM14" s="52">
        <f t="shared" si="147"/>
        <v>38240835</v>
      </c>
      <c r="AN14" s="52">
        <f t="shared" si="147"/>
        <v>38240835</v>
      </c>
      <c r="AO14" s="52">
        <f t="shared" si="147"/>
        <v>38240835</v>
      </c>
      <c r="AP14" s="52">
        <f t="shared" si="147"/>
        <v>38240835</v>
      </c>
      <c r="AQ14" s="52">
        <f t="shared" si="147"/>
        <v>38240835</v>
      </c>
      <c r="AR14" s="52">
        <f t="shared" si="147"/>
        <v>38240835</v>
      </c>
      <c r="AS14" s="52">
        <v>0</v>
      </c>
      <c r="AT14" s="52">
        <f t="shared" ref="AT14:BL14" si="148">AS14</f>
        <v>0</v>
      </c>
      <c r="AU14" s="52">
        <f t="shared" si="148"/>
        <v>0</v>
      </c>
      <c r="AV14" s="52">
        <f t="shared" si="148"/>
        <v>0</v>
      </c>
      <c r="AW14" s="52">
        <f t="shared" si="148"/>
        <v>0</v>
      </c>
      <c r="AX14" s="52">
        <f t="shared" si="148"/>
        <v>0</v>
      </c>
      <c r="AY14" s="52">
        <f t="shared" si="148"/>
        <v>0</v>
      </c>
      <c r="AZ14" s="52">
        <f t="shared" si="148"/>
        <v>0</v>
      </c>
      <c r="BA14" s="52">
        <f t="shared" si="148"/>
        <v>0</v>
      </c>
      <c r="BB14" s="52">
        <f t="shared" si="148"/>
        <v>0</v>
      </c>
      <c r="BC14" s="52">
        <f t="shared" si="148"/>
        <v>0</v>
      </c>
      <c r="BD14" s="52">
        <f t="shared" si="148"/>
        <v>0</v>
      </c>
      <c r="BE14" s="52">
        <f t="shared" si="148"/>
        <v>0</v>
      </c>
      <c r="BF14" s="52">
        <f t="shared" si="148"/>
        <v>0</v>
      </c>
      <c r="BG14" s="52">
        <f t="shared" si="148"/>
        <v>0</v>
      </c>
      <c r="BH14" s="52">
        <f t="shared" si="148"/>
        <v>0</v>
      </c>
      <c r="BI14" s="52">
        <f t="shared" si="148"/>
        <v>0</v>
      </c>
      <c r="BJ14" s="52">
        <f t="shared" si="148"/>
        <v>0</v>
      </c>
      <c r="BK14" s="52">
        <f t="shared" si="148"/>
        <v>0</v>
      </c>
      <c r="BL14" s="52">
        <f t="shared" si="148"/>
        <v>0</v>
      </c>
      <c r="BM14" s="106">
        <f>BL26</f>
        <v>37092604</v>
      </c>
      <c r="BN14" s="52">
        <f t="shared" ref="BN14:BZ14" si="149">BM14</f>
        <v>37092604</v>
      </c>
      <c r="BO14" s="52">
        <f t="shared" si="149"/>
        <v>37092604</v>
      </c>
      <c r="BP14" s="52">
        <f t="shared" si="149"/>
        <v>37092604</v>
      </c>
      <c r="BQ14" s="52">
        <f t="shared" si="149"/>
        <v>37092604</v>
      </c>
      <c r="BR14" s="52">
        <f t="shared" si="149"/>
        <v>37092604</v>
      </c>
      <c r="BS14" s="52">
        <f t="shared" si="149"/>
        <v>37092604</v>
      </c>
      <c r="BT14" s="52">
        <f t="shared" si="149"/>
        <v>37092604</v>
      </c>
      <c r="BU14" s="52">
        <f t="shared" si="149"/>
        <v>37092604</v>
      </c>
      <c r="BV14" s="52">
        <f t="shared" si="149"/>
        <v>37092604</v>
      </c>
      <c r="BW14" s="52">
        <f t="shared" si="149"/>
        <v>37092604</v>
      </c>
      <c r="BX14" s="52">
        <f t="shared" si="149"/>
        <v>37092604</v>
      </c>
      <c r="BY14" s="52">
        <f t="shared" si="149"/>
        <v>37092604</v>
      </c>
      <c r="BZ14" s="52">
        <f t="shared" si="149"/>
        <v>37092604</v>
      </c>
      <c r="CA14" s="52">
        <v>0</v>
      </c>
      <c r="CB14" s="52">
        <f t="shared" ref="CB14:CR14" si="150">CA14</f>
        <v>0</v>
      </c>
      <c r="CC14" s="52">
        <f t="shared" si="150"/>
        <v>0</v>
      </c>
      <c r="CD14" s="52">
        <f t="shared" si="150"/>
        <v>0</v>
      </c>
      <c r="CE14" s="52">
        <f t="shared" si="150"/>
        <v>0</v>
      </c>
      <c r="CF14" s="52">
        <f t="shared" si="150"/>
        <v>0</v>
      </c>
      <c r="CG14" s="52">
        <f t="shared" si="150"/>
        <v>0</v>
      </c>
      <c r="CH14" s="52">
        <f t="shared" si="150"/>
        <v>0</v>
      </c>
      <c r="CI14" s="52">
        <f t="shared" si="150"/>
        <v>0</v>
      </c>
      <c r="CJ14" s="52">
        <f t="shared" si="150"/>
        <v>0</v>
      </c>
      <c r="CK14" s="52">
        <f t="shared" si="150"/>
        <v>0</v>
      </c>
      <c r="CL14" s="52">
        <f t="shared" si="150"/>
        <v>0</v>
      </c>
      <c r="CM14" s="52">
        <f t="shared" si="150"/>
        <v>0</v>
      </c>
      <c r="CN14" s="52">
        <f t="shared" si="150"/>
        <v>0</v>
      </c>
      <c r="CO14" s="52">
        <f t="shared" si="150"/>
        <v>0</v>
      </c>
      <c r="CP14" s="52">
        <f t="shared" si="150"/>
        <v>0</v>
      </c>
      <c r="CQ14" s="52">
        <f t="shared" si="150"/>
        <v>0</v>
      </c>
      <c r="CR14" s="52">
        <f t="shared" si="150"/>
        <v>0</v>
      </c>
      <c r="CT14" s="52">
        <f>CR26</f>
        <v>35319885</v>
      </c>
      <c r="CU14" s="52">
        <f t="shared" ref="CU14:CU25" si="151">CT14</f>
        <v>35319885</v>
      </c>
      <c r="CV14" s="52">
        <f>CT14</f>
        <v>35319885</v>
      </c>
      <c r="CW14" s="52">
        <v>132000</v>
      </c>
      <c r="CX14" s="52">
        <f>CW14</f>
        <v>132000</v>
      </c>
      <c r="CY14" s="52">
        <f t="shared" ref="CY14:DH15" si="152">CW14</f>
        <v>132000</v>
      </c>
      <c r="CZ14" s="52">
        <f t="shared" si="152"/>
        <v>132000</v>
      </c>
      <c r="DA14" s="52">
        <f t="shared" si="152"/>
        <v>132000</v>
      </c>
      <c r="DB14" s="52">
        <f t="shared" si="152"/>
        <v>132000</v>
      </c>
      <c r="DC14" s="52">
        <f t="shared" si="152"/>
        <v>132000</v>
      </c>
      <c r="DD14" s="52">
        <f t="shared" si="152"/>
        <v>132000</v>
      </c>
      <c r="DE14" s="52">
        <f t="shared" si="152"/>
        <v>132000</v>
      </c>
      <c r="DF14" s="52">
        <f t="shared" si="152"/>
        <v>132000</v>
      </c>
      <c r="DG14" s="52">
        <f t="shared" si="152"/>
        <v>132000</v>
      </c>
      <c r="DH14" s="52">
        <f t="shared" si="152"/>
        <v>132000</v>
      </c>
      <c r="DI14" s="52">
        <f t="shared" ref="DI14:DR15" si="153">DG14</f>
        <v>132000</v>
      </c>
      <c r="DJ14" s="52">
        <f t="shared" si="153"/>
        <v>132000</v>
      </c>
      <c r="DK14" s="52">
        <f t="shared" si="153"/>
        <v>132000</v>
      </c>
      <c r="DL14" s="52">
        <f t="shared" si="153"/>
        <v>132000</v>
      </c>
      <c r="DM14" s="52">
        <f t="shared" si="153"/>
        <v>132000</v>
      </c>
      <c r="DN14" s="52">
        <f t="shared" si="153"/>
        <v>132000</v>
      </c>
      <c r="DO14" s="52">
        <f t="shared" si="153"/>
        <v>132000</v>
      </c>
      <c r="DP14" s="52">
        <f t="shared" si="153"/>
        <v>132000</v>
      </c>
      <c r="DQ14" s="52">
        <f t="shared" si="153"/>
        <v>132000</v>
      </c>
      <c r="DR14" s="52">
        <f t="shared" si="153"/>
        <v>132000</v>
      </c>
      <c r="DS14" s="52">
        <f t="shared" ref="DS14:EB15" si="154">DQ14</f>
        <v>132000</v>
      </c>
      <c r="DT14" s="52">
        <f t="shared" si="154"/>
        <v>132000</v>
      </c>
      <c r="DU14" s="52">
        <f t="shared" si="154"/>
        <v>132000</v>
      </c>
      <c r="DV14" s="52">
        <f t="shared" si="154"/>
        <v>132000</v>
      </c>
      <c r="DW14" s="52">
        <f t="shared" si="154"/>
        <v>132000</v>
      </c>
      <c r="DX14" s="117"/>
      <c r="DY14" s="52">
        <f>DW14+DW26</f>
        <v>39498865</v>
      </c>
      <c r="DZ14" s="52">
        <f t="shared" ref="DZ14:EH14" si="155">DY14</f>
        <v>39498865</v>
      </c>
      <c r="EA14" s="52">
        <f t="shared" si="155"/>
        <v>39498865</v>
      </c>
      <c r="EB14" s="52">
        <f t="shared" si="155"/>
        <v>39498865</v>
      </c>
      <c r="EC14" s="52">
        <f t="shared" si="155"/>
        <v>39498865</v>
      </c>
      <c r="ED14" s="52">
        <f t="shared" si="155"/>
        <v>39498865</v>
      </c>
      <c r="EE14" s="52">
        <f t="shared" si="155"/>
        <v>39498865</v>
      </c>
      <c r="EF14" s="52">
        <f t="shared" si="155"/>
        <v>39498865</v>
      </c>
      <c r="EG14" s="52">
        <f t="shared" si="155"/>
        <v>39498865</v>
      </c>
      <c r="EH14" s="52">
        <f t="shared" si="155"/>
        <v>39498865</v>
      </c>
      <c r="EI14" s="52">
        <v>0</v>
      </c>
      <c r="EJ14" s="52">
        <f t="shared" ref="EJ14:FC14" si="156">EI14</f>
        <v>0</v>
      </c>
      <c r="EK14" s="52">
        <f t="shared" si="156"/>
        <v>0</v>
      </c>
      <c r="EL14" s="52">
        <f t="shared" si="156"/>
        <v>0</v>
      </c>
      <c r="EM14" s="52">
        <f t="shared" si="156"/>
        <v>0</v>
      </c>
      <c r="EN14" s="52">
        <f t="shared" si="156"/>
        <v>0</v>
      </c>
      <c r="EO14" s="52">
        <f t="shared" si="156"/>
        <v>0</v>
      </c>
      <c r="EP14" s="52">
        <f t="shared" si="156"/>
        <v>0</v>
      </c>
      <c r="EQ14" s="52">
        <f t="shared" si="156"/>
        <v>0</v>
      </c>
      <c r="ER14" s="52">
        <f t="shared" si="156"/>
        <v>0</v>
      </c>
      <c r="ES14" s="52">
        <f t="shared" si="156"/>
        <v>0</v>
      </c>
      <c r="ET14" s="52">
        <f t="shared" si="156"/>
        <v>0</v>
      </c>
      <c r="EU14" s="52">
        <f t="shared" si="156"/>
        <v>0</v>
      </c>
      <c r="EV14" s="52">
        <f t="shared" si="156"/>
        <v>0</v>
      </c>
      <c r="EW14" s="52">
        <f t="shared" si="156"/>
        <v>0</v>
      </c>
      <c r="EX14" s="52">
        <f t="shared" si="156"/>
        <v>0</v>
      </c>
      <c r="EY14" s="52">
        <f t="shared" si="156"/>
        <v>0</v>
      </c>
      <c r="EZ14" s="52">
        <f t="shared" si="156"/>
        <v>0</v>
      </c>
      <c r="FA14" s="52">
        <f t="shared" si="156"/>
        <v>0</v>
      </c>
      <c r="FB14" s="52">
        <f t="shared" si="156"/>
        <v>0</v>
      </c>
      <c r="FC14" s="52">
        <f t="shared" si="156"/>
        <v>0</v>
      </c>
      <c r="FD14" s="126"/>
      <c r="FE14" s="52">
        <f>FC26</f>
        <v>40772408</v>
      </c>
      <c r="FF14" s="52">
        <f t="shared" ref="FF14:FG16" si="157">FE14</f>
        <v>40772408</v>
      </c>
      <c r="FG14" s="52">
        <f t="shared" si="157"/>
        <v>40772408</v>
      </c>
      <c r="FH14" s="52">
        <v>0</v>
      </c>
      <c r="FI14" s="52">
        <v>0</v>
      </c>
      <c r="FJ14" s="52">
        <v>0</v>
      </c>
      <c r="FK14" s="52">
        <v>0</v>
      </c>
      <c r="FL14" s="52">
        <v>0</v>
      </c>
      <c r="FM14" s="52">
        <v>0</v>
      </c>
      <c r="FN14" s="52">
        <v>0</v>
      </c>
      <c r="FO14" s="52">
        <v>0</v>
      </c>
      <c r="FP14" s="52">
        <v>0</v>
      </c>
      <c r="FQ14" s="52">
        <v>0</v>
      </c>
      <c r="FR14" s="52">
        <v>0</v>
      </c>
      <c r="FS14" s="52">
        <v>0</v>
      </c>
      <c r="FT14" s="52">
        <v>0</v>
      </c>
      <c r="FU14" s="52">
        <v>0</v>
      </c>
      <c r="FV14" s="52">
        <v>0</v>
      </c>
      <c r="FW14" s="52">
        <v>0</v>
      </c>
      <c r="FX14" s="52">
        <v>0</v>
      </c>
      <c r="FY14" s="52">
        <v>0</v>
      </c>
      <c r="FZ14" s="52">
        <v>0</v>
      </c>
      <c r="GA14" s="52">
        <v>0</v>
      </c>
      <c r="GB14" s="52">
        <v>0</v>
      </c>
      <c r="GC14" s="52">
        <v>0</v>
      </c>
      <c r="GD14" s="52">
        <v>0</v>
      </c>
      <c r="GE14" s="52">
        <v>0</v>
      </c>
      <c r="GF14" s="52">
        <v>0</v>
      </c>
      <c r="GG14" s="52">
        <v>0</v>
      </c>
      <c r="GH14" s="52">
        <v>0</v>
      </c>
      <c r="GI14" s="52">
        <v>0</v>
      </c>
      <c r="GJ14" s="130"/>
      <c r="GK14" s="82">
        <f>GI26</f>
        <v>38972437</v>
      </c>
      <c r="GL14" s="82">
        <f t="shared" ref="GL14:GT14" si="158">GK14</f>
        <v>38972437</v>
      </c>
      <c r="GM14" s="82">
        <f t="shared" si="158"/>
        <v>38972437</v>
      </c>
      <c r="GN14" s="82">
        <f t="shared" si="158"/>
        <v>38972437</v>
      </c>
      <c r="GO14" s="82">
        <f t="shared" si="158"/>
        <v>38972437</v>
      </c>
      <c r="GP14" s="82">
        <f t="shared" si="158"/>
        <v>38972437</v>
      </c>
      <c r="GQ14" s="82">
        <f t="shared" si="158"/>
        <v>38972437</v>
      </c>
      <c r="GR14" s="82">
        <f t="shared" si="158"/>
        <v>38972437</v>
      </c>
      <c r="GS14" s="82">
        <f t="shared" si="158"/>
        <v>38972437</v>
      </c>
      <c r="GT14" s="82">
        <f t="shared" si="158"/>
        <v>38972437</v>
      </c>
      <c r="GU14" s="82">
        <v>1058680</v>
      </c>
      <c r="GV14" s="82">
        <f t="shared" ref="GV14:HM14" si="159">GU14</f>
        <v>1058680</v>
      </c>
      <c r="GW14" s="82">
        <f t="shared" si="159"/>
        <v>1058680</v>
      </c>
      <c r="GX14" s="82">
        <f t="shared" si="159"/>
        <v>1058680</v>
      </c>
      <c r="GY14" s="82">
        <f t="shared" si="159"/>
        <v>1058680</v>
      </c>
      <c r="GZ14" s="82">
        <f t="shared" si="159"/>
        <v>1058680</v>
      </c>
      <c r="HA14" s="82">
        <f t="shared" si="159"/>
        <v>1058680</v>
      </c>
      <c r="HB14" s="82">
        <f t="shared" si="159"/>
        <v>1058680</v>
      </c>
      <c r="HC14" s="82">
        <f t="shared" si="159"/>
        <v>1058680</v>
      </c>
      <c r="HD14" s="82">
        <f t="shared" si="159"/>
        <v>1058680</v>
      </c>
      <c r="HE14" s="82">
        <f t="shared" si="159"/>
        <v>1058680</v>
      </c>
      <c r="HF14" s="82">
        <f t="shared" si="159"/>
        <v>1058680</v>
      </c>
      <c r="HG14" s="82">
        <f t="shared" si="159"/>
        <v>1058680</v>
      </c>
      <c r="HH14" s="82">
        <f t="shared" si="159"/>
        <v>1058680</v>
      </c>
      <c r="HI14" s="82">
        <f t="shared" si="159"/>
        <v>1058680</v>
      </c>
      <c r="HJ14" s="82">
        <f t="shared" si="159"/>
        <v>1058680</v>
      </c>
      <c r="HK14" s="82">
        <f t="shared" si="159"/>
        <v>1058680</v>
      </c>
      <c r="HL14" s="82">
        <f t="shared" si="159"/>
        <v>1058680</v>
      </c>
      <c r="HM14" s="82">
        <f t="shared" si="159"/>
        <v>1058680</v>
      </c>
      <c r="HN14" s="130"/>
      <c r="HO14" s="113">
        <f>HM14+31242802</f>
        <v>32301482</v>
      </c>
      <c r="HP14" s="113">
        <f>HO14</f>
        <v>32301482</v>
      </c>
      <c r="HQ14" s="113">
        <f>HP14</f>
        <v>32301482</v>
      </c>
      <c r="HR14" s="113">
        <f>HQ14</f>
        <v>32301482</v>
      </c>
      <c r="HS14" s="113">
        <f>HR14</f>
        <v>32301482</v>
      </c>
      <c r="HT14" s="113">
        <f>HS14</f>
        <v>32301482</v>
      </c>
      <c r="HU14" s="113">
        <v>0</v>
      </c>
      <c r="HV14" s="113">
        <v>0</v>
      </c>
      <c r="HW14" s="113">
        <v>0</v>
      </c>
      <c r="HX14" s="113">
        <v>0</v>
      </c>
      <c r="HY14" s="113">
        <v>0</v>
      </c>
      <c r="HZ14" s="113">
        <v>0</v>
      </c>
      <c r="IA14" s="113">
        <v>0</v>
      </c>
      <c r="IB14" s="113">
        <v>0</v>
      </c>
      <c r="IC14" s="113">
        <v>0</v>
      </c>
      <c r="ID14" s="113">
        <v>0</v>
      </c>
      <c r="IE14" s="113">
        <v>0</v>
      </c>
      <c r="IF14" s="113">
        <v>0</v>
      </c>
      <c r="IG14" s="113">
        <v>0</v>
      </c>
      <c r="IH14" s="113">
        <v>0</v>
      </c>
      <c r="II14" s="113">
        <v>0</v>
      </c>
      <c r="IJ14" s="113">
        <v>0</v>
      </c>
      <c r="IK14" s="113">
        <v>0</v>
      </c>
      <c r="IL14" s="113">
        <v>0</v>
      </c>
      <c r="IM14" s="113">
        <v>0</v>
      </c>
      <c r="IN14" s="113">
        <v>0</v>
      </c>
      <c r="IO14" s="113">
        <v>0</v>
      </c>
      <c r="IP14" s="113">
        <v>0</v>
      </c>
      <c r="IQ14" s="113">
        <v>0</v>
      </c>
      <c r="IR14" s="113">
        <v>0</v>
      </c>
      <c r="IS14" s="113">
        <v>0</v>
      </c>
      <c r="IT14" s="130"/>
      <c r="IU14" s="113">
        <f>IS26</f>
        <v>38561950</v>
      </c>
      <c r="IV14" s="82">
        <f t="shared" ref="IV14:IV25" si="160">IU14</f>
        <v>38561950</v>
      </c>
      <c r="IW14" s="82">
        <v>0</v>
      </c>
      <c r="IX14" s="82">
        <f t="shared" ref="IX14:JX14" si="161">IW14</f>
        <v>0</v>
      </c>
      <c r="IY14" s="82">
        <f t="shared" si="161"/>
        <v>0</v>
      </c>
      <c r="IZ14" s="82">
        <f t="shared" si="161"/>
        <v>0</v>
      </c>
      <c r="JA14" s="82">
        <f t="shared" si="161"/>
        <v>0</v>
      </c>
      <c r="JB14" s="82">
        <f t="shared" si="161"/>
        <v>0</v>
      </c>
      <c r="JC14" s="82">
        <f t="shared" si="161"/>
        <v>0</v>
      </c>
      <c r="JD14" s="82">
        <f t="shared" si="161"/>
        <v>0</v>
      </c>
      <c r="JE14" s="82">
        <f t="shared" si="161"/>
        <v>0</v>
      </c>
      <c r="JF14" s="82">
        <f t="shared" si="161"/>
        <v>0</v>
      </c>
      <c r="JG14" s="82">
        <f t="shared" si="161"/>
        <v>0</v>
      </c>
      <c r="JH14" s="82">
        <f t="shared" si="161"/>
        <v>0</v>
      </c>
      <c r="JI14" s="82">
        <f t="shared" si="161"/>
        <v>0</v>
      </c>
      <c r="JJ14" s="82">
        <f t="shared" si="161"/>
        <v>0</v>
      </c>
      <c r="JK14" s="82">
        <f t="shared" si="161"/>
        <v>0</v>
      </c>
      <c r="JL14" s="82">
        <f t="shared" si="161"/>
        <v>0</v>
      </c>
      <c r="JM14" s="82">
        <f t="shared" si="161"/>
        <v>0</v>
      </c>
      <c r="JN14" s="82">
        <f t="shared" si="161"/>
        <v>0</v>
      </c>
      <c r="JO14" s="82">
        <f t="shared" si="161"/>
        <v>0</v>
      </c>
      <c r="JP14" s="82">
        <f t="shared" si="161"/>
        <v>0</v>
      </c>
      <c r="JQ14" s="82">
        <f t="shared" si="161"/>
        <v>0</v>
      </c>
      <c r="JR14" s="82">
        <f t="shared" si="161"/>
        <v>0</v>
      </c>
      <c r="JS14" s="82">
        <f t="shared" si="161"/>
        <v>0</v>
      </c>
      <c r="JT14" s="82">
        <f t="shared" si="161"/>
        <v>0</v>
      </c>
      <c r="JU14" s="82">
        <f t="shared" si="161"/>
        <v>0</v>
      </c>
      <c r="JV14" s="82">
        <f t="shared" si="161"/>
        <v>0</v>
      </c>
      <c r="JW14" s="82">
        <f t="shared" si="161"/>
        <v>0</v>
      </c>
      <c r="JX14" s="82">
        <f t="shared" si="161"/>
        <v>0</v>
      </c>
      <c r="JY14" s="133"/>
      <c r="JZ14" s="82">
        <f>JX26</f>
        <v>33704116</v>
      </c>
      <c r="KA14" s="82">
        <f t="shared" ref="KA14:KF18" si="162">JZ14</f>
        <v>33704116</v>
      </c>
      <c r="KB14" s="82">
        <f t="shared" si="162"/>
        <v>33704116</v>
      </c>
      <c r="KC14" s="82">
        <f t="shared" si="162"/>
        <v>33704116</v>
      </c>
      <c r="KD14" s="82">
        <f t="shared" si="162"/>
        <v>33704116</v>
      </c>
      <c r="KE14" s="82">
        <f t="shared" si="162"/>
        <v>33704116</v>
      </c>
      <c r="KF14" s="82">
        <f t="shared" si="162"/>
        <v>33704116</v>
      </c>
      <c r="KG14" s="82">
        <v>342310</v>
      </c>
      <c r="KH14" s="82">
        <f t="shared" ref="KH14:KM14" si="163">KG14</f>
        <v>342310</v>
      </c>
      <c r="KI14" s="82">
        <f t="shared" si="163"/>
        <v>342310</v>
      </c>
      <c r="KJ14" s="82">
        <f t="shared" si="163"/>
        <v>342310</v>
      </c>
      <c r="KK14" s="82">
        <f t="shared" si="163"/>
        <v>342310</v>
      </c>
      <c r="KL14" s="82">
        <f t="shared" si="163"/>
        <v>342310</v>
      </c>
      <c r="KM14" s="82">
        <f t="shared" si="163"/>
        <v>342310</v>
      </c>
      <c r="KN14" s="82">
        <f>KL14</f>
        <v>342310</v>
      </c>
      <c r="KO14" s="82">
        <f t="shared" ref="KO14:LD14" si="164">KN14</f>
        <v>342310</v>
      </c>
      <c r="KP14" s="82">
        <f t="shared" si="164"/>
        <v>342310</v>
      </c>
      <c r="KQ14" s="82">
        <f t="shared" si="164"/>
        <v>342310</v>
      </c>
      <c r="KR14" s="82">
        <f t="shared" si="164"/>
        <v>342310</v>
      </c>
      <c r="KS14" s="82">
        <f t="shared" si="164"/>
        <v>342310</v>
      </c>
      <c r="KT14" s="82">
        <f t="shared" si="164"/>
        <v>342310</v>
      </c>
      <c r="KU14" s="82">
        <f t="shared" si="164"/>
        <v>342310</v>
      </c>
      <c r="KV14" s="82">
        <f t="shared" si="164"/>
        <v>342310</v>
      </c>
      <c r="KW14" s="82">
        <f t="shared" si="164"/>
        <v>342310</v>
      </c>
      <c r="KX14" s="82">
        <f t="shared" si="164"/>
        <v>342310</v>
      </c>
      <c r="KY14" s="82">
        <f t="shared" si="164"/>
        <v>342310</v>
      </c>
      <c r="KZ14" s="82">
        <f t="shared" si="164"/>
        <v>342310</v>
      </c>
      <c r="LA14" s="82">
        <f t="shared" si="164"/>
        <v>342310</v>
      </c>
      <c r="LB14" s="82">
        <f t="shared" si="164"/>
        <v>342310</v>
      </c>
      <c r="LC14" s="82">
        <f t="shared" si="164"/>
        <v>342310</v>
      </c>
      <c r="LD14" s="82">
        <f t="shared" si="164"/>
        <v>342310</v>
      </c>
      <c r="LE14" s="130"/>
      <c r="LF14" s="82">
        <f>LD14+LD26</f>
        <v>36843952</v>
      </c>
      <c r="LG14" s="82">
        <f t="shared" ref="LG14:LQ14" si="165">LF14</f>
        <v>36843952</v>
      </c>
      <c r="LH14" s="82">
        <f t="shared" si="165"/>
        <v>36843952</v>
      </c>
      <c r="LI14" s="82">
        <f t="shared" si="165"/>
        <v>36843952</v>
      </c>
      <c r="LJ14" s="82">
        <f t="shared" si="165"/>
        <v>36843952</v>
      </c>
      <c r="LK14" s="82">
        <f t="shared" si="165"/>
        <v>36843952</v>
      </c>
      <c r="LL14" s="82">
        <f t="shared" si="165"/>
        <v>36843952</v>
      </c>
      <c r="LM14" s="82">
        <f t="shared" si="165"/>
        <v>36843952</v>
      </c>
      <c r="LN14" s="82">
        <f t="shared" si="165"/>
        <v>36843952</v>
      </c>
      <c r="LO14" s="82">
        <f t="shared" si="165"/>
        <v>36843952</v>
      </c>
      <c r="LP14" s="82">
        <f t="shared" si="165"/>
        <v>36843952</v>
      </c>
      <c r="LQ14" s="82">
        <f t="shared" si="165"/>
        <v>36843952</v>
      </c>
      <c r="LR14" s="82">
        <v>655310</v>
      </c>
      <c r="LS14" s="82">
        <f t="shared" ref="LS14:MI14" si="166">LR14</f>
        <v>655310</v>
      </c>
      <c r="LT14" s="82">
        <f t="shared" si="166"/>
        <v>655310</v>
      </c>
      <c r="LU14" s="82">
        <f t="shared" si="166"/>
        <v>655310</v>
      </c>
      <c r="LV14" s="82">
        <f t="shared" si="166"/>
        <v>655310</v>
      </c>
      <c r="LW14" s="82">
        <f t="shared" si="166"/>
        <v>655310</v>
      </c>
      <c r="LX14" s="82">
        <f t="shared" si="166"/>
        <v>655310</v>
      </c>
      <c r="LY14" s="82">
        <f t="shared" si="166"/>
        <v>655310</v>
      </c>
      <c r="LZ14" s="82">
        <f t="shared" si="166"/>
        <v>655310</v>
      </c>
      <c r="MA14" s="82">
        <f t="shared" si="166"/>
        <v>655310</v>
      </c>
      <c r="MB14" s="82">
        <f t="shared" si="166"/>
        <v>655310</v>
      </c>
      <c r="MC14" s="82">
        <f t="shared" si="166"/>
        <v>655310</v>
      </c>
      <c r="MD14" s="82">
        <f t="shared" si="166"/>
        <v>655310</v>
      </c>
      <c r="ME14" s="82">
        <f t="shared" si="166"/>
        <v>655310</v>
      </c>
      <c r="MF14" s="82">
        <f t="shared" si="166"/>
        <v>655310</v>
      </c>
      <c r="MG14" s="82">
        <f t="shared" si="166"/>
        <v>655310</v>
      </c>
      <c r="MH14" s="82">
        <f t="shared" si="166"/>
        <v>655310</v>
      </c>
      <c r="MI14" s="82">
        <f t="shared" si="166"/>
        <v>655310</v>
      </c>
      <c r="MJ14" s="133"/>
      <c r="MK14" s="82">
        <f>MI14+MI26</f>
        <v>36097796</v>
      </c>
      <c r="ML14" s="82">
        <f t="shared" ref="ML14:NG14" si="167">MK14</f>
        <v>36097796</v>
      </c>
      <c r="MM14" s="82">
        <f t="shared" si="167"/>
        <v>36097796</v>
      </c>
      <c r="MN14" s="82">
        <f t="shared" si="167"/>
        <v>36097796</v>
      </c>
      <c r="MO14" s="82">
        <f t="shared" si="167"/>
        <v>36097796</v>
      </c>
      <c r="MP14" s="82">
        <f t="shared" si="167"/>
        <v>36097796</v>
      </c>
      <c r="MQ14" s="82">
        <f t="shared" si="167"/>
        <v>36097796</v>
      </c>
      <c r="MR14" s="82">
        <f t="shared" si="167"/>
        <v>36097796</v>
      </c>
      <c r="MS14" s="82">
        <f t="shared" si="167"/>
        <v>36097796</v>
      </c>
      <c r="MT14" s="82">
        <f t="shared" si="167"/>
        <v>36097796</v>
      </c>
      <c r="MU14" s="82">
        <f t="shared" si="167"/>
        <v>36097796</v>
      </c>
      <c r="MV14" s="82">
        <f t="shared" si="167"/>
        <v>36097796</v>
      </c>
      <c r="MW14" s="82">
        <f t="shared" si="167"/>
        <v>36097796</v>
      </c>
      <c r="MX14" s="82">
        <f t="shared" si="167"/>
        <v>36097796</v>
      </c>
      <c r="MY14" s="82">
        <f t="shared" si="167"/>
        <v>36097796</v>
      </c>
      <c r="MZ14" s="82">
        <f t="shared" si="167"/>
        <v>36097796</v>
      </c>
      <c r="NA14" s="82">
        <f t="shared" si="167"/>
        <v>36097796</v>
      </c>
      <c r="NB14" s="82">
        <f t="shared" si="167"/>
        <v>36097796</v>
      </c>
      <c r="NC14" s="82">
        <f t="shared" si="167"/>
        <v>36097796</v>
      </c>
      <c r="ND14" s="82">
        <f t="shared" si="167"/>
        <v>36097796</v>
      </c>
      <c r="NE14" s="82">
        <f t="shared" si="167"/>
        <v>36097796</v>
      </c>
      <c r="NF14" s="82">
        <f t="shared" si="167"/>
        <v>36097796</v>
      </c>
      <c r="NG14" s="82">
        <f t="shared" si="167"/>
        <v>36097796</v>
      </c>
      <c r="NH14" s="82">
        <v>2339312</v>
      </c>
      <c r="NI14" s="82">
        <f t="shared" ref="NI14:NO14" si="168">NH14</f>
        <v>2339312</v>
      </c>
      <c r="NJ14" s="82">
        <f t="shared" si="168"/>
        <v>2339312</v>
      </c>
      <c r="NK14" s="82">
        <f t="shared" si="168"/>
        <v>2339312</v>
      </c>
      <c r="NL14" s="82">
        <f t="shared" si="168"/>
        <v>2339312</v>
      </c>
      <c r="NM14" s="82">
        <f t="shared" si="168"/>
        <v>2339312</v>
      </c>
      <c r="NN14" s="82">
        <f t="shared" si="168"/>
        <v>2339312</v>
      </c>
      <c r="NO14" s="82">
        <f t="shared" si="168"/>
        <v>2339312</v>
      </c>
      <c r="NP14" s="133"/>
      <c r="NQ14" s="82">
        <f>NO14+NO26</f>
        <v>35844273</v>
      </c>
      <c r="NR14" s="82">
        <f t="shared" ref="NR14:NU16" si="169">NQ14</f>
        <v>35844273</v>
      </c>
      <c r="NS14" s="82">
        <f t="shared" si="169"/>
        <v>35844273</v>
      </c>
      <c r="NT14" s="82">
        <f t="shared" si="169"/>
        <v>35844273</v>
      </c>
      <c r="NU14" s="82">
        <f t="shared" si="169"/>
        <v>35844273</v>
      </c>
      <c r="NV14" s="82">
        <v>631230</v>
      </c>
      <c r="NW14" s="82">
        <f t="shared" ref="NW14:OU14" si="170">NV14</f>
        <v>631230</v>
      </c>
      <c r="NX14" s="82">
        <f t="shared" si="170"/>
        <v>631230</v>
      </c>
      <c r="NY14" s="82">
        <f t="shared" si="170"/>
        <v>631230</v>
      </c>
      <c r="NZ14" s="82">
        <f t="shared" si="170"/>
        <v>631230</v>
      </c>
      <c r="OA14" s="82">
        <f t="shared" si="170"/>
        <v>631230</v>
      </c>
      <c r="OB14" s="82">
        <f t="shared" si="170"/>
        <v>631230</v>
      </c>
      <c r="OC14" s="82">
        <f t="shared" si="170"/>
        <v>631230</v>
      </c>
      <c r="OD14" s="82">
        <f t="shared" si="170"/>
        <v>631230</v>
      </c>
      <c r="OE14" s="82">
        <f t="shared" si="170"/>
        <v>631230</v>
      </c>
      <c r="OF14" s="82">
        <f t="shared" si="170"/>
        <v>631230</v>
      </c>
      <c r="OG14" s="82">
        <f t="shared" si="170"/>
        <v>631230</v>
      </c>
      <c r="OH14" s="82">
        <f t="shared" si="170"/>
        <v>631230</v>
      </c>
      <c r="OI14" s="82">
        <f t="shared" si="170"/>
        <v>631230</v>
      </c>
      <c r="OJ14" s="82">
        <f t="shared" si="170"/>
        <v>631230</v>
      </c>
      <c r="OK14" s="82">
        <f t="shared" si="170"/>
        <v>631230</v>
      </c>
      <c r="OL14" s="82">
        <f t="shared" si="170"/>
        <v>631230</v>
      </c>
      <c r="OM14" s="82">
        <f t="shared" si="170"/>
        <v>631230</v>
      </c>
      <c r="ON14" s="82">
        <f t="shared" si="170"/>
        <v>631230</v>
      </c>
      <c r="OO14" s="82">
        <f t="shared" si="170"/>
        <v>631230</v>
      </c>
      <c r="OP14" s="82">
        <f t="shared" si="170"/>
        <v>631230</v>
      </c>
      <c r="OQ14" s="82">
        <f t="shared" si="170"/>
        <v>631230</v>
      </c>
      <c r="OR14" s="82">
        <f t="shared" si="170"/>
        <v>631230</v>
      </c>
      <c r="OS14" s="82">
        <f t="shared" si="170"/>
        <v>631230</v>
      </c>
      <c r="OT14" s="82">
        <f t="shared" si="170"/>
        <v>631230</v>
      </c>
      <c r="OU14" s="82">
        <f t="shared" si="170"/>
        <v>631230</v>
      </c>
      <c r="OV14" s="130"/>
      <c r="OW14" s="82">
        <f>OU14+OU26</f>
        <v>33132677</v>
      </c>
      <c r="OX14" s="82">
        <f t="shared" ref="OX14:PG14" si="171">OW14</f>
        <v>33132677</v>
      </c>
      <c r="OY14" s="82">
        <f t="shared" si="171"/>
        <v>33132677</v>
      </c>
      <c r="OZ14" s="82">
        <f t="shared" si="171"/>
        <v>33132677</v>
      </c>
      <c r="PA14" s="82">
        <f t="shared" si="171"/>
        <v>33132677</v>
      </c>
      <c r="PB14" s="82">
        <f t="shared" si="171"/>
        <v>33132677</v>
      </c>
      <c r="PC14" s="82">
        <f t="shared" si="171"/>
        <v>33132677</v>
      </c>
      <c r="PD14" s="82">
        <f t="shared" si="171"/>
        <v>33132677</v>
      </c>
      <c r="PE14" s="82">
        <f t="shared" si="171"/>
        <v>33132677</v>
      </c>
      <c r="PF14" s="82">
        <f t="shared" si="171"/>
        <v>33132677</v>
      </c>
      <c r="PG14" s="82">
        <f t="shared" si="171"/>
        <v>33132677</v>
      </c>
      <c r="PH14" s="82">
        <v>1697230</v>
      </c>
      <c r="PI14" s="82">
        <f t="shared" ref="PI14:PZ14" si="172">PH14</f>
        <v>1697230</v>
      </c>
      <c r="PJ14" s="82">
        <f t="shared" si="172"/>
        <v>1697230</v>
      </c>
      <c r="PK14" s="82">
        <f t="shared" si="172"/>
        <v>1697230</v>
      </c>
      <c r="PL14" s="82">
        <f t="shared" si="172"/>
        <v>1697230</v>
      </c>
      <c r="PM14" s="82">
        <f t="shared" si="172"/>
        <v>1697230</v>
      </c>
      <c r="PN14" s="82">
        <f t="shared" si="172"/>
        <v>1697230</v>
      </c>
      <c r="PO14" s="82">
        <f t="shared" si="172"/>
        <v>1697230</v>
      </c>
      <c r="PP14" s="82">
        <f t="shared" si="172"/>
        <v>1697230</v>
      </c>
      <c r="PQ14" s="82">
        <f t="shared" si="172"/>
        <v>1697230</v>
      </c>
      <c r="PR14" s="82">
        <f t="shared" si="172"/>
        <v>1697230</v>
      </c>
      <c r="PS14" s="82">
        <f t="shared" si="172"/>
        <v>1697230</v>
      </c>
      <c r="PT14" s="82">
        <f t="shared" si="172"/>
        <v>1697230</v>
      </c>
      <c r="PU14" s="82">
        <f t="shared" si="172"/>
        <v>1697230</v>
      </c>
      <c r="PV14" s="82">
        <f t="shared" si="172"/>
        <v>1697230</v>
      </c>
      <c r="PW14" s="82">
        <f t="shared" si="172"/>
        <v>1697230</v>
      </c>
      <c r="PX14" s="82">
        <f t="shared" si="172"/>
        <v>1697230</v>
      </c>
      <c r="PY14" s="82">
        <f t="shared" si="172"/>
        <v>1697230</v>
      </c>
      <c r="PZ14" s="82">
        <f t="shared" si="172"/>
        <v>1697230</v>
      </c>
      <c r="QA14" s="130"/>
      <c r="QB14" s="82">
        <f>PZ14+PZ26</f>
        <v>32557317</v>
      </c>
      <c r="QC14" s="82">
        <f t="shared" ref="QC14:QG17" si="173">QB14</f>
        <v>32557317</v>
      </c>
      <c r="QD14" s="82">
        <f t="shared" si="173"/>
        <v>32557317</v>
      </c>
      <c r="QE14" s="82">
        <f t="shared" si="173"/>
        <v>32557317</v>
      </c>
      <c r="QF14" s="82">
        <f t="shared" si="173"/>
        <v>32557317</v>
      </c>
      <c r="QG14" s="82">
        <f t="shared" si="173"/>
        <v>32557317</v>
      </c>
      <c r="QH14" s="82">
        <v>581230</v>
      </c>
      <c r="QI14" s="82">
        <f t="shared" ref="QI14:RF14" si="174">QH14</f>
        <v>581230</v>
      </c>
      <c r="QJ14" s="82">
        <f t="shared" si="174"/>
        <v>581230</v>
      </c>
      <c r="QK14" s="82">
        <f t="shared" si="174"/>
        <v>581230</v>
      </c>
      <c r="QL14" s="82">
        <f t="shared" si="174"/>
        <v>581230</v>
      </c>
      <c r="QM14" s="82">
        <f t="shared" si="174"/>
        <v>581230</v>
      </c>
      <c r="QN14" s="82">
        <f t="shared" si="174"/>
        <v>581230</v>
      </c>
      <c r="QO14" s="82">
        <f t="shared" si="174"/>
        <v>581230</v>
      </c>
      <c r="QP14" s="82">
        <f t="shared" si="174"/>
        <v>581230</v>
      </c>
      <c r="QQ14" s="82">
        <f t="shared" si="174"/>
        <v>581230</v>
      </c>
      <c r="QR14" s="82">
        <f t="shared" si="174"/>
        <v>581230</v>
      </c>
      <c r="QS14" s="82">
        <f t="shared" si="174"/>
        <v>581230</v>
      </c>
      <c r="QT14" s="82">
        <f t="shared" si="174"/>
        <v>581230</v>
      </c>
      <c r="QU14" s="82">
        <f t="shared" si="174"/>
        <v>581230</v>
      </c>
      <c r="QV14" s="82">
        <f t="shared" si="174"/>
        <v>581230</v>
      </c>
      <c r="QW14" s="82">
        <f t="shared" si="174"/>
        <v>581230</v>
      </c>
      <c r="QX14" s="82">
        <f t="shared" si="174"/>
        <v>581230</v>
      </c>
      <c r="QY14" s="82">
        <f t="shared" si="174"/>
        <v>581230</v>
      </c>
      <c r="QZ14" s="82">
        <f t="shared" si="174"/>
        <v>581230</v>
      </c>
      <c r="RA14" s="82">
        <f t="shared" si="174"/>
        <v>581230</v>
      </c>
      <c r="RB14" s="82">
        <f t="shared" si="174"/>
        <v>581230</v>
      </c>
      <c r="RC14" s="82">
        <f t="shared" si="174"/>
        <v>581230</v>
      </c>
      <c r="RD14" s="82">
        <f t="shared" si="174"/>
        <v>581230</v>
      </c>
      <c r="RE14" s="82">
        <f t="shared" si="174"/>
        <v>581230</v>
      </c>
      <c r="RF14" s="82">
        <f t="shared" si="174"/>
        <v>581230</v>
      </c>
      <c r="RG14" s="130"/>
      <c r="RH14" s="82">
        <f>RF14+RF26+RF27</f>
        <v>74394788</v>
      </c>
      <c r="RI14" s="82">
        <f t="shared" ref="RI14:RQ14" si="175">RH14</f>
        <v>74394788</v>
      </c>
      <c r="RJ14" s="82">
        <f t="shared" si="175"/>
        <v>74394788</v>
      </c>
      <c r="RK14" s="82">
        <f t="shared" si="175"/>
        <v>74394788</v>
      </c>
      <c r="RL14" s="82">
        <f t="shared" si="175"/>
        <v>74394788</v>
      </c>
      <c r="RM14" s="82">
        <f t="shared" si="175"/>
        <v>74394788</v>
      </c>
      <c r="RN14" s="82">
        <f t="shared" si="175"/>
        <v>74394788</v>
      </c>
      <c r="RO14" s="82">
        <f t="shared" si="175"/>
        <v>74394788</v>
      </c>
      <c r="RP14" s="82">
        <f t="shared" si="175"/>
        <v>74394788</v>
      </c>
      <c r="RQ14" s="82">
        <f t="shared" si="175"/>
        <v>74394788</v>
      </c>
      <c r="RR14" s="82">
        <v>3433788</v>
      </c>
      <c r="RS14" s="82">
        <f t="shared" ref="RS14:SK14" si="176">RR14</f>
        <v>3433788</v>
      </c>
      <c r="RT14" s="82">
        <f t="shared" si="176"/>
        <v>3433788</v>
      </c>
      <c r="RU14" s="82">
        <f t="shared" si="176"/>
        <v>3433788</v>
      </c>
      <c r="RV14" s="82">
        <f t="shared" si="176"/>
        <v>3433788</v>
      </c>
      <c r="RW14" s="82">
        <f t="shared" si="176"/>
        <v>3433788</v>
      </c>
      <c r="RX14" s="82">
        <f t="shared" si="176"/>
        <v>3433788</v>
      </c>
      <c r="RY14" s="82">
        <f t="shared" si="176"/>
        <v>3433788</v>
      </c>
      <c r="RZ14" s="82">
        <f t="shared" si="176"/>
        <v>3433788</v>
      </c>
      <c r="SA14" s="82">
        <f t="shared" si="176"/>
        <v>3433788</v>
      </c>
      <c r="SB14" s="82">
        <f t="shared" si="176"/>
        <v>3433788</v>
      </c>
      <c r="SC14" s="82">
        <f t="shared" si="176"/>
        <v>3433788</v>
      </c>
      <c r="SD14" s="82">
        <f t="shared" si="176"/>
        <v>3433788</v>
      </c>
      <c r="SE14" s="82">
        <f t="shared" si="176"/>
        <v>3433788</v>
      </c>
      <c r="SF14" s="82">
        <f t="shared" si="176"/>
        <v>3433788</v>
      </c>
      <c r="SG14" s="82">
        <f t="shared" si="176"/>
        <v>3433788</v>
      </c>
      <c r="SH14" s="82">
        <f t="shared" si="176"/>
        <v>3433788</v>
      </c>
      <c r="SI14" s="82">
        <f t="shared" si="176"/>
        <v>3433788</v>
      </c>
      <c r="SJ14" s="82">
        <f t="shared" si="176"/>
        <v>3433788</v>
      </c>
      <c r="SK14" s="82">
        <f t="shared" si="176"/>
        <v>3433788</v>
      </c>
      <c r="SL14" s="130"/>
      <c r="SM14" s="82">
        <f>SK14+SK26+SK27</f>
        <v>74076407</v>
      </c>
      <c r="SN14" s="82">
        <f t="shared" ref="SN14:SQ17" si="177">SM14</f>
        <v>74076407</v>
      </c>
      <c r="SO14" s="82">
        <f t="shared" si="177"/>
        <v>74076407</v>
      </c>
      <c r="SP14" s="82">
        <f t="shared" si="177"/>
        <v>74076407</v>
      </c>
      <c r="SQ14" s="82">
        <f t="shared" si="177"/>
        <v>74076407</v>
      </c>
      <c r="SR14" s="82">
        <v>5863699</v>
      </c>
      <c r="SS14" s="82">
        <f t="shared" ref="SS14:TQ14" si="178">SR14</f>
        <v>5863699</v>
      </c>
      <c r="ST14" s="82">
        <f t="shared" si="178"/>
        <v>5863699</v>
      </c>
      <c r="SU14" s="82">
        <f t="shared" si="178"/>
        <v>5863699</v>
      </c>
      <c r="SV14" s="82">
        <f t="shared" si="178"/>
        <v>5863699</v>
      </c>
      <c r="SW14" s="82">
        <f t="shared" si="178"/>
        <v>5863699</v>
      </c>
      <c r="SX14" s="82">
        <f t="shared" si="178"/>
        <v>5863699</v>
      </c>
      <c r="SY14" s="82">
        <f t="shared" si="178"/>
        <v>5863699</v>
      </c>
      <c r="SZ14" s="82">
        <f t="shared" si="178"/>
        <v>5863699</v>
      </c>
      <c r="TA14" s="82">
        <f t="shared" si="178"/>
        <v>5863699</v>
      </c>
      <c r="TB14" s="82">
        <f t="shared" si="178"/>
        <v>5863699</v>
      </c>
      <c r="TC14" s="82">
        <f t="shared" si="178"/>
        <v>5863699</v>
      </c>
      <c r="TD14" s="82">
        <f t="shared" si="178"/>
        <v>5863699</v>
      </c>
      <c r="TE14" s="82">
        <f t="shared" si="178"/>
        <v>5863699</v>
      </c>
      <c r="TF14" s="82">
        <f t="shared" si="178"/>
        <v>5863699</v>
      </c>
      <c r="TG14" s="82">
        <f t="shared" si="178"/>
        <v>5863699</v>
      </c>
      <c r="TH14" s="82">
        <f t="shared" si="178"/>
        <v>5863699</v>
      </c>
      <c r="TI14" s="82">
        <f t="shared" si="178"/>
        <v>5863699</v>
      </c>
      <c r="TJ14" s="82">
        <f t="shared" si="178"/>
        <v>5863699</v>
      </c>
      <c r="TK14" s="82">
        <f t="shared" si="178"/>
        <v>5863699</v>
      </c>
      <c r="TL14" s="82">
        <f t="shared" si="178"/>
        <v>5863699</v>
      </c>
      <c r="TM14" s="82">
        <f t="shared" si="178"/>
        <v>5863699</v>
      </c>
      <c r="TN14" s="82">
        <f t="shared" si="178"/>
        <v>5863699</v>
      </c>
      <c r="TO14" s="82">
        <f t="shared" si="178"/>
        <v>5863699</v>
      </c>
      <c r="TP14" s="82">
        <f t="shared" si="178"/>
        <v>5863699</v>
      </c>
      <c r="TQ14" s="82">
        <f t="shared" si="178"/>
        <v>5863699</v>
      </c>
      <c r="TR14" s="130"/>
      <c r="TS14" s="82">
        <f>TQ14+TQ26</f>
        <v>45118944</v>
      </c>
      <c r="TT14" s="82">
        <f t="shared" ref="TT14:TX17" si="179">TS14</f>
        <v>45118944</v>
      </c>
      <c r="TU14" s="82">
        <f t="shared" si="179"/>
        <v>45118944</v>
      </c>
      <c r="TV14" s="82">
        <f t="shared" si="179"/>
        <v>45118944</v>
      </c>
      <c r="TW14" s="82">
        <f t="shared" si="179"/>
        <v>45118944</v>
      </c>
      <c r="TX14" s="82">
        <f t="shared" si="179"/>
        <v>45118944</v>
      </c>
      <c r="TY14" s="82">
        <v>630750</v>
      </c>
      <c r="TZ14" s="82">
        <f t="shared" ref="TZ14:UW14" si="180">TY14</f>
        <v>630750</v>
      </c>
      <c r="UA14" s="82">
        <f t="shared" si="180"/>
        <v>630750</v>
      </c>
      <c r="UB14" s="82">
        <f t="shared" si="180"/>
        <v>630750</v>
      </c>
      <c r="UC14" s="82">
        <f t="shared" si="180"/>
        <v>630750</v>
      </c>
      <c r="UD14" s="82">
        <f t="shared" si="180"/>
        <v>630750</v>
      </c>
      <c r="UE14" s="82">
        <f t="shared" si="180"/>
        <v>630750</v>
      </c>
      <c r="UF14" s="82">
        <f t="shared" si="180"/>
        <v>630750</v>
      </c>
      <c r="UG14" s="82">
        <f t="shared" si="180"/>
        <v>630750</v>
      </c>
      <c r="UH14" s="82">
        <f t="shared" si="180"/>
        <v>630750</v>
      </c>
      <c r="UI14" s="82">
        <f t="shared" si="180"/>
        <v>630750</v>
      </c>
      <c r="UJ14" s="82">
        <f t="shared" si="180"/>
        <v>630750</v>
      </c>
      <c r="UK14" s="82">
        <f t="shared" si="180"/>
        <v>630750</v>
      </c>
      <c r="UL14" s="82">
        <f t="shared" si="180"/>
        <v>630750</v>
      </c>
      <c r="UM14" s="82">
        <f t="shared" si="180"/>
        <v>630750</v>
      </c>
      <c r="UN14" s="82">
        <f t="shared" si="180"/>
        <v>630750</v>
      </c>
      <c r="UO14" s="82">
        <f t="shared" si="180"/>
        <v>630750</v>
      </c>
      <c r="UP14" s="82">
        <f t="shared" si="180"/>
        <v>630750</v>
      </c>
      <c r="UQ14" s="82">
        <f t="shared" si="180"/>
        <v>630750</v>
      </c>
      <c r="UR14" s="82">
        <f t="shared" si="180"/>
        <v>630750</v>
      </c>
      <c r="US14" s="82">
        <f t="shared" si="180"/>
        <v>630750</v>
      </c>
      <c r="UT14" s="82">
        <f t="shared" si="180"/>
        <v>630750</v>
      </c>
      <c r="UU14" s="82">
        <f t="shared" si="180"/>
        <v>630750</v>
      </c>
      <c r="UV14" s="82">
        <f t="shared" si="180"/>
        <v>630750</v>
      </c>
      <c r="UW14" s="82">
        <f t="shared" si="180"/>
        <v>630750</v>
      </c>
      <c r="UX14" s="130"/>
      <c r="UY14" s="82">
        <f>UW14+UW26+UW27</f>
        <v>80862262</v>
      </c>
      <c r="UZ14" s="82">
        <f t="shared" ref="UZ14:VD17" si="181">UY14</f>
        <v>80862262</v>
      </c>
      <c r="VA14" s="82">
        <f t="shared" si="181"/>
        <v>80862262</v>
      </c>
      <c r="VB14" s="82">
        <f t="shared" si="181"/>
        <v>80862262</v>
      </c>
      <c r="VC14" s="82">
        <f t="shared" si="181"/>
        <v>80862262</v>
      </c>
      <c r="VD14" s="82">
        <f t="shared" si="181"/>
        <v>80862262</v>
      </c>
      <c r="VE14" s="82">
        <v>0</v>
      </c>
      <c r="VF14" s="82">
        <v>0</v>
      </c>
      <c r="VG14" s="82">
        <v>0</v>
      </c>
      <c r="VH14" s="82">
        <v>0</v>
      </c>
      <c r="VI14" s="82">
        <v>0</v>
      </c>
      <c r="VJ14" s="82">
        <v>0</v>
      </c>
      <c r="VK14" s="82">
        <v>0</v>
      </c>
      <c r="VL14" s="82">
        <v>0</v>
      </c>
      <c r="VM14" s="82">
        <v>0</v>
      </c>
      <c r="VN14" s="82">
        <v>0</v>
      </c>
      <c r="VO14" s="82">
        <v>0</v>
      </c>
      <c r="VP14" s="82">
        <v>0</v>
      </c>
      <c r="VQ14" s="82">
        <v>0</v>
      </c>
      <c r="VR14" s="82">
        <v>0</v>
      </c>
      <c r="VS14" s="82">
        <v>0</v>
      </c>
      <c r="VT14" s="82">
        <v>0</v>
      </c>
      <c r="VU14" s="82">
        <v>0</v>
      </c>
      <c r="VV14" s="82">
        <v>0</v>
      </c>
      <c r="VW14" s="82">
        <v>0</v>
      </c>
      <c r="VX14" s="82">
        <v>0</v>
      </c>
      <c r="VY14" s="82">
        <v>0</v>
      </c>
      <c r="VZ14" s="82">
        <v>0</v>
      </c>
      <c r="WA14" s="133"/>
      <c r="WB14" s="82">
        <f>VZ26</f>
        <v>32570218</v>
      </c>
      <c r="WC14" s="82">
        <f t="shared" ref="WC14:WI17" si="182">WB14</f>
        <v>32570218</v>
      </c>
      <c r="WD14" s="82">
        <f t="shared" si="182"/>
        <v>32570218</v>
      </c>
      <c r="WE14" s="82">
        <f t="shared" si="182"/>
        <v>32570218</v>
      </c>
      <c r="WF14" s="82">
        <f t="shared" si="182"/>
        <v>32570218</v>
      </c>
      <c r="WG14" s="82">
        <f t="shared" si="182"/>
        <v>32570218</v>
      </c>
      <c r="WH14" s="82">
        <f t="shared" si="182"/>
        <v>32570218</v>
      </c>
      <c r="WI14" s="82">
        <f t="shared" si="182"/>
        <v>32570218</v>
      </c>
      <c r="WJ14" s="82">
        <v>0</v>
      </c>
      <c r="WK14" s="82">
        <v>0</v>
      </c>
      <c r="WL14" s="82">
        <v>0</v>
      </c>
      <c r="WM14" s="82">
        <v>0</v>
      </c>
      <c r="WN14" s="82">
        <v>0</v>
      </c>
      <c r="WO14" s="82">
        <v>0</v>
      </c>
      <c r="WP14" s="82">
        <v>0</v>
      </c>
      <c r="WQ14" s="82">
        <v>0</v>
      </c>
      <c r="WR14" s="82">
        <v>0</v>
      </c>
      <c r="WS14" s="82">
        <v>0</v>
      </c>
      <c r="WT14" s="82">
        <v>0</v>
      </c>
      <c r="WU14" s="82">
        <v>0</v>
      </c>
      <c r="WV14" s="82">
        <v>0</v>
      </c>
      <c r="WW14" s="82">
        <v>0</v>
      </c>
      <c r="WX14" s="82">
        <v>0</v>
      </c>
      <c r="WY14" s="82">
        <v>0</v>
      </c>
      <c r="WZ14" s="82">
        <v>0</v>
      </c>
      <c r="XA14" s="82">
        <v>0</v>
      </c>
      <c r="XB14" s="82">
        <v>0</v>
      </c>
      <c r="XC14" s="82">
        <v>0</v>
      </c>
      <c r="XD14" s="82">
        <v>0</v>
      </c>
      <c r="XE14" s="82">
        <v>0</v>
      </c>
      <c r="XF14" s="82">
        <v>0</v>
      </c>
      <c r="XG14" s="133"/>
      <c r="XH14" s="82">
        <f>XF26</f>
        <v>30421881</v>
      </c>
      <c r="XI14" s="82">
        <f t="shared" ref="XI14:XO21" si="183">XH14</f>
        <v>30421881</v>
      </c>
      <c r="XJ14" s="82">
        <f t="shared" si="183"/>
        <v>30421881</v>
      </c>
      <c r="XK14" s="82">
        <f t="shared" si="183"/>
        <v>30421881</v>
      </c>
      <c r="XL14" s="82">
        <f t="shared" si="183"/>
        <v>30421881</v>
      </c>
      <c r="XM14" s="82">
        <f t="shared" si="183"/>
        <v>30421881</v>
      </c>
      <c r="XN14" s="82">
        <f t="shared" si="183"/>
        <v>30421881</v>
      </c>
      <c r="XO14" s="82">
        <f t="shared" si="183"/>
        <v>30421881</v>
      </c>
      <c r="XP14" s="82">
        <v>129500</v>
      </c>
      <c r="XQ14" s="82">
        <f t="shared" ref="XQ14:YK14" si="184">XP14</f>
        <v>129500</v>
      </c>
      <c r="XR14" s="82">
        <f t="shared" si="184"/>
        <v>129500</v>
      </c>
      <c r="XS14" s="82">
        <f t="shared" si="184"/>
        <v>129500</v>
      </c>
      <c r="XT14" s="82">
        <f t="shared" si="184"/>
        <v>129500</v>
      </c>
      <c r="XU14" s="82">
        <f t="shared" si="184"/>
        <v>129500</v>
      </c>
      <c r="XV14" s="82">
        <f t="shared" si="184"/>
        <v>129500</v>
      </c>
      <c r="XW14" s="82">
        <f t="shared" si="184"/>
        <v>129500</v>
      </c>
      <c r="XX14" s="82">
        <f t="shared" si="184"/>
        <v>129500</v>
      </c>
      <c r="XY14" s="82">
        <f t="shared" si="184"/>
        <v>129500</v>
      </c>
      <c r="XZ14" s="82">
        <f t="shared" si="184"/>
        <v>129500</v>
      </c>
      <c r="YA14" s="82">
        <f t="shared" si="184"/>
        <v>129500</v>
      </c>
      <c r="YB14" s="82">
        <f t="shared" si="184"/>
        <v>129500</v>
      </c>
      <c r="YC14" s="82">
        <f t="shared" si="184"/>
        <v>129500</v>
      </c>
      <c r="YD14" s="82">
        <f t="shared" si="184"/>
        <v>129500</v>
      </c>
      <c r="YE14" s="82">
        <f t="shared" si="184"/>
        <v>129500</v>
      </c>
      <c r="YF14" s="82">
        <f t="shared" si="184"/>
        <v>129500</v>
      </c>
      <c r="YG14" s="82">
        <f t="shared" si="184"/>
        <v>129500</v>
      </c>
      <c r="YH14" s="82">
        <f t="shared" si="184"/>
        <v>129500</v>
      </c>
      <c r="YI14" s="82">
        <f t="shared" si="184"/>
        <v>129500</v>
      </c>
      <c r="YJ14" s="82">
        <f t="shared" si="184"/>
        <v>129500</v>
      </c>
      <c r="YK14" s="82">
        <f t="shared" si="184"/>
        <v>129500</v>
      </c>
      <c r="YL14" s="130"/>
      <c r="YM14" s="82">
        <f>YK14+YK26</f>
        <v>29668090</v>
      </c>
      <c r="YN14" s="82">
        <f t="shared" ref="YN14:YV14" si="185">YM14</f>
        <v>29668090</v>
      </c>
      <c r="YO14" s="82">
        <f t="shared" si="185"/>
        <v>29668090</v>
      </c>
      <c r="YP14" s="82">
        <f t="shared" si="185"/>
        <v>29668090</v>
      </c>
      <c r="YQ14" s="82">
        <f t="shared" si="185"/>
        <v>29668090</v>
      </c>
      <c r="YR14" s="82">
        <f t="shared" si="185"/>
        <v>29668090</v>
      </c>
      <c r="YS14" s="82">
        <f t="shared" si="185"/>
        <v>29668090</v>
      </c>
      <c r="YT14" s="82">
        <f t="shared" si="185"/>
        <v>29668090</v>
      </c>
      <c r="YU14" s="82">
        <f t="shared" si="185"/>
        <v>29668090</v>
      </c>
      <c r="YV14" s="82">
        <f t="shared" si="185"/>
        <v>29668090</v>
      </c>
      <c r="YW14" s="82">
        <v>1131136</v>
      </c>
      <c r="YX14" s="82">
        <f t="shared" ref="YX14:ZQ14" si="186">YW14</f>
        <v>1131136</v>
      </c>
      <c r="YY14" s="82">
        <f t="shared" si="186"/>
        <v>1131136</v>
      </c>
      <c r="YZ14" s="82">
        <f t="shared" si="186"/>
        <v>1131136</v>
      </c>
      <c r="ZA14" s="82">
        <f t="shared" si="186"/>
        <v>1131136</v>
      </c>
      <c r="ZB14" s="82">
        <f t="shared" si="186"/>
        <v>1131136</v>
      </c>
      <c r="ZC14" s="82">
        <f t="shared" si="186"/>
        <v>1131136</v>
      </c>
      <c r="ZD14" s="82">
        <f t="shared" si="186"/>
        <v>1131136</v>
      </c>
      <c r="ZE14" s="82">
        <f t="shared" si="186"/>
        <v>1131136</v>
      </c>
      <c r="ZF14" s="82">
        <f t="shared" si="186"/>
        <v>1131136</v>
      </c>
      <c r="ZG14" s="82">
        <f t="shared" si="186"/>
        <v>1131136</v>
      </c>
      <c r="ZH14" s="82">
        <f t="shared" si="186"/>
        <v>1131136</v>
      </c>
      <c r="ZI14" s="82">
        <f t="shared" si="186"/>
        <v>1131136</v>
      </c>
      <c r="ZJ14" s="82">
        <f t="shared" si="186"/>
        <v>1131136</v>
      </c>
      <c r="ZK14" s="82">
        <f t="shared" si="186"/>
        <v>1131136</v>
      </c>
      <c r="ZL14" s="82">
        <f t="shared" si="186"/>
        <v>1131136</v>
      </c>
      <c r="ZM14" s="82">
        <f t="shared" si="186"/>
        <v>1131136</v>
      </c>
      <c r="ZN14" s="82">
        <f t="shared" si="186"/>
        <v>1131136</v>
      </c>
      <c r="ZO14" s="82">
        <f t="shared" si="186"/>
        <v>1131136</v>
      </c>
      <c r="ZP14" s="82">
        <f t="shared" si="186"/>
        <v>1131136</v>
      </c>
      <c r="ZQ14" s="82">
        <f t="shared" si="186"/>
        <v>1131136</v>
      </c>
      <c r="ZR14" s="130"/>
      <c r="ZS14" s="82">
        <f>ZQ14+ZQ26</f>
        <v>37445519</v>
      </c>
      <c r="ZT14" s="82">
        <f t="shared" ref="ZT14:ZT22" si="187">ZS14</f>
        <v>37445519</v>
      </c>
      <c r="ZU14" s="82">
        <v>4582500</v>
      </c>
      <c r="ZV14" s="82">
        <f t="shared" ref="ZV14:AAV14" si="188">ZU14</f>
        <v>4582500</v>
      </c>
      <c r="ZW14" s="82">
        <f t="shared" si="188"/>
        <v>4582500</v>
      </c>
      <c r="ZX14" s="82">
        <f t="shared" si="188"/>
        <v>4582500</v>
      </c>
      <c r="ZY14" s="82">
        <f t="shared" si="188"/>
        <v>4582500</v>
      </c>
      <c r="ZZ14" s="82">
        <f t="shared" si="188"/>
        <v>4582500</v>
      </c>
      <c r="AAA14" s="82">
        <f t="shared" si="188"/>
        <v>4582500</v>
      </c>
      <c r="AAB14" s="82">
        <f t="shared" si="188"/>
        <v>4582500</v>
      </c>
      <c r="AAC14" s="82">
        <f t="shared" si="188"/>
        <v>4582500</v>
      </c>
      <c r="AAD14" s="82">
        <f t="shared" si="188"/>
        <v>4582500</v>
      </c>
      <c r="AAE14" s="82">
        <f t="shared" si="188"/>
        <v>4582500</v>
      </c>
      <c r="AAF14" s="82">
        <f t="shared" si="188"/>
        <v>4582500</v>
      </c>
      <c r="AAG14" s="82">
        <f t="shared" si="188"/>
        <v>4582500</v>
      </c>
      <c r="AAH14" s="82">
        <f t="shared" si="188"/>
        <v>4582500</v>
      </c>
      <c r="AAI14" s="82">
        <f t="shared" si="188"/>
        <v>4582500</v>
      </c>
      <c r="AAJ14" s="82">
        <f t="shared" si="188"/>
        <v>4582500</v>
      </c>
      <c r="AAK14" s="82">
        <f t="shared" si="188"/>
        <v>4582500</v>
      </c>
      <c r="AAL14" s="82">
        <f t="shared" si="188"/>
        <v>4582500</v>
      </c>
      <c r="AAM14" s="82">
        <f t="shared" si="188"/>
        <v>4582500</v>
      </c>
      <c r="AAN14" s="82">
        <f t="shared" si="188"/>
        <v>4582500</v>
      </c>
      <c r="AAO14" s="82">
        <f t="shared" si="188"/>
        <v>4582500</v>
      </c>
      <c r="AAP14" s="82">
        <f t="shared" si="188"/>
        <v>4582500</v>
      </c>
      <c r="AAQ14" s="82">
        <f t="shared" si="188"/>
        <v>4582500</v>
      </c>
      <c r="AAR14" s="82">
        <f t="shared" si="188"/>
        <v>4582500</v>
      </c>
      <c r="AAS14" s="82">
        <f t="shared" si="188"/>
        <v>4582500</v>
      </c>
      <c r="AAT14" s="82">
        <f t="shared" si="188"/>
        <v>4582500</v>
      </c>
      <c r="AAU14" s="82">
        <f t="shared" si="188"/>
        <v>4582500</v>
      </c>
      <c r="AAV14" s="82">
        <f t="shared" si="188"/>
        <v>4582500</v>
      </c>
      <c r="AAW14" s="130"/>
      <c r="AAX14" s="82">
        <f>AAV14+AAV26</f>
        <v>43215027</v>
      </c>
      <c r="AAY14" s="82">
        <f t="shared" ref="AAY14:ABM14" si="189">AAX14</f>
        <v>43215027</v>
      </c>
      <c r="AAZ14" s="82">
        <f t="shared" si="189"/>
        <v>43215027</v>
      </c>
      <c r="ABA14" s="82">
        <f t="shared" si="189"/>
        <v>43215027</v>
      </c>
      <c r="ABB14" s="82">
        <f t="shared" si="189"/>
        <v>43215027</v>
      </c>
      <c r="ABC14" s="82">
        <f t="shared" si="189"/>
        <v>43215027</v>
      </c>
      <c r="ABD14" s="82">
        <f t="shared" si="189"/>
        <v>43215027</v>
      </c>
      <c r="ABE14" s="82">
        <f t="shared" si="189"/>
        <v>43215027</v>
      </c>
      <c r="ABF14" s="82">
        <f t="shared" si="189"/>
        <v>43215027</v>
      </c>
      <c r="ABG14" s="82">
        <f t="shared" si="189"/>
        <v>43215027</v>
      </c>
      <c r="ABH14" s="82">
        <f t="shared" si="189"/>
        <v>43215027</v>
      </c>
      <c r="ABI14" s="82">
        <f t="shared" si="189"/>
        <v>43215027</v>
      </c>
      <c r="ABJ14" s="82">
        <f t="shared" si="189"/>
        <v>43215027</v>
      </c>
      <c r="ABK14" s="82">
        <f t="shared" si="189"/>
        <v>43215027</v>
      </c>
      <c r="ABL14" s="82">
        <f t="shared" si="189"/>
        <v>43215027</v>
      </c>
      <c r="ABM14" s="82">
        <f t="shared" si="189"/>
        <v>43215027</v>
      </c>
      <c r="ABN14" s="82">
        <v>65000</v>
      </c>
      <c r="ABO14" s="82">
        <f t="shared" ref="ABO14:ACB14" si="190">ABN14</f>
        <v>65000</v>
      </c>
      <c r="ABP14" s="82">
        <f t="shared" si="190"/>
        <v>65000</v>
      </c>
      <c r="ABQ14" s="82">
        <f t="shared" si="190"/>
        <v>65000</v>
      </c>
      <c r="ABR14" s="82">
        <f t="shared" si="190"/>
        <v>65000</v>
      </c>
      <c r="ABS14" s="82">
        <f t="shared" si="190"/>
        <v>65000</v>
      </c>
      <c r="ABT14" s="82">
        <f t="shared" si="190"/>
        <v>65000</v>
      </c>
      <c r="ABU14" s="82">
        <f t="shared" si="190"/>
        <v>65000</v>
      </c>
      <c r="ABV14" s="82">
        <f t="shared" si="190"/>
        <v>65000</v>
      </c>
      <c r="ABW14" s="82">
        <f t="shared" si="190"/>
        <v>65000</v>
      </c>
      <c r="ABX14" s="82">
        <f t="shared" si="190"/>
        <v>65000</v>
      </c>
      <c r="ABY14" s="82">
        <f t="shared" si="190"/>
        <v>65000</v>
      </c>
      <c r="ABZ14" s="82">
        <f t="shared" si="190"/>
        <v>65000</v>
      </c>
      <c r="ACA14" s="82">
        <f t="shared" si="190"/>
        <v>65000</v>
      </c>
      <c r="ACB14" s="82">
        <f t="shared" si="190"/>
        <v>65000</v>
      </c>
      <c r="ACC14" s="130"/>
      <c r="ACD14" s="82">
        <f>ACB14+ACB26</f>
        <v>37968344</v>
      </c>
      <c r="ACE14" s="82">
        <f t="shared" ref="ACE14:ACH22" si="191">ACD14</f>
        <v>37968344</v>
      </c>
      <c r="ACF14" s="82">
        <f t="shared" si="191"/>
        <v>37968344</v>
      </c>
      <c r="ACG14" s="82">
        <f t="shared" si="191"/>
        <v>37968344</v>
      </c>
      <c r="ACH14" s="82">
        <f t="shared" si="191"/>
        <v>37968344</v>
      </c>
      <c r="ACI14" s="82">
        <v>0</v>
      </c>
      <c r="ACJ14" s="82">
        <f t="shared" ref="ACJ14:ADH14" si="192">ACI14</f>
        <v>0</v>
      </c>
      <c r="ACK14" s="82">
        <f t="shared" si="192"/>
        <v>0</v>
      </c>
      <c r="ACL14" s="82">
        <f t="shared" si="192"/>
        <v>0</v>
      </c>
      <c r="ACM14" s="82">
        <f t="shared" si="192"/>
        <v>0</v>
      </c>
      <c r="ACN14" s="82">
        <f t="shared" si="192"/>
        <v>0</v>
      </c>
      <c r="ACO14" s="82">
        <f t="shared" si="192"/>
        <v>0</v>
      </c>
      <c r="ACP14" s="82">
        <f t="shared" si="192"/>
        <v>0</v>
      </c>
      <c r="ACQ14" s="82">
        <f t="shared" si="192"/>
        <v>0</v>
      </c>
      <c r="ACR14" s="82">
        <f t="shared" si="192"/>
        <v>0</v>
      </c>
      <c r="ACS14" s="82">
        <f t="shared" si="192"/>
        <v>0</v>
      </c>
      <c r="ACT14" s="82">
        <f t="shared" si="192"/>
        <v>0</v>
      </c>
      <c r="ACU14" s="82">
        <f t="shared" si="192"/>
        <v>0</v>
      </c>
      <c r="ACV14" s="82">
        <f t="shared" si="192"/>
        <v>0</v>
      </c>
      <c r="ACW14" s="82">
        <f t="shared" si="192"/>
        <v>0</v>
      </c>
      <c r="ACX14" s="82">
        <f t="shared" si="192"/>
        <v>0</v>
      </c>
      <c r="ACY14" s="82">
        <f t="shared" si="192"/>
        <v>0</v>
      </c>
      <c r="ACZ14" s="82">
        <f t="shared" si="192"/>
        <v>0</v>
      </c>
      <c r="ADA14" s="82">
        <f t="shared" si="192"/>
        <v>0</v>
      </c>
      <c r="ADB14" s="82">
        <f t="shared" si="192"/>
        <v>0</v>
      </c>
      <c r="ADC14" s="82">
        <f t="shared" si="192"/>
        <v>0</v>
      </c>
      <c r="ADD14" s="82">
        <f t="shared" si="192"/>
        <v>0</v>
      </c>
      <c r="ADE14" s="82">
        <f t="shared" si="192"/>
        <v>0</v>
      </c>
      <c r="ADF14" s="82">
        <f t="shared" si="192"/>
        <v>0</v>
      </c>
      <c r="ADG14" s="82">
        <f t="shared" si="192"/>
        <v>0</v>
      </c>
      <c r="ADH14" s="82">
        <f t="shared" si="192"/>
        <v>0</v>
      </c>
      <c r="ADI14" s="130"/>
      <c r="ADJ14" s="82">
        <f>ADH26</f>
        <v>39112669</v>
      </c>
      <c r="ADK14" s="82">
        <f t="shared" ref="ADK14:ADV14" si="193">ADJ14</f>
        <v>39112669</v>
      </c>
      <c r="ADL14" s="82">
        <f t="shared" si="193"/>
        <v>39112669</v>
      </c>
      <c r="ADM14" s="82">
        <f t="shared" si="193"/>
        <v>39112669</v>
      </c>
      <c r="ADN14" s="82">
        <f t="shared" si="193"/>
        <v>39112669</v>
      </c>
      <c r="ADO14" s="82">
        <f t="shared" si="193"/>
        <v>39112669</v>
      </c>
      <c r="ADP14" s="82">
        <f t="shared" si="193"/>
        <v>39112669</v>
      </c>
      <c r="ADQ14" s="82">
        <f t="shared" si="193"/>
        <v>39112669</v>
      </c>
      <c r="ADR14" s="82">
        <f t="shared" si="193"/>
        <v>39112669</v>
      </c>
      <c r="ADS14" s="82">
        <f t="shared" si="193"/>
        <v>39112669</v>
      </c>
      <c r="ADT14" s="82">
        <f t="shared" si="193"/>
        <v>39112669</v>
      </c>
      <c r="ADU14" s="82">
        <f t="shared" si="193"/>
        <v>39112669</v>
      </c>
      <c r="ADV14" s="82">
        <f t="shared" si="193"/>
        <v>39112669</v>
      </c>
      <c r="ADW14" s="82">
        <v>1070000</v>
      </c>
      <c r="ADX14" s="82">
        <f t="shared" ref="ADX14:AEM14" si="194">ADW14</f>
        <v>1070000</v>
      </c>
      <c r="ADY14" s="82">
        <f t="shared" si="194"/>
        <v>1070000</v>
      </c>
      <c r="ADZ14" s="82">
        <f t="shared" si="194"/>
        <v>1070000</v>
      </c>
      <c r="AEA14" s="82">
        <f t="shared" si="194"/>
        <v>1070000</v>
      </c>
      <c r="AEB14" s="82">
        <f t="shared" si="194"/>
        <v>1070000</v>
      </c>
      <c r="AEC14" s="82">
        <f t="shared" si="194"/>
        <v>1070000</v>
      </c>
      <c r="AED14" s="82">
        <f t="shared" si="194"/>
        <v>1070000</v>
      </c>
      <c r="AEE14" s="82">
        <f t="shared" si="194"/>
        <v>1070000</v>
      </c>
      <c r="AEF14" s="82">
        <f t="shared" si="194"/>
        <v>1070000</v>
      </c>
      <c r="AEG14" s="82">
        <f t="shared" si="194"/>
        <v>1070000</v>
      </c>
      <c r="AEH14" s="82">
        <f t="shared" si="194"/>
        <v>1070000</v>
      </c>
      <c r="AEI14" s="82">
        <f t="shared" si="194"/>
        <v>1070000</v>
      </c>
      <c r="AEJ14" s="82">
        <f t="shared" si="194"/>
        <v>1070000</v>
      </c>
      <c r="AEK14" s="82">
        <f t="shared" si="194"/>
        <v>1070000</v>
      </c>
      <c r="AEL14" s="82">
        <f t="shared" si="194"/>
        <v>1070000</v>
      </c>
      <c r="AEM14" s="82">
        <f t="shared" si="194"/>
        <v>1070000</v>
      </c>
      <c r="AEN14" s="130"/>
      <c r="AEO14" s="82">
        <f>AEM14+AEM26</f>
        <v>36618891</v>
      </c>
      <c r="AEP14" s="82">
        <f t="shared" ref="AEP14:AET22" si="195">AEO14</f>
        <v>36618891</v>
      </c>
      <c r="AEQ14" s="82">
        <f t="shared" si="195"/>
        <v>36618891</v>
      </c>
      <c r="AER14" s="82">
        <f t="shared" si="195"/>
        <v>36618891</v>
      </c>
      <c r="AES14" s="82">
        <f t="shared" si="195"/>
        <v>36618891</v>
      </c>
      <c r="AET14" s="82">
        <f t="shared" si="195"/>
        <v>36618891</v>
      </c>
      <c r="AEU14" s="82">
        <v>0</v>
      </c>
      <c r="AEV14" s="82">
        <f t="shared" ref="AEV14:AFS14" si="196">AEU14</f>
        <v>0</v>
      </c>
      <c r="AEW14" s="82">
        <f t="shared" si="196"/>
        <v>0</v>
      </c>
      <c r="AEX14" s="82">
        <f t="shared" si="196"/>
        <v>0</v>
      </c>
      <c r="AEY14" s="82">
        <f t="shared" si="196"/>
        <v>0</v>
      </c>
      <c r="AEZ14" s="82">
        <f t="shared" si="196"/>
        <v>0</v>
      </c>
      <c r="AFA14" s="82">
        <f t="shared" si="196"/>
        <v>0</v>
      </c>
      <c r="AFB14" s="82">
        <f t="shared" si="196"/>
        <v>0</v>
      </c>
      <c r="AFC14" s="82">
        <f t="shared" si="196"/>
        <v>0</v>
      </c>
      <c r="AFD14" s="82">
        <f t="shared" si="196"/>
        <v>0</v>
      </c>
      <c r="AFE14" s="82">
        <f t="shared" si="196"/>
        <v>0</v>
      </c>
      <c r="AFF14" s="82">
        <f t="shared" si="196"/>
        <v>0</v>
      </c>
      <c r="AFG14" s="82">
        <f t="shared" si="196"/>
        <v>0</v>
      </c>
      <c r="AFH14" s="82">
        <f t="shared" si="196"/>
        <v>0</v>
      </c>
      <c r="AFI14" s="82">
        <f t="shared" si="196"/>
        <v>0</v>
      </c>
      <c r="AFJ14" s="82">
        <f t="shared" si="196"/>
        <v>0</v>
      </c>
      <c r="AFK14" s="82">
        <f t="shared" si="196"/>
        <v>0</v>
      </c>
      <c r="AFL14" s="82">
        <f t="shared" si="196"/>
        <v>0</v>
      </c>
      <c r="AFM14" s="82">
        <f t="shared" si="196"/>
        <v>0</v>
      </c>
      <c r="AFN14" s="82">
        <f t="shared" si="196"/>
        <v>0</v>
      </c>
      <c r="AFO14" s="82">
        <f t="shared" si="196"/>
        <v>0</v>
      </c>
      <c r="AFP14" s="82">
        <f t="shared" si="196"/>
        <v>0</v>
      </c>
      <c r="AFQ14" s="82">
        <f t="shared" si="196"/>
        <v>0</v>
      </c>
      <c r="AFR14" s="82">
        <f t="shared" si="196"/>
        <v>0</v>
      </c>
      <c r="AFS14" s="82">
        <f t="shared" si="196"/>
        <v>0</v>
      </c>
      <c r="AFT14" s="130"/>
      <c r="AFU14" s="82">
        <f>AFS26</f>
        <v>37645861</v>
      </c>
      <c r="AFV14" s="82">
        <f t="shared" ref="AFV14:AGC18" si="197">AFU14</f>
        <v>37645861</v>
      </c>
      <c r="AFW14" s="82">
        <f t="shared" si="197"/>
        <v>37645861</v>
      </c>
      <c r="AFX14" s="82">
        <f t="shared" si="197"/>
        <v>37645861</v>
      </c>
      <c r="AFY14" s="82">
        <f t="shared" si="197"/>
        <v>37645861</v>
      </c>
      <c r="AFZ14" s="82">
        <f t="shared" si="197"/>
        <v>37645861</v>
      </c>
      <c r="AGA14" s="82">
        <f t="shared" si="197"/>
        <v>37645861</v>
      </c>
      <c r="AGB14" s="82">
        <f t="shared" si="197"/>
        <v>37645861</v>
      </c>
      <c r="AGC14" s="82">
        <f t="shared" si="197"/>
        <v>37645861</v>
      </c>
      <c r="AGD14" s="82">
        <v>0</v>
      </c>
      <c r="AGE14" s="82">
        <f t="shared" ref="AGE14:AGX14" si="198">AGD14</f>
        <v>0</v>
      </c>
      <c r="AGF14" s="82">
        <f t="shared" si="198"/>
        <v>0</v>
      </c>
      <c r="AGG14" s="82">
        <f t="shared" si="198"/>
        <v>0</v>
      </c>
      <c r="AGH14" s="82">
        <f t="shared" si="198"/>
        <v>0</v>
      </c>
      <c r="AGI14" s="82">
        <f t="shared" si="198"/>
        <v>0</v>
      </c>
      <c r="AGJ14" s="82">
        <f t="shared" si="198"/>
        <v>0</v>
      </c>
      <c r="AGK14" s="82">
        <f t="shared" si="198"/>
        <v>0</v>
      </c>
      <c r="AGL14" s="82">
        <f t="shared" si="198"/>
        <v>0</v>
      </c>
      <c r="AGM14" s="82">
        <f t="shared" si="198"/>
        <v>0</v>
      </c>
      <c r="AGN14" s="82">
        <f t="shared" si="198"/>
        <v>0</v>
      </c>
      <c r="AGO14" s="82">
        <f t="shared" si="198"/>
        <v>0</v>
      </c>
      <c r="AGP14" s="82">
        <f t="shared" si="198"/>
        <v>0</v>
      </c>
      <c r="AGQ14" s="82">
        <f t="shared" si="198"/>
        <v>0</v>
      </c>
      <c r="AGR14" s="82">
        <f t="shared" si="198"/>
        <v>0</v>
      </c>
      <c r="AGS14" s="82">
        <f t="shared" si="198"/>
        <v>0</v>
      </c>
      <c r="AGT14" s="82">
        <f t="shared" si="198"/>
        <v>0</v>
      </c>
      <c r="AGU14" s="82">
        <f t="shared" si="198"/>
        <v>0</v>
      </c>
      <c r="AGV14" s="82">
        <f t="shared" si="198"/>
        <v>0</v>
      </c>
      <c r="AGW14" s="82">
        <f t="shared" si="198"/>
        <v>0</v>
      </c>
      <c r="AGX14" s="82">
        <f t="shared" si="198"/>
        <v>0</v>
      </c>
      <c r="AGY14" s="133"/>
      <c r="AGZ14" s="82">
        <f>AGX26</f>
        <v>7536990</v>
      </c>
      <c r="AHA14" s="82">
        <f t="shared" ref="AHA14:AHJ14" si="199">AGZ14</f>
        <v>7536990</v>
      </c>
      <c r="AHB14" s="82">
        <f t="shared" si="199"/>
        <v>7536990</v>
      </c>
      <c r="AHC14" s="82">
        <f t="shared" si="199"/>
        <v>7536990</v>
      </c>
      <c r="AHD14" s="82">
        <f t="shared" si="199"/>
        <v>7536990</v>
      </c>
      <c r="AHE14" s="82">
        <f t="shared" si="199"/>
        <v>7536990</v>
      </c>
      <c r="AHF14" s="82">
        <f t="shared" si="199"/>
        <v>7536990</v>
      </c>
      <c r="AHG14" s="82">
        <f t="shared" si="199"/>
        <v>7536990</v>
      </c>
      <c r="AHH14" s="82">
        <f t="shared" si="199"/>
        <v>7536990</v>
      </c>
      <c r="AHI14" s="82">
        <f t="shared" si="199"/>
        <v>7536990</v>
      </c>
      <c r="AHJ14" s="82">
        <f t="shared" si="199"/>
        <v>7536990</v>
      </c>
      <c r="AHK14" s="82">
        <v>0</v>
      </c>
      <c r="AHL14" s="82">
        <f t="shared" ref="AHL14:AID14" si="200">AHK14</f>
        <v>0</v>
      </c>
      <c r="AHM14" s="82">
        <f t="shared" si="200"/>
        <v>0</v>
      </c>
      <c r="AHN14" s="82">
        <f t="shared" si="200"/>
        <v>0</v>
      </c>
      <c r="AHO14" s="82">
        <f t="shared" si="200"/>
        <v>0</v>
      </c>
      <c r="AHP14" s="82">
        <f t="shared" si="200"/>
        <v>0</v>
      </c>
      <c r="AHQ14" s="82">
        <f t="shared" si="200"/>
        <v>0</v>
      </c>
      <c r="AHR14" s="82">
        <f t="shared" si="200"/>
        <v>0</v>
      </c>
      <c r="AHS14" s="82">
        <f t="shared" si="200"/>
        <v>0</v>
      </c>
      <c r="AHT14" s="82">
        <f t="shared" si="200"/>
        <v>0</v>
      </c>
      <c r="AHU14" s="82">
        <f t="shared" si="200"/>
        <v>0</v>
      </c>
      <c r="AHV14" s="82">
        <f t="shared" si="200"/>
        <v>0</v>
      </c>
      <c r="AHW14" s="82">
        <f t="shared" si="200"/>
        <v>0</v>
      </c>
      <c r="AHX14" s="82">
        <f t="shared" si="200"/>
        <v>0</v>
      </c>
      <c r="AHY14" s="82">
        <f t="shared" si="200"/>
        <v>0</v>
      </c>
      <c r="AHZ14" s="82">
        <f t="shared" si="200"/>
        <v>0</v>
      </c>
      <c r="AIA14" s="82">
        <f t="shared" si="200"/>
        <v>0</v>
      </c>
      <c r="AIB14" s="82">
        <f t="shared" si="200"/>
        <v>0</v>
      </c>
      <c r="AIC14" s="82">
        <f t="shared" si="200"/>
        <v>0</v>
      </c>
      <c r="AID14" s="82">
        <f t="shared" si="200"/>
        <v>0</v>
      </c>
      <c r="AIE14" s="130"/>
      <c r="AIF14" s="82">
        <f t="shared" ref="AIF14:AJJ14" si="201">AIE14</f>
        <v>0</v>
      </c>
      <c r="AIG14" s="82">
        <f t="shared" si="201"/>
        <v>0</v>
      </c>
      <c r="AIH14" s="82">
        <f t="shared" si="201"/>
        <v>0</v>
      </c>
      <c r="AII14" s="82">
        <f t="shared" si="201"/>
        <v>0</v>
      </c>
      <c r="AIJ14" s="82">
        <f t="shared" si="201"/>
        <v>0</v>
      </c>
      <c r="AIK14" s="82">
        <f t="shared" si="201"/>
        <v>0</v>
      </c>
      <c r="AIL14" s="82">
        <f t="shared" si="201"/>
        <v>0</v>
      </c>
      <c r="AIM14" s="82">
        <f t="shared" si="201"/>
        <v>0</v>
      </c>
      <c r="AIN14" s="82">
        <f t="shared" si="201"/>
        <v>0</v>
      </c>
      <c r="AIO14" s="82">
        <f t="shared" si="201"/>
        <v>0</v>
      </c>
      <c r="AIP14" s="82">
        <f t="shared" si="201"/>
        <v>0</v>
      </c>
      <c r="AIQ14" s="82">
        <f t="shared" si="201"/>
        <v>0</v>
      </c>
      <c r="AIR14" s="82">
        <f t="shared" si="201"/>
        <v>0</v>
      </c>
      <c r="AIS14" s="82">
        <f t="shared" si="201"/>
        <v>0</v>
      </c>
      <c r="AIT14" s="82">
        <f t="shared" si="201"/>
        <v>0</v>
      </c>
      <c r="AIU14" s="82">
        <f t="shared" si="201"/>
        <v>0</v>
      </c>
      <c r="AIV14" s="82">
        <f t="shared" si="201"/>
        <v>0</v>
      </c>
      <c r="AIW14" s="82">
        <f t="shared" si="201"/>
        <v>0</v>
      </c>
      <c r="AIX14" s="82">
        <f t="shared" si="201"/>
        <v>0</v>
      </c>
      <c r="AIY14" s="82">
        <f t="shared" si="201"/>
        <v>0</v>
      </c>
      <c r="AIZ14" s="82">
        <f t="shared" si="201"/>
        <v>0</v>
      </c>
      <c r="AJA14" s="82">
        <f t="shared" si="201"/>
        <v>0</v>
      </c>
      <c r="AJB14" s="82">
        <f t="shared" si="201"/>
        <v>0</v>
      </c>
      <c r="AJC14" s="82">
        <f t="shared" si="201"/>
        <v>0</v>
      </c>
      <c r="AJD14" s="82">
        <f t="shared" si="201"/>
        <v>0</v>
      </c>
      <c r="AJE14" s="82">
        <f t="shared" si="201"/>
        <v>0</v>
      </c>
      <c r="AJF14" s="82">
        <f t="shared" si="201"/>
        <v>0</v>
      </c>
      <c r="AJG14" s="82">
        <f t="shared" si="201"/>
        <v>0</v>
      </c>
      <c r="AJH14" s="82">
        <f t="shared" si="201"/>
        <v>0</v>
      </c>
      <c r="AJI14" s="82">
        <f t="shared" si="201"/>
        <v>0</v>
      </c>
      <c r="AJJ14" s="82">
        <f t="shared" si="201"/>
        <v>0</v>
      </c>
      <c r="AJK14" s="145"/>
      <c r="AJL14" s="82">
        <f t="shared" ref="AJL14:AKM14" si="202">AJK14</f>
        <v>0</v>
      </c>
      <c r="AJM14" s="82">
        <f t="shared" si="202"/>
        <v>0</v>
      </c>
      <c r="AJN14" s="82">
        <f t="shared" si="202"/>
        <v>0</v>
      </c>
      <c r="AJO14" s="82">
        <f t="shared" si="202"/>
        <v>0</v>
      </c>
      <c r="AJP14" s="82">
        <f t="shared" si="202"/>
        <v>0</v>
      </c>
      <c r="AJQ14" s="82">
        <f t="shared" si="202"/>
        <v>0</v>
      </c>
      <c r="AJR14" s="82">
        <f t="shared" si="202"/>
        <v>0</v>
      </c>
      <c r="AJS14" s="82">
        <f t="shared" si="202"/>
        <v>0</v>
      </c>
      <c r="AJT14" s="82">
        <f t="shared" si="202"/>
        <v>0</v>
      </c>
      <c r="AJU14" s="82">
        <f t="shared" si="202"/>
        <v>0</v>
      </c>
      <c r="AJV14" s="82">
        <f t="shared" si="202"/>
        <v>0</v>
      </c>
      <c r="AJW14" s="82">
        <f t="shared" si="202"/>
        <v>0</v>
      </c>
      <c r="AJX14" s="82">
        <f t="shared" si="202"/>
        <v>0</v>
      </c>
      <c r="AJY14" s="82">
        <f t="shared" si="202"/>
        <v>0</v>
      </c>
      <c r="AJZ14" s="82">
        <f t="shared" si="202"/>
        <v>0</v>
      </c>
      <c r="AKA14" s="82">
        <f t="shared" si="202"/>
        <v>0</v>
      </c>
      <c r="AKB14" s="82">
        <f t="shared" si="202"/>
        <v>0</v>
      </c>
      <c r="AKC14" s="82">
        <f t="shared" si="202"/>
        <v>0</v>
      </c>
      <c r="AKD14" s="82">
        <f t="shared" si="202"/>
        <v>0</v>
      </c>
      <c r="AKE14" s="82">
        <f t="shared" si="202"/>
        <v>0</v>
      </c>
      <c r="AKF14" s="82">
        <f t="shared" si="202"/>
        <v>0</v>
      </c>
      <c r="AKG14" s="82">
        <f t="shared" si="202"/>
        <v>0</v>
      </c>
      <c r="AKH14" s="82">
        <f t="shared" si="202"/>
        <v>0</v>
      </c>
      <c r="AKI14" s="82">
        <f t="shared" si="202"/>
        <v>0</v>
      </c>
      <c r="AKJ14" s="82">
        <f t="shared" si="202"/>
        <v>0</v>
      </c>
      <c r="AKK14" s="82">
        <f t="shared" si="202"/>
        <v>0</v>
      </c>
      <c r="AKL14" s="82">
        <f t="shared" si="202"/>
        <v>0</v>
      </c>
      <c r="AKM14" s="82">
        <f t="shared" si="202"/>
        <v>0</v>
      </c>
      <c r="AKN14" s="112"/>
      <c r="AKO14" s="82">
        <f t="shared" ref="AKO14:AKT15" si="203">AKN14</f>
        <v>0</v>
      </c>
      <c r="AKP14" s="82">
        <f t="shared" si="203"/>
        <v>0</v>
      </c>
      <c r="AKQ14" s="82">
        <f t="shared" si="203"/>
        <v>0</v>
      </c>
      <c r="AKR14" s="82">
        <f t="shared" si="203"/>
        <v>0</v>
      </c>
      <c r="AKS14" s="82">
        <f t="shared" si="203"/>
        <v>0</v>
      </c>
      <c r="AKT14" s="82">
        <f t="shared" si="203"/>
        <v>0</v>
      </c>
      <c r="AKU14" s="82"/>
      <c r="AKV14" s="82">
        <f t="shared" ref="AKV14:ALS14" si="204">AKU14</f>
        <v>0</v>
      </c>
      <c r="AKW14" s="82">
        <f t="shared" si="204"/>
        <v>0</v>
      </c>
      <c r="AKX14" s="82">
        <f t="shared" si="204"/>
        <v>0</v>
      </c>
      <c r="AKY14" s="82">
        <f t="shared" si="204"/>
        <v>0</v>
      </c>
      <c r="AKZ14" s="82">
        <f t="shared" si="204"/>
        <v>0</v>
      </c>
      <c r="ALA14" s="82">
        <f t="shared" si="204"/>
        <v>0</v>
      </c>
      <c r="ALB14" s="82">
        <f t="shared" si="204"/>
        <v>0</v>
      </c>
      <c r="ALC14" s="82">
        <f t="shared" si="204"/>
        <v>0</v>
      </c>
      <c r="ALD14" s="82">
        <f t="shared" si="204"/>
        <v>0</v>
      </c>
      <c r="ALE14" s="82">
        <f t="shared" si="204"/>
        <v>0</v>
      </c>
      <c r="ALF14" s="82">
        <f t="shared" si="204"/>
        <v>0</v>
      </c>
      <c r="ALG14" s="82">
        <f t="shared" si="204"/>
        <v>0</v>
      </c>
      <c r="ALH14" s="82">
        <f t="shared" si="204"/>
        <v>0</v>
      </c>
      <c r="ALI14" s="82">
        <f t="shared" si="204"/>
        <v>0</v>
      </c>
      <c r="ALJ14" s="82">
        <f t="shared" si="204"/>
        <v>0</v>
      </c>
      <c r="ALK14" s="82">
        <f t="shared" si="204"/>
        <v>0</v>
      </c>
      <c r="ALL14" s="82">
        <f t="shared" si="204"/>
        <v>0</v>
      </c>
      <c r="ALM14" s="82">
        <f t="shared" si="204"/>
        <v>0</v>
      </c>
      <c r="ALN14" s="82">
        <f t="shared" si="204"/>
        <v>0</v>
      </c>
      <c r="ALO14" s="82">
        <f t="shared" si="204"/>
        <v>0</v>
      </c>
      <c r="ALP14" s="82">
        <f t="shared" si="204"/>
        <v>0</v>
      </c>
      <c r="ALQ14" s="82">
        <f t="shared" si="204"/>
        <v>0</v>
      </c>
      <c r="ALR14" s="82">
        <f t="shared" si="204"/>
        <v>0</v>
      </c>
      <c r="ALS14" s="82">
        <f t="shared" si="204"/>
        <v>0</v>
      </c>
      <c r="ALT14" s="130"/>
      <c r="ALU14" s="82">
        <f t="shared" ref="ALU14:AMX14" si="205">ALT14</f>
        <v>0</v>
      </c>
      <c r="ALV14" s="82">
        <f t="shared" si="205"/>
        <v>0</v>
      </c>
      <c r="ALW14" s="82">
        <f t="shared" si="205"/>
        <v>0</v>
      </c>
      <c r="ALX14" s="82">
        <f t="shared" si="205"/>
        <v>0</v>
      </c>
      <c r="ALY14" s="82">
        <f t="shared" si="205"/>
        <v>0</v>
      </c>
      <c r="ALZ14" s="82">
        <f t="shared" si="205"/>
        <v>0</v>
      </c>
      <c r="AMA14" s="82">
        <f t="shared" si="205"/>
        <v>0</v>
      </c>
      <c r="AMB14" s="82">
        <f t="shared" si="205"/>
        <v>0</v>
      </c>
      <c r="AMC14" s="82">
        <f t="shared" si="205"/>
        <v>0</v>
      </c>
      <c r="AMD14" s="82">
        <f t="shared" si="205"/>
        <v>0</v>
      </c>
      <c r="AME14" s="82">
        <f t="shared" si="205"/>
        <v>0</v>
      </c>
      <c r="AMF14" s="82">
        <f t="shared" si="205"/>
        <v>0</v>
      </c>
      <c r="AMG14" s="82">
        <f t="shared" si="205"/>
        <v>0</v>
      </c>
      <c r="AMH14" s="82">
        <f t="shared" si="205"/>
        <v>0</v>
      </c>
      <c r="AMI14" s="82">
        <f t="shared" si="205"/>
        <v>0</v>
      </c>
      <c r="AMJ14" s="82">
        <f t="shared" si="205"/>
        <v>0</v>
      </c>
      <c r="AMK14" s="82">
        <f t="shared" si="205"/>
        <v>0</v>
      </c>
      <c r="AML14" s="82">
        <f t="shared" si="205"/>
        <v>0</v>
      </c>
      <c r="AMM14" s="82">
        <f t="shared" si="205"/>
        <v>0</v>
      </c>
      <c r="AMN14" s="82">
        <f t="shared" si="205"/>
        <v>0</v>
      </c>
      <c r="AMO14" s="82">
        <f t="shared" si="205"/>
        <v>0</v>
      </c>
      <c r="AMP14" s="82">
        <f t="shared" si="205"/>
        <v>0</v>
      </c>
      <c r="AMQ14" s="82">
        <f t="shared" si="205"/>
        <v>0</v>
      </c>
      <c r="AMR14" s="82">
        <f t="shared" si="205"/>
        <v>0</v>
      </c>
      <c r="AMS14" s="82">
        <f t="shared" si="205"/>
        <v>0</v>
      </c>
      <c r="AMT14" s="82">
        <f t="shared" si="205"/>
        <v>0</v>
      </c>
      <c r="AMU14" s="82">
        <f t="shared" si="205"/>
        <v>0</v>
      </c>
      <c r="AMV14" s="82">
        <f t="shared" si="205"/>
        <v>0</v>
      </c>
      <c r="AMW14" s="82">
        <f t="shared" si="205"/>
        <v>0</v>
      </c>
      <c r="AMX14" s="82">
        <f t="shared" si="205"/>
        <v>0</v>
      </c>
      <c r="AMY14" s="130"/>
      <c r="AMZ14" s="82">
        <v>10000</v>
      </c>
      <c r="ANA14" s="82">
        <v>10000</v>
      </c>
      <c r="ANB14" s="82">
        <v>10000</v>
      </c>
      <c r="ANC14" s="82">
        <v>10000</v>
      </c>
      <c r="AND14" s="82">
        <v>10000</v>
      </c>
      <c r="ANE14" s="82">
        <v>10000</v>
      </c>
      <c r="ANF14" s="82">
        <v>10000</v>
      </c>
      <c r="ANG14" s="82">
        <v>10000</v>
      </c>
      <c r="ANH14" s="82">
        <v>10000</v>
      </c>
      <c r="ANI14" s="82">
        <v>10000</v>
      </c>
      <c r="ANJ14" s="82">
        <v>10000</v>
      </c>
      <c r="ANK14" s="82">
        <v>10000</v>
      </c>
      <c r="ANL14" s="82">
        <v>0</v>
      </c>
      <c r="ANM14" s="82">
        <v>0</v>
      </c>
      <c r="ANN14" s="82">
        <v>0</v>
      </c>
      <c r="ANO14" s="82">
        <v>0</v>
      </c>
      <c r="ANP14" s="82">
        <v>0</v>
      </c>
      <c r="ANQ14" s="82">
        <v>0</v>
      </c>
      <c r="ANR14" s="82">
        <v>0</v>
      </c>
      <c r="ANS14" s="82">
        <v>0</v>
      </c>
      <c r="ANT14" s="82">
        <v>0</v>
      </c>
      <c r="ANU14" s="82"/>
      <c r="ANV14" s="82">
        <v>0</v>
      </c>
      <c r="ANW14" s="82">
        <v>0</v>
      </c>
      <c r="ANX14" s="82">
        <v>0</v>
      </c>
      <c r="ANY14" s="82">
        <v>0</v>
      </c>
      <c r="ANZ14" s="82">
        <v>0</v>
      </c>
      <c r="AOA14" s="82">
        <v>0</v>
      </c>
      <c r="AOB14" s="82">
        <v>0</v>
      </c>
      <c r="AOC14" s="82">
        <v>0</v>
      </c>
    </row>
    <row r="15" spans="1:1069" x14ac:dyDescent="0.2">
      <c r="A15" s="160"/>
      <c r="B15" t="s">
        <v>1647</v>
      </c>
      <c r="C15" s="52">
        <v>47842645</v>
      </c>
      <c r="D15" s="52">
        <f>C15</f>
        <v>47842645</v>
      </c>
      <c r="E15" s="52">
        <v>0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67"/>
      <c r="AI15" s="82">
        <f>AH27</f>
        <v>43294800</v>
      </c>
      <c r="AJ15" s="82">
        <f t="shared" ref="AJ15:AR15" si="206">AI15</f>
        <v>43294800</v>
      </c>
      <c r="AK15" s="82">
        <f t="shared" si="206"/>
        <v>43294800</v>
      </c>
      <c r="AL15" s="82">
        <f t="shared" si="206"/>
        <v>43294800</v>
      </c>
      <c r="AM15" s="82">
        <f t="shared" si="206"/>
        <v>43294800</v>
      </c>
      <c r="AN15" s="82">
        <f t="shared" si="206"/>
        <v>43294800</v>
      </c>
      <c r="AO15" s="82">
        <f t="shared" si="206"/>
        <v>43294800</v>
      </c>
      <c r="AP15" s="82">
        <f t="shared" si="206"/>
        <v>43294800</v>
      </c>
      <c r="AQ15" s="82">
        <f t="shared" si="206"/>
        <v>43294800</v>
      </c>
      <c r="AR15" s="82">
        <f t="shared" si="206"/>
        <v>43294800</v>
      </c>
      <c r="AS15" s="82">
        <v>0</v>
      </c>
      <c r="BM15" s="106">
        <f>BL27</f>
        <v>33260414</v>
      </c>
      <c r="BN15" s="82">
        <f t="shared" ref="BN15:BZ15" si="207">BM15</f>
        <v>33260414</v>
      </c>
      <c r="BO15" s="82">
        <f t="shared" si="207"/>
        <v>33260414</v>
      </c>
      <c r="BP15" s="82">
        <f t="shared" si="207"/>
        <v>33260414</v>
      </c>
      <c r="BQ15" s="82">
        <f t="shared" si="207"/>
        <v>33260414</v>
      </c>
      <c r="BR15" s="82">
        <f t="shared" si="207"/>
        <v>33260414</v>
      </c>
      <c r="BS15" s="82">
        <f t="shared" si="207"/>
        <v>33260414</v>
      </c>
      <c r="BT15" s="82">
        <f t="shared" si="207"/>
        <v>33260414</v>
      </c>
      <c r="BU15" s="82">
        <f t="shared" si="207"/>
        <v>33260414</v>
      </c>
      <c r="BV15" s="82">
        <f t="shared" si="207"/>
        <v>33260414</v>
      </c>
      <c r="BW15" s="82">
        <f t="shared" si="207"/>
        <v>33260414</v>
      </c>
      <c r="BX15" s="82">
        <f t="shared" si="207"/>
        <v>33260414</v>
      </c>
      <c r="BY15" s="82">
        <f t="shared" si="207"/>
        <v>33260414</v>
      </c>
      <c r="BZ15" s="82">
        <f t="shared" si="207"/>
        <v>33260414</v>
      </c>
      <c r="CA15" s="82">
        <v>0</v>
      </c>
      <c r="CB15" s="82">
        <f t="shared" ref="CB15:CR15" si="208">CA15</f>
        <v>0</v>
      </c>
      <c r="CC15" s="82">
        <f t="shared" si="208"/>
        <v>0</v>
      </c>
      <c r="CD15" s="82">
        <f t="shared" si="208"/>
        <v>0</v>
      </c>
      <c r="CE15" s="82">
        <f t="shared" si="208"/>
        <v>0</v>
      </c>
      <c r="CF15" s="82">
        <f t="shared" si="208"/>
        <v>0</v>
      </c>
      <c r="CG15" s="82">
        <f t="shared" si="208"/>
        <v>0</v>
      </c>
      <c r="CH15" s="82">
        <f t="shared" si="208"/>
        <v>0</v>
      </c>
      <c r="CI15" s="82">
        <f t="shared" si="208"/>
        <v>0</v>
      </c>
      <c r="CJ15" s="82">
        <f t="shared" si="208"/>
        <v>0</v>
      </c>
      <c r="CK15" s="82">
        <f t="shared" si="208"/>
        <v>0</v>
      </c>
      <c r="CL15" s="82">
        <f t="shared" si="208"/>
        <v>0</v>
      </c>
      <c r="CM15" s="82">
        <f t="shared" si="208"/>
        <v>0</v>
      </c>
      <c r="CN15" s="82">
        <f t="shared" si="208"/>
        <v>0</v>
      </c>
      <c r="CO15" s="82">
        <f t="shared" si="208"/>
        <v>0</v>
      </c>
      <c r="CP15" s="82">
        <f t="shared" si="208"/>
        <v>0</v>
      </c>
      <c r="CQ15" s="82">
        <f t="shared" si="208"/>
        <v>0</v>
      </c>
      <c r="CR15" s="82">
        <f t="shared" si="208"/>
        <v>0</v>
      </c>
      <c r="CT15" s="82">
        <f>CR27</f>
        <v>29614014</v>
      </c>
      <c r="CU15" s="82">
        <f t="shared" si="151"/>
        <v>29614014</v>
      </c>
      <c r="CV15" s="82">
        <f>CT15</f>
        <v>29614014</v>
      </c>
      <c r="CW15" s="82">
        <v>0</v>
      </c>
      <c r="CX15" s="82">
        <f>CW15</f>
        <v>0</v>
      </c>
      <c r="CY15" s="82">
        <f t="shared" si="152"/>
        <v>0</v>
      </c>
      <c r="CZ15" s="82">
        <f t="shared" si="152"/>
        <v>0</v>
      </c>
      <c r="DA15" s="82">
        <f t="shared" si="152"/>
        <v>0</v>
      </c>
      <c r="DB15" s="82">
        <f t="shared" si="152"/>
        <v>0</v>
      </c>
      <c r="DC15" s="82">
        <f t="shared" si="152"/>
        <v>0</v>
      </c>
      <c r="DD15" s="82">
        <f t="shared" si="152"/>
        <v>0</v>
      </c>
      <c r="DE15" s="82">
        <f t="shared" si="152"/>
        <v>0</v>
      </c>
      <c r="DF15" s="82">
        <f t="shared" si="152"/>
        <v>0</v>
      </c>
      <c r="DG15" s="82">
        <f t="shared" si="152"/>
        <v>0</v>
      </c>
      <c r="DH15" s="82">
        <f t="shared" si="152"/>
        <v>0</v>
      </c>
      <c r="DI15" s="82">
        <f t="shared" si="153"/>
        <v>0</v>
      </c>
      <c r="DJ15" s="82">
        <f t="shared" si="153"/>
        <v>0</v>
      </c>
      <c r="DK15" s="82">
        <f t="shared" si="153"/>
        <v>0</v>
      </c>
      <c r="DL15" s="82">
        <f t="shared" si="153"/>
        <v>0</v>
      </c>
      <c r="DM15" s="82">
        <f t="shared" si="153"/>
        <v>0</v>
      </c>
      <c r="DN15" s="82">
        <f t="shared" si="153"/>
        <v>0</v>
      </c>
      <c r="DO15" s="82">
        <f t="shared" si="153"/>
        <v>0</v>
      </c>
      <c r="DP15" s="82">
        <f t="shared" si="153"/>
        <v>0</v>
      </c>
      <c r="DQ15" s="82">
        <f t="shared" si="153"/>
        <v>0</v>
      </c>
      <c r="DR15" s="82">
        <f t="shared" si="153"/>
        <v>0</v>
      </c>
      <c r="DS15" s="82">
        <f t="shared" si="154"/>
        <v>0</v>
      </c>
      <c r="DT15" s="82">
        <f t="shared" si="154"/>
        <v>0</v>
      </c>
      <c r="DU15" s="82">
        <f t="shared" si="154"/>
        <v>0</v>
      </c>
      <c r="DV15" s="82">
        <f t="shared" si="154"/>
        <v>0</v>
      </c>
      <c r="DW15" s="82">
        <f t="shared" si="154"/>
        <v>0</v>
      </c>
      <c r="DX15" s="117"/>
      <c r="DY15" s="82">
        <f>DW27</f>
        <v>34430483</v>
      </c>
      <c r="DZ15" s="82">
        <f t="shared" ref="DZ15:EH15" si="209">DY15</f>
        <v>34430483</v>
      </c>
      <c r="EA15" s="82">
        <f t="shared" si="209"/>
        <v>34430483</v>
      </c>
      <c r="EB15" s="82">
        <f t="shared" si="209"/>
        <v>34430483</v>
      </c>
      <c r="EC15" s="82">
        <f t="shared" si="209"/>
        <v>34430483</v>
      </c>
      <c r="ED15" s="82">
        <f t="shared" si="209"/>
        <v>34430483</v>
      </c>
      <c r="EE15" s="82">
        <f t="shared" si="209"/>
        <v>34430483</v>
      </c>
      <c r="EF15" s="82">
        <f t="shared" si="209"/>
        <v>34430483</v>
      </c>
      <c r="EG15" s="82">
        <f t="shared" si="209"/>
        <v>34430483</v>
      </c>
      <c r="EH15" s="82">
        <f t="shared" si="209"/>
        <v>34430483</v>
      </c>
      <c r="EI15" s="82">
        <v>0</v>
      </c>
      <c r="EJ15" s="82">
        <v>0</v>
      </c>
      <c r="EK15" s="82">
        <v>0</v>
      </c>
      <c r="EL15" s="82">
        <v>0</v>
      </c>
      <c r="EM15" s="82">
        <v>0</v>
      </c>
      <c r="EN15" s="82">
        <v>0</v>
      </c>
      <c r="EO15" s="82">
        <v>0</v>
      </c>
      <c r="EP15" s="82">
        <v>0</v>
      </c>
      <c r="EQ15" s="82">
        <v>0</v>
      </c>
      <c r="ER15" s="82">
        <v>0</v>
      </c>
      <c r="ES15" s="82">
        <v>0</v>
      </c>
      <c r="ET15" s="82">
        <v>0</v>
      </c>
      <c r="EU15" s="82">
        <v>0</v>
      </c>
      <c r="EV15" s="82">
        <v>0</v>
      </c>
      <c r="EW15" s="82">
        <v>0</v>
      </c>
      <c r="EX15" s="82">
        <v>0</v>
      </c>
      <c r="EY15" s="82">
        <v>0</v>
      </c>
      <c r="EZ15" s="82">
        <v>0</v>
      </c>
      <c r="FA15" s="82">
        <v>0</v>
      </c>
      <c r="FB15" s="82">
        <v>0</v>
      </c>
      <c r="FC15" s="82">
        <v>0</v>
      </c>
      <c r="FD15" s="126"/>
      <c r="FE15" s="82">
        <f>FC27</f>
        <v>40233987</v>
      </c>
      <c r="FF15" s="82">
        <f t="shared" si="157"/>
        <v>40233987</v>
      </c>
      <c r="FG15" s="82">
        <f t="shared" si="157"/>
        <v>40233987</v>
      </c>
      <c r="FH15" s="82">
        <v>0</v>
      </c>
      <c r="FI15" s="82">
        <v>0</v>
      </c>
      <c r="FJ15" s="82">
        <v>0</v>
      </c>
      <c r="FK15" s="82">
        <v>0</v>
      </c>
      <c r="FL15" s="82">
        <v>0</v>
      </c>
      <c r="FM15" s="82">
        <v>0</v>
      </c>
      <c r="FN15" s="82">
        <v>0</v>
      </c>
      <c r="FO15" s="82">
        <v>0</v>
      </c>
      <c r="FP15" s="82">
        <v>0</v>
      </c>
      <c r="FQ15" s="82">
        <v>0</v>
      </c>
      <c r="FR15" s="82">
        <v>0</v>
      </c>
      <c r="FS15" s="82">
        <v>0</v>
      </c>
      <c r="FT15" s="82">
        <v>0</v>
      </c>
      <c r="FU15" s="82">
        <v>0</v>
      </c>
      <c r="FV15" s="82">
        <v>0</v>
      </c>
      <c r="FW15" s="82">
        <v>0</v>
      </c>
      <c r="FX15" s="82">
        <v>0</v>
      </c>
      <c r="FY15" s="82">
        <v>0</v>
      </c>
      <c r="FZ15" s="82">
        <v>0</v>
      </c>
      <c r="GA15" s="82">
        <v>0</v>
      </c>
      <c r="GB15" s="82">
        <v>0</v>
      </c>
      <c r="GC15" s="82">
        <v>0</v>
      </c>
      <c r="GD15" s="82">
        <v>0</v>
      </c>
      <c r="GE15" s="82">
        <v>0</v>
      </c>
      <c r="GF15" s="82">
        <v>0</v>
      </c>
      <c r="GG15" s="82">
        <v>0</v>
      </c>
      <c r="GH15" s="82">
        <v>0</v>
      </c>
      <c r="GI15" s="82">
        <v>0</v>
      </c>
      <c r="GJ15" s="130"/>
      <c r="GK15" s="82">
        <f>GI27</f>
        <v>35587445</v>
      </c>
      <c r="GL15" s="82">
        <f t="shared" ref="GL15:GT15" si="210">GK15</f>
        <v>35587445</v>
      </c>
      <c r="GM15" s="82">
        <f t="shared" si="210"/>
        <v>35587445</v>
      </c>
      <c r="GN15" s="82">
        <f t="shared" si="210"/>
        <v>35587445</v>
      </c>
      <c r="GO15" s="82">
        <f t="shared" si="210"/>
        <v>35587445</v>
      </c>
      <c r="GP15" s="82">
        <f t="shared" si="210"/>
        <v>35587445</v>
      </c>
      <c r="GQ15" s="82">
        <f t="shared" si="210"/>
        <v>35587445</v>
      </c>
      <c r="GR15" s="82">
        <f t="shared" si="210"/>
        <v>35587445</v>
      </c>
      <c r="GS15" s="82">
        <f t="shared" si="210"/>
        <v>35587445</v>
      </c>
      <c r="GT15" s="82">
        <f t="shared" si="210"/>
        <v>35587445</v>
      </c>
      <c r="GU15" s="82">
        <v>0</v>
      </c>
      <c r="GV15" s="82">
        <v>0</v>
      </c>
      <c r="GW15" s="82">
        <v>0</v>
      </c>
      <c r="GX15" s="82">
        <v>0</v>
      </c>
      <c r="GY15" s="82">
        <v>0</v>
      </c>
      <c r="GZ15" s="82">
        <v>0</v>
      </c>
      <c r="HA15" s="82">
        <v>0</v>
      </c>
      <c r="HB15" s="82">
        <v>0</v>
      </c>
      <c r="HC15" s="82">
        <v>0</v>
      </c>
      <c r="HD15" s="82">
        <v>0</v>
      </c>
      <c r="HE15" s="82">
        <v>0</v>
      </c>
      <c r="HF15" s="82">
        <v>0</v>
      </c>
      <c r="HG15" s="82">
        <v>0</v>
      </c>
      <c r="HH15" s="82">
        <v>0</v>
      </c>
      <c r="HI15" s="82">
        <v>0</v>
      </c>
      <c r="HJ15" s="82">
        <v>0</v>
      </c>
      <c r="HK15" s="82">
        <v>0</v>
      </c>
      <c r="HL15" s="82">
        <v>0</v>
      </c>
      <c r="HM15" s="82">
        <v>0</v>
      </c>
      <c r="HN15" s="130"/>
      <c r="HO15" s="113">
        <v>32897515</v>
      </c>
      <c r="HP15" s="113">
        <v>32897515</v>
      </c>
      <c r="HQ15" s="113">
        <v>32897515</v>
      </c>
      <c r="HR15" s="113">
        <v>32897515</v>
      </c>
      <c r="HS15" s="113">
        <v>32897515</v>
      </c>
      <c r="HT15" s="113">
        <v>32897515</v>
      </c>
      <c r="HU15" s="113">
        <v>0</v>
      </c>
      <c r="HV15" s="113">
        <v>0</v>
      </c>
      <c r="HW15" s="113">
        <v>0</v>
      </c>
      <c r="HX15" s="113">
        <v>0</v>
      </c>
      <c r="HY15" s="113">
        <v>0</v>
      </c>
      <c r="HZ15" s="113">
        <v>0</v>
      </c>
      <c r="IA15" s="113">
        <v>0</v>
      </c>
      <c r="IB15" s="113">
        <v>0</v>
      </c>
      <c r="IC15" s="113">
        <v>0</v>
      </c>
      <c r="ID15" s="113">
        <v>0</v>
      </c>
      <c r="IE15" s="113">
        <v>0</v>
      </c>
      <c r="IF15" s="113">
        <v>0</v>
      </c>
      <c r="IG15" s="113">
        <v>0</v>
      </c>
      <c r="IH15" s="113">
        <v>0</v>
      </c>
      <c r="II15" s="113">
        <v>0</v>
      </c>
      <c r="IJ15" s="113">
        <v>0</v>
      </c>
      <c r="IK15" s="113">
        <v>0</v>
      </c>
      <c r="IL15" s="113">
        <v>0</v>
      </c>
      <c r="IM15" s="113">
        <v>0</v>
      </c>
      <c r="IN15" s="113">
        <v>0</v>
      </c>
      <c r="IO15" s="113">
        <v>0</v>
      </c>
      <c r="IP15" s="113">
        <v>0</v>
      </c>
      <c r="IQ15" s="113">
        <v>0</v>
      </c>
      <c r="IR15" s="113">
        <v>0</v>
      </c>
      <c r="IS15" s="113">
        <v>0</v>
      </c>
      <c r="IT15" s="130"/>
      <c r="IU15" s="113">
        <f>IS27</f>
        <v>40501143</v>
      </c>
      <c r="IV15" s="82">
        <f t="shared" si="160"/>
        <v>40501143</v>
      </c>
      <c r="IW15" s="82">
        <v>0</v>
      </c>
      <c r="IX15" s="82">
        <f t="shared" ref="IX15:JX15" si="211">IW15</f>
        <v>0</v>
      </c>
      <c r="IY15" s="82">
        <f t="shared" si="211"/>
        <v>0</v>
      </c>
      <c r="IZ15" s="82">
        <f t="shared" si="211"/>
        <v>0</v>
      </c>
      <c r="JA15" s="82">
        <f t="shared" si="211"/>
        <v>0</v>
      </c>
      <c r="JB15" s="82">
        <f t="shared" si="211"/>
        <v>0</v>
      </c>
      <c r="JC15" s="82">
        <f t="shared" si="211"/>
        <v>0</v>
      </c>
      <c r="JD15" s="82">
        <f t="shared" si="211"/>
        <v>0</v>
      </c>
      <c r="JE15" s="82">
        <f t="shared" si="211"/>
        <v>0</v>
      </c>
      <c r="JF15" s="82">
        <f t="shared" si="211"/>
        <v>0</v>
      </c>
      <c r="JG15" s="82">
        <f t="shared" si="211"/>
        <v>0</v>
      </c>
      <c r="JH15" s="82">
        <f t="shared" si="211"/>
        <v>0</v>
      </c>
      <c r="JI15" s="82">
        <f t="shared" si="211"/>
        <v>0</v>
      </c>
      <c r="JJ15" s="82">
        <f t="shared" si="211"/>
        <v>0</v>
      </c>
      <c r="JK15" s="82">
        <f t="shared" si="211"/>
        <v>0</v>
      </c>
      <c r="JL15" s="82">
        <f t="shared" si="211"/>
        <v>0</v>
      </c>
      <c r="JM15" s="82">
        <f t="shared" si="211"/>
        <v>0</v>
      </c>
      <c r="JN15" s="82">
        <f t="shared" si="211"/>
        <v>0</v>
      </c>
      <c r="JO15" s="82">
        <f t="shared" si="211"/>
        <v>0</v>
      </c>
      <c r="JP15" s="82">
        <f t="shared" si="211"/>
        <v>0</v>
      </c>
      <c r="JQ15" s="82">
        <f t="shared" si="211"/>
        <v>0</v>
      </c>
      <c r="JR15" s="82">
        <f t="shared" si="211"/>
        <v>0</v>
      </c>
      <c r="JS15" s="82">
        <f t="shared" si="211"/>
        <v>0</v>
      </c>
      <c r="JT15" s="82">
        <f t="shared" si="211"/>
        <v>0</v>
      </c>
      <c r="JU15" s="82">
        <f t="shared" si="211"/>
        <v>0</v>
      </c>
      <c r="JV15" s="82">
        <f t="shared" si="211"/>
        <v>0</v>
      </c>
      <c r="JW15" s="82">
        <f t="shared" si="211"/>
        <v>0</v>
      </c>
      <c r="JX15" s="82">
        <f t="shared" si="211"/>
        <v>0</v>
      </c>
      <c r="JY15" s="133"/>
      <c r="JZ15" s="82">
        <f>JX27</f>
        <v>41214094</v>
      </c>
      <c r="KA15" s="82">
        <f t="shared" si="162"/>
        <v>41214094</v>
      </c>
      <c r="KB15" s="82">
        <f t="shared" si="162"/>
        <v>41214094</v>
      </c>
      <c r="KC15" s="82">
        <f t="shared" si="162"/>
        <v>41214094</v>
      </c>
      <c r="KD15" s="82">
        <f t="shared" si="162"/>
        <v>41214094</v>
      </c>
      <c r="KE15" s="82">
        <f t="shared" si="162"/>
        <v>41214094</v>
      </c>
      <c r="KF15" s="82">
        <f t="shared" si="162"/>
        <v>41214094</v>
      </c>
      <c r="KG15" s="82">
        <v>0</v>
      </c>
      <c r="KH15" s="82">
        <v>0</v>
      </c>
      <c r="KI15" s="82">
        <v>0</v>
      </c>
      <c r="KJ15" s="82">
        <v>0</v>
      </c>
      <c r="KK15" s="82">
        <v>0</v>
      </c>
      <c r="KL15" s="82">
        <v>0</v>
      </c>
      <c r="KM15" s="82">
        <v>0</v>
      </c>
      <c r="KN15" s="82">
        <v>0</v>
      </c>
      <c r="KO15" s="82">
        <v>0</v>
      </c>
      <c r="KP15" s="82">
        <v>0</v>
      </c>
      <c r="KQ15" s="82">
        <v>0</v>
      </c>
      <c r="KR15" s="82">
        <v>0</v>
      </c>
      <c r="KS15" s="82">
        <v>0</v>
      </c>
      <c r="KT15" s="82">
        <v>0</v>
      </c>
      <c r="KU15" s="82">
        <v>0</v>
      </c>
      <c r="KV15" s="82">
        <v>0</v>
      </c>
      <c r="KW15" s="82">
        <v>0</v>
      </c>
      <c r="KX15" s="82">
        <v>0</v>
      </c>
      <c r="KY15" s="82">
        <v>0</v>
      </c>
      <c r="KZ15" s="82">
        <v>0</v>
      </c>
      <c r="LA15" s="82">
        <v>0</v>
      </c>
      <c r="LB15" s="82">
        <v>0</v>
      </c>
      <c r="LC15" s="82">
        <v>0</v>
      </c>
      <c r="LD15" s="82">
        <v>0</v>
      </c>
      <c r="LE15" s="130"/>
      <c r="LF15" s="82">
        <f>LD27</f>
        <v>70143584</v>
      </c>
      <c r="LG15" s="82">
        <f t="shared" ref="LG15:LQ15" si="212">LF15</f>
        <v>70143584</v>
      </c>
      <c r="LH15" s="82">
        <f t="shared" si="212"/>
        <v>70143584</v>
      </c>
      <c r="LI15" s="82">
        <f t="shared" si="212"/>
        <v>70143584</v>
      </c>
      <c r="LJ15" s="82">
        <f t="shared" si="212"/>
        <v>70143584</v>
      </c>
      <c r="LK15" s="82">
        <f t="shared" si="212"/>
        <v>70143584</v>
      </c>
      <c r="LL15" s="82">
        <f t="shared" si="212"/>
        <v>70143584</v>
      </c>
      <c r="LM15" s="82">
        <f t="shared" si="212"/>
        <v>70143584</v>
      </c>
      <c r="LN15" s="82">
        <f t="shared" si="212"/>
        <v>70143584</v>
      </c>
      <c r="LO15" s="82">
        <f t="shared" si="212"/>
        <v>70143584</v>
      </c>
      <c r="LP15" s="82">
        <f t="shared" si="212"/>
        <v>70143584</v>
      </c>
      <c r="LQ15" s="82">
        <f t="shared" si="212"/>
        <v>70143584</v>
      </c>
      <c r="LR15" s="82">
        <v>0</v>
      </c>
      <c r="LS15" s="82">
        <f t="shared" ref="LS15:LW25" si="213">LR15</f>
        <v>0</v>
      </c>
      <c r="LT15" s="82">
        <f t="shared" si="213"/>
        <v>0</v>
      </c>
      <c r="LU15" s="82">
        <f t="shared" si="213"/>
        <v>0</v>
      </c>
      <c r="LV15" s="82">
        <f t="shared" si="213"/>
        <v>0</v>
      </c>
      <c r="LW15" s="82">
        <f t="shared" si="213"/>
        <v>0</v>
      </c>
      <c r="LX15" s="110">
        <v>255000</v>
      </c>
      <c r="LY15" s="82">
        <f t="shared" ref="LY15:MI15" si="214">LX15</f>
        <v>255000</v>
      </c>
      <c r="LZ15" s="82">
        <f t="shared" si="214"/>
        <v>255000</v>
      </c>
      <c r="MA15" s="82">
        <f t="shared" si="214"/>
        <v>255000</v>
      </c>
      <c r="MB15" s="82">
        <f t="shared" si="214"/>
        <v>255000</v>
      </c>
      <c r="MC15" s="82">
        <f t="shared" si="214"/>
        <v>255000</v>
      </c>
      <c r="MD15" s="82">
        <f t="shared" si="214"/>
        <v>255000</v>
      </c>
      <c r="ME15" s="82">
        <f t="shared" si="214"/>
        <v>255000</v>
      </c>
      <c r="MF15" s="82">
        <f t="shared" si="214"/>
        <v>255000</v>
      </c>
      <c r="MG15" s="82">
        <f t="shared" si="214"/>
        <v>255000</v>
      </c>
      <c r="MH15" s="82">
        <f t="shared" si="214"/>
        <v>255000</v>
      </c>
      <c r="MI15" s="82">
        <f t="shared" si="214"/>
        <v>255000</v>
      </c>
      <c r="MJ15" s="133"/>
      <c r="MK15" s="82">
        <f>MI15+MI27</f>
        <v>70139859</v>
      </c>
      <c r="ML15" s="82">
        <f>MI27</f>
        <v>69884859</v>
      </c>
      <c r="MM15" s="82">
        <f t="shared" ref="MM15:NG15" si="215">ML15</f>
        <v>69884859</v>
      </c>
      <c r="MN15" s="82">
        <f t="shared" si="215"/>
        <v>69884859</v>
      </c>
      <c r="MO15" s="82">
        <f t="shared" si="215"/>
        <v>69884859</v>
      </c>
      <c r="MP15" s="82">
        <f t="shared" si="215"/>
        <v>69884859</v>
      </c>
      <c r="MQ15" s="82">
        <f t="shared" si="215"/>
        <v>69884859</v>
      </c>
      <c r="MR15" s="82">
        <f t="shared" si="215"/>
        <v>69884859</v>
      </c>
      <c r="MS15" s="82">
        <f t="shared" si="215"/>
        <v>69884859</v>
      </c>
      <c r="MT15" s="82">
        <f t="shared" si="215"/>
        <v>69884859</v>
      </c>
      <c r="MU15" s="82">
        <f t="shared" si="215"/>
        <v>69884859</v>
      </c>
      <c r="MV15" s="82">
        <f t="shared" si="215"/>
        <v>69884859</v>
      </c>
      <c r="MW15" s="82">
        <f t="shared" si="215"/>
        <v>69884859</v>
      </c>
      <c r="MX15" s="82">
        <f t="shared" si="215"/>
        <v>69884859</v>
      </c>
      <c r="MY15" s="82">
        <f t="shared" si="215"/>
        <v>69884859</v>
      </c>
      <c r="MZ15" s="82">
        <f t="shared" si="215"/>
        <v>69884859</v>
      </c>
      <c r="NA15" s="82">
        <f t="shared" si="215"/>
        <v>69884859</v>
      </c>
      <c r="NB15" s="82">
        <f t="shared" si="215"/>
        <v>69884859</v>
      </c>
      <c r="NC15" s="82">
        <f t="shared" si="215"/>
        <v>69884859</v>
      </c>
      <c r="ND15" s="82">
        <f t="shared" si="215"/>
        <v>69884859</v>
      </c>
      <c r="NE15" s="82">
        <f t="shared" si="215"/>
        <v>69884859</v>
      </c>
      <c r="NF15" s="82">
        <f t="shared" si="215"/>
        <v>69884859</v>
      </c>
      <c r="NG15" s="82">
        <f t="shared" si="215"/>
        <v>69884859</v>
      </c>
      <c r="NH15" s="82">
        <v>0</v>
      </c>
      <c r="NI15" s="82">
        <v>0</v>
      </c>
      <c r="NJ15" s="82">
        <v>0</v>
      </c>
      <c r="NK15" s="82">
        <v>0</v>
      </c>
      <c r="NL15" s="82">
        <v>0</v>
      </c>
      <c r="NM15" s="82">
        <v>0</v>
      </c>
      <c r="NN15" s="82">
        <v>0</v>
      </c>
      <c r="NO15" s="82">
        <v>0</v>
      </c>
      <c r="NP15" s="133"/>
      <c r="NQ15" s="82">
        <f>NO27</f>
        <v>68666926</v>
      </c>
      <c r="NR15" s="82">
        <f t="shared" si="169"/>
        <v>68666926</v>
      </c>
      <c r="NS15" s="82">
        <f t="shared" si="169"/>
        <v>68666926</v>
      </c>
      <c r="NT15" s="82">
        <f t="shared" si="169"/>
        <v>68666926</v>
      </c>
      <c r="NU15" s="82">
        <f t="shared" si="169"/>
        <v>68666926</v>
      </c>
      <c r="NV15" s="82">
        <v>0</v>
      </c>
      <c r="NW15" s="82">
        <v>0</v>
      </c>
      <c r="NX15" s="82">
        <v>0</v>
      </c>
      <c r="NY15" s="82">
        <v>0</v>
      </c>
      <c r="NZ15" s="82">
        <v>0</v>
      </c>
      <c r="OA15" s="82">
        <v>0</v>
      </c>
      <c r="OB15" s="82">
        <v>0</v>
      </c>
      <c r="OC15" s="82">
        <v>0</v>
      </c>
      <c r="OD15" s="82">
        <v>0</v>
      </c>
      <c r="OE15" s="82">
        <v>0</v>
      </c>
      <c r="OF15" s="82">
        <v>0</v>
      </c>
      <c r="OG15" s="82">
        <v>0</v>
      </c>
      <c r="OH15" s="82">
        <v>0</v>
      </c>
      <c r="OI15" s="82">
        <v>0</v>
      </c>
      <c r="OJ15" s="82">
        <v>0</v>
      </c>
      <c r="OK15" s="82">
        <v>0</v>
      </c>
      <c r="OL15" s="82">
        <v>0</v>
      </c>
      <c r="OM15" s="82">
        <v>0</v>
      </c>
      <c r="ON15" s="82">
        <v>0</v>
      </c>
      <c r="OO15" s="82">
        <v>0</v>
      </c>
      <c r="OP15" s="82">
        <v>0</v>
      </c>
      <c r="OQ15" s="82">
        <v>0</v>
      </c>
      <c r="OR15" s="82">
        <v>0</v>
      </c>
      <c r="OS15" s="82">
        <v>0</v>
      </c>
      <c r="OT15" s="82">
        <v>0</v>
      </c>
      <c r="OU15" s="82">
        <v>0</v>
      </c>
      <c r="OV15" s="130"/>
      <c r="OW15" s="82">
        <f>OU27</f>
        <v>57106573</v>
      </c>
      <c r="OX15" s="82">
        <f t="shared" ref="OX15:PG15" si="216">OW15</f>
        <v>57106573</v>
      </c>
      <c r="OY15" s="82">
        <f t="shared" si="216"/>
        <v>57106573</v>
      </c>
      <c r="OZ15" s="82">
        <f t="shared" si="216"/>
        <v>57106573</v>
      </c>
      <c r="PA15" s="82">
        <f t="shared" si="216"/>
        <v>57106573</v>
      </c>
      <c r="PB15" s="82">
        <f t="shared" si="216"/>
        <v>57106573</v>
      </c>
      <c r="PC15" s="82">
        <f t="shared" si="216"/>
        <v>57106573</v>
      </c>
      <c r="PD15" s="82">
        <f t="shared" si="216"/>
        <v>57106573</v>
      </c>
      <c r="PE15" s="82">
        <f t="shared" si="216"/>
        <v>57106573</v>
      </c>
      <c r="PF15" s="82">
        <f t="shared" si="216"/>
        <v>57106573</v>
      </c>
      <c r="PG15" s="82">
        <f t="shared" si="216"/>
        <v>57106573</v>
      </c>
      <c r="PH15" s="82">
        <v>0</v>
      </c>
      <c r="PI15" s="82">
        <v>0</v>
      </c>
      <c r="PJ15" s="82">
        <v>0</v>
      </c>
      <c r="PK15" s="82">
        <v>0</v>
      </c>
      <c r="PL15" s="82">
        <v>0</v>
      </c>
      <c r="PM15" s="82">
        <v>0</v>
      </c>
      <c r="PN15" s="82">
        <v>0</v>
      </c>
      <c r="PO15" s="82">
        <v>0</v>
      </c>
      <c r="PP15" s="82">
        <v>0</v>
      </c>
      <c r="PQ15" s="82">
        <v>0</v>
      </c>
      <c r="PR15" s="82">
        <v>0</v>
      </c>
      <c r="PS15" s="82">
        <v>0</v>
      </c>
      <c r="PT15" s="82">
        <f>PS15</f>
        <v>0</v>
      </c>
      <c r="PU15" s="82">
        <v>0</v>
      </c>
      <c r="PV15" s="82">
        <v>0</v>
      </c>
      <c r="PW15" s="82">
        <v>0</v>
      </c>
      <c r="PX15" s="82">
        <v>0</v>
      </c>
      <c r="PY15" s="82">
        <v>0</v>
      </c>
      <c r="PZ15" s="82">
        <v>0</v>
      </c>
      <c r="QA15" s="130"/>
      <c r="QB15" s="82">
        <f>PZ27</f>
        <v>42086189</v>
      </c>
      <c r="QC15" s="82">
        <f t="shared" si="173"/>
        <v>42086189</v>
      </c>
      <c r="QD15" s="82">
        <f t="shared" si="173"/>
        <v>42086189</v>
      </c>
      <c r="QE15" s="82">
        <f t="shared" si="173"/>
        <v>42086189</v>
      </c>
      <c r="QF15" s="82">
        <f t="shared" si="173"/>
        <v>42086189</v>
      </c>
      <c r="QG15" s="82">
        <f t="shared" si="173"/>
        <v>42086189</v>
      </c>
      <c r="QH15" s="82">
        <v>0</v>
      </c>
      <c r="QI15" s="82">
        <f t="shared" ref="QI15:RD15" si="217">QH15</f>
        <v>0</v>
      </c>
      <c r="QJ15" s="82">
        <f t="shared" si="217"/>
        <v>0</v>
      </c>
      <c r="QK15" s="82">
        <f t="shared" si="217"/>
        <v>0</v>
      </c>
      <c r="QL15" s="82">
        <f t="shared" si="217"/>
        <v>0</v>
      </c>
      <c r="QM15" s="82">
        <f t="shared" si="217"/>
        <v>0</v>
      </c>
      <c r="QN15" s="82">
        <f t="shared" si="217"/>
        <v>0</v>
      </c>
      <c r="QO15" s="82">
        <f t="shared" si="217"/>
        <v>0</v>
      </c>
      <c r="QP15" s="82">
        <f t="shared" si="217"/>
        <v>0</v>
      </c>
      <c r="QQ15" s="82">
        <f t="shared" si="217"/>
        <v>0</v>
      </c>
      <c r="QR15" s="82">
        <f t="shared" si="217"/>
        <v>0</v>
      </c>
      <c r="QS15" s="82">
        <f t="shared" si="217"/>
        <v>0</v>
      </c>
      <c r="QT15" s="82">
        <f t="shared" si="217"/>
        <v>0</v>
      </c>
      <c r="QU15" s="82">
        <f t="shared" si="217"/>
        <v>0</v>
      </c>
      <c r="QV15" s="82">
        <f t="shared" si="217"/>
        <v>0</v>
      </c>
      <c r="QW15" s="82">
        <f t="shared" si="217"/>
        <v>0</v>
      </c>
      <c r="QX15" s="82">
        <f t="shared" si="217"/>
        <v>0</v>
      </c>
      <c r="QY15" s="82">
        <f t="shared" si="217"/>
        <v>0</v>
      </c>
      <c r="QZ15" s="82">
        <f t="shared" si="217"/>
        <v>0</v>
      </c>
      <c r="RA15" s="82">
        <f t="shared" si="217"/>
        <v>0</v>
      </c>
      <c r="RB15" s="82">
        <f t="shared" si="217"/>
        <v>0</v>
      </c>
      <c r="RC15" s="82">
        <f t="shared" si="217"/>
        <v>0</v>
      </c>
      <c r="RD15" s="82">
        <f t="shared" si="217"/>
        <v>0</v>
      </c>
      <c r="RE15" s="82">
        <v>346811</v>
      </c>
      <c r="RF15" s="82">
        <f>RE15</f>
        <v>346811</v>
      </c>
      <c r="RG15" s="130"/>
      <c r="RH15" s="82">
        <f>RF15</f>
        <v>346811</v>
      </c>
      <c r="RI15" s="82">
        <f t="shared" ref="RI15:RQ15" si="218">RH15</f>
        <v>346811</v>
      </c>
      <c r="RJ15" s="82">
        <f t="shared" si="218"/>
        <v>346811</v>
      </c>
      <c r="RK15" s="82">
        <f t="shared" si="218"/>
        <v>346811</v>
      </c>
      <c r="RL15" s="82">
        <f t="shared" si="218"/>
        <v>346811</v>
      </c>
      <c r="RM15" s="82">
        <f t="shared" si="218"/>
        <v>346811</v>
      </c>
      <c r="RN15" s="82">
        <f t="shared" si="218"/>
        <v>346811</v>
      </c>
      <c r="RO15" s="82">
        <f t="shared" si="218"/>
        <v>346811</v>
      </c>
      <c r="RP15" s="82">
        <f t="shared" si="218"/>
        <v>346811</v>
      </c>
      <c r="RQ15" s="82">
        <f t="shared" si="218"/>
        <v>346811</v>
      </c>
      <c r="RR15" s="82">
        <f>RQ15</f>
        <v>346811</v>
      </c>
      <c r="RS15" s="82">
        <f t="shared" ref="RS15:SK15" si="219">RR15</f>
        <v>346811</v>
      </c>
      <c r="RT15" s="82">
        <f t="shared" si="219"/>
        <v>346811</v>
      </c>
      <c r="RU15" s="82">
        <f t="shared" si="219"/>
        <v>346811</v>
      </c>
      <c r="RV15" s="82">
        <f t="shared" si="219"/>
        <v>346811</v>
      </c>
      <c r="RW15" s="82">
        <f t="shared" si="219"/>
        <v>346811</v>
      </c>
      <c r="RX15" s="82">
        <f t="shared" si="219"/>
        <v>346811</v>
      </c>
      <c r="RY15" s="82">
        <f t="shared" si="219"/>
        <v>346811</v>
      </c>
      <c r="RZ15" s="82">
        <f t="shared" si="219"/>
        <v>346811</v>
      </c>
      <c r="SA15" s="82">
        <f t="shared" si="219"/>
        <v>346811</v>
      </c>
      <c r="SB15" s="82">
        <f t="shared" si="219"/>
        <v>346811</v>
      </c>
      <c r="SC15" s="82">
        <f t="shared" si="219"/>
        <v>346811</v>
      </c>
      <c r="SD15" s="82">
        <f t="shared" si="219"/>
        <v>346811</v>
      </c>
      <c r="SE15" s="82">
        <f t="shared" si="219"/>
        <v>346811</v>
      </c>
      <c r="SF15" s="82">
        <f t="shared" si="219"/>
        <v>346811</v>
      </c>
      <c r="SG15" s="82">
        <f t="shared" si="219"/>
        <v>346811</v>
      </c>
      <c r="SH15" s="82">
        <f t="shared" si="219"/>
        <v>346811</v>
      </c>
      <c r="SI15" s="82">
        <f t="shared" si="219"/>
        <v>346811</v>
      </c>
      <c r="SJ15" s="82">
        <f t="shared" si="219"/>
        <v>346811</v>
      </c>
      <c r="SK15" s="82">
        <f t="shared" si="219"/>
        <v>346811</v>
      </c>
      <c r="SL15" s="130"/>
      <c r="SM15" s="82">
        <f>SK15</f>
        <v>346811</v>
      </c>
      <c r="SN15" s="82">
        <f t="shared" si="177"/>
        <v>346811</v>
      </c>
      <c r="SO15" s="82">
        <f t="shared" si="177"/>
        <v>346811</v>
      </c>
      <c r="SP15" s="82">
        <f t="shared" si="177"/>
        <v>346811</v>
      </c>
      <c r="SQ15" s="82">
        <f t="shared" si="177"/>
        <v>346811</v>
      </c>
      <c r="SR15" s="82">
        <v>0</v>
      </c>
      <c r="SS15" s="82">
        <f t="shared" ref="SS15:TQ15" si="220">SR15</f>
        <v>0</v>
      </c>
      <c r="ST15" s="82">
        <f t="shared" si="220"/>
        <v>0</v>
      </c>
      <c r="SU15" s="82">
        <f t="shared" si="220"/>
        <v>0</v>
      </c>
      <c r="SV15" s="82">
        <f t="shared" si="220"/>
        <v>0</v>
      </c>
      <c r="SW15" s="82">
        <f t="shared" si="220"/>
        <v>0</v>
      </c>
      <c r="SX15" s="82">
        <f t="shared" si="220"/>
        <v>0</v>
      </c>
      <c r="SY15" s="82">
        <f t="shared" si="220"/>
        <v>0</v>
      </c>
      <c r="SZ15" s="82">
        <f t="shared" si="220"/>
        <v>0</v>
      </c>
      <c r="TA15" s="82">
        <f t="shared" si="220"/>
        <v>0</v>
      </c>
      <c r="TB15" s="82">
        <f t="shared" si="220"/>
        <v>0</v>
      </c>
      <c r="TC15" s="82">
        <f t="shared" si="220"/>
        <v>0</v>
      </c>
      <c r="TD15" s="82">
        <f t="shared" si="220"/>
        <v>0</v>
      </c>
      <c r="TE15" s="82">
        <f t="shared" si="220"/>
        <v>0</v>
      </c>
      <c r="TF15" s="82">
        <f t="shared" si="220"/>
        <v>0</v>
      </c>
      <c r="TG15" s="82">
        <f t="shared" si="220"/>
        <v>0</v>
      </c>
      <c r="TH15" s="82">
        <f t="shared" si="220"/>
        <v>0</v>
      </c>
      <c r="TI15" s="82">
        <f t="shared" si="220"/>
        <v>0</v>
      </c>
      <c r="TJ15" s="82">
        <f t="shared" si="220"/>
        <v>0</v>
      </c>
      <c r="TK15" s="82">
        <f t="shared" si="220"/>
        <v>0</v>
      </c>
      <c r="TL15" s="82">
        <f t="shared" si="220"/>
        <v>0</v>
      </c>
      <c r="TM15" s="82">
        <f t="shared" si="220"/>
        <v>0</v>
      </c>
      <c r="TN15" s="82">
        <f t="shared" si="220"/>
        <v>0</v>
      </c>
      <c r="TO15" s="82">
        <f t="shared" si="220"/>
        <v>0</v>
      </c>
      <c r="TP15" s="82">
        <f t="shared" si="220"/>
        <v>0</v>
      </c>
      <c r="TQ15" s="82">
        <f t="shared" si="220"/>
        <v>0</v>
      </c>
      <c r="TR15" s="130"/>
      <c r="TS15" s="82">
        <f>TQ27</f>
        <v>46780711</v>
      </c>
      <c r="TT15" s="82">
        <f t="shared" si="179"/>
        <v>46780711</v>
      </c>
      <c r="TU15" s="82">
        <f t="shared" si="179"/>
        <v>46780711</v>
      </c>
      <c r="TV15" s="82">
        <f t="shared" si="179"/>
        <v>46780711</v>
      </c>
      <c r="TW15" s="82">
        <f t="shared" si="179"/>
        <v>46780711</v>
      </c>
      <c r="TX15" s="82">
        <f t="shared" si="179"/>
        <v>46780711</v>
      </c>
      <c r="TY15" s="82">
        <v>0</v>
      </c>
      <c r="TZ15" s="82">
        <f t="shared" ref="TZ15:UW15" si="221">TY15</f>
        <v>0</v>
      </c>
      <c r="UA15" s="82">
        <f t="shared" si="221"/>
        <v>0</v>
      </c>
      <c r="UB15" s="82">
        <f t="shared" si="221"/>
        <v>0</v>
      </c>
      <c r="UC15" s="82">
        <f t="shared" si="221"/>
        <v>0</v>
      </c>
      <c r="UD15" s="82">
        <f t="shared" si="221"/>
        <v>0</v>
      </c>
      <c r="UE15" s="82">
        <f t="shared" si="221"/>
        <v>0</v>
      </c>
      <c r="UF15" s="82">
        <f t="shared" si="221"/>
        <v>0</v>
      </c>
      <c r="UG15" s="82">
        <f t="shared" si="221"/>
        <v>0</v>
      </c>
      <c r="UH15" s="82">
        <f t="shared" si="221"/>
        <v>0</v>
      </c>
      <c r="UI15" s="82">
        <f t="shared" si="221"/>
        <v>0</v>
      </c>
      <c r="UJ15" s="82">
        <f t="shared" si="221"/>
        <v>0</v>
      </c>
      <c r="UK15" s="82">
        <f t="shared" si="221"/>
        <v>0</v>
      </c>
      <c r="UL15" s="82">
        <f t="shared" si="221"/>
        <v>0</v>
      </c>
      <c r="UM15" s="82">
        <f t="shared" si="221"/>
        <v>0</v>
      </c>
      <c r="UN15" s="82">
        <f t="shared" si="221"/>
        <v>0</v>
      </c>
      <c r="UO15" s="82">
        <f t="shared" si="221"/>
        <v>0</v>
      </c>
      <c r="UP15" s="82">
        <f t="shared" si="221"/>
        <v>0</v>
      </c>
      <c r="UQ15" s="82">
        <f t="shared" si="221"/>
        <v>0</v>
      </c>
      <c r="UR15" s="82">
        <f t="shared" si="221"/>
        <v>0</v>
      </c>
      <c r="US15" s="82">
        <f t="shared" si="221"/>
        <v>0</v>
      </c>
      <c r="UT15" s="82">
        <f t="shared" si="221"/>
        <v>0</v>
      </c>
      <c r="UU15" s="82">
        <f t="shared" si="221"/>
        <v>0</v>
      </c>
      <c r="UV15" s="82">
        <f t="shared" si="221"/>
        <v>0</v>
      </c>
      <c r="UW15" s="82">
        <f t="shared" si="221"/>
        <v>0</v>
      </c>
      <c r="UX15" s="130"/>
      <c r="UY15" s="82">
        <f>UX15</f>
        <v>0</v>
      </c>
      <c r="UZ15" s="82">
        <f t="shared" si="181"/>
        <v>0</v>
      </c>
      <c r="VA15" s="82">
        <f t="shared" si="181"/>
        <v>0</v>
      </c>
      <c r="VB15" s="82">
        <f t="shared" si="181"/>
        <v>0</v>
      </c>
      <c r="VC15" s="82">
        <f t="shared" si="181"/>
        <v>0</v>
      </c>
      <c r="VD15" s="82">
        <f t="shared" si="181"/>
        <v>0</v>
      </c>
      <c r="VE15" s="82">
        <f t="shared" ref="VE15:VZ15" si="222">VD15</f>
        <v>0</v>
      </c>
      <c r="VF15" s="82">
        <f t="shared" si="222"/>
        <v>0</v>
      </c>
      <c r="VG15" s="82">
        <f t="shared" si="222"/>
        <v>0</v>
      </c>
      <c r="VH15" s="82">
        <f t="shared" si="222"/>
        <v>0</v>
      </c>
      <c r="VI15" s="82">
        <f t="shared" si="222"/>
        <v>0</v>
      </c>
      <c r="VJ15" s="82">
        <f t="shared" si="222"/>
        <v>0</v>
      </c>
      <c r="VK15" s="82">
        <f t="shared" si="222"/>
        <v>0</v>
      </c>
      <c r="VL15" s="82">
        <f t="shared" si="222"/>
        <v>0</v>
      </c>
      <c r="VM15" s="82">
        <f t="shared" si="222"/>
        <v>0</v>
      </c>
      <c r="VN15" s="82">
        <f t="shared" si="222"/>
        <v>0</v>
      </c>
      <c r="VO15" s="82">
        <f t="shared" si="222"/>
        <v>0</v>
      </c>
      <c r="VP15" s="82">
        <f t="shared" si="222"/>
        <v>0</v>
      </c>
      <c r="VQ15" s="82">
        <f t="shared" si="222"/>
        <v>0</v>
      </c>
      <c r="VR15" s="82">
        <f t="shared" si="222"/>
        <v>0</v>
      </c>
      <c r="VS15" s="82">
        <f t="shared" si="222"/>
        <v>0</v>
      </c>
      <c r="VT15" s="82">
        <f t="shared" si="222"/>
        <v>0</v>
      </c>
      <c r="VU15" s="82">
        <f t="shared" si="222"/>
        <v>0</v>
      </c>
      <c r="VV15" s="82">
        <f t="shared" si="222"/>
        <v>0</v>
      </c>
      <c r="VW15" s="82">
        <f t="shared" si="222"/>
        <v>0</v>
      </c>
      <c r="VX15" s="82">
        <f t="shared" si="222"/>
        <v>0</v>
      </c>
      <c r="VY15" s="82">
        <f t="shared" si="222"/>
        <v>0</v>
      </c>
      <c r="VZ15" s="82">
        <f t="shared" si="222"/>
        <v>0</v>
      </c>
      <c r="WA15" s="133"/>
      <c r="WB15" s="82">
        <f>VZ27</f>
        <v>41691027</v>
      </c>
      <c r="WC15" s="82">
        <f t="shared" si="182"/>
        <v>41691027</v>
      </c>
      <c r="WD15" s="82">
        <f t="shared" si="182"/>
        <v>41691027</v>
      </c>
      <c r="WE15" s="82">
        <f t="shared" si="182"/>
        <v>41691027</v>
      </c>
      <c r="WF15" s="82">
        <f t="shared" si="182"/>
        <v>41691027</v>
      </c>
      <c r="WG15" s="82">
        <f t="shared" si="182"/>
        <v>41691027</v>
      </c>
      <c r="WH15" s="82">
        <f t="shared" si="182"/>
        <v>41691027</v>
      </c>
      <c r="WI15" s="82">
        <f t="shared" si="182"/>
        <v>41691027</v>
      </c>
      <c r="WJ15" s="82">
        <v>0</v>
      </c>
      <c r="WK15" s="82">
        <v>0</v>
      </c>
      <c r="WL15" s="82">
        <v>0</v>
      </c>
      <c r="WM15" s="82">
        <v>0</v>
      </c>
      <c r="WN15" s="82">
        <v>0</v>
      </c>
      <c r="WO15" s="82">
        <v>0</v>
      </c>
      <c r="WP15" s="82">
        <v>0</v>
      </c>
      <c r="WQ15" s="82">
        <v>0</v>
      </c>
      <c r="WR15" s="82">
        <v>0</v>
      </c>
      <c r="WS15" s="82">
        <v>0</v>
      </c>
      <c r="WT15" s="82">
        <v>0</v>
      </c>
      <c r="WU15" s="82">
        <v>0</v>
      </c>
      <c r="WV15" s="82">
        <v>0</v>
      </c>
      <c r="WW15" s="82">
        <v>0</v>
      </c>
      <c r="WX15" s="82">
        <v>0</v>
      </c>
      <c r="WY15" s="82">
        <v>0</v>
      </c>
      <c r="WZ15" s="82">
        <v>0</v>
      </c>
      <c r="XA15" s="82">
        <v>0</v>
      </c>
      <c r="XB15" s="82">
        <v>0</v>
      </c>
      <c r="XC15" s="82">
        <v>0</v>
      </c>
      <c r="XD15" s="82">
        <v>0</v>
      </c>
      <c r="XE15" s="82">
        <v>0</v>
      </c>
      <c r="XF15" s="82">
        <v>0</v>
      </c>
      <c r="XG15" s="133"/>
      <c r="XH15" s="82">
        <f>XF27</f>
        <v>41555148</v>
      </c>
      <c r="XI15" s="82">
        <f t="shared" si="183"/>
        <v>41555148</v>
      </c>
      <c r="XJ15" s="82">
        <f t="shared" si="183"/>
        <v>41555148</v>
      </c>
      <c r="XK15" s="82">
        <f t="shared" si="183"/>
        <v>41555148</v>
      </c>
      <c r="XL15" s="82">
        <f t="shared" si="183"/>
        <v>41555148</v>
      </c>
      <c r="XM15" s="82">
        <f t="shared" si="183"/>
        <v>41555148</v>
      </c>
      <c r="XN15" s="82">
        <f t="shared" si="183"/>
        <v>41555148</v>
      </c>
      <c r="XO15" s="82">
        <f t="shared" si="183"/>
        <v>41555148</v>
      </c>
      <c r="XP15" s="82">
        <v>0</v>
      </c>
      <c r="XQ15" s="82">
        <f t="shared" ref="XQ15:YK15" si="223">XP15</f>
        <v>0</v>
      </c>
      <c r="XR15" s="82">
        <f t="shared" si="223"/>
        <v>0</v>
      </c>
      <c r="XS15" s="82">
        <f t="shared" si="223"/>
        <v>0</v>
      </c>
      <c r="XT15" s="82">
        <f t="shared" si="223"/>
        <v>0</v>
      </c>
      <c r="XU15" s="82">
        <f t="shared" si="223"/>
        <v>0</v>
      </c>
      <c r="XV15" s="82">
        <f t="shared" si="223"/>
        <v>0</v>
      </c>
      <c r="XW15" s="82">
        <f t="shared" si="223"/>
        <v>0</v>
      </c>
      <c r="XX15" s="82">
        <f t="shared" si="223"/>
        <v>0</v>
      </c>
      <c r="XY15" s="82">
        <f t="shared" si="223"/>
        <v>0</v>
      </c>
      <c r="XZ15" s="82">
        <f t="shared" si="223"/>
        <v>0</v>
      </c>
      <c r="YA15" s="82">
        <f t="shared" si="223"/>
        <v>0</v>
      </c>
      <c r="YB15" s="82">
        <f t="shared" si="223"/>
        <v>0</v>
      </c>
      <c r="YC15" s="82">
        <f t="shared" si="223"/>
        <v>0</v>
      </c>
      <c r="YD15" s="82">
        <f t="shared" si="223"/>
        <v>0</v>
      </c>
      <c r="YE15" s="82">
        <f t="shared" si="223"/>
        <v>0</v>
      </c>
      <c r="YF15" s="82">
        <f t="shared" si="223"/>
        <v>0</v>
      </c>
      <c r="YG15" s="82">
        <f t="shared" si="223"/>
        <v>0</v>
      </c>
      <c r="YH15" s="82">
        <f t="shared" si="223"/>
        <v>0</v>
      </c>
      <c r="YI15" s="82">
        <f t="shared" si="223"/>
        <v>0</v>
      </c>
      <c r="YJ15" s="82">
        <f t="shared" si="223"/>
        <v>0</v>
      </c>
      <c r="YK15" s="82">
        <f t="shared" si="223"/>
        <v>0</v>
      </c>
      <c r="YL15" s="130"/>
      <c r="YM15" s="82">
        <f>YK27</f>
        <v>48875827</v>
      </c>
      <c r="YN15" s="82">
        <f t="shared" ref="YN15:YV15" si="224">YM15</f>
        <v>48875827</v>
      </c>
      <c r="YO15" s="82">
        <f t="shared" si="224"/>
        <v>48875827</v>
      </c>
      <c r="YP15" s="82">
        <f t="shared" si="224"/>
        <v>48875827</v>
      </c>
      <c r="YQ15" s="82">
        <f t="shared" si="224"/>
        <v>48875827</v>
      </c>
      <c r="YR15" s="82">
        <f t="shared" si="224"/>
        <v>48875827</v>
      </c>
      <c r="YS15" s="82">
        <f t="shared" si="224"/>
        <v>48875827</v>
      </c>
      <c r="YT15" s="82">
        <f t="shared" si="224"/>
        <v>48875827</v>
      </c>
      <c r="YU15" s="82">
        <f t="shared" si="224"/>
        <v>48875827</v>
      </c>
      <c r="YV15" s="82">
        <f t="shared" si="224"/>
        <v>48875827</v>
      </c>
      <c r="YW15" s="82">
        <v>0</v>
      </c>
      <c r="YX15" s="82">
        <f t="shared" ref="YX15:ZQ15" si="225">YW15</f>
        <v>0</v>
      </c>
      <c r="YY15" s="82">
        <f t="shared" si="225"/>
        <v>0</v>
      </c>
      <c r="YZ15" s="82">
        <f t="shared" si="225"/>
        <v>0</v>
      </c>
      <c r="ZA15" s="82">
        <f t="shared" si="225"/>
        <v>0</v>
      </c>
      <c r="ZB15" s="82">
        <f t="shared" si="225"/>
        <v>0</v>
      </c>
      <c r="ZC15" s="82">
        <f t="shared" si="225"/>
        <v>0</v>
      </c>
      <c r="ZD15" s="82">
        <f t="shared" si="225"/>
        <v>0</v>
      </c>
      <c r="ZE15" s="82">
        <f t="shared" si="225"/>
        <v>0</v>
      </c>
      <c r="ZF15" s="82">
        <f t="shared" si="225"/>
        <v>0</v>
      </c>
      <c r="ZG15" s="82">
        <f t="shared" si="225"/>
        <v>0</v>
      </c>
      <c r="ZH15" s="82">
        <f t="shared" si="225"/>
        <v>0</v>
      </c>
      <c r="ZI15" s="82">
        <f t="shared" si="225"/>
        <v>0</v>
      </c>
      <c r="ZJ15" s="82">
        <f t="shared" si="225"/>
        <v>0</v>
      </c>
      <c r="ZK15" s="82">
        <f t="shared" si="225"/>
        <v>0</v>
      </c>
      <c r="ZL15" s="82">
        <f t="shared" si="225"/>
        <v>0</v>
      </c>
      <c r="ZM15" s="82">
        <f t="shared" si="225"/>
        <v>0</v>
      </c>
      <c r="ZN15" s="82">
        <f t="shared" si="225"/>
        <v>0</v>
      </c>
      <c r="ZO15" s="82">
        <f t="shared" si="225"/>
        <v>0</v>
      </c>
      <c r="ZP15" s="82">
        <f t="shared" si="225"/>
        <v>0</v>
      </c>
      <c r="ZQ15" s="82">
        <f t="shared" si="225"/>
        <v>0</v>
      </c>
      <c r="ZR15" s="130"/>
      <c r="ZS15" s="82">
        <f>ZQ27</f>
        <v>42792210</v>
      </c>
      <c r="ZT15" s="82">
        <f t="shared" si="187"/>
        <v>42792210</v>
      </c>
      <c r="ZU15" s="82">
        <v>0</v>
      </c>
      <c r="ZV15" s="82">
        <f t="shared" ref="ZV15:AAV15" si="226">ZU15</f>
        <v>0</v>
      </c>
      <c r="ZW15" s="82">
        <f t="shared" si="226"/>
        <v>0</v>
      </c>
      <c r="ZX15" s="82">
        <f t="shared" si="226"/>
        <v>0</v>
      </c>
      <c r="ZY15" s="82">
        <f t="shared" si="226"/>
        <v>0</v>
      </c>
      <c r="ZZ15" s="82">
        <f t="shared" si="226"/>
        <v>0</v>
      </c>
      <c r="AAA15" s="82">
        <f t="shared" si="226"/>
        <v>0</v>
      </c>
      <c r="AAB15" s="82">
        <f t="shared" si="226"/>
        <v>0</v>
      </c>
      <c r="AAC15" s="82">
        <f t="shared" si="226"/>
        <v>0</v>
      </c>
      <c r="AAD15" s="82">
        <f t="shared" si="226"/>
        <v>0</v>
      </c>
      <c r="AAE15" s="82">
        <f t="shared" si="226"/>
        <v>0</v>
      </c>
      <c r="AAF15" s="82">
        <f t="shared" si="226"/>
        <v>0</v>
      </c>
      <c r="AAG15" s="82">
        <f t="shared" si="226"/>
        <v>0</v>
      </c>
      <c r="AAH15" s="82">
        <f t="shared" si="226"/>
        <v>0</v>
      </c>
      <c r="AAI15" s="82">
        <f t="shared" si="226"/>
        <v>0</v>
      </c>
      <c r="AAJ15" s="82">
        <f t="shared" si="226"/>
        <v>0</v>
      </c>
      <c r="AAK15" s="82">
        <f t="shared" si="226"/>
        <v>0</v>
      </c>
      <c r="AAL15" s="82">
        <f t="shared" si="226"/>
        <v>0</v>
      </c>
      <c r="AAM15" s="82">
        <f t="shared" si="226"/>
        <v>0</v>
      </c>
      <c r="AAN15" s="82">
        <f t="shared" si="226"/>
        <v>0</v>
      </c>
      <c r="AAO15" s="82">
        <f t="shared" si="226"/>
        <v>0</v>
      </c>
      <c r="AAP15" s="82">
        <f t="shared" si="226"/>
        <v>0</v>
      </c>
      <c r="AAQ15" s="82">
        <f t="shared" si="226"/>
        <v>0</v>
      </c>
      <c r="AAR15" s="82">
        <f t="shared" si="226"/>
        <v>0</v>
      </c>
      <c r="AAS15" s="82">
        <f t="shared" si="226"/>
        <v>0</v>
      </c>
      <c r="AAT15" s="82">
        <f t="shared" si="226"/>
        <v>0</v>
      </c>
      <c r="AAU15" s="82">
        <f t="shared" si="226"/>
        <v>0</v>
      </c>
      <c r="AAV15" s="82">
        <f t="shared" si="226"/>
        <v>0</v>
      </c>
      <c r="AAW15" s="130"/>
      <c r="AAX15" s="82">
        <f>AAV27</f>
        <v>42155546</v>
      </c>
      <c r="AAY15" s="82">
        <f t="shared" ref="AAY15:ABM15" si="227">AAX15</f>
        <v>42155546</v>
      </c>
      <c r="AAZ15" s="82">
        <f t="shared" si="227"/>
        <v>42155546</v>
      </c>
      <c r="ABA15" s="82">
        <f t="shared" si="227"/>
        <v>42155546</v>
      </c>
      <c r="ABB15" s="82">
        <f t="shared" si="227"/>
        <v>42155546</v>
      </c>
      <c r="ABC15" s="82">
        <f t="shared" si="227"/>
        <v>42155546</v>
      </c>
      <c r="ABD15" s="82">
        <f t="shared" si="227"/>
        <v>42155546</v>
      </c>
      <c r="ABE15" s="82">
        <f t="shared" si="227"/>
        <v>42155546</v>
      </c>
      <c r="ABF15" s="82">
        <f t="shared" si="227"/>
        <v>42155546</v>
      </c>
      <c r="ABG15" s="82">
        <f t="shared" si="227"/>
        <v>42155546</v>
      </c>
      <c r="ABH15" s="82">
        <f t="shared" si="227"/>
        <v>42155546</v>
      </c>
      <c r="ABI15" s="82">
        <f t="shared" si="227"/>
        <v>42155546</v>
      </c>
      <c r="ABJ15" s="82">
        <f t="shared" si="227"/>
        <v>42155546</v>
      </c>
      <c r="ABK15" s="82">
        <f t="shared" si="227"/>
        <v>42155546</v>
      </c>
      <c r="ABL15" s="82">
        <f t="shared" si="227"/>
        <v>42155546</v>
      </c>
      <c r="ABM15" s="82">
        <f t="shared" si="227"/>
        <v>42155546</v>
      </c>
      <c r="ABN15" s="82">
        <v>0</v>
      </c>
      <c r="ABO15" s="82">
        <f t="shared" ref="ABO15:ACB15" si="228">ABN15</f>
        <v>0</v>
      </c>
      <c r="ABP15" s="82">
        <f t="shared" si="228"/>
        <v>0</v>
      </c>
      <c r="ABQ15" s="82">
        <f t="shared" si="228"/>
        <v>0</v>
      </c>
      <c r="ABR15" s="82">
        <f t="shared" si="228"/>
        <v>0</v>
      </c>
      <c r="ABS15" s="82">
        <f t="shared" si="228"/>
        <v>0</v>
      </c>
      <c r="ABT15" s="82">
        <f t="shared" si="228"/>
        <v>0</v>
      </c>
      <c r="ABU15" s="82">
        <f t="shared" si="228"/>
        <v>0</v>
      </c>
      <c r="ABV15" s="82">
        <f t="shared" si="228"/>
        <v>0</v>
      </c>
      <c r="ABW15" s="82">
        <f t="shared" si="228"/>
        <v>0</v>
      </c>
      <c r="ABX15" s="82">
        <f t="shared" si="228"/>
        <v>0</v>
      </c>
      <c r="ABY15" s="82">
        <f t="shared" si="228"/>
        <v>0</v>
      </c>
      <c r="ABZ15" s="82">
        <f t="shared" si="228"/>
        <v>0</v>
      </c>
      <c r="ACA15" s="82">
        <f t="shared" si="228"/>
        <v>0</v>
      </c>
      <c r="ACB15" s="82">
        <f t="shared" si="228"/>
        <v>0</v>
      </c>
      <c r="ACC15" s="130"/>
      <c r="ACD15" s="82">
        <f>ACB27</f>
        <v>54854710</v>
      </c>
      <c r="ACE15" s="82">
        <f t="shared" si="191"/>
        <v>54854710</v>
      </c>
      <c r="ACF15" s="82">
        <f t="shared" si="191"/>
        <v>54854710</v>
      </c>
      <c r="ACG15" s="82">
        <f t="shared" si="191"/>
        <v>54854710</v>
      </c>
      <c r="ACH15" s="82">
        <f t="shared" si="191"/>
        <v>54854710</v>
      </c>
      <c r="ACI15" s="82">
        <v>0</v>
      </c>
      <c r="ACJ15" s="82">
        <f t="shared" ref="ACJ15:ADH15" si="229">ACI15</f>
        <v>0</v>
      </c>
      <c r="ACK15" s="82">
        <f t="shared" si="229"/>
        <v>0</v>
      </c>
      <c r="ACL15" s="82">
        <f t="shared" si="229"/>
        <v>0</v>
      </c>
      <c r="ACM15" s="82">
        <f t="shared" si="229"/>
        <v>0</v>
      </c>
      <c r="ACN15" s="82">
        <f t="shared" si="229"/>
        <v>0</v>
      </c>
      <c r="ACO15" s="82">
        <f t="shared" si="229"/>
        <v>0</v>
      </c>
      <c r="ACP15" s="82">
        <f t="shared" si="229"/>
        <v>0</v>
      </c>
      <c r="ACQ15" s="82">
        <f t="shared" si="229"/>
        <v>0</v>
      </c>
      <c r="ACR15" s="82">
        <f t="shared" si="229"/>
        <v>0</v>
      </c>
      <c r="ACS15" s="82">
        <f t="shared" si="229"/>
        <v>0</v>
      </c>
      <c r="ACT15" s="82">
        <f t="shared" si="229"/>
        <v>0</v>
      </c>
      <c r="ACU15" s="82">
        <f t="shared" si="229"/>
        <v>0</v>
      </c>
      <c r="ACV15" s="82">
        <f t="shared" si="229"/>
        <v>0</v>
      </c>
      <c r="ACW15" s="82">
        <f t="shared" si="229"/>
        <v>0</v>
      </c>
      <c r="ACX15" s="82">
        <f t="shared" si="229"/>
        <v>0</v>
      </c>
      <c r="ACY15" s="82">
        <f t="shared" si="229"/>
        <v>0</v>
      </c>
      <c r="ACZ15" s="82">
        <f t="shared" si="229"/>
        <v>0</v>
      </c>
      <c r="ADA15" s="82">
        <f t="shared" si="229"/>
        <v>0</v>
      </c>
      <c r="ADB15" s="82">
        <f t="shared" si="229"/>
        <v>0</v>
      </c>
      <c r="ADC15" s="82">
        <f t="shared" si="229"/>
        <v>0</v>
      </c>
      <c r="ADD15" s="82">
        <f t="shared" si="229"/>
        <v>0</v>
      </c>
      <c r="ADE15" s="82">
        <f t="shared" si="229"/>
        <v>0</v>
      </c>
      <c r="ADF15" s="82">
        <f t="shared" si="229"/>
        <v>0</v>
      </c>
      <c r="ADG15" s="82">
        <f t="shared" si="229"/>
        <v>0</v>
      </c>
      <c r="ADH15" s="82">
        <f t="shared" si="229"/>
        <v>0</v>
      </c>
      <c r="ADI15" s="130"/>
      <c r="ADJ15" s="82">
        <f>ADH27</f>
        <v>45091665</v>
      </c>
      <c r="ADK15" s="82">
        <f t="shared" ref="ADK15:ADV15" si="230">ADJ15</f>
        <v>45091665</v>
      </c>
      <c r="ADL15" s="82">
        <f t="shared" si="230"/>
        <v>45091665</v>
      </c>
      <c r="ADM15" s="82">
        <f t="shared" si="230"/>
        <v>45091665</v>
      </c>
      <c r="ADN15" s="82">
        <f t="shared" si="230"/>
        <v>45091665</v>
      </c>
      <c r="ADO15" s="82">
        <f t="shared" si="230"/>
        <v>45091665</v>
      </c>
      <c r="ADP15" s="82">
        <f t="shared" si="230"/>
        <v>45091665</v>
      </c>
      <c r="ADQ15" s="82">
        <f t="shared" si="230"/>
        <v>45091665</v>
      </c>
      <c r="ADR15" s="82">
        <f t="shared" si="230"/>
        <v>45091665</v>
      </c>
      <c r="ADS15" s="82">
        <f t="shared" si="230"/>
        <v>45091665</v>
      </c>
      <c r="ADT15" s="82">
        <f t="shared" si="230"/>
        <v>45091665</v>
      </c>
      <c r="ADU15" s="82">
        <f t="shared" si="230"/>
        <v>45091665</v>
      </c>
      <c r="ADV15" s="82">
        <f t="shared" si="230"/>
        <v>45091665</v>
      </c>
      <c r="ADW15" s="82">
        <v>0</v>
      </c>
      <c r="ADX15" s="82">
        <f t="shared" ref="ADX15:AEG15" si="231">ADW15</f>
        <v>0</v>
      </c>
      <c r="ADY15" s="82">
        <f t="shared" si="231"/>
        <v>0</v>
      </c>
      <c r="ADZ15" s="82">
        <f t="shared" si="231"/>
        <v>0</v>
      </c>
      <c r="AEA15" s="82">
        <f t="shared" si="231"/>
        <v>0</v>
      </c>
      <c r="AEB15" s="82">
        <f t="shared" si="231"/>
        <v>0</v>
      </c>
      <c r="AEC15" s="82">
        <f t="shared" si="231"/>
        <v>0</v>
      </c>
      <c r="AED15" s="82">
        <f t="shared" si="231"/>
        <v>0</v>
      </c>
      <c r="AEE15" s="82">
        <f t="shared" si="231"/>
        <v>0</v>
      </c>
      <c r="AEF15" s="82">
        <f t="shared" si="231"/>
        <v>0</v>
      </c>
      <c r="AEG15" s="82">
        <f t="shared" si="231"/>
        <v>0</v>
      </c>
      <c r="AEH15" s="82">
        <v>1108000</v>
      </c>
      <c r="AEI15" s="82">
        <f t="shared" ref="AEI15:AEM22" si="232">AEH15</f>
        <v>1108000</v>
      </c>
      <c r="AEJ15" s="82">
        <f t="shared" si="232"/>
        <v>1108000</v>
      </c>
      <c r="AEK15" s="82">
        <f t="shared" si="232"/>
        <v>1108000</v>
      </c>
      <c r="AEL15" s="82">
        <f t="shared" si="232"/>
        <v>1108000</v>
      </c>
      <c r="AEM15" s="82">
        <f t="shared" si="232"/>
        <v>1108000</v>
      </c>
      <c r="AEN15" s="130"/>
      <c r="AEO15" s="82">
        <f>AEM15+AEM27</f>
        <v>43277289</v>
      </c>
      <c r="AEP15" s="82">
        <f t="shared" si="195"/>
        <v>43277289</v>
      </c>
      <c r="AEQ15" s="82">
        <f t="shared" si="195"/>
        <v>43277289</v>
      </c>
      <c r="AER15" s="82">
        <f t="shared" si="195"/>
        <v>43277289</v>
      </c>
      <c r="AES15" s="82">
        <f t="shared" si="195"/>
        <v>43277289</v>
      </c>
      <c r="AET15" s="82">
        <f t="shared" si="195"/>
        <v>43277289</v>
      </c>
      <c r="AEU15" s="82">
        <v>0</v>
      </c>
      <c r="AEV15" s="82">
        <f t="shared" ref="AEV15:AFS15" si="233">AEU15</f>
        <v>0</v>
      </c>
      <c r="AEW15" s="82">
        <f t="shared" si="233"/>
        <v>0</v>
      </c>
      <c r="AEX15" s="82">
        <f t="shared" si="233"/>
        <v>0</v>
      </c>
      <c r="AEY15" s="82">
        <f t="shared" si="233"/>
        <v>0</v>
      </c>
      <c r="AEZ15" s="82">
        <f t="shared" si="233"/>
        <v>0</v>
      </c>
      <c r="AFA15" s="82">
        <f t="shared" si="233"/>
        <v>0</v>
      </c>
      <c r="AFB15" s="82">
        <f t="shared" si="233"/>
        <v>0</v>
      </c>
      <c r="AFC15" s="82">
        <f t="shared" si="233"/>
        <v>0</v>
      </c>
      <c r="AFD15" s="82">
        <f t="shared" si="233"/>
        <v>0</v>
      </c>
      <c r="AFE15" s="82">
        <f t="shared" si="233"/>
        <v>0</v>
      </c>
      <c r="AFF15" s="82">
        <f t="shared" si="233"/>
        <v>0</v>
      </c>
      <c r="AFG15" s="82">
        <f t="shared" si="233"/>
        <v>0</v>
      </c>
      <c r="AFH15" s="82">
        <f t="shared" si="233"/>
        <v>0</v>
      </c>
      <c r="AFI15" s="82">
        <f t="shared" si="233"/>
        <v>0</v>
      </c>
      <c r="AFJ15" s="82">
        <f t="shared" si="233"/>
        <v>0</v>
      </c>
      <c r="AFK15" s="82">
        <f t="shared" si="233"/>
        <v>0</v>
      </c>
      <c r="AFL15" s="82">
        <f t="shared" si="233"/>
        <v>0</v>
      </c>
      <c r="AFM15" s="82">
        <f t="shared" si="233"/>
        <v>0</v>
      </c>
      <c r="AFN15" s="82">
        <f t="shared" si="233"/>
        <v>0</v>
      </c>
      <c r="AFO15" s="82">
        <f t="shared" si="233"/>
        <v>0</v>
      </c>
      <c r="AFP15" s="82">
        <f t="shared" si="233"/>
        <v>0</v>
      </c>
      <c r="AFQ15" s="82">
        <f t="shared" si="233"/>
        <v>0</v>
      </c>
      <c r="AFR15" s="82">
        <f t="shared" si="233"/>
        <v>0</v>
      </c>
      <c r="AFS15" s="82">
        <f t="shared" si="233"/>
        <v>0</v>
      </c>
      <c r="AFT15" s="130"/>
      <c r="AFU15" s="82">
        <f>AFS27</f>
        <v>46051096</v>
      </c>
      <c r="AFV15" s="82">
        <f t="shared" si="197"/>
        <v>46051096</v>
      </c>
      <c r="AFW15" s="82">
        <f t="shared" si="197"/>
        <v>46051096</v>
      </c>
      <c r="AFX15" s="82">
        <f t="shared" si="197"/>
        <v>46051096</v>
      </c>
      <c r="AFY15" s="82">
        <f t="shared" si="197"/>
        <v>46051096</v>
      </c>
      <c r="AFZ15" s="82">
        <f t="shared" si="197"/>
        <v>46051096</v>
      </c>
      <c r="AGA15" s="82">
        <f t="shared" si="197"/>
        <v>46051096</v>
      </c>
      <c r="AGB15" s="82">
        <f t="shared" si="197"/>
        <v>46051096</v>
      </c>
      <c r="AGC15" s="82">
        <f t="shared" si="197"/>
        <v>46051096</v>
      </c>
      <c r="AGD15" s="82">
        <v>0</v>
      </c>
      <c r="AGE15" s="82">
        <f t="shared" ref="AGE15:AGX15" si="234">AGD15</f>
        <v>0</v>
      </c>
      <c r="AGF15" s="82">
        <f t="shared" si="234"/>
        <v>0</v>
      </c>
      <c r="AGG15" s="82">
        <f t="shared" si="234"/>
        <v>0</v>
      </c>
      <c r="AGH15" s="82">
        <f t="shared" si="234"/>
        <v>0</v>
      </c>
      <c r="AGI15" s="82">
        <f t="shared" si="234"/>
        <v>0</v>
      </c>
      <c r="AGJ15" s="82">
        <f t="shared" si="234"/>
        <v>0</v>
      </c>
      <c r="AGK15" s="82">
        <f t="shared" si="234"/>
        <v>0</v>
      </c>
      <c r="AGL15" s="82">
        <f t="shared" si="234"/>
        <v>0</v>
      </c>
      <c r="AGM15" s="82">
        <f t="shared" si="234"/>
        <v>0</v>
      </c>
      <c r="AGN15" s="82">
        <f t="shared" si="234"/>
        <v>0</v>
      </c>
      <c r="AGO15" s="82">
        <f t="shared" si="234"/>
        <v>0</v>
      </c>
      <c r="AGP15" s="82">
        <f t="shared" si="234"/>
        <v>0</v>
      </c>
      <c r="AGQ15" s="82">
        <f t="shared" si="234"/>
        <v>0</v>
      </c>
      <c r="AGR15" s="82">
        <f t="shared" si="234"/>
        <v>0</v>
      </c>
      <c r="AGS15" s="82">
        <f t="shared" si="234"/>
        <v>0</v>
      </c>
      <c r="AGT15" s="82">
        <f t="shared" si="234"/>
        <v>0</v>
      </c>
      <c r="AGU15" s="82">
        <f t="shared" si="234"/>
        <v>0</v>
      </c>
      <c r="AGV15" s="82">
        <f t="shared" si="234"/>
        <v>0</v>
      </c>
      <c r="AGW15" s="82">
        <f t="shared" si="234"/>
        <v>0</v>
      </c>
      <c r="AGX15" s="82">
        <f t="shared" si="234"/>
        <v>0</v>
      </c>
      <c r="AGY15" s="133"/>
      <c r="AGZ15" s="82">
        <f>AGX27</f>
        <v>12282690</v>
      </c>
      <c r="AHA15" s="82">
        <f t="shared" ref="AHA15:AHJ15" si="235">AGZ15</f>
        <v>12282690</v>
      </c>
      <c r="AHB15" s="82">
        <f t="shared" si="235"/>
        <v>12282690</v>
      </c>
      <c r="AHC15" s="82">
        <f t="shared" si="235"/>
        <v>12282690</v>
      </c>
      <c r="AHD15" s="82">
        <f t="shared" si="235"/>
        <v>12282690</v>
      </c>
      <c r="AHE15" s="82">
        <f t="shared" si="235"/>
        <v>12282690</v>
      </c>
      <c r="AHF15" s="82">
        <f t="shared" si="235"/>
        <v>12282690</v>
      </c>
      <c r="AHG15" s="82">
        <f t="shared" si="235"/>
        <v>12282690</v>
      </c>
      <c r="AHH15" s="82">
        <f t="shared" si="235"/>
        <v>12282690</v>
      </c>
      <c r="AHI15" s="82">
        <f t="shared" si="235"/>
        <v>12282690</v>
      </c>
      <c r="AHJ15" s="82">
        <f t="shared" si="235"/>
        <v>12282690</v>
      </c>
      <c r="AHK15" s="82">
        <v>0</v>
      </c>
      <c r="AHL15" s="82">
        <f t="shared" ref="AHL15:AID15" si="236">AHK15</f>
        <v>0</v>
      </c>
      <c r="AHM15" s="82">
        <f t="shared" si="236"/>
        <v>0</v>
      </c>
      <c r="AHN15" s="82">
        <f t="shared" si="236"/>
        <v>0</v>
      </c>
      <c r="AHO15" s="82">
        <f t="shared" si="236"/>
        <v>0</v>
      </c>
      <c r="AHP15" s="82">
        <f t="shared" si="236"/>
        <v>0</v>
      </c>
      <c r="AHQ15" s="82">
        <f t="shared" si="236"/>
        <v>0</v>
      </c>
      <c r="AHR15" s="82">
        <f t="shared" si="236"/>
        <v>0</v>
      </c>
      <c r="AHS15" s="82">
        <f t="shared" si="236"/>
        <v>0</v>
      </c>
      <c r="AHT15" s="82">
        <f t="shared" si="236"/>
        <v>0</v>
      </c>
      <c r="AHU15" s="82">
        <f t="shared" si="236"/>
        <v>0</v>
      </c>
      <c r="AHV15" s="82">
        <f t="shared" si="236"/>
        <v>0</v>
      </c>
      <c r="AHW15" s="82">
        <f t="shared" si="236"/>
        <v>0</v>
      </c>
      <c r="AHX15" s="82">
        <f t="shared" si="236"/>
        <v>0</v>
      </c>
      <c r="AHY15" s="82">
        <f t="shared" si="236"/>
        <v>0</v>
      </c>
      <c r="AHZ15" s="82">
        <f t="shared" si="236"/>
        <v>0</v>
      </c>
      <c r="AIA15" s="82">
        <f t="shared" si="236"/>
        <v>0</v>
      </c>
      <c r="AIB15" s="82">
        <f t="shared" si="236"/>
        <v>0</v>
      </c>
      <c r="AIC15" s="82">
        <f t="shared" si="236"/>
        <v>0</v>
      </c>
      <c r="AID15" s="82">
        <f t="shared" si="236"/>
        <v>0</v>
      </c>
      <c r="AIE15" s="130"/>
      <c r="AIF15" s="82">
        <f t="shared" ref="AIF15:AJJ15" si="237">AIE15</f>
        <v>0</v>
      </c>
      <c r="AIG15" s="82">
        <f t="shared" si="237"/>
        <v>0</v>
      </c>
      <c r="AIH15" s="82">
        <f t="shared" si="237"/>
        <v>0</v>
      </c>
      <c r="AII15" s="82">
        <f t="shared" si="237"/>
        <v>0</v>
      </c>
      <c r="AIJ15" s="82">
        <f t="shared" si="237"/>
        <v>0</v>
      </c>
      <c r="AIK15" s="82">
        <f t="shared" si="237"/>
        <v>0</v>
      </c>
      <c r="AIL15" s="82">
        <f t="shared" si="237"/>
        <v>0</v>
      </c>
      <c r="AIM15" s="82">
        <f t="shared" si="237"/>
        <v>0</v>
      </c>
      <c r="AIN15" s="82">
        <f t="shared" si="237"/>
        <v>0</v>
      </c>
      <c r="AIO15" s="82">
        <f t="shared" si="237"/>
        <v>0</v>
      </c>
      <c r="AIP15" s="82">
        <f t="shared" si="237"/>
        <v>0</v>
      </c>
      <c r="AIQ15" s="82">
        <f t="shared" si="237"/>
        <v>0</v>
      </c>
      <c r="AIR15" s="82">
        <f t="shared" si="237"/>
        <v>0</v>
      </c>
      <c r="AIS15" s="82">
        <f t="shared" si="237"/>
        <v>0</v>
      </c>
      <c r="AIT15" s="82">
        <f t="shared" si="237"/>
        <v>0</v>
      </c>
      <c r="AIU15" s="82">
        <f t="shared" si="237"/>
        <v>0</v>
      </c>
      <c r="AIV15" s="82">
        <f t="shared" si="237"/>
        <v>0</v>
      </c>
      <c r="AIW15" s="82">
        <f t="shared" si="237"/>
        <v>0</v>
      </c>
      <c r="AIX15" s="82">
        <f t="shared" si="237"/>
        <v>0</v>
      </c>
      <c r="AIY15" s="82">
        <f t="shared" si="237"/>
        <v>0</v>
      </c>
      <c r="AIZ15" s="82">
        <f t="shared" si="237"/>
        <v>0</v>
      </c>
      <c r="AJA15" s="82">
        <f t="shared" si="237"/>
        <v>0</v>
      </c>
      <c r="AJB15" s="82">
        <f t="shared" si="237"/>
        <v>0</v>
      </c>
      <c r="AJC15" s="82">
        <f t="shared" si="237"/>
        <v>0</v>
      </c>
      <c r="AJD15" s="82">
        <f t="shared" si="237"/>
        <v>0</v>
      </c>
      <c r="AJE15" s="82">
        <f t="shared" si="237"/>
        <v>0</v>
      </c>
      <c r="AJF15" s="82">
        <f t="shared" si="237"/>
        <v>0</v>
      </c>
      <c r="AJG15" s="82">
        <f t="shared" si="237"/>
        <v>0</v>
      </c>
      <c r="AJH15" s="82">
        <f t="shared" si="237"/>
        <v>0</v>
      </c>
      <c r="AJI15" s="82">
        <f t="shared" si="237"/>
        <v>0</v>
      </c>
      <c r="AJJ15" s="82">
        <f t="shared" si="237"/>
        <v>0</v>
      </c>
      <c r="AJK15" s="145"/>
      <c r="AJL15" s="82">
        <f t="shared" ref="AJL15:AKM15" si="238">AJK15</f>
        <v>0</v>
      </c>
      <c r="AJM15" s="82">
        <f t="shared" si="238"/>
        <v>0</v>
      </c>
      <c r="AJN15" s="82">
        <f t="shared" si="238"/>
        <v>0</v>
      </c>
      <c r="AJO15" s="82">
        <f t="shared" si="238"/>
        <v>0</v>
      </c>
      <c r="AJP15" s="82">
        <f t="shared" si="238"/>
        <v>0</v>
      </c>
      <c r="AJQ15" s="82">
        <f t="shared" si="238"/>
        <v>0</v>
      </c>
      <c r="AJR15" s="82">
        <f t="shared" si="238"/>
        <v>0</v>
      </c>
      <c r="AJS15" s="82">
        <f t="shared" si="238"/>
        <v>0</v>
      </c>
      <c r="AJT15" s="82">
        <f t="shared" si="238"/>
        <v>0</v>
      </c>
      <c r="AJU15" s="82">
        <f t="shared" si="238"/>
        <v>0</v>
      </c>
      <c r="AJV15" s="82">
        <f t="shared" si="238"/>
        <v>0</v>
      </c>
      <c r="AJW15" s="82">
        <f t="shared" si="238"/>
        <v>0</v>
      </c>
      <c r="AJX15" s="82">
        <f t="shared" si="238"/>
        <v>0</v>
      </c>
      <c r="AJY15" s="82">
        <f t="shared" si="238"/>
        <v>0</v>
      </c>
      <c r="AJZ15" s="82">
        <f t="shared" si="238"/>
        <v>0</v>
      </c>
      <c r="AKA15" s="82">
        <f t="shared" si="238"/>
        <v>0</v>
      </c>
      <c r="AKB15" s="82">
        <f t="shared" si="238"/>
        <v>0</v>
      </c>
      <c r="AKC15" s="82">
        <f t="shared" si="238"/>
        <v>0</v>
      </c>
      <c r="AKD15" s="82">
        <f t="shared" si="238"/>
        <v>0</v>
      </c>
      <c r="AKE15" s="82">
        <f t="shared" si="238"/>
        <v>0</v>
      </c>
      <c r="AKF15" s="82">
        <f t="shared" si="238"/>
        <v>0</v>
      </c>
      <c r="AKG15" s="82">
        <f t="shared" si="238"/>
        <v>0</v>
      </c>
      <c r="AKH15" s="82">
        <f t="shared" si="238"/>
        <v>0</v>
      </c>
      <c r="AKI15" s="82">
        <f t="shared" si="238"/>
        <v>0</v>
      </c>
      <c r="AKJ15" s="82">
        <f t="shared" si="238"/>
        <v>0</v>
      </c>
      <c r="AKK15" s="82">
        <f t="shared" si="238"/>
        <v>0</v>
      </c>
      <c r="AKL15" s="82">
        <f t="shared" si="238"/>
        <v>0</v>
      </c>
      <c r="AKM15" s="82">
        <f t="shared" si="238"/>
        <v>0</v>
      </c>
      <c r="AKN15" s="112"/>
      <c r="AKO15" s="82">
        <f t="shared" si="203"/>
        <v>0</v>
      </c>
      <c r="AKP15" s="82">
        <f t="shared" si="203"/>
        <v>0</v>
      </c>
      <c r="AKQ15" s="82">
        <f t="shared" si="203"/>
        <v>0</v>
      </c>
      <c r="AKR15" s="82">
        <f t="shared" si="203"/>
        <v>0</v>
      </c>
      <c r="AKS15" s="82">
        <f t="shared" si="203"/>
        <v>0</v>
      </c>
      <c r="AKT15" s="82">
        <f t="shared" si="203"/>
        <v>0</v>
      </c>
      <c r="AKU15" s="82">
        <f t="shared" ref="AKU15:ALC15" si="239">AKT15</f>
        <v>0</v>
      </c>
      <c r="AKV15" s="82">
        <f t="shared" si="239"/>
        <v>0</v>
      </c>
      <c r="AKW15" s="82">
        <f t="shared" si="239"/>
        <v>0</v>
      </c>
      <c r="AKX15" s="82">
        <f t="shared" si="239"/>
        <v>0</v>
      </c>
      <c r="AKY15" s="82">
        <f t="shared" si="239"/>
        <v>0</v>
      </c>
      <c r="AKZ15" s="82">
        <f t="shared" si="239"/>
        <v>0</v>
      </c>
      <c r="ALA15" s="82">
        <f t="shared" si="239"/>
        <v>0</v>
      </c>
      <c r="ALB15" s="82">
        <f t="shared" si="239"/>
        <v>0</v>
      </c>
      <c r="ALC15" s="82">
        <f t="shared" si="239"/>
        <v>0</v>
      </c>
      <c r="ALD15" s="82">
        <v>400000</v>
      </c>
      <c r="ALE15" s="82">
        <f t="shared" ref="ALE15:ALE22" si="240">ALD15</f>
        <v>400000</v>
      </c>
      <c r="ALF15" s="82">
        <v>0</v>
      </c>
      <c r="ALG15" s="82">
        <f t="shared" ref="ALG15:ALS15" si="241">ALF15</f>
        <v>0</v>
      </c>
      <c r="ALH15" s="82">
        <f t="shared" si="241"/>
        <v>0</v>
      </c>
      <c r="ALI15" s="82">
        <f t="shared" si="241"/>
        <v>0</v>
      </c>
      <c r="ALJ15" s="82">
        <f t="shared" si="241"/>
        <v>0</v>
      </c>
      <c r="ALK15" s="82">
        <f t="shared" si="241"/>
        <v>0</v>
      </c>
      <c r="ALL15" s="82">
        <f t="shared" si="241"/>
        <v>0</v>
      </c>
      <c r="ALM15" s="82">
        <f t="shared" si="241"/>
        <v>0</v>
      </c>
      <c r="ALN15" s="82">
        <f t="shared" si="241"/>
        <v>0</v>
      </c>
      <c r="ALO15" s="82">
        <f t="shared" si="241"/>
        <v>0</v>
      </c>
      <c r="ALP15" s="82">
        <f t="shared" si="241"/>
        <v>0</v>
      </c>
      <c r="ALQ15" s="82">
        <f t="shared" si="241"/>
        <v>0</v>
      </c>
      <c r="ALR15" s="82">
        <f t="shared" si="241"/>
        <v>0</v>
      </c>
      <c r="ALS15" s="82">
        <f t="shared" si="241"/>
        <v>0</v>
      </c>
      <c r="ALT15" s="130"/>
      <c r="ALU15" s="82">
        <f t="shared" ref="ALU15:AMX15" si="242">ALT15</f>
        <v>0</v>
      </c>
      <c r="ALV15" s="82">
        <f t="shared" si="242"/>
        <v>0</v>
      </c>
      <c r="ALW15" s="82">
        <f t="shared" si="242"/>
        <v>0</v>
      </c>
      <c r="ALX15" s="82">
        <f t="shared" si="242"/>
        <v>0</v>
      </c>
      <c r="ALY15" s="82">
        <f t="shared" si="242"/>
        <v>0</v>
      </c>
      <c r="ALZ15" s="82">
        <f t="shared" si="242"/>
        <v>0</v>
      </c>
      <c r="AMA15" s="82">
        <f t="shared" si="242"/>
        <v>0</v>
      </c>
      <c r="AMB15" s="82">
        <f t="shared" si="242"/>
        <v>0</v>
      </c>
      <c r="AMC15" s="82">
        <f t="shared" si="242"/>
        <v>0</v>
      </c>
      <c r="AMD15" s="82">
        <f t="shared" si="242"/>
        <v>0</v>
      </c>
      <c r="AME15" s="82">
        <f t="shared" si="242"/>
        <v>0</v>
      </c>
      <c r="AMF15" s="82">
        <f t="shared" si="242"/>
        <v>0</v>
      </c>
      <c r="AMG15" s="82">
        <f t="shared" si="242"/>
        <v>0</v>
      </c>
      <c r="AMH15" s="82">
        <f t="shared" si="242"/>
        <v>0</v>
      </c>
      <c r="AMI15" s="82">
        <f t="shared" si="242"/>
        <v>0</v>
      </c>
      <c r="AMJ15" s="82">
        <f t="shared" si="242"/>
        <v>0</v>
      </c>
      <c r="AMK15" s="82">
        <f t="shared" si="242"/>
        <v>0</v>
      </c>
      <c r="AML15" s="82">
        <f t="shared" si="242"/>
        <v>0</v>
      </c>
      <c r="AMM15" s="82">
        <f t="shared" si="242"/>
        <v>0</v>
      </c>
      <c r="AMN15" s="82">
        <f t="shared" si="242"/>
        <v>0</v>
      </c>
      <c r="AMO15" s="82">
        <f t="shared" si="242"/>
        <v>0</v>
      </c>
      <c r="AMP15" s="82">
        <f t="shared" si="242"/>
        <v>0</v>
      </c>
      <c r="AMQ15" s="82">
        <f t="shared" si="242"/>
        <v>0</v>
      </c>
      <c r="AMR15" s="82">
        <f t="shared" si="242"/>
        <v>0</v>
      </c>
      <c r="AMS15" s="82">
        <f t="shared" si="242"/>
        <v>0</v>
      </c>
      <c r="AMT15" s="82">
        <f t="shared" si="242"/>
        <v>0</v>
      </c>
      <c r="AMU15" s="82">
        <f t="shared" si="242"/>
        <v>0</v>
      </c>
      <c r="AMV15" s="82">
        <f t="shared" si="242"/>
        <v>0</v>
      </c>
      <c r="AMW15" s="82">
        <f t="shared" si="242"/>
        <v>0</v>
      </c>
      <c r="AMX15" s="82">
        <f t="shared" si="242"/>
        <v>0</v>
      </c>
      <c r="AMY15" s="130"/>
      <c r="AMZ15" s="82">
        <f>AMX28</f>
        <v>16973855</v>
      </c>
      <c r="ANA15" s="82">
        <f t="shared" ref="ANA15:ANK15" si="243">AMZ15</f>
        <v>16973855</v>
      </c>
      <c r="ANB15" s="82">
        <f t="shared" si="243"/>
        <v>16973855</v>
      </c>
      <c r="ANC15" s="82">
        <f t="shared" si="243"/>
        <v>16973855</v>
      </c>
      <c r="AND15" s="82">
        <f t="shared" si="243"/>
        <v>16973855</v>
      </c>
      <c r="ANE15" s="82">
        <f t="shared" si="243"/>
        <v>16973855</v>
      </c>
      <c r="ANF15" s="82">
        <f t="shared" si="243"/>
        <v>16973855</v>
      </c>
      <c r="ANG15" s="82">
        <f t="shared" si="243"/>
        <v>16973855</v>
      </c>
      <c r="ANH15" s="82">
        <f t="shared" si="243"/>
        <v>16973855</v>
      </c>
      <c r="ANI15" s="82">
        <f t="shared" si="243"/>
        <v>16973855</v>
      </c>
      <c r="ANJ15" s="82">
        <f t="shared" si="243"/>
        <v>16973855</v>
      </c>
      <c r="ANK15" s="82">
        <f t="shared" si="243"/>
        <v>16973855</v>
      </c>
      <c r="ANL15" s="82">
        <v>0</v>
      </c>
      <c r="ANM15" s="82">
        <f t="shared" ref="ANM15:AOC15" si="244">ANL15</f>
        <v>0</v>
      </c>
      <c r="ANN15" s="82">
        <f t="shared" si="244"/>
        <v>0</v>
      </c>
      <c r="ANO15" s="82">
        <f t="shared" si="244"/>
        <v>0</v>
      </c>
      <c r="ANP15" s="82">
        <f t="shared" si="244"/>
        <v>0</v>
      </c>
      <c r="ANQ15" s="82">
        <f t="shared" si="244"/>
        <v>0</v>
      </c>
      <c r="ANR15" s="82">
        <f t="shared" si="244"/>
        <v>0</v>
      </c>
      <c r="ANS15" s="82">
        <f t="shared" si="244"/>
        <v>0</v>
      </c>
      <c r="ANT15" s="82">
        <f t="shared" si="244"/>
        <v>0</v>
      </c>
      <c r="ANU15" s="82">
        <f t="shared" si="244"/>
        <v>0</v>
      </c>
      <c r="ANV15" s="82">
        <f t="shared" si="244"/>
        <v>0</v>
      </c>
      <c r="ANW15" s="82">
        <f t="shared" si="244"/>
        <v>0</v>
      </c>
      <c r="ANX15" s="82">
        <f t="shared" si="244"/>
        <v>0</v>
      </c>
      <c r="ANY15" s="82">
        <f t="shared" si="244"/>
        <v>0</v>
      </c>
      <c r="ANZ15" s="82">
        <f t="shared" si="244"/>
        <v>0</v>
      </c>
      <c r="AOA15" s="82">
        <f t="shared" si="244"/>
        <v>0</v>
      </c>
      <c r="AOB15" s="82">
        <f t="shared" si="244"/>
        <v>0</v>
      </c>
      <c r="AOC15" s="82">
        <f t="shared" si="244"/>
        <v>0</v>
      </c>
    </row>
    <row r="16" spans="1:1069" x14ac:dyDescent="0.2">
      <c r="A16" s="160"/>
      <c r="B16" t="s">
        <v>1648</v>
      </c>
      <c r="C16" s="52">
        <v>17545907</v>
      </c>
      <c r="D16" s="52">
        <f>C16</f>
        <v>17545907</v>
      </c>
      <c r="E16" s="52">
        <v>0</v>
      </c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98"/>
      <c r="AI16" s="82">
        <f>AG28</f>
        <v>23381481</v>
      </c>
      <c r="AJ16" s="82">
        <f t="shared" ref="AJ16:AR16" si="245">AI16</f>
        <v>23381481</v>
      </c>
      <c r="AK16" s="82">
        <f t="shared" si="245"/>
        <v>23381481</v>
      </c>
      <c r="AL16" s="82">
        <f t="shared" si="245"/>
        <v>23381481</v>
      </c>
      <c r="AM16" s="82">
        <f t="shared" si="245"/>
        <v>23381481</v>
      </c>
      <c r="AN16" s="82">
        <f t="shared" si="245"/>
        <v>23381481</v>
      </c>
      <c r="AO16" s="82">
        <f t="shared" si="245"/>
        <v>23381481</v>
      </c>
      <c r="AP16" s="82">
        <f t="shared" si="245"/>
        <v>23381481</v>
      </c>
      <c r="AQ16" s="82">
        <f t="shared" si="245"/>
        <v>23381481</v>
      </c>
      <c r="AR16" s="82">
        <f t="shared" si="245"/>
        <v>23381481</v>
      </c>
      <c r="AS16" s="82">
        <v>768400</v>
      </c>
      <c r="AT16" s="82">
        <f>AS16</f>
        <v>768400</v>
      </c>
      <c r="AU16" s="82">
        <f>AT16</f>
        <v>768400</v>
      </c>
      <c r="AV16" s="82">
        <f>AU16</f>
        <v>768400</v>
      </c>
      <c r="AW16" s="82">
        <f>AV16</f>
        <v>768400</v>
      </c>
      <c r="AX16" s="82">
        <f>AW16+300000</f>
        <v>1068400</v>
      </c>
      <c r="AY16" s="82">
        <f t="shared" ref="AY16:BL16" si="246">AX16</f>
        <v>1068400</v>
      </c>
      <c r="AZ16" s="82">
        <f t="shared" si="246"/>
        <v>1068400</v>
      </c>
      <c r="BA16" s="82">
        <f t="shared" si="246"/>
        <v>1068400</v>
      </c>
      <c r="BB16" s="82">
        <f t="shared" si="246"/>
        <v>1068400</v>
      </c>
      <c r="BC16" s="82">
        <f t="shared" si="246"/>
        <v>1068400</v>
      </c>
      <c r="BD16" s="82">
        <f t="shared" si="246"/>
        <v>1068400</v>
      </c>
      <c r="BE16" s="82">
        <f t="shared" si="246"/>
        <v>1068400</v>
      </c>
      <c r="BF16" s="82">
        <f t="shared" si="246"/>
        <v>1068400</v>
      </c>
      <c r="BG16" s="82">
        <f t="shared" si="246"/>
        <v>1068400</v>
      </c>
      <c r="BH16" s="82">
        <f t="shared" si="246"/>
        <v>1068400</v>
      </c>
      <c r="BI16" s="82">
        <f t="shared" si="246"/>
        <v>1068400</v>
      </c>
      <c r="BJ16" s="82">
        <f t="shared" si="246"/>
        <v>1068400</v>
      </c>
      <c r="BK16" s="82">
        <f t="shared" si="246"/>
        <v>1068400</v>
      </c>
      <c r="BL16" s="82">
        <f t="shared" si="246"/>
        <v>1068400</v>
      </c>
      <c r="BM16" s="106">
        <f>BL16+BL28</f>
        <v>17720210</v>
      </c>
      <c r="BN16" s="82">
        <f t="shared" ref="BN16:BZ16" si="247">BM16</f>
        <v>17720210</v>
      </c>
      <c r="BO16" s="82">
        <f t="shared" si="247"/>
        <v>17720210</v>
      </c>
      <c r="BP16" s="82">
        <f t="shared" si="247"/>
        <v>17720210</v>
      </c>
      <c r="BQ16" s="82">
        <f t="shared" si="247"/>
        <v>17720210</v>
      </c>
      <c r="BR16" s="82">
        <f t="shared" si="247"/>
        <v>17720210</v>
      </c>
      <c r="BS16" s="82">
        <f t="shared" si="247"/>
        <v>17720210</v>
      </c>
      <c r="BT16" s="82">
        <f t="shared" si="247"/>
        <v>17720210</v>
      </c>
      <c r="BU16" s="82">
        <f t="shared" si="247"/>
        <v>17720210</v>
      </c>
      <c r="BV16" s="82">
        <f t="shared" si="247"/>
        <v>17720210</v>
      </c>
      <c r="BW16" s="82">
        <f t="shared" si="247"/>
        <v>17720210</v>
      </c>
      <c r="BX16" s="82">
        <f t="shared" si="247"/>
        <v>17720210</v>
      </c>
      <c r="BY16" s="82">
        <f t="shared" si="247"/>
        <v>17720210</v>
      </c>
      <c r="BZ16" s="82">
        <f t="shared" si="247"/>
        <v>17720210</v>
      </c>
      <c r="CA16" s="82">
        <f>963264+300000</f>
        <v>1263264</v>
      </c>
      <c r="CB16" s="82">
        <f t="shared" ref="CB16:CK16" si="248">CA16</f>
        <v>1263264</v>
      </c>
      <c r="CC16" s="82">
        <f t="shared" si="248"/>
        <v>1263264</v>
      </c>
      <c r="CD16" s="82">
        <f t="shared" si="248"/>
        <v>1263264</v>
      </c>
      <c r="CE16" s="82">
        <f t="shared" si="248"/>
        <v>1263264</v>
      </c>
      <c r="CF16" s="82">
        <f t="shared" si="248"/>
        <v>1263264</v>
      </c>
      <c r="CG16" s="82">
        <f t="shared" si="248"/>
        <v>1263264</v>
      </c>
      <c r="CH16" s="82">
        <f t="shared" si="248"/>
        <v>1263264</v>
      </c>
      <c r="CI16" s="82">
        <f t="shared" si="248"/>
        <v>1263264</v>
      </c>
      <c r="CJ16" s="82">
        <f t="shared" si="248"/>
        <v>1263264</v>
      </c>
      <c r="CK16" s="82">
        <f t="shared" si="248"/>
        <v>1263264</v>
      </c>
      <c r="CL16" s="82">
        <f>CK16+100000</f>
        <v>1363264</v>
      </c>
      <c r="CM16" s="82">
        <f t="shared" ref="CM16:CO22" si="249">CL16</f>
        <v>1363264</v>
      </c>
      <c r="CN16" s="82">
        <f t="shared" si="249"/>
        <v>1363264</v>
      </c>
      <c r="CO16" s="82">
        <f t="shared" si="249"/>
        <v>1363264</v>
      </c>
      <c r="CP16" s="82">
        <f>CO16+60000</f>
        <v>1423264</v>
      </c>
      <c r="CQ16" s="82">
        <f t="shared" ref="CQ16:CR22" si="250">CP16</f>
        <v>1423264</v>
      </c>
      <c r="CR16" s="82">
        <f t="shared" si="250"/>
        <v>1423264</v>
      </c>
      <c r="CT16" s="82">
        <f>CR16+CR28</f>
        <v>20369998</v>
      </c>
      <c r="CU16" s="82">
        <f t="shared" si="151"/>
        <v>20369998</v>
      </c>
      <c r="CV16" s="82">
        <f>CT16</f>
        <v>20369998</v>
      </c>
      <c r="CW16" s="82">
        <f>704900+60000+120000</f>
        <v>884900</v>
      </c>
      <c r="CX16" s="82">
        <f>CW16</f>
        <v>884900</v>
      </c>
      <c r="CY16" s="82">
        <f>CW16-120000</f>
        <v>764900</v>
      </c>
      <c r="CZ16" s="82">
        <f>CY16</f>
        <v>764900</v>
      </c>
      <c r="DA16" s="82">
        <f t="shared" ref="DA16:DA25" si="251">CY16</f>
        <v>764900</v>
      </c>
      <c r="DB16" s="82">
        <f t="shared" ref="DB16:DB25" si="252">CZ16</f>
        <v>764900</v>
      </c>
      <c r="DC16" s="82">
        <f t="shared" ref="DC16:DC25" si="253">DA16</f>
        <v>764900</v>
      </c>
      <c r="DD16" s="82">
        <f t="shared" ref="DD16:DD25" si="254">DB16</f>
        <v>764900</v>
      </c>
      <c r="DE16" s="82">
        <f t="shared" ref="DE16:DE25" si="255">DC16</f>
        <v>764900</v>
      </c>
      <c r="DF16" s="82">
        <f t="shared" ref="DF16:DF25" si="256">DD16</f>
        <v>764900</v>
      </c>
      <c r="DG16" s="82">
        <f t="shared" ref="DG16:DG25" si="257">DE16</f>
        <v>764900</v>
      </c>
      <c r="DH16" s="82">
        <f t="shared" ref="DH16:DH25" si="258">DF16</f>
        <v>764900</v>
      </c>
      <c r="DI16" s="82">
        <f t="shared" ref="DI16:DI25" si="259">DG16</f>
        <v>764900</v>
      </c>
      <c r="DJ16" s="82">
        <f t="shared" ref="DJ16:DJ25" si="260">DH16</f>
        <v>764900</v>
      </c>
      <c r="DK16" s="82">
        <f t="shared" ref="DK16:DK25" si="261">DI16</f>
        <v>764900</v>
      </c>
      <c r="DL16" s="82">
        <f t="shared" ref="DL16:DL25" si="262">DJ16</f>
        <v>764900</v>
      </c>
      <c r="DM16" s="82">
        <f>DK16+100000</f>
        <v>864900</v>
      </c>
      <c r="DN16" s="82">
        <f>DM16</f>
        <v>864900</v>
      </c>
      <c r="DO16" s="82">
        <f t="shared" ref="DO16:DO25" si="263">DM16</f>
        <v>864900</v>
      </c>
      <c r="DP16" s="82">
        <f t="shared" ref="DP16:DP25" si="264">DN16</f>
        <v>864900</v>
      </c>
      <c r="DQ16" s="82">
        <f t="shared" ref="DQ16:DQ25" si="265">DO16</f>
        <v>864900</v>
      </c>
      <c r="DR16" s="82">
        <f t="shared" ref="DR16:DR25" si="266">DP16</f>
        <v>864900</v>
      </c>
      <c r="DS16" s="82">
        <f t="shared" ref="DS16:DS25" si="267">DQ16</f>
        <v>864900</v>
      </c>
      <c r="DT16" s="82">
        <f t="shared" ref="DT16:DT25" si="268">DR16</f>
        <v>864900</v>
      </c>
      <c r="DU16" s="82">
        <f>DS16-100000+224000</f>
        <v>988900</v>
      </c>
      <c r="DV16" s="82">
        <f>DU16</f>
        <v>988900</v>
      </c>
      <c r="DW16" s="82">
        <f t="shared" ref="DW16:DW25" si="269">DU16</f>
        <v>988900</v>
      </c>
      <c r="DX16" s="117"/>
      <c r="DY16" s="82">
        <f>DW16+DW28</f>
        <v>11037178</v>
      </c>
      <c r="DZ16" s="82">
        <f t="shared" ref="DZ16:EH16" si="270">DY16</f>
        <v>11037178</v>
      </c>
      <c r="EA16" s="82">
        <f t="shared" si="270"/>
        <v>11037178</v>
      </c>
      <c r="EB16" s="82">
        <f t="shared" si="270"/>
        <v>11037178</v>
      </c>
      <c r="EC16" s="82">
        <f t="shared" si="270"/>
        <v>11037178</v>
      </c>
      <c r="ED16" s="82">
        <f t="shared" si="270"/>
        <v>11037178</v>
      </c>
      <c r="EE16" s="82">
        <f t="shared" si="270"/>
        <v>11037178</v>
      </c>
      <c r="EF16" s="82">
        <f t="shared" si="270"/>
        <v>11037178</v>
      </c>
      <c r="EG16" s="82">
        <f t="shared" si="270"/>
        <v>11037178</v>
      </c>
      <c r="EH16" s="82">
        <f t="shared" si="270"/>
        <v>11037178</v>
      </c>
      <c r="EI16" s="82">
        <v>177800</v>
      </c>
      <c r="EJ16" s="82">
        <f t="shared" ref="EJ16:FC16" si="271">EI16</f>
        <v>177800</v>
      </c>
      <c r="EK16" s="82">
        <f t="shared" si="271"/>
        <v>177800</v>
      </c>
      <c r="EL16" s="82">
        <f t="shared" si="271"/>
        <v>177800</v>
      </c>
      <c r="EM16" s="82">
        <f t="shared" si="271"/>
        <v>177800</v>
      </c>
      <c r="EN16" s="82">
        <f t="shared" si="271"/>
        <v>177800</v>
      </c>
      <c r="EO16" s="82">
        <f t="shared" si="271"/>
        <v>177800</v>
      </c>
      <c r="EP16" s="82">
        <f t="shared" si="271"/>
        <v>177800</v>
      </c>
      <c r="EQ16" s="82">
        <f t="shared" si="271"/>
        <v>177800</v>
      </c>
      <c r="ER16" s="82">
        <f t="shared" si="271"/>
        <v>177800</v>
      </c>
      <c r="ES16" s="82">
        <f t="shared" si="271"/>
        <v>177800</v>
      </c>
      <c r="ET16" s="82">
        <f t="shared" si="271"/>
        <v>177800</v>
      </c>
      <c r="EU16" s="82">
        <f t="shared" si="271"/>
        <v>177800</v>
      </c>
      <c r="EV16" s="82">
        <f t="shared" si="271"/>
        <v>177800</v>
      </c>
      <c r="EW16" s="82">
        <f t="shared" si="271"/>
        <v>177800</v>
      </c>
      <c r="EX16" s="82">
        <f t="shared" si="271"/>
        <v>177800</v>
      </c>
      <c r="EY16" s="82">
        <f t="shared" si="271"/>
        <v>177800</v>
      </c>
      <c r="EZ16" s="82">
        <f t="shared" si="271"/>
        <v>177800</v>
      </c>
      <c r="FA16" s="82">
        <f t="shared" si="271"/>
        <v>177800</v>
      </c>
      <c r="FB16" s="82">
        <f t="shared" si="271"/>
        <v>177800</v>
      </c>
      <c r="FC16" s="82">
        <f t="shared" si="271"/>
        <v>177800</v>
      </c>
      <c r="FD16" s="126"/>
      <c r="FE16" s="82">
        <f>FC16+FC28</f>
        <v>18565716</v>
      </c>
      <c r="FF16" s="82">
        <f t="shared" si="157"/>
        <v>18565716</v>
      </c>
      <c r="FG16" s="82">
        <f t="shared" si="157"/>
        <v>18565716</v>
      </c>
      <c r="FH16" s="82">
        <v>1380715</v>
      </c>
      <c r="FI16" s="82">
        <f t="shared" ref="FI16:GI16" si="272">FH16</f>
        <v>1380715</v>
      </c>
      <c r="FJ16" s="82">
        <f t="shared" si="272"/>
        <v>1380715</v>
      </c>
      <c r="FK16" s="82">
        <f t="shared" si="272"/>
        <v>1380715</v>
      </c>
      <c r="FL16" s="82">
        <f t="shared" si="272"/>
        <v>1380715</v>
      </c>
      <c r="FM16" s="82">
        <f t="shared" si="272"/>
        <v>1380715</v>
      </c>
      <c r="FN16" s="82">
        <f t="shared" si="272"/>
        <v>1380715</v>
      </c>
      <c r="FO16" s="82">
        <f t="shared" si="272"/>
        <v>1380715</v>
      </c>
      <c r="FP16" s="82">
        <f t="shared" si="272"/>
        <v>1380715</v>
      </c>
      <c r="FQ16" s="82">
        <f t="shared" si="272"/>
        <v>1380715</v>
      </c>
      <c r="FR16" s="82">
        <f t="shared" si="272"/>
        <v>1380715</v>
      </c>
      <c r="FS16" s="82">
        <f t="shared" si="272"/>
        <v>1380715</v>
      </c>
      <c r="FT16" s="82">
        <f t="shared" si="272"/>
        <v>1380715</v>
      </c>
      <c r="FU16" s="82">
        <f t="shared" si="272"/>
        <v>1380715</v>
      </c>
      <c r="FV16" s="82">
        <f t="shared" si="272"/>
        <v>1380715</v>
      </c>
      <c r="FW16" s="82">
        <f t="shared" si="272"/>
        <v>1380715</v>
      </c>
      <c r="FX16" s="82">
        <f t="shared" si="272"/>
        <v>1380715</v>
      </c>
      <c r="FY16" s="82">
        <f t="shared" si="272"/>
        <v>1380715</v>
      </c>
      <c r="FZ16" s="82">
        <f t="shared" si="272"/>
        <v>1380715</v>
      </c>
      <c r="GA16" s="82">
        <f t="shared" si="272"/>
        <v>1380715</v>
      </c>
      <c r="GB16" s="82">
        <f t="shared" si="272"/>
        <v>1380715</v>
      </c>
      <c r="GC16" s="82">
        <f t="shared" si="272"/>
        <v>1380715</v>
      </c>
      <c r="GD16" s="82">
        <f t="shared" si="272"/>
        <v>1380715</v>
      </c>
      <c r="GE16" s="82">
        <f t="shared" si="272"/>
        <v>1380715</v>
      </c>
      <c r="GF16" s="82">
        <f t="shared" si="272"/>
        <v>1380715</v>
      </c>
      <c r="GG16" s="82">
        <f t="shared" si="272"/>
        <v>1380715</v>
      </c>
      <c r="GH16" s="82">
        <f t="shared" si="272"/>
        <v>1380715</v>
      </c>
      <c r="GI16" s="82">
        <f t="shared" si="272"/>
        <v>1380715</v>
      </c>
      <c r="GJ16" s="130"/>
      <c r="GK16" s="82">
        <f>GI16+13360026</f>
        <v>14740741</v>
      </c>
      <c r="GL16" s="82">
        <f t="shared" ref="GL16:GT16" si="273">GK16</f>
        <v>14740741</v>
      </c>
      <c r="GM16" s="82">
        <f t="shared" si="273"/>
        <v>14740741</v>
      </c>
      <c r="GN16" s="82">
        <f t="shared" si="273"/>
        <v>14740741</v>
      </c>
      <c r="GO16" s="82">
        <f t="shared" si="273"/>
        <v>14740741</v>
      </c>
      <c r="GP16" s="82">
        <f t="shared" si="273"/>
        <v>14740741</v>
      </c>
      <c r="GQ16" s="82">
        <f t="shared" si="273"/>
        <v>14740741</v>
      </c>
      <c r="GR16" s="82">
        <f t="shared" si="273"/>
        <v>14740741</v>
      </c>
      <c r="GS16" s="82">
        <f t="shared" si="273"/>
        <v>14740741</v>
      </c>
      <c r="GT16" s="82">
        <f t="shared" si="273"/>
        <v>14740741</v>
      </c>
      <c r="GU16" s="82">
        <v>1251429</v>
      </c>
      <c r="GV16" s="82">
        <f t="shared" ref="GV16:HL16" si="274">GU16</f>
        <v>1251429</v>
      </c>
      <c r="GW16" s="82">
        <f t="shared" si="274"/>
        <v>1251429</v>
      </c>
      <c r="GX16" s="82">
        <f t="shared" si="274"/>
        <v>1251429</v>
      </c>
      <c r="GY16" s="82">
        <f t="shared" si="274"/>
        <v>1251429</v>
      </c>
      <c r="GZ16" s="82">
        <f t="shared" si="274"/>
        <v>1251429</v>
      </c>
      <c r="HA16" s="82">
        <f t="shared" si="274"/>
        <v>1251429</v>
      </c>
      <c r="HB16" s="82">
        <f t="shared" si="274"/>
        <v>1251429</v>
      </c>
      <c r="HC16" s="82">
        <f t="shared" si="274"/>
        <v>1251429</v>
      </c>
      <c r="HD16" s="82">
        <f t="shared" si="274"/>
        <v>1251429</v>
      </c>
      <c r="HE16" s="82">
        <f t="shared" si="274"/>
        <v>1251429</v>
      </c>
      <c r="HF16" s="82">
        <f t="shared" si="274"/>
        <v>1251429</v>
      </c>
      <c r="HG16" s="82">
        <f t="shared" si="274"/>
        <v>1251429</v>
      </c>
      <c r="HH16" s="82">
        <f t="shared" si="274"/>
        <v>1251429</v>
      </c>
      <c r="HI16" s="82">
        <f t="shared" si="274"/>
        <v>1251429</v>
      </c>
      <c r="HJ16" s="82">
        <f t="shared" si="274"/>
        <v>1251429</v>
      </c>
      <c r="HK16" s="82">
        <f t="shared" si="274"/>
        <v>1251429</v>
      </c>
      <c r="HL16" s="82">
        <f t="shared" si="274"/>
        <v>1251429</v>
      </c>
      <c r="HM16" s="82">
        <f>HK16</f>
        <v>1251429</v>
      </c>
      <c r="HN16" s="130"/>
      <c r="HO16" s="113">
        <f>HM16+11916139</f>
        <v>13167568</v>
      </c>
      <c r="HP16" s="113">
        <f>HO16</f>
        <v>13167568</v>
      </c>
      <c r="HQ16" s="113">
        <f>HP16</f>
        <v>13167568</v>
      </c>
      <c r="HR16" s="113">
        <f>HQ16</f>
        <v>13167568</v>
      </c>
      <c r="HS16" s="113">
        <f>HR16</f>
        <v>13167568</v>
      </c>
      <c r="HT16" s="113">
        <f>HS16</f>
        <v>13167568</v>
      </c>
      <c r="HU16" s="113">
        <v>1170629</v>
      </c>
      <c r="HV16" s="113">
        <f t="shared" ref="HV16:IS16" si="275">HU16</f>
        <v>1170629</v>
      </c>
      <c r="HW16" s="113">
        <f t="shared" si="275"/>
        <v>1170629</v>
      </c>
      <c r="HX16" s="113">
        <f t="shared" si="275"/>
        <v>1170629</v>
      </c>
      <c r="HY16" s="113">
        <f t="shared" si="275"/>
        <v>1170629</v>
      </c>
      <c r="HZ16" s="113">
        <f t="shared" si="275"/>
        <v>1170629</v>
      </c>
      <c r="IA16" s="113">
        <f t="shared" si="275"/>
        <v>1170629</v>
      </c>
      <c r="IB16" s="113">
        <f t="shared" si="275"/>
        <v>1170629</v>
      </c>
      <c r="IC16" s="113">
        <f t="shared" si="275"/>
        <v>1170629</v>
      </c>
      <c r="ID16" s="113">
        <f t="shared" si="275"/>
        <v>1170629</v>
      </c>
      <c r="IE16" s="113">
        <f t="shared" si="275"/>
        <v>1170629</v>
      </c>
      <c r="IF16" s="113">
        <f t="shared" si="275"/>
        <v>1170629</v>
      </c>
      <c r="IG16" s="113">
        <f t="shared" si="275"/>
        <v>1170629</v>
      </c>
      <c r="IH16" s="113">
        <f t="shared" si="275"/>
        <v>1170629</v>
      </c>
      <c r="II16" s="113">
        <f t="shared" si="275"/>
        <v>1170629</v>
      </c>
      <c r="IJ16" s="113">
        <f t="shared" si="275"/>
        <v>1170629</v>
      </c>
      <c r="IK16" s="113">
        <f t="shared" si="275"/>
        <v>1170629</v>
      </c>
      <c r="IL16" s="113">
        <f t="shared" si="275"/>
        <v>1170629</v>
      </c>
      <c r="IM16" s="113">
        <f t="shared" si="275"/>
        <v>1170629</v>
      </c>
      <c r="IN16" s="113">
        <f t="shared" si="275"/>
        <v>1170629</v>
      </c>
      <c r="IO16" s="113">
        <f t="shared" si="275"/>
        <v>1170629</v>
      </c>
      <c r="IP16" s="113">
        <f t="shared" si="275"/>
        <v>1170629</v>
      </c>
      <c r="IQ16" s="113">
        <f t="shared" si="275"/>
        <v>1170629</v>
      </c>
      <c r="IR16" s="113">
        <f t="shared" si="275"/>
        <v>1170629</v>
      </c>
      <c r="IS16" s="113">
        <f t="shared" si="275"/>
        <v>1170629</v>
      </c>
      <c r="IT16" s="130"/>
      <c r="IU16" s="113">
        <f>IS16+IS28</f>
        <v>10042077</v>
      </c>
      <c r="IV16" s="82">
        <f t="shared" si="160"/>
        <v>10042077</v>
      </c>
      <c r="IW16" s="82">
        <v>766929</v>
      </c>
      <c r="IX16" s="82">
        <f t="shared" ref="IX16:JX16" si="276">IW16</f>
        <v>766929</v>
      </c>
      <c r="IY16" s="82">
        <f t="shared" si="276"/>
        <v>766929</v>
      </c>
      <c r="IZ16" s="82">
        <f t="shared" si="276"/>
        <v>766929</v>
      </c>
      <c r="JA16" s="82">
        <f t="shared" si="276"/>
        <v>766929</v>
      </c>
      <c r="JB16" s="82">
        <f t="shared" si="276"/>
        <v>766929</v>
      </c>
      <c r="JC16" s="82">
        <f t="shared" si="276"/>
        <v>766929</v>
      </c>
      <c r="JD16" s="82">
        <f t="shared" si="276"/>
        <v>766929</v>
      </c>
      <c r="JE16" s="82">
        <f t="shared" si="276"/>
        <v>766929</v>
      </c>
      <c r="JF16" s="82">
        <f t="shared" si="276"/>
        <v>766929</v>
      </c>
      <c r="JG16" s="82">
        <f t="shared" si="276"/>
        <v>766929</v>
      </c>
      <c r="JH16" s="82">
        <f t="shared" si="276"/>
        <v>766929</v>
      </c>
      <c r="JI16" s="82">
        <f t="shared" si="276"/>
        <v>766929</v>
      </c>
      <c r="JJ16" s="82">
        <f t="shared" si="276"/>
        <v>766929</v>
      </c>
      <c r="JK16" s="82">
        <f t="shared" si="276"/>
        <v>766929</v>
      </c>
      <c r="JL16" s="82">
        <f t="shared" si="276"/>
        <v>766929</v>
      </c>
      <c r="JM16" s="82">
        <f t="shared" si="276"/>
        <v>766929</v>
      </c>
      <c r="JN16" s="82">
        <f t="shared" si="276"/>
        <v>766929</v>
      </c>
      <c r="JO16" s="82">
        <f t="shared" si="276"/>
        <v>766929</v>
      </c>
      <c r="JP16" s="82">
        <f t="shared" si="276"/>
        <v>766929</v>
      </c>
      <c r="JQ16" s="82">
        <f t="shared" si="276"/>
        <v>766929</v>
      </c>
      <c r="JR16" s="82">
        <f t="shared" si="276"/>
        <v>766929</v>
      </c>
      <c r="JS16" s="82">
        <f t="shared" si="276"/>
        <v>766929</v>
      </c>
      <c r="JT16" s="82">
        <f t="shared" si="276"/>
        <v>766929</v>
      </c>
      <c r="JU16" s="82">
        <f t="shared" si="276"/>
        <v>766929</v>
      </c>
      <c r="JV16" s="82">
        <f t="shared" si="276"/>
        <v>766929</v>
      </c>
      <c r="JW16" s="82">
        <f t="shared" si="276"/>
        <v>766929</v>
      </c>
      <c r="JX16" s="82">
        <f t="shared" si="276"/>
        <v>766929</v>
      </c>
      <c r="JY16" s="133"/>
      <c r="JZ16" s="82">
        <f>JX28+766929</f>
        <v>10514694</v>
      </c>
      <c r="KA16" s="82">
        <f t="shared" si="162"/>
        <v>10514694</v>
      </c>
      <c r="KB16" s="82">
        <f t="shared" si="162"/>
        <v>10514694</v>
      </c>
      <c r="KC16" s="82">
        <f t="shared" si="162"/>
        <v>10514694</v>
      </c>
      <c r="KD16" s="82">
        <f t="shared" si="162"/>
        <v>10514694</v>
      </c>
      <c r="KE16" s="82">
        <f t="shared" si="162"/>
        <v>10514694</v>
      </c>
      <c r="KF16" s="82">
        <f t="shared" si="162"/>
        <v>10514694</v>
      </c>
      <c r="KG16" s="82">
        <v>1018600</v>
      </c>
      <c r="KH16" s="82">
        <f t="shared" ref="KH16:LD16" si="277">KG16</f>
        <v>1018600</v>
      </c>
      <c r="KI16" s="82">
        <f t="shared" si="277"/>
        <v>1018600</v>
      </c>
      <c r="KJ16" s="82">
        <f t="shared" si="277"/>
        <v>1018600</v>
      </c>
      <c r="KK16" s="82">
        <f t="shared" si="277"/>
        <v>1018600</v>
      </c>
      <c r="KL16" s="82">
        <f t="shared" si="277"/>
        <v>1018600</v>
      </c>
      <c r="KM16" s="82">
        <f t="shared" si="277"/>
        <v>1018600</v>
      </c>
      <c r="KN16" s="82">
        <f t="shared" si="277"/>
        <v>1018600</v>
      </c>
      <c r="KO16" s="82">
        <f t="shared" si="277"/>
        <v>1018600</v>
      </c>
      <c r="KP16" s="82">
        <f t="shared" si="277"/>
        <v>1018600</v>
      </c>
      <c r="KQ16" s="82">
        <f t="shared" si="277"/>
        <v>1018600</v>
      </c>
      <c r="KR16" s="82">
        <f t="shared" si="277"/>
        <v>1018600</v>
      </c>
      <c r="KS16" s="82">
        <f t="shared" si="277"/>
        <v>1018600</v>
      </c>
      <c r="KT16" s="82">
        <f t="shared" si="277"/>
        <v>1018600</v>
      </c>
      <c r="KU16" s="82">
        <f t="shared" si="277"/>
        <v>1018600</v>
      </c>
      <c r="KV16" s="82">
        <f t="shared" si="277"/>
        <v>1018600</v>
      </c>
      <c r="KW16" s="82">
        <f t="shared" si="277"/>
        <v>1018600</v>
      </c>
      <c r="KX16" s="82">
        <f t="shared" si="277"/>
        <v>1018600</v>
      </c>
      <c r="KY16" s="82">
        <f t="shared" si="277"/>
        <v>1018600</v>
      </c>
      <c r="KZ16" s="82">
        <f t="shared" si="277"/>
        <v>1018600</v>
      </c>
      <c r="LA16" s="82">
        <f t="shared" si="277"/>
        <v>1018600</v>
      </c>
      <c r="LB16" s="82">
        <f t="shared" si="277"/>
        <v>1018600</v>
      </c>
      <c r="LC16" s="82">
        <f t="shared" si="277"/>
        <v>1018600</v>
      </c>
      <c r="LD16" s="82">
        <f t="shared" si="277"/>
        <v>1018600</v>
      </c>
      <c r="LE16" s="130"/>
      <c r="LF16" s="82">
        <f>LD16+LD28</f>
        <v>18099375</v>
      </c>
      <c r="LG16" s="82">
        <f t="shared" ref="LG16:LQ16" si="278">LF16</f>
        <v>18099375</v>
      </c>
      <c r="LH16" s="82">
        <f t="shared" si="278"/>
        <v>18099375</v>
      </c>
      <c r="LI16" s="82">
        <f t="shared" si="278"/>
        <v>18099375</v>
      </c>
      <c r="LJ16" s="82">
        <f t="shared" si="278"/>
        <v>18099375</v>
      </c>
      <c r="LK16" s="82">
        <f t="shared" si="278"/>
        <v>18099375</v>
      </c>
      <c r="LL16" s="82">
        <f t="shared" si="278"/>
        <v>18099375</v>
      </c>
      <c r="LM16" s="82">
        <f t="shared" si="278"/>
        <v>18099375</v>
      </c>
      <c r="LN16" s="82">
        <f t="shared" si="278"/>
        <v>18099375</v>
      </c>
      <c r="LO16" s="82">
        <f t="shared" si="278"/>
        <v>18099375</v>
      </c>
      <c r="LP16" s="82">
        <f t="shared" si="278"/>
        <v>18099375</v>
      </c>
      <c r="LQ16" s="82">
        <f t="shared" si="278"/>
        <v>18099375</v>
      </c>
      <c r="LR16" s="82">
        <v>1210000</v>
      </c>
      <c r="LS16" s="82">
        <f t="shared" si="213"/>
        <v>1210000</v>
      </c>
      <c r="LT16" s="82">
        <f t="shared" si="213"/>
        <v>1210000</v>
      </c>
      <c r="LU16" s="82">
        <f t="shared" si="213"/>
        <v>1210000</v>
      </c>
      <c r="LV16" s="82">
        <f t="shared" si="213"/>
        <v>1210000</v>
      </c>
      <c r="LW16" s="82">
        <f t="shared" si="213"/>
        <v>1210000</v>
      </c>
      <c r="LX16" s="82">
        <f t="shared" ref="LX16:LX25" si="279">LW16</f>
        <v>1210000</v>
      </c>
      <c r="LY16" s="82">
        <f t="shared" ref="LY16:MI16" si="280">LX16</f>
        <v>1210000</v>
      </c>
      <c r="LZ16" s="82">
        <f t="shared" si="280"/>
        <v>1210000</v>
      </c>
      <c r="MA16" s="82">
        <f t="shared" si="280"/>
        <v>1210000</v>
      </c>
      <c r="MB16" s="82">
        <f t="shared" si="280"/>
        <v>1210000</v>
      </c>
      <c r="MC16" s="82">
        <f t="shared" si="280"/>
        <v>1210000</v>
      </c>
      <c r="MD16" s="82">
        <f t="shared" si="280"/>
        <v>1210000</v>
      </c>
      <c r="ME16" s="82">
        <f t="shared" si="280"/>
        <v>1210000</v>
      </c>
      <c r="MF16" s="82">
        <f t="shared" si="280"/>
        <v>1210000</v>
      </c>
      <c r="MG16" s="82">
        <f t="shared" si="280"/>
        <v>1210000</v>
      </c>
      <c r="MH16" s="82">
        <f t="shared" si="280"/>
        <v>1210000</v>
      </c>
      <c r="MI16" s="82">
        <f t="shared" si="280"/>
        <v>1210000</v>
      </c>
      <c r="MJ16" s="133"/>
      <c r="MK16" s="82">
        <f>MI16+MI28</f>
        <v>19495849</v>
      </c>
      <c r="ML16" s="82">
        <f t="shared" ref="ML16:ML21" si="281">MK16</f>
        <v>19495849</v>
      </c>
      <c r="MM16" s="82">
        <f t="shared" ref="MM16:NG16" si="282">ML16</f>
        <v>19495849</v>
      </c>
      <c r="MN16" s="82">
        <f t="shared" si="282"/>
        <v>19495849</v>
      </c>
      <c r="MO16" s="82">
        <f t="shared" si="282"/>
        <v>19495849</v>
      </c>
      <c r="MP16" s="82">
        <f t="shared" si="282"/>
        <v>19495849</v>
      </c>
      <c r="MQ16" s="82">
        <f t="shared" si="282"/>
        <v>19495849</v>
      </c>
      <c r="MR16" s="82">
        <f t="shared" si="282"/>
        <v>19495849</v>
      </c>
      <c r="MS16" s="82">
        <f t="shared" si="282"/>
        <v>19495849</v>
      </c>
      <c r="MT16" s="82">
        <f t="shared" si="282"/>
        <v>19495849</v>
      </c>
      <c r="MU16" s="82">
        <f t="shared" si="282"/>
        <v>19495849</v>
      </c>
      <c r="MV16" s="82">
        <f t="shared" si="282"/>
        <v>19495849</v>
      </c>
      <c r="MW16" s="82">
        <f t="shared" si="282"/>
        <v>19495849</v>
      </c>
      <c r="MX16" s="82">
        <f t="shared" si="282"/>
        <v>19495849</v>
      </c>
      <c r="MY16" s="82">
        <f t="shared" si="282"/>
        <v>19495849</v>
      </c>
      <c r="MZ16" s="82">
        <f t="shared" si="282"/>
        <v>19495849</v>
      </c>
      <c r="NA16" s="82">
        <f t="shared" si="282"/>
        <v>19495849</v>
      </c>
      <c r="NB16" s="82">
        <f t="shared" si="282"/>
        <v>19495849</v>
      </c>
      <c r="NC16" s="82">
        <f t="shared" si="282"/>
        <v>19495849</v>
      </c>
      <c r="ND16" s="82">
        <f t="shared" si="282"/>
        <v>19495849</v>
      </c>
      <c r="NE16" s="82">
        <f t="shared" si="282"/>
        <v>19495849</v>
      </c>
      <c r="NF16" s="82">
        <f t="shared" si="282"/>
        <v>19495849</v>
      </c>
      <c r="NG16" s="82">
        <f t="shared" si="282"/>
        <v>19495849</v>
      </c>
      <c r="NH16" s="82">
        <v>423215</v>
      </c>
      <c r="NI16" s="82">
        <f t="shared" ref="NI16:NO17" si="283">NH16</f>
        <v>423215</v>
      </c>
      <c r="NJ16" s="82">
        <f t="shared" si="283"/>
        <v>423215</v>
      </c>
      <c r="NK16" s="82">
        <f t="shared" si="283"/>
        <v>423215</v>
      </c>
      <c r="NL16" s="82">
        <f t="shared" si="283"/>
        <v>423215</v>
      </c>
      <c r="NM16" s="82">
        <f t="shared" si="283"/>
        <v>423215</v>
      </c>
      <c r="NN16" s="82">
        <f t="shared" si="283"/>
        <v>423215</v>
      </c>
      <c r="NO16" s="82">
        <f t="shared" si="283"/>
        <v>423215</v>
      </c>
      <c r="NP16" s="133"/>
      <c r="NQ16" s="82">
        <f>NO16+NO28</f>
        <v>17644153</v>
      </c>
      <c r="NR16" s="82">
        <f t="shared" si="169"/>
        <v>17644153</v>
      </c>
      <c r="NS16" s="82">
        <f t="shared" si="169"/>
        <v>17644153</v>
      </c>
      <c r="NT16" s="82">
        <f t="shared" si="169"/>
        <v>17644153</v>
      </c>
      <c r="NU16" s="82">
        <f t="shared" si="169"/>
        <v>17644153</v>
      </c>
      <c r="NV16" s="82">
        <v>0</v>
      </c>
      <c r="NW16" s="82">
        <v>0</v>
      </c>
      <c r="NX16" s="82">
        <v>0</v>
      </c>
      <c r="NY16" s="82">
        <v>0</v>
      </c>
      <c r="NZ16" s="82">
        <v>0</v>
      </c>
      <c r="OA16" s="82">
        <v>0</v>
      </c>
      <c r="OB16" s="82">
        <v>0</v>
      </c>
      <c r="OC16" s="82">
        <v>0</v>
      </c>
      <c r="OD16" s="82">
        <v>0</v>
      </c>
      <c r="OE16" s="82">
        <v>0</v>
      </c>
      <c r="OF16" s="82">
        <v>0</v>
      </c>
      <c r="OG16" s="82">
        <v>0</v>
      </c>
      <c r="OH16" s="82">
        <v>0</v>
      </c>
      <c r="OI16" s="82">
        <v>0</v>
      </c>
      <c r="OJ16" s="82">
        <v>0</v>
      </c>
      <c r="OK16" s="82">
        <v>0</v>
      </c>
      <c r="OL16" s="82">
        <v>0</v>
      </c>
      <c r="OM16" s="82">
        <v>0</v>
      </c>
      <c r="ON16" s="82">
        <v>0</v>
      </c>
      <c r="OO16" s="82">
        <v>0</v>
      </c>
      <c r="OP16" s="82">
        <v>0</v>
      </c>
      <c r="OQ16" s="82">
        <v>0</v>
      </c>
      <c r="OR16" s="82">
        <v>0</v>
      </c>
      <c r="OS16" s="82">
        <v>0</v>
      </c>
      <c r="OT16" s="82">
        <v>0</v>
      </c>
      <c r="OU16" s="82">
        <v>0</v>
      </c>
      <c r="OV16" s="130"/>
      <c r="OW16" s="82">
        <f>OU28</f>
        <v>15737128</v>
      </c>
      <c r="OX16" s="82">
        <f t="shared" ref="OX16:PG16" si="284">OW16</f>
        <v>15737128</v>
      </c>
      <c r="OY16" s="82">
        <f t="shared" si="284"/>
        <v>15737128</v>
      </c>
      <c r="OZ16" s="82">
        <f t="shared" si="284"/>
        <v>15737128</v>
      </c>
      <c r="PA16" s="82">
        <f t="shared" si="284"/>
        <v>15737128</v>
      </c>
      <c r="PB16" s="82">
        <f t="shared" si="284"/>
        <v>15737128</v>
      </c>
      <c r="PC16" s="82">
        <f t="shared" si="284"/>
        <v>15737128</v>
      </c>
      <c r="PD16" s="82">
        <f t="shared" si="284"/>
        <v>15737128</v>
      </c>
      <c r="PE16" s="82">
        <f t="shared" si="284"/>
        <v>15737128</v>
      </c>
      <c r="PF16" s="82">
        <f t="shared" si="284"/>
        <v>15737128</v>
      </c>
      <c r="PG16" s="82">
        <f t="shared" si="284"/>
        <v>15737128</v>
      </c>
      <c r="PH16" s="82">
        <v>285221</v>
      </c>
      <c r="PI16" s="82">
        <f t="shared" ref="PI16:PS16" si="285">PH16</f>
        <v>285221</v>
      </c>
      <c r="PJ16" s="82">
        <f t="shared" si="285"/>
        <v>285221</v>
      </c>
      <c r="PK16" s="82">
        <f t="shared" si="285"/>
        <v>285221</v>
      </c>
      <c r="PL16" s="82">
        <f t="shared" si="285"/>
        <v>285221</v>
      </c>
      <c r="PM16" s="82">
        <f t="shared" si="285"/>
        <v>285221</v>
      </c>
      <c r="PN16" s="82">
        <f t="shared" si="285"/>
        <v>285221</v>
      </c>
      <c r="PO16" s="82">
        <f t="shared" si="285"/>
        <v>285221</v>
      </c>
      <c r="PP16" s="82">
        <f t="shared" si="285"/>
        <v>285221</v>
      </c>
      <c r="PQ16" s="82">
        <f t="shared" si="285"/>
        <v>285221</v>
      </c>
      <c r="PR16" s="82">
        <f t="shared" si="285"/>
        <v>285221</v>
      </c>
      <c r="PS16" s="82">
        <f t="shared" si="285"/>
        <v>285221</v>
      </c>
      <c r="PT16" s="82">
        <f>PS16</f>
        <v>285221</v>
      </c>
      <c r="PU16" s="82">
        <f t="shared" ref="PU16:PZ17" si="286">PT16</f>
        <v>285221</v>
      </c>
      <c r="PV16" s="82">
        <f t="shared" si="286"/>
        <v>285221</v>
      </c>
      <c r="PW16" s="82">
        <f t="shared" si="286"/>
        <v>285221</v>
      </c>
      <c r="PX16" s="82">
        <f t="shared" si="286"/>
        <v>285221</v>
      </c>
      <c r="PY16" s="82">
        <f t="shared" si="286"/>
        <v>285221</v>
      </c>
      <c r="PZ16" s="82">
        <f t="shared" si="286"/>
        <v>285221</v>
      </c>
      <c r="QA16" s="130"/>
      <c r="QB16" s="82">
        <f>PZ16+PZ28</f>
        <v>12944211</v>
      </c>
      <c r="QC16" s="82">
        <f t="shared" si="173"/>
        <v>12944211</v>
      </c>
      <c r="QD16" s="82">
        <f t="shared" si="173"/>
        <v>12944211</v>
      </c>
      <c r="QE16" s="82">
        <f t="shared" si="173"/>
        <v>12944211</v>
      </c>
      <c r="QF16" s="82">
        <f t="shared" si="173"/>
        <v>12944211</v>
      </c>
      <c r="QG16" s="82">
        <f t="shared" si="173"/>
        <v>12944211</v>
      </c>
      <c r="QH16" s="82">
        <v>52944</v>
      </c>
      <c r="QI16" s="82">
        <f t="shared" ref="QI16:RD16" si="287">QH16</f>
        <v>52944</v>
      </c>
      <c r="QJ16" s="82">
        <f t="shared" si="287"/>
        <v>52944</v>
      </c>
      <c r="QK16" s="82">
        <f t="shared" si="287"/>
        <v>52944</v>
      </c>
      <c r="QL16" s="82">
        <f t="shared" si="287"/>
        <v>52944</v>
      </c>
      <c r="QM16" s="82">
        <f t="shared" si="287"/>
        <v>52944</v>
      </c>
      <c r="QN16" s="82">
        <f t="shared" si="287"/>
        <v>52944</v>
      </c>
      <c r="QO16" s="82">
        <f t="shared" si="287"/>
        <v>52944</v>
      </c>
      <c r="QP16" s="82">
        <f t="shared" si="287"/>
        <v>52944</v>
      </c>
      <c r="QQ16" s="82">
        <f t="shared" si="287"/>
        <v>52944</v>
      </c>
      <c r="QR16" s="82">
        <f t="shared" si="287"/>
        <v>52944</v>
      </c>
      <c r="QS16" s="82">
        <f t="shared" si="287"/>
        <v>52944</v>
      </c>
      <c r="QT16" s="82">
        <f t="shared" si="287"/>
        <v>52944</v>
      </c>
      <c r="QU16" s="82">
        <f t="shared" si="287"/>
        <v>52944</v>
      </c>
      <c r="QV16" s="82">
        <f t="shared" si="287"/>
        <v>52944</v>
      </c>
      <c r="QW16" s="82">
        <f t="shared" si="287"/>
        <v>52944</v>
      </c>
      <c r="QX16" s="82">
        <f t="shared" si="287"/>
        <v>52944</v>
      </c>
      <c r="QY16" s="82">
        <f t="shared" si="287"/>
        <v>52944</v>
      </c>
      <c r="QZ16" s="82">
        <f t="shared" si="287"/>
        <v>52944</v>
      </c>
      <c r="RA16" s="82">
        <f t="shared" si="287"/>
        <v>52944</v>
      </c>
      <c r="RB16" s="82">
        <f t="shared" si="287"/>
        <v>52944</v>
      </c>
      <c r="RC16" s="82">
        <f t="shared" si="287"/>
        <v>52944</v>
      </c>
      <c r="RD16" s="82">
        <f t="shared" si="287"/>
        <v>52944</v>
      </c>
      <c r="RE16" s="82">
        <f>RD16</f>
        <v>52944</v>
      </c>
      <c r="RF16" s="82">
        <f>RE16</f>
        <v>52944</v>
      </c>
      <c r="RG16" s="130"/>
      <c r="RH16" s="82">
        <f>RF16+RF28</f>
        <v>12713453</v>
      </c>
      <c r="RI16" s="82">
        <f t="shared" ref="RI16:RQ16" si="288">RH16</f>
        <v>12713453</v>
      </c>
      <c r="RJ16" s="82">
        <f t="shared" si="288"/>
        <v>12713453</v>
      </c>
      <c r="RK16" s="82">
        <f t="shared" si="288"/>
        <v>12713453</v>
      </c>
      <c r="RL16" s="82">
        <f t="shared" si="288"/>
        <v>12713453</v>
      </c>
      <c r="RM16" s="82">
        <f t="shared" si="288"/>
        <v>12713453</v>
      </c>
      <c r="RN16" s="82">
        <f t="shared" si="288"/>
        <v>12713453</v>
      </c>
      <c r="RO16" s="82">
        <f t="shared" si="288"/>
        <v>12713453</v>
      </c>
      <c r="RP16" s="82">
        <f t="shared" si="288"/>
        <v>12713453</v>
      </c>
      <c r="RQ16" s="82">
        <f t="shared" si="288"/>
        <v>12713453</v>
      </c>
      <c r="RR16" s="82">
        <v>0</v>
      </c>
      <c r="RS16" s="82">
        <f t="shared" ref="RS16:SK16" si="289">RR16</f>
        <v>0</v>
      </c>
      <c r="RT16" s="82">
        <f t="shared" si="289"/>
        <v>0</v>
      </c>
      <c r="RU16" s="82">
        <f t="shared" si="289"/>
        <v>0</v>
      </c>
      <c r="RV16" s="82">
        <f t="shared" si="289"/>
        <v>0</v>
      </c>
      <c r="RW16" s="82">
        <f t="shared" si="289"/>
        <v>0</v>
      </c>
      <c r="RX16" s="82">
        <f t="shared" si="289"/>
        <v>0</v>
      </c>
      <c r="RY16" s="82">
        <f t="shared" si="289"/>
        <v>0</v>
      </c>
      <c r="RZ16" s="82">
        <f t="shared" si="289"/>
        <v>0</v>
      </c>
      <c r="SA16" s="82">
        <f t="shared" si="289"/>
        <v>0</v>
      </c>
      <c r="SB16" s="82">
        <f t="shared" si="289"/>
        <v>0</v>
      </c>
      <c r="SC16" s="82">
        <f t="shared" si="289"/>
        <v>0</v>
      </c>
      <c r="SD16" s="82">
        <f t="shared" si="289"/>
        <v>0</v>
      </c>
      <c r="SE16" s="82">
        <f t="shared" si="289"/>
        <v>0</v>
      </c>
      <c r="SF16" s="82">
        <f t="shared" si="289"/>
        <v>0</v>
      </c>
      <c r="SG16" s="82">
        <f t="shared" si="289"/>
        <v>0</v>
      </c>
      <c r="SH16" s="82">
        <f t="shared" si="289"/>
        <v>0</v>
      </c>
      <c r="SI16" s="82">
        <f t="shared" si="289"/>
        <v>0</v>
      </c>
      <c r="SJ16" s="82">
        <f t="shared" si="289"/>
        <v>0</v>
      </c>
      <c r="SK16" s="82">
        <f t="shared" si="289"/>
        <v>0</v>
      </c>
      <c r="SL16" s="130"/>
      <c r="SM16" s="82">
        <f>SK28</f>
        <v>12026007</v>
      </c>
      <c r="SN16" s="82">
        <f t="shared" si="177"/>
        <v>12026007</v>
      </c>
      <c r="SO16" s="82">
        <f t="shared" si="177"/>
        <v>12026007</v>
      </c>
      <c r="SP16" s="82">
        <f t="shared" si="177"/>
        <v>12026007</v>
      </c>
      <c r="SQ16" s="82">
        <f t="shared" si="177"/>
        <v>12026007</v>
      </c>
      <c r="SR16" s="82">
        <v>0</v>
      </c>
      <c r="SS16" s="82">
        <f t="shared" ref="SS16:TQ16" si="290">SR16</f>
        <v>0</v>
      </c>
      <c r="ST16" s="82">
        <f t="shared" si="290"/>
        <v>0</v>
      </c>
      <c r="SU16" s="82">
        <f t="shared" si="290"/>
        <v>0</v>
      </c>
      <c r="SV16" s="82">
        <f t="shared" si="290"/>
        <v>0</v>
      </c>
      <c r="SW16" s="82">
        <f t="shared" si="290"/>
        <v>0</v>
      </c>
      <c r="SX16" s="82">
        <f t="shared" si="290"/>
        <v>0</v>
      </c>
      <c r="SY16" s="82">
        <f t="shared" si="290"/>
        <v>0</v>
      </c>
      <c r="SZ16" s="82">
        <f t="shared" si="290"/>
        <v>0</v>
      </c>
      <c r="TA16" s="82">
        <f t="shared" si="290"/>
        <v>0</v>
      </c>
      <c r="TB16" s="82">
        <f t="shared" si="290"/>
        <v>0</v>
      </c>
      <c r="TC16" s="82">
        <f t="shared" si="290"/>
        <v>0</v>
      </c>
      <c r="TD16" s="82">
        <f t="shared" si="290"/>
        <v>0</v>
      </c>
      <c r="TE16" s="82">
        <f t="shared" si="290"/>
        <v>0</v>
      </c>
      <c r="TF16" s="82">
        <f t="shared" si="290"/>
        <v>0</v>
      </c>
      <c r="TG16" s="82">
        <f t="shared" si="290"/>
        <v>0</v>
      </c>
      <c r="TH16" s="82">
        <f t="shared" si="290"/>
        <v>0</v>
      </c>
      <c r="TI16" s="82">
        <f t="shared" si="290"/>
        <v>0</v>
      </c>
      <c r="TJ16" s="82">
        <f t="shared" si="290"/>
        <v>0</v>
      </c>
      <c r="TK16" s="82">
        <f t="shared" si="290"/>
        <v>0</v>
      </c>
      <c r="TL16" s="82">
        <f t="shared" si="290"/>
        <v>0</v>
      </c>
      <c r="TM16" s="82">
        <f t="shared" si="290"/>
        <v>0</v>
      </c>
      <c r="TN16" s="82">
        <f t="shared" si="290"/>
        <v>0</v>
      </c>
      <c r="TO16" s="82">
        <f t="shared" si="290"/>
        <v>0</v>
      </c>
      <c r="TP16" s="82">
        <f t="shared" si="290"/>
        <v>0</v>
      </c>
      <c r="TQ16" s="82">
        <f t="shared" si="290"/>
        <v>0</v>
      </c>
      <c r="TR16" s="130"/>
      <c r="TS16" s="82">
        <f>TQ28</f>
        <v>12084713</v>
      </c>
      <c r="TT16" s="82">
        <f t="shared" si="179"/>
        <v>12084713</v>
      </c>
      <c r="TU16" s="82">
        <f t="shared" si="179"/>
        <v>12084713</v>
      </c>
      <c r="TV16" s="82">
        <f t="shared" si="179"/>
        <v>12084713</v>
      </c>
      <c r="TW16" s="82">
        <f t="shared" si="179"/>
        <v>12084713</v>
      </c>
      <c r="TX16" s="82">
        <f t="shared" si="179"/>
        <v>12084713</v>
      </c>
      <c r="TY16" s="82">
        <v>864285</v>
      </c>
      <c r="TZ16" s="82">
        <f t="shared" ref="TZ16:UW16" si="291">TY16</f>
        <v>864285</v>
      </c>
      <c r="UA16" s="82">
        <f t="shared" si="291"/>
        <v>864285</v>
      </c>
      <c r="UB16" s="82">
        <f t="shared" si="291"/>
        <v>864285</v>
      </c>
      <c r="UC16" s="82">
        <f t="shared" si="291"/>
        <v>864285</v>
      </c>
      <c r="UD16" s="82">
        <f t="shared" si="291"/>
        <v>864285</v>
      </c>
      <c r="UE16" s="82">
        <f t="shared" si="291"/>
        <v>864285</v>
      </c>
      <c r="UF16" s="82">
        <f t="shared" si="291"/>
        <v>864285</v>
      </c>
      <c r="UG16" s="82">
        <f t="shared" si="291"/>
        <v>864285</v>
      </c>
      <c r="UH16" s="82">
        <f t="shared" si="291"/>
        <v>864285</v>
      </c>
      <c r="UI16" s="82">
        <f t="shared" si="291"/>
        <v>864285</v>
      </c>
      <c r="UJ16" s="82">
        <f t="shared" si="291"/>
        <v>864285</v>
      </c>
      <c r="UK16" s="82">
        <f t="shared" si="291"/>
        <v>864285</v>
      </c>
      <c r="UL16" s="82">
        <f t="shared" si="291"/>
        <v>864285</v>
      </c>
      <c r="UM16" s="82">
        <f t="shared" si="291"/>
        <v>864285</v>
      </c>
      <c r="UN16" s="82">
        <f t="shared" si="291"/>
        <v>864285</v>
      </c>
      <c r="UO16" s="82">
        <f t="shared" si="291"/>
        <v>864285</v>
      </c>
      <c r="UP16" s="82">
        <f t="shared" si="291"/>
        <v>864285</v>
      </c>
      <c r="UQ16" s="82">
        <f t="shared" si="291"/>
        <v>864285</v>
      </c>
      <c r="UR16" s="82">
        <f t="shared" si="291"/>
        <v>864285</v>
      </c>
      <c r="US16" s="82">
        <f t="shared" si="291"/>
        <v>864285</v>
      </c>
      <c r="UT16" s="82">
        <f t="shared" si="291"/>
        <v>864285</v>
      </c>
      <c r="UU16" s="82">
        <f t="shared" si="291"/>
        <v>864285</v>
      </c>
      <c r="UV16" s="82">
        <f t="shared" si="291"/>
        <v>864285</v>
      </c>
      <c r="UW16" s="82">
        <f t="shared" si="291"/>
        <v>864285</v>
      </c>
      <c r="UX16" s="130"/>
      <c r="UY16" s="82">
        <f>UW16+UW28</f>
        <v>14363332</v>
      </c>
      <c r="UZ16" s="82">
        <f t="shared" si="181"/>
        <v>14363332</v>
      </c>
      <c r="VA16" s="82">
        <f t="shared" si="181"/>
        <v>14363332</v>
      </c>
      <c r="VB16" s="82">
        <f t="shared" si="181"/>
        <v>14363332</v>
      </c>
      <c r="VC16" s="82">
        <f t="shared" si="181"/>
        <v>14363332</v>
      </c>
      <c r="VD16" s="82">
        <f t="shared" si="181"/>
        <v>14363332</v>
      </c>
      <c r="VE16" s="82">
        <v>528945</v>
      </c>
      <c r="VF16" s="82">
        <v>528945</v>
      </c>
      <c r="VG16" s="82">
        <f t="shared" ref="VG16:VZ16" si="292">VF16</f>
        <v>528945</v>
      </c>
      <c r="VH16" s="82">
        <f t="shared" si="292"/>
        <v>528945</v>
      </c>
      <c r="VI16" s="82">
        <f t="shared" si="292"/>
        <v>528945</v>
      </c>
      <c r="VJ16" s="82">
        <f t="shared" si="292"/>
        <v>528945</v>
      </c>
      <c r="VK16" s="82">
        <f t="shared" si="292"/>
        <v>528945</v>
      </c>
      <c r="VL16" s="82">
        <f t="shared" si="292"/>
        <v>528945</v>
      </c>
      <c r="VM16" s="82">
        <f t="shared" si="292"/>
        <v>528945</v>
      </c>
      <c r="VN16" s="82">
        <f t="shared" si="292"/>
        <v>528945</v>
      </c>
      <c r="VO16" s="82">
        <f t="shared" si="292"/>
        <v>528945</v>
      </c>
      <c r="VP16" s="82">
        <f t="shared" si="292"/>
        <v>528945</v>
      </c>
      <c r="VQ16" s="82">
        <f t="shared" si="292"/>
        <v>528945</v>
      </c>
      <c r="VR16" s="82">
        <f t="shared" si="292"/>
        <v>528945</v>
      </c>
      <c r="VS16" s="82">
        <f t="shared" si="292"/>
        <v>528945</v>
      </c>
      <c r="VT16" s="82">
        <f t="shared" si="292"/>
        <v>528945</v>
      </c>
      <c r="VU16" s="82">
        <f t="shared" si="292"/>
        <v>528945</v>
      </c>
      <c r="VV16" s="82">
        <f t="shared" si="292"/>
        <v>528945</v>
      </c>
      <c r="VW16" s="82">
        <f t="shared" si="292"/>
        <v>528945</v>
      </c>
      <c r="VX16" s="82">
        <f t="shared" si="292"/>
        <v>528945</v>
      </c>
      <c r="VY16" s="82">
        <f t="shared" si="292"/>
        <v>528945</v>
      </c>
      <c r="VZ16" s="82">
        <f t="shared" si="292"/>
        <v>528945</v>
      </c>
      <c r="WA16" s="133"/>
      <c r="WB16" s="82">
        <f>VZ16+VZ28</f>
        <v>9530312</v>
      </c>
      <c r="WC16" s="82">
        <f t="shared" si="182"/>
        <v>9530312</v>
      </c>
      <c r="WD16" s="82">
        <f t="shared" si="182"/>
        <v>9530312</v>
      </c>
      <c r="WE16" s="82">
        <f t="shared" si="182"/>
        <v>9530312</v>
      </c>
      <c r="WF16" s="82">
        <f t="shared" si="182"/>
        <v>9530312</v>
      </c>
      <c r="WG16" s="82">
        <f t="shared" si="182"/>
        <v>9530312</v>
      </c>
      <c r="WH16" s="82">
        <f t="shared" si="182"/>
        <v>9530312</v>
      </c>
      <c r="WI16" s="82">
        <f t="shared" si="182"/>
        <v>9530312</v>
      </c>
      <c r="WJ16" s="82">
        <v>502445</v>
      </c>
      <c r="WK16" s="82">
        <f t="shared" ref="WK16:XF16" si="293">WJ16</f>
        <v>502445</v>
      </c>
      <c r="WL16" s="82">
        <f t="shared" si="293"/>
        <v>502445</v>
      </c>
      <c r="WM16" s="82">
        <f t="shared" si="293"/>
        <v>502445</v>
      </c>
      <c r="WN16" s="82">
        <f t="shared" si="293"/>
        <v>502445</v>
      </c>
      <c r="WO16" s="82">
        <f t="shared" si="293"/>
        <v>502445</v>
      </c>
      <c r="WP16" s="82">
        <f t="shared" si="293"/>
        <v>502445</v>
      </c>
      <c r="WQ16" s="82">
        <f t="shared" si="293"/>
        <v>502445</v>
      </c>
      <c r="WR16" s="82">
        <f t="shared" si="293"/>
        <v>502445</v>
      </c>
      <c r="WS16" s="82">
        <f t="shared" si="293"/>
        <v>502445</v>
      </c>
      <c r="WT16" s="82">
        <f t="shared" si="293"/>
        <v>502445</v>
      </c>
      <c r="WU16" s="82">
        <f t="shared" si="293"/>
        <v>502445</v>
      </c>
      <c r="WV16" s="82">
        <f t="shared" si="293"/>
        <v>502445</v>
      </c>
      <c r="WW16" s="82">
        <f t="shared" si="293"/>
        <v>502445</v>
      </c>
      <c r="WX16" s="82">
        <f t="shared" si="293"/>
        <v>502445</v>
      </c>
      <c r="WY16" s="82">
        <f t="shared" si="293"/>
        <v>502445</v>
      </c>
      <c r="WZ16" s="82">
        <f t="shared" si="293"/>
        <v>502445</v>
      </c>
      <c r="XA16" s="82">
        <f t="shared" si="293"/>
        <v>502445</v>
      </c>
      <c r="XB16" s="82">
        <f t="shared" si="293"/>
        <v>502445</v>
      </c>
      <c r="XC16" s="82">
        <f t="shared" si="293"/>
        <v>502445</v>
      </c>
      <c r="XD16" s="82">
        <f t="shared" si="293"/>
        <v>502445</v>
      </c>
      <c r="XE16" s="82">
        <f t="shared" si="293"/>
        <v>502445</v>
      </c>
      <c r="XF16" s="82">
        <f t="shared" si="293"/>
        <v>502445</v>
      </c>
      <c r="XG16" s="133"/>
      <c r="XH16" s="82">
        <f>XF16+XF28</f>
        <v>13517991</v>
      </c>
      <c r="XI16" s="82">
        <f t="shared" si="183"/>
        <v>13517991</v>
      </c>
      <c r="XJ16" s="82">
        <f t="shared" si="183"/>
        <v>13517991</v>
      </c>
      <c r="XK16" s="82">
        <f t="shared" si="183"/>
        <v>13517991</v>
      </c>
      <c r="XL16" s="82">
        <f t="shared" si="183"/>
        <v>13517991</v>
      </c>
      <c r="XM16" s="82">
        <f t="shared" si="183"/>
        <v>13517991</v>
      </c>
      <c r="XN16" s="82">
        <f t="shared" si="183"/>
        <v>13517991</v>
      </c>
      <c r="XO16" s="82">
        <f t="shared" si="183"/>
        <v>13517991</v>
      </c>
      <c r="XP16" s="82">
        <v>238445</v>
      </c>
      <c r="XQ16" s="82">
        <f t="shared" ref="XQ16:YK16" si="294">XP16</f>
        <v>238445</v>
      </c>
      <c r="XR16" s="82">
        <f t="shared" si="294"/>
        <v>238445</v>
      </c>
      <c r="XS16" s="82">
        <f t="shared" si="294"/>
        <v>238445</v>
      </c>
      <c r="XT16" s="82">
        <f t="shared" si="294"/>
        <v>238445</v>
      </c>
      <c r="XU16" s="82">
        <f t="shared" si="294"/>
        <v>238445</v>
      </c>
      <c r="XV16" s="82">
        <f t="shared" si="294"/>
        <v>238445</v>
      </c>
      <c r="XW16" s="82">
        <f t="shared" si="294"/>
        <v>238445</v>
      </c>
      <c r="XX16" s="82">
        <f t="shared" si="294"/>
        <v>238445</v>
      </c>
      <c r="XY16" s="82">
        <f t="shared" si="294"/>
        <v>238445</v>
      </c>
      <c r="XZ16" s="82">
        <f t="shared" si="294"/>
        <v>238445</v>
      </c>
      <c r="YA16" s="82">
        <f t="shared" si="294"/>
        <v>238445</v>
      </c>
      <c r="YB16" s="82">
        <f t="shared" si="294"/>
        <v>238445</v>
      </c>
      <c r="YC16" s="82">
        <f t="shared" si="294"/>
        <v>238445</v>
      </c>
      <c r="YD16" s="82">
        <f t="shared" si="294"/>
        <v>238445</v>
      </c>
      <c r="YE16" s="82">
        <f t="shared" si="294"/>
        <v>238445</v>
      </c>
      <c r="YF16" s="82">
        <f t="shared" si="294"/>
        <v>238445</v>
      </c>
      <c r="YG16" s="82">
        <f t="shared" si="294"/>
        <v>238445</v>
      </c>
      <c r="YH16" s="82">
        <f t="shared" si="294"/>
        <v>238445</v>
      </c>
      <c r="YI16" s="82">
        <f t="shared" si="294"/>
        <v>238445</v>
      </c>
      <c r="YJ16" s="82">
        <f t="shared" si="294"/>
        <v>238445</v>
      </c>
      <c r="YK16" s="82">
        <f t="shared" si="294"/>
        <v>238445</v>
      </c>
      <c r="YL16" s="130"/>
      <c r="YM16" s="82">
        <f>YK16+YK28</f>
        <v>11171769</v>
      </c>
      <c r="YN16" s="82">
        <f t="shared" ref="YN16:YV16" si="295">YM16</f>
        <v>11171769</v>
      </c>
      <c r="YO16" s="82">
        <f t="shared" si="295"/>
        <v>11171769</v>
      </c>
      <c r="YP16" s="82">
        <f t="shared" si="295"/>
        <v>11171769</v>
      </c>
      <c r="YQ16" s="82">
        <f t="shared" si="295"/>
        <v>11171769</v>
      </c>
      <c r="YR16" s="82">
        <f t="shared" si="295"/>
        <v>11171769</v>
      </c>
      <c r="YS16" s="82">
        <f t="shared" si="295"/>
        <v>11171769</v>
      </c>
      <c r="YT16" s="82">
        <f t="shared" si="295"/>
        <v>11171769</v>
      </c>
      <c r="YU16" s="82">
        <f t="shared" si="295"/>
        <v>11171769</v>
      </c>
      <c r="YV16" s="82">
        <f t="shared" si="295"/>
        <v>11171769</v>
      </c>
      <c r="YW16" s="82">
        <v>688445</v>
      </c>
      <c r="YX16" s="82">
        <f t="shared" ref="YX16:ZQ16" si="296">YW16</f>
        <v>688445</v>
      </c>
      <c r="YY16" s="82">
        <f t="shared" si="296"/>
        <v>688445</v>
      </c>
      <c r="YZ16" s="82">
        <f t="shared" si="296"/>
        <v>688445</v>
      </c>
      <c r="ZA16" s="82">
        <f t="shared" si="296"/>
        <v>688445</v>
      </c>
      <c r="ZB16" s="82">
        <f t="shared" si="296"/>
        <v>688445</v>
      </c>
      <c r="ZC16" s="82">
        <f t="shared" si="296"/>
        <v>688445</v>
      </c>
      <c r="ZD16" s="82">
        <f t="shared" si="296"/>
        <v>688445</v>
      </c>
      <c r="ZE16" s="82">
        <f t="shared" si="296"/>
        <v>688445</v>
      </c>
      <c r="ZF16" s="82">
        <f t="shared" si="296"/>
        <v>688445</v>
      </c>
      <c r="ZG16" s="82">
        <f t="shared" si="296"/>
        <v>688445</v>
      </c>
      <c r="ZH16" s="82">
        <f t="shared" si="296"/>
        <v>688445</v>
      </c>
      <c r="ZI16" s="82">
        <f t="shared" si="296"/>
        <v>688445</v>
      </c>
      <c r="ZJ16" s="82">
        <f t="shared" si="296"/>
        <v>688445</v>
      </c>
      <c r="ZK16" s="82">
        <f t="shared" si="296"/>
        <v>688445</v>
      </c>
      <c r="ZL16" s="82">
        <f t="shared" si="296"/>
        <v>688445</v>
      </c>
      <c r="ZM16" s="82">
        <f t="shared" si="296"/>
        <v>688445</v>
      </c>
      <c r="ZN16" s="82">
        <f t="shared" si="296"/>
        <v>688445</v>
      </c>
      <c r="ZO16" s="82">
        <f t="shared" si="296"/>
        <v>688445</v>
      </c>
      <c r="ZP16" s="82">
        <f t="shared" si="296"/>
        <v>688445</v>
      </c>
      <c r="ZQ16" s="82">
        <f t="shared" si="296"/>
        <v>688445</v>
      </c>
      <c r="ZR16" s="130"/>
      <c r="ZS16" s="82">
        <f>ZQ16+ZQ28</f>
        <v>9969291</v>
      </c>
      <c r="ZT16" s="82">
        <f t="shared" si="187"/>
        <v>9969291</v>
      </c>
      <c r="ZU16" s="82">
        <v>351445</v>
      </c>
      <c r="ZV16" s="82">
        <f t="shared" ref="ZV16:AAV16" si="297">ZU16</f>
        <v>351445</v>
      </c>
      <c r="ZW16" s="82">
        <f t="shared" si="297"/>
        <v>351445</v>
      </c>
      <c r="ZX16" s="82">
        <f t="shared" si="297"/>
        <v>351445</v>
      </c>
      <c r="ZY16" s="82">
        <f t="shared" si="297"/>
        <v>351445</v>
      </c>
      <c r="ZZ16" s="82">
        <f t="shared" si="297"/>
        <v>351445</v>
      </c>
      <c r="AAA16" s="82">
        <f t="shared" si="297"/>
        <v>351445</v>
      </c>
      <c r="AAB16" s="82">
        <f t="shared" si="297"/>
        <v>351445</v>
      </c>
      <c r="AAC16" s="82">
        <f t="shared" si="297"/>
        <v>351445</v>
      </c>
      <c r="AAD16" s="82">
        <f t="shared" si="297"/>
        <v>351445</v>
      </c>
      <c r="AAE16" s="82">
        <f t="shared" si="297"/>
        <v>351445</v>
      </c>
      <c r="AAF16" s="82">
        <f t="shared" si="297"/>
        <v>351445</v>
      </c>
      <c r="AAG16" s="82">
        <f t="shared" si="297"/>
        <v>351445</v>
      </c>
      <c r="AAH16" s="82">
        <f t="shared" si="297"/>
        <v>351445</v>
      </c>
      <c r="AAI16" s="82">
        <f t="shared" si="297"/>
        <v>351445</v>
      </c>
      <c r="AAJ16" s="82">
        <f t="shared" si="297"/>
        <v>351445</v>
      </c>
      <c r="AAK16" s="82">
        <f t="shared" si="297"/>
        <v>351445</v>
      </c>
      <c r="AAL16" s="82">
        <f t="shared" si="297"/>
        <v>351445</v>
      </c>
      <c r="AAM16" s="82">
        <f t="shared" si="297"/>
        <v>351445</v>
      </c>
      <c r="AAN16" s="82">
        <f t="shared" si="297"/>
        <v>351445</v>
      </c>
      <c r="AAO16" s="82">
        <f t="shared" si="297"/>
        <v>351445</v>
      </c>
      <c r="AAP16" s="82">
        <f t="shared" si="297"/>
        <v>351445</v>
      </c>
      <c r="AAQ16" s="82">
        <f t="shared" si="297"/>
        <v>351445</v>
      </c>
      <c r="AAR16" s="82">
        <f t="shared" si="297"/>
        <v>351445</v>
      </c>
      <c r="AAS16" s="82">
        <f t="shared" si="297"/>
        <v>351445</v>
      </c>
      <c r="AAT16" s="82">
        <f t="shared" si="297"/>
        <v>351445</v>
      </c>
      <c r="AAU16" s="82">
        <f t="shared" si="297"/>
        <v>351445</v>
      </c>
      <c r="AAV16" s="82">
        <f t="shared" si="297"/>
        <v>351445</v>
      </c>
      <c r="AAW16" s="130"/>
      <c r="AAX16" s="82">
        <f>AAV16+AAV28</f>
        <v>13791404</v>
      </c>
      <c r="AAY16" s="82">
        <f t="shared" ref="AAY16:ABM16" si="298">AAX16</f>
        <v>13791404</v>
      </c>
      <c r="AAZ16" s="82">
        <f t="shared" si="298"/>
        <v>13791404</v>
      </c>
      <c r="ABA16" s="82">
        <f t="shared" si="298"/>
        <v>13791404</v>
      </c>
      <c r="ABB16" s="82">
        <f t="shared" si="298"/>
        <v>13791404</v>
      </c>
      <c r="ABC16" s="82">
        <f t="shared" si="298"/>
        <v>13791404</v>
      </c>
      <c r="ABD16" s="82">
        <f t="shared" si="298"/>
        <v>13791404</v>
      </c>
      <c r="ABE16" s="82">
        <f t="shared" si="298"/>
        <v>13791404</v>
      </c>
      <c r="ABF16" s="82">
        <f t="shared" si="298"/>
        <v>13791404</v>
      </c>
      <c r="ABG16" s="82">
        <f t="shared" si="298"/>
        <v>13791404</v>
      </c>
      <c r="ABH16" s="82">
        <f t="shared" si="298"/>
        <v>13791404</v>
      </c>
      <c r="ABI16" s="82">
        <f t="shared" si="298"/>
        <v>13791404</v>
      </c>
      <c r="ABJ16" s="82">
        <f t="shared" si="298"/>
        <v>13791404</v>
      </c>
      <c r="ABK16" s="82">
        <f t="shared" si="298"/>
        <v>13791404</v>
      </c>
      <c r="ABL16" s="82">
        <f t="shared" si="298"/>
        <v>13791404</v>
      </c>
      <c r="ABM16" s="82">
        <f t="shared" si="298"/>
        <v>13791404</v>
      </c>
      <c r="ABN16" s="82">
        <v>286445</v>
      </c>
      <c r="ABO16" s="82">
        <f t="shared" ref="ABO16:ACB16" si="299">ABN16</f>
        <v>286445</v>
      </c>
      <c r="ABP16" s="82">
        <f t="shared" si="299"/>
        <v>286445</v>
      </c>
      <c r="ABQ16" s="82">
        <f t="shared" si="299"/>
        <v>286445</v>
      </c>
      <c r="ABR16" s="82">
        <f t="shared" si="299"/>
        <v>286445</v>
      </c>
      <c r="ABS16" s="82">
        <f t="shared" si="299"/>
        <v>286445</v>
      </c>
      <c r="ABT16" s="82">
        <f t="shared" si="299"/>
        <v>286445</v>
      </c>
      <c r="ABU16" s="82">
        <f t="shared" si="299"/>
        <v>286445</v>
      </c>
      <c r="ABV16" s="82">
        <f t="shared" si="299"/>
        <v>286445</v>
      </c>
      <c r="ABW16" s="82">
        <f t="shared" si="299"/>
        <v>286445</v>
      </c>
      <c r="ABX16" s="82">
        <f t="shared" si="299"/>
        <v>286445</v>
      </c>
      <c r="ABY16" s="82">
        <f t="shared" si="299"/>
        <v>286445</v>
      </c>
      <c r="ABZ16" s="82">
        <f t="shared" si="299"/>
        <v>286445</v>
      </c>
      <c r="ACA16" s="82">
        <f t="shared" si="299"/>
        <v>286445</v>
      </c>
      <c r="ACB16" s="82">
        <f t="shared" si="299"/>
        <v>286445</v>
      </c>
      <c r="ACC16" s="130"/>
      <c r="ACD16" s="82">
        <f>ACB16+ACB28</f>
        <v>10908316</v>
      </c>
      <c r="ACE16" s="82">
        <f t="shared" si="191"/>
        <v>10908316</v>
      </c>
      <c r="ACF16" s="82">
        <f t="shared" si="191"/>
        <v>10908316</v>
      </c>
      <c r="ACG16" s="82">
        <f t="shared" si="191"/>
        <v>10908316</v>
      </c>
      <c r="ACH16" s="82">
        <f t="shared" si="191"/>
        <v>10908316</v>
      </c>
      <c r="ACI16" s="82">
        <v>193445</v>
      </c>
      <c r="ACJ16" s="82">
        <f t="shared" ref="ACJ16:ADH16" si="300">ACI16</f>
        <v>193445</v>
      </c>
      <c r="ACK16" s="82">
        <f t="shared" si="300"/>
        <v>193445</v>
      </c>
      <c r="ACL16" s="82">
        <f t="shared" si="300"/>
        <v>193445</v>
      </c>
      <c r="ACM16" s="82">
        <f t="shared" si="300"/>
        <v>193445</v>
      </c>
      <c r="ACN16" s="82">
        <f t="shared" si="300"/>
        <v>193445</v>
      </c>
      <c r="ACO16" s="82">
        <f t="shared" si="300"/>
        <v>193445</v>
      </c>
      <c r="ACP16" s="82">
        <f t="shared" si="300"/>
        <v>193445</v>
      </c>
      <c r="ACQ16" s="82">
        <f t="shared" si="300"/>
        <v>193445</v>
      </c>
      <c r="ACR16" s="82">
        <f t="shared" si="300"/>
        <v>193445</v>
      </c>
      <c r="ACS16" s="82">
        <f t="shared" si="300"/>
        <v>193445</v>
      </c>
      <c r="ACT16" s="82">
        <f t="shared" si="300"/>
        <v>193445</v>
      </c>
      <c r="ACU16" s="82">
        <f t="shared" si="300"/>
        <v>193445</v>
      </c>
      <c r="ACV16" s="82">
        <f t="shared" si="300"/>
        <v>193445</v>
      </c>
      <c r="ACW16" s="82">
        <f t="shared" si="300"/>
        <v>193445</v>
      </c>
      <c r="ACX16" s="82">
        <f t="shared" si="300"/>
        <v>193445</v>
      </c>
      <c r="ACY16" s="82">
        <f t="shared" si="300"/>
        <v>193445</v>
      </c>
      <c r="ACZ16" s="82">
        <f t="shared" si="300"/>
        <v>193445</v>
      </c>
      <c r="ADA16" s="82">
        <f t="shared" si="300"/>
        <v>193445</v>
      </c>
      <c r="ADB16" s="82">
        <f t="shared" si="300"/>
        <v>193445</v>
      </c>
      <c r="ADC16" s="82">
        <f t="shared" si="300"/>
        <v>193445</v>
      </c>
      <c r="ADD16" s="82">
        <f t="shared" si="300"/>
        <v>193445</v>
      </c>
      <c r="ADE16" s="82">
        <f t="shared" si="300"/>
        <v>193445</v>
      </c>
      <c r="ADF16" s="82">
        <f t="shared" si="300"/>
        <v>193445</v>
      </c>
      <c r="ADG16" s="82">
        <f t="shared" si="300"/>
        <v>193445</v>
      </c>
      <c r="ADH16" s="82">
        <f t="shared" si="300"/>
        <v>193445</v>
      </c>
      <c r="ADI16" s="130"/>
      <c r="ADJ16" s="82">
        <f>ADH16+ADH28</f>
        <v>14289518</v>
      </c>
      <c r="ADK16" s="82">
        <f t="shared" ref="ADK16:ADV16" si="301">ADJ16</f>
        <v>14289518</v>
      </c>
      <c r="ADL16" s="82">
        <f t="shared" si="301"/>
        <v>14289518</v>
      </c>
      <c r="ADM16" s="82">
        <f t="shared" si="301"/>
        <v>14289518</v>
      </c>
      <c r="ADN16" s="82">
        <f t="shared" si="301"/>
        <v>14289518</v>
      </c>
      <c r="ADO16" s="82">
        <f t="shared" si="301"/>
        <v>14289518</v>
      </c>
      <c r="ADP16" s="82">
        <f t="shared" si="301"/>
        <v>14289518</v>
      </c>
      <c r="ADQ16" s="82">
        <f t="shared" si="301"/>
        <v>14289518</v>
      </c>
      <c r="ADR16" s="82">
        <f t="shared" si="301"/>
        <v>14289518</v>
      </c>
      <c r="ADS16" s="82">
        <f t="shared" si="301"/>
        <v>14289518</v>
      </c>
      <c r="ADT16" s="82">
        <f t="shared" si="301"/>
        <v>14289518</v>
      </c>
      <c r="ADU16" s="82">
        <f t="shared" si="301"/>
        <v>14289518</v>
      </c>
      <c r="ADV16" s="82">
        <f t="shared" si="301"/>
        <v>14289518</v>
      </c>
      <c r="ADW16" s="82">
        <v>1626719</v>
      </c>
      <c r="ADX16" s="82">
        <f t="shared" ref="ADX16:AEG16" si="302">ADW16</f>
        <v>1626719</v>
      </c>
      <c r="ADY16" s="82">
        <f t="shared" si="302"/>
        <v>1626719</v>
      </c>
      <c r="ADZ16" s="82">
        <f t="shared" si="302"/>
        <v>1626719</v>
      </c>
      <c r="AEA16" s="82">
        <f t="shared" si="302"/>
        <v>1626719</v>
      </c>
      <c r="AEB16" s="82">
        <f t="shared" si="302"/>
        <v>1626719</v>
      </c>
      <c r="AEC16" s="82">
        <f t="shared" si="302"/>
        <v>1626719</v>
      </c>
      <c r="AED16" s="82">
        <f t="shared" si="302"/>
        <v>1626719</v>
      </c>
      <c r="AEE16" s="82">
        <f t="shared" si="302"/>
        <v>1626719</v>
      </c>
      <c r="AEF16" s="82">
        <f t="shared" si="302"/>
        <v>1626719</v>
      </c>
      <c r="AEG16" s="82">
        <f t="shared" si="302"/>
        <v>1626719</v>
      </c>
      <c r="AEH16" s="82">
        <f t="shared" ref="AEH16:AEH22" si="303">AEG16</f>
        <v>1626719</v>
      </c>
      <c r="AEI16" s="82">
        <f t="shared" si="232"/>
        <v>1626719</v>
      </c>
      <c r="AEJ16" s="82">
        <f t="shared" si="232"/>
        <v>1626719</v>
      </c>
      <c r="AEK16" s="82">
        <f t="shared" si="232"/>
        <v>1626719</v>
      </c>
      <c r="AEL16" s="82">
        <f t="shared" si="232"/>
        <v>1626719</v>
      </c>
      <c r="AEM16" s="82">
        <f t="shared" si="232"/>
        <v>1626719</v>
      </c>
      <c r="AEN16" s="130"/>
      <c r="AEO16" s="82">
        <f>AEM16+AEM28</f>
        <v>11382601</v>
      </c>
      <c r="AEP16" s="82">
        <f t="shared" si="195"/>
        <v>11382601</v>
      </c>
      <c r="AEQ16" s="82">
        <f t="shared" si="195"/>
        <v>11382601</v>
      </c>
      <c r="AER16" s="82">
        <f t="shared" si="195"/>
        <v>11382601</v>
      </c>
      <c r="AES16" s="82">
        <f t="shared" si="195"/>
        <v>11382601</v>
      </c>
      <c r="AET16" s="82">
        <f t="shared" si="195"/>
        <v>11382601</v>
      </c>
      <c r="AEU16" s="82">
        <v>565000</v>
      </c>
      <c r="AEV16" s="82">
        <f t="shared" ref="AEV16:AFS16" si="304">AEU16</f>
        <v>565000</v>
      </c>
      <c r="AEW16" s="82">
        <f t="shared" si="304"/>
        <v>565000</v>
      </c>
      <c r="AEX16" s="82">
        <f t="shared" si="304"/>
        <v>565000</v>
      </c>
      <c r="AEY16" s="82">
        <f t="shared" si="304"/>
        <v>565000</v>
      </c>
      <c r="AEZ16" s="82">
        <f t="shared" si="304"/>
        <v>565000</v>
      </c>
      <c r="AFA16" s="82">
        <f t="shared" si="304"/>
        <v>565000</v>
      </c>
      <c r="AFB16" s="82">
        <f t="shared" si="304"/>
        <v>565000</v>
      </c>
      <c r="AFC16" s="82">
        <f t="shared" si="304"/>
        <v>565000</v>
      </c>
      <c r="AFD16" s="82">
        <f t="shared" si="304"/>
        <v>565000</v>
      </c>
      <c r="AFE16" s="82">
        <f t="shared" si="304"/>
        <v>565000</v>
      </c>
      <c r="AFF16" s="82">
        <f t="shared" si="304"/>
        <v>565000</v>
      </c>
      <c r="AFG16" s="82">
        <f t="shared" si="304"/>
        <v>565000</v>
      </c>
      <c r="AFH16" s="82">
        <f t="shared" si="304"/>
        <v>565000</v>
      </c>
      <c r="AFI16" s="82">
        <f t="shared" si="304"/>
        <v>565000</v>
      </c>
      <c r="AFJ16" s="82">
        <f t="shared" si="304"/>
        <v>565000</v>
      </c>
      <c r="AFK16" s="82">
        <f t="shared" si="304"/>
        <v>565000</v>
      </c>
      <c r="AFL16" s="82">
        <f t="shared" si="304"/>
        <v>565000</v>
      </c>
      <c r="AFM16" s="82">
        <f t="shared" si="304"/>
        <v>565000</v>
      </c>
      <c r="AFN16" s="82">
        <f t="shared" si="304"/>
        <v>565000</v>
      </c>
      <c r="AFO16" s="82">
        <f t="shared" si="304"/>
        <v>565000</v>
      </c>
      <c r="AFP16" s="82">
        <f t="shared" si="304"/>
        <v>565000</v>
      </c>
      <c r="AFQ16" s="82">
        <f t="shared" si="304"/>
        <v>565000</v>
      </c>
      <c r="AFR16" s="82">
        <f t="shared" si="304"/>
        <v>565000</v>
      </c>
      <c r="AFS16" s="82">
        <f t="shared" si="304"/>
        <v>565000</v>
      </c>
      <c r="AFT16" s="130"/>
      <c r="AFU16" s="82">
        <f>AFS16+AFS28</f>
        <v>10877260</v>
      </c>
      <c r="AFV16" s="82">
        <f t="shared" si="197"/>
        <v>10877260</v>
      </c>
      <c r="AFW16" s="82">
        <f t="shared" si="197"/>
        <v>10877260</v>
      </c>
      <c r="AFX16" s="82">
        <f t="shared" si="197"/>
        <v>10877260</v>
      </c>
      <c r="AFY16" s="82">
        <f t="shared" si="197"/>
        <v>10877260</v>
      </c>
      <c r="AFZ16" s="82">
        <f t="shared" si="197"/>
        <v>10877260</v>
      </c>
      <c r="AGA16" s="82">
        <f t="shared" si="197"/>
        <v>10877260</v>
      </c>
      <c r="AGB16" s="82">
        <f t="shared" si="197"/>
        <v>10877260</v>
      </c>
      <c r="AGC16" s="82">
        <f t="shared" si="197"/>
        <v>10877260</v>
      </c>
      <c r="AGD16" s="82">
        <v>360000</v>
      </c>
      <c r="AGE16" s="82">
        <f t="shared" ref="AGE16:AGX16" si="305">AGD16</f>
        <v>360000</v>
      </c>
      <c r="AGF16" s="82">
        <f t="shared" si="305"/>
        <v>360000</v>
      </c>
      <c r="AGG16" s="82">
        <f t="shared" si="305"/>
        <v>360000</v>
      </c>
      <c r="AGH16" s="82">
        <f t="shared" si="305"/>
        <v>360000</v>
      </c>
      <c r="AGI16" s="82">
        <f t="shared" si="305"/>
        <v>360000</v>
      </c>
      <c r="AGJ16" s="82">
        <f t="shared" si="305"/>
        <v>360000</v>
      </c>
      <c r="AGK16" s="82">
        <f t="shared" si="305"/>
        <v>360000</v>
      </c>
      <c r="AGL16" s="82">
        <f t="shared" si="305"/>
        <v>360000</v>
      </c>
      <c r="AGM16" s="82">
        <f t="shared" si="305"/>
        <v>360000</v>
      </c>
      <c r="AGN16" s="82">
        <f t="shared" si="305"/>
        <v>360000</v>
      </c>
      <c r="AGO16" s="82">
        <f t="shared" si="305"/>
        <v>360000</v>
      </c>
      <c r="AGP16" s="82">
        <f t="shared" si="305"/>
        <v>360000</v>
      </c>
      <c r="AGQ16" s="82">
        <f t="shared" si="305"/>
        <v>360000</v>
      </c>
      <c r="AGR16" s="82">
        <f t="shared" si="305"/>
        <v>360000</v>
      </c>
      <c r="AGS16" s="82">
        <f t="shared" si="305"/>
        <v>360000</v>
      </c>
      <c r="AGT16" s="82">
        <f t="shared" si="305"/>
        <v>360000</v>
      </c>
      <c r="AGU16" s="82">
        <f t="shared" si="305"/>
        <v>360000</v>
      </c>
      <c r="AGV16" s="82">
        <f t="shared" si="305"/>
        <v>360000</v>
      </c>
      <c r="AGW16" s="82">
        <f t="shared" si="305"/>
        <v>360000</v>
      </c>
      <c r="AGX16" s="82">
        <f t="shared" si="305"/>
        <v>360000</v>
      </c>
      <c r="AGY16" s="133"/>
      <c r="AGZ16" s="82">
        <f>AGX16+AGX28</f>
        <v>11193105</v>
      </c>
      <c r="AHA16" s="82">
        <f t="shared" ref="AHA16:AHJ16" si="306">AGZ16</f>
        <v>11193105</v>
      </c>
      <c r="AHB16" s="82">
        <f t="shared" si="306"/>
        <v>11193105</v>
      </c>
      <c r="AHC16" s="82">
        <f t="shared" si="306"/>
        <v>11193105</v>
      </c>
      <c r="AHD16" s="82">
        <f t="shared" si="306"/>
        <v>11193105</v>
      </c>
      <c r="AHE16" s="82">
        <f t="shared" si="306"/>
        <v>11193105</v>
      </c>
      <c r="AHF16" s="82">
        <f t="shared" si="306"/>
        <v>11193105</v>
      </c>
      <c r="AHG16" s="82">
        <f t="shared" si="306"/>
        <v>11193105</v>
      </c>
      <c r="AHH16" s="82">
        <f t="shared" si="306"/>
        <v>11193105</v>
      </c>
      <c r="AHI16" s="82">
        <f t="shared" si="306"/>
        <v>11193105</v>
      </c>
      <c r="AHJ16" s="82">
        <f t="shared" si="306"/>
        <v>11193105</v>
      </c>
      <c r="AHK16" s="82">
        <f>360000+1426000</f>
        <v>1786000</v>
      </c>
      <c r="AHL16" s="82">
        <f t="shared" ref="AHL16:AID16" si="307">AHK16</f>
        <v>1786000</v>
      </c>
      <c r="AHM16" s="82">
        <f t="shared" si="307"/>
        <v>1786000</v>
      </c>
      <c r="AHN16" s="82">
        <f t="shared" si="307"/>
        <v>1786000</v>
      </c>
      <c r="AHO16" s="82">
        <f t="shared" si="307"/>
        <v>1786000</v>
      </c>
      <c r="AHP16" s="82">
        <f t="shared" si="307"/>
        <v>1786000</v>
      </c>
      <c r="AHQ16" s="82">
        <f t="shared" si="307"/>
        <v>1786000</v>
      </c>
      <c r="AHR16" s="82">
        <f t="shared" si="307"/>
        <v>1786000</v>
      </c>
      <c r="AHS16" s="82">
        <f t="shared" si="307"/>
        <v>1786000</v>
      </c>
      <c r="AHT16" s="82">
        <f t="shared" si="307"/>
        <v>1786000</v>
      </c>
      <c r="AHU16" s="82">
        <f t="shared" si="307"/>
        <v>1786000</v>
      </c>
      <c r="AHV16" s="82">
        <f t="shared" si="307"/>
        <v>1786000</v>
      </c>
      <c r="AHW16" s="82">
        <f t="shared" si="307"/>
        <v>1786000</v>
      </c>
      <c r="AHX16" s="82">
        <f t="shared" si="307"/>
        <v>1786000</v>
      </c>
      <c r="AHY16" s="82">
        <f t="shared" si="307"/>
        <v>1786000</v>
      </c>
      <c r="AHZ16" s="82">
        <f t="shared" si="307"/>
        <v>1786000</v>
      </c>
      <c r="AIA16" s="82">
        <f t="shared" si="307"/>
        <v>1786000</v>
      </c>
      <c r="AIB16" s="82">
        <f t="shared" si="307"/>
        <v>1786000</v>
      </c>
      <c r="AIC16" s="82">
        <f t="shared" si="307"/>
        <v>1786000</v>
      </c>
      <c r="AID16" s="82">
        <f t="shared" si="307"/>
        <v>1786000</v>
      </c>
      <c r="AIE16" s="130"/>
      <c r="AIF16" s="82">
        <f>AID16+AID28</f>
        <v>14240921</v>
      </c>
      <c r="AIG16" s="82">
        <f t="shared" ref="AIG16:AIW16" si="308">AIF16</f>
        <v>14240921</v>
      </c>
      <c r="AIH16" s="82">
        <f t="shared" si="308"/>
        <v>14240921</v>
      </c>
      <c r="AII16" s="82">
        <f t="shared" si="308"/>
        <v>14240921</v>
      </c>
      <c r="AIJ16" s="82">
        <f t="shared" si="308"/>
        <v>14240921</v>
      </c>
      <c r="AIK16" s="82">
        <f t="shared" si="308"/>
        <v>14240921</v>
      </c>
      <c r="AIL16" s="82">
        <f t="shared" si="308"/>
        <v>14240921</v>
      </c>
      <c r="AIM16" s="82">
        <f t="shared" si="308"/>
        <v>14240921</v>
      </c>
      <c r="AIN16" s="82">
        <f t="shared" si="308"/>
        <v>14240921</v>
      </c>
      <c r="AIO16" s="82">
        <f t="shared" si="308"/>
        <v>14240921</v>
      </c>
      <c r="AIP16" s="82">
        <f t="shared" si="308"/>
        <v>14240921</v>
      </c>
      <c r="AIQ16" s="82">
        <f t="shared" si="308"/>
        <v>14240921</v>
      </c>
      <c r="AIR16" s="82">
        <f t="shared" si="308"/>
        <v>14240921</v>
      </c>
      <c r="AIS16" s="82">
        <f t="shared" si="308"/>
        <v>14240921</v>
      </c>
      <c r="AIT16" s="82">
        <f t="shared" si="308"/>
        <v>14240921</v>
      </c>
      <c r="AIU16" s="82">
        <f t="shared" si="308"/>
        <v>14240921</v>
      </c>
      <c r="AIV16" s="82">
        <f t="shared" si="308"/>
        <v>14240921</v>
      </c>
      <c r="AIW16" s="82">
        <f t="shared" si="308"/>
        <v>14240921</v>
      </c>
      <c r="AIX16" s="82">
        <v>0</v>
      </c>
      <c r="AIY16" s="82">
        <f t="shared" ref="AIY16:AJJ16" si="309">AIX16</f>
        <v>0</v>
      </c>
      <c r="AIZ16" s="82">
        <f t="shared" si="309"/>
        <v>0</v>
      </c>
      <c r="AJA16" s="82">
        <f t="shared" si="309"/>
        <v>0</v>
      </c>
      <c r="AJB16" s="82">
        <f t="shared" si="309"/>
        <v>0</v>
      </c>
      <c r="AJC16" s="82">
        <f t="shared" si="309"/>
        <v>0</v>
      </c>
      <c r="AJD16" s="82">
        <f t="shared" si="309"/>
        <v>0</v>
      </c>
      <c r="AJE16" s="82">
        <f t="shared" si="309"/>
        <v>0</v>
      </c>
      <c r="AJF16" s="82">
        <f t="shared" si="309"/>
        <v>0</v>
      </c>
      <c r="AJG16" s="82">
        <f t="shared" si="309"/>
        <v>0</v>
      </c>
      <c r="AJH16" s="82">
        <f t="shared" si="309"/>
        <v>0</v>
      </c>
      <c r="AJI16" s="82">
        <f t="shared" si="309"/>
        <v>0</v>
      </c>
      <c r="AJJ16" s="82">
        <f t="shared" si="309"/>
        <v>0</v>
      </c>
      <c r="AJK16" s="145"/>
      <c r="AJL16" s="82">
        <f>AJJ28</f>
        <v>11391589</v>
      </c>
      <c r="AJM16" s="82">
        <f t="shared" ref="AJM16:AKK16" si="310">AJL16</f>
        <v>11391589</v>
      </c>
      <c r="AJN16" s="82">
        <f t="shared" si="310"/>
        <v>11391589</v>
      </c>
      <c r="AJO16" s="82">
        <f t="shared" si="310"/>
        <v>11391589</v>
      </c>
      <c r="AJP16" s="82">
        <f t="shared" si="310"/>
        <v>11391589</v>
      </c>
      <c r="AJQ16" s="82">
        <f t="shared" si="310"/>
        <v>11391589</v>
      </c>
      <c r="AJR16" s="82">
        <f t="shared" si="310"/>
        <v>11391589</v>
      </c>
      <c r="AJS16" s="82">
        <f t="shared" si="310"/>
        <v>11391589</v>
      </c>
      <c r="AJT16" s="82">
        <f t="shared" si="310"/>
        <v>11391589</v>
      </c>
      <c r="AJU16" s="82">
        <f t="shared" si="310"/>
        <v>11391589</v>
      </c>
      <c r="AJV16" s="82">
        <f t="shared" si="310"/>
        <v>11391589</v>
      </c>
      <c r="AJW16" s="82">
        <f t="shared" si="310"/>
        <v>11391589</v>
      </c>
      <c r="AJX16" s="82">
        <f t="shared" si="310"/>
        <v>11391589</v>
      </c>
      <c r="AJY16" s="82">
        <f t="shared" si="310"/>
        <v>11391589</v>
      </c>
      <c r="AJZ16" s="82">
        <f t="shared" si="310"/>
        <v>11391589</v>
      </c>
      <c r="AKA16" s="82">
        <f t="shared" si="310"/>
        <v>11391589</v>
      </c>
      <c r="AKB16" s="82">
        <f t="shared" si="310"/>
        <v>11391589</v>
      </c>
      <c r="AKC16" s="82">
        <f t="shared" si="310"/>
        <v>11391589</v>
      </c>
      <c r="AKD16" s="82">
        <f t="shared" si="310"/>
        <v>11391589</v>
      </c>
      <c r="AKE16" s="82">
        <f t="shared" si="310"/>
        <v>11391589</v>
      </c>
      <c r="AKF16" s="82">
        <f t="shared" si="310"/>
        <v>11391589</v>
      </c>
      <c r="AKG16" s="82">
        <f t="shared" si="310"/>
        <v>11391589</v>
      </c>
      <c r="AKH16" s="82">
        <f t="shared" si="310"/>
        <v>11391589</v>
      </c>
      <c r="AKI16" s="82">
        <f t="shared" si="310"/>
        <v>11391589</v>
      </c>
      <c r="AKJ16" s="82">
        <f t="shared" si="310"/>
        <v>11391589</v>
      </c>
      <c r="AKK16" s="82">
        <f t="shared" si="310"/>
        <v>11391589</v>
      </c>
      <c r="AKL16" s="82">
        <v>323000</v>
      </c>
      <c r="AKM16" s="82">
        <f t="shared" ref="AKM16:AKM22" si="311">AKL16</f>
        <v>323000</v>
      </c>
      <c r="AKN16" s="112"/>
      <c r="AKO16" s="82">
        <f>AKM16+AKM28</f>
        <v>11392108</v>
      </c>
      <c r="AKP16" s="82">
        <f t="shared" ref="AKP16:AKX16" si="312">AKO16</f>
        <v>11392108</v>
      </c>
      <c r="AKQ16" s="82">
        <f t="shared" si="312"/>
        <v>11392108</v>
      </c>
      <c r="AKR16" s="82">
        <f t="shared" si="312"/>
        <v>11392108</v>
      </c>
      <c r="AKS16" s="82">
        <f t="shared" si="312"/>
        <v>11392108</v>
      </c>
      <c r="AKT16" s="82">
        <f t="shared" si="312"/>
        <v>11392108</v>
      </c>
      <c r="AKU16" s="82">
        <f t="shared" si="312"/>
        <v>11392108</v>
      </c>
      <c r="AKV16" s="82">
        <f t="shared" si="312"/>
        <v>11392108</v>
      </c>
      <c r="AKW16" s="82">
        <f t="shared" si="312"/>
        <v>11392108</v>
      </c>
      <c r="AKX16" s="82">
        <f t="shared" si="312"/>
        <v>11392108</v>
      </c>
      <c r="AKY16" s="82">
        <v>713000</v>
      </c>
      <c r="AKZ16" s="82">
        <f t="shared" ref="AKZ16:ALD22" si="313">AKY16</f>
        <v>713000</v>
      </c>
      <c r="ALA16" s="82">
        <f t="shared" si="313"/>
        <v>713000</v>
      </c>
      <c r="ALB16" s="82">
        <f t="shared" si="313"/>
        <v>713000</v>
      </c>
      <c r="ALC16" s="82">
        <f t="shared" si="313"/>
        <v>713000</v>
      </c>
      <c r="ALD16" s="82">
        <f t="shared" si="313"/>
        <v>713000</v>
      </c>
      <c r="ALE16" s="82">
        <f t="shared" si="240"/>
        <v>713000</v>
      </c>
      <c r="ALF16" s="82">
        <f t="shared" ref="ALF16:ALF22" si="314">ALE16</f>
        <v>713000</v>
      </c>
      <c r="ALG16" s="82">
        <f t="shared" ref="ALG16:ALS16" si="315">ALF16</f>
        <v>713000</v>
      </c>
      <c r="ALH16" s="82">
        <f t="shared" si="315"/>
        <v>713000</v>
      </c>
      <c r="ALI16" s="82">
        <f t="shared" si="315"/>
        <v>713000</v>
      </c>
      <c r="ALJ16" s="82">
        <f t="shared" si="315"/>
        <v>713000</v>
      </c>
      <c r="ALK16" s="82">
        <f t="shared" si="315"/>
        <v>713000</v>
      </c>
      <c r="ALL16" s="82">
        <f t="shared" si="315"/>
        <v>713000</v>
      </c>
      <c r="ALM16" s="82">
        <f t="shared" si="315"/>
        <v>713000</v>
      </c>
      <c r="ALN16" s="82">
        <f t="shared" si="315"/>
        <v>713000</v>
      </c>
      <c r="ALO16" s="82">
        <f t="shared" si="315"/>
        <v>713000</v>
      </c>
      <c r="ALP16" s="82">
        <f t="shared" si="315"/>
        <v>713000</v>
      </c>
      <c r="ALQ16" s="82">
        <f t="shared" si="315"/>
        <v>713000</v>
      </c>
      <c r="ALR16" s="82">
        <f t="shared" si="315"/>
        <v>713000</v>
      </c>
      <c r="ALS16" s="82">
        <f t="shared" si="315"/>
        <v>713000</v>
      </c>
      <c r="ALT16" s="130"/>
      <c r="ALU16" s="82">
        <f>ALS16+ALS28</f>
        <v>15551460</v>
      </c>
      <c r="ALV16" s="82">
        <f t="shared" ref="ALV16:AMG16" si="316">ALU16</f>
        <v>15551460</v>
      </c>
      <c r="ALW16" s="82">
        <f t="shared" si="316"/>
        <v>15551460</v>
      </c>
      <c r="ALX16" s="82">
        <f t="shared" si="316"/>
        <v>15551460</v>
      </c>
      <c r="ALY16" s="82">
        <f t="shared" si="316"/>
        <v>15551460</v>
      </c>
      <c r="ALZ16" s="82">
        <f t="shared" si="316"/>
        <v>15551460</v>
      </c>
      <c r="AMA16" s="82">
        <f t="shared" si="316"/>
        <v>15551460</v>
      </c>
      <c r="AMB16" s="82">
        <f t="shared" si="316"/>
        <v>15551460</v>
      </c>
      <c r="AMC16" s="82">
        <f t="shared" si="316"/>
        <v>15551460</v>
      </c>
      <c r="AMD16" s="82">
        <f t="shared" si="316"/>
        <v>15551460</v>
      </c>
      <c r="AME16" s="82">
        <f t="shared" si="316"/>
        <v>15551460</v>
      </c>
      <c r="AMF16" s="82">
        <f t="shared" si="316"/>
        <v>15551460</v>
      </c>
      <c r="AMG16" s="82">
        <f t="shared" si="316"/>
        <v>15551460</v>
      </c>
      <c r="AMH16" s="82">
        <v>0</v>
      </c>
      <c r="AMI16" s="82">
        <f t="shared" ref="AMI16:AMX16" si="317">AMH16</f>
        <v>0</v>
      </c>
      <c r="AMJ16" s="82">
        <f t="shared" si="317"/>
        <v>0</v>
      </c>
      <c r="AMK16" s="82">
        <f t="shared" si="317"/>
        <v>0</v>
      </c>
      <c r="AML16" s="82">
        <f t="shared" si="317"/>
        <v>0</v>
      </c>
      <c r="AMM16" s="82">
        <f t="shared" si="317"/>
        <v>0</v>
      </c>
      <c r="AMN16" s="82">
        <f t="shared" si="317"/>
        <v>0</v>
      </c>
      <c r="AMO16" s="82">
        <f t="shared" si="317"/>
        <v>0</v>
      </c>
      <c r="AMP16" s="82">
        <f t="shared" si="317"/>
        <v>0</v>
      </c>
      <c r="AMQ16" s="82">
        <f t="shared" si="317"/>
        <v>0</v>
      </c>
      <c r="AMR16" s="82">
        <f t="shared" si="317"/>
        <v>0</v>
      </c>
      <c r="AMS16" s="82">
        <f t="shared" si="317"/>
        <v>0</v>
      </c>
      <c r="AMT16" s="82">
        <f t="shared" si="317"/>
        <v>0</v>
      </c>
      <c r="AMU16" s="82">
        <f t="shared" si="317"/>
        <v>0</v>
      </c>
      <c r="AMV16" s="82">
        <f t="shared" si="317"/>
        <v>0</v>
      </c>
      <c r="AMW16" s="82">
        <f t="shared" si="317"/>
        <v>0</v>
      </c>
      <c r="AMX16" s="82">
        <f t="shared" si="317"/>
        <v>0</v>
      </c>
      <c r="AMY16" s="130"/>
      <c r="AMZ16" s="82">
        <f>AMX29</f>
        <v>9535970</v>
      </c>
      <c r="ANA16" s="82">
        <f t="shared" ref="ANA16:ANK16" si="318">AMZ16</f>
        <v>9535970</v>
      </c>
      <c r="ANB16" s="82">
        <f t="shared" si="318"/>
        <v>9535970</v>
      </c>
      <c r="ANC16" s="82">
        <f t="shared" si="318"/>
        <v>9535970</v>
      </c>
      <c r="AND16" s="82">
        <f t="shared" si="318"/>
        <v>9535970</v>
      </c>
      <c r="ANE16" s="82">
        <f t="shared" si="318"/>
        <v>9535970</v>
      </c>
      <c r="ANF16" s="82">
        <f t="shared" si="318"/>
        <v>9535970</v>
      </c>
      <c r="ANG16" s="82">
        <f t="shared" si="318"/>
        <v>9535970</v>
      </c>
      <c r="ANH16" s="82">
        <f t="shared" si="318"/>
        <v>9535970</v>
      </c>
      <c r="ANI16" s="82">
        <f t="shared" si="318"/>
        <v>9535970</v>
      </c>
      <c r="ANJ16" s="82">
        <f t="shared" si="318"/>
        <v>9535970</v>
      </c>
      <c r="ANK16" s="82">
        <f t="shared" si="318"/>
        <v>9535970</v>
      </c>
      <c r="ANL16" s="82">
        <v>323000</v>
      </c>
      <c r="ANM16" s="82">
        <f t="shared" ref="ANM16:AOC16" si="319">ANL16</f>
        <v>323000</v>
      </c>
      <c r="ANN16" s="82">
        <f t="shared" si="319"/>
        <v>323000</v>
      </c>
      <c r="ANO16" s="82">
        <f t="shared" si="319"/>
        <v>323000</v>
      </c>
      <c r="ANP16" s="82">
        <f t="shared" si="319"/>
        <v>323000</v>
      </c>
      <c r="ANQ16" s="82">
        <f t="shared" si="319"/>
        <v>323000</v>
      </c>
      <c r="ANR16" s="82">
        <f t="shared" si="319"/>
        <v>323000</v>
      </c>
      <c r="ANS16" s="82">
        <f t="shared" si="319"/>
        <v>323000</v>
      </c>
      <c r="ANT16" s="82">
        <f t="shared" si="319"/>
        <v>323000</v>
      </c>
      <c r="ANU16" s="82">
        <f t="shared" si="319"/>
        <v>323000</v>
      </c>
      <c r="ANV16" s="82">
        <f t="shared" si="319"/>
        <v>323000</v>
      </c>
      <c r="ANW16" s="82">
        <f t="shared" si="319"/>
        <v>323000</v>
      </c>
      <c r="ANX16" s="82">
        <f t="shared" si="319"/>
        <v>323000</v>
      </c>
      <c r="ANY16" s="82">
        <f t="shared" si="319"/>
        <v>323000</v>
      </c>
      <c r="ANZ16" s="82">
        <f t="shared" si="319"/>
        <v>323000</v>
      </c>
      <c r="AOA16" s="82">
        <f t="shared" si="319"/>
        <v>323000</v>
      </c>
      <c r="AOB16" s="82">
        <f t="shared" si="319"/>
        <v>323000</v>
      </c>
      <c r="AOC16" s="82">
        <f t="shared" si="319"/>
        <v>323000</v>
      </c>
    </row>
    <row r="17" spans="1:1069" x14ac:dyDescent="0.2">
      <c r="A17" s="160"/>
      <c r="B17" t="s">
        <v>1649</v>
      </c>
      <c r="C17" s="52">
        <v>46805580</v>
      </c>
      <c r="D17" s="52">
        <f>C17</f>
        <v>46805580</v>
      </c>
      <c r="E17" s="52">
        <v>0</v>
      </c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98"/>
      <c r="AI17" s="82">
        <f>AG29</f>
        <v>17227928</v>
      </c>
      <c r="AJ17" s="82">
        <f t="shared" ref="AJ17:AR17" si="320">AI17</f>
        <v>17227928</v>
      </c>
      <c r="AK17" s="82">
        <f t="shared" si="320"/>
        <v>17227928</v>
      </c>
      <c r="AL17" s="82">
        <f t="shared" si="320"/>
        <v>17227928</v>
      </c>
      <c r="AM17" s="82">
        <f t="shared" si="320"/>
        <v>17227928</v>
      </c>
      <c r="AN17" s="82">
        <f t="shared" si="320"/>
        <v>17227928</v>
      </c>
      <c r="AO17" s="82">
        <f t="shared" si="320"/>
        <v>17227928</v>
      </c>
      <c r="AP17" s="82">
        <f t="shared" si="320"/>
        <v>17227928</v>
      </c>
      <c r="AQ17" s="82">
        <f t="shared" si="320"/>
        <v>17227928</v>
      </c>
      <c r="AR17" s="82">
        <f t="shared" si="320"/>
        <v>17227928</v>
      </c>
      <c r="AS17" s="82">
        <v>0</v>
      </c>
      <c r="BM17" s="106">
        <f>BL29</f>
        <v>11626108</v>
      </c>
      <c r="BN17" s="82">
        <f t="shared" ref="BN17:BZ17" si="321">BM17</f>
        <v>11626108</v>
      </c>
      <c r="BO17" s="82">
        <f t="shared" si="321"/>
        <v>11626108</v>
      </c>
      <c r="BP17" s="82">
        <f t="shared" si="321"/>
        <v>11626108</v>
      </c>
      <c r="BQ17" s="82">
        <f t="shared" si="321"/>
        <v>11626108</v>
      </c>
      <c r="BR17" s="82">
        <f t="shared" si="321"/>
        <v>11626108</v>
      </c>
      <c r="BS17" s="82">
        <f t="shared" si="321"/>
        <v>11626108</v>
      </c>
      <c r="BT17" s="82">
        <f t="shared" si="321"/>
        <v>11626108</v>
      </c>
      <c r="BU17" s="82">
        <f t="shared" si="321"/>
        <v>11626108</v>
      </c>
      <c r="BV17" s="82">
        <f t="shared" si="321"/>
        <v>11626108</v>
      </c>
      <c r="BW17" s="82">
        <f t="shared" si="321"/>
        <v>11626108</v>
      </c>
      <c r="BX17" s="82">
        <f t="shared" si="321"/>
        <v>11626108</v>
      </c>
      <c r="BY17" s="82">
        <f t="shared" si="321"/>
        <v>11626108</v>
      </c>
      <c r="BZ17" s="82">
        <f t="shared" si="321"/>
        <v>11626108</v>
      </c>
      <c r="CA17" s="82">
        <v>0</v>
      </c>
      <c r="CB17" s="82">
        <f t="shared" ref="CB17:CK17" si="322">CA17</f>
        <v>0</v>
      </c>
      <c r="CC17" s="82">
        <f t="shared" si="322"/>
        <v>0</v>
      </c>
      <c r="CD17" s="82">
        <f t="shared" si="322"/>
        <v>0</v>
      </c>
      <c r="CE17" s="82">
        <f t="shared" si="322"/>
        <v>0</v>
      </c>
      <c r="CF17" s="82">
        <f t="shared" si="322"/>
        <v>0</v>
      </c>
      <c r="CG17" s="82">
        <f t="shared" si="322"/>
        <v>0</v>
      </c>
      <c r="CH17" s="82">
        <f t="shared" si="322"/>
        <v>0</v>
      </c>
      <c r="CI17" s="82">
        <f t="shared" si="322"/>
        <v>0</v>
      </c>
      <c r="CJ17" s="82">
        <f t="shared" si="322"/>
        <v>0</v>
      </c>
      <c r="CK17" s="82">
        <f t="shared" si="322"/>
        <v>0</v>
      </c>
      <c r="CL17" s="82">
        <f t="shared" ref="CL17:CL22" si="323">CK17</f>
        <v>0</v>
      </c>
      <c r="CM17" s="82">
        <f t="shared" si="249"/>
        <v>0</v>
      </c>
      <c r="CN17" s="82">
        <f t="shared" si="249"/>
        <v>0</v>
      </c>
      <c r="CO17" s="82">
        <f t="shared" si="249"/>
        <v>0</v>
      </c>
      <c r="CP17" s="82">
        <f t="shared" ref="CP17:CP22" si="324">CO17</f>
        <v>0</v>
      </c>
      <c r="CQ17" s="82">
        <f t="shared" si="250"/>
        <v>0</v>
      </c>
      <c r="CR17" s="82">
        <f t="shared" si="250"/>
        <v>0</v>
      </c>
      <c r="CT17" s="82">
        <f>CR29</f>
        <v>15835724</v>
      </c>
      <c r="CU17" s="82">
        <f t="shared" si="151"/>
        <v>15835724</v>
      </c>
      <c r="CV17" s="82">
        <f>CT17</f>
        <v>15835724</v>
      </c>
      <c r="CW17" s="82">
        <v>247500</v>
      </c>
      <c r="CX17" s="82">
        <f>CW17</f>
        <v>247500</v>
      </c>
      <c r="CY17" s="82">
        <f t="shared" ref="CY17:CY25" si="325">CW17</f>
        <v>247500</v>
      </c>
      <c r="CZ17" s="82">
        <f t="shared" ref="CZ17:CZ25" si="326">CX17</f>
        <v>247500</v>
      </c>
      <c r="DA17" s="82">
        <f t="shared" si="251"/>
        <v>247500</v>
      </c>
      <c r="DB17" s="82">
        <f t="shared" si="252"/>
        <v>247500</v>
      </c>
      <c r="DC17" s="82">
        <f t="shared" si="253"/>
        <v>247500</v>
      </c>
      <c r="DD17" s="82">
        <f t="shared" si="254"/>
        <v>247500</v>
      </c>
      <c r="DE17" s="82">
        <f t="shared" si="255"/>
        <v>247500</v>
      </c>
      <c r="DF17" s="82">
        <f t="shared" si="256"/>
        <v>247500</v>
      </c>
      <c r="DG17" s="82">
        <f t="shared" si="257"/>
        <v>247500</v>
      </c>
      <c r="DH17" s="82">
        <f t="shared" si="258"/>
        <v>247500</v>
      </c>
      <c r="DI17" s="82">
        <f t="shared" si="259"/>
        <v>247500</v>
      </c>
      <c r="DJ17" s="82">
        <f t="shared" si="260"/>
        <v>247500</v>
      </c>
      <c r="DK17" s="82">
        <f t="shared" si="261"/>
        <v>247500</v>
      </c>
      <c r="DL17" s="82">
        <f t="shared" si="262"/>
        <v>247500</v>
      </c>
      <c r="DM17" s="82">
        <f t="shared" ref="DM17:DM25" si="327">DK17</f>
        <v>247500</v>
      </c>
      <c r="DN17" s="82">
        <f t="shared" ref="DN17:DN25" si="328">DL17</f>
        <v>247500</v>
      </c>
      <c r="DO17" s="82">
        <f t="shared" si="263"/>
        <v>247500</v>
      </c>
      <c r="DP17" s="82">
        <f t="shared" si="264"/>
        <v>247500</v>
      </c>
      <c r="DQ17" s="82">
        <f t="shared" si="265"/>
        <v>247500</v>
      </c>
      <c r="DR17" s="82">
        <f t="shared" si="266"/>
        <v>247500</v>
      </c>
      <c r="DS17" s="82">
        <f t="shared" si="267"/>
        <v>247500</v>
      </c>
      <c r="DT17" s="82">
        <f t="shared" si="268"/>
        <v>247500</v>
      </c>
      <c r="DU17" s="82">
        <f t="shared" ref="DU17:DU25" si="329">DS17</f>
        <v>247500</v>
      </c>
      <c r="DV17" s="82">
        <f t="shared" ref="DV17:DV25" si="330">DT17</f>
        <v>247500</v>
      </c>
      <c r="DW17" s="82">
        <f t="shared" si="269"/>
        <v>247500</v>
      </c>
      <c r="DX17" s="117"/>
      <c r="DY17" s="82">
        <f>DW17+DW29</f>
        <v>22939052</v>
      </c>
      <c r="DZ17" s="82">
        <f t="shared" ref="DZ17:EH17" si="331">DY17</f>
        <v>22939052</v>
      </c>
      <c r="EA17" s="82">
        <f t="shared" si="331"/>
        <v>22939052</v>
      </c>
      <c r="EB17" s="82">
        <f t="shared" si="331"/>
        <v>22939052</v>
      </c>
      <c r="EC17" s="82">
        <f t="shared" si="331"/>
        <v>22939052</v>
      </c>
      <c r="ED17" s="82">
        <f t="shared" si="331"/>
        <v>22939052</v>
      </c>
      <c r="EE17" s="82">
        <f t="shared" si="331"/>
        <v>22939052</v>
      </c>
      <c r="EF17" s="82">
        <f t="shared" si="331"/>
        <v>22939052</v>
      </c>
      <c r="EG17" s="82">
        <f t="shared" si="331"/>
        <v>22939052</v>
      </c>
      <c r="EH17" s="82">
        <f t="shared" si="331"/>
        <v>22939052</v>
      </c>
      <c r="EI17" s="82">
        <v>509400</v>
      </c>
      <c r="EJ17" s="82">
        <f t="shared" ref="EJ17:FC17" si="332">EI17</f>
        <v>509400</v>
      </c>
      <c r="EK17" s="82">
        <f t="shared" si="332"/>
        <v>509400</v>
      </c>
      <c r="EL17" s="82">
        <f t="shared" si="332"/>
        <v>509400</v>
      </c>
      <c r="EM17" s="82">
        <f t="shared" si="332"/>
        <v>509400</v>
      </c>
      <c r="EN17" s="82">
        <f t="shared" si="332"/>
        <v>509400</v>
      </c>
      <c r="EO17" s="82">
        <f t="shared" si="332"/>
        <v>509400</v>
      </c>
      <c r="EP17" s="82">
        <f t="shared" si="332"/>
        <v>509400</v>
      </c>
      <c r="EQ17" s="82">
        <f t="shared" si="332"/>
        <v>509400</v>
      </c>
      <c r="ER17" s="82">
        <f t="shared" si="332"/>
        <v>509400</v>
      </c>
      <c r="ES17" s="82">
        <f t="shared" si="332"/>
        <v>509400</v>
      </c>
      <c r="ET17" s="82">
        <f t="shared" si="332"/>
        <v>509400</v>
      </c>
      <c r="EU17" s="82">
        <f t="shared" si="332"/>
        <v>509400</v>
      </c>
      <c r="EV17" s="82">
        <f t="shared" si="332"/>
        <v>509400</v>
      </c>
      <c r="EW17" s="82">
        <f t="shared" si="332"/>
        <v>509400</v>
      </c>
      <c r="EX17" s="82">
        <f t="shared" si="332"/>
        <v>509400</v>
      </c>
      <c r="EY17" s="82">
        <f t="shared" si="332"/>
        <v>509400</v>
      </c>
      <c r="EZ17" s="82">
        <f t="shared" si="332"/>
        <v>509400</v>
      </c>
      <c r="FA17" s="82">
        <f t="shared" si="332"/>
        <v>509400</v>
      </c>
      <c r="FB17" s="82">
        <f t="shared" si="332"/>
        <v>509400</v>
      </c>
      <c r="FC17" s="82">
        <f t="shared" si="332"/>
        <v>509400</v>
      </c>
      <c r="FD17" s="126"/>
      <c r="FE17" s="82">
        <f>FC17+FC29</f>
        <v>16079872</v>
      </c>
      <c r="FF17" s="82">
        <f>FE17</f>
        <v>16079872</v>
      </c>
      <c r="FG17" s="82">
        <f>FE17+FE29</f>
        <v>16419272</v>
      </c>
      <c r="FH17" s="82">
        <v>0</v>
      </c>
      <c r="FI17" s="82">
        <v>0</v>
      </c>
      <c r="FJ17" s="82">
        <v>0</v>
      </c>
      <c r="FK17" s="82">
        <v>0</v>
      </c>
      <c r="FL17" s="82">
        <v>0</v>
      </c>
      <c r="FM17" s="82">
        <v>0</v>
      </c>
      <c r="FN17" s="82">
        <v>0</v>
      </c>
      <c r="FO17" s="82">
        <v>0</v>
      </c>
      <c r="FP17" s="82">
        <v>0</v>
      </c>
      <c r="FQ17" s="82">
        <v>0</v>
      </c>
      <c r="FR17" s="82">
        <v>0</v>
      </c>
      <c r="FS17" s="82">
        <v>0</v>
      </c>
      <c r="FT17" s="82">
        <v>0</v>
      </c>
      <c r="FU17" s="82">
        <v>0</v>
      </c>
      <c r="FV17" s="82">
        <v>0</v>
      </c>
      <c r="FW17" s="82">
        <v>0</v>
      </c>
      <c r="FX17" s="82">
        <v>0</v>
      </c>
      <c r="FY17" s="82">
        <v>0</v>
      </c>
      <c r="FZ17" s="82">
        <v>0</v>
      </c>
      <c r="GA17" s="82">
        <v>0</v>
      </c>
      <c r="GB17" s="82">
        <v>0</v>
      </c>
      <c r="GC17" s="82">
        <v>0</v>
      </c>
      <c r="GD17" s="82">
        <v>0</v>
      </c>
      <c r="GE17" s="82">
        <v>0</v>
      </c>
      <c r="GF17" s="82">
        <v>0</v>
      </c>
      <c r="GG17" s="82">
        <v>0</v>
      </c>
      <c r="GH17" s="82">
        <v>0</v>
      </c>
      <c r="GI17" s="82">
        <v>0</v>
      </c>
      <c r="GJ17" s="130"/>
      <c r="GK17" s="82">
        <v>20990059</v>
      </c>
      <c r="GL17" s="82">
        <v>20990059</v>
      </c>
      <c r="GM17" s="82">
        <v>20990059</v>
      </c>
      <c r="GN17" s="82">
        <v>20990059</v>
      </c>
      <c r="GO17" s="82">
        <v>20990059</v>
      </c>
      <c r="GP17" s="82">
        <v>20990059</v>
      </c>
      <c r="GQ17" s="82">
        <v>20990059</v>
      </c>
      <c r="GR17" s="82">
        <v>20990059</v>
      </c>
      <c r="GS17" s="82">
        <v>20990059</v>
      </c>
      <c r="GT17" s="82">
        <v>20990059</v>
      </c>
      <c r="GU17" s="82">
        <v>0</v>
      </c>
      <c r="GV17" s="82">
        <v>0</v>
      </c>
      <c r="GW17" s="82">
        <v>0</v>
      </c>
      <c r="GX17" s="82">
        <v>0</v>
      </c>
      <c r="GY17" s="82">
        <v>0</v>
      </c>
      <c r="GZ17" s="82">
        <v>0</v>
      </c>
      <c r="HA17" s="82">
        <v>0</v>
      </c>
      <c r="HB17" s="82">
        <v>0</v>
      </c>
      <c r="HC17" s="82">
        <v>0</v>
      </c>
      <c r="HD17" s="82">
        <v>0</v>
      </c>
      <c r="HE17" s="82">
        <v>0</v>
      </c>
      <c r="HF17" s="82">
        <v>0</v>
      </c>
      <c r="HG17" s="82">
        <v>0</v>
      </c>
      <c r="HH17" s="82">
        <v>0</v>
      </c>
      <c r="HI17" s="82">
        <v>0</v>
      </c>
      <c r="HJ17" s="82">
        <v>0</v>
      </c>
      <c r="HK17" s="82">
        <v>0</v>
      </c>
      <c r="HL17" s="82">
        <v>0</v>
      </c>
      <c r="HM17" s="82">
        <v>0</v>
      </c>
      <c r="HN17" s="130"/>
      <c r="HO17" s="113">
        <v>22372843</v>
      </c>
      <c r="HP17" s="113">
        <v>22372843</v>
      </c>
      <c r="HQ17" s="113">
        <v>22372843</v>
      </c>
      <c r="HR17" s="113">
        <v>22372843</v>
      </c>
      <c r="HS17" s="113">
        <v>22372843</v>
      </c>
      <c r="HT17" s="113">
        <v>22372843</v>
      </c>
      <c r="HU17" s="113">
        <v>0</v>
      </c>
      <c r="HV17" s="113">
        <v>0</v>
      </c>
      <c r="HW17" s="113">
        <v>0</v>
      </c>
      <c r="HX17" s="113">
        <v>0</v>
      </c>
      <c r="HY17" s="113">
        <v>0</v>
      </c>
      <c r="HZ17" s="113">
        <v>0</v>
      </c>
      <c r="IA17" s="113"/>
      <c r="IB17" s="113">
        <v>0</v>
      </c>
      <c r="IC17" s="113">
        <v>0</v>
      </c>
      <c r="ID17" s="113">
        <v>0</v>
      </c>
      <c r="IE17" s="113">
        <v>0</v>
      </c>
      <c r="IF17" s="113">
        <v>0</v>
      </c>
      <c r="IG17" s="113">
        <v>0</v>
      </c>
      <c r="IH17" s="113">
        <v>0</v>
      </c>
      <c r="II17" s="113">
        <v>0</v>
      </c>
      <c r="IJ17" s="113">
        <v>0</v>
      </c>
      <c r="IK17" s="113">
        <v>0</v>
      </c>
      <c r="IL17" s="113">
        <v>0</v>
      </c>
      <c r="IM17" s="113">
        <v>0</v>
      </c>
      <c r="IN17" s="113">
        <v>0</v>
      </c>
      <c r="IO17" s="113">
        <v>0</v>
      </c>
      <c r="IP17" s="113">
        <v>0</v>
      </c>
      <c r="IQ17" s="113">
        <v>0</v>
      </c>
      <c r="IR17" s="113">
        <v>0</v>
      </c>
      <c r="IS17" s="113">
        <v>0</v>
      </c>
      <c r="IT17" s="130"/>
      <c r="IU17" s="113">
        <f>IS29</f>
        <v>25450477</v>
      </c>
      <c r="IV17" s="82">
        <f t="shared" si="160"/>
        <v>25450477</v>
      </c>
      <c r="IW17" s="82">
        <v>0</v>
      </c>
      <c r="IX17" s="82">
        <f t="shared" ref="IX17:JX17" si="333">IW17</f>
        <v>0</v>
      </c>
      <c r="IY17" s="82">
        <f t="shared" si="333"/>
        <v>0</v>
      </c>
      <c r="IZ17" s="82">
        <f t="shared" si="333"/>
        <v>0</v>
      </c>
      <c r="JA17" s="82">
        <f t="shared" si="333"/>
        <v>0</v>
      </c>
      <c r="JB17" s="82">
        <f t="shared" si="333"/>
        <v>0</v>
      </c>
      <c r="JC17" s="82">
        <f t="shared" si="333"/>
        <v>0</v>
      </c>
      <c r="JD17" s="82">
        <f t="shared" si="333"/>
        <v>0</v>
      </c>
      <c r="JE17" s="82">
        <f t="shared" si="333"/>
        <v>0</v>
      </c>
      <c r="JF17" s="82">
        <f t="shared" si="333"/>
        <v>0</v>
      </c>
      <c r="JG17" s="82">
        <f t="shared" si="333"/>
        <v>0</v>
      </c>
      <c r="JH17" s="82">
        <f t="shared" si="333"/>
        <v>0</v>
      </c>
      <c r="JI17" s="82">
        <f t="shared" si="333"/>
        <v>0</v>
      </c>
      <c r="JJ17" s="82">
        <f t="shared" si="333"/>
        <v>0</v>
      </c>
      <c r="JK17" s="82">
        <f t="shared" si="333"/>
        <v>0</v>
      </c>
      <c r="JL17" s="82">
        <f t="shared" si="333"/>
        <v>0</v>
      </c>
      <c r="JM17" s="82">
        <f t="shared" si="333"/>
        <v>0</v>
      </c>
      <c r="JN17" s="82">
        <f t="shared" si="333"/>
        <v>0</v>
      </c>
      <c r="JO17" s="82">
        <f t="shared" si="333"/>
        <v>0</v>
      </c>
      <c r="JP17" s="82">
        <f t="shared" si="333"/>
        <v>0</v>
      </c>
      <c r="JQ17" s="82">
        <f t="shared" si="333"/>
        <v>0</v>
      </c>
      <c r="JR17" s="82">
        <f t="shared" si="333"/>
        <v>0</v>
      </c>
      <c r="JS17" s="82">
        <f t="shared" si="333"/>
        <v>0</v>
      </c>
      <c r="JT17" s="82">
        <f t="shared" si="333"/>
        <v>0</v>
      </c>
      <c r="JU17" s="82">
        <f t="shared" si="333"/>
        <v>0</v>
      </c>
      <c r="JV17" s="82">
        <f t="shared" si="333"/>
        <v>0</v>
      </c>
      <c r="JW17" s="82">
        <f t="shared" si="333"/>
        <v>0</v>
      </c>
      <c r="JX17" s="82">
        <f t="shared" si="333"/>
        <v>0</v>
      </c>
      <c r="JY17" s="133"/>
      <c r="JZ17" s="82">
        <f>JX29</f>
        <v>25881590</v>
      </c>
      <c r="KA17" s="82">
        <f t="shared" si="162"/>
        <v>25881590</v>
      </c>
      <c r="KB17" s="82">
        <f t="shared" si="162"/>
        <v>25881590</v>
      </c>
      <c r="KC17" s="82">
        <f t="shared" si="162"/>
        <v>25881590</v>
      </c>
      <c r="KD17" s="82">
        <f t="shared" si="162"/>
        <v>25881590</v>
      </c>
      <c r="KE17" s="82">
        <f t="shared" si="162"/>
        <v>25881590</v>
      </c>
      <c r="KF17" s="82">
        <f t="shared" si="162"/>
        <v>25881590</v>
      </c>
      <c r="KG17" s="82">
        <v>0</v>
      </c>
      <c r="KH17" s="82">
        <v>0</v>
      </c>
      <c r="KI17" s="82">
        <v>0</v>
      </c>
      <c r="KJ17" s="82">
        <v>0</v>
      </c>
      <c r="KK17" s="82">
        <v>0</v>
      </c>
      <c r="KL17" s="82">
        <v>0</v>
      </c>
      <c r="KM17" s="82">
        <v>0</v>
      </c>
      <c r="KN17" s="82">
        <v>0</v>
      </c>
      <c r="KO17" s="82">
        <v>0</v>
      </c>
      <c r="KP17" s="82">
        <v>0</v>
      </c>
      <c r="KQ17" s="82">
        <v>0</v>
      </c>
      <c r="KR17" s="82">
        <v>0</v>
      </c>
      <c r="KS17" s="82">
        <v>0</v>
      </c>
      <c r="KT17" s="82">
        <v>0</v>
      </c>
      <c r="KU17" s="82">
        <v>0</v>
      </c>
      <c r="KV17" s="82">
        <v>0</v>
      </c>
      <c r="KW17" s="82">
        <v>0</v>
      </c>
      <c r="KX17" s="82">
        <v>0</v>
      </c>
      <c r="KY17" s="82">
        <v>0</v>
      </c>
      <c r="KZ17" s="82">
        <v>0</v>
      </c>
      <c r="LA17" s="82">
        <v>0</v>
      </c>
      <c r="LB17" s="82">
        <v>0</v>
      </c>
      <c r="LC17" s="82">
        <v>0</v>
      </c>
      <c r="LD17" s="82">
        <v>0</v>
      </c>
      <c r="LE17" s="130"/>
      <c r="LF17" s="82">
        <f>LD29</f>
        <v>20285824</v>
      </c>
      <c r="LG17" s="82">
        <f t="shared" ref="LG17:LQ17" si="334">LF17</f>
        <v>20285824</v>
      </c>
      <c r="LH17" s="82">
        <f t="shared" si="334"/>
        <v>20285824</v>
      </c>
      <c r="LI17" s="82">
        <f t="shared" si="334"/>
        <v>20285824</v>
      </c>
      <c r="LJ17" s="82">
        <f t="shared" si="334"/>
        <v>20285824</v>
      </c>
      <c r="LK17" s="82">
        <f t="shared" si="334"/>
        <v>20285824</v>
      </c>
      <c r="LL17" s="82">
        <f t="shared" si="334"/>
        <v>20285824</v>
      </c>
      <c r="LM17" s="82">
        <f t="shared" si="334"/>
        <v>20285824</v>
      </c>
      <c r="LN17" s="82">
        <f t="shared" si="334"/>
        <v>20285824</v>
      </c>
      <c r="LO17" s="82">
        <f t="shared" si="334"/>
        <v>20285824</v>
      </c>
      <c r="LP17" s="82">
        <f t="shared" si="334"/>
        <v>20285824</v>
      </c>
      <c r="LQ17" s="82">
        <f t="shared" si="334"/>
        <v>20285824</v>
      </c>
      <c r="LR17" s="82">
        <v>0</v>
      </c>
      <c r="LS17" s="82">
        <f t="shared" si="213"/>
        <v>0</v>
      </c>
      <c r="LT17" s="82">
        <f t="shared" si="213"/>
        <v>0</v>
      </c>
      <c r="LU17" s="82">
        <f t="shared" si="213"/>
        <v>0</v>
      </c>
      <c r="LV17" s="82">
        <f t="shared" si="213"/>
        <v>0</v>
      </c>
      <c r="LW17" s="82">
        <f t="shared" si="213"/>
        <v>0</v>
      </c>
      <c r="LX17" s="82">
        <f t="shared" si="279"/>
        <v>0</v>
      </c>
      <c r="LY17" s="82">
        <f t="shared" ref="LY17:MI17" si="335">LX17</f>
        <v>0</v>
      </c>
      <c r="LZ17" s="82">
        <f t="shared" si="335"/>
        <v>0</v>
      </c>
      <c r="MA17" s="82">
        <f t="shared" si="335"/>
        <v>0</v>
      </c>
      <c r="MB17" s="82">
        <f t="shared" si="335"/>
        <v>0</v>
      </c>
      <c r="MC17" s="82">
        <f t="shared" si="335"/>
        <v>0</v>
      </c>
      <c r="MD17" s="82">
        <f t="shared" si="335"/>
        <v>0</v>
      </c>
      <c r="ME17" s="82">
        <f t="shared" si="335"/>
        <v>0</v>
      </c>
      <c r="MF17" s="82">
        <f t="shared" si="335"/>
        <v>0</v>
      </c>
      <c r="MG17" s="82">
        <f t="shared" si="335"/>
        <v>0</v>
      </c>
      <c r="MH17" s="82">
        <f t="shared" si="335"/>
        <v>0</v>
      </c>
      <c r="MI17" s="82">
        <f t="shared" si="335"/>
        <v>0</v>
      </c>
      <c r="MJ17" s="133"/>
      <c r="MK17" s="82">
        <f>MI29</f>
        <v>11977029</v>
      </c>
      <c r="ML17" s="82">
        <f t="shared" si="281"/>
        <v>11977029</v>
      </c>
      <c r="MM17" s="82">
        <f t="shared" ref="MM17:NG17" si="336">ML17</f>
        <v>11977029</v>
      </c>
      <c r="MN17" s="82">
        <f t="shared" si="336"/>
        <v>11977029</v>
      </c>
      <c r="MO17" s="82">
        <f t="shared" si="336"/>
        <v>11977029</v>
      </c>
      <c r="MP17" s="82">
        <f t="shared" si="336"/>
        <v>11977029</v>
      </c>
      <c r="MQ17" s="82">
        <f t="shared" si="336"/>
        <v>11977029</v>
      </c>
      <c r="MR17" s="82">
        <f t="shared" si="336"/>
        <v>11977029</v>
      </c>
      <c r="MS17" s="82">
        <f t="shared" si="336"/>
        <v>11977029</v>
      </c>
      <c r="MT17" s="82">
        <f t="shared" si="336"/>
        <v>11977029</v>
      </c>
      <c r="MU17" s="82">
        <f t="shared" si="336"/>
        <v>11977029</v>
      </c>
      <c r="MV17" s="82">
        <f t="shared" si="336"/>
        <v>11977029</v>
      </c>
      <c r="MW17" s="82">
        <f t="shared" si="336"/>
        <v>11977029</v>
      </c>
      <c r="MX17" s="82">
        <f t="shared" si="336"/>
        <v>11977029</v>
      </c>
      <c r="MY17" s="82">
        <f t="shared" si="336"/>
        <v>11977029</v>
      </c>
      <c r="MZ17" s="82">
        <f t="shared" si="336"/>
        <v>11977029</v>
      </c>
      <c r="NA17" s="82">
        <f t="shared" si="336"/>
        <v>11977029</v>
      </c>
      <c r="NB17" s="82">
        <f t="shared" si="336"/>
        <v>11977029</v>
      </c>
      <c r="NC17" s="82">
        <f t="shared" si="336"/>
        <v>11977029</v>
      </c>
      <c r="ND17" s="82">
        <f t="shared" si="336"/>
        <v>11977029</v>
      </c>
      <c r="NE17" s="82">
        <f t="shared" si="336"/>
        <v>11977029</v>
      </c>
      <c r="NF17" s="82">
        <f t="shared" si="336"/>
        <v>11977029</v>
      </c>
      <c r="NG17" s="82">
        <f t="shared" si="336"/>
        <v>11977029</v>
      </c>
      <c r="NH17" s="82">
        <v>322500</v>
      </c>
      <c r="NI17" s="82">
        <f t="shared" si="283"/>
        <v>322500</v>
      </c>
      <c r="NJ17" s="82">
        <f t="shared" si="283"/>
        <v>322500</v>
      </c>
      <c r="NK17" s="82">
        <f t="shared" si="283"/>
        <v>322500</v>
      </c>
      <c r="NL17" s="82">
        <f t="shared" si="283"/>
        <v>322500</v>
      </c>
      <c r="NM17" s="82">
        <f t="shared" si="283"/>
        <v>322500</v>
      </c>
      <c r="NN17" s="82">
        <f t="shared" si="283"/>
        <v>322500</v>
      </c>
      <c r="NO17" s="82">
        <f t="shared" si="283"/>
        <v>322500</v>
      </c>
      <c r="NP17" s="133"/>
      <c r="NQ17" s="82">
        <f>NO17+NO29</f>
        <v>8985781</v>
      </c>
      <c r="NR17" s="82">
        <f>NQ17</f>
        <v>8985781</v>
      </c>
      <c r="NS17" s="82">
        <f>NQ17+NQ29</f>
        <v>8985781</v>
      </c>
      <c r="NT17" s="82">
        <f>NS17</f>
        <v>8985781</v>
      </c>
      <c r="NU17" s="82">
        <f>NT17</f>
        <v>8985781</v>
      </c>
      <c r="NV17" s="82">
        <v>0</v>
      </c>
      <c r="NW17" s="82">
        <v>0</v>
      </c>
      <c r="NX17" s="82">
        <v>0</v>
      </c>
      <c r="NY17" s="82">
        <v>0</v>
      </c>
      <c r="NZ17" s="82">
        <v>0</v>
      </c>
      <c r="OA17" s="82">
        <v>0</v>
      </c>
      <c r="OB17" s="82">
        <v>0</v>
      </c>
      <c r="OC17" s="82">
        <v>0</v>
      </c>
      <c r="OD17" s="82">
        <v>0</v>
      </c>
      <c r="OE17" s="82">
        <v>0</v>
      </c>
      <c r="OF17" s="82">
        <v>0</v>
      </c>
      <c r="OG17" s="82">
        <v>0</v>
      </c>
      <c r="OH17" s="82">
        <v>0</v>
      </c>
      <c r="OI17" s="82">
        <v>0</v>
      </c>
      <c r="OJ17" s="82">
        <v>0</v>
      </c>
      <c r="OK17" s="82">
        <v>0</v>
      </c>
      <c r="OL17" s="82">
        <v>0</v>
      </c>
      <c r="OM17" s="82">
        <v>0</v>
      </c>
      <c r="ON17" s="82">
        <v>0</v>
      </c>
      <c r="OO17" s="82">
        <v>0</v>
      </c>
      <c r="OP17" s="82">
        <v>0</v>
      </c>
      <c r="OQ17" s="82">
        <v>0</v>
      </c>
      <c r="OR17" s="82">
        <v>0</v>
      </c>
      <c r="OS17" s="82">
        <v>0</v>
      </c>
      <c r="OT17" s="82">
        <v>0</v>
      </c>
      <c r="OU17" s="82">
        <v>0</v>
      </c>
      <c r="OV17" s="130"/>
      <c r="OW17" s="82">
        <f>OU29</f>
        <v>12931342</v>
      </c>
      <c r="OX17" s="82">
        <f t="shared" ref="OX17:PG17" si="337">OW17</f>
        <v>12931342</v>
      </c>
      <c r="OY17" s="82">
        <f t="shared" si="337"/>
        <v>12931342</v>
      </c>
      <c r="OZ17" s="82">
        <f t="shared" si="337"/>
        <v>12931342</v>
      </c>
      <c r="PA17" s="82">
        <f t="shared" si="337"/>
        <v>12931342</v>
      </c>
      <c r="PB17" s="82">
        <f t="shared" si="337"/>
        <v>12931342</v>
      </c>
      <c r="PC17" s="82">
        <f t="shared" si="337"/>
        <v>12931342</v>
      </c>
      <c r="PD17" s="82">
        <f t="shared" si="337"/>
        <v>12931342</v>
      </c>
      <c r="PE17" s="82">
        <f t="shared" si="337"/>
        <v>12931342</v>
      </c>
      <c r="PF17" s="82">
        <f t="shared" si="337"/>
        <v>12931342</v>
      </c>
      <c r="PG17" s="82">
        <f t="shared" si="337"/>
        <v>12931342</v>
      </c>
      <c r="PH17" s="82">
        <v>300000</v>
      </c>
      <c r="PI17" s="82">
        <f t="shared" ref="PI17:PS17" si="338">PH17</f>
        <v>300000</v>
      </c>
      <c r="PJ17" s="82">
        <f t="shared" si="338"/>
        <v>300000</v>
      </c>
      <c r="PK17" s="82">
        <f t="shared" si="338"/>
        <v>300000</v>
      </c>
      <c r="PL17" s="82">
        <f t="shared" si="338"/>
        <v>300000</v>
      </c>
      <c r="PM17" s="82">
        <f t="shared" si="338"/>
        <v>300000</v>
      </c>
      <c r="PN17" s="82">
        <f t="shared" si="338"/>
        <v>300000</v>
      </c>
      <c r="PO17" s="82">
        <f t="shared" si="338"/>
        <v>300000</v>
      </c>
      <c r="PP17" s="82">
        <f t="shared" si="338"/>
        <v>300000</v>
      </c>
      <c r="PQ17" s="82">
        <f t="shared" si="338"/>
        <v>300000</v>
      </c>
      <c r="PR17" s="82">
        <f t="shared" si="338"/>
        <v>300000</v>
      </c>
      <c r="PS17" s="82">
        <f t="shared" si="338"/>
        <v>300000</v>
      </c>
      <c r="PT17" s="82">
        <f>PS17</f>
        <v>300000</v>
      </c>
      <c r="PU17" s="82">
        <f t="shared" si="286"/>
        <v>300000</v>
      </c>
      <c r="PV17" s="82">
        <f t="shared" si="286"/>
        <v>300000</v>
      </c>
      <c r="PW17" s="82">
        <f t="shared" si="286"/>
        <v>300000</v>
      </c>
      <c r="PX17" s="82">
        <f t="shared" si="286"/>
        <v>300000</v>
      </c>
      <c r="PY17" s="82">
        <f t="shared" si="286"/>
        <v>300000</v>
      </c>
      <c r="PZ17" s="82">
        <f t="shared" si="286"/>
        <v>300000</v>
      </c>
      <c r="QA17" s="130"/>
      <c r="QB17" s="82">
        <f>PZ17+PZ29</f>
        <v>22365639</v>
      </c>
      <c r="QC17" s="82">
        <f t="shared" si="173"/>
        <v>22365639</v>
      </c>
      <c r="QD17" s="82">
        <f t="shared" si="173"/>
        <v>22365639</v>
      </c>
      <c r="QE17" s="82">
        <f t="shared" si="173"/>
        <v>22365639</v>
      </c>
      <c r="QF17" s="82">
        <f t="shared" si="173"/>
        <v>22365639</v>
      </c>
      <c r="QG17" s="82">
        <f t="shared" si="173"/>
        <v>22365639</v>
      </c>
      <c r="QH17" s="82">
        <v>0</v>
      </c>
      <c r="QI17" s="82">
        <f t="shared" ref="QI17:RD17" si="339">QH17</f>
        <v>0</v>
      </c>
      <c r="QJ17" s="82">
        <f t="shared" si="339"/>
        <v>0</v>
      </c>
      <c r="QK17" s="82">
        <f t="shared" si="339"/>
        <v>0</v>
      </c>
      <c r="QL17" s="82">
        <f t="shared" si="339"/>
        <v>0</v>
      </c>
      <c r="QM17" s="82">
        <f t="shared" si="339"/>
        <v>0</v>
      </c>
      <c r="QN17" s="82">
        <f t="shared" si="339"/>
        <v>0</v>
      </c>
      <c r="QO17" s="82">
        <f t="shared" si="339"/>
        <v>0</v>
      </c>
      <c r="QP17" s="82">
        <f t="shared" si="339"/>
        <v>0</v>
      </c>
      <c r="QQ17" s="82">
        <f t="shared" si="339"/>
        <v>0</v>
      </c>
      <c r="QR17" s="82">
        <f t="shared" si="339"/>
        <v>0</v>
      </c>
      <c r="QS17" s="82">
        <f t="shared" si="339"/>
        <v>0</v>
      </c>
      <c r="QT17" s="82">
        <f t="shared" si="339"/>
        <v>0</v>
      </c>
      <c r="QU17" s="82">
        <f t="shared" si="339"/>
        <v>0</v>
      </c>
      <c r="QV17" s="82">
        <f t="shared" si="339"/>
        <v>0</v>
      </c>
      <c r="QW17" s="82">
        <f t="shared" si="339"/>
        <v>0</v>
      </c>
      <c r="QX17" s="82">
        <f t="shared" si="339"/>
        <v>0</v>
      </c>
      <c r="QY17" s="82">
        <f t="shared" si="339"/>
        <v>0</v>
      </c>
      <c r="QZ17" s="82">
        <f t="shared" si="339"/>
        <v>0</v>
      </c>
      <c r="RA17" s="82">
        <f t="shared" si="339"/>
        <v>0</v>
      </c>
      <c r="RB17" s="82">
        <f t="shared" si="339"/>
        <v>0</v>
      </c>
      <c r="RC17" s="82">
        <f t="shared" si="339"/>
        <v>0</v>
      </c>
      <c r="RD17" s="82">
        <f t="shared" si="339"/>
        <v>0</v>
      </c>
      <c r="RE17" s="82">
        <f>RD17</f>
        <v>0</v>
      </c>
      <c r="RF17" s="82">
        <f>RE17</f>
        <v>0</v>
      </c>
      <c r="RG17" s="130"/>
      <c r="RH17" s="82">
        <f>RF29</f>
        <v>29104676</v>
      </c>
      <c r="RI17" s="82">
        <f t="shared" ref="RI17:RQ17" si="340">RH17</f>
        <v>29104676</v>
      </c>
      <c r="RJ17" s="82">
        <f t="shared" si="340"/>
        <v>29104676</v>
      </c>
      <c r="RK17" s="82">
        <f t="shared" si="340"/>
        <v>29104676</v>
      </c>
      <c r="RL17" s="82">
        <f t="shared" si="340"/>
        <v>29104676</v>
      </c>
      <c r="RM17" s="82">
        <f t="shared" si="340"/>
        <v>29104676</v>
      </c>
      <c r="RN17" s="82">
        <f t="shared" si="340"/>
        <v>29104676</v>
      </c>
      <c r="RO17" s="82">
        <f t="shared" si="340"/>
        <v>29104676</v>
      </c>
      <c r="RP17" s="82">
        <f t="shared" si="340"/>
        <v>29104676</v>
      </c>
      <c r="RQ17" s="82">
        <f t="shared" si="340"/>
        <v>29104676</v>
      </c>
      <c r="RR17" s="82">
        <v>0</v>
      </c>
      <c r="RS17" s="82">
        <f t="shared" ref="RS17:SK17" si="341">RR17</f>
        <v>0</v>
      </c>
      <c r="RT17" s="82">
        <f t="shared" si="341"/>
        <v>0</v>
      </c>
      <c r="RU17" s="82">
        <f t="shared" si="341"/>
        <v>0</v>
      </c>
      <c r="RV17" s="82">
        <f t="shared" si="341"/>
        <v>0</v>
      </c>
      <c r="RW17" s="82">
        <f t="shared" si="341"/>
        <v>0</v>
      </c>
      <c r="RX17" s="82">
        <f t="shared" si="341"/>
        <v>0</v>
      </c>
      <c r="RY17" s="82">
        <f t="shared" si="341"/>
        <v>0</v>
      </c>
      <c r="RZ17" s="82">
        <f t="shared" si="341"/>
        <v>0</v>
      </c>
      <c r="SA17" s="82">
        <f t="shared" si="341"/>
        <v>0</v>
      </c>
      <c r="SB17" s="82">
        <f t="shared" si="341"/>
        <v>0</v>
      </c>
      <c r="SC17" s="82">
        <f t="shared" si="341"/>
        <v>0</v>
      </c>
      <c r="SD17" s="82">
        <f t="shared" si="341"/>
        <v>0</v>
      </c>
      <c r="SE17" s="82">
        <f t="shared" si="341"/>
        <v>0</v>
      </c>
      <c r="SF17" s="82">
        <f t="shared" si="341"/>
        <v>0</v>
      </c>
      <c r="SG17" s="82">
        <f t="shared" si="341"/>
        <v>0</v>
      </c>
      <c r="SH17" s="82">
        <f t="shared" si="341"/>
        <v>0</v>
      </c>
      <c r="SI17" s="82">
        <f t="shared" si="341"/>
        <v>0</v>
      </c>
      <c r="SJ17" s="82">
        <f t="shared" si="341"/>
        <v>0</v>
      </c>
      <c r="SK17" s="82">
        <f t="shared" si="341"/>
        <v>0</v>
      </c>
      <c r="SL17" s="130"/>
      <c r="SM17" s="82">
        <f>SK29</f>
        <v>23193186</v>
      </c>
      <c r="SN17" s="82">
        <f t="shared" si="177"/>
        <v>23193186</v>
      </c>
      <c r="SO17" s="82">
        <f t="shared" si="177"/>
        <v>23193186</v>
      </c>
      <c r="SP17" s="82">
        <f t="shared" si="177"/>
        <v>23193186</v>
      </c>
      <c r="SQ17" s="82">
        <f t="shared" si="177"/>
        <v>23193186</v>
      </c>
      <c r="SR17" s="82">
        <v>0</v>
      </c>
      <c r="SS17" s="82">
        <f t="shared" ref="SS17:TQ17" si="342">SR17</f>
        <v>0</v>
      </c>
      <c r="ST17" s="82">
        <f t="shared" si="342"/>
        <v>0</v>
      </c>
      <c r="SU17" s="82">
        <f t="shared" si="342"/>
        <v>0</v>
      </c>
      <c r="SV17" s="82">
        <f t="shared" si="342"/>
        <v>0</v>
      </c>
      <c r="SW17" s="82">
        <f t="shared" si="342"/>
        <v>0</v>
      </c>
      <c r="SX17" s="82">
        <f t="shared" si="342"/>
        <v>0</v>
      </c>
      <c r="SY17" s="82">
        <f t="shared" si="342"/>
        <v>0</v>
      </c>
      <c r="SZ17" s="82">
        <f t="shared" si="342"/>
        <v>0</v>
      </c>
      <c r="TA17" s="82">
        <f t="shared" si="342"/>
        <v>0</v>
      </c>
      <c r="TB17" s="82">
        <f t="shared" si="342"/>
        <v>0</v>
      </c>
      <c r="TC17" s="82">
        <f t="shared" si="342"/>
        <v>0</v>
      </c>
      <c r="TD17" s="82">
        <f t="shared" si="342"/>
        <v>0</v>
      </c>
      <c r="TE17" s="82">
        <f t="shared" si="342"/>
        <v>0</v>
      </c>
      <c r="TF17" s="82">
        <f t="shared" si="342"/>
        <v>0</v>
      </c>
      <c r="TG17" s="82">
        <f t="shared" si="342"/>
        <v>0</v>
      </c>
      <c r="TH17" s="82">
        <f t="shared" si="342"/>
        <v>0</v>
      </c>
      <c r="TI17" s="82">
        <f t="shared" si="342"/>
        <v>0</v>
      </c>
      <c r="TJ17" s="82">
        <f t="shared" si="342"/>
        <v>0</v>
      </c>
      <c r="TK17" s="82">
        <f t="shared" si="342"/>
        <v>0</v>
      </c>
      <c r="TL17" s="82">
        <f t="shared" si="342"/>
        <v>0</v>
      </c>
      <c r="TM17" s="82">
        <f t="shared" si="342"/>
        <v>0</v>
      </c>
      <c r="TN17" s="82">
        <f t="shared" si="342"/>
        <v>0</v>
      </c>
      <c r="TO17" s="82">
        <f t="shared" si="342"/>
        <v>0</v>
      </c>
      <c r="TP17" s="82">
        <f t="shared" si="342"/>
        <v>0</v>
      </c>
      <c r="TQ17" s="82">
        <f t="shared" si="342"/>
        <v>0</v>
      </c>
      <c r="TR17" s="130"/>
      <c r="TS17" s="82">
        <f>TQ29</f>
        <v>20358351</v>
      </c>
      <c r="TT17" s="82">
        <f t="shared" si="179"/>
        <v>20358351</v>
      </c>
      <c r="TU17" s="82">
        <f t="shared" si="179"/>
        <v>20358351</v>
      </c>
      <c r="TV17" s="82">
        <f t="shared" si="179"/>
        <v>20358351</v>
      </c>
      <c r="TW17" s="82">
        <f t="shared" si="179"/>
        <v>20358351</v>
      </c>
      <c r="TX17" s="82">
        <f t="shared" si="179"/>
        <v>20358351</v>
      </c>
      <c r="TY17" s="82">
        <v>0</v>
      </c>
      <c r="TZ17" s="82">
        <f t="shared" ref="TZ17:UW17" si="343">TY17</f>
        <v>0</v>
      </c>
      <c r="UA17" s="82">
        <f t="shared" si="343"/>
        <v>0</v>
      </c>
      <c r="UB17" s="82">
        <f t="shared" si="343"/>
        <v>0</v>
      </c>
      <c r="UC17" s="82">
        <f t="shared" si="343"/>
        <v>0</v>
      </c>
      <c r="UD17" s="82">
        <f t="shared" si="343"/>
        <v>0</v>
      </c>
      <c r="UE17" s="82">
        <f t="shared" si="343"/>
        <v>0</v>
      </c>
      <c r="UF17" s="82">
        <f t="shared" si="343"/>
        <v>0</v>
      </c>
      <c r="UG17" s="82">
        <f t="shared" si="343"/>
        <v>0</v>
      </c>
      <c r="UH17" s="82">
        <f t="shared" si="343"/>
        <v>0</v>
      </c>
      <c r="UI17" s="82">
        <f t="shared" si="343"/>
        <v>0</v>
      </c>
      <c r="UJ17" s="82">
        <f t="shared" si="343"/>
        <v>0</v>
      </c>
      <c r="UK17" s="82">
        <f t="shared" si="343"/>
        <v>0</v>
      </c>
      <c r="UL17" s="82">
        <f t="shared" si="343"/>
        <v>0</v>
      </c>
      <c r="UM17" s="82">
        <f t="shared" si="343"/>
        <v>0</v>
      </c>
      <c r="UN17" s="82">
        <f t="shared" si="343"/>
        <v>0</v>
      </c>
      <c r="UO17" s="82">
        <f t="shared" si="343"/>
        <v>0</v>
      </c>
      <c r="UP17" s="82">
        <f t="shared" si="343"/>
        <v>0</v>
      </c>
      <c r="UQ17" s="82">
        <f t="shared" si="343"/>
        <v>0</v>
      </c>
      <c r="UR17" s="82">
        <f t="shared" si="343"/>
        <v>0</v>
      </c>
      <c r="US17" s="82">
        <f t="shared" si="343"/>
        <v>0</v>
      </c>
      <c r="UT17" s="82">
        <f t="shared" si="343"/>
        <v>0</v>
      </c>
      <c r="UU17" s="82">
        <f t="shared" si="343"/>
        <v>0</v>
      </c>
      <c r="UV17" s="82">
        <f t="shared" si="343"/>
        <v>0</v>
      </c>
      <c r="UW17" s="82">
        <f t="shared" si="343"/>
        <v>0</v>
      </c>
      <c r="UX17" s="130"/>
      <c r="UY17" s="82">
        <f>UW29</f>
        <v>19670415</v>
      </c>
      <c r="UZ17" s="82">
        <f t="shared" si="181"/>
        <v>19670415</v>
      </c>
      <c r="VA17" s="82">
        <f t="shared" si="181"/>
        <v>19670415</v>
      </c>
      <c r="VB17" s="82">
        <f t="shared" si="181"/>
        <v>19670415</v>
      </c>
      <c r="VC17" s="82">
        <f t="shared" si="181"/>
        <v>19670415</v>
      </c>
      <c r="VD17" s="82">
        <f t="shared" si="181"/>
        <v>19670415</v>
      </c>
      <c r="VE17" s="82">
        <v>60000</v>
      </c>
      <c r="VF17" s="82">
        <v>60000</v>
      </c>
      <c r="VG17" s="82">
        <f t="shared" ref="VG17:VZ17" si="344">VF17</f>
        <v>60000</v>
      </c>
      <c r="VH17" s="82">
        <f t="shared" si="344"/>
        <v>60000</v>
      </c>
      <c r="VI17" s="82">
        <f t="shared" si="344"/>
        <v>60000</v>
      </c>
      <c r="VJ17" s="82">
        <f t="shared" si="344"/>
        <v>60000</v>
      </c>
      <c r="VK17" s="82">
        <f t="shared" si="344"/>
        <v>60000</v>
      </c>
      <c r="VL17" s="82">
        <f t="shared" si="344"/>
        <v>60000</v>
      </c>
      <c r="VM17" s="82">
        <f t="shared" si="344"/>
        <v>60000</v>
      </c>
      <c r="VN17" s="82">
        <f t="shared" si="344"/>
        <v>60000</v>
      </c>
      <c r="VO17" s="82">
        <f t="shared" si="344"/>
        <v>60000</v>
      </c>
      <c r="VP17" s="82">
        <f t="shared" si="344"/>
        <v>60000</v>
      </c>
      <c r="VQ17" s="82">
        <f t="shared" si="344"/>
        <v>60000</v>
      </c>
      <c r="VR17" s="82">
        <f t="shared" si="344"/>
        <v>60000</v>
      </c>
      <c r="VS17" s="82">
        <f t="shared" si="344"/>
        <v>60000</v>
      </c>
      <c r="VT17" s="82">
        <f t="shared" si="344"/>
        <v>60000</v>
      </c>
      <c r="VU17" s="82">
        <f t="shared" si="344"/>
        <v>60000</v>
      </c>
      <c r="VV17" s="82">
        <f t="shared" si="344"/>
        <v>60000</v>
      </c>
      <c r="VW17" s="82">
        <f t="shared" si="344"/>
        <v>60000</v>
      </c>
      <c r="VX17" s="82">
        <f t="shared" si="344"/>
        <v>60000</v>
      </c>
      <c r="VY17" s="82">
        <f t="shared" si="344"/>
        <v>60000</v>
      </c>
      <c r="VZ17" s="82">
        <f t="shared" si="344"/>
        <v>60000</v>
      </c>
      <c r="WA17" s="133"/>
      <c r="WB17" s="82">
        <f>VZ17+VZ29</f>
        <v>26561130</v>
      </c>
      <c r="WC17" s="82">
        <f t="shared" si="182"/>
        <v>26561130</v>
      </c>
      <c r="WD17" s="82">
        <f t="shared" si="182"/>
        <v>26561130</v>
      </c>
      <c r="WE17" s="82">
        <f t="shared" si="182"/>
        <v>26561130</v>
      </c>
      <c r="WF17" s="82">
        <f t="shared" si="182"/>
        <v>26561130</v>
      </c>
      <c r="WG17" s="82">
        <f t="shared" si="182"/>
        <v>26561130</v>
      </c>
      <c r="WH17" s="82">
        <f t="shared" si="182"/>
        <v>26561130</v>
      </c>
      <c r="WI17" s="82">
        <f t="shared" si="182"/>
        <v>26561130</v>
      </c>
      <c r="WJ17" s="82">
        <v>0</v>
      </c>
      <c r="WK17" s="82">
        <v>0</v>
      </c>
      <c r="WL17" s="82">
        <v>0</v>
      </c>
      <c r="WM17" s="82">
        <v>0</v>
      </c>
      <c r="WN17" s="82">
        <v>0</v>
      </c>
      <c r="WO17" s="82">
        <v>0</v>
      </c>
      <c r="WP17" s="82">
        <v>0</v>
      </c>
      <c r="WQ17" s="82">
        <v>0</v>
      </c>
      <c r="WR17" s="82">
        <v>0</v>
      </c>
      <c r="WS17" s="82">
        <v>0</v>
      </c>
      <c r="WT17" s="82">
        <v>0</v>
      </c>
      <c r="WU17" s="82">
        <v>0</v>
      </c>
      <c r="WV17" s="82">
        <v>0</v>
      </c>
      <c r="WW17" s="82">
        <v>0</v>
      </c>
      <c r="WX17" s="82">
        <v>0</v>
      </c>
      <c r="WY17" s="82">
        <v>0</v>
      </c>
      <c r="WZ17" s="82">
        <v>0</v>
      </c>
      <c r="XA17" s="82">
        <v>0</v>
      </c>
      <c r="XB17" s="82">
        <v>0</v>
      </c>
      <c r="XC17" s="82">
        <v>0</v>
      </c>
      <c r="XD17" s="82">
        <v>0</v>
      </c>
      <c r="XE17" s="82">
        <v>0</v>
      </c>
      <c r="XF17" s="82">
        <v>0</v>
      </c>
      <c r="XG17" s="133"/>
      <c r="XH17" s="82">
        <f>XF29</f>
        <v>28044165</v>
      </c>
      <c r="XI17" s="82">
        <f t="shared" si="183"/>
        <v>28044165</v>
      </c>
      <c r="XJ17" s="82">
        <f t="shared" si="183"/>
        <v>28044165</v>
      </c>
      <c r="XK17" s="82">
        <f t="shared" si="183"/>
        <v>28044165</v>
      </c>
      <c r="XL17" s="82">
        <f t="shared" si="183"/>
        <v>28044165</v>
      </c>
      <c r="XM17" s="82">
        <f t="shared" si="183"/>
        <v>28044165</v>
      </c>
      <c r="XN17" s="82">
        <f t="shared" si="183"/>
        <v>28044165</v>
      </c>
      <c r="XO17" s="82">
        <f t="shared" si="183"/>
        <v>28044165</v>
      </c>
      <c r="XP17" s="82">
        <v>0</v>
      </c>
      <c r="XQ17" s="82">
        <f t="shared" ref="XQ17:YK17" si="345">XP17</f>
        <v>0</v>
      </c>
      <c r="XR17" s="82">
        <f t="shared" si="345"/>
        <v>0</v>
      </c>
      <c r="XS17" s="82">
        <f t="shared" si="345"/>
        <v>0</v>
      </c>
      <c r="XT17" s="82">
        <f t="shared" si="345"/>
        <v>0</v>
      </c>
      <c r="XU17" s="82">
        <f t="shared" si="345"/>
        <v>0</v>
      </c>
      <c r="XV17" s="82">
        <f t="shared" si="345"/>
        <v>0</v>
      </c>
      <c r="XW17" s="82">
        <f t="shared" si="345"/>
        <v>0</v>
      </c>
      <c r="XX17" s="82">
        <f t="shared" si="345"/>
        <v>0</v>
      </c>
      <c r="XY17" s="82">
        <f t="shared" si="345"/>
        <v>0</v>
      </c>
      <c r="XZ17" s="82">
        <f t="shared" si="345"/>
        <v>0</v>
      </c>
      <c r="YA17" s="82">
        <f t="shared" si="345"/>
        <v>0</v>
      </c>
      <c r="YB17" s="82">
        <f t="shared" si="345"/>
        <v>0</v>
      </c>
      <c r="YC17" s="82">
        <f t="shared" si="345"/>
        <v>0</v>
      </c>
      <c r="YD17" s="82">
        <f t="shared" si="345"/>
        <v>0</v>
      </c>
      <c r="YE17" s="82">
        <f t="shared" si="345"/>
        <v>0</v>
      </c>
      <c r="YF17" s="82">
        <f t="shared" si="345"/>
        <v>0</v>
      </c>
      <c r="YG17" s="82">
        <f t="shared" si="345"/>
        <v>0</v>
      </c>
      <c r="YH17" s="82">
        <f t="shared" si="345"/>
        <v>0</v>
      </c>
      <c r="YI17" s="82">
        <f t="shared" si="345"/>
        <v>0</v>
      </c>
      <c r="YJ17" s="82">
        <f t="shared" si="345"/>
        <v>0</v>
      </c>
      <c r="YK17" s="82">
        <f t="shared" si="345"/>
        <v>0</v>
      </c>
      <c r="YL17" s="130"/>
      <c r="YM17" s="82">
        <f>YK29+YK30</f>
        <v>6756389</v>
      </c>
      <c r="YN17" s="82">
        <f t="shared" ref="YN17:YV17" si="346">YM17</f>
        <v>6756389</v>
      </c>
      <c r="YO17" s="82">
        <f t="shared" si="346"/>
        <v>6756389</v>
      </c>
      <c r="YP17" s="82">
        <f t="shared" si="346"/>
        <v>6756389</v>
      </c>
      <c r="YQ17" s="82">
        <f t="shared" si="346"/>
        <v>6756389</v>
      </c>
      <c r="YR17" s="82">
        <f t="shared" si="346"/>
        <v>6756389</v>
      </c>
      <c r="YS17" s="82">
        <f t="shared" si="346"/>
        <v>6756389</v>
      </c>
      <c r="YT17" s="82">
        <f t="shared" si="346"/>
        <v>6756389</v>
      </c>
      <c r="YU17" s="82">
        <f t="shared" si="346"/>
        <v>6756389</v>
      </c>
      <c r="YV17" s="82">
        <f t="shared" si="346"/>
        <v>6756389</v>
      </c>
      <c r="YW17" s="82">
        <v>200000</v>
      </c>
      <c r="YX17" s="82">
        <f t="shared" ref="YX17:ZG17" si="347">YW17</f>
        <v>200000</v>
      </c>
      <c r="YY17" s="82">
        <f t="shared" si="347"/>
        <v>200000</v>
      </c>
      <c r="YZ17" s="82">
        <f t="shared" si="347"/>
        <v>200000</v>
      </c>
      <c r="ZA17" s="82">
        <f t="shared" si="347"/>
        <v>200000</v>
      </c>
      <c r="ZB17" s="82">
        <f t="shared" si="347"/>
        <v>200000</v>
      </c>
      <c r="ZC17" s="82">
        <f t="shared" si="347"/>
        <v>200000</v>
      </c>
      <c r="ZD17" s="82">
        <f t="shared" si="347"/>
        <v>200000</v>
      </c>
      <c r="ZE17" s="82">
        <f t="shared" si="347"/>
        <v>200000</v>
      </c>
      <c r="ZF17" s="82">
        <f t="shared" si="347"/>
        <v>200000</v>
      </c>
      <c r="ZG17" s="82">
        <f t="shared" si="347"/>
        <v>200000</v>
      </c>
      <c r="ZH17" s="82">
        <v>0</v>
      </c>
      <c r="ZI17" s="82">
        <f t="shared" ref="ZI17:ZQ17" si="348">ZH17</f>
        <v>0</v>
      </c>
      <c r="ZJ17" s="82">
        <f t="shared" si="348"/>
        <v>0</v>
      </c>
      <c r="ZK17" s="82">
        <f t="shared" si="348"/>
        <v>0</v>
      </c>
      <c r="ZL17" s="82">
        <f t="shared" si="348"/>
        <v>0</v>
      </c>
      <c r="ZM17" s="82">
        <f t="shared" si="348"/>
        <v>0</v>
      </c>
      <c r="ZN17" s="82">
        <f t="shared" si="348"/>
        <v>0</v>
      </c>
      <c r="ZO17" s="82">
        <f t="shared" si="348"/>
        <v>0</v>
      </c>
      <c r="ZP17" s="82">
        <f t="shared" si="348"/>
        <v>0</v>
      </c>
      <c r="ZQ17" s="82">
        <f t="shared" si="348"/>
        <v>0</v>
      </c>
      <c r="ZR17" s="130"/>
      <c r="ZS17" s="82">
        <f>ZQ29+ZQ30</f>
        <v>21623693</v>
      </c>
      <c r="ZT17" s="82">
        <f t="shared" si="187"/>
        <v>21623693</v>
      </c>
      <c r="ZU17" s="82">
        <v>0</v>
      </c>
      <c r="ZV17" s="82">
        <f t="shared" ref="ZV17:AAV17" si="349">ZU17</f>
        <v>0</v>
      </c>
      <c r="ZW17" s="82">
        <f t="shared" si="349"/>
        <v>0</v>
      </c>
      <c r="ZX17" s="82">
        <f t="shared" si="349"/>
        <v>0</v>
      </c>
      <c r="ZY17" s="82">
        <f t="shared" si="349"/>
        <v>0</v>
      </c>
      <c r="ZZ17" s="82">
        <f t="shared" si="349"/>
        <v>0</v>
      </c>
      <c r="AAA17" s="82">
        <f t="shared" si="349"/>
        <v>0</v>
      </c>
      <c r="AAB17" s="82">
        <f t="shared" si="349"/>
        <v>0</v>
      </c>
      <c r="AAC17" s="82">
        <f t="shared" si="349"/>
        <v>0</v>
      </c>
      <c r="AAD17" s="82">
        <f t="shared" si="349"/>
        <v>0</v>
      </c>
      <c r="AAE17" s="82">
        <f t="shared" si="349"/>
        <v>0</v>
      </c>
      <c r="AAF17" s="82">
        <f t="shared" si="349"/>
        <v>0</v>
      </c>
      <c r="AAG17" s="82">
        <f t="shared" si="349"/>
        <v>0</v>
      </c>
      <c r="AAH17" s="82">
        <f t="shared" si="349"/>
        <v>0</v>
      </c>
      <c r="AAI17" s="82">
        <f t="shared" si="349"/>
        <v>0</v>
      </c>
      <c r="AAJ17" s="82">
        <f t="shared" si="349"/>
        <v>0</v>
      </c>
      <c r="AAK17" s="82">
        <f t="shared" si="349"/>
        <v>0</v>
      </c>
      <c r="AAL17" s="82">
        <f t="shared" si="349"/>
        <v>0</v>
      </c>
      <c r="AAM17" s="82">
        <f t="shared" si="349"/>
        <v>0</v>
      </c>
      <c r="AAN17" s="82">
        <f t="shared" si="349"/>
        <v>0</v>
      </c>
      <c r="AAO17" s="82">
        <f t="shared" si="349"/>
        <v>0</v>
      </c>
      <c r="AAP17" s="82">
        <f t="shared" si="349"/>
        <v>0</v>
      </c>
      <c r="AAQ17" s="82">
        <f t="shared" si="349"/>
        <v>0</v>
      </c>
      <c r="AAR17" s="82">
        <f t="shared" si="349"/>
        <v>0</v>
      </c>
      <c r="AAS17" s="82">
        <f t="shared" si="349"/>
        <v>0</v>
      </c>
      <c r="AAT17" s="82">
        <f t="shared" si="349"/>
        <v>0</v>
      </c>
      <c r="AAU17" s="82">
        <f t="shared" si="349"/>
        <v>0</v>
      </c>
      <c r="AAV17" s="82">
        <f t="shared" si="349"/>
        <v>0</v>
      </c>
      <c r="AAW17" s="130"/>
      <c r="AAX17" s="82">
        <f>AAV29</f>
        <v>22942362</v>
      </c>
      <c r="AAY17" s="82">
        <f t="shared" ref="AAY17:ABM17" si="350">AAX17</f>
        <v>22942362</v>
      </c>
      <c r="AAZ17" s="82">
        <f t="shared" si="350"/>
        <v>22942362</v>
      </c>
      <c r="ABA17" s="82">
        <f t="shared" si="350"/>
        <v>22942362</v>
      </c>
      <c r="ABB17" s="82">
        <f t="shared" si="350"/>
        <v>22942362</v>
      </c>
      <c r="ABC17" s="82">
        <f t="shared" si="350"/>
        <v>22942362</v>
      </c>
      <c r="ABD17" s="82">
        <f t="shared" si="350"/>
        <v>22942362</v>
      </c>
      <c r="ABE17" s="82">
        <f t="shared" si="350"/>
        <v>22942362</v>
      </c>
      <c r="ABF17" s="82">
        <f t="shared" si="350"/>
        <v>22942362</v>
      </c>
      <c r="ABG17" s="82">
        <f t="shared" si="350"/>
        <v>22942362</v>
      </c>
      <c r="ABH17" s="82">
        <f t="shared" si="350"/>
        <v>22942362</v>
      </c>
      <c r="ABI17" s="82">
        <f t="shared" si="350"/>
        <v>22942362</v>
      </c>
      <c r="ABJ17" s="82">
        <f t="shared" si="350"/>
        <v>22942362</v>
      </c>
      <c r="ABK17" s="82">
        <f t="shared" si="350"/>
        <v>22942362</v>
      </c>
      <c r="ABL17" s="82">
        <f t="shared" si="350"/>
        <v>22942362</v>
      </c>
      <c r="ABM17" s="82">
        <f t="shared" si="350"/>
        <v>22942362</v>
      </c>
      <c r="ABN17" s="82">
        <v>0</v>
      </c>
      <c r="ABO17" s="82">
        <f t="shared" ref="ABO17:ACB17" si="351">ABN17</f>
        <v>0</v>
      </c>
      <c r="ABP17" s="82">
        <f t="shared" si="351"/>
        <v>0</v>
      </c>
      <c r="ABQ17" s="82">
        <f t="shared" si="351"/>
        <v>0</v>
      </c>
      <c r="ABR17" s="82">
        <f t="shared" si="351"/>
        <v>0</v>
      </c>
      <c r="ABS17" s="82">
        <f t="shared" si="351"/>
        <v>0</v>
      </c>
      <c r="ABT17" s="82">
        <f t="shared" si="351"/>
        <v>0</v>
      </c>
      <c r="ABU17" s="82">
        <f t="shared" si="351"/>
        <v>0</v>
      </c>
      <c r="ABV17" s="82">
        <f t="shared" si="351"/>
        <v>0</v>
      </c>
      <c r="ABW17" s="82">
        <f t="shared" si="351"/>
        <v>0</v>
      </c>
      <c r="ABX17" s="82">
        <f t="shared" si="351"/>
        <v>0</v>
      </c>
      <c r="ABY17" s="82">
        <f t="shared" si="351"/>
        <v>0</v>
      </c>
      <c r="ABZ17" s="82">
        <f t="shared" si="351"/>
        <v>0</v>
      </c>
      <c r="ACA17" s="82">
        <f t="shared" si="351"/>
        <v>0</v>
      </c>
      <c r="ACB17" s="82">
        <f t="shared" si="351"/>
        <v>0</v>
      </c>
      <c r="ACC17" s="130"/>
      <c r="ACD17" s="82">
        <f>ACB29</f>
        <v>11352304</v>
      </c>
      <c r="ACE17" s="82">
        <f t="shared" si="191"/>
        <v>11352304</v>
      </c>
      <c r="ACF17" s="82">
        <f t="shared" si="191"/>
        <v>11352304</v>
      </c>
      <c r="ACG17" s="82">
        <f t="shared" si="191"/>
        <v>11352304</v>
      </c>
      <c r="ACH17" s="82">
        <f t="shared" si="191"/>
        <v>11352304</v>
      </c>
      <c r="ACI17" s="82">
        <v>0</v>
      </c>
      <c r="ACJ17" s="82">
        <f t="shared" ref="ACJ17:ADH17" si="352">ACI17</f>
        <v>0</v>
      </c>
      <c r="ACK17" s="82">
        <f t="shared" si="352"/>
        <v>0</v>
      </c>
      <c r="ACL17" s="82">
        <f t="shared" si="352"/>
        <v>0</v>
      </c>
      <c r="ACM17" s="82">
        <f t="shared" si="352"/>
        <v>0</v>
      </c>
      <c r="ACN17" s="82">
        <f t="shared" si="352"/>
        <v>0</v>
      </c>
      <c r="ACO17" s="82">
        <f t="shared" si="352"/>
        <v>0</v>
      </c>
      <c r="ACP17" s="82">
        <f t="shared" si="352"/>
        <v>0</v>
      </c>
      <c r="ACQ17" s="82">
        <f t="shared" si="352"/>
        <v>0</v>
      </c>
      <c r="ACR17" s="82">
        <f t="shared" si="352"/>
        <v>0</v>
      </c>
      <c r="ACS17" s="82">
        <f t="shared" si="352"/>
        <v>0</v>
      </c>
      <c r="ACT17" s="82">
        <f t="shared" si="352"/>
        <v>0</v>
      </c>
      <c r="ACU17" s="82">
        <f t="shared" si="352"/>
        <v>0</v>
      </c>
      <c r="ACV17" s="82">
        <f t="shared" si="352"/>
        <v>0</v>
      </c>
      <c r="ACW17" s="82">
        <f t="shared" si="352"/>
        <v>0</v>
      </c>
      <c r="ACX17" s="82">
        <f t="shared" si="352"/>
        <v>0</v>
      </c>
      <c r="ACY17" s="82">
        <f t="shared" si="352"/>
        <v>0</v>
      </c>
      <c r="ACZ17" s="82">
        <f t="shared" si="352"/>
        <v>0</v>
      </c>
      <c r="ADA17" s="82">
        <f t="shared" si="352"/>
        <v>0</v>
      </c>
      <c r="ADB17" s="82">
        <f t="shared" si="352"/>
        <v>0</v>
      </c>
      <c r="ADC17" s="82">
        <f t="shared" si="352"/>
        <v>0</v>
      </c>
      <c r="ADD17" s="82">
        <f t="shared" si="352"/>
        <v>0</v>
      </c>
      <c r="ADE17" s="82">
        <f t="shared" si="352"/>
        <v>0</v>
      </c>
      <c r="ADF17" s="82">
        <f t="shared" si="352"/>
        <v>0</v>
      </c>
      <c r="ADG17" s="82">
        <f t="shared" si="352"/>
        <v>0</v>
      </c>
      <c r="ADH17" s="82">
        <f t="shared" si="352"/>
        <v>0</v>
      </c>
      <c r="ADI17" s="130"/>
      <c r="ADJ17" s="82">
        <f>ADH29</f>
        <v>14125063</v>
      </c>
      <c r="ADK17" s="82">
        <f t="shared" ref="ADK17:ADV17" si="353">ADJ17</f>
        <v>14125063</v>
      </c>
      <c r="ADL17" s="82">
        <f t="shared" si="353"/>
        <v>14125063</v>
      </c>
      <c r="ADM17" s="82">
        <f t="shared" si="353"/>
        <v>14125063</v>
      </c>
      <c r="ADN17" s="82">
        <f t="shared" si="353"/>
        <v>14125063</v>
      </c>
      <c r="ADO17" s="82">
        <f t="shared" si="353"/>
        <v>14125063</v>
      </c>
      <c r="ADP17" s="82">
        <f t="shared" si="353"/>
        <v>14125063</v>
      </c>
      <c r="ADQ17" s="82">
        <f t="shared" si="353"/>
        <v>14125063</v>
      </c>
      <c r="ADR17" s="82">
        <f t="shared" si="353"/>
        <v>14125063</v>
      </c>
      <c r="ADS17" s="82">
        <f t="shared" si="353"/>
        <v>14125063</v>
      </c>
      <c r="ADT17" s="82">
        <f t="shared" si="353"/>
        <v>14125063</v>
      </c>
      <c r="ADU17" s="82">
        <f t="shared" si="353"/>
        <v>14125063</v>
      </c>
      <c r="ADV17" s="82">
        <f t="shared" si="353"/>
        <v>14125063</v>
      </c>
      <c r="ADW17" s="82">
        <f>1000000+734724</f>
        <v>1734724</v>
      </c>
      <c r="ADX17" s="82">
        <f t="shared" ref="ADX17:AEG17" si="354">ADW17</f>
        <v>1734724</v>
      </c>
      <c r="ADY17" s="82">
        <f t="shared" si="354"/>
        <v>1734724</v>
      </c>
      <c r="ADZ17" s="82">
        <f t="shared" si="354"/>
        <v>1734724</v>
      </c>
      <c r="AEA17" s="82">
        <f t="shared" si="354"/>
        <v>1734724</v>
      </c>
      <c r="AEB17" s="82">
        <f t="shared" si="354"/>
        <v>1734724</v>
      </c>
      <c r="AEC17" s="82">
        <f t="shared" si="354"/>
        <v>1734724</v>
      </c>
      <c r="AED17" s="82">
        <f t="shared" si="354"/>
        <v>1734724</v>
      </c>
      <c r="AEE17" s="82">
        <f t="shared" si="354"/>
        <v>1734724</v>
      </c>
      <c r="AEF17" s="82">
        <f t="shared" si="354"/>
        <v>1734724</v>
      </c>
      <c r="AEG17" s="82">
        <f t="shared" si="354"/>
        <v>1734724</v>
      </c>
      <c r="AEH17" s="82">
        <f t="shared" si="303"/>
        <v>1734724</v>
      </c>
      <c r="AEI17" s="82">
        <f t="shared" si="232"/>
        <v>1734724</v>
      </c>
      <c r="AEJ17" s="82">
        <f t="shared" si="232"/>
        <v>1734724</v>
      </c>
      <c r="AEK17" s="82">
        <f t="shared" si="232"/>
        <v>1734724</v>
      </c>
      <c r="AEL17" s="82">
        <f t="shared" si="232"/>
        <v>1734724</v>
      </c>
      <c r="AEM17" s="82">
        <f t="shared" si="232"/>
        <v>1734724</v>
      </c>
      <c r="AEN17" s="130"/>
      <c r="AEO17" s="82">
        <f>AEM17+AEM29</f>
        <v>12980100</v>
      </c>
      <c r="AEP17" s="82">
        <f t="shared" si="195"/>
        <v>12980100</v>
      </c>
      <c r="AEQ17" s="82">
        <f t="shared" si="195"/>
        <v>12980100</v>
      </c>
      <c r="AER17" s="82">
        <f t="shared" si="195"/>
        <v>12980100</v>
      </c>
      <c r="AES17" s="82">
        <f t="shared" si="195"/>
        <v>12980100</v>
      </c>
      <c r="AET17" s="82">
        <f t="shared" si="195"/>
        <v>12980100</v>
      </c>
      <c r="AEU17" s="82">
        <v>1000000</v>
      </c>
      <c r="AEV17" s="82">
        <f t="shared" ref="AEV17:AFS17" si="355">AEU17</f>
        <v>1000000</v>
      </c>
      <c r="AEW17" s="82">
        <f t="shared" si="355"/>
        <v>1000000</v>
      </c>
      <c r="AEX17" s="82">
        <f t="shared" si="355"/>
        <v>1000000</v>
      </c>
      <c r="AEY17" s="82">
        <f t="shared" si="355"/>
        <v>1000000</v>
      </c>
      <c r="AEZ17" s="82">
        <f t="shared" si="355"/>
        <v>1000000</v>
      </c>
      <c r="AFA17" s="82">
        <f t="shared" si="355"/>
        <v>1000000</v>
      </c>
      <c r="AFB17" s="82">
        <f t="shared" si="355"/>
        <v>1000000</v>
      </c>
      <c r="AFC17" s="82">
        <f t="shared" si="355"/>
        <v>1000000</v>
      </c>
      <c r="AFD17" s="82">
        <f t="shared" si="355"/>
        <v>1000000</v>
      </c>
      <c r="AFE17" s="82">
        <f t="shared" si="355"/>
        <v>1000000</v>
      </c>
      <c r="AFF17" s="82">
        <f t="shared" si="355"/>
        <v>1000000</v>
      </c>
      <c r="AFG17" s="82">
        <f t="shared" si="355"/>
        <v>1000000</v>
      </c>
      <c r="AFH17" s="82">
        <f t="shared" si="355"/>
        <v>1000000</v>
      </c>
      <c r="AFI17" s="82">
        <f t="shared" si="355"/>
        <v>1000000</v>
      </c>
      <c r="AFJ17" s="82">
        <f t="shared" si="355"/>
        <v>1000000</v>
      </c>
      <c r="AFK17" s="82">
        <f t="shared" si="355"/>
        <v>1000000</v>
      </c>
      <c r="AFL17" s="82">
        <f t="shared" si="355"/>
        <v>1000000</v>
      </c>
      <c r="AFM17" s="82">
        <f t="shared" si="355"/>
        <v>1000000</v>
      </c>
      <c r="AFN17" s="82">
        <f t="shared" si="355"/>
        <v>1000000</v>
      </c>
      <c r="AFO17" s="82">
        <f t="shared" si="355"/>
        <v>1000000</v>
      </c>
      <c r="AFP17" s="82">
        <f t="shared" si="355"/>
        <v>1000000</v>
      </c>
      <c r="AFQ17" s="82">
        <f t="shared" si="355"/>
        <v>1000000</v>
      </c>
      <c r="AFR17" s="82">
        <f t="shared" si="355"/>
        <v>1000000</v>
      </c>
      <c r="AFS17" s="82">
        <f t="shared" si="355"/>
        <v>1000000</v>
      </c>
      <c r="AFT17" s="130"/>
      <c r="AFU17" s="82">
        <f>AFS17+AFS29</f>
        <v>7208230</v>
      </c>
      <c r="AFV17" s="82">
        <f t="shared" si="197"/>
        <v>7208230</v>
      </c>
      <c r="AFW17" s="82">
        <f t="shared" si="197"/>
        <v>7208230</v>
      </c>
      <c r="AFX17" s="82">
        <f t="shared" si="197"/>
        <v>7208230</v>
      </c>
      <c r="AFY17" s="82">
        <f t="shared" si="197"/>
        <v>7208230</v>
      </c>
      <c r="AFZ17" s="82">
        <f t="shared" si="197"/>
        <v>7208230</v>
      </c>
      <c r="AGA17" s="82">
        <f t="shared" si="197"/>
        <v>7208230</v>
      </c>
      <c r="AGB17" s="82">
        <f t="shared" si="197"/>
        <v>7208230</v>
      </c>
      <c r="AGC17" s="82">
        <f t="shared" si="197"/>
        <v>7208230</v>
      </c>
      <c r="AGD17" s="82">
        <v>1000000</v>
      </c>
      <c r="AGE17" s="82">
        <f t="shared" ref="AGE17:AGX17" si="356">AGD17</f>
        <v>1000000</v>
      </c>
      <c r="AGF17" s="82">
        <f t="shared" si="356"/>
        <v>1000000</v>
      </c>
      <c r="AGG17" s="82">
        <f t="shared" si="356"/>
        <v>1000000</v>
      </c>
      <c r="AGH17" s="82">
        <f t="shared" si="356"/>
        <v>1000000</v>
      </c>
      <c r="AGI17" s="82">
        <f t="shared" si="356"/>
        <v>1000000</v>
      </c>
      <c r="AGJ17" s="82">
        <f t="shared" si="356"/>
        <v>1000000</v>
      </c>
      <c r="AGK17" s="82">
        <f t="shared" si="356"/>
        <v>1000000</v>
      </c>
      <c r="AGL17" s="82">
        <f t="shared" si="356"/>
        <v>1000000</v>
      </c>
      <c r="AGM17" s="82">
        <f t="shared" si="356"/>
        <v>1000000</v>
      </c>
      <c r="AGN17" s="82">
        <f t="shared" si="356"/>
        <v>1000000</v>
      </c>
      <c r="AGO17" s="82">
        <f t="shared" si="356"/>
        <v>1000000</v>
      </c>
      <c r="AGP17" s="82">
        <f t="shared" si="356"/>
        <v>1000000</v>
      </c>
      <c r="AGQ17" s="82">
        <f t="shared" si="356"/>
        <v>1000000</v>
      </c>
      <c r="AGR17" s="82">
        <f t="shared" si="356"/>
        <v>1000000</v>
      </c>
      <c r="AGS17" s="82">
        <f t="shared" si="356"/>
        <v>1000000</v>
      </c>
      <c r="AGT17" s="82">
        <f t="shared" si="356"/>
        <v>1000000</v>
      </c>
      <c r="AGU17" s="82">
        <f t="shared" si="356"/>
        <v>1000000</v>
      </c>
      <c r="AGV17" s="82">
        <f t="shared" si="356"/>
        <v>1000000</v>
      </c>
      <c r="AGW17" s="82">
        <f t="shared" si="356"/>
        <v>1000000</v>
      </c>
      <c r="AGX17" s="82">
        <f t="shared" si="356"/>
        <v>1000000</v>
      </c>
      <c r="AGY17" s="133"/>
      <c r="AGZ17" s="82">
        <f>AGX17+AGX29</f>
        <v>7627749</v>
      </c>
      <c r="AHA17" s="82">
        <f t="shared" ref="AHA17:AHJ17" si="357">AGZ17</f>
        <v>7627749</v>
      </c>
      <c r="AHB17" s="82">
        <f t="shared" si="357"/>
        <v>7627749</v>
      </c>
      <c r="AHC17" s="82">
        <f t="shared" si="357"/>
        <v>7627749</v>
      </c>
      <c r="AHD17" s="82">
        <f t="shared" si="357"/>
        <v>7627749</v>
      </c>
      <c r="AHE17" s="82">
        <f t="shared" si="357"/>
        <v>7627749</v>
      </c>
      <c r="AHF17" s="82">
        <f t="shared" si="357"/>
        <v>7627749</v>
      </c>
      <c r="AHG17" s="82">
        <f t="shared" si="357"/>
        <v>7627749</v>
      </c>
      <c r="AHH17" s="82">
        <f t="shared" si="357"/>
        <v>7627749</v>
      </c>
      <c r="AHI17" s="82">
        <f t="shared" si="357"/>
        <v>7627749</v>
      </c>
      <c r="AHJ17" s="82">
        <f t="shared" si="357"/>
        <v>7627749</v>
      </c>
      <c r="AHK17" s="82">
        <v>1000000</v>
      </c>
      <c r="AHL17" s="82">
        <f t="shared" ref="AHL17:AID17" si="358">AHK17</f>
        <v>1000000</v>
      </c>
      <c r="AHM17" s="82">
        <f t="shared" si="358"/>
        <v>1000000</v>
      </c>
      <c r="AHN17" s="82">
        <f t="shared" si="358"/>
        <v>1000000</v>
      </c>
      <c r="AHO17" s="82">
        <f t="shared" si="358"/>
        <v>1000000</v>
      </c>
      <c r="AHP17" s="82">
        <f t="shared" si="358"/>
        <v>1000000</v>
      </c>
      <c r="AHQ17" s="82">
        <f t="shared" si="358"/>
        <v>1000000</v>
      </c>
      <c r="AHR17" s="82">
        <f t="shared" si="358"/>
        <v>1000000</v>
      </c>
      <c r="AHS17" s="82">
        <f t="shared" si="358"/>
        <v>1000000</v>
      </c>
      <c r="AHT17" s="82">
        <f t="shared" si="358"/>
        <v>1000000</v>
      </c>
      <c r="AHU17" s="82">
        <f t="shared" si="358"/>
        <v>1000000</v>
      </c>
      <c r="AHV17" s="82">
        <f t="shared" si="358"/>
        <v>1000000</v>
      </c>
      <c r="AHW17" s="82">
        <f t="shared" si="358"/>
        <v>1000000</v>
      </c>
      <c r="AHX17" s="82">
        <f t="shared" si="358"/>
        <v>1000000</v>
      </c>
      <c r="AHY17" s="82">
        <f t="shared" si="358"/>
        <v>1000000</v>
      </c>
      <c r="AHZ17" s="82">
        <f t="shared" si="358"/>
        <v>1000000</v>
      </c>
      <c r="AIA17" s="82">
        <f t="shared" si="358"/>
        <v>1000000</v>
      </c>
      <c r="AIB17" s="82">
        <f t="shared" si="358"/>
        <v>1000000</v>
      </c>
      <c r="AIC17" s="82">
        <f t="shared" si="358"/>
        <v>1000000</v>
      </c>
      <c r="AID17" s="82">
        <f t="shared" si="358"/>
        <v>1000000</v>
      </c>
      <c r="AIE17" s="130"/>
      <c r="AIF17" s="82">
        <f>AID17+AID29</f>
        <v>6263839</v>
      </c>
      <c r="AIG17" s="82">
        <f t="shared" ref="AIG17:AIW17" si="359">AIF17</f>
        <v>6263839</v>
      </c>
      <c r="AIH17" s="82">
        <f t="shared" si="359"/>
        <v>6263839</v>
      </c>
      <c r="AII17" s="82">
        <f t="shared" si="359"/>
        <v>6263839</v>
      </c>
      <c r="AIJ17" s="82">
        <f t="shared" si="359"/>
        <v>6263839</v>
      </c>
      <c r="AIK17" s="82">
        <f t="shared" si="359"/>
        <v>6263839</v>
      </c>
      <c r="AIL17" s="82">
        <f t="shared" si="359"/>
        <v>6263839</v>
      </c>
      <c r="AIM17" s="82">
        <f t="shared" si="359"/>
        <v>6263839</v>
      </c>
      <c r="AIN17" s="82">
        <f t="shared" si="359"/>
        <v>6263839</v>
      </c>
      <c r="AIO17" s="82">
        <f t="shared" si="359"/>
        <v>6263839</v>
      </c>
      <c r="AIP17" s="82">
        <f t="shared" si="359"/>
        <v>6263839</v>
      </c>
      <c r="AIQ17" s="82">
        <f t="shared" si="359"/>
        <v>6263839</v>
      </c>
      <c r="AIR17" s="82">
        <f t="shared" si="359"/>
        <v>6263839</v>
      </c>
      <c r="AIS17" s="82">
        <f t="shared" si="359"/>
        <v>6263839</v>
      </c>
      <c r="AIT17" s="82">
        <f t="shared" si="359"/>
        <v>6263839</v>
      </c>
      <c r="AIU17" s="82">
        <f t="shared" si="359"/>
        <v>6263839</v>
      </c>
      <c r="AIV17" s="82">
        <f t="shared" si="359"/>
        <v>6263839</v>
      </c>
      <c r="AIW17" s="82">
        <f t="shared" si="359"/>
        <v>6263839</v>
      </c>
      <c r="AIX17" s="82">
        <v>0</v>
      </c>
      <c r="AIY17" s="82">
        <f t="shared" ref="AIY17:AJJ17" si="360">AIX17</f>
        <v>0</v>
      </c>
      <c r="AIZ17" s="82">
        <f t="shared" si="360"/>
        <v>0</v>
      </c>
      <c r="AJA17" s="82">
        <f t="shared" si="360"/>
        <v>0</v>
      </c>
      <c r="AJB17" s="82">
        <f t="shared" si="360"/>
        <v>0</v>
      </c>
      <c r="AJC17" s="82">
        <f t="shared" si="360"/>
        <v>0</v>
      </c>
      <c r="AJD17" s="82">
        <f t="shared" si="360"/>
        <v>0</v>
      </c>
      <c r="AJE17" s="82">
        <f t="shared" si="360"/>
        <v>0</v>
      </c>
      <c r="AJF17" s="82">
        <f t="shared" si="360"/>
        <v>0</v>
      </c>
      <c r="AJG17" s="82">
        <f t="shared" si="360"/>
        <v>0</v>
      </c>
      <c r="AJH17" s="82">
        <f t="shared" si="360"/>
        <v>0</v>
      </c>
      <c r="AJI17" s="82">
        <f t="shared" si="360"/>
        <v>0</v>
      </c>
      <c r="AJJ17" s="82">
        <f t="shared" si="360"/>
        <v>0</v>
      </c>
      <c r="AJK17" s="145"/>
      <c r="AJL17" s="82">
        <f>AJJ29</f>
        <v>9780589</v>
      </c>
      <c r="AJM17" s="82">
        <f t="shared" ref="AJM17:AKK17" si="361">AJL17</f>
        <v>9780589</v>
      </c>
      <c r="AJN17" s="82">
        <f t="shared" si="361"/>
        <v>9780589</v>
      </c>
      <c r="AJO17" s="82">
        <f t="shared" si="361"/>
        <v>9780589</v>
      </c>
      <c r="AJP17" s="82">
        <f t="shared" si="361"/>
        <v>9780589</v>
      </c>
      <c r="AJQ17" s="82">
        <f t="shared" si="361"/>
        <v>9780589</v>
      </c>
      <c r="AJR17" s="82">
        <f t="shared" si="361"/>
        <v>9780589</v>
      </c>
      <c r="AJS17" s="82">
        <f t="shared" si="361"/>
        <v>9780589</v>
      </c>
      <c r="AJT17" s="82">
        <f t="shared" si="361"/>
        <v>9780589</v>
      </c>
      <c r="AJU17" s="82">
        <f t="shared" si="361"/>
        <v>9780589</v>
      </c>
      <c r="AJV17" s="82">
        <f t="shared" si="361"/>
        <v>9780589</v>
      </c>
      <c r="AJW17" s="82">
        <f t="shared" si="361"/>
        <v>9780589</v>
      </c>
      <c r="AJX17" s="82">
        <f t="shared" si="361"/>
        <v>9780589</v>
      </c>
      <c r="AJY17" s="82">
        <f t="shared" si="361"/>
        <v>9780589</v>
      </c>
      <c r="AJZ17" s="82">
        <f t="shared" si="361"/>
        <v>9780589</v>
      </c>
      <c r="AKA17" s="82">
        <f t="shared" si="361"/>
        <v>9780589</v>
      </c>
      <c r="AKB17" s="82">
        <f t="shared" si="361"/>
        <v>9780589</v>
      </c>
      <c r="AKC17" s="82">
        <f t="shared" si="361"/>
        <v>9780589</v>
      </c>
      <c r="AKD17" s="82">
        <f t="shared" si="361"/>
        <v>9780589</v>
      </c>
      <c r="AKE17" s="82">
        <f t="shared" si="361"/>
        <v>9780589</v>
      </c>
      <c r="AKF17" s="82">
        <f t="shared" si="361"/>
        <v>9780589</v>
      </c>
      <c r="AKG17" s="82">
        <f t="shared" si="361"/>
        <v>9780589</v>
      </c>
      <c r="AKH17" s="82">
        <f t="shared" si="361"/>
        <v>9780589</v>
      </c>
      <c r="AKI17" s="82">
        <f t="shared" si="361"/>
        <v>9780589</v>
      </c>
      <c r="AKJ17" s="82">
        <f t="shared" si="361"/>
        <v>9780589</v>
      </c>
      <c r="AKK17" s="82">
        <f t="shared" si="361"/>
        <v>9780589</v>
      </c>
      <c r="AKL17" s="82">
        <v>1000000</v>
      </c>
      <c r="AKM17" s="82">
        <f t="shared" si="311"/>
        <v>1000000</v>
      </c>
      <c r="AKN17" s="112"/>
      <c r="AKO17" s="82">
        <f>AKM17+AKM29</f>
        <v>9043871</v>
      </c>
      <c r="AKP17" s="82">
        <f t="shared" ref="AKP17:AKX17" si="362">AKO17</f>
        <v>9043871</v>
      </c>
      <c r="AKQ17" s="82">
        <f t="shared" si="362"/>
        <v>9043871</v>
      </c>
      <c r="AKR17" s="82">
        <f t="shared" si="362"/>
        <v>9043871</v>
      </c>
      <c r="AKS17" s="82">
        <f t="shared" si="362"/>
        <v>9043871</v>
      </c>
      <c r="AKT17" s="82">
        <f t="shared" si="362"/>
        <v>9043871</v>
      </c>
      <c r="AKU17" s="82">
        <f t="shared" si="362"/>
        <v>9043871</v>
      </c>
      <c r="AKV17" s="82">
        <f t="shared" si="362"/>
        <v>9043871</v>
      </c>
      <c r="AKW17" s="82">
        <f t="shared" si="362"/>
        <v>9043871</v>
      </c>
      <c r="AKX17" s="82">
        <f t="shared" si="362"/>
        <v>9043871</v>
      </c>
      <c r="AKY17" s="82">
        <v>1000000</v>
      </c>
      <c r="AKZ17" s="82">
        <f t="shared" si="313"/>
        <v>1000000</v>
      </c>
      <c r="ALA17" s="82">
        <f t="shared" si="313"/>
        <v>1000000</v>
      </c>
      <c r="ALB17" s="82">
        <f t="shared" si="313"/>
        <v>1000000</v>
      </c>
      <c r="ALC17" s="82">
        <f t="shared" si="313"/>
        <v>1000000</v>
      </c>
      <c r="ALD17" s="82">
        <f t="shared" si="313"/>
        <v>1000000</v>
      </c>
      <c r="ALE17" s="82">
        <f t="shared" si="240"/>
        <v>1000000</v>
      </c>
      <c r="ALF17" s="82">
        <f t="shared" si="314"/>
        <v>1000000</v>
      </c>
      <c r="ALG17" s="82">
        <f t="shared" ref="ALG17:ALS17" si="363">ALF17</f>
        <v>1000000</v>
      </c>
      <c r="ALH17" s="82">
        <f t="shared" si="363"/>
        <v>1000000</v>
      </c>
      <c r="ALI17" s="82">
        <f t="shared" si="363"/>
        <v>1000000</v>
      </c>
      <c r="ALJ17" s="82">
        <f t="shared" si="363"/>
        <v>1000000</v>
      </c>
      <c r="ALK17" s="82">
        <f t="shared" si="363"/>
        <v>1000000</v>
      </c>
      <c r="ALL17" s="82">
        <f t="shared" si="363"/>
        <v>1000000</v>
      </c>
      <c r="ALM17" s="82">
        <f t="shared" si="363"/>
        <v>1000000</v>
      </c>
      <c r="ALN17" s="82">
        <f t="shared" si="363"/>
        <v>1000000</v>
      </c>
      <c r="ALO17" s="82">
        <f t="shared" si="363"/>
        <v>1000000</v>
      </c>
      <c r="ALP17" s="82">
        <f t="shared" si="363"/>
        <v>1000000</v>
      </c>
      <c r="ALQ17" s="82">
        <f t="shared" si="363"/>
        <v>1000000</v>
      </c>
      <c r="ALR17" s="82">
        <f t="shared" si="363"/>
        <v>1000000</v>
      </c>
      <c r="ALS17" s="82">
        <f t="shared" si="363"/>
        <v>1000000</v>
      </c>
      <c r="ALT17" s="130"/>
      <c r="ALU17" s="82">
        <f>ALS17+ALS29</f>
        <v>12196685</v>
      </c>
      <c r="ALV17" s="82">
        <f t="shared" ref="ALV17:AMG17" si="364">ALU17</f>
        <v>12196685</v>
      </c>
      <c r="ALW17" s="82">
        <f t="shared" si="364"/>
        <v>12196685</v>
      </c>
      <c r="ALX17" s="82">
        <f t="shared" si="364"/>
        <v>12196685</v>
      </c>
      <c r="ALY17" s="82">
        <f t="shared" si="364"/>
        <v>12196685</v>
      </c>
      <c r="ALZ17" s="82">
        <f t="shared" si="364"/>
        <v>12196685</v>
      </c>
      <c r="AMA17" s="82">
        <f t="shared" si="364"/>
        <v>12196685</v>
      </c>
      <c r="AMB17" s="82">
        <f t="shared" si="364"/>
        <v>12196685</v>
      </c>
      <c r="AMC17" s="82">
        <f t="shared" si="364"/>
        <v>12196685</v>
      </c>
      <c r="AMD17" s="82">
        <f t="shared" si="364"/>
        <v>12196685</v>
      </c>
      <c r="AME17" s="82">
        <f t="shared" si="364"/>
        <v>12196685</v>
      </c>
      <c r="AMF17" s="82">
        <f t="shared" si="364"/>
        <v>12196685</v>
      </c>
      <c r="AMG17" s="82">
        <f t="shared" si="364"/>
        <v>12196685</v>
      </c>
      <c r="AMH17" s="82">
        <v>1000000</v>
      </c>
      <c r="AMI17" s="82">
        <f t="shared" ref="AMI17:AMX17" si="365">AMH17</f>
        <v>1000000</v>
      </c>
      <c r="AMJ17" s="82">
        <f t="shared" si="365"/>
        <v>1000000</v>
      </c>
      <c r="AMK17" s="82">
        <f t="shared" si="365"/>
        <v>1000000</v>
      </c>
      <c r="AML17" s="82">
        <f t="shared" si="365"/>
        <v>1000000</v>
      </c>
      <c r="AMM17" s="82">
        <f t="shared" si="365"/>
        <v>1000000</v>
      </c>
      <c r="AMN17" s="82">
        <f t="shared" si="365"/>
        <v>1000000</v>
      </c>
      <c r="AMO17" s="82">
        <f t="shared" si="365"/>
        <v>1000000</v>
      </c>
      <c r="AMP17" s="82">
        <f t="shared" si="365"/>
        <v>1000000</v>
      </c>
      <c r="AMQ17" s="82">
        <f t="shared" si="365"/>
        <v>1000000</v>
      </c>
      <c r="AMR17" s="82">
        <f t="shared" si="365"/>
        <v>1000000</v>
      </c>
      <c r="AMS17" s="82">
        <f t="shared" si="365"/>
        <v>1000000</v>
      </c>
      <c r="AMT17" s="82">
        <f t="shared" si="365"/>
        <v>1000000</v>
      </c>
      <c r="AMU17" s="82">
        <f t="shared" si="365"/>
        <v>1000000</v>
      </c>
      <c r="AMV17" s="82">
        <f t="shared" si="365"/>
        <v>1000000</v>
      </c>
      <c r="AMW17" s="82">
        <f t="shared" si="365"/>
        <v>1000000</v>
      </c>
      <c r="AMX17" s="82">
        <f t="shared" si="365"/>
        <v>1000000</v>
      </c>
      <c r="AMY17" s="130"/>
      <c r="AMZ17" s="82">
        <f>AMX17</f>
        <v>1000000</v>
      </c>
      <c r="ANA17" s="82">
        <f t="shared" ref="ANA17:ANK17" si="366">AMZ17</f>
        <v>1000000</v>
      </c>
      <c r="ANB17" s="82">
        <f t="shared" si="366"/>
        <v>1000000</v>
      </c>
      <c r="ANC17" s="82">
        <f t="shared" si="366"/>
        <v>1000000</v>
      </c>
      <c r="AND17" s="82">
        <f t="shared" si="366"/>
        <v>1000000</v>
      </c>
      <c r="ANE17" s="82">
        <f t="shared" si="366"/>
        <v>1000000</v>
      </c>
      <c r="ANF17" s="82">
        <f t="shared" si="366"/>
        <v>1000000</v>
      </c>
      <c r="ANG17" s="82">
        <f t="shared" si="366"/>
        <v>1000000</v>
      </c>
      <c r="ANH17" s="82">
        <f t="shared" si="366"/>
        <v>1000000</v>
      </c>
      <c r="ANI17" s="82">
        <f t="shared" si="366"/>
        <v>1000000</v>
      </c>
      <c r="ANJ17" s="82">
        <f t="shared" si="366"/>
        <v>1000000</v>
      </c>
      <c r="ANK17" s="82">
        <f t="shared" si="366"/>
        <v>1000000</v>
      </c>
      <c r="ANL17" s="82">
        <f t="shared" ref="ANL17:ANL22" si="367">ANK17</f>
        <v>1000000</v>
      </c>
      <c r="ANM17" s="82">
        <f t="shared" ref="ANM17:AOC17" si="368">ANL17</f>
        <v>1000000</v>
      </c>
      <c r="ANN17" s="82">
        <f t="shared" si="368"/>
        <v>1000000</v>
      </c>
      <c r="ANO17" s="82">
        <f t="shared" si="368"/>
        <v>1000000</v>
      </c>
      <c r="ANP17" s="82">
        <f t="shared" si="368"/>
        <v>1000000</v>
      </c>
      <c r="ANQ17" s="82">
        <f t="shared" si="368"/>
        <v>1000000</v>
      </c>
      <c r="ANR17" s="82">
        <f t="shared" si="368"/>
        <v>1000000</v>
      </c>
      <c r="ANS17" s="82">
        <f t="shared" si="368"/>
        <v>1000000</v>
      </c>
      <c r="ANT17" s="82">
        <f t="shared" si="368"/>
        <v>1000000</v>
      </c>
      <c r="ANU17" s="82">
        <f t="shared" si="368"/>
        <v>1000000</v>
      </c>
      <c r="ANV17" s="82">
        <f t="shared" si="368"/>
        <v>1000000</v>
      </c>
      <c r="ANW17" s="82">
        <f t="shared" si="368"/>
        <v>1000000</v>
      </c>
      <c r="ANX17" s="82">
        <f t="shared" si="368"/>
        <v>1000000</v>
      </c>
      <c r="ANY17" s="82">
        <f t="shared" si="368"/>
        <v>1000000</v>
      </c>
      <c r="ANZ17" s="82">
        <f t="shared" si="368"/>
        <v>1000000</v>
      </c>
      <c r="AOA17" s="82">
        <f t="shared" si="368"/>
        <v>1000000</v>
      </c>
      <c r="AOB17" s="82">
        <f t="shared" si="368"/>
        <v>1000000</v>
      </c>
      <c r="AOC17" s="82">
        <f t="shared" si="368"/>
        <v>1000000</v>
      </c>
    </row>
    <row r="18" spans="1:1069" x14ac:dyDescent="0.2">
      <c r="A18" s="160"/>
      <c r="B18" t="s">
        <v>1650</v>
      </c>
      <c r="C18" s="52">
        <v>246000</v>
      </c>
      <c r="D18" s="52">
        <f>C18</f>
        <v>246000</v>
      </c>
      <c r="E18" s="52">
        <v>0</v>
      </c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98"/>
      <c r="AI18" s="82">
        <f>AG30</f>
        <v>232000</v>
      </c>
      <c r="AJ18" s="82">
        <f t="shared" ref="AJ18:AR18" si="369">AI18</f>
        <v>232000</v>
      </c>
      <c r="AK18" s="82">
        <f t="shared" si="369"/>
        <v>232000</v>
      </c>
      <c r="AL18" s="82">
        <f t="shared" si="369"/>
        <v>232000</v>
      </c>
      <c r="AM18" s="82">
        <f t="shared" si="369"/>
        <v>232000</v>
      </c>
      <c r="AN18" s="82">
        <f t="shared" si="369"/>
        <v>232000</v>
      </c>
      <c r="AO18" s="82">
        <f t="shared" si="369"/>
        <v>232000</v>
      </c>
      <c r="AP18" s="82">
        <f t="shared" si="369"/>
        <v>232000</v>
      </c>
      <c r="AQ18" s="82">
        <f t="shared" si="369"/>
        <v>232000</v>
      </c>
      <c r="AR18" s="82">
        <f t="shared" si="369"/>
        <v>232000</v>
      </c>
      <c r="AS18" s="82">
        <v>0</v>
      </c>
      <c r="BM18" s="106">
        <f>BL30</f>
        <v>200000</v>
      </c>
      <c r="BN18" s="82">
        <f t="shared" ref="BN18:BZ18" si="370">BM18</f>
        <v>200000</v>
      </c>
      <c r="BO18" s="82">
        <f t="shared" si="370"/>
        <v>200000</v>
      </c>
      <c r="BP18" s="82">
        <f t="shared" si="370"/>
        <v>200000</v>
      </c>
      <c r="BQ18" s="82">
        <f t="shared" si="370"/>
        <v>200000</v>
      </c>
      <c r="BR18" s="82">
        <f t="shared" si="370"/>
        <v>200000</v>
      </c>
      <c r="BS18" s="82">
        <f t="shared" si="370"/>
        <v>200000</v>
      </c>
      <c r="BT18" s="82">
        <f t="shared" si="370"/>
        <v>200000</v>
      </c>
      <c r="BU18" s="82">
        <f t="shared" si="370"/>
        <v>200000</v>
      </c>
      <c r="BV18" s="82">
        <f t="shared" si="370"/>
        <v>200000</v>
      </c>
      <c r="BW18" s="82">
        <f t="shared" si="370"/>
        <v>200000</v>
      </c>
      <c r="BX18" s="82">
        <f t="shared" si="370"/>
        <v>200000</v>
      </c>
      <c r="BY18" s="82">
        <f t="shared" si="370"/>
        <v>200000</v>
      </c>
      <c r="BZ18" s="82">
        <f t="shared" si="370"/>
        <v>200000</v>
      </c>
      <c r="CA18" s="82">
        <v>0</v>
      </c>
      <c r="CB18" s="82">
        <f t="shared" ref="CB18:CK18" si="371">CA18</f>
        <v>0</v>
      </c>
      <c r="CC18" s="82">
        <f t="shared" si="371"/>
        <v>0</v>
      </c>
      <c r="CD18" s="82">
        <f t="shared" si="371"/>
        <v>0</v>
      </c>
      <c r="CE18" s="82">
        <f t="shared" si="371"/>
        <v>0</v>
      </c>
      <c r="CF18" s="82">
        <f t="shared" si="371"/>
        <v>0</v>
      </c>
      <c r="CG18" s="82">
        <f t="shared" si="371"/>
        <v>0</v>
      </c>
      <c r="CH18" s="82">
        <f t="shared" si="371"/>
        <v>0</v>
      </c>
      <c r="CI18" s="82">
        <f t="shared" si="371"/>
        <v>0</v>
      </c>
      <c r="CJ18" s="82">
        <f t="shared" si="371"/>
        <v>0</v>
      </c>
      <c r="CK18" s="82">
        <f t="shared" si="371"/>
        <v>0</v>
      </c>
      <c r="CL18" s="82">
        <f t="shared" si="323"/>
        <v>0</v>
      </c>
      <c r="CM18" s="82">
        <f t="shared" si="249"/>
        <v>0</v>
      </c>
      <c r="CN18" s="82">
        <f t="shared" si="249"/>
        <v>0</v>
      </c>
      <c r="CO18" s="82">
        <f t="shared" si="249"/>
        <v>0</v>
      </c>
      <c r="CP18" s="82">
        <f t="shared" si="324"/>
        <v>0</v>
      </c>
      <c r="CQ18" s="82">
        <f t="shared" si="250"/>
        <v>0</v>
      </c>
      <c r="CR18" s="82">
        <f t="shared" si="250"/>
        <v>0</v>
      </c>
      <c r="CT18" s="82">
        <f>CR30</f>
        <v>130000</v>
      </c>
      <c r="CU18" s="82">
        <f t="shared" si="151"/>
        <v>130000</v>
      </c>
      <c r="CV18" s="82">
        <f>CT18</f>
        <v>130000</v>
      </c>
      <c r="CW18" s="82">
        <v>0</v>
      </c>
      <c r="CX18" s="82">
        <f>CW18</f>
        <v>0</v>
      </c>
      <c r="CY18" s="82">
        <f t="shared" si="325"/>
        <v>0</v>
      </c>
      <c r="CZ18" s="82">
        <f t="shared" si="326"/>
        <v>0</v>
      </c>
      <c r="DA18" s="82">
        <f t="shared" si="251"/>
        <v>0</v>
      </c>
      <c r="DB18" s="82">
        <f t="shared" si="252"/>
        <v>0</v>
      </c>
      <c r="DC18" s="82">
        <f t="shared" si="253"/>
        <v>0</v>
      </c>
      <c r="DD18" s="82">
        <f t="shared" si="254"/>
        <v>0</v>
      </c>
      <c r="DE18" s="82">
        <f t="shared" si="255"/>
        <v>0</v>
      </c>
      <c r="DF18" s="82">
        <f t="shared" si="256"/>
        <v>0</v>
      </c>
      <c r="DG18" s="82">
        <f t="shared" si="257"/>
        <v>0</v>
      </c>
      <c r="DH18" s="82">
        <f t="shared" si="258"/>
        <v>0</v>
      </c>
      <c r="DI18" s="82">
        <f t="shared" si="259"/>
        <v>0</v>
      </c>
      <c r="DJ18" s="82">
        <f t="shared" si="260"/>
        <v>0</v>
      </c>
      <c r="DK18" s="82">
        <f t="shared" si="261"/>
        <v>0</v>
      </c>
      <c r="DL18" s="82">
        <f t="shared" si="262"/>
        <v>0</v>
      </c>
      <c r="DM18" s="82">
        <f t="shared" si="327"/>
        <v>0</v>
      </c>
      <c r="DN18" s="82">
        <f t="shared" si="328"/>
        <v>0</v>
      </c>
      <c r="DO18" s="82">
        <f t="shared" si="263"/>
        <v>0</v>
      </c>
      <c r="DP18" s="82">
        <f t="shared" si="264"/>
        <v>0</v>
      </c>
      <c r="DQ18" s="82">
        <f t="shared" si="265"/>
        <v>0</v>
      </c>
      <c r="DR18" s="82">
        <f t="shared" si="266"/>
        <v>0</v>
      </c>
      <c r="DS18" s="82">
        <f t="shared" si="267"/>
        <v>0</v>
      </c>
      <c r="DT18" s="82">
        <f t="shared" si="268"/>
        <v>0</v>
      </c>
      <c r="DU18" s="82">
        <f t="shared" si="329"/>
        <v>0</v>
      </c>
      <c r="DV18" s="82">
        <f t="shared" si="330"/>
        <v>0</v>
      </c>
      <c r="DW18" s="82">
        <f t="shared" si="269"/>
        <v>0</v>
      </c>
      <c r="DX18" s="117"/>
      <c r="DY18" s="82">
        <f>DW30</f>
        <v>1013000</v>
      </c>
      <c r="DZ18" s="82">
        <f t="shared" ref="DZ18:EH18" si="372">DY18</f>
        <v>1013000</v>
      </c>
      <c r="EA18" s="82">
        <f t="shared" si="372"/>
        <v>1013000</v>
      </c>
      <c r="EB18" s="82">
        <f t="shared" si="372"/>
        <v>1013000</v>
      </c>
      <c r="EC18" s="82">
        <f t="shared" si="372"/>
        <v>1013000</v>
      </c>
      <c r="ED18" s="82">
        <f t="shared" si="372"/>
        <v>1013000</v>
      </c>
      <c r="EE18" s="82">
        <f t="shared" si="372"/>
        <v>1013000</v>
      </c>
      <c r="EF18" s="82">
        <f t="shared" si="372"/>
        <v>1013000</v>
      </c>
      <c r="EG18" s="82">
        <f t="shared" si="372"/>
        <v>1013000</v>
      </c>
      <c r="EH18" s="82">
        <f t="shared" si="372"/>
        <v>1013000</v>
      </c>
      <c r="EI18" s="82">
        <v>0</v>
      </c>
      <c r="EJ18" s="82">
        <f t="shared" ref="EJ18:FC18" si="373">EH30</f>
        <v>0</v>
      </c>
      <c r="EK18" s="82">
        <f t="shared" si="373"/>
        <v>0</v>
      </c>
      <c r="EL18" s="82">
        <f t="shared" si="373"/>
        <v>0</v>
      </c>
      <c r="EM18" s="82">
        <f t="shared" si="373"/>
        <v>0</v>
      </c>
      <c r="EN18" s="82">
        <f t="shared" si="373"/>
        <v>0</v>
      </c>
      <c r="EO18" s="82">
        <f t="shared" si="373"/>
        <v>0</v>
      </c>
      <c r="EP18" s="82">
        <f t="shared" si="373"/>
        <v>0</v>
      </c>
      <c r="EQ18" s="82">
        <f t="shared" si="373"/>
        <v>0</v>
      </c>
      <c r="ER18" s="82">
        <f t="shared" si="373"/>
        <v>0</v>
      </c>
      <c r="ES18" s="82">
        <f t="shared" si="373"/>
        <v>0</v>
      </c>
      <c r="ET18" s="82">
        <f t="shared" si="373"/>
        <v>0</v>
      </c>
      <c r="EU18" s="82">
        <f t="shared" si="373"/>
        <v>0</v>
      </c>
      <c r="EV18" s="82">
        <f t="shared" si="373"/>
        <v>0</v>
      </c>
      <c r="EW18" s="82">
        <f t="shared" si="373"/>
        <v>0</v>
      </c>
      <c r="EX18" s="82">
        <f t="shared" si="373"/>
        <v>0</v>
      </c>
      <c r="EY18" s="82">
        <f t="shared" si="373"/>
        <v>0</v>
      </c>
      <c r="EZ18" s="82">
        <f t="shared" si="373"/>
        <v>0</v>
      </c>
      <c r="FA18" s="82">
        <f t="shared" si="373"/>
        <v>0</v>
      </c>
      <c r="FB18" s="82">
        <f t="shared" si="373"/>
        <v>0</v>
      </c>
      <c r="FC18" s="82">
        <f t="shared" si="373"/>
        <v>0</v>
      </c>
      <c r="FD18" s="126"/>
      <c r="FE18" s="82">
        <f t="shared" ref="FE18:GI18" si="374">FC30</f>
        <v>0</v>
      </c>
      <c r="FF18" s="82">
        <f t="shared" si="374"/>
        <v>0</v>
      </c>
      <c r="FG18" s="82">
        <f t="shared" si="374"/>
        <v>0</v>
      </c>
      <c r="FH18" s="82">
        <f t="shared" si="374"/>
        <v>0</v>
      </c>
      <c r="FI18" s="82">
        <f t="shared" si="374"/>
        <v>0</v>
      </c>
      <c r="FJ18" s="82">
        <f t="shared" si="374"/>
        <v>0</v>
      </c>
      <c r="FK18" s="82">
        <f t="shared" si="374"/>
        <v>0</v>
      </c>
      <c r="FL18" s="82">
        <f t="shared" si="374"/>
        <v>0</v>
      </c>
      <c r="FM18" s="82">
        <f t="shared" si="374"/>
        <v>0</v>
      </c>
      <c r="FN18" s="82">
        <f t="shared" si="374"/>
        <v>0</v>
      </c>
      <c r="FO18" s="82">
        <f t="shared" si="374"/>
        <v>0</v>
      </c>
      <c r="FP18" s="82">
        <f t="shared" si="374"/>
        <v>0</v>
      </c>
      <c r="FQ18" s="82">
        <f t="shared" si="374"/>
        <v>0</v>
      </c>
      <c r="FR18" s="82">
        <f t="shared" si="374"/>
        <v>0</v>
      </c>
      <c r="FS18" s="82">
        <f t="shared" si="374"/>
        <v>0</v>
      </c>
      <c r="FT18" s="82">
        <f t="shared" si="374"/>
        <v>0</v>
      </c>
      <c r="FU18" s="82">
        <f t="shared" si="374"/>
        <v>0</v>
      </c>
      <c r="FV18" s="82">
        <f t="shared" si="374"/>
        <v>0</v>
      </c>
      <c r="FW18" s="82">
        <f t="shared" si="374"/>
        <v>0</v>
      </c>
      <c r="FX18" s="82">
        <f t="shared" si="374"/>
        <v>0</v>
      </c>
      <c r="FY18" s="82">
        <f t="shared" si="374"/>
        <v>0</v>
      </c>
      <c r="FZ18" s="82">
        <f t="shared" si="374"/>
        <v>0</v>
      </c>
      <c r="GA18" s="82">
        <f t="shared" si="374"/>
        <v>0</v>
      </c>
      <c r="GB18" s="82">
        <f t="shared" si="374"/>
        <v>0</v>
      </c>
      <c r="GC18" s="82">
        <f t="shared" si="374"/>
        <v>0</v>
      </c>
      <c r="GD18" s="82">
        <f t="shared" si="374"/>
        <v>0</v>
      </c>
      <c r="GE18" s="82">
        <f t="shared" si="374"/>
        <v>0</v>
      </c>
      <c r="GF18" s="82">
        <f t="shared" si="374"/>
        <v>0</v>
      </c>
      <c r="GG18" s="82">
        <f t="shared" si="374"/>
        <v>0</v>
      </c>
      <c r="GH18" s="82">
        <f t="shared" si="374"/>
        <v>0</v>
      </c>
      <c r="GI18" s="82">
        <f t="shared" si="374"/>
        <v>0</v>
      </c>
      <c r="GJ18" s="130"/>
      <c r="HN18" s="130"/>
      <c r="HO18" s="135">
        <v>1030000</v>
      </c>
      <c r="HP18" s="135">
        <v>1030000</v>
      </c>
      <c r="HQ18" s="135">
        <v>1030000</v>
      </c>
      <c r="HR18" s="135">
        <v>1030000</v>
      </c>
      <c r="HS18" s="135">
        <v>1030000</v>
      </c>
      <c r="HT18" s="135">
        <v>1030000</v>
      </c>
      <c r="HU18" s="135">
        <v>0</v>
      </c>
      <c r="HV18" s="135">
        <v>0</v>
      </c>
      <c r="HW18" s="135">
        <v>0</v>
      </c>
      <c r="HX18" s="135">
        <v>0</v>
      </c>
      <c r="HY18" s="135">
        <v>0</v>
      </c>
      <c r="HZ18" s="135">
        <v>0</v>
      </c>
      <c r="IA18" s="135"/>
      <c r="IB18" s="135">
        <v>0</v>
      </c>
      <c r="IC18" s="135">
        <v>0</v>
      </c>
      <c r="ID18" s="135">
        <v>0</v>
      </c>
      <c r="IE18" s="135">
        <v>0</v>
      </c>
      <c r="IF18" s="135">
        <v>0</v>
      </c>
      <c r="IG18" s="135">
        <v>0</v>
      </c>
      <c r="IH18" s="135">
        <v>0</v>
      </c>
      <c r="II18" s="135">
        <v>0</v>
      </c>
      <c r="IJ18" s="135">
        <v>0</v>
      </c>
      <c r="IK18" s="135">
        <v>0</v>
      </c>
      <c r="IL18" s="135">
        <v>0</v>
      </c>
      <c r="IM18" s="135">
        <v>0</v>
      </c>
      <c r="IN18" s="135">
        <v>0</v>
      </c>
      <c r="IO18" s="135">
        <v>0</v>
      </c>
      <c r="IP18" s="135">
        <v>0</v>
      </c>
      <c r="IQ18" s="135">
        <v>0</v>
      </c>
      <c r="IR18" s="135">
        <v>0</v>
      </c>
      <c r="IS18" s="135">
        <v>0</v>
      </c>
      <c r="IT18" s="130"/>
      <c r="IU18" s="135">
        <f>IS30</f>
        <v>1703000</v>
      </c>
      <c r="IV18" s="1">
        <f t="shared" si="160"/>
        <v>1703000</v>
      </c>
      <c r="IW18" s="1">
        <v>0</v>
      </c>
      <c r="IX18" s="1">
        <f t="shared" ref="IX18:JX18" si="375">IW18</f>
        <v>0</v>
      </c>
      <c r="IY18" s="1">
        <f t="shared" si="375"/>
        <v>0</v>
      </c>
      <c r="IZ18" s="1">
        <f t="shared" si="375"/>
        <v>0</v>
      </c>
      <c r="JA18" s="1">
        <f t="shared" si="375"/>
        <v>0</v>
      </c>
      <c r="JB18" s="1">
        <f t="shared" si="375"/>
        <v>0</v>
      </c>
      <c r="JC18" s="1">
        <f t="shared" si="375"/>
        <v>0</v>
      </c>
      <c r="JD18" s="1">
        <f t="shared" si="375"/>
        <v>0</v>
      </c>
      <c r="JE18" s="1">
        <f t="shared" si="375"/>
        <v>0</v>
      </c>
      <c r="JF18" s="1">
        <f t="shared" si="375"/>
        <v>0</v>
      </c>
      <c r="JG18" s="1">
        <f t="shared" si="375"/>
        <v>0</v>
      </c>
      <c r="JH18" s="1">
        <f t="shared" si="375"/>
        <v>0</v>
      </c>
      <c r="JI18" s="1">
        <f t="shared" si="375"/>
        <v>0</v>
      </c>
      <c r="JJ18" s="1">
        <f t="shared" si="375"/>
        <v>0</v>
      </c>
      <c r="JK18" s="1">
        <f t="shared" si="375"/>
        <v>0</v>
      </c>
      <c r="JL18" s="1">
        <f t="shared" si="375"/>
        <v>0</v>
      </c>
      <c r="JM18" s="1">
        <f t="shared" si="375"/>
        <v>0</v>
      </c>
      <c r="JN18" s="1">
        <f t="shared" si="375"/>
        <v>0</v>
      </c>
      <c r="JO18" s="1">
        <f t="shared" si="375"/>
        <v>0</v>
      </c>
      <c r="JP18" s="1">
        <f t="shared" si="375"/>
        <v>0</v>
      </c>
      <c r="JQ18" s="1">
        <f t="shared" si="375"/>
        <v>0</v>
      </c>
      <c r="JR18" s="1">
        <f t="shared" si="375"/>
        <v>0</v>
      </c>
      <c r="JS18" s="1">
        <f t="shared" si="375"/>
        <v>0</v>
      </c>
      <c r="JT18" s="1">
        <f t="shared" si="375"/>
        <v>0</v>
      </c>
      <c r="JU18" s="1">
        <f t="shared" si="375"/>
        <v>0</v>
      </c>
      <c r="JV18" s="1">
        <f t="shared" si="375"/>
        <v>0</v>
      </c>
      <c r="JW18" s="1">
        <f t="shared" si="375"/>
        <v>0</v>
      </c>
      <c r="JX18" s="1">
        <f t="shared" si="375"/>
        <v>0</v>
      </c>
      <c r="JY18" s="141"/>
      <c r="JZ18" s="1">
        <f>JX30</f>
        <v>2647000</v>
      </c>
      <c r="KA18" s="1">
        <f t="shared" si="162"/>
        <v>2647000</v>
      </c>
      <c r="KB18" s="1">
        <f t="shared" si="162"/>
        <v>2647000</v>
      </c>
      <c r="KC18" s="1">
        <f t="shared" si="162"/>
        <v>2647000</v>
      </c>
      <c r="KD18" s="1">
        <f t="shared" si="162"/>
        <v>2647000</v>
      </c>
      <c r="KE18" s="1">
        <f t="shared" si="162"/>
        <v>2647000</v>
      </c>
      <c r="KF18" s="1">
        <f t="shared" si="162"/>
        <v>2647000</v>
      </c>
      <c r="KG18" s="1">
        <v>0</v>
      </c>
      <c r="KH18" s="1">
        <v>0</v>
      </c>
      <c r="KI18" s="1">
        <v>0</v>
      </c>
      <c r="KJ18" s="1">
        <v>0</v>
      </c>
      <c r="KK18" s="1">
        <v>0</v>
      </c>
      <c r="KL18" s="1">
        <v>0</v>
      </c>
      <c r="KM18" s="1">
        <v>0</v>
      </c>
      <c r="KN18" s="1">
        <v>0</v>
      </c>
      <c r="KO18" s="1">
        <v>0</v>
      </c>
      <c r="KP18" s="1">
        <v>0</v>
      </c>
      <c r="KQ18" s="1">
        <v>0</v>
      </c>
      <c r="KR18" s="1">
        <v>0</v>
      </c>
      <c r="KS18" s="1">
        <v>0</v>
      </c>
      <c r="KT18" s="1">
        <v>0</v>
      </c>
      <c r="KU18" s="1">
        <v>0</v>
      </c>
      <c r="KV18" s="1">
        <v>0</v>
      </c>
      <c r="KW18" s="1">
        <v>0</v>
      </c>
      <c r="KX18" s="1">
        <v>0</v>
      </c>
      <c r="KY18" s="1">
        <v>0</v>
      </c>
      <c r="KZ18" s="1">
        <v>0</v>
      </c>
      <c r="LA18" s="1">
        <v>0</v>
      </c>
      <c r="LB18" s="1">
        <v>0</v>
      </c>
      <c r="LC18" s="1">
        <v>0</v>
      </c>
      <c r="LD18" s="1">
        <v>0</v>
      </c>
      <c r="LE18" s="130"/>
      <c r="LF18" s="1">
        <f>LD30</f>
        <v>2759200</v>
      </c>
      <c r="LG18" s="1">
        <f t="shared" ref="LG18:LQ18" si="376">LF18</f>
        <v>2759200</v>
      </c>
      <c r="LH18" s="1">
        <f t="shared" si="376"/>
        <v>2759200</v>
      </c>
      <c r="LI18" s="1">
        <f t="shared" si="376"/>
        <v>2759200</v>
      </c>
      <c r="LJ18" s="1">
        <f t="shared" si="376"/>
        <v>2759200</v>
      </c>
      <c r="LK18" s="1">
        <f t="shared" si="376"/>
        <v>2759200</v>
      </c>
      <c r="LL18" s="1">
        <f t="shared" si="376"/>
        <v>2759200</v>
      </c>
      <c r="LM18" s="1">
        <f t="shared" si="376"/>
        <v>2759200</v>
      </c>
      <c r="LN18" s="1">
        <f t="shared" si="376"/>
        <v>2759200</v>
      </c>
      <c r="LO18" s="1">
        <f t="shared" si="376"/>
        <v>2759200</v>
      </c>
      <c r="LP18" s="1">
        <f t="shared" si="376"/>
        <v>2759200</v>
      </c>
      <c r="LQ18" s="1">
        <f t="shared" si="376"/>
        <v>2759200</v>
      </c>
      <c r="LR18" s="1">
        <v>0</v>
      </c>
      <c r="LS18" s="1">
        <f t="shared" si="213"/>
        <v>0</v>
      </c>
      <c r="LT18" s="1">
        <f t="shared" si="213"/>
        <v>0</v>
      </c>
      <c r="LU18" s="1">
        <f t="shared" si="213"/>
        <v>0</v>
      </c>
      <c r="LV18" s="1">
        <f t="shared" si="213"/>
        <v>0</v>
      </c>
      <c r="LW18" s="1">
        <f t="shared" si="213"/>
        <v>0</v>
      </c>
      <c r="LX18" s="1">
        <f t="shared" si="279"/>
        <v>0</v>
      </c>
      <c r="LY18" s="1">
        <f t="shared" ref="LY18:MI18" si="377">LX18</f>
        <v>0</v>
      </c>
      <c r="LZ18" s="1">
        <f t="shared" si="377"/>
        <v>0</v>
      </c>
      <c r="MA18" s="1">
        <f t="shared" si="377"/>
        <v>0</v>
      </c>
      <c r="MB18" s="1">
        <f t="shared" si="377"/>
        <v>0</v>
      </c>
      <c r="MC18" s="1">
        <f t="shared" si="377"/>
        <v>0</v>
      </c>
      <c r="MD18" s="1">
        <f t="shared" si="377"/>
        <v>0</v>
      </c>
      <c r="ME18" s="1">
        <f t="shared" si="377"/>
        <v>0</v>
      </c>
      <c r="MF18" s="1">
        <f t="shared" si="377"/>
        <v>0</v>
      </c>
      <c r="MG18" s="1">
        <f t="shared" si="377"/>
        <v>0</v>
      </c>
      <c r="MH18" s="1">
        <f t="shared" si="377"/>
        <v>0</v>
      </c>
      <c r="MI18" s="1">
        <f t="shared" si="377"/>
        <v>0</v>
      </c>
      <c r="MJ18" s="141"/>
      <c r="MK18" s="1">
        <f>MI30</f>
        <v>40000</v>
      </c>
      <c r="ML18" s="1">
        <f t="shared" si="281"/>
        <v>40000</v>
      </c>
      <c r="MM18" s="1">
        <f t="shared" ref="MM18:NG18" si="378">ML18</f>
        <v>40000</v>
      </c>
      <c r="MN18" s="1">
        <f t="shared" si="378"/>
        <v>40000</v>
      </c>
      <c r="MO18" s="1">
        <f t="shared" si="378"/>
        <v>40000</v>
      </c>
      <c r="MP18" s="1">
        <f t="shared" si="378"/>
        <v>40000</v>
      </c>
      <c r="MQ18" s="1">
        <f t="shared" si="378"/>
        <v>40000</v>
      </c>
      <c r="MR18" s="1">
        <f t="shared" si="378"/>
        <v>40000</v>
      </c>
      <c r="MS18" s="1">
        <f t="shared" si="378"/>
        <v>40000</v>
      </c>
      <c r="MT18" s="1">
        <f t="shared" si="378"/>
        <v>40000</v>
      </c>
      <c r="MU18" s="1">
        <f t="shared" si="378"/>
        <v>40000</v>
      </c>
      <c r="MV18" s="1">
        <f t="shared" si="378"/>
        <v>40000</v>
      </c>
      <c r="MW18" s="1">
        <f t="shared" si="378"/>
        <v>40000</v>
      </c>
      <c r="MX18" s="1">
        <f t="shared" si="378"/>
        <v>40000</v>
      </c>
      <c r="MY18" s="1">
        <f t="shared" si="378"/>
        <v>40000</v>
      </c>
      <c r="MZ18" s="1">
        <f t="shared" si="378"/>
        <v>40000</v>
      </c>
      <c r="NA18" s="1">
        <f t="shared" si="378"/>
        <v>40000</v>
      </c>
      <c r="NB18" s="1">
        <f t="shared" si="378"/>
        <v>40000</v>
      </c>
      <c r="NC18" s="1">
        <f t="shared" si="378"/>
        <v>40000</v>
      </c>
      <c r="ND18" s="1">
        <f t="shared" si="378"/>
        <v>40000</v>
      </c>
      <c r="NE18" s="1">
        <f t="shared" si="378"/>
        <v>40000</v>
      </c>
      <c r="NF18" s="1">
        <f t="shared" si="378"/>
        <v>40000</v>
      </c>
      <c r="NG18" s="1">
        <f t="shared" si="378"/>
        <v>40000</v>
      </c>
      <c r="NH18" s="1">
        <v>0</v>
      </c>
      <c r="NI18" s="1">
        <f t="shared" ref="NI18:NO18" si="379">NG30</f>
        <v>0</v>
      </c>
      <c r="NJ18" s="1">
        <f t="shared" si="379"/>
        <v>0</v>
      </c>
      <c r="NK18" s="1">
        <f t="shared" si="379"/>
        <v>0</v>
      </c>
      <c r="NL18" s="1">
        <f t="shared" si="379"/>
        <v>0</v>
      </c>
      <c r="NM18" s="1">
        <f t="shared" si="379"/>
        <v>0</v>
      </c>
      <c r="NN18" s="1">
        <f t="shared" si="379"/>
        <v>0</v>
      </c>
      <c r="NO18" s="1">
        <f t="shared" si="379"/>
        <v>0</v>
      </c>
      <c r="NP18" s="141"/>
      <c r="NQ18" s="1">
        <f t="shared" ref="NQ18:OU18" si="380">NO30</f>
        <v>0</v>
      </c>
      <c r="NR18" s="1">
        <f t="shared" si="380"/>
        <v>0</v>
      </c>
      <c r="NS18" s="1">
        <f t="shared" si="380"/>
        <v>0</v>
      </c>
      <c r="NT18" s="1">
        <f t="shared" si="380"/>
        <v>0</v>
      </c>
      <c r="NU18" s="1">
        <f t="shared" si="380"/>
        <v>0</v>
      </c>
      <c r="NV18" s="1">
        <f t="shared" si="380"/>
        <v>0</v>
      </c>
      <c r="NW18" s="1">
        <f t="shared" si="380"/>
        <v>0</v>
      </c>
      <c r="NX18" s="1">
        <f t="shared" si="380"/>
        <v>0</v>
      </c>
      <c r="NY18" s="1">
        <f t="shared" si="380"/>
        <v>0</v>
      </c>
      <c r="NZ18" s="1">
        <f t="shared" si="380"/>
        <v>0</v>
      </c>
      <c r="OA18" s="1">
        <f t="shared" si="380"/>
        <v>0</v>
      </c>
      <c r="OB18" s="1">
        <f t="shared" si="380"/>
        <v>0</v>
      </c>
      <c r="OC18" s="1">
        <f t="shared" si="380"/>
        <v>0</v>
      </c>
      <c r="OD18" s="1">
        <f t="shared" si="380"/>
        <v>0</v>
      </c>
      <c r="OE18" s="1">
        <f t="shared" si="380"/>
        <v>0</v>
      </c>
      <c r="OF18" s="1">
        <f t="shared" si="380"/>
        <v>0</v>
      </c>
      <c r="OG18" s="1">
        <f t="shared" si="380"/>
        <v>0</v>
      </c>
      <c r="OH18" s="1">
        <f t="shared" si="380"/>
        <v>0</v>
      </c>
      <c r="OI18" s="1">
        <f t="shared" si="380"/>
        <v>0</v>
      </c>
      <c r="OJ18" s="1">
        <f t="shared" si="380"/>
        <v>0</v>
      </c>
      <c r="OK18" s="1">
        <f t="shared" si="380"/>
        <v>0</v>
      </c>
      <c r="OL18" s="1">
        <f t="shared" si="380"/>
        <v>0</v>
      </c>
      <c r="OM18" s="1">
        <f t="shared" si="380"/>
        <v>0</v>
      </c>
      <c r="ON18" s="1">
        <f t="shared" si="380"/>
        <v>0</v>
      </c>
      <c r="OO18" s="1">
        <f t="shared" si="380"/>
        <v>0</v>
      </c>
      <c r="OP18" s="1">
        <f t="shared" si="380"/>
        <v>0</v>
      </c>
      <c r="OQ18" s="1">
        <f t="shared" si="380"/>
        <v>0</v>
      </c>
      <c r="OR18" s="1">
        <f t="shared" si="380"/>
        <v>0</v>
      </c>
      <c r="OS18" s="1">
        <f t="shared" si="380"/>
        <v>0</v>
      </c>
      <c r="OT18" s="1">
        <f t="shared" si="380"/>
        <v>0</v>
      </c>
      <c r="OU18" s="1">
        <f t="shared" si="380"/>
        <v>0</v>
      </c>
      <c r="OV18" s="130"/>
      <c r="OW18" s="1">
        <f>OU30</f>
        <v>0</v>
      </c>
      <c r="OX18" s="1">
        <f t="shared" ref="OX18:PZ18" si="381">OV30</f>
        <v>0</v>
      </c>
      <c r="OY18" s="1">
        <f t="shared" si="381"/>
        <v>0</v>
      </c>
      <c r="OZ18" s="1">
        <f t="shared" si="381"/>
        <v>0</v>
      </c>
      <c r="PA18" s="1">
        <f t="shared" si="381"/>
        <v>0</v>
      </c>
      <c r="PB18" s="1">
        <f t="shared" si="381"/>
        <v>0</v>
      </c>
      <c r="PC18" s="1">
        <f t="shared" si="381"/>
        <v>0</v>
      </c>
      <c r="PD18" s="1">
        <f t="shared" si="381"/>
        <v>0</v>
      </c>
      <c r="PE18" s="1">
        <f t="shared" si="381"/>
        <v>0</v>
      </c>
      <c r="PF18" s="1">
        <f t="shared" si="381"/>
        <v>0</v>
      </c>
      <c r="PG18" s="1">
        <f t="shared" si="381"/>
        <v>0</v>
      </c>
      <c r="PH18" s="1">
        <f t="shared" si="381"/>
        <v>0</v>
      </c>
      <c r="PI18" s="1">
        <f t="shared" si="381"/>
        <v>0</v>
      </c>
      <c r="PJ18" s="1">
        <f t="shared" si="381"/>
        <v>0</v>
      </c>
      <c r="PK18" s="1">
        <f t="shared" si="381"/>
        <v>0</v>
      </c>
      <c r="PL18" s="1">
        <f t="shared" si="381"/>
        <v>0</v>
      </c>
      <c r="PM18" s="1">
        <f t="shared" si="381"/>
        <v>0</v>
      </c>
      <c r="PN18" s="1">
        <f t="shared" si="381"/>
        <v>0</v>
      </c>
      <c r="PO18" s="1">
        <f t="shared" si="381"/>
        <v>0</v>
      </c>
      <c r="PP18" s="1">
        <f t="shared" si="381"/>
        <v>0</v>
      </c>
      <c r="PQ18" s="1">
        <f t="shared" si="381"/>
        <v>0</v>
      </c>
      <c r="PR18" s="1">
        <f t="shared" si="381"/>
        <v>0</v>
      </c>
      <c r="PS18" s="1">
        <f t="shared" si="381"/>
        <v>0</v>
      </c>
      <c r="PT18" s="1">
        <f t="shared" si="381"/>
        <v>0</v>
      </c>
      <c r="PU18" s="1">
        <f t="shared" si="381"/>
        <v>0</v>
      </c>
      <c r="PV18" s="1">
        <f t="shared" si="381"/>
        <v>0</v>
      </c>
      <c r="PW18" s="1">
        <f t="shared" si="381"/>
        <v>0</v>
      </c>
      <c r="PX18" s="1">
        <f t="shared" si="381"/>
        <v>0</v>
      </c>
      <c r="PY18" s="1">
        <f t="shared" si="381"/>
        <v>0</v>
      </c>
      <c r="PZ18" s="1">
        <f t="shared" si="381"/>
        <v>0</v>
      </c>
      <c r="QA18" s="130"/>
      <c r="QB18" s="1">
        <f t="shared" ref="QB18:RF18" si="382">PZ30</f>
        <v>0</v>
      </c>
      <c r="QC18" s="1">
        <f t="shared" si="382"/>
        <v>0</v>
      </c>
      <c r="QD18" s="1">
        <f t="shared" si="382"/>
        <v>0</v>
      </c>
      <c r="QE18" s="1">
        <f t="shared" si="382"/>
        <v>0</v>
      </c>
      <c r="QF18" s="1">
        <f t="shared" si="382"/>
        <v>0</v>
      </c>
      <c r="QG18" s="1">
        <f t="shared" si="382"/>
        <v>0</v>
      </c>
      <c r="QH18" s="1">
        <f t="shared" si="382"/>
        <v>0</v>
      </c>
      <c r="QI18" s="1">
        <f t="shared" si="382"/>
        <v>0</v>
      </c>
      <c r="QJ18" s="1">
        <f t="shared" si="382"/>
        <v>0</v>
      </c>
      <c r="QK18" s="1">
        <f t="shared" si="382"/>
        <v>0</v>
      </c>
      <c r="QL18" s="1">
        <f t="shared" si="382"/>
        <v>0</v>
      </c>
      <c r="QM18" s="1">
        <f t="shared" si="382"/>
        <v>0</v>
      </c>
      <c r="QN18" s="1">
        <f t="shared" si="382"/>
        <v>0</v>
      </c>
      <c r="QO18" s="1">
        <f t="shared" si="382"/>
        <v>0</v>
      </c>
      <c r="QP18" s="1">
        <f t="shared" si="382"/>
        <v>0</v>
      </c>
      <c r="QQ18" s="1">
        <f t="shared" si="382"/>
        <v>0</v>
      </c>
      <c r="QR18" s="1">
        <f t="shared" si="382"/>
        <v>0</v>
      </c>
      <c r="QS18" s="1">
        <f t="shared" si="382"/>
        <v>0</v>
      </c>
      <c r="QT18" s="1">
        <f t="shared" si="382"/>
        <v>0</v>
      </c>
      <c r="QU18" s="1">
        <f t="shared" si="382"/>
        <v>0</v>
      </c>
      <c r="QV18" s="1">
        <f t="shared" si="382"/>
        <v>0</v>
      </c>
      <c r="QW18" s="1">
        <f t="shared" si="382"/>
        <v>0</v>
      </c>
      <c r="QX18" s="1">
        <f t="shared" si="382"/>
        <v>0</v>
      </c>
      <c r="QY18" s="1">
        <f t="shared" si="382"/>
        <v>0</v>
      </c>
      <c r="QZ18" s="1">
        <f t="shared" si="382"/>
        <v>0</v>
      </c>
      <c r="RA18" s="1">
        <f t="shared" si="382"/>
        <v>0</v>
      </c>
      <c r="RB18" s="1">
        <f t="shared" si="382"/>
        <v>0</v>
      </c>
      <c r="RC18" s="1">
        <f t="shared" si="382"/>
        <v>0</v>
      </c>
      <c r="RD18" s="1">
        <f t="shared" si="382"/>
        <v>0</v>
      </c>
      <c r="RE18" s="1">
        <f t="shared" si="382"/>
        <v>0</v>
      </c>
      <c r="RF18" s="1">
        <f t="shared" si="382"/>
        <v>0</v>
      </c>
      <c r="RG18" s="130"/>
      <c r="RH18" s="1">
        <f>RF30</f>
        <v>0</v>
      </c>
      <c r="RI18" s="1">
        <f t="shared" ref="RI18:SK18" si="383">RG30</f>
        <v>0</v>
      </c>
      <c r="RJ18" s="1">
        <f t="shared" si="383"/>
        <v>0</v>
      </c>
      <c r="RK18" s="1">
        <f t="shared" si="383"/>
        <v>0</v>
      </c>
      <c r="RL18" s="1">
        <f t="shared" si="383"/>
        <v>0</v>
      </c>
      <c r="RM18" s="1">
        <f t="shared" si="383"/>
        <v>0</v>
      </c>
      <c r="RN18" s="1">
        <f t="shared" si="383"/>
        <v>0</v>
      </c>
      <c r="RO18" s="1">
        <f t="shared" si="383"/>
        <v>0</v>
      </c>
      <c r="RP18" s="1">
        <f t="shared" si="383"/>
        <v>0</v>
      </c>
      <c r="RQ18" s="1">
        <f t="shared" si="383"/>
        <v>0</v>
      </c>
      <c r="RR18" s="1">
        <f t="shared" si="383"/>
        <v>0</v>
      </c>
      <c r="RS18" s="1">
        <f t="shared" si="383"/>
        <v>0</v>
      </c>
      <c r="RT18" s="1">
        <f t="shared" si="383"/>
        <v>0</v>
      </c>
      <c r="RU18" s="1">
        <f t="shared" si="383"/>
        <v>0</v>
      </c>
      <c r="RV18" s="1">
        <f t="shared" si="383"/>
        <v>0</v>
      </c>
      <c r="RW18" s="1">
        <f t="shared" si="383"/>
        <v>0</v>
      </c>
      <c r="RX18" s="1">
        <f t="shared" si="383"/>
        <v>0</v>
      </c>
      <c r="RY18" s="1">
        <f t="shared" si="383"/>
        <v>0</v>
      </c>
      <c r="RZ18" s="1">
        <f t="shared" si="383"/>
        <v>0</v>
      </c>
      <c r="SA18" s="1">
        <f t="shared" si="383"/>
        <v>0</v>
      </c>
      <c r="SB18" s="1">
        <f t="shared" si="383"/>
        <v>0</v>
      </c>
      <c r="SC18" s="1">
        <f t="shared" si="383"/>
        <v>0</v>
      </c>
      <c r="SD18" s="1">
        <f t="shared" si="383"/>
        <v>0</v>
      </c>
      <c r="SE18" s="1">
        <f t="shared" si="383"/>
        <v>0</v>
      </c>
      <c r="SF18" s="1">
        <f t="shared" si="383"/>
        <v>0</v>
      </c>
      <c r="SG18" s="1">
        <f t="shared" si="383"/>
        <v>0</v>
      </c>
      <c r="SH18" s="1">
        <f t="shared" si="383"/>
        <v>0</v>
      </c>
      <c r="SI18" s="1">
        <f t="shared" si="383"/>
        <v>0</v>
      </c>
      <c r="SJ18" s="1">
        <f t="shared" si="383"/>
        <v>0</v>
      </c>
      <c r="SK18" s="1">
        <f t="shared" si="383"/>
        <v>0</v>
      </c>
      <c r="SL18" s="130"/>
      <c r="SM18" s="1">
        <f>SK30</f>
        <v>0</v>
      </c>
      <c r="SN18" s="1">
        <f t="shared" ref="SN18:TQ18" si="384">SL30</f>
        <v>0</v>
      </c>
      <c r="SO18" s="1">
        <f t="shared" si="384"/>
        <v>0</v>
      </c>
      <c r="SP18" s="1">
        <f t="shared" si="384"/>
        <v>0</v>
      </c>
      <c r="SQ18" s="1">
        <f t="shared" si="384"/>
        <v>0</v>
      </c>
      <c r="SR18" s="1">
        <f t="shared" si="384"/>
        <v>0</v>
      </c>
      <c r="SS18" s="1">
        <f t="shared" si="384"/>
        <v>0</v>
      </c>
      <c r="ST18" s="1">
        <f t="shared" si="384"/>
        <v>0</v>
      </c>
      <c r="SU18" s="1">
        <f t="shared" si="384"/>
        <v>0</v>
      </c>
      <c r="SV18" s="1">
        <f t="shared" si="384"/>
        <v>0</v>
      </c>
      <c r="SW18" s="1">
        <f t="shared" si="384"/>
        <v>0</v>
      </c>
      <c r="SX18" s="1">
        <f t="shared" si="384"/>
        <v>0</v>
      </c>
      <c r="SY18" s="1">
        <f t="shared" si="384"/>
        <v>0</v>
      </c>
      <c r="SZ18" s="1">
        <f t="shared" si="384"/>
        <v>0</v>
      </c>
      <c r="TA18" s="1">
        <f t="shared" si="384"/>
        <v>0</v>
      </c>
      <c r="TB18" s="1">
        <f t="shared" si="384"/>
        <v>0</v>
      </c>
      <c r="TC18" s="1">
        <f t="shared" si="384"/>
        <v>0</v>
      </c>
      <c r="TD18" s="1">
        <f t="shared" si="384"/>
        <v>0</v>
      </c>
      <c r="TE18" s="1">
        <f t="shared" si="384"/>
        <v>0</v>
      </c>
      <c r="TF18" s="1">
        <f t="shared" si="384"/>
        <v>0</v>
      </c>
      <c r="TG18" s="1">
        <f t="shared" si="384"/>
        <v>0</v>
      </c>
      <c r="TH18" s="1">
        <f t="shared" si="384"/>
        <v>0</v>
      </c>
      <c r="TI18" s="1">
        <f t="shared" si="384"/>
        <v>0</v>
      </c>
      <c r="TJ18" s="1">
        <f t="shared" si="384"/>
        <v>0</v>
      </c>
      <c r="TK18" s="1">
        <f t="shared" si="384"/>
        <v>0</v>
      </c>
      <c r="TL18" s="1">
        <f t="shared" si="384"/>
        <v>0</v>
      </c>
      <c r="TM18" s="1">
        <f t="shared" si="384"/>
        <v>0</v>
      </c>
      <c r="TN18" s="1">
        <f t="shared" si="384"/>
        <v>0</v>
      </c>
      <c r="TO18" s="1">
        <f t="shared" si="384"/>
        <v>0</v>
      </c>
      <c r="TP18" s="1">
        <f t="shared" si="384"/>
        <v>0</v>
      </c>
      <c r="TQ18" s="1">
        <f t="shared" si="384"/>
        <v>0</v>
      </c>
      <c r="TR18" s="130"/>
      <c r="TS18" s="1">
        <f>TQ30</f>
        <v>0</v>
      </c>
      <c r="TT18" s="1">
        <f t="shared" ref="TT18:UW18" si="385">TR30</f>
        <v>0</v>
      </c>
      <c r="TU18" s="1">
        <f t="shared" si="385"/>
        <v>0</v>
      </c>
      <c r="TV18" s="1">
        <f t="shared" si="385"/>
        <v>0</v>
      </c>
      <c r="TW18" s="1">
        <f t="shared" si="385"/>
        <v>0</v>
      </c>
      <c r="TX18" s="1">
        <f t="shared" si="385"/>
        <v>0</v>
      </c>
      <c r="TY18" s="1">
        <f t="shared" si="385"/>
        <v>0</v>
      </c>
      <c r="TZ18" s="1">
        <f t="shared" si="385"/>
        <v>0</v>
      </c>
      <c r="UA18" s="1">
        <f t="shared" si="385"/>
        <v>0</v>
      </c>
      <c r="UB18" s="1">
        <f t="shared" si="385"/>
        <v>0</v>
      </c>
      <c r="UC18" s="1">
        <f t="shared" si="385"/>
        <v>0</v>
      </c>
      <c r="UD18" s="1">
        <f t="shared" si="385"/>
        <v>0</v>
      </c>
      <c r="UE18" s="1">
        <f t="shared" si="385"/>
        <v>0</v>
      </c>
      <c r="UF18" s="1">
        <f t="shared" si="385"/>
        <v>0</v>
      </c>
      <c r="UG18" s="1">
        <f t="shared" si="385"/>
        <v>0</v>
      </c>
      <c r="UH18" s="1">
        <f t="shared" si="385"/>
        <v>0</v>
      </c>
      <c r="UI18" s="1">
        <f t="shared" si="385"/>
        <v>0</v>
      </c>
      <c r="UJ18" s="1">
        <f t="shared" si="385"/>
        <v>0</v>
      </c>
      <c r="UK18" s="1">
        <f t="shared" si="385"/>
        <v>0</v>
      </c>
      <c r="UL18" s="1">
        <f t="shared" si="385"/>
        <v>0</v>
      </c>
      <c r="UM18" s="1">
        <f t="shared" si="385"/>
        <v>0</v>
      </c>
      <c r="UN18" s="1">
        <f t="shared" si="385"/>
        <v>0</v>
      </c>
      <c r="UO18" s="1">
        <f t="shared" si="385"/>
        <v>0</v>
      </c>
      <c r="UP18" s="1">
        <f t="shared" si="385"/>
        <v>0</v>
      </c>
      <c r="UQ18" s="1">
        <f t="shared" si="385"/>
        <v>0</v>
      </c>
      <c r="UR18" s="1">
        <f t="shared" si="385"/>
        <v>0</v>
      </c>
      <c r="US18" s="1">
        <f t="shared" si="385"/>
        <v>0</v>
      </c>
      <c r="UT18" s="1">
        <f t="shared" si="385"/>
        <v>0</v>
      </c>
      <c r="UU18" s="1">
        <f t="shared" si="385"/>
        <v>0</v>
      </c>
      <c r="UV18" s="1">
        <f t="shared" si="385"/>
        <v>0</v>
      </c>
      <c r="UW18" s="1">
        <f t="shared" si="385"/>
        <v>0</v>
      </c>
      <c r="UX18" s="130"/>
      <c r="UY18" s="1">
        <f>UW30</f>
        <v>0</v>
      </c>
      <c r="UZ18" s="1">
        <f t="shared" ref="UZ18:VZ18" si="386">UX30</f>
        <v>0</v>
      </c>
      <c r="VA18" s="1">
        <f t="shared" si="386"/>
        <v>0</v>
      </c>
      <c r="VB18" s="1">
        <f t="shared" si="386"/>
        <v>0</v>
      </c>
      <c r="VC18" s="1">
        <f t="shared" si="386"/>
        <v>0</v>
      </c>
      <c r="VD18" s="1">
        <f t="shared" si="386"/>
        <v>0</v>
      </c>
      <c r="VE18" s="1">
        <f t="shared" si="386"/>
        <v>0</v>
      </c>
      <c r="VF18" s="1">
        <f t="shared" si="386"/>
        <v>0</v>
      </c>
      <c r="VG18" s="1">
        <f t="shared" si="386"/>
        <v>0</v>
      </c>
      <c r="VH18" s="1">
        <f t="shared" si="386"/>
        <v>0</v>
      </c>
      <c r="VI18" s="1">
        <f t="shared" si="386"/>
        <v>0</v>
      </c>
      <c r="VJ18" s="1">
        <f t="shared" si="386"/>
        <v>0</v>
      </c>
      <c r="VK18" s="1">
        <f t="shared" si="386"/>
        <v>0</v>
      </c>
      <c r="VL18" s="1">
        <f t="shared" si="386"/>
        <v>0</v>
      </c>
      <c r="VM18" s="1">
        <f t="shared" si="386"/>
        <v>0</v>
      </c>
      <c r="VN18" s="1">
        <f t="shared" si="386"/>
        <v>0</v>
      </c>
      <c r="VO18" s="1">
        <f t="shared" si="386"/>
        <v>0</v>
      </c>
      <c r="VP18" s="1">
        <f t="shared" si="386"/>
        <v>0</v>
      </c>
      <c r="VQ18" s="1">
        <f t="shared" si="386"/>
        <v>0</v>
      </c>
      <c r="VR18" s="1">
        <f t="shared" si="386"/>
        <v>0</v>
      </c>
      <c r="VS18" s="1">
        <f t="shared" si="386"/>
        <v>0</v>
      </c>
      <c r="VT18" s="1">
        <f t="shared" si="386"/>
        <v>0</v>
      </c>
      <c r="VU18" s="1">
        <f t="shared" si="386"/>
        <v>0</v>
      </c>
      <c r="VV18" s="1">
        <f t="shared" si="386"/>
        <v>0</v>
      </c>
      <c r="VW18" s="1">
        <f t="shared" si="386"/>
        <v>0</v>
      </c>
      <c r="VX18" s="1">
        <f t="shared" si="386"/>
        <v>0</v>
      </c>
      <c r="VY18" s="1">
        <f t="shared" si="386"/>
        <v>0</v>
      </c>
      <c r="VZ18" s="1">
        <f t="shared" si="386"/>
        <v>0</v>
      </c>
      <c r="WA18" s="141"/>
      <c r="WB18" s="1">
        <f t="shared" ref="WB18:WX18" si="387">VZ30</f>
        <v>0</v>
      </c>
      <c r="WC18" s="1">
        <f t="shared" si="387"/>
        <v>0</v>
      </c>
      <c r="WD18" s="1">
        <f t="shared" si="387"/>
        <v>0</v>
      </c>
      <c r="WE18" s="1">
        <f t="shared" si="387"/>
        <v>0</v>
      </c>
      <c r="WF18" s="1">
        <f t="shared" si="387"/>
        <v>0</v>
      </c>
      <c r="WG18" s="1">
        <f t="shared" si="387"/>
        <v>0</v>
      </c>
      <c r="WH18" s="1">
        <f t="shared" si="387"/>
        <v>0</v>
      </c>
      <c r="WI18" s="1">
        <f t="shared" si="387"/>
        <v>0</v>
      </c>
      <c r="WJ18" s="1">
        <f t="shared" si="387"/>
        <v>0</v>
      </c>
      <c r="WK18" s="1">
        <f t="shared" si="387"/>
        <v>0</v>
      </c>
      <c r="WL18" s="1">
        <f t="shared" si="387"/>
        <v>0</v>
      </c>
      <c r="WM18" s="1">
        <f t="shared" si="387"/>
        <v>0</v>
      </c>
      <c r="WN18" s="1">
        <f t="shared" si="387"/>
        <v>0</v>
      </c>
      <c r="WO18" s="1">
        <f t="shared" si="387"/>
        <v>0</v>
      </c>
      <c r="WP18" s="1">
        <f t="shared" si="387"/>
        <v>0</v>
      </c>
      <c r="WQ18" s="1">
        <f t="shared" si="387"/>
        <v>0</v>
      </c>
      <c r="WR18" s="1">
        <f t="shared" si="387"/>
        <v>0</v>
      </c>
      <c r="WS18" s="1">
        <f t="shared" si="387"/>
        <v>0</v>
      </c>
      <c r="WT18" s="1">
        <f t="shared" si="387"/>
        <v>0</v>
      </c>
      <c r="WU18" s="1">
        <f t="shared" si="387"/>
        <v>0</v>
      </c>
      <c r="WV18" s="1">
        <f t="shared" si="387"/>
        <v>0</v>
      </c>
      <c r="WW18" s="1">
        <f t="shared" si="387"/>
        <v>0</v>
      </c>
      <c r="WX18" s="1">
        <f t="shared" si="387"/>
        <v>0</v>
      </c>
      <c r="WY18" s="1">
        <v>0</v>
      </c>
      <c r="WZ18" s="1">
        <v>0</v>
      </c>
      <c r="XA18" s="1">
        <v>0</v>
      </c>
      <c r="XB18" s="1">
        <v>0</v>
      </c>
      <c r="XC18" s="1">
        <v>0</v>
      </c>
      <c r="XD18" s="1">
        <v>0</v>
      </c>
      <c r="XE18" s="1">
        <v>0</v>
      </c>
      <c r="XF18" s="1">
        <v>0</v>
      </c>
      <c r="XG18" s="141"/>
      <c r="XH18" s="1">
        <f>XF30</f>
        <v>170000</v>
      </c>
      <c r="XI18" s="1">
        <f t="shared" si="183"/>
        <v>170000</v>
      </c>
      <c r="XJ18" s="1">
        <f t="shared" si="183"/>
        <v>170000</v>
      </c>
      <c r="XK18" s="1">
        <f t="shared" si="183"/>
        <v>170000</v>
      </c>
      <c r="XL18" s="1">
        <f t="shared" si="183"/>
        <v>170000</v>
      </c>
      <c r="XM18" s="1">
        <f t="shared" si="183"/>
        <v>170000</v>
      </c>
      <c r="XN18" s="1">
        <f t="shared" si="183"/>
        <v>170000</v>
      </c>
      <c r="XO18" s="1">
        <f t="shared" si="183"/>
        <v>170000</v>
      </c>
      <c r="XP18" s="1">
        <v>0</v>
      </c>
      <c r="XQ18" s="1">
        <f t="shared" ref="XQ18:YK18" si="388">XP18</f>
        <v>0</v>
      </c>
      <c r="XR18" s="1">
        <f t="shared" si="388"/>
        <v>0</v>
      </c>
      <c r="XS18" s="1">
        <f t="shared" si="388"/>
        <v>0</v>
      </c>
      <c r="XT18" s="1">
        <f t="shared" si="388"/>
        <v>0</v>
      </c>
      <c r="XU18" s="1">
        <f t="shared" si="388"/>
        <v>0</v>
      </c>
      <c r="XV18" s="1">
        <f t="shared" si="388"/>
        <v>0</v>
      </c>
      <c r="XW18" s="1">
        <f t="shared" si="388"/>
        <v>0</v>
      </c>
      <c r="XX18" s="1">
        <f t="shared" si="388"/>
        <v>0</v>
      </c>
      <c r="XY18" s="1">
        <f t="shared" si="388"/>
        <v>0</v>
      </c>
      <c r="XZ18" s="1">
        <f t="shared" si="388"/>
        <v>0</v>
      </c>
      <c r="YA18" s="1">
        <f t="shared" si="388"/>
        <v>0</v>
      </c>
      <c r="YB18" s="1">
        <f t="shared" si="388"/>
        <v>0</v>
      </c>
      <c r="YC18" s="1">
        <f t="shared" si="388"/>
        <v>0</v>
      </c>
      <c r="YD18" s="1">
        <f t="shared" si="388"/>
        <v>0</v>
      </c>
      <c r="YE18" s="1">
        <f t="shared" si="388"/>
        <v>0</v>
      </c>
      <c r="YF18" s="1">
        <f t="shared" si="388"/>
        <v>0</v>
      </c>
      <c r="YG18" s="1">
        <f t="shared" si="388"/>
        <v>0</v>
      </c>
      <c r="YH18" s="1">
        <f t="shared" si="388"/>
        <v>0</v>
      </c>
      <c r="YI18" s="1">
        <f t="shared" si="388"/>
        <v>0</v>
      </c>
      <c r="YJ18" s="1">
        <f t="shared" si="388"/>
        <v>0</v>
      </c>
      <c r="YK18" s="1">
        <f t="shared" si="388"/>
        <v>0</v>
      </c>
      <c r="YL18" s="130"/>
      <c r="YM18" s="1">
        <f>YL18</f>
        <v>0</v>
      </c>
      <c r="YN18" s="1">
        <f t="shared" ref="YN18:YV18" si="389">YM18</f>
        <v>0</v>
      </c>
      <c r="YO18" s="1">
        <f t="shared" si="389"/>
        <v>0</v>
      </c>
      <c r="YP18" s="1">
        <f t="shared" si="389"/>
        <v>0</v>
      </c>
      <c r="YQ18" s="1">
        <f t="shared" si="389"/>
        <v>0</v>
      </c>
      <c r="YR18" s="1">
        <f t="shared" si="389"/>
        <v>0</v>
      </c>
      <c r="YS18" s="1">
        <f t="shared" si="389"/>
        <v>0</v>
      </c>
      <c r="YT18" s="1">
        <f t="shared" si="389"/>
        <v>0</v>
      </c>
      <c r="YU18" s="1">
        <f t="shared" si="389"/>
        <v>0</v>
      </c>
      <c r="YV18" s="1">
        <f t="shared" si="389"/>
        <v>0</v>
      </c>
      <c r="YW18" s="1">
        <f>YV18</f>
        <v>0</v>
      </c>
      <c r="YX18" s="1">
        <f t="shared" ref="YX18:ZG18" si="390">YW18</f>
        <v>0</v>
      </c>
      <c r="YY18" s="1">
        <f t="shared" si="390"/>
        <v>0</v>
      </c>
      <c r="YZ18" s="1">
        <f t="shared" si="390"/>
        <v>0</v>
      </c>
      <c r="ZA18" s="1">
        <f t="shared" si="390"/>
        <v>0</v>
      </c>
      <c r="ZB18" s="1">
        <f t="shared" si="390"/>
        <v>0</v>
      </c>
      <c r="ZC18" s="1">
        <f t="shared" si="390"/>
        <v>0</v>
      </c>
      <c r="ZD18" s="1">
        <f t="shared" si="390"/>
        <v>0</v>
      </c>
      <c r="ZE18" s="1">
        <f t="shared" si="390"/>
        <v>0</v>
      </c>
      <c r="ZF18" s="1">
        <f t="shared" si="390"/>
        <v>0</v>
      </c>
      <c r="ZG18" s="1">
        <f t="shared" si="390"/>
        <v>0</v>
      </c>
      <c r="ZH18" s="1">
        <f>ZG18</f>
        <v>0</v>
      </c>
      <c r="ZI18" s="1">
        <f t="shared" ref="ZI18:ZQ18" si="391">ZH18</f>
        <v>0</v>
      </c>
      <c r="ZJ18" s="1">
        <f t="shared" si="391"/>
        <v>0</v>
      </c>
      <c r="ZK18" s="1">
        <f t="shared" si="391"/>
        <v>0</v>
      </c>
      <c r="ZL18" s="1">
        <f t="shared" si="391"/>
        <v>0</v>
      </c>
      <c r="ZM18" s="1">
        <f t="shared" si="391"/>
        <v>0</v>
      </c>
      <c r="ZN18" s="1">
        <f t="shared" si="391"/>
        <v>0</v>
      </c>
      <c r="ZO18" s="1">
        <f t="shared" si="391"/>
        <v>0</v>
      </c>
      <c r="ZP18" s="1">
        <f t="shared" si="391"/>
        <v>0</v>
      </c>
      <c r="ZQ18" s="1">
        <f t="shared" si="391"/>
        <v>0</v>
      </c>
      <c r="ZR18" s="130"/>
      <c r="ZS18" s="1">
        <f>ZR18</f>
        <v>0</v>
      </c>
      <c r="ZT18" s="1">
        <f t="shared" si="187"/>
        <v>0</v>
      </c>
      <c r="ZU18" s="1">
        <f>ZT18</f>
        <v>0</v>
      </c>
      <c r="ZV18" s="1">
        <f t="shared" ref="ZV18:AAV18" si="392">ZU18</f>
        <v>0</v>
      </c>
      <c r="ZW18" s="1">
        <f t="shared" si="392"/>
        <v>0</v>
      </c>
      <c r="ZX18" s="1">
        <f t="shared" si="392"/>
        <v>0</v>
      </c>
      <c r="ZY18" s="1">
        <f t="shared" si="392"/>
        <v>0</v>
      </c>
      <c r="ZZ18" s="1">
        <f t="shared" si="392"/>
        <v>0</v>
      </c>
      <c r="AAA18" s="1">
        <f t="shared" si="392"/>
        <v>0</v>
      </c>
      <c r="AAB18" s="1">
        <f t="shared" si="392"/>
        <v>0</v>
      </c>
      <c r="AAC18" s="1">
        <f t="shared" si="392"/>
        <v>0</v>
      </c>
      <c r="AAD18" s="1">
        <f t="shared" si="392"/>
        <v>0</v>
      </c>
      <c r="AAE18" s="1">
        <f t="shared" si="392"/>
        <v>0</v>
      </c>
      <c r="AAF18" s="1">
        <f t="shared" si="392"/>
        <v>0</v>
      </c>
      <c r="AAG18" s="1">
        <f t="shared" si="392"/>
        <v>0</v>
      </c>
      <c r="AAH18" s="1">
        <f t="shared" si="392"/>
        <v>0</v>
      </c>
      <c r="AAI18" s="1">
        <f t="shared" si="392"/>
        <v>0</v>
      </c>
      <c r="AAJ18" s="1">
        <f t="shared" si="392"/>
        <v>0</v>
      </c>
      <c r="AAK18" s="1">
        <f t="shared" si="392"/>
        <v>0</v>
      </c>
      <c r="AAL18" s="1">
        <f t="shared" si="392"/>
        <v>0</v>
      </c>
      <c r="AAM18" s="1">
        <f t="shared" si="392"/>
        <v>0</v>
      </c>
      <c r="AAN18" s="1">
        <f t="shared" si="392"/>
        <v>0</v>
      </c>
      <c r="AAO18" s="1">
        <f t="shared" si="392"/>
        <v>0</v>
      </c>
      <c r="AAP18" s="1">
        <f t="shared" si="392"/>
        <v>0</v>
      </c>
      <c r="AAQ18" s="1">
        <f t="shared" si="392"/>
        <v>0</v>
      </c>
      <c r="AAR18" s="1">
        <f t="shared" si="392"/>
        <v>0</v>
      </c>
      <c r="AAS18" s="1">
        <f t="shared" si="392"/>
        <v>0</v>
      </c>
      <c r="AAT18" s="1">
        <f t="shared" si="392"/>
        <v>0</v>
      </c>
      <c r="AAU18" s="1">
        <f t="shared" si="392"/>
        <v>0</v>
      </c>
      <c r="AAV18" s="1">
        <f t="shared" si="392"/>
        <v>0</v>
      </c>
      <c r="AAW18" s="130"/>
      <c r="AAX18" s="1">
        <f>AAW18</f>
        <v>0</v>
      </c>
      <c r="AAY18" s="1">
        <f t="shared" ref="AAY18:ABM18" si="393">AAX18</f>
        <v>0</v>
      </c>
      <c r="AAZ18" s="1">
        <f t="shared" si="393"/>
        <v>0</v>
      </c>
      <c r="ABA18" s="1">
        <f t="shared" si="393"/>
        <v>0</v>
      </c>
      <c r="ABB18" s="1">
        <f t="shared" si="393"/>
        <v>0</v>
      </c>
      <c r="ABC18" s="1">
        <f t="shared" si="393"/>
        <v>0</v>
      </c>
      <c r="ABD18" s="1">
        <f t="shared" si="393"/>
        <v>0</v>
      </c>
      <c r="ABE18" s="1">
        <f t="shared" si="393"/>
        <v>0</v>
      </c>
      <c r="ABF18" s="1">
        <f t="shared" si="393"/>
        <v>0</v>
      </c>
      <c r="ABG18" s="1">
        <f t="shared" si="393"/>
        <v>0</v>
      </c>
      <c r="ABH18" s="1">
        <f t="shared" si="393"/>
        <v>0</v>
      </c>
      <c r="ABI18" s="1">
        <f t="shared" si="393"/>
        <v>0</v>
      </c>
      <c r="ABJ18" s="1">
        <f t="shared" si="393"/>
        <v>0</v>
      </c>
      <c r="ABK18" s="1">
        <f t="shared" si="393"/>
        <v>0</v>
      </c>
      <c r="ABL18" s="1">
        <f t="shared" si="393"/>
        <v>0</v>
      </c>
      <c r="ABM18" s="1">
        <f t="shared" si="393"/>
        <v>0</v>
      </c>
      <c r="ABN18" s="1">
        <f>ABM18</f>
        <v>0</v>
      </c>
      <c r="ABO18" s="1">
        <f t="shared" ref="ABO18:ACB18" si="394">ABN18</f>
        <v>0</v>
      </c>
      <c r="ABP18" s="1">
        <f t="shared" si="394"/>
        <v>0</v>
      </c>
      <c r="ABQ18" s="1">
        <f t="shared" si="394"/>
        <v>0</v>
      </c>
      <c r="ABR18" s="1">
        <f t="shared" si="394"/>
        <v>0</v>
      </c>
      <c r="ABS18" s="1">
        <f t="shared" si="394"/>
        <v>0</v>
      </c>
      <c r="ABT18" s="1">
        <f t="shared" si="394"/>
        <v>0</v>
      </c>
      <c r="ABU18" s="1">
        <f t="shared" si="394"/>
        <v>0</v>
      </c>
      <c r="ABV18" s="1">
        <f t="shared" si="394"/>
        <v>0</v>
      </c>
      <c r="ABW18" s="1">
        <f t="shared" si="394"/>
        <v>0</v>
      </c>
      <c r="ABX18" s="1">
        <f t="shared" si="394"/>
        <v>0</v>
      </c>
      <c r="ABY18" s="1">
        <f t="shared" si="394"/>
        <v>0</v>
      </c>
      <c r="ABZ18" s="1">
        <f t="shared" si="394"/>
        <v>0</v>
      </c>
      <c r="ACA18" s="1">
        <f t="shared" si="394"/>
        <v>0</v>
      </c>
      <c r="ACB18" s="1">
        <f t="shared" si="394"/>
        <v>0</v>
      </c>
      <c r="ACC18" s="130"/>
      <c r="ACD18" s="1">
        <f>ACC18</f>
        <v>0</v>
      </c>
      <c r="ACE18" s="1">
        <f t="shared" si="191"/>
        <v>0</v>
      </c>
      <c r="ACF18" s="1">
        <f t="shared" si="191"/>
        <v>0</v>
      </c>
      <c r="ACG18" s="1">
        <f t="shared" si="191"/>
        <v>0</v>
      </c>
      <c r="ACH18" s="1">
        <f t="shared" si="191"/>
        <v>0</v>
      </c>
      <c r="ACI18" s="1">
        <f>ACH18</f>
        <v>0</v>
      </c>
      <c r="ACJ18" s="1">
        <f t="shared" ref="ACJ18:ADH18" si="395">ACI18</f>
        <v>0</v>
      </c>
      <c r="ACK18" s="1">
        <f t="shared" si="395"/>
        <v>0</v>
      </c>
      <c r="ACL18" s="1">
        <f t="shared" si="395"/>
        <v>0</v>
      </c>
      <c r="ACM18" s="1">
        <f t="shared" si="395"/>
        <v>0</v>
      </c>
      <c r="ACN18" s="1">
        <f t="shared" si="395"/>
        <v>0</v>
      </c>
      <c r="ACO18" s="1">
        <f t="shared" si="395"/>
        <v>0</v>
      </c>
      <c r="ACP18" s="1">
        <f t="shared" si="395"/>
        <v>0</v>
      </c>
      <c r="ACQ18" s="1">
        <f t="shared" si="395"/>
        <v>0</v>
      </c>
      <c r="ACR18" s="1">
        <f t="shared" si="395"/>
        <v>0</v>
      </c>
      <c r="ACS18" s="1">
        <f t="shared" si="395"/>
        <v>0</v>
      </c>
      <c r="ACT18" s="1">
        <f t="shared" si="395"/>
        <v>0</v>
      </c>
      <c r="ACU18" s="1">
        <f t="shared" si="395"/>
        <v>0</v>
      </c>
      <c r="ACV18" s="1">
        <f t="shared" si="395"/>
        <v>0</v>
      </c>
      <c r="ACW18" s="1">
        <f t="shared" si="395"/>
        <v>0</v>
      </c>
      <c r="ACX18" s="1">
        <f t="shared" si="395"/>
        <v>0</v>
      </c>
      <c r="ACY18" s="1">
        <f t="shared" si="395"/>
        <v>0</v>
      </c>
      <c r="ACZ18" s="1">
        <f t="shared" si="395"/>
        <v>0</v>
      </c>
      <c r="ADA18" s="1">
        <f t="shared" si="395"/>
        <v>0</v>
      </c>
      <c r="ADB18" s="1">
        <f t="shared" si="395"/>
        <v>0</v>
      </c>
      <c r="ADC18" s="1">
        <f t="shared" si="395"/>
        <v>0</v>
      </c>
      <c r="ADD18" s="1">
        <f t="shared" si="395"/>
        <v>0</v>
      </c>
      <c r="ADE18" s="1">
        <f t="shared" si="395"/>
        <v>0</v>
      </c>
      <c r="ADF18" s="1">
        <f t="shared" si="395"/>
        <v>0</v>
      </c>
      <c r="ADG18" s="1">
        <f t="shared" si="395"/>
        <v>0</v>
      </c>
      <c r="ADH18" s="1">
        <f t="shared" si="395"/>
        <v>0</v>
      </c>
      <c r="ADI18" s="130"/>
      <c r="ADJ18" s="1">
        <f>ADI18</f>
        <v>0</v>
      </c>
      <c r="ADK18" s="1">
        <f t="shared" ref="ADK18:ADV18" si="396">ADJ18</f>
        <v>0</v>
      </c>
      <c r="ADL18" s="1">
        <f t="shared" si="396"/>
        <v>0</v>
      </c>
      <c r="ADM18" s="1">
        <f t="shared" si="396"/>
        <v>0</v>
      </c>
      <c r="ADN18" s="1">
        <f t="shared" si="396"/>
        <v>0</v>
      </c>
      <c r="ADO18" s="1">
        <f t="shared" si="396"/>
        <v>0</v>
      </c>
      <c r="ADP18" s="1">
        <f t="shared" si="396"/>
        <v>0</v>
      </c>
      <c r="ADQ18" s="1">
        <f t="shared" si="396"/>
        <v>0</v>
      </c>
      <c r="ADR18" s="1">
        <f t="shared" si="396"/>
        <v>0</v>
      </c>
      <c r="ADS18" s="1">
        <f t="shared" si="396"/>
        <v>0</v>
      </c>
      <c r="ADT18" s="1">
        <f t="shared" si="396"/>
        <v>0</v>
      </c>
      <c r="ADU18" s="1">
        <f t="shared" si="396"/>
        <v>0</v>
      </c>
      <c r="ADV18" s="1">
        <f t="shared" si="396"/>
        <v>0</v>
      </c>
      <c r="ADW18" s="1">
        <f>ADV18</f>
        <v>0</v>
      </c>
      <c r="ADX18" s="1">
        <f t="shared" ref="ADX18:AEG18" si="397">ADW18</f>
        <v>0</v>
      </c>
      <c r="ADY18" s="1">
        <f t="shared" si="397"/>
        <v>0</v>
      </c>
      <c r="ADZ18" s="1">
        <f t="shared" si="397"/>
        <v>0</v>
      </c>
      <c r="AEA18" s="1">
        <f t="shared" si="397"/>
        <v>0</v>
      </c>
      <c r="AEB18" s="1">
        <f t="shared" si="397"/>
        <v>0</v>
      </c>
      <c r="AEC18" s="1">
        <f t="shared" si="397"/>
        <v>0</v>
      </c>
      <c r="AED18" s="1">
        <f t="shared" si="397"/>
        <v>0</v>
      </c>
      <c r="AEE18" s="1">
        <f t="shared" si="397"/>
        <v>0</v>
      </c>
      <c r="AEF18" s="1">
        <f t="shared" si="397"/>
        <v>0</v>
      </c>
      <c r="AEG18" s="1">
        <f t="shared" si="397"/>
        <v>0</v>
      </c>
      <c r="AEH18" s="1">
        <f t="shared" si="303"/>
        <v>0</v>
      </c>
      <c r="AEI18" s="1">
        <f t="shared" si="232"/>
        <v>0</v>
      </c>
      <c r="AEJ18" s="1">
        <f t="shared" si="232"/>
        <v>0</v>
      </c>
      <c r="AEK18" s="1">
        <f t="shared" si="232"/>
        <v>0</v>
      </c>
      <c r="AEL18" s="1">
        <f t="shared" si="232"/>
        <v>0</v>
      </c>
      <c r="AEM18" s="1">
        <f t="shared" si="232"/>
        <v>0</v>
      </c>
      <c r="AEN18" s="130"/>
      <c r="AEO18" s="1">
        <f>AEN18</f>
        <v>0</v>
      </c>
      <c r="AEP18" s="1">
        <f t="shared" si="195"/>
        <v>0</v>
      </c>
      <c r="AEQ18" s="1">
        <f t="shared" si="195"/>
        <v>0</v>
      </c>
      <c r="AER18" s="1">
        <f t="shared" si="195"/>
        <v>0</v>
      </c>
      <c r="AES18" s="1">
        <f t="shared" si="195"/>
        <v>0</v>
      </c>
      <c r="AET18" s="1">
        <f t="shared" si="195"/>
        <v>0</v>
      </c>
      <c r="AEU18" s="1">
        <f>AET18</f>
        <v>0</v>
      </c>
      <c r="AEV18" s="1">
        <f t="shared" ref="AEV18:AFS18" si="398">AEU18</f>
        <v>0</v>
      </c>
      <c r="AEW18" s="1">
        <f t="shared" si="398"/>
        <v>0</v>
      </c>
      <c r="AEX18" s="1">
        <f t="shared" si="398"/>
        <v>0</v>
      </c>
      <c r="AEY18" s="1">
        <f t="shared" si="398"/>
        <v>0</v>
      </c>
      <c r="AEZ18" s="1">
        <f t="shared" si="398"/>
        <v>0</v>
      </c>
      <c r="AFA18" s="1">
        <f t="shared" si="398"/>
        <v>0</v>
      </c>
      <c r="AFB18" s="1">
        <f t="shared" si="398"/>
        <v>0</v>
      </c>
      <c r="AFC18" s="1">
        <f t="shared" si="398"/>
        <v>0</v>
      </c>
      <c r="AFD18" s="1">
        <f t="shared" si="398"/>
        <v>0</v>
      </c>
      <c r="AFE18" s="1">
        <f t="shared" si="398"/>
        <v>0</v>
      </c>
      <c r="AFF18" s="1">
        <f t="shared" si="398"/>
        <v>0</v>
      </c>
      <c r="AFG18" s="1">
        <f t="shared" si="398"/>
        <v>0</v>
      </c>
      <c r="AFH18" s="1">
        <f t="shared" si="398"/>
        <v>0</v>
      </c>
      <c r="AFI18" s="1">
        <f t="shared" si="398"/>
        <v>0</v>
      </c>
      <c r="AFJ18" s="1">
        <f t="shared" si="398"/>
        <v>0</v>
      </c>
      <c r="AFK18" s="1">
        <f t="shared" si="398"/>
        <v>0</v>
      </c>
      <c r="AFL18" s="1">
        <f t="shared" si="398"/>
        <v>0</v>
      </c>
      <c r="AFM18" s="1">
        <f t="shared" si="398"/>
        <v>0</v>
      </c>
      <c r="AFN18" s="1">
        <f t="shared" si="398"/>
        <v>0</v>
      </c>
      <c r="AFO18" s="1">
        <f t="shared" si="398"/>
        <v>0</v>
      </c>
      <c r="AFP18" s="1">
        <f t="shared" si="398"/>
        <v>0</v>
      </c>
      <c r="AFQ18" s="1">
        <f t="shared" si="398"/>
        <v>0</v>
      </c>
      <c r="AFR18" s="1">
        <f t="shared" si="398"/>
        <v>0</v>
      </c>
      <c r="AFS18" s="1">
        <f t="shared" si="398"/>
        <v>0</v>
      </c>
      <c r="AFT18" s="130"/>
      <c r="AFU18" s="1">
        <f>AFT18</f>
        <v>0</v>
      </c>
      <c r="AFV18" s="1">
        <f t="shared" si="197"/>
        <v>0</v>
      </c>
      <c r="AFW18" s="1">
        <f t="shared" si="197"/>
        <v>0</v>
      </c>
      <c r="AFX18" s="1">
        <f t="shared" si="197"/>
        <v>0</v>
      </c>
      <c r="AFY18" s="1">
        <f t="shared" si="197"/>
        <v>0</v>
      </c>
      <c r="AFZ18" s="1">
        <f t="shared" si="197"/>
        <v>0</v>
      </c>
      <c r="AGA18" s="1">
        <f t="shared" si="197"/>
        <v>0</v>
      </c>
      <c r="AGB18" s="1">
        <f t="shared" si="197"/>
        <v>0</v>
      </c>
      <c r="AGC18" s="1">
        <f t="shared" si="197"/>
        <v>0</v>
      </c>
      <c r="AGD18" s="1">
        <f>AGC18</f>
        <v>0</v>
      </c>
      <c r="AGE18" s="1">
        <f t="shared" ref="AGE18:AGX18" si="399">AGD18</f>
        <v>0</v>
      </c>
      <c r="AGF18" s="1">
        <f t="shared" si="399"/>
        <v>0</v>
      </c>
      <c r="AGG18" s="1">
        <f t="shared" si="399"/>
        <v>0</v>
      </c>
      <c r="AGH18" s="1">
        <f t="shared" si="399"/>
        <v>0</v>
      </c>
      <c r="AGI18" s="1">
        <f t="shared" si="399"/>
        <v>0</v>
      </c>
      <c r="AGJ18" s="1">
        <f t="shared" si="399"/>
        <v>0</v>
      </c>
      <c r="AGK18" s="1">
        <f t="shared" si="399"/>
        <v>0</v>
      </c>
      <c r="AGL18" s="1">
        <f t="shared" si="399"/>
        <v>0</v>
      </c>
      <c r="AGM18" s="1">
        <f t="shared" si="399"/>
        <v>0</v>
      </c>
      <c r="AGN18" s="1">
        <f t="shared" si="399"/>
        <v>0</v>
      </c>
      <c r="AGO18" s="1">
        <f t="shared" si="399"/>
        <v>0</v>
      </c>
      <c r="AGP18" s="1">
        <f t="shared" si="399"/>
        <v>0</v>
      </c>
      <c r="AGQ18" s="1">
        <f t="shared" si="399"/>
        <v>0</v>
      </c>
      <c r="AGR18" s="1">
        <f t="shared" si="399"/>
        <v>0</v>
      </c>
      <c r="AGS18" s="1">
        <f t="shared" si="399"/>
        <v>0</v>
      </c>
      <c r="AGT18" s="1">
        <f t="shared" si="399"/>
        <v>0</v>
      </c>
      <c r="AGU18" s="1">
        <f t="shared" si="399"/>
        <v>0</v>
      </c>
      <c r="AGV18" s="1">
        <f t="shared" si="399"/>
        <v>0</v>
      </c>
      <c r="AGW18" s="1">
        <f t="shared" si="399"/>
        <v>0</v>
      </c>
      <c r="AGX18" s="1">
        <f t="shared" si="399"/>
        <v>0</v>
      </c>
      <c r="AGY18" s="141"/>
      <c r="AGZ18" s="1">
        <f>AGY18</f>
        <v>0</v>
      </c>
      <c r="AHA18" s="1">
        <f t="shared" ref="AHA18:AHJ18" si="400">AGZ18</f>
        <v>0</v>
      </c>
      <c r="AHB18" s="1">
        <f t="shared" si="400"/>
        <v>0</v>
      </c>
      <c r="AHC18" s="1">
        <f t="shared" si="400"/>
        <v>0</v>
      </c>
      <c r="AHD18" s="1">
        <f t="shared" si="400"/>
        <v>0</v>
      </c>
      <c r="AHE18" s="1">
        <f t="shared" si="400"/>
        <v>0</v>
      </c>
      <c r="AHF18" s="1">
        <f t="shared" si="400"/>
        <v>0</v>
      </c>
      <c r="AHG18" s="1">
        <f t="shared" si="400"/>
        <v>0</v>
      </c>
      <c r="AHH18" s="1">
        <f t="shared" si="400"/>
        <v>0</v>
      </c>
      <c r="AHI18" s="1">
        <f t="shared" si="400"/>
        <v>0</v>
      </c>
      <c r="AHJ18" s="1">
        <f t="shared" si="400"/>
        <v>0</v>
      </c>
      <c r="AHK18" s="1">
        <f>AHJ18</f>
        <v>0</v>
      </c>
      <c r="AHL18" s="1">
        <f t="shared" ref="AHL18:AID18" si="401">AHK18</f>
        <v>0</v>
      </c>
      <c r="AHM18" s="1">
        <f t="shared" si="401"/>
        <v>0</v>
      </c>
      <c r="AHN18" s="1">
        <f t="shared" si="401"/>
        <v>0</v>
      </c>
      <c r="AHO18" s="1">
        <f t="shared" si="401"/>
        <v>0</v>
      </c>
      <c r="AHP18" s="1">
        <f t="shared" si="401"/>
        <v>0</v>
      </c>
      <c r="AHQ18" s="1">
        <f t="shared" si="401"/>
        <v>0</v>
      </c>
      <c r="AHR18" s="1">
        <f t="shared" si="401"/>
        <v>0</v>
      </c>
      <c r="AHS18" s="1">
        <f t="shared" si="401"/>
        <v>0</v>
      </c>
      <c r="AHT18" s="1">
        <f t="shared" si="401"/>
        <v>0</v>
      </c>
      <c r="AHU18" s="1">
        <f t="shared" si="401"/>
        <v>0</v>
      </c>
      <c r="AHV18" s="1">
        <f t="shared" si="401"/>
        <v>0</v>
      </c>
      <c r="AHW18" s="1">
        <f t="shared" si="401"/>
        <v>0</v>
      </c>
      <c r="AHX18" s="1">
        <f t="shared" si="401"/>
        <v>0</v>
      </c>
      <c r="AHY18" s="1">
        <f t="shared" si="401"/>
        <v>0</v>
      </c>
      <c r="AHZ18" s="1">
        <f t="shared" si="401"/>
        <v>0</v>
      </c>
      <c r="AIA18" s="1">
        <f t="shared" si="401"/>
        <v>0</v>
      </c>
      <c r="AIB18" s="1">
        <f t="shared" si="401"/>
        <v>0</v>
      </c>
      <c r="AIC18" s="1">
        <f t="shared" si="401"/>
        <v>0</v>
      </c>
      <c r="AID18" s="1">
        <f t="shared" si="401"/>
        <v>0</v>
      </c>
      <c r="AIE18" s="130"/>
      <c r="AIF18" s="1">
        <f>AIE18</f>
        <v>0</v>
      </c>
      <c r="AIG18" s="1">
        <f t="shared" ref="AIG18:AIW18" si="402">AIF18</f>
        <v>0</v>
      </c>
      <c r="AIH18" s="1">
        <f t="shared" si="402"/>
        <v>0</v>
      </c>
      <c r="AII18" s="1">
        <f t="shared" si="402"/>
        <v>0</v>
      </c>
      <c r="AIJ18" s="1">
        <f t="shared" si="402"/>
        <v>0</v>
      </c>
      <c r="AIK18" s="1">
        <f t="shared" si="402"/>
        <v>0</v>
      </c>
      <c r="AIL18" s="1">
        <f t="shared" si="402"/>
        <v>0</v>
      </c>
      <c r="AIM18" s="1">
        <f t="shared" si="402"/>
        <v>0</v>
      </c>
      <c r="AIN18" s="1">
        <f t="shared" si="402"/>
        <v>0</v>
      </c>
      <c r="AIO18" s="1">
        <f t="shared" si="402"/>
        <v>0</v>
      </c>
      <c r="AIP18" s="1">
        <f t="shared" si="402"/>
        <v>0</v>
      </c>
      <c r="AIQ18" s="1">
        <f t="shared" si="402"/>
        <v>0</v>
      </c>
      <c r="AIR18" s="1">
        <f t="shared" si="402"/>
        <v>0</v>
      </c>
      <c r="AIS18" s="1">
        <f t="shared" si="402"/>
        <v>0</v>
      </c>
      <c r="AIT18" s="1">
        <f t="shared" si="402"/>
        <v>0</v>
      </c>
      <c r="AIU18" s="1">
        <f t="shared" si="402"/>
        <v>0</v>
      </c>
      <c r="AIV18" s="1">
        <f t="shared" si="402"/>
        <v>0</v>
      </c>
      <c r="AIW18" s="1">
        <f t="shared" si="402"/>
        <v>0</v>
      </c>
      <c r="AIX18" s="1">
        <f>AIW18</f>
        <v>0</v>
      </c>
      <c r="AIY18" s="1">
        <f t="shared" ref="AIY18:AJJ18" si="403">AIX18</f>
        <v>0</v>
      </c>
      <c r="AIZ18" s="1">
        <f t="shared" si="403"/>
        <v>0</v>
      </c>
      <c r="AJA18" s="1">
        <f t="shared" si="403"/>
        <v>0</v>
      </c>
      <c r="AJB18" s="1">
        <f t="shared" si="403"/>
        <v>0</v>
      </c>
      <c r="AJC18" s="1">
        <f t="shared" si="403"/>
        <v>0</v>
      </c>
      <c r="AJD18" s="1">
        <f t="shared" si="403"/>
        <v>0</v>
      </c>
      <c r="AJE18" s="1">
        <f t="shared" si="403"/>
        <v>0</v>
      </c>
      <c r="AJF18" s="1">
        <f t="shared" si="403"/>
        <v>0</v>
      </c>
      <c r="AJG18" s="1">
        <f t="shared" si="403"/>
        <v>0</v>
      </c>
      <c r="AJH18" s="1">
        <f t="shared" si="403"/>
        <v>0</v>
      </c>
      <c r="AJI18" s="1">
        <f t="shared" si="403"/>
        <v>0</v>
      </c>
      <c r="AJJ18" s="1">
        <f t="shared" si="403"/>
        <v>0</v>
      </c>
      <c r="AJK18" s="145"/>
      <c r="AJL18" s="1">
        <f>AJK18</f>
        <v>0</v>
      </c>
      <c r="AJM18" s="1">
        <f t="shared" ref="AJM18:AKK18" si="404">AJL18</f>
        <v>0</v>
      </c>
      <c r="AJN18" s="1">
        <f t="shared" si="404"/>
        <v>0</v>
      </c>
      <c r="AJO18" s="1">
        <f t="shared" si="404"/>
        <v>0</v>
      </c>
      <c r="AJP18" s="1">
        <f t="shared" si="404"/>
        <v>0</v>
      </c>
      <c r="AJQ18" s="1">
        <f t="shared" si="404"/>
        <v>0</v>
      </c>
      <c r="AJR18" s="1">
        <f t="shared" si="404"/>
        <v>0</v>
      </c>
      <c r="AJS18" s="1">
        <f t="shared" si="404"/>
        <v>0</v>
      </c>
      <c r="AJT18" s="1">
        <f t="shared" si="404"/>
        <v>0</v>
      </c>
      <c r="AJU18" s="1">
        <f t="shared" si="404"/>
        <v>0</v>
      </c>
      <c r="AJV18" s="1">
        <f t="shared" si="404"/>
        <v>0</v>
      </c>
      <c r="AJW18" s="1">
        <f t="shared" si="404"/>
        <v>0</v>
      </c>
      <c r="AJX18" s="1">
        <f t="shared" si="404"/>
        <v>0</v>
      </c>
      <c r="AJY18" s="1">
        <f t="shared" si="404"/>
        <v>0</v>
      </c>
      <c r="AJZ18" s="1">
        <f t="shared" si="404"/>
        <v>0</v>
      </c>
      <c r="AKA18" s="1">
        <f t="shared" si="404"/>
        <v>0</v>
      </c>
      <c r="AKB18" s="1">
        <f t="shared" si="404"/>
        <v>0</v>
      </c>
      <c r="AKC18" s="1">
        <f t="shared" si="404"/>
        <v>0</v>
      </c>
      <c r="AKD18" s="1">
        <f t="shared" si="404"/>
        <v>0</v>
      </c>
      <c r="AKE18" s="1">
        <f t="shared" si="404"/>
        <v>0</v>
      </c>
      <c r="AKF18" s="1">
        <f t="shared" si="404"/>
        <v>0</v>
      </c>
      <c r="AKG18" s="1">
        <f t="shared" si="404"/>
        <v>0</v>
      </c>
      <c r="AKH18" s="1">
        <f t="shared" si="404"/>
        <v>0</v>
      </c>
      <c r="AKI18" s="1">
        <f t="shared" si="404"/>
        <v>0</v>
      </c>
      <c r="AKJ18" s="1">
        <f t="shared" si="404"/>
        <v>0</v>
      </c>
      <c r="AKK18" s="1">
        <f t="shared" si="404"/>
        <v>0</v>
      </c>
      <c r="AKL18" s="1">
        <f>AKK18</f>
        <v>0</v>
      </c>
      <c r="AKM18" s="1">
        <f t="shared" si="311"/>
        <v>0</v>
      </c>
      <c r="AKN18" s="152"/>
      <c r="AKO18" s="1">
        <f>AKN18</f>
        <v>0</v>
      </c>
      <c r="AKP18" s="1">
        <f t="shared" ref="AKP18:AKX18" si="405">AKO18</f>
        <v>0</v>
      </c>
      <c r="AKQ18" s="1">
        <f t="shared" si="405"/>
        <v>0</v>
      </c>
      <c r="AKR18" s="1">
        <f t="shared" si="405"/>
        <v>0</v>
      </c>
      <c r="AKS18" s="1">
        <f t="shared" si="405"/>
        <v>0</v>
      </c>
      <c r="AKT18" s="1">
        <f t="shared" si="405"/>
        <v>0</v>
      </c>
      <c r="AKU18" s="1">
        <f t="shared" si="405"/>
        <v>0</v>
      </c>
      <c r="AKV18" s="1">
        <f t="shared" si="405"/>
        <v>0</v>
      </c>
      <c r="AKW18" s="1">
        <f t="shared" si="405"/>
        <v>0</v>
      </c>
      <c r="AKX18" s="1">
        <f t="shared" si="405"/>
        <v>0</v>
      </c>
      <c r="AKY18" s="1">
        <f>AKX18</f>
        <v>0</v>
      </c>
      <c r="AKZ18" s="1">
        <f t="shared" si="313"/>
        <v>0</v>
      </c>
      <c r="ALA18" s="1">
        <f t="shared" si="313"/>
        <v>0</v>
      </c>
      <c r="ALB18" s="1">
        <f t="shared" si="313"/>
        <v>0</v>
      </c>
      <c r="ALC18" s="1">
        <f t="shared" si="313"/>
        <v>0</v>
      </c>
      <c r="ALD18" s="1">
        <f t="shared" si="313"/>
        <v>0</v>
      </c>
      <c r="ALE18" s="1">
        <f t="shared" si="240"/>
        <v>0</v>
      </c>
      <c r="ALF18" s="1">
        <f t="shared" si="314"/>
        <v>0</v>
      </c>
      <c r="ALG18" s="1">
        <f t="shared" ref="ALG18:ALS18" si="406">ALF18</f>
        <v>0</v>
      </c>
      <c r="ALH18" s="1">
        <f t="shared" si="406"/>
        <v>0</v>
      </c>
      <c r="ALI18" s="1">
        <f t="shared" si="406"/>
        <v>0</v>
      </c>
      <c r="ALJ18" s="1">
        <f t="shared" si="406"/>
        <v>0</v>
      </c>
      <c r="ALK18" s="1">
        <f t="shared" si="406"/>
        <v>0</v>
      </c>
      <c r="ALL18" s="1">
        <f t="shared" si="406"/>
        <v>0</v>
      </c>
      <c r="ALM18" s="1">
        <f t="shared" si="406"/>
        <v>0</v>
      </c>
      <c r="ALN18" s="1">
        <f t="shared" si="406"/>
        <v>0</v>
      </c>
      <c r="ALO18" s="1">
        <f t="shared" si="406"/>
        <v>0</v>
      </c>
      <c r="ALP18" s="1">
        <f t="shared" si="406"/>
        <v>0</v>
      </c>
      <c r="ALQ18" s="1">
        <f t="shared" si="406"/>
        <v>0</v>
      </c>
      <c r="ALR18" s="1">
        <f t="shared" si="406"/>
        <v>0</v>
      </c>
      <c r="ALS18" s="1">
        <f t="shared" si="406"/>
        <v>0</v>
      </c>
      <c r="ALT18" s="130"/>
      <c r="ALU18" s="1">
        <f>ALT18</f>
        <v>0</v>
      </c>
      <c r="ALV18" s="1">
        <f t="shared" ref="ALV18:AMG18" si="407">ALU18</f>
        <v>0</v>
      </c>
      <c r="ALW18" s="1">
        <f t="shared" si="407"/>
        <v>0</v>
      </c>
      <c r="ALX18" s="1">
        <f t="shared" si="407"/>
        <v>0</v>
      </c>
      <c r="ALY18" s="1">
        <f t="shared" si="407"/>
        <v>0</v>
      </c>
      <c r="ALZ18" s="1">
        <f t="shared" si="407"/>
        <v>0</v>
      </c>
      <c r="AMA18" s="1">
        <f t="shared" si="407"/>
        <v>0</v>
      </c>
      <c r="AMB18" s="1">
        <f t="shared" si="407"/>
        <v>0</v>
      </c>
      <c r="AMC18" s="1">
        <f t="shared" si="407"/>
        <v>0</v>
      </c>
      <c r="AMD18" s="1">
        <f t="shared" si="407"/>
        <v>0</v>
      </c>
      <c r="AME18" s="1">
        <f t="shared" si="407"/>
        <v>0</v>
      </c>
      <c r="AMF18" s="1">
        <f t="shared" si="407"/>
        <v>0</v>
      </c>
      <c r="AMG18" s="1">
        <f t="shared" si="407"/>
        <v>0</v>
      </c>
      <c r="AMH18" s="1">
        <f>AMG18</f>
        <v>0</v>
      </c>
      <c r="AMI18" s="1">
        <f t="shared" ref="AMI18:AMX18" si="408">AMH18</f>
        <v>0</v>
      </c>
      <c r="AMJ18" s="1">
        <f t="shared" si="408"/>
        <v>0</v>
      </c>
      <c r="AMK18" s="1">
        <f t="shared" si="408"/>
        <v>0</v>
      </c>
      <c r="AML18" s="1">
        <f t="shared" si="408"/>
        <v>0</v>
      </c>
      <c r="AMM18" s="1">
        <f t="shared" si="408"/>
        <v>0</v>
      </c>
      <c r="AMN18" s="1">
        <f t="shared" si="408"/>
        <v>0</v>
      </c>
      <c r="AMO18" s="1">
        <f t="shared" si="408"/>
        <v>0</v>
      </c>
      <c r="AMP18" s="1">
        <f t="shared" si="408"/>
        <v>0</v>
      </c>
      <c r="AMQ18" s="1">
        <f t="shared" si="408"/>
        <v>0</v>
      </c>
      <c r="AMR18" s="1">
        <f t="shared" si="408"/>
        <v>0</v>
      </c>
      <c r="AMS18" s="1">
        <f t="shared" si="408"/>
        <v>0</v>
      </c>
      <c r="AMT18" s="1">
        <f t="shared" si="408"/>
        <v>0</v>
      </c>
      <c r="AMU18" s="1">
        <f t="shared" si="408"/>
        <v>0</v>
      </c>
      <c r="AMV18" s="1">
        <f t="shared" si="408"/>
        <v>0</v>
      </c>
      <c r="AMW18" s="1">
        <f t="shared" si="408"/>
        <v>0</v>
      </c>
      <c r="AMX18" s="1">
        <f t="shared" si="408"/>
        <v>0</v>
      </c>
      <c r="AMY18" s="130"/>
      <c r="AMZ18" s="1">
        <f>AMY18</f>
        <v>0</v>
      </c>
      <c r="ANA18" s="1">
        <f t="shared" ref="ANA18:ANK18" si="409">AMZ18</f>
        <v>0</v>
      </c>
      <c r="ANB18" s="1">
        <f t="shared" si="409"/>
        <v>0</v>
      </c>
      <c r="ANC18" s="1">
        <f t="shared" si="409"/>
        <v>0</v>
      </c>
      <c r="AND18" s="1">
        <f t="shared" si="409"/>
        <v>0</v>
      </c>
      <c r="ANE18" s="1">
        <f t="shared" si="409"/>
        <v>0</v>
      </c>
      <c r="ANF18" s="1">
        <f t="shared" si="409"/>
        <v>0</v>
      </c>
      <c r="ANG18" s="1">
        <f t="shared" si="409"/>
        <v>0</v>
      </c>
      <c r="ANH18" s="1">
        <f t="shared" si="409"/>
        <v>0</v>
      </c>
      <c r="ANI18" s="1">
        <f t="shared" si="409"/>
        <v>0</v>
      </c>
      <c r="ANJ18" s="1">
        <f t="shared" si="409"/>
        <v>0</v>
      </c>
      <c r="ANK18" s="1">
        <f t="shared" si="409"/>
        <v>0</v>
      </c>
      <c r="ANL18" s="1">
        <f t="shared" si="367"/>
        <v>0</v>
      </c>
      <c r="ANM18" s="1">
        <f t="shared" ref="ANM18:AOC18" si="410">ANL18</f>
        <v>0</v>
      </c>
      <c r="ANN18" s="1">
        <f t="shared" si="410"/>
        <v>0</v>
      </c>
      <c r="ANO18" s="1">
        <f t="shared" si="410"/>
        <v>0</v>
      </c>
      <c r="ANP18" s="1">
        <f t="shared" si="410"/>
        <v>0</v>
      </c>
      <c r="ANQ18" s="1">
        <f t="shared" si="410"/>
        <v>0</v>
      </c>
      <c r="ANR18" s="1">
        <f t="shared" si="410"/>
        <v>0</v>
      </c>
      <c r="ANS18" s="1">
        <f t="shared" si="410"/>
        <v>0</v>
      </c>
      <c r="ANT18" s="1">
        <f t="shared" si="410"/>
        <v>0</v>
      </c>
      <c r="ANU18" s="1">
        <f t="shared" si="410"/>
        <v>0</v>
      </c>
      <c r="ANV18" s="1">
        <f t="shared" si="410"/>
        <v>0</v>
      </c>
      <c r="ANW18" s="1">
        <f t="shared" si="410"/>
        <v>0</v>
      </c>
      <c r="ANX18" s="1">
        <f t="shared" si="410"/>
        <v>0</v>
      </c>
      <c r="ANY18" s="1">
        <f t="shared" si="410"/>
        <v>0</v>
      </c>
      <c r="ANZ18" s="1">
        <f t="shared" si="410"/>
        <v>0</v>
      </c>
      <c r="AOA18" s="1">
        <f t="shared" si="410"/>
        <v>0</v>
      </c>
      <c r="AOB18" s="1">
        <f t="shared" si="410"/>
        <v>0</v>
      </c>
      <c r="AOC18" s="1">
        <f t="shared" si="410"/>
        <v>0</v>
      </c>
    </row>
    <row r="19" spans="1:1069" x14ac:dyDescent="0.2">
      <c r="A19" s="160"/>
      <c r="B19" t="s">
        <v>1651</v>
      </c>
      <c r="C19" s="52">
        <v>500000</v>
      </c>
      <c r="D19" s="52">
        <v>300000</v>
      </c>
      <c r="E19" s="52">
        <v>0</v>
      </c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>
        <v>1826000</v>
      </c>
      <c r="AD19" s="52">
        <f>AC19-500000</f>
        <v>1326000</v>
      </c>
      <c r="AE19" s="52">
        <f t="shared" ref="AE19:AH20" si="411">AD19</f>
        <v>1326000</v>
      </c>
      <c r="AF19" s="52">
        <f t="shared" si="411"/>
        <v>1326000</v>
      </c>
      <c r="AG19" s="52">
        <f t="shared" si="411"/>
        <v>1326000</v>
      </c>
      <c r="AH19" s="98">
        <f t="shared" si="411"/>
        <v>1326000</v>
      </c>
      <c r="AI19" s="52">
        <f>AG19</f>
        <v>1326000</v>
      </c>
      <c r="AJ19" s="52">
        <f t="shared" ref="AJ19:AR19" si="412">AI19</f>
        <v>1326000</v>
      </c>
      <c r="AK19" s="52">
        <f t="shared" si="412"/>
        <v>1326000</v>
      </c>
      <c r="AL19" s="52">
        <f t="shared" si="412"/>
        <v>1326000</v>
      </c>
      <c r="AM19" s="52">
        <f t="shared" si="412"/>
        <v>1326000</v>
      </c>
      <c r="AN19" s="52">
        <f t="shared" si="412"/>
        <v>1326000</v>
      </c>
      <c r="AO19" s="52">
        <f t="shared" si="412"/>
        <v>1326000</v>
      </c>
      <c r="AP19" s="52">
        <f t="shared" si="412"/>
        <v>1326000</v>
      </c>
      <c r="AQ19" s="52">
        <f t="shared" si="412"/>
        <v>1326000</v>
      </c>
      <c r="AR19" s="52">
        <f t="shared" si="412"/>
        <v>1326000</v>
      </c>
      <c r="AS19" s="52">
        <f t="shared" ref="AS19:BV19" si="413">AR19</f>
        <v>1326000</v>
      </c>
      <c r="AT19" s="52">
        <f t="shared" si="413"/>
        <v>1326000</v>
      </c>
      <c r="AU19" s="52">
        <f t="shared" si="413"/>
        <v>1326000</v>
      </c>
      <c r="AV19" s="52">
        <f t="shared" si="413"/>
        <v>1326000</v>
      </c>
      <c r="AW19" s="52">
        <f t="shared" si="413"/>
        <v>1326000</v>
      </c>
      <c r="AX19" s="52">
        <f t="shared" si="413"/>
        <v>1326000</v>
      </c>
      <c r="AY19" s="52">
        <f t="shared" si="413"/>
        <v>1326000</v>
      </c>
      <c r="AZ19" s="52">
        <f t="shared" si="413"/>
        <v>1326000</v>
      </c>
      <c r="BA19" s="52">
        <f t="shared" si="413"/>
        <v>1326000</v>
      </c>
      <c r="BB19" s="52">
        <f t="shared" si="413"/>
        <v>1326000</v>
      </c>
      <c r="BC19" s="52">
        <f t="shared" si="413"/>
        <v>1326000</v>
      </c>
      <c r="BD19" s="52">
        <f t="shared" si="413"/>
        <v>1326000</v>
      </c>
      <c r="BE19" s="52">
        <f t="shared" si="413"/>
        <v>1326000</v>
      </c>
      <c r="BF19" s="52">
        <f t="shared" si="413"/>
        <v>1326000</v>
      </c>
      <c r="BG19" s="52">
        <f t="shared" si="413"/>
        <v>1326000</v>
      </c>
      <c r="BH19" s="52">
        <f t="shared" si="413"/>
        <v>1326000</v>
      </c>
      <c r="BI19" s="52">
        <f t="shared" si="413"/>
        <v>1326000</v>
      </c>
      <c r="BJ19" s="52">
        <f t="shared" si="413"/>
        <v>1326000</v>
      </c>
      <c r="BK19" s="52">
        <f t="shared" si="413"/>
        <v>1326000</v>
      </c>
      <c r="BL19" s="52">
        <f t="shared" si="413"/>
        <v>1326000</v>
      </c>
      <c r="BM19" s="106">
        <f t="shared" si="413"/>
        <v>1326000</v>
      </c>
      <c r="BN19" s="52">
        <f t="shared" si="413"/>
        <v>1326000</v>
      </c>
      <c r="BO19" s="52">
        <f t="shared" si="413"/>
        <v>1326000</v>
      </c>
      <c r="BP19" s="52">
        <f t="shared" si="413"/>
        <v>1326000</v>
      </c>
      <c r="BQ19" s="52">
        <f t="shared" si="413"/>
        <v>1326000</v>
      </c>
      <c r="BR19" s="52">
        <f t="shared" si="413"/>
        <v>1326000</v>
      </c>
      <c r="BS19" s="52">
        <f t="shared" si="413"/>
        <v>1326000</v>
      </c>
      <c r="BT19" s="52">
        <f t="shared" si="413"/>
        <v>1326000</v>
      </c>
      <c r="BU19" s="52">
        <f t="shared" si="413"/>
        <v>1326000</v>
      </c>
      <c r="BV19" s="52">
        <f t="shared" si="413"/>
        <v>1326000</v>
      </c>
      <c r="BW19" s="52">
        <f>BV19-100000</f>
        <v>1226000</v>
      </c>
      <c r="BX19" s="52">
        <f t="shared" ref="BX19:CA20" si="414">BW19</f>
        <v>1226000</v>
      </c>
      <c r="BY19" s="52">
        <f t="shared" si="414"/>
        <v>1226000</v>
      </c>
      <c r="BZ19" s="52">
        <f t="shared" si="414"/>
        <v>1226000</v>
      </c>
      <c r="CA19" s="52">
        <f t="shared" si="414"/>
        <v>1226000</v>
      </c>
      <c r="CB19" s="52">
        <f t="shared" ref="CB19:CK19" si="415">CA19</f>
        <v>1226000</v>
      </c>
      <c r="CC19" s="52">
        <f t="shared" si="415"/>
        <v>1226000</v>
      </c>
      <c r="CD19" s="52">
        <f t="shared" si="415"/>
        <v>1226000</v>
      </c>
      <c r="CE19" s="52">
        <f t="shared" si="415"/>
        <v>1226000</v>
      </c>
      <c r="CF19" s="52">
        <f t="shared" si="415"/>
        <v>1226000</v>
      </c>
      <c r="CG19" s="52">
        <f t="shared" si="415"/>
        <v>1226000</v>
      </c>
      <c r="CH19" s="52">
        <f t="shared" si="415"/>
        <v>1226000</v>
      </c>
      <c r="CI19" s="52">
        <f t="shared" si="415"/>
        <v>1226000</v>
      </c>
      <c r="CJ19" s="52">
        <f t="shared" si="415"/>
        <v>1226000</v>
      </c>
      <c r="CK19" s="52">
        <f t="shared" si="415"/>
        <v>1226000</v>
      </c>
      <c r="CL19" s="52">
        <f t="shared" si="323"/>
        <v>1226000</v>
      </c>
      <c r="CM19" s="52">
        <f t="shared" si="249"/>
        <v>1226000</v>
      </c>
      <c r="CN19" s="52">
        <f t="shared" si="249"/>
        <v>1226000</v>
      </c>
      <c r="CO19" s="52">
        <f t="shared" si="249"/>
        <v>1226000</v>
      </c>
      <c r="CP19" s="52">
        <f t="shared" si="324"/>
        <v>1226000</v>
      </c>
      <c r="CQ19" s="52">
        <f t="shared" si="250"/>
        <v>1226000</v>
      </c>
      <c r="CR19" s="52">
        <f t="shared" si="250"/>
        <v>1226000</v>
      </c>
      <c r="CT19" s="82">
        <f t="shared" ref="CT19:CT25" si="416">CR19</f>
        <v>1226000</v>
      </c>
      <c r="CU19" s="82">
        <f t="shared" si="151"/>
        <v>1226000</v>
      </c>
      <c r="CV19" s="112">
        <f>CT19-100000</f>
        <v>1126000</v>
      </c>
      <c r="CW19" s="82">
        <f>CV19</f>
        <v>1126000</v>
      </c>
      <c r="CX19" s="82">
        <f t="shared" ref="CX19:CX25" si="417">CV19</f>
        <v>1126000</v>
      </c>
      <c r="CY19" s="82">
        <f t="shared" si="325"/>
        <v>1126000</v>
      </c>
      <c r="CZ19" s="82">
        <f t="shared" si="326"/>
        <v>1126000</v>
      </c>
      <c r="DA19" s="82">
        <f t="shared" si="251"/>
        <v>1126000</v>
      </c>
      <c r="DB19" s="82">
        <f t="shared" si="252"/>
        <v>1126000</v>
      </c>
      <c r="DC19" s="82">
        <f t="shared" si="253"/>
        <v>1126000</v>
      </c>
      <c r="DD19" s="82">
        <f t="shared" si="254"/>
        <v>1126000</v>
      </c>
      <c r="DE19" s="82">
        <f t="shared" si="255"/>
        <v>1126000</v>
      </c>
      <c r="DF19" s="82">
        <f t="shared" si="256"/>
        <v>1126000</v>
      </c>
      <c r="DG19" s="82">
        <f t="shared" si="257"/>
        <v>1126000</v>
      </c>
      <c r="DH19" s="82">
        <f t="shared" si="258"/>
        <v>1126000</v>
      </c>
      <c r="DI19" s="82">
        <f t="shared" si="259"/>
        <v>1126000</v>
      </c>
      <c r="DJ19" s="82">
        <f t="shared" si="260"/>
        <v>1126000</v>
      </c>
      <c r="DK19" s="82">
        <f t="shared" si="261"/>
        <v>1126000</v>
      </c>
      <c r="DL19" s="82">
        <f t="shared" si="262"/>
        <v>1126000</v>
      </c>
      <c r="DM19" s="82">
        <f t="shared" si="327"/>
        <v>1126000</v>
      </c>
      <c r="DN19" s="82">
        <f t="shared" si="328"/>
        <v>1126000</v>
      </c>
      <c r="DO19" s="82">
        <f t="shared" si="263"/>
        <v>1126000</v>
      </c>
      <c r="DP19" s="82">
        <f t="shared" si="264"/>
        <v>1126000</v>
      </c>
      <c r="DQ19" s="82">
        <f t="shared" si="265"/>
        <v>1126000</v>
      </c>
      <c r="DR19" s="82">
        <f t="shared" si="266"/>
        <v>1126000</v>
      </c>
      <c r="DS19" s="82">
        <f t="shared" si="267"/>
        <v>1126000</v>
      </c>
      <c r="DT19" s="82">
        <f t="shared" si="268"/>
        <v>1126000</v>
      </c>
      <c r="DU19" s="82">
        <f t="shared" si="329"/>
        <v>1126000</v>
      </c>
      <c r="DV19" s="82">
        <f t="shared" si="330"/>
        <v>1126000</v>
      </c>
      <c r="DW19" s="82">
        <f t="shared" si="269"/>
        <v>1126000</v>
      </c>
      <c r="DX19" s="117"/>
      <c r="DY19" s="82">
        <f t="shared" ref="DY19:DY25" si="418">DW19</f>
        <v>1126000</v>
      </c>
      <c r="DZ19" s="82">
        <f t="shared" ref="DZ19:DZ25" si="419">DY19</f>
        <v>1126000</v>
      </c>
      <c r="EA19" s="82">
        <f t="shared" ref="EA19:EA25" si="420">DY19</f>
        <v>1126000</v>
      </c>
      <c r="EB19" s="82">
        <f>DZ19-100000</f>
        <v>1026000</v>
      </c>
      <c r="EC19" s="82">
        <f>EB19</f>
        <v>1026000</v>
      </c>
      <c r="ED19" s="82">
        <f t="shared" ref="ED19:EM21" si="421">EB19</f>
        <v>1026000</v>
      </c>
      <c r="EE19" s="82">
        <f t="shared" si="421"/>
        <v>1026000</v>
      </c>
      <c r="EF19" s="82">
        <f t="shared" si="421"/>
        <v>1026000</v>
      </c>
      <c r="EG19" s="82">
        <f t="shared" si="421"/>
        <v>1026000</v>
      </c>
      <c r="EH19" s="82">
        <f t="shared" si="421"/>
        <v>1026000</v>
      </c>
      <c r="EI19" s="82">
        <f t="shared" si="421"/>
        <v>1026000</v>
      </c>
      <c r="EJ19" s="82">
        <f t="shared" si="421"/>
        <v>1026000</v>
      </c>
      <c r="EK19" s="82">
        <f t="shared" si="421"/>
        <v>1026000</v>
      </c>
      <c r="EL19" s="82">
        <f t="shared" si="421"/>
        <v>1026000</v>
      </c>
      <c r="EM19" s="82">
        <f t="shared" si="421"/>
        <v>1026000</v>
      </c>
      <c r="EN19" s="82">
        <f t="shared" ref="EN19:EW21" si="422">EL19</f>
        <v>1026000</v>
      </c>
      <c r="EO19" s="82">
        <f t="shared" si="422"/>
        <v>1026000</v>
      </c>
      <c r="EP19" s="82">
        <f t="shared" si="422"/>
        <v>1026000</v>
      </c>
      <c r="EQ19" s="82">
        <f t="shared" si="422"/>
        <v>1026000</v>
      </c>
      <c r="ER19" s="82">
        <f t="shared" si="422"/>
        <v>1026000</v>
      </c>
      <c r="ES19" s="82">
        <f t="shared" si="422"/>
        <v>1026000</v>
      </c>
      <c r="ET19" s="82">
        <f t="shared" si="422"/>
        <v>1026000</v>
      </c>
      <c r="EU19" s="82">
        <f t="shared" si="422"/>
        <v>1026000</v>
      </c>
      <c r="EV19" s="82">
        <f t="shared" si="422"/>
        <v>1026000</v>
      </c>
      <c r="EW19" s="82">
        <f t="shared" si="422"/>
        <v>1026000</v>
      </c>
      <c r="EX19" s="82">
        <f t="shared" ref="EX19:FG21" si="423">EV19</f>
        <v>1026000</v>
      </c>
      <c r="EY19" s="82">
        <f t="shared" si="423"/>
        <v>1026000</v>
      </c>
      <c r="EZ19" s="82">
        <f t="shared" si="423"/>
        <v>1026000</v>
      </c>
      <c r="FA19" s="82">
        <f t="shared" si="423"/>
        <v>1026000</v>
      </c>
      <c r="FB19" s="82">
        <f t="shared" si="423"/>
        <v>1026000</v>
      </c>
      <c r="FC19" s="82">
        <f t="shared" si="423"/>
        <v>1026000</v>
      </c>
      <c r="FD19" s="126"/>
      <c r="FE19" s="82">
        <f>FC19</f>
        <v>1026000</v>
      </c>
      <c r="FF19" s="82">
        <f>FE19</f>
        <v>1026000</v>
      </c>
      <c r="FG19" s="82">
        <f t="shared" ref="FG19:FI21" si="424">FE19</f>
        <v>1026000</v>
      </c>
      <c r="FH19" s="82">
        <f t="shared" si="424"/>
        <v>1026000</v>
      </c>
      <c r="FI19" s="82">
        <f t="shared" si="424"/>
        <v>1026000</v>
      </c>
      <c r="FJ19" s="82">
        <f>FH19-100000</f>
        <v>926000</v>
      </c>
      <c r="FK19" s="82">
        <f>FJ19</f>
        <v>926000</v>
      </c>
      <c r="FL19" s="82">
        <f t="shared" ref="FL19:FU21" si="425">FJ19</f>
        <v>926000</v>
      </c>
      <c r="FM19" s="82">
        <f t="shared" si="425"/>
        <v>926000</v>
      </c>
      <c r="FN19" s="82">
        <f t="shared" si="425"/>
        <v>926000</v>
      </c>
      <c r="FO19" s="82">
        <f t="shared" si="425"/>
        <v>926000</v>
      </c>
      <c r="FP19" s="82">
        <f t="shared" si="425"/>
        <v>926000</v>
      </c>
      <c r="FQ19" s="82">
        <f t="shared" si="425"/>
        <v>926000</v>
      </c>
      <c r="FR19" s="82">
        <f t="shared" si="425"/>
        <v>926000</v>
      </c>
      <c r="FS19" s="82">
        <f t="shared" si="425"/>
        <v>926000</v>
      </c>
      <c r="FT19" s="82">
        <f t="shared" si="425"/>
        <v>926000</v>
      </c>
      <c r="FU19" s="82">
        <f t="shared" si="425"/>
        <v>926000</v>
      </c>
      <c r="FV19" s="82">
        <f t="shared" ref="FV19:GE21" si="426">FT19</f>
        <v>926000</v>
      </c>
      <c r="FW19" s="82">
        <f t="shared" si="426"/>
        <v>926000</v>
      </c>
      <c r="FX19" s="82">
        <f t="shared" si="426"/>
        <v>926000</v>
      </c>
      <c r="FY19" s="82">
        <f t="shared" si="426"/>
        <v>926000</v>
      </c>
      <c r="FZ19" s="82">
        <f t="shared" si="426"/>
        <v>926000</v>
      </c>
      <c r="GA19" s="82">
        <f t="shared" si="426"/>
        <v>926000</v>
      </c>
      <c r="GB19" s="82">
        <f t="shared" si="426"/>
        <v>926000</v>
      </c>
      <c r="GC19" s="82">
        <f t="shared" si="426"/>
        <v>926000</v>
      </c>
      <c r="GD19" s="82">
        <f t="shared" si="426"/>
        <v>926000</v>
      </c>
      <c r="GE19" s="82">
        <f t="shared" si="426"/>
        <v>926000</v>
      </c>
      <c r="GF19" s="82">
        <f t="shared" ref="GF19:GO21" si="427">GD19</f>
        <v>926000</v>
      </c>
      <c r="GG19" s="82">
        <f t="shared" si="427"/>
        <v>926000</v>
      </c>
      <c r="GH19" s="82">
        <f t="shared" si="427"/>
        <v>926000</v>
      </c>
      <c r="GI19" s="82">
        <f t="shared" si="427"/>
        <v>926000</v>
      </c>
      <c r="GJ19" s="130"/>
      <c r="GK19" s="82">
        <f>GI19</f>
        <v>926000</v>
      </c>
      <c r="GL19" s="82">
        <f t="shared" ref="GL19:GL25" si="428">GK19</f>
        <v>926000</v>
      </c>
      <c r="GM19" s="82">
        <f t="shared" ref="GM19:GP21" si="429">GK19</f>
        <v>926000</v>
      </c>
      <c r="GN19" s="82">
        <f t="shared" si="429"/>
        <v>926000</v>
      </c>
      <c r="GO19" s="82">
        <f t="shared" si="429"/>
        <v>926000</v>
      </c>
      <c r="GP19" s="82">
        <f t="shared" si="429"/>
        <v>926000</v>
      </c>
      <c r="GQ19" s="82">
        <f>GO19-100000</f>
        <v>826000</v>
      </c>
      <c r="GR19" s="82">
        <f>GQ19</f>
        <v>826000</v>
      </c>
      <c r="GS19" s="82">
        <f t="shared" ref="GS19:HB21" si="430">GQ19</f>
        <v>826000</v>
      </c>
      <c r="GT19" s="82">
        <f t="shared" si="430"/>
        <v>826000</v>
      </c>
      <c r="GU19" s="82">
        <f t="shared" si="430"/>
        <v>826000</v>
      </c>
      <c r="GV19" s="82">
        <f t="shared" si="430"/>
        <v>826000</v>
      </c>
      <c r="GW19" s="82">
        <f t="shared" si="430"/>
        <v>826000</v>
      </c>
      <c r="GX19" s="82">
        <f t="shared" si="430"/>
        <v>826000</v>
      </c>
      <c r="GY19" s="82">
        <f t="shared" si="430"/>
        <v>826000</v>
      </c>
      <c r="GZ19" s="82">
        <f t="shared" si="430"/>
        <v>826000</v>
      </c>
      <c r="HA19" s="82">
        <f t="shared" si="430"/>
        <v>826000</v>
      </c>
      <c r="HB19" s="82">
        <f t="shared" si="430"/>
        <v>826000</v>
      </c>
      <c r="HC19" s="82">
        <f t="shared" ref="HC19:HL21" si="431">HA19</f>
        <v>826000</v>
      </c>
      <c r="HD19" s="82">
        <f t="shared" si="431"/>
        <v>826000</v>
      </c>
      <c r="HE19" s="82">
        <f t="shared" si="431"/>
        <v>826000</v>
      </c>
      <c r="HF19" s="82">
        <f t="shared" si="431"/>
        <v>826000</v>
      </c>
      <c r="HG19" s="82">
        <f t="shared" si="431"/>
        <v>826000</v>
      </c>
      <c r="HH19" s="82">
        <f t="shared" si="431"/>
        <v>826000</v>
      </c>
      <c r="HI19" s="82">
        <f t="shared" si="431"/>
        <v>826000</v>
      </c>
      <c r="HJ19" s="82">
        <f t="shared" si="431"/>
        <v>826000</v>
      </c>
      <c r="HK19" s="82">
        <f t="shared" si="431"/>
        <v>826000</v>
      </c>
      <c r="HL19" s="82">
        <f t="shared" si="431"/>
        <v>826000</v>
      </c>
      <c r="HM19" s="82">
        <f t="shared" ref="HM19:HV21" si="432">HK19</f>
        <v>826000</v>
      </c>
      <c r="HN19" s="130"/>
      <c r="HO19" s="82">
        <f>HM19</f>
        <v>826000</v>
      </c>
      <c r="HP19" s="82">
        <f t="shared" ref="HP19:HP25" si="433">HO19</f>
        <v>826000</v>
      </c>
      <c r="HQ19" s="82">
        <f t="shared" ref="HQ19:IA21" si="434">HO19</f>
        <v>826000</v>
      </c>
      <c r="HR19" s="82">
        <f t="shared" si="434"/>
        <v>826000</v>
      </c>
      <c r="HS19" s="82">
        <f t="shared" si="434"/>
        <v>826000</v>
      </c>
      <c r="HT19" s="82">
        <f t="shared" si="434"/>
        <v>826000</v>
      </c>
      <c r="HU19" s="82">
        <f t="shared" si="434"/>
        <v>826000</v>
      </c>
      <c r="HV19" s="82">
        <f t="shared" si="434"/>
        <v>826000</v>
      </c>
      <c r="HW19" s="82">
        <f t="shared" si="434"/>
        <v>826000</v>
      </c>
      <c r="HX19" s="82">
        <f t="shared" si="434"/>
        <v>826000</v>
      </c>
      <c r="HY19" s="82">
        <f t="shared" si="434"/>
        <v>826000</v>
      </c>
      <c r="HZ19" s="82">
        <f t="shared" si="434"/>
        <v>826000</v>
      </c>
      <c r="IA19" s="82">
        <f t="shared" si="434"/>
        <v>826000</v>
      </c>
      <c r="IB19" s="82">
        <f>HZ19-100000</f>
        <v>726000</v>
      </c>
      <c r="IC19" s="82">
        <f>IB19</f>
        <v>726000</v>
      </c>
      <c r="ID19" s="82">
        <f t="shared" ref="ID19:IS21" si="435">IB19</f>
        <v>726000</v>
      </c>
      <c r="IE19" s="82">
        <f t="shared" si="435"/>
        <v>726000</v>
      </c>
      <c r="IF19" s="82">
        <f t="shared" si="435"/>
        <v>726000</v>
      </c>
      <c r="IG19" s="82">
        <f t="shared" si="435"/>
        <v>726000</v>
      </c>
      <c r="IH19" s="82">
        <f t="shared" si="435"/>
        <v>726000</v>
      </c>
      <c r="II19" s="82">
        <f t="shared" si="435"/>
        <v>726000</v>
      </c>
      <c r="IJ19" s="82">
        <f t="shared" si="435"/>
        <v>726000</v>
      </c>
      <c r="IK19" s="82">
        <f t="shared" si="435"/>
        <v>726000</v>
      </c>
      <c r="IL19" s="82">
        <f t="shared" si="435"/>
        <v>726000</v>
      </c>
      <c r="IM19" s="82">
        <f t="shared" si="435"/>
        <v>726000</v>
      </c>
      <c r="IN19" s="82">
        <f t="shared" si="435"/>
        <v>726000</v>
      </c>
      <c r="IO19" s="82">
        <f t="shared" si="435"/>
        <v>726000</v>
      </c>
      <c r="IP19" s="82">
        <f t="shared" si="435"/>
        <v>726000</v>
      </c>
      <c r="IQ19" s="82">
        <f t="shared" si="435"/>
        <v>726000</v>
      </c>
      <c r="IR19" s="82">
        <f t="shared" si="435"/>
        <v>726000</v>
      </c>
      <c r="IS19" s="82">
        <f t="shared" si="435"/>
        <v>726000</v>
      </c>
      <c r="IT19" s="130"/>
      <c r="IU19" s="82">
        <f>IS19</f>
        <v>726000</v>
      </c>
      <c r="IV19" s="82">
        <f t="shared" si="160"/>
        <v>726000</v>
      </c>
      <c r="IW19" s="82">
        <f t="shared" ref="IW19:JI19" si="436">IV19</f>
        <v>726000</v>
      </c>
      <c r="IX19" s="82">
        <f t="shared" si="436"/>
        <v>726000</v>
      </c>
      <c r="IY19" s="82">
        <f t="shared" si="436"/>
        <v>726000</v>
      </c>
      <c r="IZ19" s="82">
        <f t="shared" si="436"/>
        <v>726000</v>
      </c>
      <c r="JA19" s="82">
        <f t="shared" si="436"/>
        <v>726000</v>
      </c>
      <c r="JB19" s="82">
        <f t="shared" si="436"/>
        <v>726000</v>
      </c>
      <c r="JC19" s="82">
        <f t="shared" si="436"/>
        <v>726000</v>
      </c>
      <c r="JD19" s="82">
        <f t="shared" si="436"/>
        <v>726000</v>
      </c>
      <c r="JE19" s="82">
        <f t="shared" si="436"/>
        <v>726000</v>
      </c>
      <c r="JF19" s="82">
        <f t="shared" si="436"/>
        <v>726000</v>
      </c>
      <c r="JG19" s="82">
        <f t="shared" si="436"/>
        <v>726000</v>
      </c>
      <c r="JH19" s="82">
        <f t="shared" si="436"/>
        <v>726000</v>
      </c>
      <c r="JI19" s="82">
        <f t="shared" si="436"/>
        <v>726000</v>
      </c>
      <c r="JJ19" s="82">
        <f>JI19-100000</f>
        <v>626000</v>
      </c>
      <c r="JK19" s="82">
        <f t="shared" ref="JK19:JX19" si="437">JJ19</f>
        <v>626000</v>
      </c>
      <c r="JL19" s="82">
        <f t="shared" si="437"/>
        <v>626000</v>
      </c>
      <c r="JM19" s="82">
        <f t="shared" si="437"/>
        <v>626000</v>
      </c>
      <c r="JN19" s="82">
        <f t="shared" si="437"/>
        <v>626000</v>
      </c>
      <c r="JO19" s="82">
        <f t="shared" si="437"/>
        <v>626000</v>
      </c>
      <c r="JP19" s="82">
        <f t="shared" si="437"/>
        <v>626000</v>
      </c>
      <c r="JQ19" s="82">
        <f t="shared" si="437"/>
        <v>626000</v>
      </c>
      <c r="JR19" s="82">
        <f t="shared" si="437"/>
        <v>626000</v>
      </c>
      <c r="JS19" s="82">
        <f t="shared" si="437"/>
        <v>626000</v>
      </c>
      <c r="JT19" s="82">
        <f t="shared" si="437"/>
        <v>626000</v>
      </c>
      <c r="JU19" s="82">
        <f t="shared" si="437"/>
        <v>626000</v>
      </c>
      <c r="JV19" s="82">
        <f t="shared" si="437"/>
        <v>626000</v>
      </c>
      <c r="JW19" s="82">
        <f t="shared" si="437"/>
        <v>626000</v>
      </c>
      <c r="JX19" s="82">
        <f t="shared" si="437"/>
        <v>626000</v>
      </c>
      <c r="JY19" s="133"/>
      <c r="JZ19" s="82">
        <f>JX19</f>
        <v>626000</v>
      </c>
      <c r="KA19" s="82">
        <f t="shared" ref="KA19:KA25" si="438">JZ19</f>
        <v>626000</v>
      </c>
      <c r="KB19" s="82">
        <f t="shared" ref="KB19:KK21" si="439">JZ19</f>
        <v>626000</v>
      </c>
      <c r="KC19" s="82">
        <f t="shared" si="439"/>
        <v>626000</v>
      </c>
      <c r="KD19" s="82">
        <f t="shared" si="439"/>
        <v>626000</v>
      </c>
      <c r="KE19" s="82">
        <f t="shared" si="439"/>
        <v>626000</v>
      </c>
      <c r="KF19" s="82">
        <f t="shared" si="439"/>
        <v>626000</v>
      </c>
      <c r="KG19" s="82">
        <f t="shared" si="439"/>
        <v>626000</v>
      </c>
      <c r="KH19" s="82">
        <f t="shared" si="439"/>
        <v>626000</v>
      </c>
      <c r="KI19" s="82">
        <f t="shared" si="439"/>
        <v>626000</v>
      </c>
      <c r="KJ19" s="82">
        <f t="shared" si="439"/>
        <v>626000</v>
      </c>
      <c r="KK19" s="82">
        <f t="shared" si="439"/>
        <v>626000</v>
      </c>
      <c r="KL19" s="82">
        <f>KJ19-100000</f>
        <v>526000</v>
      </c>
      <c r="KM19" s="82">
        <f>KL19</f>
        <v>526000</v>
      </c>
      <c r="KN19" s="82">
        <f t="shared" ref="KN19:KW21" si="440">KL19</f>
        <v>526000</v>
      </c>
      <c r="KO19" s="82">
        <f t="shared" si="440"/>
        <v>526000</v>
      </c>
      <c r="KP19" s="82">
        <f t="shared" si="440"/>
        <v>526000</v>
      </c>
      <c r="KQ19" s="82">
        <f t="shared" si="440"/>
        <v>526000</v>
      </c>
      <c r="KR19" s="82">
        <f t="shared" si="440"/>
        <v>526000</v>
      </c>
      <c r="KS19" s="82">
        <f t="shared" si="440"/>
        <v>526000</v>
      </c>
      <c r="KT19" s="82">
        <f t="shared" si="440"/>
        <v>526000</v>
      </c>
      <c r="KU19" s="82">
        <f t="shared" si="440"/>
        <v>526000</v>
      </c>
      <c r="KV19" s="82">
        <f t="shared" si="440"/>
        <v>526000</v>
      </c>
      <c r="KW19" s="82">
        <f t="shared" si="440"/>
        <v>526000</v>
      </c>
      <c r="KX19" s="82">
        <f t="shared" ref="KX19:LG21" si="441">KV19</f>
        <v>526000</v>
      </c>
      <c r="KY19" s="82">
        <f t="shared" si="441"/>
        <v>526000</v>
      </c>
      <c r="KZ19" s="82">
        <f t="shared" si="441"/>
        <v>526000</v>
      </c>
      <c r="LA19" s="82">
        <f t="shared" si="441"/>
        <v>526000</v>
      </c>
      <c r="LB19" s="82">
        <f t="shared" si="441"/>
        <v>526000</v>
      </c>
      <c r="LC19" s="82">
        <f t="shared" si="441"/>
        <v>526000</v>
      </c>
      <c r="LD19" s="82">
        <f t="shared" si="441"/>
        <v>526000</v>
      </c>
      <c r="LE19" s="130"/>
      <c r="LF19" s="82">
        <f>LD19</f>
        <v>526000</v>
      </c>
      <c r="LG19" s="82">
        <f t="shared" ref="LG19:LO19" si="442">LF19</f>
        <v>526000</v>
      </c>
      <c r="LH19" s="82">
        <f t="shared" si="442"/>
        <v>526000</v>
      </c>
      <c r="LI19" s="82">
        <f t="shared" si="442"/>
        <v>526000</v>
      </c>
      <c r="LJ19" s="82">
        <f t="shared" si="442"/>
        <v>526000</v>
      </c>
      <c r="LK19" s="82">
        <f t="shared" si="442"/>
        <v>526000</v>
      </c>
      <c r="LL19" s="82">
        <f t="shared" si="442"/>
        <v>526000</v>
      </c>
      <c r="LM19" s="82">
        <f t="shared" si="442"/>
        <v>526000</v>
      </c>
      <c r="LN19" s="82">
        <f t="shared" si="442"/>
        <v>526000</v>
      </c>
      <c r="LO19" s="82">
        <f t="shared" si="442"/>
        <v>526000</v>
      </c>
      <c r="LP19" s="82">
        <f>LO19-100000</f>
        <v>426000</v>
      </c>
      <c r="LQ19" s="82">
        <f>LP19</f>
        <v>426000</v>
      </c>
      <c r="LR19" s="82">
        <f>LQ19</f>
        <v>426000</v>
      </c>
      <c r="LS19" s="82">
        <f t="shared" si="213"/>
        <v>426000</v>
      </c>
      <c r="LT19" s="82">
        <f t="shared" si="213"/>
        <v>426000</v>
      </c>
      <c r="LU19" s="82">
        <f t="shared" si="213"/>
        <v>426000</v>
      </c>
      <c r="LV19" s="82">
        <f t="shared" si="213"/>
        <v>426000</v>
      </c>
      <c r="LW19" s="82">
        <f t="shared" si="213"/>
        <v>426000</v>
      </c>
      <c r="LX19" s="82">
        <f t="shared" si="279"/>
        <v>426000</v>
      </c>
      <c r="LY19" s="82">
        <f t="shared" ref="LY19:MI19" si="443">LX19</f>
        <v>426000</v>
      </c>
      <c r="LZ19" s="82">
        <f t="shared" si="443"/>
        <v>426000</v>
      </c>
      <c r="MA19" s="82">
        <f t="shared" si="443"/>
        <v>426000</v>
      </c>
      <c r="MB19" s="82">
        <f t="shared" si="443"/>
        <v>426000</v>
      </c>
      <c r="MC19" s="82">
        <f t="shared" si="443"/>
        <v>426000</v>
      </c>
      <c r="MD19" s="82">
        <f t="shared" si="443"/>
        <v>426000</v>
      </c>
      <c r="ME19" s="82">
        <f t="shared" si="443"/>
        <v>426000</v>
      </c>
      <c r="MF19" s="82">
        <f t="shared" si="443"/>
        <v>426000</v>
      </c>
      <c r="MG19" s="82">
        <f t="shared" si="443"/>
        <v>426000</v>
      </c>
      <c r="MH19" s="82">
        <f t="shared" si="443"/>
        <v>426000</v>
      </c>
      <c r="MI19" s="82">
        <f t="shared" si="443"/>
        <v>426000</v>
      </c>
      <c r="MJ19" s="133"/>
      <c r="MK19" s="82">
        <f>MI19</f>
        <v>426000</v>
      </c>
      <c r="ML19" s="82">
        <f t="shared" si="281"/>
        <v>426000</v>
      </c>
      <c r="MM19" s="82">
        <f t="shared" ref="MM19:MV20" si="444">MK19</f>
        <v>426000</v>
      </c>
      <c r="MN19" s="82">
        <f t="shared" si="444"/>
        <v>426000</v>
      </c>
      <c r="MO19" s="82">
        <f t="shared" si="444"/>
        <v>426000</v>
      </c>
      <c r="MP19" s="82">
        <f t="shared" si="444"/>
        <v>426000</v>
      </c>
      <c r="MQ19" s="82">
        <f t="shared" si="444"/>
        <v>426000</v>
      </c>
      <c r="MR19" s="82">
        <f t="shared" si="444"/>
        <v>426000</v>
      </c>
      <c r="MS19" s="82">
        <f t="shared" si="444"/>
        <v>426000</v>
      </c>
      <c r="MT19" s="82">
        <f t="shared" si="444"/>
        <v>426000</v>
      </c>
      <c r="MU19" s="82">
        <f t="shared" si="444"/>
        <v>426000</v>
      </c>
      <c r="MV19" s="82">
        <f t="shared" si="444"/>
        <v>426000</v>
      </c>
      <c r="MW19" s="82">
        <f t="shared" ref="MW19:NF20" si="445">MU19</f>
        <v>426000</v>
      </c>
      <c r="MX19" s="82">
        <f t="shared" si="445"/>
        <v>426000</v>
      </c>
      <c r="MY19" s="82">
        <f t="shared" si="445"/>
        <v>426000</v>
      </c>
      <c r="MZ19" s="82">
        <f t="shared" si="445"/>
        <v>426000</v>
      </c>
      <c r="NA19" s="82">
        <f t="shared" si="445"/>
        <v>426000</v>
      </c>
      <c r="NB19" s="82">
        <f t="shared" si="445"/>
        <v>426000</v>
      </c>
      <c r="NC19" s="82">
        <f t="shared" si="445"/>
        <v>426000</v>
      </c>
      <c r="ND19" s="82">
        <f t="shared" si="445"/>
        <v>426000</v>
      </c>
      <c r="NE19" s="82">
        <f t="shared" si="445"/>
        <v>426000</v>
      </c>
      <c r="NF19" s="82">
        <f t="shared" si="445"/>
        <v>426000</v>
      </c>
      <c r="NG19" s="82">
        <f t="shared" ref="NG19:NP20" si="446">NE19</f>
        <v>426000</v>
      </c>
      <c r="NH19" s="82">
        <f t="shared" si="446"/>
        <v>426000</v>
      </c>
      <c r="NI19" s="82">
        <f t="shared" si="446"/>
        <v>426000</v>
      </c>
      <c r="NJ19" s="82">
        <f t="shared" si="446"/>
        <v>426000</v>
      </c>
      <c r="NK19" s="82">
        <f t="shared" si="446"/>
        <v>426000</v>
      </c>
      <c r="NL19" s="82">
        <f t="shared" si="446"/>
        <v>426000</v>
      </c>
      <c r="NM19" s="82">
        <f t="shared" si="446"/>
        <v>426000</v>
      </c>
      <c r="NN19" s="82">
        <f t="shared" si="446"/>
        <v>426000</v>
      </c>
      <c r="NO19" s="82">
        <f t="shared" si="446"/>
        <v>426000</v>
      </c>
      <c r="NP19" s="133"/>
      <c r="NQ19" s="82">
        <f>NO19</f>
        <v>426000</v>
      </c>
      <c r="NR19" s="82">
        <f>NQ19</f>
        <v>426000</v>
      </c>
      <c r="NS19" s="82">
        <f t="shared" ref="NS19:OB20" si="447">NQ19</f>
        <v>426000</v>
      </c>
      <c r="NT19" s="82">
        <f t="shared" si="447"/>
        <v>426000</v>
      </c>
      <c r="NU19" s="82">
        <f t="shared" si="447"/>
        <v>426000</v>
      </c>
      <c r="NV19" s="82">
        <f t="shared" si="447"/>
        <v>426000</v>
      </c>
      <c r="NW19" s="82">
        <f t="shared" si="447"/>
        <v>426000</v>
      </c>
      <c r="NX19" s="82">
        <f t="shared" si="447"/>
        <v>426000</v>
      </c>
      <c r="NY19" s="82">
        <f t="shared" si="447"/>
        <v>426000</v>
      </c>
      <c r="NZ19" s="82">
        <f t="shared" si="447"/>
        <v>426000</v>
      </c>
      <c r="OA19" s="82">
        <f t="shared" si="447"/>
        <v>426000</v>
      </c>
      <c r="OB19" s="82">
        <f t="shared" si="447"/>
        <v>426000</v>
      </c>
      <c r="OC19" s="82">
        <f t="shared" ref="OC19:OL20" si="448">OA19</f>
        <v>426000</v>
      </c>
      <c r="OD19" s="82">
        <f t="shared" si="448"/>
        <v>426000</v>
      </c>
      <c r="OE19" s="82">
        <f t="shared" si="448"/>
        <v>426000</v>
      </c>
      <c r="OF19" s="82">
        <f t="shared" si="448"/>
        <v>426000</v>
      </c>
      <c r="OG19" s="82">
        <f t="shared" si="448"/>
        <v>426000</v>
      </c>
      <c r="OH19" s="82">
        <f t="shared" si="448"/>
        <v>426000</v>
      </c>
      <c r="OI19" s="82">
        <f t="shared" si="448"/>
        <v>426000</v>
      </c>
      <c r="OJ19" s="82">
        <f t="shared" si="448"/>
        <v>426000</v>
      </c>
      <c r="OK19" s="82">
        <f t="shared" si="448"/>
        <v>426000</v>
      </c>
      <c r="OL19" s="82">
        <f t="shared" si="448"/>
        <v>426000</v>
      </c>
      <c r="OM19" s="82">
        <f t="shared" ref="OM19:OV20" si="449">OK19</f>
        <v>426000</v>
      </c>
      <c r="ON19" s="82">
        <f t="shared" si="449"/>
        <v>426000</v>
      </c>
      <c r="OO19" s="82">
        <f t="shared" si="449"/>
        <v>426000</v>
      </c>
      <c r="OP19" s="82">
        <f t="shared" si="449"/>
        <v>426000</v>
      </c>
      <c r="OQ19" s="82">
        <f t="shared" si="449"/>
        <v>426000</v>
      </c>
      <c r="OR19" s="82">
        <f t="shared" si="449"/>
        <v>426000</v>
      </c>
      <c r="OS19" s="82">
        <f t="shared" si="449"/>
        <v>426000</v>
      </c>
      <c r="OT19" s="82">
        <f t="shared" si="449"/>
        <v>426000</v>
      </c>
      <c r="OU19" s="82">
        <f t="shared" si="449"/>
        <v>426000</v>
      </c>
      <c r="OV19" s="130"/>
      <c r="OW19" s="82">
        <f>OU19</f>
        <v>426000</v>
      </c>
      <c r="OX19" s="82">
        <f>OW19</f>
        <v>426000</v>
      </c>
      <c r="OY19" s="82">
        <f t="shared" ref="OY19:PH20" si="450">OW19</f>
        <v>426000</v>
      </c>
      <c r="OZ19" s="82">
        <f t="shared" si="450"/>
        <v>426000</v>
      </c>
      <c r="PA19" s="82">
        <f t="shared" si="450"/>
        <v>426000</v>
      </c>
      <c r="PB19" s="82">
        <f t="shared" si="450"/>
        <v>426000</v>
      </c>
      <c r="PC19" s="82">
        <f t="shared" si="450"/>
        <v>426000</v>
      </c>
      <c r="PD19" s="82">
        <f t="shared" si="450"/>
        <v>426000</v>
      </c>
      <c r="PE19" s="82">
        <f t="shared" si="450"/>
        <v>426000</v>
      </c>
      <c r="PF19" s="82">
        <f t="shared" si="450"/>
        <v>426000</v>
      </c>
      <c r="PG19" s="82">
        <f t="shared" si="450"/>
        <v>426000</v>
      </c>
      <c r="PH19" s="82">
        <f t="shared" si="450"/>
        <v>426000</v>
      </c>
      <c r="PI19" s="82">
        <f t="shared" ref="PI19:PR20" si="451">PG19</f>
        <v>426000</v>
      </c>
      <c r="PJ19" s="82">
        <f t="shared" si="451"/>
        <v>426000</v>
      </c>
      <c r="PK19" s="82">
        <f t="shared" si="451"/>
        <v>426000</v>
      </c>
      <c r="PL19" s="82">
        <f t="shared" si="451"/>
        <v>426000</v>
      </c>
      <c r="PM19" s="82">
        <f t="shared" si="451"/>
        <v>426000</v>
      </c>
      <c r="PN19" s="82">
        <f t="shared" si="451"/>
        <v>426000</v>
      </c>
      <c r="PO19" s="82">
        <f t="shared" si="451"/>
        <v>426000</v>
      </c>
      <c r="PP19" s="82">
        <f t="shared" si="451"/>
        <v>426000</v>
      </c>
      <c r="PQ19" s="82">
        <f t="shared" si="451"/>
        <v>426000</v>
      </c>
      <c r="PR19" s="82">
        <f t="shared" si="451"/>
        <v>426000</v>
      </c>
      <c r="PS19" s="82">
        <f t="shared" ref="PS19:QB20" si="452">PQ19</f>
        <v>426000</v>
      </c>
      <c r="PT19" s="82">
        <f t="shared" si="452"/>
        <v>426000</v>
      </c>
      <c r="PU19" s="82">
        <f t="shared" si="452"/>
        <v>426000</v>
      </c>
      <c r="PV19" s="82">
        <f t="shared" si="452"/>
        <v>426000</v>
      </c>
      <c r="PW19" s="82">
        <f t="shared" si="452"/>
        <v>426000</v>
      </c>
      <c r="PX19" s="82">
        <f t="shared" si="452"/>
        <v>426000</v>
      </c>
      <c r="PY19" s="82">
        <f t="shared" si="452"/>
        <v>426000</v>
      </c>
      <c r="PZ19" s="82">
        <f t="shared" si="452"/>
        <v>426000</v>
      </c>
      <c r="QA19" s="130"/>
      <c r="QB19" s="82">
        <f>PZ19</f>
        <v>426000</v>
      </c>
      <c r="QC19" s="82">
        <f t="shared" ref="QC19:RF19" si="453">QB19</f>
        <v>426000</v>
      </c>
      <c r="QD19" s="82">
        <f t="shared" si="453"/>
        <v>426000</v>
      </c>
      <c r="QE19" s="82">
        <f t="shared" si="453"/>
        <v>426000</v>
      </c>
      <c r="QF19" s="82">
        <f t="shared" si="453"/>
        <v>426000</v>
      </c>
      <c r="QG19" s="82">
        <f t="shared" si="453"/>
        <v>426000</v>
      </c>
      <c r="QH19" s="82">
        <f t="shared" si="453"/>
        <v>426000</v>
      </c>
      <c r="QI19" s="82">
        <f t="shared" si="453"/>
        <v>426000</v>
      </c>
      <c r="QJ19" s="82">
        <f t="shared" si="453"/>
        <v>426000</v>
      </c>
      <c r="QK19" s="82">
        <f t="shared" si="453"/>
        <v>426000</v>
      </c>
      <c r="QL19" s="82">
        <f t="shared" si="453"/>
        <v>426000</v>
      </c>
      <c r="QM19" s="82">
        <f t="shared" si="453"/>
        <v>426000</v>
      </c>
      <c r="QN19" s="82">
        <f t="shared" si="453"/>
        <v>426000</v>
      </c>
      <c r="QO19" s="82">
        <f t="shared" si="453"/>
        <v>426000</v>
      </c>
      <c r="QP19" s="82">
        <f t="shared" si="453"/>
        <v>426000</v>
      </c>
      <c r="QQ19" s="82">
        <f t="shared" si="453"/>
        <v>426000</v>
      </c>
      <c r="QR19" s="82">
        <f t="shared" si="453"/>
        <v>426000</v>
      </c>
      <c r="QS19" s="82">
        <f t="shared" si="453"/>
        <v>426000</v>
      </c>
      <c r="QT19" s="82">
        <f t="shared" si="453"/>
        <v>426000</v>
      </c>
      <c r="QU19" s="82">
        <f t="shared" si="453"/>
        <v>426000</v>
      </c>
      <c r="QV19" s="82">
        <f t="shared" si="453"/>
        <v>426000</v>
      </c>
      <c r="QW19" s="82">
        <f t="shared" si="453"/>
        <v>426000</v>
      </c>
      <c r="QX19" s="82">
        <f t="shared" si="453"/>
        <v>426000</v>
      </c>
      <c r="QY19" s="82">
        <f t="shared" si="453"/>
        <v>426000</v>
      </c>
      <c r="QZ19" s="82">
        <f t="shared" si="453"/>
        <v>426000</v>
      </c>
      <c r="RA19" s="82">
        <f t="shared" si="453"/>
        <v>426000</v>
      </c>
      <c r="RB19" s="82">
        <f t="shared" si="453"/>
        <v>426000</v>
      </c>
      <c r="RC19" s="82">
        <f t="shared" si="453"/>
        <v>426000</v>
      </c>
      <c r="RD19" s="82">
        <f t="shared" si="453"/>
        <v>426000</v>
      </c>
      <c r="RE19" s="82">
        <f t="shared" si="453"/>
        <v>426000</v>
      </c>
      <c r="RF19" s="82">
        <f t="shared" si="453"/>
        <v>426000</v>
      </c>
      <c r="RG19" s="130"/>
      <c r="RH19" s="82">
        <f>RF19</f>
        <v>426000</v>
      </c>
      <c r="RI19" s="82">
        <f t="shared" ref="RI19:SK19" si="454">RH19</f>
        <v>426000</v>
      </c>
      <c r="RJ19" s="82">
        <f t="shared" si="454"/>
        <v>426000</v>
      </c>
      <c r="RK19" s="82">
        <f t="shared" si="454"/>
        <v>426000</v>
      </c>
      <c r="RL19" s="82">
        <f t="shared" si="454"/>
        <v>426000</v>
      </c>
      <c r="RM19" s="82">
        <f t="shared" si="454"/>
        <v>426000</v>
      </c>
      <c r="RN19" s="82">
        <f t="shared" si="454"/>
        <v>426000</v>
      </c>
      <c r="RO19" s="82">
        <f t="shared" si="454"/>
        <v>426000</v>
      </c>
      <c r="RP19" s="82">
        <f t="shared" si="454"/>
        <v>426000</v>
      </c>
      <c r="RQ19" s="82">
        <f t="shared" si="454"/>
        <v>426000</v>
      </c>
      <c r="RR19" s="82">
        <f t="shared" si="454"/>
        <v>426000</v>
      </c>
      <c r="RS19" s="82">
        <f t="shared" si="454"/>
        <v>426000</v>
      </c>
      <c r="RT19" s="82">
        <f t="shared" si="454"/>
        <v>426000</v>
      </c>
      <c r="RU19" s="82">
        <f t="shared" si="454"/>
        <v>426000</v>
      </c>
      <c r="RV19" s="82">
        <f t="shared" si="454"/>
        <v>426000</v>
      </c>
      <c r="RW19" s="82">
        <f t="shared" si="454"/>
        <v>426000</v>
      </c>
      <c r="RX19" s="82">
        <f t="shared" si="454"/>
        <v>426000</v>
      </c>
      <c r="RY19" s="82">
        <f t="shared" si="454"/>
        <v>426000</v>
      </c>
      <c r="RZ19" s="82">
        <f t="shared" si="454"/>
        <v>426000</v>
      </c>
      <c r="SA19" s="82">
        <f t="shared" si="454"/>
        <v>426000</v>
      </c>
      <c r="SB19" s="82">
        <f t="shared" si="454"/>
        <v>426000</v>
      </c>
      <c r="SC19" s="82">
        <f t="shared" si="454"/>
        <v>426000</v>
      </c>
      <c r="SD19" s="82">
        <f t="shared" si="454"/>
        <v>426000</v>
      </c>
      <c r="SE19" s="82">
        <f t="shared" si="454"/>
        <v>426000</v>
      </c>
      <c r="SF19" s="82">
        <f t="shared" si="454"/>
        <v>426000</v>
      </c>
      <c r="SG19" s="82">
        <f t="shared" si="454"/>
        <v>426000</v>
      </c>
      <c r="SH19" s="82">
        <f t="shared" si="454"/>
        <v>426000</v>
      </c>
      <c r="SI19" s="82">
        <f t="shared" si="454"/>
        <v>426000</v>
      </c>
      <c r="SJ19" s="82">
        <f t="shared" si="454"/>
        <v>426000</v>
      </c>
      <c r="SK19" s="82">
        <f t="shared" si="454"/>
        <v>426000</v>
      </c>
      <c r="SL19" s="130"/>
      <c r="SM19" s="82">
        <f>SK19</f>
        <v>426000</v>
      </c>
      <c r="SN19" s="82">
        <f t="shared" ref="SN19:SO21" si="455">SM19</f>
        <v>426000</v>
      </c>
      <c r="SO19" s="82">
        <f t="shared" si="455"/>
        <v>426000</v>
      </c>
      <c r="SP19" s="82">
        <f>SO19-100000</f>
        <v>326000</v>
      </c>
      <c r="SQ19" s="82">
        <f t="shared" ref="SQ19:TQ19" si="456">SP19</f>
        <v>326000</v>
      </c>
      <c r="SR19" s="82">
        <f t="shared" si="456"/>
        <v>326000</v>
      </c>
      <c r="SS19" s="82">
        <f t="shared" si="456"/>
        <v>326000</v>
      </c>
      <c r="ST19" s="82">
        <f t="shared" si="456"/>
        <v>326000</v>
      </c>
      <c r="SU19" s="82">
        <f t="shared" si="456"/>
        <v>326000</v>
      </c>
      <c r="SV19" s="82">
        <f t="shared" si="456"/>
        <v>326000</v>
      </c>
      <c r="SW19" s="82">
        <f t="shared" si="456"/>
        <v>326000</v>
      </c>
      <c r="SX19" s="82">
        <f t="shared" si="456"/>
        <v>326000</v>
      </c>
      <c r="SY19" s="82">
        <f t="shared" si="456"/>
        <v>326000</v>
      </c>
      <c r="SZ19" s="82">
        <f t="shared" si="456"/>
        <v>326000</v>
      </c>
      <c r="TA19" s="82">
        <f t="shared" si="456"/>
        <v>326000</v>
      </c>
      <c r="TB19" s="82">
        <f t="shared" si="456"/>
        <v>326000</v>
      </c>
      <c r="TC19" s="82">
        <f t="shared" si="456"/>
        <v>326000</v>
      </c>
      <c r="TD19" s="82">
        <f t="shared" si="456"/>
        <v>326000</v>
      </c>
      <c r="TE19" s="82">
        <f t="shared" si="456"/>
        <v>326000</v>
      </c>
      <c r="TF19" s="82">
        <f t="shared" si="456"/>
        <v>326000</v>
      </c>
      <c r="TG19" s="82">
        <f t="shared" si="456"/>
        <v>326000</v>
      </c>
      <c r="TH19" s="82">
        <f t="shared" si="456"/>
        <v>326000</v>
      </c>
      <c r="TI19" s="82">
        <f t="shared" si="456"/>
        <v>326000</v>
      </c>
      <c r="TJ19" s="82">
        <f t="shared" si="456"/>
        <v>326000</v>
      </c>
      <c r="TK19" s="82">
        <f t="shared" si="456"/>
        <v>326000</v>
      </c>
      <c r="TL19" s="82">
        <f t="shared" si="456"/>
        <v>326000</v>
      </c>
      <c r="TM19" s="82">
        <f t="shared" si="456"/>
        <v>326000</v>
      </c>
      <c r="TN19" s="82">
        <f t="shared" si="456"/>
        <v>326000</v>
      </c>
      <c r="TO19" s="82">
        <f t="shared" si="456"/>
        <v>326000</v>
      </c>
      <c r="TP19" s="82">
        <f t="shared" si="456"/>
        <v>326000</v>
      </c>
      <c r="TQ19" s="82">
        <f t="shared" si="456"/>
        <v>326000</v>
      </c>
      <c r="TR19" s="130"/>
      <c r="TS19" s="82">
        <f>TQ19</f>
        <v>326000</v>
      </c>
      <c r="TT19" s="82">
        <f t="shared" ref="TT19:UW19" si="457">TS19</f>
        <v>326000</v>
      </c>
      <c r="TU19" s="82">
        <f t="shared" si="457"/>
        <v>326000</v>
      </c>
      <c r="TV19" s="82">
        <f t="shared" si="457"/>
        <v>326000</v>
      </c>
      <c r="TW19" s="82">
        <f t="shared" si="457"/>
        <v>326000</v>
      </c>
      <c r="TX19" s="82">
        <f t="shared" si="457"/>
        <v>326000</v>
      </c>
      <c r="TY19" s="82">
        <f t="shared" si="457"/>
        <v>326000</v>
      </c>
      <c r="TZ19" s="82">
        <f t="shared" si="457"/>
        <v>326000</v>
      </c>
      <c r="UA19" s="82">
        <f t="shared" si="457"/>
        <v>326000</v>
      </c>
      <c r="UB19" s="82">
        <f t="shared" si="457"/>
        <v>326000</v>
      </c>
      <c r="UC19" s="82">
        <f t="shared" si="457"/>
        <v>326000</v>
      </c>
      <c r="UD19" s="82">
        <f t="shared" si="457"/>
        <v>326000</v>
      </c>
      <c r="UE19" s="82">
        <f t="shared" si="457"/>
        <v>326000</v>
      </c>
      <c r="UF19" s="82">
        <f t="shared" si="457"/>
        <v>326000</v>
      </c>
      <c r="UG19" s="82">
        <f t="shared" si="457"/>
        <v>326000</v>
      </c>
      <c r="UH19" s="82">
        <f t="shared" si="457"/>
        <v>326000</v>
      </c>
      <c r="UI19" s="82">
        <f t="shared" si="457"/>
        <v>326000</v>
      </c>
      <c r="UJ19" s="82">
        <f t="shared" si="457"/>
        <v>326000</v>
      </c>
      <c r="UK19" s="82">
        <f t="shared" si="457"/>
        <v>326000</v>
      </c>
      <c r="UL19" s="82">
        <f t="shared" si="457"/>
        <v>326000</v>
      </c>
      <c r="UM19" s="82">
        <f t="shared" si="457"/>
        <v>326000</v>
      </c>
      <c r="UN19" s="82">
        <f t="shared" si="457"/>
        <v>326000</v>
      </c>
      <c r="UO19" s="82">
        <f t="shared" si="457"/>
        <v>326000</v>
      </c>
      <c r="UP19" s="82">
        <f t="shared" si="457"/>
        <v>326000</v>
      </c>
      <c r="UQ19" s="82">
        <f t="shared" si="457"/>
        <v>326000</v>
      </c>
      <c r="UR19" s="82">
        <f t="shared" si="457"/>
        <v>326000</v>
      </c>
      <c r="US19" s="82">
        <f t="shared" si="457"/>
        <v>326000</v>
      </c>
      <c r="UT19" s="82">
        <f t="shared" si="457"/>
        <v>326000</v>
      </c>
      <c r="UU19" s="82">
        <f t="shared" si="457"/>
        <v>326000</v>
      </c>
      <c r="UV19" s="82">
        <f t="shared" si="457"/>
        <v>326000</v>
      </c>
      <c r="UW19" s="82">
        <f t="shared" si="457"/>
        <v>326000</v>
      </c>
      <c r="UX19" s="130"/>
      <c r="UY19" s="82">
        <f>UW19</f>
        <v>326000</v>
      </c>
      <c r="UZ19" s="82">
        <f>UY19</f>
        <v>326000</v>
      </c>
      <c r="VA19" s="82">
        <f t="shared" ref="VA19:VJ20" si="458">UY19</f>
        <v>326000</v>
      </c>
      <c r="VB19" s="82">
        <f t="shared" si="458"/>
        <v>326000</v>
      </c>
      <c r="VC19" s="82">
        <f t="shared" si="458"/>
        <v>326000</v>
      </c>
      <c r="VD19" s="82">
        <f t="shared" si="458"/>
        <v>326000</v>
      </c>
      <c r="VE19" s="82">
        <f t="shared" si="458"/>
        <v>326000</v>
      </c>
      <c r="VF19" s="82">
        <f t="shared" si="458"/>
        <v>326000</v>
      </c>
      <c r="VG19" s="82">
        <f t="shared" si="458"/>
        <v>326000</v>
      </c>
      <c r="VH19" s="82">
        <f t="shared" si="458"/>
        <v>326000</v>
      </c>
      <c r="VI19" s="82">
        <f t="shared" si="458"/>
        <v>326000</v>
      </c>
      <c r="VJ19" s="82">
        <f t="shared" si="458"/>
        <v>326000</v>
      </c>
      <c r="VK19" s="82">
        <f t="shared" ref="VK19:VT20" si="459">VI19</f>
        <v>326000</v>
      </c>
      <c r="VL19" s="82">
        <f t="shared" si="459"/>
        <v>326000</v>
      </c>
      <c r="VM19" s="82">
        <f t="shared" si="459"/>
        <v>326000</v>
      </c>
      <c r="VN19" s="82">
        <f t="shared" si="459"/>
        <v>326000</v>
      </c>
      <c r="VO19" s="82">
        <f t="shared" si="459"/>
        <v>326000</v>
      </c>
      <c r="VP19" s="82">
        <f t="shared" si="459"/>
        <v>326000</v>
      </c>
      <c r="VQ19" s="82">
        <f t="shared" si="459"/>
        <v>326000</v>
      </c>
      <c r="VR19" s="82">
        <f t="shared" si="459"/>
        <v>326000</v>
      </c>
      <c r="VS19" s="82">
        <f t="shared" si="459"/>
        <v>326000</v>
      </c>
      <c r="VT19" s="82">
        <f t="shared" si="459"/>
        <v>326000</v>
      </c>
      <c r="VU19" s="82">
        <f t="shared" ref="VU19:WD20" si="460">VS19</f>
        <v>326000</v>
      </c>
      <c r="VV19" s="82">
        <f t="shared" si="460"/>
        <v>326000</v>
      </c>
      <c r="VW19" s="82">
        <f t="shared" si="460"/>
        <v>326000</v>
      </c>
      <c r="VX19" s="82">
        <f t="shared" si="460"/>
        <v>326000</v>
      </c>
      <c r="VY19" s="82">
        <f t="shared" si="460"/>
        <v>326000</v>
      </c>
      <c r="VZ19" s="82">
        <f t="shared" si="460"/>
        <v>326000</v>
      </c>
      <c r="WA19" s="133"/>
      <c r="WB19" s="82">
        <f>VZ19</f>
        <v>326000</v>
      </c>
      <c r="WC19" s="82">
        <f>WB19</f>
        <v>326000</v>
      </c>
      <c r="WD19" s="82">
        <f t="shared" ref="WD19:WM20" si="461">WB19</f>
        <v>326000</v>
      </c>
      <c r="WE19" s="82">
        <f t="shared" si="461"/>
        <v>326000</v>
      </c>
      <c r="WF19" s="82">
        <f t="shared" si="461"/>
        <v>326000</v>
      </c>
      <c r="WG19" s="82">
        <f t="shared" si="461"/>
        <v>326000</v>
      </c>
      <c r="WH19" s="82">
        <f t="shared" si="461"/>
        <v>326000</v>
      </c>
      <c r="WI19" s="82">
        <f t="shared" si="461"/>
        <v>326000</v>
      </c>
      <c r="WJ19" s="82">
        <f t="shared" si="461"/>
        <v>326000</v>
      </c>
      <c r="WK19" s="82">
        <f t="shared" si="461"/>
        <v>326000</v>
      </c>
      <c r="WL19" s="82">
        <f t="shared" si="461"/>
        <v>326000</v>
      </c>
      <c r="WM19" s="82">
        <f t="shared" si="461"/>
        <v>326000</v>
      </c>
      <c r="WN19" s="82">
        <f t="shared" ref="WN19:WW20" si="462">WL19</f>
        <v>326000</v>
      </c>
      <c r="WO19" s="82">
        <f t="shared" si="462"/>
        <v>326000</v>
      </c>
      <c r="WP19" s="82">
        <f t="shared" si="462"/>
        <v>326000</v>
      </c>
      <c r="WQ19" s="82">
        <f t="shared" si="462"/>
        <v>326000</v>
      </c>
      <c r="WR19" s="82">
        <f t="shared" si="462"/>
        <v>326000</v>
      </c>
      <c r="WS19" s="82">
        <f t="shared" si="462"/>
        <v>326000</v>
      </c>
      <c r="WT19" s="82">
        <f t="shared" si="462"/>
        <v>326000</v>
      </c>
      <c r="WU19" s="82">
        <f t="shared" si="462"/>
        <v>326000</v>
      </c>
      <c r="WV19" s="82">
        <f t="shared" si="462"/>
        <v>326000</v>
      </c>
      <c r="WW19" s="82">
        <f t="shared" si="462"/>
        <v>326000</v>
      </c>
      <c r="WX19" s="82">
        <f t="shared" ref="WX19:XG20" si="463">WV19</f>
        <v>326000</v>
      </c>
      <c r="WY19" s="82">
        <f t="shared" si="463"/>
        <v>326000</v>
      </c>
      <c r="WZ19" s="82">
        <f t="shared" si="463"/>
        <v>326000</v>
      </c>
      <c r="XA19" s="82">
        <f t="shared" si="463"/>
        <v>326000</v>
      </c>
      <c r="XB19" s="82">
        <f t="shared" si="463"/>
        <v>326000</v>
      </c>
      <c r="XC19" s="82">
        <f t="shared" si="463"/>
        <v>326000</v>
      </c>
      <c r="XD19" s="82">
        <f t="shared" si="463"/>
        <v>326000</v>
      </c>
      <c r="XE19" s="82">
        <f t="shared" si="463"/>
        <v>326000</v>
      </c>
      <c r="XF19" s="82">
        <f t="shared" si="463"/>
        <v>326000</v>
      </c>
      <c r="XG19" s="133"/>
      <c r="XH19" s="82">
        <f>XF19</f>
        <v>326000</v>
      </c>
      <c r="XI19" s="82">
        <f t="shared" si="183"/>
        <v>326000</v>
      </c>
      <c r="XJ19" s="82">
        <f t="shared" si="183"/>
        <v>326000</v>
      </c>
      <c r="XK19" s="82">
        <f t="shared" si="183"/>
        <v>326000</v>
      </c>
      <c r="XL19" s="82">
        <f t="shared" si="183"/>
        <v>326000</v>
      </c>
      <c r="XM19" s="82">
        <f t="shared" si="183"/>
        <v>326000</v>
      </c>
      <c r="XN19" s="82">
        <f t="shared" si="183"/>
        <v>326000</v>
      </c>
      <c r="XO19" s="82">
        <f t="shared" si="183"/>
        <v>326000</v>
      </c>
      <c r="XP19" s="82">
        <f>XO19</f>
        <v>326000</v>
      </c>
      <c r="XQ19" s="82">
        <f t="shared" ref="XQ19:YK19" si="464">XP19</f>
        <v>326000</v>
      </c>
      <c r="XR19" s="82">
        <f t="shared" si="464"/>
        <v>326000</v>
      </c>
      <c r="XS19" s="82">
        <f t="shared" si="464"/>
        <v>326000</v>
      </c>
      <c r="XT19" s="82">
        <f t="shared" si="464"/>
        <v>326000</v>
      </c>
      <c r="XU19" s="82">
        <f t="shared" si="464"/>
        <v>326000</v>
      </c>
      <c r="XV19" s="82">
        <f t="shared" si="464"/>
        <v>326000</v>
      </c>
      <c r="XW19" s="82">
        <f t="shared" si="464"/>
        <v>326000</v>
      </c>
      <c r="XX19" s="82">
        <f t="shared" si="464"/>
        <v>326000</v>
      </c>
      <c r="XY19" s="82">
        <f t="shared" si="464"/>
        <v>326000</v>
      </c>
      <c r="XZ19" s="82">
        <f t="shared" si="464"/>
        <v>326000</v>
      </c>
      <c r="YA19" s="82">
        <f t="shared" si="464"/>
        <v>326000</v>
      </c>
      <c r="YB19" s="82">
        <f t="shared" si="464"/>
        <v>326000</v>
      </c>
      <c r="YC19" s="82">
        <f t="shared" si="464"/>
        <v>326000</v>
      </c>
      <c r="YD19" s="82">
        <f t="shared" si="464"/>
        <v>326000</v>
      </c>
      <c r="YE19" s="82">
        <f t="shared" si="464"/>
        <v>326000</v>
      </c>
      <c r="YF19" s="82">
        <f t="shared" si="464"/>
        <v>326000</v>
      </c>
      <c r="YG19" s="82">
        <f t="shared" si="464"/>
        <v>326000</v>
      </c>
      <c r="YH19" s="82">
        <f t="shared" si="464"/>
        <v>326000</v>
      </c>
      <c r="YI19" s="82">
        <f t="shared" si="464"/>
        <v>326000</v>
      </c>
      <c r="YJ19" s="82">
        <f t="shared" si="464"/>
        <v>326000</v>
      </c>
      <c r="YK19" s="82">
        <f t="shared" si="464"/>
        <v>326000</v>
      </c>
      <c r="YL19" s="130"/>
      <c r="YM19" s="82">
        <f>YK19</f>
        <v>326000</v>
      </c>
      <c r="YN19" s="82">
        <f t="shared" ref="YN19:YV19" si="465">YM19</f>
        <v>326000</v>
      </c>
      <c r="YO19" s="82">
        <f t="shared" si="465"/>
        <v>326000</v>
      </c>
      <c r="YP19" s="82">
        <f t="shared" si="465"/>
        <v>326000</v>
      </c>
      <c r="YQ19" s="82">
        <f t="shared" si="465"/>
        <v>326000</v>
      </c>
      <c r="YR19" s="82">
        <f t="shared" si="465"/>
        <v>326000</v>
      </c>
      <c r="YS19" s="82">
        <f t="shared" si="465"/>
        <v>326000</v>
      </c>
      <c r="YT19" s="82">
        <f t="shared" si="465"/>
        <v>326000</v>
      </c>
      <c r="YU19" s="82">
        <f t="shared" si="465"/>
        <v>326000</v>
      </c>
      <c r="YV19" s="82">
        <f t="shared" si="465"/>
        <v>326000</v>
      </c>
      <c r="YW19" s="82">
        <f>YV19</f>
        <v>326000</v>
      </c>
      <c r="YX19" s="82">
        <f t="shared" ref="YX19:ZG19" si="466">YW19</f>
        <v>326000</v>
      </c>
      <c r="YY19" s="82">
        <f t="shared" si="466"/>
        <v>326000</v>
      </c>
      <c r="YZ19" s="82">
        <f t="shared" si="466"/>
        <v>326000</v>
      </c>
      <c r="ZA19" s="82">
        <f t="shared" si="466"/>
        <v>326000</v>
      </c>
      <c r="ZB19" s="82">
        <f t="shared" si="466"/>
        <v>326000</v>
      </c>
      <c r="ZC19" s="82">
        <f t="shared" si="466"/>
        <v>326000</v>
      </c>
      <c r="ZD19" s="82">
        <f t="shared" si="466"/>
        <v>326000</v>
      </c>
      <c r="ZE19" s="82">
        <f t="shared" si="466"/>
        <v>326000</v>
      </c>
      <c r="ZF19" s="82">
        <f t="shared" si="466"/>
        <v>326000</v>
      </c>
      <c r="ZG19" s="82">
        <f t="shared" si="466"/>
        <v>326000</v>
      </c>
      <c r="ZH19" s="82">
        <f>ZG19</f>
        <v>326000</v>
      </c>
      <c r="ZI19" s="82">
        <f t="shared" ref="ZI19:ZQ19" si="467">ZH19</f>
        <v>326000</v>
      </c>
      <c r="ZJ19" s="82">
        <f t="shared" si="467"/>
        <v>326000</v>
      </c>
      <c r="ZK19" s="82">
        <f t="shared" si="467"/>
        <v>326000</v>
      </c>
      <c r="ZL19" s="82">
        <f t="shared" si="467"/>
        <v>326000</v>
      </c>
      <c r="ZM19" s="82">
        <f t="shared" si="467"/>
        <v>326000</v>
      </c>
      <c r="ZN19" s="82">
        <f t="shared" si="467"/>
        <v>326000</v>
      </c>
      <c r="ZO19" s="82">
        <f t="shared" si="467"/>
        <v>326000</v>
      </c>
      <c r="ZP19" s="82">
        <f t="shared" si="467"/>
        <v>326000</v>
      </c>
      <c r="ZQ19" s="82">
        <f t="shared" si="467"/>
        <v>326000</v>
      </c>
      <c r="ZR19" s="130"/>
      <c r="ZS19" s="82">
        <f>ZQ19</f>
        <v>326000</v>
      </c>
      <c r="ZT19" s="82">
        <f t="shared" si="187"/>
        <v>326000</v>
      </c>
      <c r="ZU19" s="82">
        <f>ZT19</f>
        <v>326000</v>
      </c>
      <c r="ZV19" s="82">
        <f t="shared" ref="ZV19:AAV19" si="468">ZU19</f>
        <v>326000</v>
      </c>
      <c r="ZW19" s="82">
        <f t="shared" si="468"/>
        <v>326000</v>
      </c>
      <c r="ZX19" s="82">
        <f t="shared" si="468"/>
        <v>326000</v>
      </c>
      <c r="ZY19" s="82">
        <f t="shared" si="468"/>
        <v>326000</v>
      </c>
      <c r="ZZ19" s="82">
        <f t="shared" si="468"/>
        <v>326000</v>
      </c>
      <c r="AAA19" s="82">
        <f t="shared" si="468"/>
        <v>326000</v>
      </c>
      <c r="AAB19" s="82">
        <f t="shared" si="468"/>
        <v>326000</v>
      </c>
      <c r="AAC19" s="82">
        <f t="shared" si="468"/>
        <v>326000</v>
      </c>
      <c r="AAD19" s="82">
        <f t="shared" si="468"/>
        <v>326000</v>
      </c>
      <c r="AAE19" s="82">
        <f t="shared" si="468"/>
        <v>326000</v>
      </c>
      <c r="AAF19" s="82">
        <f t="shared" si="468"/>
        <v>326000</v>
      </c>
      <c r="AAG19" s="82">
        <f t="shared" si="468"/>
        <v>326000</v>
      </c>
      <c r="AAH19" s="82">
        <f t="shared" si="468"/>
        <v>326000</v>
      </c>
      <c r="AAI19" s="82">
        <f t="shared" si="468"/>
        <v>326000</v>
      </c>
      <c r="AAJ19" s="82">
        <f t="shared" si="468"/>
        <v>326000</v>
      </c>
      <c r="AAK19" s="82">
        <f t="shared" si="468"/>
        <v>326000</v>
      </c>
      <c r="AAL19" s="82">
        <f t="shared" si="468"/>
        <v>326000</v>
      </c>
      <c r="AAM19" s="82">
        <f t="shared" si="468"/>
        <v>326000</v>
      </c>
      <c r="AAN19" s="82">
        <f t="shared" si="468"/>
        <v>326000</v>
      </c>
      <c r="AAO19" s="82">
        <f t="shared" si="468"/>
        <v>326000</v>
      </c>
      <c r="AAP19" s="82">
        <f t="shared" si="468"/>
        <v>326000</v>
      </c>
      <c r="AAQ19" s="82">
        <f t="shared" si="468"/>
        <v>326000</v>
      </c>
      <c r="AAR19" s="82">
        <f t="shared" si="468"/>
        <v>326000</v>
      </c>
      <c r="AAS19" s="82">
        <f t="shared" si="468"/>
        <v>326000</v>
      </c>
      <c r="AAT19" s="82">
        <f t="shared" si="468"/>
        <v>326000</v>
      </c>
      <c r="AAU19" s="82">
        <f t="shared" si="468"/>
        <v>326000</v>
      </c>
      <c r="AAV19" s="82">
        <f t="shared" si="468"/>
        <v>326000</v>
      </c>
      <c r="AAW19" s="130"/>
      <c r="AAX19" s="82">
        <f>AAV19</f>
        <v>326000</v>
      </c>
      <c r="AAY19" s="82">
        <f t="shared" ref="AAY19:ABM19" si="469">AAX19</f>
        <v>326000</v>
      </c>
      <c r="AAZ19" s="82">
        <f t="shared" si="469"/>
        <v>326000</v>
      </c>
      <c r="ABA19" s="82">
        <f t="shared" si="469"/>
        <v>326000</v>
      </c>
      <c r="ABB19" s="82">
        <f t="shared" si="469"/>
        <v>326000</v>
      </c>
      <c r="ABC19" s="82">
        <f t="shared" si="469"/>
        <v>326000</v>
      </c>
      <c r="ABD19" s="82">
        <f t="shared" si="469"/>
        <v>326000</v>
      </c>
      <c r="ABE19" s="82">
        <f t="shared" si="469"/>
        <v>326000</v>
      </c>
      <c r="ABF19" s="82">
        <f t="shared" si="469"/>
        <v>326000</v>
      </c>
      <c r="ABG19" s="82">
        <f t="shared" si="469"/>
        <v>326000</v>
      </c>
      <c r="ABH19" s="82">
        <f t="shared" si="469"/>
        <v>326000</v>
      </c>
      <c r="ABI19" s="82">
        <f t="shared" si="469"/>
        <v>326000</v>
      </c>
      <c r="ABJ19" s="82">
        <f t="shared" si="469"/>
        <v>326000</v>
      </c>
      <c r="ABK19" s="82">
        <f t="shared" si="469"/>
        <v>326000</v>
      </c>
      <c r="ABL19" s="82">
        <f t="shared" si="469"/>
        <v>326000</v>
      </c>
      <c r="ABM19" s="82">
        <f t="shared" si="469"/>
        <v>326000</v>
      </c>
      <c r="ABN19" s="82">
        <f>ABM19</f>
        <v>326000</v>
      </c>
      <c r="ABO19" s="82">
        <f t="shared" ref="ABO19:ACB19" si="470">ABN19</f>
        <v>326000</v>
      </c>
      <c r="ABP19" s="82">
        <f t="shared" si="470"/>
        <v>326000</v>
      </c>
      <c r="ABQ19" s="82">
        <f t="shared" si="470"/>
        <v>326000</v>
      </c>
      <c r="ABR19" s="82">
        <f t="shared" si="470"/>
        <v>326000</v>
      </c>
      <c r="ABS19" s="82">
        <f t="shared" si="470"/>
        <v>326000</v>
      </c>
      <c r="ABT19" s="82">
        <f t="shared" si="470"/>
        <v>326000</v>
      </c>
      <c r="ABU19" s="82">
        <f t="shared" si="470"/>
        <v>326000</v>
      </c>
      <c r="ABV19" s="82">
        <f t="shared" si="470"/>
        <v>326000</v>
      </c>
      <c r="ABW19" s="82">
        <f t="shared" si="470"/>
        <v>326000</v>
      </c>
      <c r="ABX19" s="82">
        <f t="shared" si="470"/>
        <v>326000</v>
      </c>
      <c r="ABY19" s="82">
        <f t="shared" si="470"/>
        <v>326000</v>
      </c>
      <c r="ABZ19" s="82">
        <f t="shared" si="470"/>
        <v>326000</v>
      </c>
      <c r="ACA19" s="82">
        <f t="shared" si="470"/>
        <v>326000</v>
      </c>
      <c r="ACB19" s="82">
        <f t="shared" si="470"/>
        <v>326000</v>
      </c>
      <c r="ACC19" s="130"/>
      <c r="ACD19" s="82">
        <f>ACB19</f>
        <v>326000</v>
      </c>
      <c r="ACE19" s="82">
        <f t="shared" si="191"/>
        <v>326000</v>
      </c>
      <c r="ACF19" s="82">
        <f t="shared" si="191"/>
        <v>326000</v>
      </c>
      <c r="ACG19" s="82">
        <f t="shared" si="191"/>
        <v>326000</v>
      </c>
      <c r="ACH19" s="82">
        <f t="shared" si="191"/>
        <v>326000</v>
      </c>
      <c r="ACI19" s="82">
        <f>ACH19</f>
        <v>326000</v>
      </c>
      <c r="ACJ19" s="82">
        <f t="shared" ref="ACJ19:ADH19" si="471">ACI19</f>
        <v>326000</v>
      </c>
      <c r="ACK19" s="82">
        <f t="shared" si="471"/>
        <v>326000</v>
      </c>
      <c r="ACL19" s="82">
        <f t="shared" si="471"/>
        <v>326000</v>
      </c>
      <c r="ACM19" s="82">
        <f t="shared" si="471"/>
        <v>326000</v>
      </c>
      <c r="ACN19" s="82">
        <f t="shared" si="471"/>
        <v>326000</v>
      </c>
      <c r="ACO19" s="82">
        <f t="shared" si="471"/>
        <v>326000</v>
      </c>
      <c r="ACP19" s="82">
        <f t="shared" si="471"/>
        <v>326000</v>
      </c>
      <c r="ACQ19" s="82">
        <f t="shared" si="471"/>
        <v>326000</v>
      </c>
      <c r="ACR19" s="82">
        <f t="shared" si="471"/>
        <v>326000</v>
      </c>
      <c r="ACS19" s="82">
        <f t="shared" si="471"/>
        <v>326000</v>
      </c>
      <c r="ACT19" s="82">
        <f t="shared" si="471"/>
        <v>326000</v>
      </c>
      <c r="ACU19" s="82">
        <f t="shared" si="471"/>
        <v>326000</v>
      </c>
      <c r="ACV19" s="82">
        <f t="shared" si="471"/>
        <v>326000</v>
      </c>
      <c r="ACW19" s="82">
        <f t="shared" si="471"/>
        <v>326000</v>
      </c>
      <c r="ACX19" s="82">
        <f t="shared" si="471"/>
        <v>326000</v>
      </c>
      <c r="ACY19" s="82">
        <f t="shared" si="471"/>
        <v>326000</v>
      </c>
      <c r="ACZ19" s="82">
        <f t="shared" si="471"/>
        <v>326000</v>
      </c>
      <c r="ADA19" s="82">
        <f t="shared" si="471"/>
        <v>326000</v>
      </c>
      <c r="ADB19" s="82">
        <f t="shared" si="471"/>
        <v>326000</v>
      </c>
      <c r="ADC19" s="82">
        <f t="shared" si="471"/>
        <v>326000</v>
      </c>
      <c r="ADD19" s="82">
        <f t="shared" si="471"/>
        <v>326000</v>
      </c>
      <c r="ADE19" s="82">
        <f t="shared" si="471"/>
        <v>326000</v>
      </c>
      <c r="ADF19" s="82">
        <f t="shared" si="471"/>
        <v>326000</v>
      </c>
      <c r="ADG19" s="82">
        <f t="shared" si="471"/>
        <v>326000</v>
      </c>
      <c r="ADH19" s="82">
        <f t="shared" si="471"/>
        <v>326000</v>
      </c>
      <c r="ADI19" s="130"/>
      <c r="ADJ19" s="82">
        <f>ADH19</f>
        <v>326000</v>
      </c>
      <c r="ADK19" s="82">
        <f t="shared" ref="ADK19:ADV19" si="472">ADJ19</f>
        <v>326000</v>
      </c>
      <c r="ADL19" s="82">
        <f t="shared" si="472"/>
        <v>326000</v>
      </c>
      <c r="ADM19" s="82">
        <f t="shared" si="472"/>
        <v>326000</v>
      </c>
      <c r="ADN19" s="82">
        <f t="shared" si="472"/>
        <v>326000</v>
      </c>
      <c r="ADO19" s="82">
        <f t="shared" si="472"/>
        <v>326000</v>
      </c>
      <c r="ADP19" s="82">
        <f t="shared" si="472"/>
        <v>326000</v>
      </c>
      <c r="ADQ19" s="82">
        <f t="shared" si="472"/>
        <v>326000</v>
      </c>
      <c r="ADR19" s="82">
        <f t="shared" si="472"/>
        <v>326000</v>
      </c>
      <c r="ADS19" s="82">
        <f t="shared" si="472"/>
        <v>326000</v>
      </c>
      <c r="ADT19" s="82">
        <f t="shared" si="472"/>
        <v>326000</v>
      </c>
      <c r="ADU19" s="82">
        <f t="shared" si="472"/>
        <v>326000</v>
      </c>
      <c r="ADV19" s="82">
        <f t="shared" si="472"/>
        <v>326000</v>
      </c>
      <c r="ADW19" s="82">
        <f>ADV19</f>
        <v>326000</v>
      </c>
      <c r="ADX19" s="82">
        <f t="shared" ref="ADX19:AEG19" si="473">ADW19</f>
        <v>326000</v>
      </c>
      <c r="ADY19" s="82">
        <f t="shared" si="473"/>
        <v>326000</v>
      </c>
      <c r="ADZ19" s="82">
        <f t="shared" si="473"/>
        <v>326000</v>
      </c>
      <c r="AEA19" s="82">
        <f t="shared" si="473"/>
        <v>326000</v>
      </c>
      <c r="AEB19" s="82">
        <f t="shared" si="473"/>
        <v>326000</v>
      </c>
      <c r="AEC19" s="82">
        <f t="shared" si="473"/>
        <v>326000</v>
      </c>
      <c r="AED19" s="82">
        <f t="shared" si="473"/>
        <v>326000</v>
      </c>
      <c r="AEE19" s="82">
        <f t="shared" si="473"/>
        <v>326000</v>
      </c>
      <c r="AEF19" s="82">
        <f t="shared" si="473"/>
        <v>326000</v>
      </c>
      <c r="AEG19" s="82">
        <f t="shared" si="473"/>
        <v>326000</v>
      </c>
      <c r="AEH19" s="82">
        <f t="shared" si="303"/>
        <v>326000</v>
      </c>
      <c r="AEI19" s="82">
        <f t="shared" si="232"/>
        <v>326000</v>
      </c>
      <c r="AEJ19" s="82">
        <f t="shared" si="232"/>
        <v>326000</v>
      </c>
      <c r="AEK19" s="82">
        <f t="shared" si="232"/>
        <v>326000</v>
      </c>
      <c r="AEL19" s="82">
        <f t="shared" si="232"/>
        <v>326000</v>
      </c>
      <c r="AEM19" s="82">
        <f t="shared" si="232"/>
        <v>326000</v>
      </c>
      <c r="AEN19" s="130"/>
      <c r="AEO19" s="82">
        <f>AEM19</f>
        <v>326000</v>
      </c>
      <c r="AEP19" s="82">
        <f t="shared" si="195"/>
        <v>326000</v>
      </c>
      <c r="AEQ19" s="82">
        <f t="shared" si="195"/>
        <v>326000</v>
      </c>
      <c r="AER19" s="82">
        <f t="shared" si="195"/>
        <v>326000</v>
      </c>
      <c r="AES19" s="82">
        <f t="shared" si="195"/>
        <v>326000</v>
      </c>
      <c r="AET19" s="82">
        <f t="shared" si="195"/>
        <v>326000</v>
      </c>
      <c r="AEU19" s="82">
        <f>AET19</f>
        <v>326000</v>
      </c>
      <c r="AEV19" s="82">
        <f>AEU19</f>
        <v>326000</v>
      </c>
      <c r="AEW19" s="82">
        <f>AEV19+200000</f>
        <v>526000</v>
      </c>
      <c r="AEX19" s="82">
        <f t="shared" ref="AEX19:AFS19" si="474">AEW19</f>
        <v>526000</v>
      </c>
      <c r="AEY19" s="82">
        <f t="shared" si="474"/>
        <v>526000</v>
      </c>
      <c r="AEZ19" s="82">
        <f t="shared" si="474"/>
        <v>526000</v>
      </c>
      <c r="AFA19" s="82">
        <f t="shared" si="474"/>
        <v>526000</v>
      </c>
      <c r="AFB19" s="82">
        <f t="shared" si="474"/>
        <v>526000</v>
      </c>
      <c r="AFC19" s="82">
        <f t="shared" si="474"/>
        <v>526000</v>
      </c>
      <c r="AFD19" s="82">
        <f t="shared" si="474"/>
        <v>526000</v>
      </c>
      <c r="AFE19" s="82">
        <f t="shared" si="474"/>
        <v>526000</v>
      </c>
      <c r="AFF19" s="82">
        <f t="shared" si="474"/>
        <v>526000</v>
      </c>
      <c r="AFG19" s="82">
        <f t="shared" si="474"/>
        <v>526000</v>
      </c>
      <c r="AFH19" s="82">
        <f t="shared" si="474"/>
        <v>526000</v>
      </c>
      <c r="AFI19" s="82">
        <f t="shared" si="474"/>
        <v>526000</v>
      </c>
      <c r="AFJ19" s="82">
        <f t="shared" si="474"/>
        <v>526000</v>
      </c>
      <c r="AFK19" s="82">
        <f t="shared" si="474"/>
        <v>526000</v>
      </c>
      <c r="AFL19" s="82">
        <f t="shared" si="474"/>
        <v>526000</v>
      </c>
      <c r="AFM19" s="82">
        <f t="shared" si="474"/>
        <v>526000</v>
      </c>
      <c r="AFN19" s="82">
        <f t="shared" si="474"/>
        <v>526000</v>
      </c>
      <c r="AFO19" s="82">
        <f t="shared" si="474"/>
        <v>526000</v>
      </c>
      <c r="AFP19" s="82">
        <f t="shared" si="474"/>
        <v>526000</v>
      </c>
      <c r="AFQ19" s="82">
        <f t="shared" si="474"/>
        <v>526000</v>
      </c>
      <c r="AFR19" s="82">
        <f t="shared" si="474"/>
        <v>526000</v>
      </c>
      <c r="AFS19" s="82">
        <f t="shared" si="474"/>
        <v>526000</v>
      </c>
      <c r="AFT19" s="130"/>
      <c r="AFU19" s="82">
        <f>AFS19</f>
        <v>526000</v>
      </c>
      <c r="AFV19" s="82">
        <f t="shared" ref="AFV19:AFX22" si="475">AFU19</f>
        <v>526000</v>
      </c>
      <c r="AFW19" s="82">
        <f t="shared" si="475"/>
        <v>526000</v>
      </c>
      <c r="AFX19" s="82">
        <f t="shared" si="475"/>
        <v>526000</v>
      </c>
      <c r="AFY19" s="82">
        <f>AFX19-200000</f>
        <v>326000</v>
      </c>
      <c r="AFZ19" s="82">
        <f t="shared" ref="AFZ19:AGC22" si="476">AFY19</f>
        <v>326000</v>
      </c>
      <c r="AGA19" s="82">
        <f t="shared" si="476"/>
        <v>326000</v>
      </c>
      <c r="AGB19" s="82">
        <f t="shared" si="476"/>
        <v>326000</v>
      </c>
      <c r="AGC19" s="82">
        <f t="shared" si="476"/>
        <v>326000</v>
      </c>
      <c r="AGD19" s="82">
        <v>0</v>
      </c>
      <c r="AGE19" s="82">
        <f t="shared" ref="AGE19:AGX19" si="477">AGD19</f>
        <v>0</v>
      </c>
      <c r="AGF19" s="82">
        <f t="shared" si="477"/>
        <v>0</v>
      </c>
      <c r="AGG19" s="82">
        <f t="shared" si="477"/>
        <v>0</v>
      </c>
      <c r="AGH19" s="82">
        <f t="shared" si="477"/>
        <v>0</v>
      </c>
      <c r="AGI19" s="82">
        <f t="shared" si="477"/>
        <v>0</v>
      </c>
      <c r="AGJ19" s="82">
        <f t="shared" si="477"/>
        <v>0</v>
      </c>
      <c r="AGK19" s="82">
        <f t="shared" si="477"/>
        <v>0</v>
      </c>
      <c r="AGL19" s="82">
        <f t="shared" si="477"/>
        <v>0</v>
      </c>
      <c r="AGM19" s="82">
        <f t="shared" si="477"/>
        <v>0</v>
      </c>
      <c r="AGN19" s="82">
        <f t="shared" si="477"/>
        <v>0</v>
      </c>
      <c r="AGO19" s="82">
        <f t="shared" si="477"/>
        <v>0</v>
      </c>
      <c r="AGP19" s="82">
        <f t="shared" si="477"/>
        <v>0</v>
      </c>
      <c r="AGQ19" s="82">
        <f t="shared" si="477"/>
        <v>0</v>
      </c>
      <c r="AGR19" s="82">
        <f t="shared" si="477"/>
        <v>0</v>
      </c>
      <c r="AGS19" s="82">
        <f t="shared" si="477"/>
        <v>0</v>
      </c>
      <c r="AGT19" s="82">
        <f t="shared" si="477"/>
        <v>0</v>
      </c>
      <c r="AGU19" s="82">
        <f t="shared" si="477"/>
        <v>0</v>
      </c>
      <c r="AGV19" s="82">
        <f t="shared" si="477"/>
        <v>0</v>
      </c>
      <c r="AGW19" s="82">
        <f t="shared" si="477"/>
        <v>0</v>
      </c>
      <c r="AGX19" s="82">
        <f t="shared" si="477"/>
        <v>0</v>
      </c>
      <c r="AGY19" s="133"/>
      <c r="AGZ19" s="82">
        <f>AGY19</f>
        <v>0</v>
      </c>
      <c r="AHA19" s="82">
        <f t="shared" ref="AHA19:AHJ19" si="478">AGZ19</f>
        <v>0</v>
      </c>
      <c r="AHB19" s="82">
        <f t="shared" si="478"/>
        <v>0</v>
      </c>
      <c r="AHC19" s="82">
        <f t="shared" si="478"/>
        <v>0</v>
      </c>
      <c r="AHD19" s="82">
        <f t="shared" si="478"/>
        <v>0</v>
      </c>
      <c r="AHE19" s="82">
        <f t="shared" si="478"/>
        <v>0</v>
      </c>
      <c r="AHF19" s="82">
        <f t="shared" si="478"/>
        <v>0</v>
      </c>
      <c r="AHG19" s="82">
        <f t="shared" si="478"/>
        <v>0</v>
      </c>
      <c r="AHH19" s="82">
        <f t="shared" si="478"/>
        <v>0</v>
      </c>
      <c r="AHI19" s="82">
        <f t="shared" si="478"/>
        <v>0</v>
      </c>
      <c r="AHJ19" s="82">
        <f t="shared" si="478"/>
        <v>0</v>
      </c>
      <c r="AHK19" s="82">
        <f>AHJ19</f>
        <v>0</v>
      </c>
      <c r="AHL19" s="82">
        <f t="shared" ref="AHL19:AID19" si="479">AHK19</f>
        <v>0</v>
      </c>
      <c r="AHM19" s="82">
        <f t="shared" si="479"/>
        <v>0</v>
      </c>
      <c r="AHN19" s="82">
        <f t="shared" si="479"/>
        <v>0</v>
      </c>
      <c r="AHO19" s="82">
        <f t="shared" si="479"/>
        <v>0</v>
      </c>
      <c r="AHP19" s="82">
        <f t="shared" si="479"/>
        <v>0</v>
      </c>
      <c r="AHQ19" s="82">
        <f t="shared" si="479"/>
        <v>0</v>
      </c>
      <c r="AHR19" s="82">
        <f t="shared" si="479"/>
        <v>0</v>
      </c>
      <c r="AHS19" s="82">
        <f t="shared" si="479"/>
        <v>0</v>
      </c>
      <c r="AHT19" s="82">
        <f t="shared" si="479"/>
        <v>0</v>
      </c>
      <c r="AHU19" s="82">
        <f t="shared" si="479"/>
        <v>0</v>
      </c>
      <c r="AHV19" s="82">
        <f t="shared" si="479"/>
        <v>0</v>
      </c>
      <c r="AHW19" s="82">
        <f t="shared" si="479"/>
        <v>0</v>
      </c>
      <c r="AHX19" s="82">
        <f t="shared" si="479"/>
        <v>0</v>
      </c>
      <c r="AHY19" s="82">
        <f t="shared" si="479"/>
        <v>0</v>
      </c>
      <c r="AHZ19" s="82">
        <f t="shared" si="479"/>
        <v>0</v>
      </c>
      <c r="AIA19" s="82">
        <f t="shared" si="479"/>
        <v>0</v>
      </c>
      <c r="AIB19" s="82">
        <f t="shared" si="479"/>
        <v>0</v>
      </c>
      <c r="AIC19" s="82">
        <f t="shared" si="479"/>
        <v>0</v>
      </c>
      <c r="AID19" s="82">
        <f t="shared" si="479"/>
        <v>0</v>
      </c>
      <c r="AIE19" s="130"/>
      <c r="AIF19" s="82">
        <f>AIE19</f>
        <v>0</v>
      </c>
      <c r="AIG19" s="82">
        <f t="shared" ref="AIG19:AIW19" si="480">AIF19</f>
        <v>0</v>
      </c>
      <c r="AIH19" s="82">
        <f t="shared" si="480"/>
        <v>0</v>
      </c>
      <c r="AII19" s="82">
        <f t="shared" si="480"/>
        <v>0</v>
      </c>
      <c r="AIJ19" s="82">
        <f t="shared" si="480"/>
        <v>0</v>
      </c>
      <c r="AIK19" s="82">
        <f t="shared" si="480"/>
        <v>0</v>
      </c>
      <c r="AIL19" s="82">
        <f t="shared" si="480"/>
        <v>0</v>
      </c>
      <c r="AIM19" s="82">
        <f t="shared" si="480"/>
        <v>0</v>
      </c>
      <c r="AIN19" s="82">
        <f t="shared" si="480"/>
        <v>0</v>
      </c>
      <c r="AIO19" s="82">
        <f t="shared" si="480"/>
        <v>0</v>
      </c>
      <c r="AIP19" s="82">
        <f t="shared" si="480"/>
        <v>0</v>
      </c>
      <c r="AIQ19" s="82">
        <f t="shared" si="480"/>
        <v>0</v>
      </c>
      <c r="AIR19" s="82">
        <f t="shared" si="480"/>
        <v>0</v>
      </c>
      <c r="AIS19" s="82">
        <f t="shared" si="480"/>
        <v>0</v>
      </c>
      <c r="AIT19" s="82">
        <f t="shared" si="480"/>
        <v>0</v>
      </c>
      <c r="AIU19" s="82">
        <f t="shared" si="480"/>
        <v>0</v>
      </c>
      <c r="AIV19" s="82">
        <f t="shared" si="480"/>
        <v>0</v>
      </c>
      <c r="AIW19" s="82">
        <f t="shared" si="480"/>
        <v>0</v>
      </c>
      <c r="AIX19" s="82">
        <f>AIW19</f>
        <v>0</v>
      </c>
      <c r="AIY19" s="82">
        <f t="shared" ref="AIY19:AJJ19" si="481">AIX19</f>
        <v>0</v>
      </c>
      <c r="AIZ19" s="82">
        <f t="shared" si="481"/>
        <v>0</v>
      </c>
      <c r="AJA19" s="82">
        <f t="shared" si="481"/>
        <v>0</v>
      </c>
      <c r="AJB19" s="82">
        <f t="shared" si="481"/>
        <v>0</v>
      </c>
      <c r="AJC19" s="82">
        <f t="shared" si="481"/>
        <v>0</v>
      </c>
      <c r="AJD19" s="82">
        <f t="shared" si="481"/>
        <v>0</v>
      </c>
      <c r="AJE19" s="82">
        <f t="shared" si="481"/>
        <v>0</v>
      </c>
      <c r="AJF19" s="82">
        <f t="shared" si="481"/>
        <v>0</v>
      </c>
      <c r="AJG19" s="82">
        <f t="shared" si="481"/>
        <v>0</v>
      </c>
      <c r="AJH19" s="82">
        <f t="shared" si="481"/>
        <v>0</v>
      </c>
      <c r="AJI19" s="82">
        <f t="shared" si="481"/>
        <v>0</v>
      </c>
      <c r="AJJ19" s="82">
        <f t="shared" si="481"/>
        <v>0</v>
      </c>
      <c r="AJK19" s="145"/>
      <c r="AJL19" s="82">
        <f>AJK19</f>
        <v>0</v>
      </c>
      <c r="AJM19" s="82">
        <f t="shared" ref="AJM19:AKK19" si="482">AJL19</f>
        <v>0</v>
      </c>
      <c r="AJN19" s="82">
        <f t="shared" si="482"/>
        <v>0</v>
      </c>
      <c r="AJO19" s="82">
        <f t="shared" si="482"/>
        <v>0</v>
      </c>
      <c r="AJP19" s="82">
        <f t="shared" si="482"/>
        <v>0</v>
      </c>
      <c r="AJQ19" s="82">
        <f t="shared" si="482"/>
        <v>0</v>
      </c>
      <c r="AJR19" s="82">
        <f t="shared" si="482"/>
        <v>0</v>
      </c>
      <c r="AJS19" s="82">
        <f t="shared" si="482"/>
        <v>0</v>
      </c>
      <c r="AJT19" s="82">
        <f t="shared" si="482"/>
        <v>0</v>
      </c>
      <c r="AJU19" s="82">
        <f t="shared" si="482"/>
        <v>0</v>
      </c>
      <c r="AJV19" s="82">
        <f t="shared" si="482"/>
        <v>0</v>
      </c>
      <c r="AJW19" s="82">
        <f t="shared" si="482"/>
        <v>0</v>
      </c>
      <c r="AJX19" s="82">
        <f t="shared" si="482"/>
        <v>0</v>
      </c>
      <c r="AJY19" s="82">
        <f t="shared" si="482"/>
        <v>0</v>
      </c>
      <c r="AJZ19" s="82">
        <f t="shared" si="482"/>
        <v>0</v>
      </c>
      <c r="AKA19" s="82">
        <f t="shared" si="482"/>
        <v>0</v>
      </c>
      <c r="AKB19" s="82">
        <f t="shared" si="482"/>
        <v>0</v>
      </c>
      <c r="AKC19" s="82">
        <f t="shared" si="482"/>
        <v>0</v>
      </c>
      <c r="AKD19" s="82">
        <f t="shared" si="482"/>
        <v>0</v>
      </c>
      <c r="AKE19" s="82">
        <f t="shared" si="482"/>
        <v>0</v>
      </c>
      <c r="AKF19" s="82">
        <f t="shared" si="482"/>
        <v>0</v>
      </c>
      <c r="AKG19" s="82">
        <f t="shared" si="482"/>
        <v>0</v>
      </c>
      <c r="AKH19" s="82">
        <f t="shared" si="482"/>
        <v>0</v>
      </c>
      <c r="AKI19" s="82">
        <f t="shared" si="482"/>
        <v>0</v>
      </c>
      <c r="AKJ19" s="82">
        <f t="shared" si="482"/>
        <v>0</v>
      </c>
      <c r="AKK19" s="82">
        <f t="shared" si="482"/>
        <v>0</v>
      </c>
      <c r="AKL19" s="82">
        <f>AKK19</f>
        <v>0</v>
      </c>
      <c r="AKM19" s="82">
        <f t="shared" si="311"/>
        <v>0</v>
      </c>
      <c r="AKN19" s="112"/>
      <c r="AKO19" s="82">
        <f>AKN19</f>
        <v>0</v>
      </c>
      <c r="AKP19" s="82">
        <f t="shared" ref="AKP19:AKX19" si="483">AKO19</f>
        <v>0</v>
      </c>
      <c r="AKQ19" s="82">
        <f t="shared" si="483"/>
        <v>0</v>
      </c>
      <c r="AKR19" s="82">
        <f t="shared" si="483"/>
        <v>0</v>
      </c>
      <c r="AKS19" s="82">
        <f t="shared" si="483"/>
        <v>0</v>
      </c>
      <c r="AKT19" s="82">
        <f t="shared" si="483"/>
        <v>0</v>
      </c>
      <c r="AKU19" s="82">
        <f t="shared" si="483"/>
        <v>0</v>
      </c>
      <c r="AKV19" s="82">
        <f t="shared" si="483"/>
        <v>0</v>
      </c>
      <c r="AKW19" s="82">
        <f t="shared" si="483"/>
        <v>0</v>
      </c>
      <c r="AKX19" s="82">
        <f t="shared" si="483"/>
        <v>0</v>
      </c>
      <c r="AKY19" s="82">
        <f>AKX19</f>
        <v>0</v>
      </c>
      <c r="AKZ19" s="82">
        <f t="shared" si="313"/>
        <v>0</v>
      </c>
      <c r="ALA19" s="82">
        <f t="shared" si="313"/>
        <v>0</v>
      </c>
      <c r="ALB19" s="82">
        <f t="shared" si="313"/>
        <v>0</v>
      </c>
      <c r="ALC19" s="82">
        <f t="shared" si="313"/>
        <v>0</v>
      </c>
      <c r="ALD19" s="82">
        <f t="shared" si="313"/>
        <v>0</v>
      </c>
      <c r="ALE19" s="82">
        <f t="shared" si="240"/>
        <v>0</v>
      </c>
      <c r="ALF19" s="82">
        <f t="shared" si="314"/>
        <v>0</v>
      </c>
      <c r="ALG19" s="82">
        <f t="shared" ref="ALG19:ALS19" si="484">ALF19</f>
        <v>0</v>
      </c>
      <c r="ALH19" s="82">
        <f t="shared" si="484"/>
        <v>0</v>
      </c>
      <c r="ALI19" s="82">
        <f t="shared" si="484"/>
        <v>0</v>
      </c>
      <c r="ALJ19" s="82">
        <f t="shared" si="484"/>
        <v>0</v>
      </c>
      <c r="ALK19" s="82">
        <f t="shared" si="484"/>
        <v>0</v>
      </c>
      <c r="ALL19" s="82">
        <f t="shared" si="484"/>
        <v>0</v>
      </c>
      <c r="ALM19" s="82">
        <f t="shared" si="484"/>
        <v>0</v>
      </c>
      <c r="ALN19" s="82">
        <f t="shared" si="484"/>
        <v>0</v>
      </c>
      <c r="ALO19" s="82">
        <f t="shared" si="484"/>
        <v>0</v>
      </c>
      <c r="ALP19" s="82">
        <f t="shared" si="484"/>
        <v>0</v>
      </c>
      <c r="ALQ19" s="82">
        <f t="shared" si="484"/>
        <v>0</v>
      </c>
      <c r="ALR19" s="82">
        <f t="shared" si="484"/>
        <v>0</v>
      </c>
      <c r="ALS19" s="82">
        <f t="shared" si="484"/>
        <v>0</v>
      </c>
      <c r="ALT19" s="130"/>
      <c r="ALU19" s="82">
        <f>ALT19</f>
        <v>0</v>
      </c>
      <c r="ALV19" s="82">
        <f t="shared" ref="ALV19:AMF19" si="485">ALU19</f>
        <v>0</v>
      </c>
      <c r="ALW19" s="82">
        <f t="shared" si="485"/>
        <v>0</v>
      </c>
      <c r="ALX19" s="82">
        <f t="shared" si="485"/>
        <v>0</v>
      </c>
      <c r="ALY19" s="82">
        <f t="shared" si="485"/>
        <v>0</v>
      </c>
      <c r="ALZ19" s="82">
        <f t="shared" si="485"/>
        <v>0</v>
      </c>
      <c r="AMA19" s="82">
        <f t="shared" si="485"/>
        <v>0</v>
      </c>
      <c r="AMB19" s="82">
        <f t="shared" si="485"/>
        <v>0</v>
      </c>
      <c r="AMC19" s="82">
        <f t="shared" si="485"/>
        <v>0</v>
      </c>
      <c r="AMD19" s="82">
        <f t="shared" si="485"/>
        <v>0</v>
      </c>
      <c r="AME19" s="82">
        <f t="shared" si="485"/>
        <v>0</v>
      </c>
      <c r="AMF19" s="82">
        <f t="shared" si="485"/>
        <v>0</v>
      </c>
      <c r="AMG19" s="82">
        <v>150000</v>
      </c>
      <c r="AMH19" s="82">
        <f>AMG19</f>
        <v>150000</v>
      </c>
      <c r="AMI19" s="82">
        <f t="shared" ref="AMI19:AMX19" si="486">AMH19</f>
        <v>150000</v>
      </c>
      <c r="AMJ19" s="82">
        <f t="shared" si="486"/>
        <v>150000</v>
      </c>
      <c r="AMK19" s="82">
        <f t="shared" si="486"/>
        <v>150000</v>
      </c>
      <c r="AML19" s="82">
        <f t="shared" si="486"/>
        <v>150000</v>
      </c>
      <c r="AMM19" s="82">
        <f t="shared" si="486"/>
        <v>150000</v>
      </c>
      <c r="AMN19" s="82">
        <f t="shared" si="486"/>
        <v>150000</v>
      </c>
      <c r="AMO19" s="82">
        <f t="shared" si="486"/>
        <v>150000</v>
      </c>
      <c r="AMP19" s="82">
        <f t="shared" si="486"/>
        <v>150000</v>
      </c>
      <c r="AMQ19" s="82">
        <f t="shared" si="486"/>
        <v>150000</v>
      </c>
      <c r="AMR19" s="82">
        <f t="shared" si="486"/>
        <v>150000</v>
      </c>
      <c r="AMS19" s="82">
        <f t="shared" si="486"/>
        <v>150000</v>
      </c>
      <c r="AMT19" s="82">
        <f t="shared" si="486"/>
        <v>150000</v>
      </c>
      <c r="AMU19" s="82">
        <f t="shared" si="486"/>
        <v>150000</v>
      </c>
      <c r="AMV19" s="82">
        <f t="shared" si="486"/>
        <v>150000</v>
      </c>
      <c r="AMW19" s="82">
        <f t="shared" si="486"/>
        <v>150000</v>
      </c>
      <c r="AMX19" s="82">
        <f t="shared" si="486"/>
        <v>150000</v>
      </c>
      <c r="AMY19" s="130"/>
      <c r="AMZ19" s="82">
        <f>AMX19</f>
        <v>150000</v>
      </c>
      <c r="ANA19" s="82">
        <f t="shared" ref="ANA19:ANC22" si="487">AMZ19</f>
        <v>150000</v>
      </c>
      <c r="ANB19" s="82">
        <f t="shared" si="487"/>
        <v>150000</v>
      </c>
      <c r="ANC19" s="82">
        <f t="shared" si="487"/>
        <v>150000</v>
      </c>
      <c r="AND19" s="82">
        <f>ANC19-50000</f>
        <v>100000</v>
      </c>
      <c r="ANE19" s="82">
        <f t="shared" ref="ANE19:ANK22" si="488">AND19</f>
        <v>100000</v>
      </c>
      <c r="ANF19" s="82">
        <f t="shared" si="488"/>
        <v>100000</v>
      </c>
      <c r="ANG19" s="82">
        <f t="shared" si="488"/>
        <v>100000</v>
      </c>
      <c r="ANH19" s="82">
        <f t="shared" si="488"/>
        <v>100000</v>
      </c>
      <c r="ANI19" s="82">
        <f t="shared" si="488"/>
        <v>100000</v>
      </c>
      <c r="ANJ19" s="82">
        <f t="shared" si="488"/>
        <v>100000</v>
      </c>
      <c r="ANK19" s="82">
        <f t="shared" si="488"/>
        <v>100000</v>
      </c>
      <c r="ANL19" s="82">
        <f t="shared" si="367"/>
        <v>100000</v>
      </c>
      <c r="ANM19" s="82">
        <f t="shared" ref="ANM19:AOC19" si="489">ANL19</f>
        <v>100000</v>
      </c>
      <c r="ANN19" s="82">
        <f t="shared" si="489"/>
        <v>100000</v>
      </c>
      <c r="ANO19" s="82">
        <f t="shared" si="489"/>
        <v>100000</v>
      </c>
      <c r="ANP19" s="82">
        <f t="shared" si="489"/>
        <v>100000</v>
      </c>
      <c r="ANQ19" s="82">
        <f t="shared" si="489"/>
        <v>100000</v>
      </c>
      <c r="ANR19" s="82">
        <f t="shared" si="489"/>
        <v>100000</v>
      </c>
      <c r="ANS19" s="82">
        <f t="shared" si="489"/>
        <v>100000</v>
      </c>
      <c r="ANT19" s="82">
        <f t="shared" si="489"/>
        <v>100000</v>
      </c>
      <c r="ANU19" s="82">
        <f t="shared" si="489"/>
        <v>100000</v>
      </c>
      <c r="ANV19" s="82">
        <f t="shared" si="489"/>
        <v>100000</v>
      </c>
      <c r="ANW19" s="82">
        <f t="shared" si="489"/>
        <v>100000</v>
      </c>
      <c r="ANX19" s="82">
        <f t="shared" si="489"/>
        <v>100000</v>
      </c>
      <c r="ANY19" s="82">
        <f t="shared" si="489"/>
        <v>100000</v>
      </c>
      <c r="ANZ19" s="82">
        <f t="shared" si="489"/>
        <v>100000</v>
      </c>
      <c r="AOA19" s="82">
        <f t="shared" si="489"/>
        <v>100000</v>
      </c>
      <c r="AOB19" s="82">
        <f t="shared" si="489"/>
        <v>100000</v>
      </c>
      <c r="AOC19" s="82">
        <f t="shared" si="489"/>
        <v>100000</v>
      </c>
    </row>
    <row r="20" spans="1:1069" x14ac:dyDescent="0.2">
      <c r="A20" s="160"/>
      <c r="B20" t="s">
        <v>1652</v>
      </c>
      <c r="C20" s="52">
        <v>1582416</v>
      </c>
      <c r="D20" s="52">
        <f t="shared" ref="D20:AD20" si="490">C20</f>
        <v>1582416</v>
      </c>
      <c r="E20" s="52">
        <f t="shared" si="490"/>
        <v>1582416</v>
      </c>
      <c r="F20" s="52">
        <f t="shared" si="490"/>
        <v>1582416</v>
      </c>
      <c r="G20" s="52">
        <f t="shared" si="490"/>
        <v>1582416</v>
      </c>
      <c r="H20" s="52">
        <f t="shared" si="490"/>
        <v>1582416</v>
      </c>
      <c r="I20" s="52">
        <f t="shared" si="490"/>
        <v>1582416</v>
      </c>
      <c r="J20" s="52">
        <f t="shared" si="490"/>
        <v>1582416</v>
      </c>
      <c r="K20" s="52">
        <f t="shared" si="490"/>
        <v>1582416</v>
      </c>
      <c r="L20" s="52">
        <f t="shared" si="490"/>
        <v>1582416</v>
      </c>
      <c r="M20" s="52">
        <f t="shared" si="490"/>
        <v>1582416</v>
      </c>
      <c r="N20" s="52">
        <f t="shared" si="490"/>
        <v>1582416</v>
      </c>
      <c r="O20" s="52">
        <f t="shared" si="490"/>
        <v>1582416</v>
      </c>
      <c r="P20" s="52">
        <f t="shared" si="490"/>
        <v>1582416</v>
      </c>
      <c r="Q20" s="52">
        <f t="shared" si="490"/>
        <v>1582416</v>
      </c>
      <c r="R20" s="52">
        <f t="shared" si="490"/>
        <v>1582416</v>
      </c>
      <c r="S20" s="52">
        <f t="shared" si="490"/>
        <v>1582416</v>
      </c>
      <c r="T20" s="52">
        <f t="shared" si="490"/>
        <v>1582416</v>
      </c>
      <c r="U20" s="52">
        <f t="shared" si="490"/>
        <v>1582416</v>
      </c>
      <c r="V20" s="52">
        <f t="shared" si="490"/>
        <v>1582416</v>
      </c>
      <c r="W20" s="52">
        <f t="shared" si="490"/>
        <v>1582416</v>
      </c>
      <c r="X20" s="52">
        <f t="shared" si="490"/>
        <v>1582416</v>
      </c>
      <c r="Y20" s="52">
        <f t="shared" si="490"/>
        <v>1582416</v>
      </c>
      <c r="Z20" s="52">
        <f t="shared" si="490"/>
        <v>1582416</v>
      </c>
      <c r="AA20" s="52">
        <f t="shared" si="490"/>
        <v>1582416</v>
      </c>
      <c r="AB20" s="52">
        <f t="shared" si="490"/>
        <v>1582416</v>
      </c>
      <c r="AC20" s="52">
        <f t="shared" si="490"/>
        <v>1582416</v>
      </c>
      <c r="AD20" s="52">
        <f t="shared" si="490"/>
        <v>1582416</v>
      </c>
      <c r="AE20" s="52">
        <f t="shared" si="411"/>
        <v>1582416</v>
      </c>
      <c r="AF20" s="52">
        <f t="shared" si="411"/>
        <v>1582416</v>
      </c>
      <c r="AG20" s="52">
        <f t="shared" si="411"/>
        <v>1582416</v>
      </c>
      <c r="AH20" s="98">
        <f t="shared" si="411"/>
        <v>1582416</v>
      </c>
      <c r="AI20" s="52">
        <f>AG20</f>
        <v>1582416</v>
      </c>
      <c r="AJ20" s="52">
        <f t="shared" ref="AJ20:AR20" si="491">AI20</f>
        <v>1582416</v>
      </c>
      <c r="AK20" s="52">
        <f t="shared" si="491"/>
        <v>1582416</v>
      </c>
      <c r="AL20" s="52">
        <f t="shared" si="491"/>
        <v>1582416</v>
      </c>
      <c r="AM20" s="52">
        <f t="shared" si="491"/>
        <v>1582416</v>
      </c>
      <c r="AN20" s="52">
        <f t="shared" si="491"/>
        <v>1582416</v>
      </c>
      <c r="AO20" s="52">
        <f t="shared" si="491"/>
        <v>1582416</v>
      </c>
      <c r="AP20" s="52">
        <f t="shared" si="491"/>
        <v>1582416</v>
      </c>
      <c r="AQ20" s="52">
        <f t="shared" si="491"/>
        <v>1582416</v>
      </c>
      <c r="AR20" s="52">
        <f t="shared" si="491"/>
        <v>1582416</v>
      </c>
      <c r="AS20" s="52">
        <f t="shared" ref="AS20:BV20" si="492">AR20</f>
        <v>1582416</v>
      </c>
      <c r="AT20" s="52">
        <f t="shared" si="492"/>
        <v>1582416</v>
      </c>
      <c r="AU20" s="52">
        <f t="shared" si="492"/>
        <v>1582416</v>
      </c>
      <c r="AV20" s="52">
        <f t="shared" si="492"/>
        <v>1582416</v>
      </c>
      <c r="AW20" s="52">
        <f t="shared" si="492"/>
        <v>1582416</v>
      </c>
      <c r="AX20" s="52">
        <f t="shared" si="492"/>
        <v>1582416</v>
      </c>
      <c r="AY20" s="52">
        <f t="shared" si="492"/>
        <v>1582416</v>
      </c>
      <c r="AZ20" s="52">
        <f t="shared" si="492"/>
        <v>1582416</v>
      </c>
      <c r="BA20" s="52">
        <f t="shared" si="492"/>
        <v>1582416</v>
      </c>
      <c r="BB20" s="52">
        <f t="shared" si="492"/>
        <v>1582416</v>
      </c>
      <c r="BC20" s="52">
        <f t="shared" si="492"/>
        <v>1582416</v>
      </c>
      <c r="BD20" s="52">
        <f t="shared" si="492"/>
        <v>1582416</v>
      </c>
      <c r="BE20" s="52">
        <f t="shared" si="492"/>
        <v>1582416</v>
      </c>
      <c r="BF20" s="52">
        <f t="shared" si="492"/>
        <v>1582416</v>
      </c>
      <c r="BG20" s="52">
        <f t="shared" si="492"/>
        <v>1582416</v>
      </c>
      <c r="BH20" s="52">
        <f t="shared" si="492"/>
        <v>1582416</v>
      </c>
      <c r="BI20" s="52">
        <f t="shared" si="492"/>
        <v>1582416</v>
      </c>
      <c r="BJ20" s="52">
        <f t="shared" si="492"/>
        <v>1582416</v>
      </c>
      <c r="BK20" s="52">
        <f t="shared" si="492"/>
        <v>1582416</v>
      </c>
      <c r="BL20" s="52">
        <f t="shared" si="492"/>
        <v>1582416</v>
      </c>
      <c r="BM20" s="106">
        <f t="shared" si="492"/>
        <v>1582416</v>
      </c>
      <c r="BN20" s="52">
        <f t="shared" si="492"/>
        <v>1582416</v>
      </c>
      <c r="BO20" s="52">
        <f t="shared" si="492"/>
        <v>1582416</v>
      </c>
      <c r="BP20" s="52">
        <f t="shared" si="492"/>
        <v>1582416</v>
      </c>
      <c r="BQ20" s="52">
        <f t="shared" si="492"/>
        <v>1582416</v>
      </c>
      <c r="BR20" s="52">
        <f t="shared" si="492"/>
        <v>1582416</v>
      </c>
      <c r="BS20" s="52">
        <f t="shared" si="492"/>
        <v>1582416</v>
      </c>
      <c r="BT20" s="52">
        <f t="shared" si="492"/>
        <v>1582416</v>
      </c>
      <c r="BU20" s="52">
        <f t="shared" si="492"/>
        <v>1582416</v>
      </c>
      <c r="BV20" s="52">
        <f t="shared" si="492"/>
        <v>1582416</v>
      </c>
      <c r="BW20" s="52">
        <f>BV20</f>
        <v>1582416</v>
      </c>
      <c r="BX20" s="52">
        <f t="shared" si="414"/>
        <v>1582416</v>
      </c>
      <c r="BY20" s="52">
        <f t="shared" si="414"/>
        <v>1582416</v>
      </c>
      <c r="BZ20" s="52">
        <f t="shared" si="414"/>
        <v>1582416</v>
      </c>
      <c r="CA20" s="52">
        <f t="shared" si="414"/>
        <v>1582416</v>
      </c>
      <c r="CB20" s="52">
        <f t="shared" ref="CB20:CK20" si="493">CA20</f>
        <v>1582416</v>
      </c>
      <c r="CC20" s="52">
        <f t="shared" si="493"/>
        <v>1582416</v>
      </c>
      <c r="CD20" s="52">
        <f t="shared" si="493"/>
        <v>1582416</v>
      </c>
      <c r="CE20" s="52">
        <f t="shared" si="493"/>
        <v>1582416</v>
      </c>
      <c r="CF20" s="52">
        <f t="shared" si="493"/>
        <v>1582416</v>
      </c>
      <c r="CG20" s="52">
        <f t="shared" si="493"/>
        <v>1582416</v>
      </c>
      <c r="CH20" s="52">
        <f t="shared" si="493"/>
        <v>1582416</v>
      </c>
      <c r="CI20" s="52">
        <f t="shared" si="493"/>
        <v>1582416</v>
      </c>
      <c r="CJ20" s="52">
        <f t="shared" si="493"/>
        <v>1582416</v>
      </c>
      <c r="CK20" s="52">
        <f t="shared" si="493"/>
        <v>1582416</v>
      </c>
      <c r="CL20" s="52">
        <f t="shared" si="323"/>
        <v>1582416</v>
      </c>
      <c r="CM20" s="52">
        <f t="shared" si="249"/>
        <v>1582416</v>
      </c>
      <c r="CN20" s="52">
        <f t="shared" si="249"/>
        <v>1582416</v>
      </c>
      <c r="CO20" s="52">
        <f t="shared" si="249"/>
        <v>1582416</v>
      </c>
      <c r="CP20" s="52">
        <f t="shared" si="324"/>
        <v>1582416</v>
      </c>
      <c r="CQ20" s="52">
        <f t="shared" si="250"/>
        <v>1582416</v>
      </c>
      <c r="CR20" s="52">
        <f t="shared" si="250"/>
        <v>1582416</v>
      </c>
      <c r="CT20" s="82">
        <f t="shared" si="416"/>
        <v>1582416</v>
      </c>
      <c r="CU20" s="82">
        <f t="shared" si="151"/>
        <v>1582416</v>
      </c>
      <c r="CV20" s="82">
        <f t="shared" ref="CV20:CW25" si="494">CT20</f>
        <v>1582416</v>
      </c>
      <c r="CW20" s="82">
        <f t="shared" si="494"/>
        <v>1582416</v>
      </c>
      <c r="CX20" s="82">
        <f t="shared" si="417"/>
        <v>1582416</v>
      </c>
      <c r="CY20" s="82">
        <f t="shared" si="325"/>
        <v>1582416</v>
      </c>
      <c r="CZ20" s="82">
        <f t="shared" si="326"/>
        <v>1582416</v>
      </c>
      <c r="DA20" s="82">
        <f t="shared" si="251"/>
        <v>1582416</v>
      </c>
      <c r="DB20" s="82">
        <f t="shared" si="252"/>
        <v>1582416</v>
      </c>
      <c r="DC20" s="82">
        <f t="shared" si="253"/>
        <v>1582416</v>
      </c>
      <c r="DD20" s="82">
        <f t="shared" si="254"/>
        <v>1582416</v>
      </c>
      <c r="DE20" s="82">
        <f t="shared" si="255"/>
        <v>1582416</v>
      </c>
      <c r="DF20" s="82">
        <f t="shared" si="256"/>
        <v>1582416</v>
      </c>
      <c r="DG20" s="82">
        <f t="shared" si="257"/>
        <v>1582416</v>
      </c>
      <c r="DH20" s="82">
        <f t="shared" si="258"/>
        <v>1582416</v>
      </c>
      <c r="DI20" s="82">
        <f t="shared" si="259"/>
        <v>1582416</v>
      </c>
      <c r="DJ20" s="82">
        <f t="shared" si="260"/>
        <v>1582416</v>
      </c>
      <c r="DK20" s="82">
        <f t="shared" si="261"/>
        <v>1582416</v>
      </c>
      <c r="DL20" s="82">
        <f t="shared" si="262"/>
        <v>1582416</v>
      </c>
      <c r="DM20" s="82">
        <f t="shared" si="327"/>
        <v>1582416</v>
      </c>
      <c r="DN20" s="82">
        <f t="shared" si="328"/>
        <v>1582416</v>
      </c>
      <c r="DO20" s="82">
        <f t="shared" si="263"/>
        <v>1582416</v>
      </c>
      <c r="DP20" s="82">
        <f t="shared" si="264"/>
        <v>1582416</v>
      </c>
      <c r="DQ20" s="82">
        <f t="shared" si="265"/>
        <v>1582416</v>
      </c>
      <c r="DR20" s="82">
        <f t="shared" si="266"/>
        <v>1582416</v>
      </c>
      <c r="DS20" s="82">
        <f t="shared" si="267"/>
        <v>1582416</v>
      </c>
      <c r="DT20" s="82">
        <f t="shared" si="268"/>
        <v>1582416</v>
      </c>
      <c r="DU20" s="82">
        <f t="shared" si="329"/>
        <v>1582416</v>
      </c>
      <c r="DV20" s="82">
        <f t="shared" si="330"/>
        <v>1582416</v>
      </c>
      <c r="DW20" s="82">
        <f t="shared" si="269"/>
        <v>1582416</v>
      </c>
      <c r="DX20" s="117"/>
      <c r="DY20" s="82">
        <f t="shared" si="418"/>
        <v>1582416</v>
      </c>
      <c r="DZ20" s="82">
        <f t="shared" si="419"/>
        <v>1582416</v>
      </c>
      <c r="EA20" s="82">
        <f t="shared" si="420"/>
        <v>1582416</v>
      </c>
      <c r="EB20" s="82">
        <f t="shared" ref="EB20:EC25" si="495">DZ20</f>
        <v>1582416</v>
      </c>
      <c r="EC20" s="82">
        <f t="shared" si="495"/>
        <v>1582416</v>
      </c>
      <c r="ED20" s="82">
        <f t="shared" si="421"/>
        <v>1582416</v>
      </c>
      <c r="EE20" s="82">
        <f t="shared" si="421"/>
        <v>1582416</v>
      </c>
      <c r="EF20" s="82">
        <f t="shared" si="421"/>
        <v>1582416</v>
      </c>
      <c r="EG20" s="82">
        <f t="shared" si="421"/>
        <v>1582416</v>
      </c>
      <c r="EH20" s="82">
        <f t="shared" si="421"/>
        <v>1582416</v>
      </c>
      <c r="EI20" s="82">
        <f t="shared" si="421"/>
        <v>1582416</v>
      </c>
      <c r="EJ20" s="82">
        <f t="shared" si="421"/>
        <v>1582416</v>
      </c>
      <c r="EK20" s="82">
        <f t="shared" si="421"/>
        <v>1582416</v>
      </c>
      <c r="EL20" s="82">
        <f t="shared" si="421"/>
        <v>1582416</v>
      </c>
      <c r="EM20" s="82">
        <f t="shared" si="421"/>
        <v>1582416</v>
      </c>
      <c r="EN20" s="82">
        <f t="shared" si="422"/>
        <v>1582416</v>
      </c>
      <c r="EO20" s="82">
        <f t="shared" si="422"/>
        <v>1582416</v>
      </c>
      <c r="EP20" s="82">
        <f t="shared" si="422"/>
        <v>1582416</v>
      </c>
      <c r="EQ20" s="82">
        <f t="shared" si="422"/>
        <v>1582416</v>
      </c>
      <c r="ER20" s="82">
        <f t="shared" si="422"/>
        <v>1582416</v>
      </c>
      <c r="ES20" s="82">
        <f t="shared" si="422"/>
        <v>1582416</v>
      </c>
      <c r="ET20" s="82">
        <f t="shared" si="422"/>
        <v>1582416</v>
      </c>
      <c r="EU20" s="82">
        <f t="shared" si="422"/>
        <v>1582416</v>
      </c>
      <c r="EV20" s="82">
        <f t="shared" si="422"/>
        <v>1582416</v>
      </c>
      <c r="EW20" s="82">
        <f t="shared" si="422"/>
        <v>1582416</v>
      </c>
      <c r="EX20" s="82">
        <f t="shared" si="423"/>
        <v>1582416</v>
      </c>
      <c r="EY20" s="82">
        <f t="shared" si="423"/>
        <v>1582416</v>
      </c>
      <c r="EZ20" s="82">
        <f t="shared" si="423"/>
        <v>1582416</v>
      </c>
      <c r="FA20" s="82">
        <f t="shared" si="423"/>
        <v>1582416</v>
      </c>
      <c r="FB20" s="82">
        <f t="shared" si="423"/>
        <v>1582416</v>
      </c>
      <c r="FC20" s="82">
        <f t="shared" si="423"/>
        <v>1582416</v>
      </c>
      <c r="FD20" s="126"/>
      <c r="FE20" s="82">
        <f>FC20</f>
        <v>1582416</v>
      </c>
      <c r="FF20" s="82">
        <f>FE20</f>
        <v>1582416</v>
      </c>
      <c r="FG20" s="82">
        <f t="shared" si="424"/>
        <v>1582416</v>
      </c>
      <c r="FH20" s="82">
        <f t="shared" si="424"/>
        <v>1582416</v>
      </c>
      <c r="FI20" s="82">
        <f t="shared" si="424"/>
        <v>1582416</v>
      </c>
      <c r="FJ20" s="82">
        <f>FH20</f>
        <v>1582416</v>
      </c>
      <c r="FK20" s="82">
        <f>FI20</f>
        <v>1582416</v>
      </c>
      <c r="FL20" s="82">
        <f t="shared" si="425"/>
        <v>1582416</v>
      </c>
      <c r="FM20" s="82">
        <f t="shared" si="425"/>
        <v>1582416</v>
      </c>
      <c r="FN20" s="82">
        <f t="shared" si="425"/>
        <v>1582416</v>
      </c>
      <c r="FO20" s="82">
        <f t="shared" si="425"/>
        <v>1582416</v>
      </c>
      <c r="FP20" s="82">
        <f t="shared" si="425"/>
        <v>1582416</v>
      </c>
      <c r="FQ20" s="82">
        <f t="shared" si="425"/>
        <v>1582416</v>
      </c>
      <c r="FR20" s="82">
        <f t="shared" si="425"/>
        <v>1582416</v>
      </c>
      <c r="FS20" s="82">
        <f t="shared" si="425"/>
        <v>1582416</v>
      </c>
      <c r="FT20" s="82">
        <f t="shared" si="425"/>
        <v>1582416</v>
      </c>
      <c r="FU20" s="82">
        <f t="shared" si="425"/>
        <v>1582416</v>
      </c>
      <c r="FV20" s="82">
        <f t="shared" si="426"/>
        <v>1582416</v>
      </c>
      <c r="FW20" s="82">
        <f t="shared" si="426"/>
        <v>1582416</v>
      </c>
      <c r="FX20" s="82">
        <f t="shared" si="426"/>
        <v>1582416</v>
      </c>
      <c r="FY20" s="82">
        <f t="shared" si="426"/>
        <v>1582416</v>
      </c>
      <c r="FZ20" s="82">
        <f t="shared" si="426"/>
        <v>1582416</v>
      </c>
      <c r="GA20" s="82">
        <f t="shared" si="426"/>
        <v>1582416</v>
      </c>
      <c r="GB20" s="82">
        <f t="shared" si="426"/>
        <v>1582416</v>
      </c>
      <c r="GC20" s="82">
        <f t="shared" si="426"/>
        <v>1582416</v>
      </c>
      <c r="GD20" s="82">
        <f t="shared" si="426"/>
        <v>1582416</v>
      </c>
      <c r="GE20" s="82">
        <f t="shared" si="426"/>
        <v>1582416</v>
      </c>
      <c r="GF20" s="82">
        <f t="shared" si="427"/>
        <v>1582416</v>
      </c>
      <c r="GG20" s="82">
        <f t="shared" si="427"/>
        <v>1582416</v>
      </c>
      <c r="GH20" s="82">
        <f t="shared" si="427"/>
        <v>1582416</v>
      </c>
      <c r="GI20" s="82">
        <f t="shared" si="427"/>
        <v>1582416</v>
      </c>
      <c r="GJ20" s="130"/>
      <c r="GK20" s="82">
        <f>GI20</f>
        <v>1582416</v>
      </c>
      <c r="GL20" s="82">
        <f t="shared" si="428"/>
        <v>1582416</v>
      </c>
      <c r="GM20" s="82">
        <f t="shared" si="429"/>
        <v>1582416</v>
      </c>
      <c r="GN20" s="82">
        <f t="shared" si="429"/>
        <v>1582416</v>
      </c>
      <c r="GO20" s="82">
        <f t="shared" si="429"/>
        <v>1582416</v>
      </c>
      <c r="GP20" s="82">
        <f t="shared" si="429"/>
        <v>1582416</v>
      </c>
      <c r="GQ20" s="82">
        <f>GO20</f>
        <v>1582416</v>
      </c>
      <c r="GR20" s="82">
        <f>GP20</f>
        <v>1582416</v>
      </c>
      <c r="GS20" s="82">
        <f t="shared" si="430"/>
        <v>1582416</v>
      </c>
      <c r="GT20" s="82">
        <f t="shared" si="430"/>
        <v>1582416</v>
      </c>
      <c r="GU20" s="82">
        <f t="shared" si="430"/>
        <v>1582416</v>
      </c>
      <c r="GV20" s="82">
        <f t="shared" si="430"/>
        <v>1582416</v>
      </c>
      <c r="GW20" s="82">
        <f t="shared" si="430"/>
        <v>1582416</v>
      </c>
      <c r="GX20" s="82">
        <f t="shared" si="430"/>
        <v>1582416</v>
      </c>
      <c r="GY20" s="82">
        <f t="shared" si="430"/>
        <v>1582416</v>
      </c>
      <c r="GZ20" s="82">
        <f t="shared" si="430"/>
        <v>1582416</v>
      </c>
      <c r="HA20" s="82">
        <f t="shared" si="430"/>
        <v>1582416</v>
      </c>
      <c r="HB20" s="82">
        <f t="shared" si="430"/>
        <v>1582416</v>
      </c>
      <c r="HC20" s="82">
        <f t="shared" si="431"/>
        <v>1582416</v>
      </c>
      <c r="HD20" s="82">
        <f t="shared" si="431"/>
        <v>1582416</v>
      </c>
      <c r="HE20" s="82">
        <f t="shared" si="431"/>
        <v>1582416</v>
      </c>
      <c r="HF20" s="82">
        <f t="shared" si="431"/>
        <v>1582416</v>
      </c>
      <c r="HG20" s="82">
        <f t="shared" si="431"/>
        <v>1582416</v>
      </c>
      <c r="HH20" s="82">
        <f t="shared" si="431"/>
        <v>1582416</v>
      </c>
      <c r="HI20" s="82">
        <f t="shared" si="431"/>
        <v>1582416</v>
      </c>
      <c r="HJ20" s="82">
        <f t="shared" si="431"/>
        <v>1582416</v>
      </c>
      <c r="HK20" s="82">
        <f t="shared" si="431"/>
        <v>1582416</v>
      </c>
      <c r="HL20" s="82">
        <f t="shared" si="431"/>
        <v>1582416</v>
      </c>
      <c r="HM20" s="82">
        <f t="shared" si="432"/>
        <v>1582416</v>
      </c>
      <c r="HN20" s="130"/>
      <c r="HO20" s="82">
        <f>HM20</f>
        <v>1582416</v>
      </c>
      <c r="HP20" s="82">
        <f t="shared" si="433"/>
        <v>1582416</v>
      </c>
      <c r="HQ20" s="82">
        <f t="shared" si="434"/>
        <v>1582416</v>
      </c>
      <c r="HR20" s="82">
        <f t="shared" si="434"/>
        <v>1582416</v>
      </c>
      <c r="HS20" s="82">
        <f t="shared" si="434"/>
        <v>1582416</v>
      </c>
      <c r="HT20" s="82">
        <f t="shared" si="434"/>
        <v>1582416</v>
      </c>
      <c r="HU20" s="82">
        <f t="shared" si="434"/>
        <v>1582416</v>
      </c>
      <c r="HV20" s="82">
        <f t="shared" si="434"/>
        <v>1582416</v>
      </c>
      <c r="HW20" s="82">
        <f t="shared" si="434"/>
        <v>1582416</v>
      </c>
      <c r="HX20" s="82">
        <f t="shared" si="434"/>
        <v>1582416</v>
      </c>
      <c r="HY20" s="82">
        <f t="shared" si="434"/>
        <v>1582416</v>
      </c>
      <c r="HZ20" s="82">
        <f t="shared" si="434"/>
        <v>1582416</v>
      </c>
      <c r="IA20" s="82">
        <f t="shared" si="434"/>
        <v>1582416</v>
      </c>
      <c r="IB20" s="82">
        <f>HZ20</f>
        <v>1582416</v>
      </c>
      <c r="IC20" s="82">
        <f>IA20</f>
        <v>1582416</v>
      </c>
      <c r="ID20" s="82">
        <f t="shared" si="435"/>
        <v>1582416</v>
      </c>
      <c r="IE20" s="82">
        <f t="shared" si="435"/>
        <v>1582416</v>
      </c>
      <c r="IF20" s="82">
        <f t="shared" si="435"/>
        <v>1582416</v>
      </c>
      <c r="IG20" s="82">
        <f t="shared" si="435"/>
        <v>1582416</v>
      </c>
      <c r="IH20" s="82">
        <f t="shared" si="435"/>
        <v>1582416</v>
      </c>
      <c r="II20" s="82">
        <f t="shared" si="435"/>
        <v>1582416</v>
      </c>
      <c r="IJ20" s="82">
        <f t="shared" si="435"/>
        <v>1582416</v>
      </c>
      <c r="IK20" s="82">
        <f t="shared" si="435"/>
        <v>1582416</v>
      </c>
      <c r="IL20" s="82">
        <f t="shared" si="435"/>
        <v>1582416</v>
      </c>
      <c r="IM20" s="82">
        <f t="shared" si="435"/>
        <v>1582416</v>
      </c>
      <c r="IN20" s="82">
        <f t="shared" si="435"/>
        <v>1582416</v>
      </c>
      <c r="IO20" s="82">
        <f t="shared" si="435"/>
        <v>1582416</v>
      </c>
      <c r="IP20" s="82">
        <f t="shared" si="435"/>
        <v>1582416</v>
      </c>
      <c r="IQ20" s="82">
        <f t="shared" si="435"/>
        <v>1582416</v>
      </c>
      <c r="IR20" s="82">
        <f t="shared" si="435"/>
        <v>1582416</v>
      </c>
      <c r="IS20" s="82">
        <f t="shared" si="435"/>
        <v>1582416</v>
      </c>
      <c r="IT20" s="130"/>
      <c r="IU20" s="82">
        <f>IS20</f>
        <v>1582416</v>
      </c>
      <c r="IV20" s="82">
        <f t="shared" si="160"/>
        <v>1582416</v>
      </c>
      <c r="IW20" s="82">
        <f t="shared" ref="IW20:JI20" si="496">IV20</f>
        <v>1582416</v>
      </c>
      <c r="IX20" s="82">
        <f t="shared" si="496"/>
        <v>1582416</v>
      </c>
      <c r="IY20" s="82">
        <f t="shared" si="496"/>
        <v>1582416</v>
      </c>
      <c r="IZ20" s="82">
        <f t="shared" si="496"/>
        <v>1582416</v>
      </c>
      <c r="JA20" s="82">
        <f t="shared" si="496"/>
        <v>1582416</v>
      </c>
      <c r="JB20" s="82">
        <f t="shared" si="496"/>
        <v>1582416</v>
      </c>
      <c r="JC20" s="82">
        <f t="shared" si="496"/>
        <v>1582416</v>
      </c>
      <c r="JD20" s="82">
        <f t="shared" si="496"/>
        <v>1582416</v>
      </c>
      <c r="JE20" s="82">
        <f t="shared" si="496"/>
        <v>1582416</v>
      </c>
      <c r="JF20" s="82">
        <f t="shared" si="496"/>
        <v>1582416</v>
      </c>
      <c r="JG20" s="82">
        <f t="shared" si="496"/>
        <v>1582416</v>
      </c>
      <c r="JH20" s="82">
        <f t="shared" si="496"/>
        <v>1582416</v>
      </c>
      <c r="JI20" s="82">
        <f t="shared" si="496"/>
        <v>1582416</v>
      </c>
      <c r="JJ20" s="82">
        <f t="shared" ref="JJ20:JJ25" si="497">JI20</f>
        <v>1582416</v>
      </c>
      <c r="JK20" s="82">
        <f t="shared" ref="JK20:JX20" si="498">JJ20</f>
        <v>1582416</v>
      </c>
      <c r="JL20" s="82">
        <f t="shared" si="498"/>
        <v>1582416</v>
      </c>
      <c r="JM20" s="82">
        <f t="shared" si="498"/>
        <v>1582416</v>
      </c>
      <c r="JN20" s="82">
        <f t="shared" si="498"/>
        <v>1582416</v>
      </c>
      <c r="JO20" s="82">
        <f t="shared" si="498"/>
        <v>1582416</v>
      </c>
      <c r="JP20" s="82">
        <f t="shared" si="498"/>
        <v>1582416</v>
      </c>
      <c r="JQ20" s="82">
        <f t="shared" si="498"/>
        <v>1582416</v>
      </c>
      <c r="JR20" s="82">
        <f t="shared" si="498"/>
        <v>1582416</v>
      </c>
      <c r="JS20" s="82">
        <f t="shared" si="498"/>
        <v>1582416</v>
      </c>
      <c r="JT20" s="82">
        <f t="shared" si="498"/>
        <v>1582416</v>
      </c>
      <c r="JU20" s="82">
        <f t="shared" si="498"/>
        <v>1582416</v>
      </c>
      <c r="JV20" s="82">
        <f t="shared" si="498"/>
        <v>1582416</v>
      </c>
      <c r="JW20" s="82">
        <f t="shared" si="498"/>
        <v>1582416</v>
      </c>
      <c r="JX20" s="82">
        <f t="shared" si="498"/>
        <v>1582416</v>
      </c>
      <c r="JY20" s="133"/>
      <c r="JZ20" s="82">
        <f>JX20</f>
        <v>1582416</v>
      </c>
      <c r="KA20" s="82">
        <f t="shared" si="438"/>
        <v>1582416</v>
      </c>
      <c r="KB20" s="82">
        <f t="shared" si="439"/>
        <v>1582416</v>
      </c>
      <c r="KC20" s="82">
        <f t="shared" si="439"/>
        <v>1582416</v>
      </c>
      <c r="KD20" s="82">
        <f t="shared" si="439"/>
        <v>1582416</v>
      </c>
      <c r="KE20" s="82">
        <f t="shared" si="439"/>
        <v>1582416</v>
      </c>
      <c r="KF20" s="82">
        <f t="shared" si="439"/>
        <v>1582416</v>
      </c>
      <c r="KG20" s="82">
        <f t="shared" si="439"/>
        <v>1582416</v>
      </c>
      <c r="KH20" s="82">
        <f t="shared" si="439"/>
        <v>1582416</v>
      </c>
      <c r="KI20" s="82">
        <f t="shared" si="439"/>
        <v>1582416</v>
      </c>
      <c r="KJ20" s="82">
        <f t="shared" si="439"/>
        <v>1582416</v>
      </c>
      <c r="KK20" s="82">
        <f t="shared" si="439"/>
        <v>1582416</v>
      </c>
      <c r="KL20" s="82">
        <f>KJ20</f>
        <v>1582416</v>
      </c>
      <c r="KM20" s="82">
        <f>KK20</f>
        <v>1582416</v>
      </c>
      <c r="KN20" s="82">
        <f t="shared" si="440"/>
        <v>1582416</v>
      </c>
      <c r="KO20" s="82">
        <f t="shared" si="440"/>
        <v>1582416</v>
      </c>
      <c r="KP20" s="82">
        <f t="shared" si="440"/>
        <v>1582416</v>
      </c>
      <c r="KQ20" s="82">
        <f t="shared" si="440"/>
        <v>1582416</v>
      </c>
      <c r="KR20" s="82">
        <f t="shared" si="440"/>
        <v>1582416</v>
      </c>
      <c r="KS20" s="82">
        <f t="shared" si="440"/>
        <v>1582416</v>
      </c>
      <c r="KT20" s="82">
        <f t="shared" si="440"/>
        <v>1582416</v>
      </c>
      <c r="KU20" s="82">
        <f t="shared" si="440"/>
        <v>1582416</v>
      </c>
      <c r="KV20" s="82">
        <f t="shared" si="440"/>
        <v>1582416</v>
      </c>
      <c r="KW20" s="82">
        <f t="shared" si="440"/>
        <v>1582416</v>
      </c>
      <c r="KX20" s="82">
        <f t="shared" si="441"/>
        <v>1582416</v>
      </c>
      <c r="KY20" s="82">
        <f t="shared" si="441"/>
        <v>1582416</v>
      </c>
      <c r="KZ20" s="82">
        <f t="shared" si="441"/>
        <v>1582416</v>
      </c>
      <c r="LA20" s="82">
        <f t="shared" si="441"/>
        <v>1582416</v>
      </c>
      <c r="LB20" s="82">
        <f t="shared" si="441"/>
        <v>1582416</v>
      </c>
      <c r="LC20" s="82">
        <f t="shared" si="441"/>
        <v>1582416</v>
      </c>
      <c r="LD20" s="82">
        <f t="shared" si="441"/>
        <v>1582416</v>
      </c>
      <c r="LE20" s="130"/>
      <c r="LF20" s="82">
        <f>LD20</f>
        <v>1582416</v>
      </c>
      <c r="LG20" s="82">
        <f t="shared" ref="LG20:LO20" si="499">LF20</f>
        <v>1582416</v>
      </c>
      <c r="LH20" s="82">
        <f t="shared" si="499"/>
        <v>1582416</v>
      </c>
      <c r="LI20" s="82">
        <f t="shared" si="499"/>
        <v>1582416</v>
      </c>
      <c r="LJ20" s="82">
        <f t="shared" si="499"/>
        <v>1582416</v>
      </c>
      <c r="LK20" s="82">
        <f t="shared" si="499"/>
        <v>1582416</v>
      </c>
      <c r="LL20" s="82">
        <f t="shared" si="499"/>
        <v>1582416</v>
      </c>
      <c r="LM20" s="82">
        <f t="shared" si="499"/>
        <v>1582416</v>
      </c>
      <c r="LN20" s="82">
        <f t="shared" si="499"/>
        <v>1582416</v>
      </c>
      <c r="LO20" s="82">
        <f t="shared" si="499"/>
        <v>1582416</v>
      </c>
      <c r="LP20" s="82">
        <f t="shared" ref="LP20:LP25" si="500">LO20</f>
        <v>1582416</v>
      </c>
      <c r="LQ20" s="82">
        <f>LP20</f>
        <v>1582416</v>
      </c>
      <c r="LR20" s="82">
        <f>LQ20</f>
        <v>1582416</v>
      </c>
      <c r="LS20" s="82">
        <f t="shared" si="213"/>
        <v>1582416</v>
      </c>
      <c r="LT20" s="82">
        <f t="shared" si="213"/>
        <v>1582416</v>
      </c>
      <c r="LU20" s="82">
        <f t="shared" si="213"/>
        <v>1582416</v>
      </c>
      <c r="LV20" s="82">
        <f t="shared" si="213"/>
        <v>1582416</v>
      </c>
      <c r="LW20" s="82">
        <f t="shared" si="213"/>
        <v>1582416</v>
      </c>
      <c r="LX20" s="82">
        <f t="shared" si="279"/>
        <v>1582416</v>
      </c>
      <c r="LY20" s="82">
        <f t="shared" ref="LY20:MI20" si="501">LX20</f>
        <v>1582416</v>
      </c>
      <c r="LZ20" s="82">
        <f t="shared" si="501"/>
        <v>1582416</v>
      </c>
      <c r="MA20" s="82">
        <f t="shared" si="501"/>
        <v>1582416</v>
      </c>
      <c r="MB20" s="82">
        <f t="shared" si="501"/>
        <v>1582416</v>
      </c>
      <c r="MC20" s="82">
        <f t="shared" si="501"/>
        <v>1582416</v>
      </c>
      <c r="MD20" s="82">
        <f t="shared" si="501"/>
        <v>1582416</v>
      </c>
      <c r="ME20" s="82">
        <f t="shared" si="501"/>
        <v>1582416</v>
      </c>
      <c r="MF20" s="82">
        <f t="shared" si="501"/>
        <v>1582416</v>
      </c>
      <c r="MG20" s="82">
        <f t="shared" si="501"/>
        <v>1582416</v>
      </c>
      <c r="MH20" s="82">
        <f t="shared" si="501"/>
        <v>1582416</v>
      </c>
      <c r="MI20" s="82">
        <f t="shared" si="501"/>
        <v>1582416</v>
      </c>
      <c r="MJ20" s="133"/>
      <c r="MK20" s="82">
        <f>MI20</f>
        <v>1582416</v>
      </c>
      <c r="ML20" s="82">
        <f t="shared" si="281"/>
        <v>1582416</v>
      </c>
      <c r="MM20" s="82">
        <f t="shared" si="444"/>
        <v>1582416</v>
      </c>
      <c r="MN20" s="82">
        <f t="shared" si="444"/>
        <v>1582416</v>
      </c>
      <c r="MO20" s="82">
        <f t="shared" si="444"/>
        <v>1582416</v>
      </c>
      <c r="MP20" s="82">
        <f t="shared" si="444"/>
        <v>1582416</v>
      </c>
      <c r="MQ20" s="82">
        <f t="shared" si="444"/>
        <v>1582416</v>
      </c>
      <c r="MR20" s="82">
        <f t="shared" si="444"/>
        <v>1582416</v>
      </c>
      <c r="MS20" s="82">
        <f t="shared" si="444"/>
        <v>1582416</v>
      </c>
      <c r="MT20" s="82">
        <f t="shared" si="444"/>
        <v>1582416</v>
      </c>
      <c r="MU20" s="82">
        <f t="shared" si="444"/>
        <v>1582416</v>
      </c>
      <c r="MV20" s="82">
        <f t="shared" si="444"/>
        <v>1582416</v>
      </c>
      <c r="MW20" s="82">
        <f t="shared" si="445"/>
        <v>1582416</v>
      </c>
      <c r="MX20" s="82">
        <f t="shared" si="445"/>
        <v>1582416</v>
      </c>
      <c r="MY20" s="82">
        <f t="shared" si="445"/>
        <v>1582416</v>
      </c>
      <c r="MZ20" s="82">
        <f t="shared" si="445"/>
        <v>1582416</v>
      </c>
      <c r="NA20" s="82">
        <f t="shared" si="445"/>
        <v>1582416</v>
      </c>
      <c r="NB20" s="82">
        <f t="shared" si="445"/>
        <v>1582416</v>
      </c>
      <c r="NC20" s="82">
        <f t="shared" si="445"/>
        <v>1582416</v>
      </c>
      <c r="ND20" s="82">
        <f t="shared" si="445"/>
        <v>1582416</v>
      </c>
      <c r="NE20" s="82">
        <f t="shared" si="445"/>
        <v>1582416</v>
      </c>
      <c r="NF20" s="82">
        <f t="shared" si="445"/>
        <v>1582416</v>
      </c>
      <c r="NG20" s="82">
        <f t="shared" si="446"/>
        <v>1582416</v>
      </c>
      <c r="NH20" s="82">
        <f t="shared" si="446"/>
        <v>1582416</v>
      </c>
      <c r="NI20" s="82">
        <f t="shared" si="446"/>
        <v>1582416</v>
      </c>
      <c r="NJ20" s="82">
        <f t="shared" si="446"/>
        <v>1582416</v>
      </c>
      <c r="NK20" s="82">
        <f t="shared" si="446"/>
        <v>1582416</v>
      </c>
      <c r="NL20" s="82">
        <f t="shared" si="446"/>
        <v>1582416</v>
      </c>
      <c r="NM20" s="82">
        <f t="shared" si="446"/>
        <v>1582416</v>
      </c>
      <c r="NN20" s="82">
        <f t="shared" si="446"/>
        <v>1582416</v>
      </c>
      <c r="NO20" s="82">
        <f t="shared" si="446"/>
        <v>1582416</v>
      </c>
      <c r="NP20" s="133"/>
      <c r="NQ20" s="82">
        <f>NO20</f>
        <v>1582416</v>
      </c>
      <c r="NR20" s="82">
        <f>NQ20</f>
        <v>1582416</v>
      </c>
      <c r="NS20" s="82">
        <f t="shared" si="447"/>
        <v>1582416</v>
      </c>
      <c r="NT20" s="82">
        <f t="shared" si="447"/>
        <v>1582416</v>
      </c>
      <c r="NU20" s="82">
        <f t="shared" si="447"/>
        <v>1582416</v>
      </c>
      <c r="NV20" s="82">
        <f t="shared" si="447"/>
        <v>1582416</v>
      </c>
      <c r="NW20" s="82">
        <f t="shared" si="447"/>
        <v>1582416</v>
      </c>
      <c r="NX20" s="82">
        <f t="shared" si="447"/>
        <v>1582416</v>
      </c>
      <c r="NY20" s="82">
        <f t="shared" si="447"/>
        <v>1582416</v>
      </c>
      <c r="NZ20" s="82">
        <f t="shared" si="447"/>
        <v>1582416</v>
      </c>
      <c r="OA20" s="82">
        <f t="shared" si="447"/>
        <v>1582416</v>
      </c>
      <c r="OB20" s="82">
        <f t="shared" si="447"/>
        <v>1582416</v>
      </c>
      <c r="OC20" s="82">
        <f t="shared" si="448"/>
        <v>1582416</v>
      </c>
      <c r="OD20" s="82">
        <f t="shared" si="448"/>
        <v>1582416</v>
      </c>
      <c r="OE20" s="82">
        <f t="shared" si="448"/>
        <v>1582416</v>
      </c>
      <c r="OF20" s="82">
        <f t="shared" si="448"/>
        <v>1582416</v>
      </c>
      <c r="OG20" s="82">
        <f t="shared" si="448"/>
        <v>1582416</v>
      </c>
      <c r="OH20" s="82">
        <f t="shared" si="448"/>
        <v>1582416</v>
      </c>
      <c r="OI20" s="82">
        <f t="shared" si="448"/>
        <v>1582416</v>
      </c>
      <c r="OJ20" s="82">
        <f t="shared" si="448"/>
        <v>1582416</v>
      </c>
      <c r="OK20" s="82">
        <f t="shared" si="448"/>
        <v>1582416</v>
      </c>
      <c r="OL20" s="82">
        <f t="shared" si="448"/>
        <v>1582416</v>
      </c>
      <c r="OM20" s="82">
        <f t="shared" si="449"/>
        <v>1582416</v>
      </c>
      <c r="ON20" s="82">
        <f t="shared" si="449"/>
        <v>1582416</v>
      </c>
      <c r="OO20" s="82">
        <f t="shared" si="449"/>
        <v>1582416</v>
      </c>
      <c r="OP20" s="82">
        <f t="shared" si="449"/>
        <v>1582416</v>
      </c>
      <c r="OQ20" s="82">
        <f t="shared" si="449"/>
        <v>1582416</v>
      </c>
      <c r="OR20" s="82">
        <f t="shared" si="449"/>
        <v>1582416</v>
      </c>
      <c r="OS20" s="82">
        <f t="shared" si="449"/>
        <v>1582416</v>
      </c>
      <c r="OT20" s="82">
        <f t="shared" si="449"/>
        <v>1582416</v>
      </c>
      <c r="OU20" s="82">
        <f t="shared" si="449"/>
        <v>1582416</v>
      </c>
      <c r="OV20" s="130"/>
      <c r="OW20" s="82">
        <f>OU20</f>
        <v>1582416</v>
      </c>
      <c r="OX20" s="82">
        <f>OW20</f>
        <v>1582416</v>
      </c>
      <c r="OY20" s="82">
        <f t="shared" si="450"/>
        <v>1582416</v>
      </c>
      <c r="OZ20" s="82">
        <f t="shared" si="450"/>
        <v>1582416</v>
      </c>
      <c r="PA20" s="82">
        <f t="shared" si="450"/>
        <v>1582416</v>
      </c>
      <c r="PB20" s="82">
        <f t="shared" si="450"/>
        <v>1582416</v>
      </c>
      <c r="PC20" s="82">
        <f t="shared" si="450"/>
        <v>1582416</v>
      </c>
      <c r="PD20" s="82">
        <f t="shared" si="450"/>
        <v>1582416</v>
      </c>
      <c r="PE20" s="82">
        <f t="shared" si="450"/>
        <v>1582416</v>
      </c>
      <c r="PF20" s="82">
        <f t="shared" si="450"/>
        <v>1582416</v>
      </c>
      <c r="PG20" s="82">
        <f t="shared" si="450"/>
        <v>1582416</v>
      </c>
      <c r="PH20" s="82">
        <f t="shared" si="450"/>
        <v>1582416</v>
      </c>
      <c r="PI20" s="82">
        <f t="shared" si="451"/>
        <v>1582416</v>
      </c>
      <c r="PJ20" s="82">
        <f t="shared" si="451"/>
        <v>1582416</v>
      </c>
      <c r="PK20" s="82">
        <f t="shared" si="451"/>
        <v>1582416</v>
      </c>
      <c r="PL20" s="82">
        <f t="shared" si="451"/>
        <v>1582416</v>
      </c>
      <c r="PM20" s="82">
        <f t="shared" si="451"/>
        <v>1582416</v>
      </c>
      <c r="PN20" s="82">
        <f t="shared" si="451"/>
        <v>1582416</v>
      </c>
      <c r="PO20" s="82">
        <f t="shared" si="451"/>
        <v>1582416</v>
      </c>
      <c r="PP20" s="82">
        <f t="shared" si="451"/>
        <v>1582416</v>
      </c>
      <c r="PQ20" s="82">
        <f t="shared" si="451"/>
        <v>1582416</v>
      </c>
      <c r="PR20" s="82">
        <f t="shared" si="451"/>
        <v>1582416</v>
      </c>
      <c r="PS20" s="82">
        <f t="shared" si="452"/>
        <v>1582416</v>
      </c>
      <c r="PT20" s="82">
        <f t="shared" si="452"/>
        <v>1582416</v>
      </c>
      <c r="PU20" s="82">
        <f t="shared" si="452"/>
        <v>1582416</v>
      </c>
      <c r="PV20" s="82">
        <f t="shared" si="452"/>
        <v>1582416</v>
      </c>
      <c r="PW20" s="82">
        <f t="shared" si="452"/>
        <v>1582416</v>
      </c>
      <c r="PX20" s="82">
        <f t="shared" si="452"/>
        <v>1582416</v>
      </c>
      <c r="PY20" s="82">
        <f t="shared" si="452"/>
        <v>1582416</v>
      </c>
      <c r="PZ20" s="82">
        <f t="shared" si="452"/>
        <v>1582416</v>
      </c>
      <c r="QA20" s="130"/>
      <c r="QB20" s="82">
        <f>PZ20</f>
        <v>1582416</v>
      </c>
      <c r="QC20" s="82">
        <f t="shared" ref="QC20:RF20" si="502">QB20</f>
        <v>1582416</v>
      </c>
      <c r="QD20" s="82">
        <f t="shared" si="502"/>
        <v>1582416</v>
      </c>
      <c r="QE20" s="82">
        <f t="shared" si="502"/>
        <v>1582416</v>
      </c>
      <c r="QF20" s="82">
        <f t="shared" si="502"/>
        <v>1582416</v>
      </c>
      <c r="QG20" s="82">
        <f t="shared" si="502"/>
        <v>1582416</v>
      </c>
      <c r="QH20" s="82">
        <f t="shared" si="502"/>
        <v>1582416</v>
      </c>
      <c r="QI20" s="82">
        <f t="shared" si="502"/>
        <v>1582416</v>
      </c>
      <c r="QJ20" s="82">
        <f t="shared" si="502"/>
        <v>1582416</v>
      </c>
      <c r="QK20" s="82">
        <f t="shared" si="502"/>
        <v>1582416</v>
      </c>
      <c r="QL20" s="82">
        <f t="shared" si="502"/>
        <v>1582416</v>
      </c>
      <c r="QM20" s="82">
        <f t="shared" si="502"/>
        <v>1582416</v>
      </c>
      <c r="QN20" s="82">
        <f t="shared" si="502"/>
        <v>1582416</v>
      </c>
      <c r="QO20" s="82">
        <f t="shared" si="502"/>
        <v>1582416</v>
      </c>
      <c r="QP20" s="82">
        <f t="shared" si="502"/>
        <v>1582416</v>
      </c>
      <c r="QQ20" s="82">
        <f t="shared" si="502"/>
        <v>1582416</v>
      </c>
      <c r="QR20" s="82">
        <f t="shared" si="502"/>
        <v>1582416</v>
      </c>
      <c r="QS20" s="82">
        <f t="shared" si="502"/>
        <v>1582416</v>
      </c>
      <c r="QT20" s="82">
        <f t="shared" si="502"/>
        <v>1582416</v>
      </c>
      <c r="QU20" s="82">
        <f t="shared" si="502"/>
        <v>1582416</v>
      </c>
      <c r="QV20" s="82">
        <f t="shared" si="502"/>
        <v>1582416</v>
      </c>
      <c r="QW20" s="82">
        <f t="shared" si="502"/>
        <v>1582416</v>
      </c>
      <c r="QX20" s="82">
        <f t="shared" si="502"/>
        <v>1582416</v>
      </c>
      <c r="QY20" s="82">
        <f t="shared" si="502"/>
        <v>1582416</v>
      </c>
      <c r="QZ20" s="82">
        <f t="shared" si="502"/>
        <v>1582416</v>
      </c>
      <c r="RA20" s="82">
        <f t="shared" si="502"/>
        <v>1582416</v>
      </c>
      <c r="RB20" s="82">
        <f t="shared" si="502"/>
        <v>1582416</v>
      </c>
      <c r="RC20" s="82">
        <f t="shared" si="502"/>
        <v>1582416</v>
      </c>
      <c r="RD20" s="82">
        <f t="shared" si="502"/>
        <v>1582416</v>
      </c>
      <c r="RE20" s="82">
        <f t="shared" si="502"/>
        <v>1582416</v>
      </c>
      <c r="RF20" s="82">
        <f t="shared" si="502"/>
        <v>1582416</v>
      </c>
      <c r="RG20" s="130"/>
      <c r="RH20" s="82">
        <f>RF20</f>
        <v>1582416</v>
      </c>
      <c r="RI20" s="82">
        <f t="shared" ref="RI20:SK20" si="503">RH20</f>
        <v>1582416</v>
      </c>
      <c r="RJ20" s="82">
        <f t="shared" si="503"/>
        <v>1582416</v>
      </c>
      <c r="RK20" s="82">
        <f t="shared" si="503"/>
        <v>1582416</v>
      </c>
      <c r="RL20" s="82">
        <f t="shared" si="503"/>
        <v>1582416</v>
      </c>
      <c r="RM20" s="82">
        <f t="shared" si="503"/>
        <v>1582416</v>
      </c>
      <c r="RN20" s="82">
        <f t="shared" si="503"/>
        <v>1582416</v>
      </c>
      <c r="RO20" s="82">
        <f t="shared" si="503"/>
        <v>1582416</v>
      </c>
      <c r="RP20" s="82">
        <f t="shared" si="503"/>
        <v>1582416</v>
      </c>
      <c r="RQ20" s="82">
        <f t="shared" si="503"/>
        <v>1582416</v>
      </c>
      <c r="RR20" s="82">
        <f t="shared" si="503"/>
        <v>1582416</v>
      </c>
      <c r="RS20" s="82">
        <f t="shared" si="503"/>
        <v>1582416</v>
      </c>
      <c r="RT20" s="82">
        <f t="shared" si="503"/>
        <v>1582416</v>
      </c>
      <c r="RU20" s="82">
        <f t="shared" si="503"/>
        <v>1582416</v>
      </c>
      <c r="RV20" s="82">
        <f t="shared" si="503"/>
        <v>1582416</v>
      </c>
      <c r="RW20" s="82">
        <f t="shared" si="503"/>
        <v>1582416</v>
      </c>
      <c r="RX20" s="82">
        <f t="shared" si="503"/>
        <v>1582416</v>
      </c>
      <c r="RY20" s="82">
        <f t="shared" si="503"/>
        <v>1582416</v>
      </c>
      <c r="RZ20" s="82">
        <f t="shared" si="503"/>
        <v>1582416</v>
      </c>
      <c r="SA20" s="82">
        <f t="shared" si="503"/>
        <v>1582416</v>
      </c>
      <c r="SB20" s="82">
        <f t="shared" si="503"/>
        <v>1582416</v>
      </c>
      <c r="SC20" s="82">
        <f t="shared" si="503"/>
        <v>1582416</v>
      </c>
      <c r="SD20" s="82">
        <f t="shared" si="503"/>
        <v>1582416</v>
      </c>
      <c r="SE20" s="82">
        <f t="shared" si="503"/>
        <v>1582416</v>
      </c>
      <c r="SF20" s="82">
        <f t="shared" si="503"/>
        <v>1582416</v>
      </c>
      <c r="SG20" s="82">
        <f t="shared" si="503"/>
        <v>1582416</v>
      </c>
      <c r="SH20" s="82">
        <f t="shared" si="503"/>
        <v>1582416</v>
      </c>
      <c r="SI20" s="82">
        <f t="shared" si="503"/>
        <v>1582416</v>
      </c>
      <c r="SJ20" s="82">
        <f t="shared" si="503"/>
        <v>1582416</v>
      </c>
      <c r="SK20" s="82">
        <f t="shared" si="503"/>
        <v>1582416</v>
      </c>
      <c r="SL20" s="130"/>
      <c r="SM20" s="82">
        <f>SK20</f>
        <v>1582416</v>
      </c>
      <c r="SN20" s="82">
        <f t="shared" si="455"/>
        <v>1582416</v>
      </c>
      <c r="SO20" s="82">
        <f t="shared" si="455"/>
        <v>1582416</v>
      </c>
      <c r="SP20" s="82">
        <f>SO20</f>
        <v>1582416</v>
      </c>
      <c r="SQ20" s="82">
        <f t="shared" ref="SQ20:TQ20" si="504">SP20</f>
        <v>1582416</v>
      </c>
      <c r="SR20" s="82">
        <f t="shared" si="504"/>
        <v>1582416</v>
      </c>
      <c r="SS20" s="82">
        <f t="shared" si="504"/>
        <v>1582416</v>
      </c>
      <c r="ST20" s="82">
        <f t="shared" si="504"/>
        <v>1582416</v>
      </c>
      <c r="SU20" s="82">
        <f t="shared" si="504"/>
        <v>1582416</v>
      </c>
      <c r="SV20" s="82">
        <f t="shared" si="504"/>
        <v>1582416</v>
      </c>
      <c r="SW20" s="82">
        <f t="shared" si="504"/>
        <v>1582416</v>
      </c>
      <c r="SX20" s="82">
        <f t="shared" si="504"/>
        <v>1582416</v>
      </c>
      <c r="SY20" s="82">
        <f t="shared" si="504"/>
        <v>1582416</v>
      </c>
      <c r="SZ20" s="82">
        <f t="shared" si="504"/>
        <v>1582416</v>
      </c>
      <c r="TA20" s="82">
        <f t="shared" si="504"/>
        <v>1582416</v>
      </c>
      <c r="TB20" s="82">
        <f t="shared" si="504"/>
        <v>1582416</v>
      </c>
      <c r="TC20" s="82">
        <f t="shared" si="504"/>
        <v>1582416</v>
      </c>
      <c r="TD20" s="82">
        <f t="shared" si="504"/>
        <v>1582416</v>
      </c>
      <c r="TE20" s="82">
        <f t="shared" si="504"/>
        <v>1582416</v>
      </c>
      <c r="TF20" s="82">
        <f t="shared" si="504"/>
        <v>1582416</v>
      </c>
      <c r="TG20" s="82">
        <f t="shared" si="504"/>
        <v>1582416</v>
      </c>
      <c r="TH20" s="82">
        <f t="shared" si="504"/>
        <v>1582416</v>
      </c>
      <c r="TI20" s="82">
        <f t="shared" si="504"/>
        <v>1582416</v>
      </c>
      <c r="TJ20" s="82">
        <f t="shared" si="504"/>
        <v>1582416</v>
      </c>
      <c r="TK20" s="82">
        <f t="shared" si="504"/>
        <v>1582416</v>
      </c>
      <c r="TL20" s="82">
        <f t="shared" si="504"/>
        <v>1582416</v>
      </c>
      <c r="TM20" s="82">
        <f t="shared" si="504"/>
        <v>1582416</v>
      </c>
      <c r="TN20" s="82">
        <f t="shared" si="504"/>
        <v>1582416</v>
      </c>
      <c r="TO20" s="82">
        <f t="shared" si="504"/>
        <v>1582416</v>
      </c>
      <c r="TP20" s="82">
        <f t="shared" si="504"/>
        <v>1582416</v>
      </c>
      <c r="TQ20" s="82">
        <f t="shared" si="504"/>
        <v>1582416</v>
      </c>
      <c r="TR20" s="130"/>
      <c r="TS20" s="82">
        <f>TQ20</f>
        <v>1582416</v>
      </c>
      <c r="TT20" s="82">
        <f t="shared" ref="TT20:UW20" si="505">TS20</f>
        <v>1582416</v>
      </c>
      <c r="TU20" s="82">
        <f t="shared" si="505"/>
        <v>1582416</v>
      </c>
      <c r="TV20" s="82">
        <f t="shared" si="505"/>
        <v>1582416</v>
      </c>
      <c r="TW20" s="82">
        <f t="shared" si="505"/>
        <v>1582416</v>
      </c>
      <c r="TX20" s="82">
        <f t="shared" si="505"/>
        <v>1582416</v>
      </c>
      <c r="TY20" s="82">
        <f t="shared" si="505"/>
        <v>1582416</v>
      </c>
      <c r="TZ20" s="82">
        <f t="shared" si="505"/>
        <v>1582416</v>
      </c>
      <c r="UA20" s="82">
        <f t="shared" si="505"/>
        <v>1582416</v>
      </c>
      <c r="UB20" s="82">
        <f t="shared" si="505"/>
        <v>1582416</v>
      </c>
      <c r="UC20" s="82">
        <f t="shared" si="505"/>
        <v>1582416</v>
      </c>
      <c r="UD20" s="82">
        <f t="shared" si="505"/>
        <v>1582416</v>
      </c>
      <c r="UE20" s="82">
        <f t="shared" si="505"/>
        <v>1582416</v>
      </c>
      <c r="UF20" s="82">
        <f t="shared" si="505"/>
        <v>1582416</v>
      </c>
      <c r="UG20" s="82">
        <f t="shared" si="505"/>
        <v>1582416</v>
      </c>
      <c r="UH20" s="82">
        <f t="shared" si="505"/>
        <v>1582416</v>
      </c>
      <c r="UI20" s="82">
        <f t="shared" si="505"/>
        <v>1582416</v>
      </c>
      <c r="UJ20" s="82">
        <f t="shared" si="505"/>
        <v>1582416</v>
      </c>
      <c r="UK20" s="82">
        <f t="shared" si="505"/>
        <v>1582416</v>
      </c>
      <c r="UL20" s="82">
        <f t="shared" si="505"/>
        <v>1582416</v>
      </c>
      <c r="UM20" s="82">
        <f t="shared" si="505"/>
        <v>1582416</v>
      </c>
      <c r="UN20" s="82">
        <f t="shared" si="505"/>
        <v>1582416</v>
      </c>
      <c r="UO20" s="82">
        <f t="shared" si="505"/>
        <v>1582416</v>
      </c>
      <c r="UP20" s="82">
        <f t="shared" si="505"/>
        <v>1582416</v>
      </c>
      <c r="UQ20" s="82">
        <f t="shared" si="505"/>
        <v>1582416</v>
      </c>
      <c r="UR20" s="82">
        <f t="shared" si="505"/>
        <v>1582416</v>
      </c>
      <c r="US20" s="82">
        <f t="shared" si="505"/>
        <v>1582416</v>
      </c>
      <c r="UT20" s="82">
        <f t="shared" si="505"/>
        <v>1582416</v>
      </c>
      <c r="UU20" s="82">
        <f t="shared" si="505"/>
        <v>1582416</v>
      </c>
      <c r="UV20" s="82">
        <f t="shared" si="505"/>
        <v>1582416</v>
      </c>
      <c r="UW20" s="82">
        <f t="shared" si="505"/>
        <v>1582416</v>
      </c>
      <c r="UX20" s="130"/>
      <c r="UY20" s="82">
        <f>UW20</f>
        <v>1582416</v>
      </c>
      <c r="UZ20" s="82">
        <f>UY20</f>
        <v>1582416</v>
      </c>
      <c r="VA20" s="82">
        <f t="shared" si="458"/>
        <v>1582416</v>
      </c>
      <c r="VB20" s="82">
        <f t="shared" si="458"/>
        <v>1582416</v>
      </c>
      <c r="VC20" s="82">
        <f t="shared" si="458"/>
        <v>1582416</v>
      </c>
      <c r="VD20" s="82">
        <f t="shared" si="458"/>
        <v>1582416</v>
      </c>
      <c r="VE20" s="82">
        <f t="shared" si="458"/>
        <v>1582416</v>
      </c>
      <c r="VF20" s="82">
        <f t="shared" si="458"/>
        <v>1582416</v>
      </c>
      <c r="VG20" s="82">
        <f t="shared" si="458"/>
        <v>1582416</v>
      </c>
      <c r="VH20" s="82">
        <f t="shared" si="458"/>
        <v>1582416</v>
      </c>
      <c r="VI20" s="82">
        <f t="shared" si="458"/>
        <v>1582416</v>
      </c>
      <c r="VJ20" s="82">
        <f t="shared" si="458"/>
        <v>1582416</v>
      </c>
      <c r="VK20" s="82">
        <f t="shared" si="459"/>
        <v>1582416</v>
      </c>
      <c r="VL20" s="82">
        <f t="shared" si="459"/>
        <v>1582416</v>
      </c>
      <c r="VM20" s="82">
        <f t="shared" si="459"/>
        <v>1582416</v>
      </c>
      <c r="VN20" s="82">
        <f t="shared" si="459"/>
        <v>1582416</v>
      </c>
      <c r="VO20" s="82">
        <f t="shared" si="459"/>
        <v>1582416</v>
      </c>
      <c r="VP20" s="82">
        <f t="shared" si="459"/>
        <v>1582416</v>
      </c>
      <c r="VQ20" s="82">
        <f t="shared" si="459"/>
        <v>1582416</v>
      </c>
      <c r="VR20" s="82">
        <f t="shared" si="459"/>
        <v>1582416</v>
      </c>
      <c r="VS20" s="82">
        <f t="shared" si="459"/>
        <v>1582416</v>
      </c>
      <c r="VT20" s="82">
        <f t="shared" si="459"/>
        <v>1582416</v>
      </c>
      <c r="VU20" s="82">
        <f t="shared" si="460"/>
        <v>1582416</v>
      </c>
      <c r="VV20" s="82">
        <f t="shared" si="460"/>
        <v>1582416</v>
      </c>
      <c r="VW20" s="82">
        <f t="shared" si="460"/>
        <v>1582416</v>
      </c>
      <c r="VX20" s="82">
        <f t="shared" si="460"/>
        <v>1582416</v>
      </c>
      <c r="VY20" s="82">
        <f t="shared" si="460"/>
        <v>1582416</v>
      </c>
      <c r="VZ20" s="82">
        <f t="shared" si="460"/>
        <v>1582416</v>
      </c>
      <c r="WA20" s="133"/>
      <c r="WB20" s="82">
        <f>VZ20</f>
        <v>1582416</v>
      </c>
      <c r="WC20" s="82">
        <f>WB20</f>
        <v>1582416</v>
      </c>
      <c r="WD20" s="82">
        <f t="shared" si="461"/>
        <v>1582416</v>
      </c>
      <c r="WE20" s="82">
        <f t="shared" si="461"/>
        <v>1582416</v>
      </c>
      <c r="WF20" s="82">
        <f t="shared" si="461"/>
        <v>1582416</v>
      </c>
      <c r="WG20" s="82">
        <f t="shared" si="461"/>
        <v>1582416</v>
      </c>
      <c r="WH20" s="82">
        <f t="shared" si="461"/>
        <v>1582416</v>
      </c>
      <c r="WI20" s="82">
        <f t="shared" si="461"/>
        <v>1582416</v>
      </c>
      <c r="WJ20" s="82">
        <f t="shared" si="461"/>
        <v>1582416</v>
      </c>
      <c r="WK20" s="82">
        <f t="shared" si="461"/>
        <v>1582416</v>
      </c>
      <c r="WL20" s="82">
        <f t="shared" si="461"/>
        <v>1582416</v>
      </c>
      <c r="WM20" s="82">
        <f t="shared" si="461"/>
        <v>1582416</v>
      </c>
      <c r="WN20" s="82">
        <f t="shared" si="462"/>
        <v>1582416</v>
      </c>
      <c r="WO20" s="82">
        <f t="shared" si="462"/>
        <v>1582416</v>
      </c>
      <c r="WP20" s="82">
        <f t="shared" si="462"/>
        <v>1582416</v>
      </c>
      <c r="WQ20" s="82">
        <f t="shared" si="462"/>
        <v>1582416</v>
      </c>
      <c r="WR20" s="82">
        <f t="shared" si="462"/>
        <v>1582416</v>
      </c>
      <c r="WS20" s="82">
        <f t="shared" si="462"/>
        <v>1582416</v>
      </c>
      <c r="WT20" s="82">
        <f t="shared" si="462"/>
        <v>1582416</v>
      </c>
      <c r="WU20" s="82">
        <f t="shared" si="462"/>
        <v>1582416</v>
      </c>
      <c r="WV20" s="82">
        <f t="shared" si="462"/>
        <v>1582416</v>
      </c>
      <c r="WW20" s="82">
        <f t="shared" si="462"/>
        <v>1582416</v>
      </c>
      <c r="WX20" s="82">
        <f t="shared" si="463"/>
        <v>1582416</v>
      </c>
      <c r="WY20" s="82">
        <f t="shared" si="463"/>
        <v>1582416</v>
      </c>
      <c r="WZ20" s="82">
        <f t="shared" si="463"/>
        <v>1582416</v>
      </c>
      <c r="XA20" s="82">
        <f t="shared" si="463"/>
        <v>1582416</v>
      </c>
      <c r="XB20" s="82">
        <f t="shared" si="463"/>
        <v>1582416</v>
      </c>
      <c r="XC20" s="82">
        <f t="shared" si="463"/>
        <v>1582416</v>
      </c>
      <c r="XD20" s="82">
        <f t="shared" si="463"/>
        <v>1582416</v>
      </c>
      <c r="XE20" s="82">
        <f t="shared" si="463"/>
        <v>1582416</v>
      </c>
      <c r="XF20" s="82">
        <f t="shared" si="463"/>
        <v>1582416</v>
      </c>
      <c r="XG20" s="133"/>
      <c r="XH20" s="82">
        <f>XF20</f>
        <v>1582416</v>
      </c>
      <c r="XI20" s="82">
        <f t="shared" si="183"/>
        <v>1582416</v>
      </c>
      <c r="XJ20" s="82">
        <f t="shared" si="183"/>
        <v>1582416</v>
      </c>
      <c r="XK20" s="82">
        <f t="shared" si="183"/>
        <v>1582416</v>
      </c>
      <c r="XL20" s="82">
        <f t="shared" si="183"/>
        <v>1582416</v>
      </c>
      <c r="XM20" s="82">
        <f t="shared" si="183"/>
        <v>1582416</v>
      </c>
      <c r="XN20" s="82">
        <f t="shared" si="183"/>
        <v>1582416</v>
      </c>
      <c r="XO20" s="82">
        <f t="shared" si="183"/>
        <v>1582416</v>
      </c>
      <c r="XP20" s="82">
        <f>XO20</f>
        <v>1582416</v>
      </c>
      <c r="XQ20" s="82">
        <f t="shared" ref="XQ20:YK20" si="506">XP20</f>
        <v>1582416</v>
      </c>
      <c r="XR20" s="82">
        <f t="shared" si="506"/>
        <v>1582416</v>
      </c>
      <c r="XS20" s="82">
        <f t="shared" si="506"/>
        <v>1582416</v>
      </c>
      <c r="XT20" s="82">
        <f t="shared" si="506"/>
        <v>1582416</v>
      </c>
      <c r="XU20" s="82">
        <f t="shared" si="506"/>
        <v>1582416</v>
      </c>
      <c r="XV20" s="82">
        <f t="shared" si="506"/>
        <v>1582416</v>
      </c>
      <c r="XW20" s="82">
        <f t="shared" si="506"/>
        <v>1582416</v>
      </c>
      <c r="XX20" s="82">
        <f t="shared" si="506"/>
        <v>1582416</v>
      </c>
      <c r="XY20" s="82">
        <f t="shared" si="506"/>
        <v>1582416</v>
      </c>
      <c r="XZ20" s="82">
        <f t="shared" si="506"/>
        <v>1582416</v>
      </c>
      <c r="YA20" s="82">
        <f t="shared" si="506"/>
        <v>1582416</v>
      </c>
      <c r="YB20" s="82">
        <f t="shared" si="506"/>
        <v>1582416</v>
      </c>
      <c r="YC20" s="82">
        <f t="shared" si="506"/>
        <v>1582416</v>
      </c>
      <c r="YD20" s="82">
        <f t="shared" si="506"/>
        <v>1582416</v>
      </c>
      <c r="YE20" s="82">
        <f t="shared" si="506"/>
        <v>1582416</v>
      </c>
      <c r="YF20" s="82">
        <f t="shared" si="506"/>
        <v>1582416</v>
      </c>
      <c r="YG20" s="82">
        <f t="shared" si="506"/>
        <v>1582416</v>
      </c>
      <c r="YH20" s="82">
        <f t="shared" si="506"/>
        <v>1582416</v>
      </c>
      <c r="YI20" s="82">
        <f t="shared" si="506"/>
        <v>1582416</v>
      </c>
      <c r="YJ20" s="82">
        <f t="shared" si="506"/>
        <v>1582416</v>
      </c>
      <c r="YK20" s="82">
        <f t="shared" si="506"/>
        <v>1582416</v>
      </c>
      <c r="YL20" s="130"/>
      <c r="YM20" s="82">
        <f>YK20</f>
        <v>1582416</v>
      </c>
      <c r="YN20" s="82">
        <f t="shared" ref="YN20:YV20" si="507">YM20</f>
        <v>1582416</v>
      </c>
      <c r="YO20" s="82">
        <f t="shared" si="507"/>
        <v>1582416</v>
      </c>
      <c r="YP20" s="82">
        <f t="shared" si="507"/>
        <v>1582416</v>
      </c>
      <c r="YQ20" s="82">
        <f t="shared" si="507"/>
        <v>1582416</v>
      </c>
      <c r="YR20" s="82">
        <f t="shared" si="507"/>
        <v>1582416</v>
      </c>
      <c r="YS20" s="82">
        <f t="shared" si="507"/>
        <v>1582416</v>
      </c>
      <c r="YT20" s="82">
        <f t="shared" si="507"/>
        <v>1582416</v>
      </c>
      <c r="YU20" s="82">
        <f t="shared" si="507"/>
        <v>1582416</v>
      </c>
      <c r="YV20" s="82">
        <f t="shared" si="507"/>
        <v>1582416</v>
      </c>
      <c r="YW20" s="82">
        <f>YV20</f>
        <v>1582416</v>
      </c>
      <c r="YX20" s="82">
        <f t="shared" ref="YX20:ZG20" si="508">YW20</f>
        <v>1582416</v>
      </c>
      <c r="YY20" s="82">
        <f t="shared" si="508"/>
        <v>1582416</v>
      </c>
      <c r="YZ20" s="82">
        <f t="shared" si="508"/>
        <v>1582416</v>
      </c>
      <c r="ZA20" s="82">
        <f t="shared" si="508"/>
        <v>1582416</v>
      </c>
      <c r="ZB20" s="82">
        <f t="shared" si="508"/>
        <v>1582416</v>
      </c>
      <c r="ZC20" s="82">
        <f t="shared" si="508"/>
        <v>1582416</v>
      </c>
      <c r="ZD20" s="82">
        <f t="shared" si="508"/>
        <v>1582416</v>
      </c>
      <c r="ZE20" s="82">
        <f t="shared" si="508"/>
        <v>1582416</v>
      </c>
      <c r="ZF20" s="82">
        <f t="shared" si="508"/>
        <v>1582416</v>
      </c>
      <c r="ZG20" s="82">
        <f t="shared" si="508"/>
        <v>1582416</v>
      </c>
      <c r="ZH20" s="82">
        <f>ZG20</f>
        <v>1582416</v>
      </c>
      <c r="ZI20" s="82">
        <f t="shared" ref="ZI20:ZQ20" si="509">ZH20</f>
        <v>1582416</v>
      </c>
      <c r="ZJ20" s="82">
        <f t="shared" si="509"/>
        <v>1582416</v>
      </c>
      <c r="ZK20" s="82">
        <f t="shared" si="509"/>
        <v>1582416</v>
      </c>
      <c r="ZL20" s="82">
        <f t="shared" si="509"/>
        <v>1582416</v>
      </c>
      <c r="ZM20" s="82">
        <f t="shared" si="509"/>
        <v>1582416</v>
      </c>
      <c r="ZN20" s="82">
        <f t="shared" si="509"/>
        <v>1582416</v>
      </c>
      <c r="ZO20" s="82">
        <f t="shared" si="509"/>
        <v>1582416</v>
      </c>
      <c r="ZP20" s="82">
        <f t="shared" si="509"/>
        <v>1582416</v>
      </c>
      <c r="ZQ20" s="82">
        <f t="shared" si="509"/>
        <v>1582416</v>
      </c>
      <c r="ZR20" s="130"/>
      <c r="ZS20" s="82">
        <f>ZQ20</f>
        <v>1582416</v>
      </c>
      <c r="ZT20" s="82">
        <f t="shared" si="187"/>
        <v>1582416</v>
      </c>
      <c r="ZU20" s="82">
        <f>ZT20</f>
        <v>1582416</v>
      </c>
      <c r="ZV20" s="82">
        <f t="shared" ref="ZV20:AAV20" si="510">ZU20</f>
        <v>1582416</v>
      </c>
      <c r="ZW20" s="82">
        <f t="shared" si="510"/>
        <v>1582416</v>
      </c>
      <c r="ZX20" s="82">
        <f t="shared" si="510"/>
        <v>1582416</v>
      </c>
      <c r="ZY20" s="82">
        <f t="shared" si="510"/>
        <v>1582416</v>
      </c>
      <c r="ZZ20" s="82">
        <f t="shared" si="510"/>
        <v>1582416</v>
      </c>
      <c r="AAA20" s="82">
        <f t="shared" si="510"/>
        <v>1582416</v>
      </c>
      <c r="AAB20" s="82">
        <f t="shared" si="510"/>
        <v>1582416</v>
      </c>
      <c r="AAC20" s="82">
        <f t="shared" si="510"/>
        <v>1582416</v>
      </c>
      <c r="AAD20" s="82">
        <f t="shared" si="510"/>
        <v>1582416</v>
      </c>
      <c r="AAE20" s="82">
        <f t="shared" si="510"/>
        <v>1582416</v>
      </c>
      <c r="AAF20" s="82">
        <f t="shared" si="510"/>
        <v>1582416</v>
      </c>
      <c r="AAG20" s="82">
        <f t="shared" si="510"/>
        <v>1582416</v>
      </c>
      <c r="AAH20" s="82">
        <f t="shared" si="510"/>
        <v>1582416</v>
      </c>
      <c r="AAI20" s="82">
        <f t="shared" si="510"/>
        <v>1582416</v>
      </c>
      <c r="AAJ20" s="82">
        <f t="shared" si="510"/>
        <v>1582416</v>
      </c>
      <c r="AAK20" s="82">
        <f t="shared" si="510"/>
        <v>1582416</v>
      </c>
      <c r="AAL20" s="82">
        <f t="shared" si="510"/>
        <v>1582416</v>
      </c>
      <c r="AAM20" s="82">
        <f t="shared" si="510"/>
        <v>1582416</v>
      </c>
      <c r="AAN20" s="82">
        <f t="shared" si="510"/>
        <v>1582416</v>
      </c>
      <c r="AAO20" s="82">
        <f t="shared" si="510"/>
        <v>1582416</v>
      </c>
      <c r="AAP20" s="82">
        <f t="shared" si="510"/>
        <v>1582416</v>
      </c>
      <c r="AAQ20" s="82">
        <f t="shared" si="510"/>
        <v>1582416</v>
      </c>
      <c r="AAR20" s="82">
        <f t="shared" si="510"/>
        <v>1582416</v>
      </c>
      <c r="AAS20" s="82">
        <f t="shared" si="510"/>
        <v>1582416</v>
      </c>
      <c r="AAT20" s="82">
        <f t="shared" si="510"/>
        <v>1582416</v>
      </c>
      <c r="AAU20" s="82">
        <f t="shared" si="510"/>
        <v>1582416</v>
      </c>
      <c r="AAV20" s="82">
        <f t="shared" si="510"/>
        <v>1582416</v>
      </c>
      <c r="AAW20" s="130"/>
      <c r="AAX20" s="82">
        <f>AAV20</f>
        <v>1582416</v>
      </c>
      <c r="AAY20" s="82">
        <f t="shared" ref="AAY20:ABM20" si="511">AAX20</f>
        <v>1582416</v>
      </c>
      <c r="AAZ20" s="82">
        <f t="shared" si="511"/>
        <v>1582416</v>
      </c>
      <c r="ABA20" s="82">
        <f t="shared" si="511"/>
        <v>1582416</v>
      </c>
      <c r="ABB20" s="82">
        <f t="shared" si="511"/>
        <v>1582416</v>
      </c>
      <c r="ABC20" s="82">
        <f t="shared" si="511"/>
        <v>1582416</v>
      </c>
      <c r="ABD20" s="82">
        <f t="shared" si="511"/>
        <v>1582416</v>
      </c>
      <c r="ABE20" s="82">
        <f t="shared" si="511"/>
        <v>1582416</v>
      </c>
      <c r="ABF20" s="82">
        <f t="shared" si="511"/>
        <v>1582416</v>
      </c>
      <c r="ABG20" s="82">
        <f t="shared" si="511"/>
        <v>1582416</v>
      </c>
      <c r="ABH20" s="82">
        <f t="shared" si="511"/>
        <v>1582416</v>
      </c>
      <c r="ABI20" s="82">
        <f t="shared" si="511"/>
        <v>1582416</v>
      </c>
      <c r="ABJ20" s="82">
        <f t="shared" si="511"/>
        <v>1582416</v>
      </c>
      <c r="ABK20" s="82">
        <f t="shared" si="511"/>
        <v>1582416</v>
      </c>
      <c r="ABL20" s="82">
        <f t="shared" si="511"/>
        <v>1582416</v>
      </c>
      <c r="ABM20" s="82">
        <f t="shared" si="511"/>
        <v>1582416</v>
      </c>
      <c r="ABN20" s="82">
        <f>ABM20</f>
        <v>1582416</v>
      </c>
      <c r="ABO20" s="82">
        <f t="shared" ref="ABO20:ACB20" si="512">ABN20</f>
        <v>1582416</v>
      </c>
      <c r="ABP20" s="82">
        <f t="shared" si="512"/>
        <v>1582416</v>
      </c>
      <c r="ABQ20" s="82">
        <f t="shared" si="512"/>
        <v>1582416</v>
      </c>
      <c r="ABR20" s="82">
        <f t="shared" si="512"/>
        <v>1582416</v>
      </c>
      <c r="ABS20" s="82">
        <f t="shared" si="512"/>
        <v>1582416</v>
      </c>
      <c r="ABT20" s="82">
        <f t="shared" si="512"/>
        <v>1582416</v>
      </c>
      <c r="ABU20" s="82">
        <f t="shared" si="512"/>
        <v>1582416</v>
      </c>
      <c r="ABV20" s="82">
        <f t="shared" si="512"/>
        <v>1582416</v>
      </c>
      <c r="ABW20" s="82">
        <f t="shared" si="512"/>
        <v>1582416</v>
      </c>
      <c r="ABX20" s="82">
        <f t="shared" si="512"/>
        <v>1582416</v>
      </c>
      <c r="ABY20" s="82">
        <f t="shared" si="512"/>
        <v>1582416</v>
      </c>
      <c r="ABZ20" s="82">
        <f t="shared" si="512"/>
        <v>1582416</v>
      </c>
      <c r="ACA20" s="82">
        <f t="shared" si="512"/>
        <v>1582416</v>
      </c>
      <c r="ACB20" s="82">
        <f t="shared" si="512"/>
        <v>1582416</v>
      </c>
      <c r="ACC20" s="130"/>
      <c r="ACD20" s="82">
        <f>ACB20</f>
        <v>1582416</v>
      </c>
      <c r="ACE20" s="82">
        <f t="shared" si="191"/>
        <v>1582416</v>
      </c>
      <c r="ACF20" s="82">
        <f t="shared" si="191"/>
        <v>1582416</v>
      </c>
      <c r="ACG20" s="82">
        <f t="shared" si="191"/>
        <v>1582416</v>
      </c>
      <c r="ACH20" s="82">
        <f t="shared" si="191"/>
        <v>1582416</v>
      </c>
      <c r="ACI20" s="82">
        <f>ACH20</f>
        <v>1582416</v>
      </c>
      <c r="ACJ20" s="82">
        <f t="shared" ref="ACJ20:ADH20" si="513">ACI20</f>
        <v>1582416</v>
      </c>
      <c r="ACK20" s="82">
        <f t="shared" si="513"/>
        <v>1582416</v>
      </c>
      <c r="ACL20" s="82">
        <f t="shared" si="513"/>
        <v>1582416</v>
      </c>
      <c r="ACM20" s="82">
        <f t="shared" si="513"/>
        <v>1582416</v>
      </c>
      <c r="ACN20" s="82">
        <f t="shared" si="513"/>
        <v>1582416</v>
      </c>
      <c r="ACO20" s="82">
        <f t="shared" si="513"/>
        <v>1582416</v>
      </c>
      <c r="ACP20" s="82">
        <f t="shared" si="513"/>
        <v>1582416</v>
      </c>
      <c r="ACQ20" s="82">
        <f t="shared" si="513"/>
        <v>1582416</v>
      </c>
      <c r="ACR20" s="82">
        <f t="shared" si="513"/>
        <v>1582416</v>
      </c>
      <c r="ACS20" s="82">
        <f t="shared" si="513"/>
        <v>1582416</v>
      </c>
      <c r="ACT20" s="82">
        <f t="shared" si="513"/>
        <v>1582416</v>
      </c>
      <c r="ACU20" s="82">
        <f t="shared" si="513"/>
        <v>1582416</v>
      </c>
      <c r="ACV20" s="82">
        <f t="shared" si="513"/>
        <v>1582416</v>
      </c>
      <c r="ACW20" s="82">
        <f t="shared" si="513"/>
        <v>1582416</v>
      </c>
      <c r="ACX20" s="82">
        <f t="shared" si="513"/>
        <v>1582416</v>
      </c>
      <c r="ACY20" s="82">
        <f t="shared" si="513"/>
        <v>1582416</v>
      </c>
      <c r="ACZ20" s="82">
        <f t="shared" si="513"/>
        <v>1582416</v>
      </c>
      <c r="ADA20" s="82">
        <f t="shared" si="513"/>
        <v>1582416</v>
      </c>
      <c r="ADB20" s="82">
        <f t="shared" si="513"/>
        <v>1582416</v>
      </c>
      <c r="ADC20" s="82">
        <f t="shared" si="513"/>
        <v>1582416</v>
      </c>
      <c r="ADD20" s="82">
        <f t="shared" si="513"/>
        <v>1582416</v>
      </c>
      <c r="ADE20" s="82">
        <f t="shared" si="513"/>
        <v>1582416</v>
      </c>
      <c r="ADF20" s="82">
        <f t="shared" si="513"/>
        <v>1582416</v>
      </c>
      <c r="ADG20" s="82">
        <f t="shared" si="513"/>
        <v>1582416</v>
      </c>
      <c r="ADH20" s="82">
        <f t="shared" si="513"/>
        <v>1582416</v>
      </c>
      <c r="ADI20" s="130"/>
      <c r="ADJ20" s="82">
        <f>ADH20</f>
        <v>1582416</v>
      </c>
      <c r="ADK20" s="82">
        <f t="shared" ref="ADK20:ADV20" si="514">ADJ20</f>
        <v>1582416</v>
      </c>
      <c r="ADL20" s="82">
        <f t="shared" si="514"/>
        <v>1582416</v>
      </c>
      <c r="ADM20" s="82">
        <f t="shared" si="514"/>
        <v>1582416</v>
      </c>
      <c r="ADN20" s="82">
        <f t="shared" si="514"/>
        <v>1582416</v>
      </c>
      <c r="ADO20" s="82">
        <f t="shared" si="514"/>
        <v>1582416</v>
      </c>
      <c r="ADP20" s="82">
        <f t="shared" si="514"/>
        <v>1582416</v>
      </c>
      <c r="ADQ20" s="82">
        <f t="shared" si="514"/>
        <v>1582416</v>
      </c>
      <c r="ADR20" s="82">
        <f t="shared" si="514"/>
        <v>1582416</v>
      </c>
      <c r="ADS20" s="82">
        <f t="shared" si="514"/>
        <v>1582416</v>
      </c>
      <c r="ADT20" s="82">
        <f t="shared" si="514"/>
        <v>1582416</v>
      </c>
      <c r="ADU20" s="82">
        <f t="shared" si="514"/>
        <v>1582416</v>
      </c>
      <c r="ADV20" s="82">
        <f t="shared" si="514"/>
        <v>1582416</v>
      </c>
      <c r="ADW20" s="82">
        <f>ADV20</f>
        <v>1582416</v>
      </c>
      <c r="ADX20" s="82">
        <f t="shared" ref="ADX20:AEG20" si="515">ADW20</f>
        <v>1582416</v>
      </c>
      <c r="ADY20" s="82">
        <f t="shared" si="515"/>
        <v>1582416</v>
      </c>
      <c r="ADZ20" s="82">
        <f t="shared" si="515"/>
        <v>1582416</v>
      </c>
      <c r="AEA20" s="82">
        <f t="shared" si="515"/>
        <v>1582416</v>
      </c>
      <c r="AEB20" s="82">
        <f t="shared" si="515"/>
        <v>1582416</v>
      </c>
      <c r="AEC20" s="82">
        <f t="shared" si="515"/>
        <v>1582416</v>
      </c>
      <c r="AED20" s="82">
        <f t="shared" si="515"/>
        <v>1582416</v>
      </c>
      <c r="AEE20" s="82">
        <f t="shared" si="515"/>
        <v>1582416</v>
      </c>
      <c r="AEF20" s="82">
        <f t="shared" si="515"/>
        <v>1582416</v>
      </c>
      <c r="AEG20" s="82">
        <f t="shared" si="515"/>
        <v>1582416</v>
      </c>
      <c r="AEH20" s="82">
        <f t="shared" si="303"/>
        <v>1582416</v>
      </c>
      <c r="AEI20" s="82">
        <f t="shared" si="232"/>
        <v>1582416</v>
      </c>
      <c r="AEJ20" s="82">
        <f t="shared" si="232"/>
        <v>1582416</v>
      </c>
      <c r="AEK20" s="82">
        <f t="shared" si="232"/>
        <v>1582416</v>
      </c>
      <c r="AEL20" s="82">
        <f t="shared" si="232"/>
        <v>1582416</v>
      </c>
      <c r="AEM20" s="82">
        <f t="shared" si="232"/>
        <v>1582416</v>
      </c>
      <c r="AEN20" s="130"/>
      <c r="AEO20" s="82">
        <f>AEM20</f>
        <v>1582416</v>
      </c>
      <c r="AEP20" s="82">
        <f t="shared" si="195"/>
        <v>1582416</v>
      </c>
      <c r="AEQ20" s="82">
        <f t="shared" si="195"/>
        <v>1582416</v>
      </c>
      <c r="AER20" s="82">
        <f t="shared" si="195"/>
        <v>1582416</v>
      </c>
      <c r="AES20" s="82">
        <f t="shared" si="195"/>
        <v>1582416</v>
      </c>
      <c r="AET20" s="82">
        <f t="shared" si="195"/>
        <v>1582416</v>
      </c>
      <c r="AEU20" s="82">
        <f>AET20</f>
        <v>1582416</v>
      </c>
      <c r="AEV20" s="82">
        <f>AEU20</f>
        <v>1582416</v>
      </c>
      <c r="AEW20" s="82">
        <f>AEV20</f>
        <v>1582416</v>
      </c>
      <c r="AEX20" s="82">
        <f t="shared" ref="AEX20:AFS20" si="516">AEW20</f>
        <v>1582416</v>
      </c>
      <c r="AEY20" s="82">
        <f t="shared" si="516"/>
        <v>1582416</v>
      </c>
      <c r="AEZ20" s="82">
        <f t="shared" si="516"/>
        <v>1582416</v>
      </c>
      <c r="AFA20" s="82">
        <f t="shared" si="516"/>
        <v>1582416</v>
      </c>
      <c r="AFB20" s="82">
        <f t="shared" si="516"/>
        <v>1582416</v>
      </c>
      <c r="AFC20" s="82">
        <f t="shared" si="516"/>
        <v>1582416</v>
      </c>
      <c r="AFD20" s="82">
        <f t="shared" si="516"/>
        <v>1582416</v>
      </c>
      <c r="AFE20" s="82">
        <f t="shared" si="516"/>
        <v>1582416</v>
      </c>
      <c r="AFF20" s="82">
        <f t="shared" si="516"/>
        <v>1582416</v>
      </c>
      <c r="AFG20" s="82">
        <f t="shared" si="516"/>
        <v>1582416</v>
      </c>
      <c r="AFH20" s="82">
        <f t="shared" si="516"/>
        <v>1582416</v>
      </c>
      <c r="AFI20" s="82">
        <f t="shared" si="516"/>
        <v>1582416</v>
      </c>
      <c r="AFJ20" s="82">
        <f t="shared" si="516"/>
        <v>1582416</v>
      </c>
      <c r="AFK20" s="82">
        <f t="shared" si="516"/>
        <v>1582416</v>
      </c>
      <c r="AFL20" s="82">
        <f t="shared" si="516"/>
        <v>1582416</v>
      </c>
      <c r="AFM20" s="82">
        <f t="shared" si="516"/>
        <v>1582416</v>
      </c>
      <c r="AFN20" s="82">
        <f t="shared" si="516"/>
        <v>1582416</v>
      </c>
      <c r="AFO20" s="82">
        <f t="shared" si="516"/>
        <v>1582416</v>
      </c>
      <c r="AFP20" s="82">
        <f t="shared" si="516"/>
        <v>1582416</v>
      </c>
      <c r="AFQ20" s="82">
        <f t="shared" si="516"/>
        <v>1582416</v>
      </c>
      <c r="AFR20" s="82">
        <f t="shared" si="516"/>
        <v>1582416</v>
      </c>
      <c r="AFS20" s="82">
        <f t="shared" si="516"/>
        <v>1582416</v>
      </c>
      <c r="AFT20" s="130"/>
      <c r="AFU20" s="82">
        <f>AFS20</f>
        <v>1582416</v>
      </c>
      <c r="AFV20" s="82">
        <f t="shared" si="475"/>
        <v>1582416</v>
      </c>
      <c r="AFW20" s="82">
        <f t="shared" si="475"/>
        <v>1582416</v>
      </c>
      <c r="AFX20" s="82">
        <f t="shared" si="475"/>
        <v>1582416</v>
      </c>
      <c r="AFY20" s="82">
        <f>AFX20</f>
        <v>1582416</v>
      </c>
      <c r="AFZ20" s="82">
        <f t="shared" si="476"/>
        <v>1582416</v>
      </c>
      <c r="AGA20" s="82">
        <f t="shared" si="476"/>
        <v>1582416</v>
      </c>
      <c r="AGB20" s="82">
        <f t="shared" si="476"/>
        <v>1582416</v>
      </c>
      <c r="AGC20" s="82">
        <f t="shared" si="476"/>
        <v>1582416</v>
      </c>
      <c r="AGD20" s="82">
        <f>AGC20</f>
        <v>1582416</v>
      </c>
      <c r="AGE20" s="82">
        <f t="shared" ref="AGE20:AGX20" si="517">AGD20</f>
        <v>1582416</v>
      </c>
      <c r="AGF20" s="82">
        <f t="shared" si="517"/>
        <v>1582416</v>
      </c>
      <c r="AGG20" s="82">
        <f t="shared" si="517"/>
        <v>1582416</v>
      </c>
      <c r="AGH20" s="82">
        <f t="shared" si="517"/>
        <v>1582416</v>
      </c>
      <c r="AGI20" s="82">
        <f t="shared" si="517"/>
        <v>1582416</v>
      </c>
      <c r="AGJ20" s="82">
        <f t="shared" si="517"/>
        <v>1582416</v>
      </c>
      <c r="AGK20" s="82">
        <f t="shared" si="517"/>
        <v>1582416</v>
      </c>
      <c r="AGL20" s="82">
        <f t="shared" si="517"/>
        <v>1582416</v>
      </c>
      <c r="AGM20" s="82">
        <f t="shared" si="517"/>
        <v>1582416</v>
      </c>
      <c r="AGN20" s="82">
        <f t="shared" si="517"/>
        <v>1582416</v>
      </c>
      <c r="AGO20" s="82">
        <f t="shared" si="517"/>
        <v>1582416</v>
      </c>
      <c r="AGP20" s="82">
        <f t="shared" si="517"/>
        <v>1582416</v>
      </c>
      <c r="AGQ20" s="82">
        <f t="shared" si="517"/>
        <v>1582416</v>
      </c>
      <c r="AGR20" s="82">
        <f t="shared" si="517"/>
        <v>1582416</v>
      </c>
      <c r="AGS20" s="82">
        <f t="shared" si="517"/>
        <v>1582416</v>
      </c>
      <c r="AGT20" s="82">
        <f t="shared" si="517"/>
        <v>1582416</v>
      </c>
      <c r="AGU20" s="82">
        <f t="shared" si="517"/>
        <v>1582416</v>
      </c>
      <c r="AGV20" s="82">
        <f t="shared" si="517"/>
        <v>1582416</v>
      </c>
      <c r="AGW20" s="82">
        <f t="shared" si="517"/>
        <v>1582416</v>
      </c>
      <c r="AGX20" s="82">
        <f t="shared" si="517"/>
        <v>1582416</v>
      </c>
      <c r="AGY20" s="133"/>
      <c r="AGZ20" s="82">
        <f>AGX20</f>
        <v>1582416</v>
      </c>
      <c r="AHA20" s="82">
        <f t="shared" ref="AHA20:AHJ20" si="518">AGZ20</f>
        <v>1582416</v>
      </c>
      <c r="AHB20" s="82">
        <f t="shared" si="518"/>
        <v>1582416</v>
      </c>
      <c r="AHC20" s="82">
        <f t="shared" si="518"/>
        <v>1582416</v>
      </c>
      <c r="AHD20" s="82">
        <f t="shared" si="518"/>
        <v>1582416</v>
      </c>
      <c r="AHE20" s="82">
        <f t="shared" si="518"/>
        <v>1582416</v>
      </c>
      <c r="AHF20" s="82">
        <f t="shared" si="518"/>
        <v>1582416</v>
      </c>
      <c r="AHG20" s="82">
        <f t="shared" si="518"/>
        <v>1582416</v>
      </c>
      <c r="AHH20" s="82">
        <f t="shared" si="518"/>
        <v>1582416</v>
      </c>
      <c r="AHI20" s="82">
        <f t="shared" si="518"/>
        <v>1582416</v>
      </c>
      <c r="AHJ20" s="82">
        <f t="shared" si="518"/>
        <v>1582416</v>
      </c>
      <c r="AHK20" s="82">
        <f>AHJ20</f>
        <v>1582416</v>
      </c>
      <c r="AHL20" s="82">
        <f t="shared" ref="AHL20:AID20" si="519">AHK20</f>
        <v>1582416</v>
      </c>
      <c r="AHM20" s="82">
        <f t="shared" si="519"/>
        <v>1582416</v>
      </c>
      <c r="AHN20" s="82">
        <f t="shared" si="519"/>
        <v>1582416</v>
      </c>
      <c r="AHO20" s="82">
        <f t="shared" si="519"/>
        <v>1582416</v>
      </c>
      <c r="AHP20" s="82">
        <f t="shared" si="519"/>
        <v>1582416</v>
      </c>
      <c r="AHQ20" s="82">
        <f t="shared" si="519"/>
        <v>1582416</v>
      </c>
      <c r="AHR20" s="82">
        <f t="shared" si="519"/>
        <v>1582416</v>
      </c>
      <c r="AHS20" s="82">
        <f t="shared" si="519"/>
        <v>1582416</v>
      </c>
      <c r="AHT20" s="82">
        <f t="shared" si="519"/>
        <v>1582416</v>
      </c>
      <c r="AHU20" s="82">
        <f t="shared" si="519"/>
        <v>1582416</v>
      </c>
      <c r="AHV20" s="82">
        <f t="shared" si="519"/>
        <v>1582416</v>
      </c>
      <c r="AHW20" s="82">
        <f t="shared" si="519"/>
        <v>1582416</v>
      </c>
      <c r="AHX20" s="82">
        <f t="shared" si="519"/>
        <v>1582416</v>
      </c>
      <c r="AHY20" s="82">
        <f t="shared" si="519"/>
        <v>1582416</v>
      </c>
      <c r="AHZ20" s="82">
        <f t="shared" si="519"/>
        <v>1582416</v>
      </c>
      <c r="AIA20" s="82">
        <f t="shared" si="519"/>
        <v>1582416</v>
      </c>
      <c r="AIB20" s="82">
        <f t="shared" si="519"/>
        <v>1582416</v>
      </c>
      <c r="AIC20" s="82">
        <f t="shared" si="519"/>
        <v>1582416</v>
      </c>
      <c r="AID20" s="82">
        <f t="shared" si="519"/>
        <v>1582416</v>
      </c>
      <c r="AIE20" s="130"/>
      <c r="AIF20" s="82">
        <f>AID20</f>
        <v>1582416</v>
      </c>
      <c r="AIG20" s="82">
        <f t="shared" ref="AIG20:AIW20" si="520">AIF20</f>
        <v>1582416</v>
      </c>
      <c r="AIH20" s="82">
        <f t="shared" si="520"/>
        <v>1582416</v>
      </c>
      <c r="AII20" s="82">
        <f t="shared" si="520"/>
        <v>1582416</v>
      </c>
      <c r="AIJ20" s="82">
        <f t="shared" si="520"/>
        <v>1582416</v>
      </c>
      <c r="AIK20" s="82">
        <f t="shared" si="520"/>
        <v>1582416</v>
      </c>
      <c r="AIL20" s="82">
        <f t="shared" si="520"/>
        <v>1582416</v>
      </c>
      <c r="AIM20" s="82">
        <f t="shared" si="520"/>
        <v>1582416</v>
      </c>
      <c r="AIN20" s="82">
        <f t="shared" si="520"/>
        <v>1582416</v>
      </c>
      <c r="AIO20" s="82">
        <f t="shared" si="520"/>
        <v>1582416</v>
      </c>
      <c r="AIP20" s="82">
        <f t="shared" si="520"/>
        <v>1582416</v>
      </c>
      <c r="AIQ20" s="82">
        <f t="shared" si="520"/>
        <v>1582416</v>
      </c>
      <c r="AIR20" s="82">
        <f t="shared" si="520"/>
        <v>1582416</v>
      </c>
      <c r="AIS20" s="82">
        <f t="shared" si="520"/>
        <v>1582416</v>
      </c>
      <c r="AIT20" s="82">
        <f t="shared" si="520"/>
        <v>1582416</v>
      </c>
      <c r="AIU20" s="82">
        <f t="shared" si="520"/>
        <v>1582416</v>
      </c>
      <c r="AIV20" s="82">
        <f t="shared" si="520"/>
        <v>1582416</v>
      </c>
      <c r="AIW20" s="82">
        <f t="shared" si="520"/>
        <v>1582416</v>
      </c>
      <c r="AIX20" s="82">
        <f>AIW20</f>
        <v>1582416</v>
      </c>
      <c r="AIY20" s="82">
        <f t="shared" ref="AIY20:AJJ20" si="521">AIX20</f>
        <v>1582416</v>
      </c>
      <c r="AIZ20" s="82">
        <f t="shared" si="521"/>
        <v>1582416</v>
      </c>
      <c r="AJA20" s="82">
        <f t="shared" si="521"/>
        <v>1582416</v>
      </c>
      <c r="AJB20" s="82">
        <f t="shared" si="521"/>
        <v>1582416</v>
      </c>
      <c r="AJC20" s="82">
        <f t="shared" si="521"/>
        <v>1582416</v>
      </c>
      <c r="AJD20" s="82">
        <f t="shared" si="521"/>
        <v>1582416</v>
      </c>
      <c r="AJE20" s="82">
        <f t="shared" si="521"/>
        <v>1582416</v>
      </c>
      <c r="AJF20" s="82">
        <f t="shared" si="521"/>
        <v>1582416</v>
      </c>
      <c r="AJG20" s="82">
        <f t="shared" si="521"/>
        <v>1582416</v>
      </c>
      <c r="AJH20" s="82">
        <f t="shared" si="521"/>
        <v>1582416</v>
      </c>
      <c r="AJI20" s="82">
        <f t="shared" si="521"/>
        <v>1582416</v>
      </c>
      <c r="AJJ20" s="82">
        <f t="shared" si="521"/>
        <v>1582416</v>
      </c>
      <c r="AJK20" s="145"/>
      <c r="AJL20" s="82">
        <f>AJJ20</f>
        <v>1582416</v>
      </c>
      <c r="AJM20" s="82">
        <f t="shared" ref="AJM20:AKK20" si="522">AJL20</f>
        <v>1582416</v>
      </c>
      <c r="AJN20" s="82">
        <f t="shared" si="522"/>
        <v>1582416</v>
      </c>
      <c r="AJO20" s="82">
        <f t="shared" si="522"/>
        <v>1582416</v>
      </c>
      <c r="AJP20" s="82">
        <f t="shared" si="522"/>
        <v>1582416</v>
      </c>
      <c r="AJQ20" s="82">
        <f t="shared" si="522"/>
        <v>1582416</v>
      </c>
      <c r="AJR20" s="82">
        <f t="shared" si="522"/>
        <v>1582416</v>
      </c>
      <c r="AJS20" s="82">
        <f t="shared" si="522"/>
        <v>1582416</v>
      </c>
      <c r="AJT20" s="82">
        <f t="shared" si="522"/>
        <v>1582416</v>
      </c>
      <c r="AJU20" s="82">
        <f t="shared" si="522"/>
        <v>1582416</v>
      </c>
      <c r="AJV20" s="82">
        <f t="shared" si="522"/>
        <v>1582416</v>
      </c>
      <c r="AJW20" s="82">
        <f t="shared" si="522"/>
        <v>1582416</v>
      </c>
      <c r="AJX20" s="82">
        <f t="shared" si="522"/>
        <v>1582416</v>
      </c>
      <c r="AJY20" s="82">
        <f t="shared" si="522"/>
        <v>1582416</v>
      </c>
      <c r="AJZ20" s="82">
        <f t="shared" si="522"/>
        <v>1582416</v>
      </c>
      <c r="AKA20" s="82">
        <f t="shared" si="522"/>
        <v>1582416</v>
      </c>
      <c r="AKB20" s="82">
        <f t="shared" si="522"/>
        <v>1582416</v>
      </c>
      <c r="AKC20" s="82">
        <f t="shared" si="522"/>
        <v>1582416</v>
      </c>
      <c r="AKD20" s="82">
        <f t="shared" si="522"/>
        <v>1582416</v>
      </c>
      <c r="AKE20" s="82">
        <f t="shared" si="522"/>
        <v>1582416</v>
      </c>
      <c r="AKF20" s="82">
        <f t="shared" si="522"/>
        <v>1582416</v>
      </c>
      <c r="AKG20" s="82">
        <f t="shared" si="522"/>
        <v>1582416</v>
      </c>
      <c r="AKH20" s="82">
        <f t="shared" si="522"/>
        <v>1582416</v>
      </c>
      <c r="AKI20" s="82">
        <f t="shared" si="522"/>
        <v>1582416</v>
      </c>
      <c r="AKJ20" s="82">
        <f t="shared" si="522"/>
        <v>1582416</v>
      </c>
      <c r="AKK20" s="82">
        <f t="shared" si="522"/>
        <v>1582416</v>
      </c>
      <c r="AKL20" s="82">
        <f>AKK20</f>
        <v>1582416</v>
      </c>
      <c r="AKM20" s="82">
        <f t="shared" si="311"/>
        <v>1582416</v>
      </c>
      <c r="AKN20" s="112"/>
      <c r="AKO20" s="82">
        <f>AKM20</f>
        <v>1582416</v>
      </c>
      <c r="AKP20" s="82">
        <f t="shared" ref="AKP20:AKX20" si="523">AKO20</f>
        <v>1582416</v>
      </c>
      <c r="AKQ20" s="82">
        <f t="shared" si="523"/>
        <v>1582416</v>
      </c>
      <c r="AKR20" s="82">
        <f t="shared" si="523"/>
        <v>1582416</v>
      </c>
      <c r="AKS20" s="82">
        <f t="shared" si="523"/>
        <v>1582416</v>
      </c>
      <c r="AKT20" s="82">
        <f t="shared" si="523"/>
        <v>1582416</v>
      </c>
      <c r="AKU20" s="82">
        <f t="shared" si="523"/>
        <v>1582416</v>
      </c>
      <c r="AKV20" s="82">
        <f t="shared" si="523"/>
        <v>1582416</v>
      </c>
      <c r="AKW20" s="82">
        <f t="shared" si="523"/>
        <v>1582416</v>
      </c>
      <c r="AKX20" s="82">
        <f t="shared" si="523"/>
        <v>1582416</v>
      </c>
      <c r="AKY20" s="82">
        <f>AKX20</f>
        <v>1582416</v>
      </c>
      <c r="AKZ20" s="82">
        <f t="shared" si="313"/>
        <v>1582416</v>
      </c>
      <c r="ALA20" s="82">
        <f t="shared" si="313"/>
        <v>1582416</v>
      </c>
      <c r="ALB20" s="82">
        <f t="shared" si="313"/>
        <v>1582416</v>
      </c>
      <c r="ALC20" s="82">
        <f t="shared" si="313"/>
        <v>1582416</v>
      </c>
      <c r="ALD20" s="82">
        <f t="shared" si="313"/>
        <v>1582416</v>
      </c>
      <c r="ALE20" s="82">
        <f t="shared" si="240"/>
        <v>1582416</v>
      </c>
      <c r="ALF20" s="82">
        <f t="shared" si="314"/>
        <v>1582416</v>
      </c>
      <c r="ALG20" s="82">
        <f t="shared" ref="ALG20:ALS20" si="524">ALF20</f>
        <v>1582416</v>
      </c>
      <c r="ALH20" s="82">
        <f t="shared" si="524"/>
        <v>1582416</v>
      </c>
      <c r="ALI20" s="82">
        <f t="shared" si="524"/>
        <v>1582416</v>
      </c>
      <c r="ALJ20" s="82">
        <f t="shared" si="524"/>
        <v>1582416</v>
      </c>
      <c r="ALK20" s="82">
        <f t="shared" si="524"/>
        <v>1582416</v>
      </c>
      <c r="ALL20" s="82">
        <f t="shared" si="524"/>
        <v>1582416</v>
      </c>
      <c r="ALM20" s="82">
        <f t="shared" si="524"/>
        <v>1582416</v>
      </c>
      <c r="ALN20" s="82">
        <f t="shared" si="524"/>
        <v>1582416</v>
      </c>
      <c r="ALO20" s="82">
        <f t="shared" si="524"/>
        <v>1582416</v>
      </c>
      <c r="ALP20" s="82">
        <f t="shared" si="524"/>
        <v>1582416</v>
      </c>
      <c r="ALQ20" s="82">
        <f t="shared" si="524"/>
        <v>1582416</v>
      </c>
      <c r="ALR20" s="82">
        <f t="shared" si="524"/>
        <v>1582416</v>
      </c>
      <c r="ALS20" s="82">
        <f t="shared" si="524"/>
        <v>1582416</v>
      </c>
      <c r="ALT20" s="130"/>
      <c r="ALU20" s="82">
        <f>ALS20</f>
        <v>1582416</v>
      </c>
      <c r="ALV20" s="82">
        <f t="shared" ref="ALV20:AMF20" si="525">ALU20</f>
        <v>1582416</v>
      </c>
      <c r="ALW20" s="82">
        <f t="shared" si="525"/>
        <v>1582416</v>
      </c>
      <c r="ALX20" s="82">
        <f t="shared" si="525"/>
        <v>1582416</v>
      </c>
      <c r="ALY20" s="82">
        <f t="shared" si="525"/>
        <v>1582416</v>
      </c>
      <c r="ALZ20" s="82">
        <f t="shared" si="525"/>
        <v>1582416</v>
      </c>
      <c r="AMA20" s="82">
        <f t="shared" si="525"/>
        <v>1582416</v>
      </c>
      <c r="AMB20" s="82">
        <f t="shared" si="525"/>
        <v>1582416</v>
      </c>
      <c r="AMC20" s="82">
        <f t="shared" si="525"/>
        <v>1582416</v>
      </c>
      <c r="AMD20" s="82">
        <f t="shared" si="525"/>
        <v>1582416</v>
      </c>
      <c r="AME20" s="82">
        <f t="shared" si="525"/>
        <v>1582416</v>
      </c>
      <c r="AMF20" s="82">
        <f t="shared" si="525"/>
        <v>1582416</v>
      </c>
      <c r="AMG20" s="82">
        <f>AMF20</f>
        <v>1582416</v>
      </c>
      <c r="AMH20" s="82">
        <f>AMG20</f>
        <v>1582416</v>
      </c>
      <c r="AMI20" s="82">
        <f t="shared" ref="AMI20:AMX20" si="526">AMH20</f>
        <v>1582416</v>
      </c>
      <c r="AMJ20" s="82">
        <f t="shared" si="526"/>
        <v>1582416</v>
      </c>
      <c r="AMK20" s="82">
        <f t="shared" si="526"/>
        <v>1582416</v>
      </c>
      <c r="AML20" s="82">
        <f t="shared" si="526"/>
        <v>1582416</v>
      </c>
      <c r="AMM20" s="82">
        <f t="shared" si="526"/>
        <v>1582416</v>
      </c>
      <c r="AMN20" s="82">
        <f t="shared" si="526"/>
        <v>1582416</v>
      </c>
      <c r="AMO20" s="82">
        <f t="shared" si="526"/>
        <v>1582416</v>
      </c>
      <c r="AMP20" s="82">
        <f t="shared" si="526"/>
        <v>1582416</v>
      </c>
      <c r="AMQ20" s="82">
        <f t="shared" si="526"/>
        <v>1582416</v>
      </c>
      <c r="AMR20" s="82">
        <f t="shared" si="526"/>
        <v>1582416</v>
      </c>
      <c r="AMS20" s="82">
        <f t="shared" si="526"/>
        <v>1582416</v>
      </c>
      <c r="AMT20" s="82">
        <f t="shared" si="526"/>
        <v>1582416</v>
      </c>
      <c r="AMU20" s="82">
        <f t="shared" si="526"/>
        <v>1582416</v>
      </c>
      <c r="AMV20" s="82">
        <f t="shared" si="526"/>
        <v>1582416</v>
      </c>
      <c r="AMW20" s="82">
        <f t="shared" si="526"/>
        <v>1582416</v>
      </c>
      <c r="AMX20" s="82">
        <f t="shared" si="526"/>
        <v>1582416</v>
      </c>
      <c r="AMY20" s="130"/>
      <c r="AMZ20" s="82">
        <f>AMX20</f>
        <v>1582416</v>
      </c>
      <c r="ANA20" s="82">
        <f t="shared" si="487"/>
        <v>1582416</v>
      </c>
      <c r="ANB20" s="82">
        <f t="shared" si="487"/>
        <v>1582416</v>
      </c>
      <c r="ANC20" s="82">
        <f t="shared" si="487"/>
        <v>1582416</v>
      </c>
      <c r="AND20" s="82">
        <f>ANC20</f>
        <v>1582416</v>
      </c>
      <c r="ANE20" s="82">
        <f t="shared" si="488"/>
        <v>1582416</v>
      </c>
      <c r="ANF20" s="82">
        <f t="shared" si="488"/>
        <v>1582416</v>
      </c>
      <c r="ANG20" s="82">
        <f t="shared" si="488"/>
        <v>1582416</v>
      </c>
      <c r="ANH20" s="82">
        <f t="shared" si="488"/>
        <v>1582416</v>
      </c>
      <c r="ANI20" s="82">
        <f t="shared" si="488"/>
        <v>1582416</v>
      </c>
      <c r="ANJ20" s="82">
        <f t="shared" si="488"/>
        <v>1582416</v>
      </c>
      <c r="ANK20" s="82">
        <f t="shared" si="488"/>
        <v>1582416</v>
      </c>
      <c r="ANL20" s="82">
        <f t="shared" si="367"/>
        <v>1582416</v>
      </c>
      <c r="ANM20" s="82">
        <f t="shared" ref="ANM20:AOC20" si="527">ANL20</f>
        <v>1582416</v>
      </c>
      <c r="ANN20" s="82">
        <f t="shared" si="527"/>
        <v>1582416</v>
      </c>
      <c r="ANO20" s="82">
        <f t="shared" si="527"/>
        <v>1582416</v>
      </c>
      <c r="ANP20" s="82">
        <f t="shared" si="527"/>
        <v>1582416</v>
      </c>
      <c r="ANQ20" s="82">
        <f t="shared" si="527"/>
        <v>1582416</v>
      </c>
      <c r="ANR20" s="82">
        <f t="shared" si="527"/>
        <v>1582416</v>
      </c>
      <c r="ANS20" s="82">
        <f t="shared" si="527"/>
        <v>1582416</v>
      </c>
      <c r="ANT20" s="82">
        <f t="shared" si="527"/>
        <v>1582416</v>
      </c>
      <c r="ANU20" s="82">
        <f t="shared" si="527"/>
        <v>1582416</v>
      </c>
      <c r="ANV20" s="82">
        <f t="shared" si="527"/>
        <v>1582416</v>
      </c>
      <c r="ANW20" s="82">
        <f t="shared" si="527"/>
        <v>1582416</v>
      </c>
      <c r="ANX20" s="82">
        <f t="shared" si="527"/>
        <v>1582416</v>
      </c>
      <c r="ANY20" s="82">
        <f t="shared" si="527"/>
        <v>1582416</v>
      </c>
      <c r="ANZ20" s="82">
        <f t="shared" si="527"/>
        <v>1582416</v>
      </c>
      <c r="AOA20" s="82">
        <f t="shared" si="527"/>
        <v>1582416</v>
      </c>
      <c r="AOB20" s="82">
        <f t="shared" si="527"/>
        <v>1582416</v>
      </c>
      <c r="AOC20" s="82">
        <f t="shared" si="527"/>
        <v>1582416</v>
      </c>
    </row>
    <row r="21" spans="1:1069" x14ac:dyDescent="0.2">
      <c r="A21" s="160"/>
      <c r="B21" t="s">
        <v>1653</v>
      </c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98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106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>
        <v>6630334</v>
      </c>
      <c r="CA21" s="52">
        <f>BZ21</f>
        <v>6630334</v>
      </c>
      <c r="CB21" s="52">
        <f t="shared" ref="CB21:CK21" si="528">CA21</f>
        <v>6630334</v>
      </c>
      <c r="CC21" s="52">
        <f t="shared" si="528"/>
        <v>6630334</v>
      </c>
      <c r="CD21" s="52">
        <f t="shared" si="528"/>
        <v>6630334</v>
      </c>
      <c r="CE21" s="52">
        <f t="shared" si="528"/>
        <v>6630334</v>
      </c>
      <c r="CF21" s="52">
        <f t="shared" si="528"/>
        <v>6630334</v>
      </c>
      <c r="CG21" s="52">
        <f t="shared" si="528"/>
        <v>6630334</v>
      </c>
      <c r="CH21" s="52">
        <f t="shared" si="528"/>
        <v>6630334</v>
      </c>
      <c r="CI21" s="52">
        <f t="shared" si="528"/>
        <v>6630334</v>
      </c>
      <c r="CJ21" s="52">
        <f t="shared" si="528"/>
        <v>6630334</v>
      </c>
      <c r="CK21" s="52">
        <f t="shared" si="528"/>
        <v>6630334</v>
      </c>
      <c r="CL21" s="52">
        <f t="shared" si="323"/>
        <v>6630334</v>
      </c>
      <c r="CM21" s="52">
        <f t="shared" si="249"/>
        <v>6630334</v>
      </c>
      <c r="CN21" s="52">
        <f t="shared" si="249"/>
        <v>6630334</v>
      </c>
      <c r="CO21" s="52">
        <f t="shared" si="249"/>
        <v>6630334</v>
      </c>
      <c r="CP21" s="52">
        <f t="shared" si="324"/>
        <v>6630334</v>
      </c>
      <c r="CQ21" s="52">
        <f t="shared" si="250"/>
        <v>6630334</v>
      </c>
      <c r="CR21" s="52">
        <f t="shared" si="250"/>
        <v>6630334</v>
      </c>
      <c r="CT21" s="82">
        <f t="shared" si="416"/>
        <v>6630334</v>
      </c>
      <c r="CU21" s="82">
        <f t="shared" si="151"/>
        <v>6630334</v>
      </c>
      <c r="CV21" s="82">
        <f t="shared" si="494"/>
        <v>6630334</v>
      </c>
      <c r="CW21" s="82">
        <f t="shared" si="494"/>
        <v>6630334</v>
      </c>
      <c r="CX21" s="82">
        <f t="shared" si="417"/>
        <v>6630334</v>
      </c>
      <c r="CY21" s="82">
        <f t="shared" si="325"/>
        <v>6630334</v>
      </c>
      <c r="CZ21" s="82">
        <f t="shared" si="326"/>
        <v>6630334</v>
      </c>
      <c r="DA21" s="82">
        <f t="shared" si="251"/>
        <v>6630334</v>
      </c>
      <c r="DB21" s="82">
        <f t="shared" si="252"/>
        <v>6630334</v>
      </c>
      <c r="DC21" s="82">
        <f t="shared" si="253"/>
        <v>6630334</v>
      </c>
      <c r="DD21" s="82">
        <f t="shared" si="254"/>
        <v>6630334</v>
      </c>
      <c r="DE21" s="82">
        <f t="shared" si="255"/>
        <v>6630334</v>
      </c>
      <c r="DF21" s="82">
        <f t="shared" si="256"/>
        <v>6630334</v>
      </c>
      <c r="DG21" s="82">
        <f t="shared" si="257"/>
        <v>6630334</v>
      </c>
      <c r="DH21" s="82">
        <f t="shared" si="258"/>
        <v>6630334</v>
      </c>
      <c r="DI21" s="82">
        <f t="shared" si="259"/>
        <v>6630334</v>
      </c>
      <c r="DJ21" s="82">
        <f t="shared" si="260"/>
        <v>6630334</v>
      </c>
      <c r="DK21" s="82">
        <f t="shared" si="261"/>
        <v>6630334</v>
      </c>
      <c r="DL21" s="82">
        <f t="shared" si="262"/>
        <v>6630334</v>
      </c>
      <c r="DM21" s="82">
        <f t="shared" si="327"/>
        <v>6630334</v>
      </c>
      <c r="DN21" s="82">
        <f t="shared" si="328"/>
        <v>6630334</v>
      </c>
      <c r="DO21" s="82">
        <f t="shared" si="263"/>
        <v>6630334</v>
      </c>
      <c r="DP21" s="82">
        <f t="shared" si="264"/>
        <v>6630334</v>
      </c>
      <c r="DQ21" s="82">
        <f t="shared" si="265"/>
        <v>6630334</v>
      </c>
      <c r="DR21" s="82">
        <f t="shared" si="266"/>
        <v>6630334</v>
      </c>
      <c r="DS21" s="82">
        <f t="shared" si="267"/>
        <v>6630334</v>
      </c>
      <c r="DT21" s="82">
        <f t="shared" si="268"/>
        <v>6630334</v>
      </c>
      <c r="DU21" s="82">
        <f t="shared" si="329"/>
        <v>6630334</v>
      </c>
      <c r="DV21" s="82">
        <f t="shared" si="330"/>
        <v>6630334</v>
      </c>
      <c r="DW21" s="82">
        <f t="shared" si="269"/>
        <v>6630334</v>
      </c>
      <c r="DX21" s="117"/>
      <c r="DY21" s="82">
        <f t="shared" si="418"/>
        <v>6630334</v>
      </c>
      <c r="DZ21" s="82">
        <f t="shared" si="419"/>
        <v>6630334</v>
      </c>
      <c r="EA21" s="82">
        <f t="shared" si="420"/>
        <v>6630334</v>
      </c>
      <c r="EB21" s="82">
        <f t="shared" si="495"/>
        <v>6630334</v>
      </c>
      <c r="EC21" s="82">
        <f t="shared" si="495"/>
        <v>6630334</v>
      </c>
      <c r="ED21" s="82">
        <f t="shared" si="421"/>
        <v>6630334</v>
      </c>
      <c r="EE21" s="82">
        <f t="shared" si="421"/>
        <v>6630334</v>
      </c>
      <c r="EF21" s="82">
        <f t="shared" si="421"/>
        <v>6630334</v>
      </c>
      <c r="EG21" s="82">
        <f t="shared" si="421"/>
        <v>6630334</v>
      </c>
      <c r="EH21" s="82">
        <f t="shared" si="421"/>
        <v>6630334</v>
      </c>
      <c r="EI21" s="82">
        <f t="shared" si="421"/>
        <v>6630334</v>
      </c>
      <c r="EJ21" s="82">
        <f t="shared" si="421"/>
        <v>6630334</v>
      </c>
      <c r="EK21" s="82">
        <f t="shared" si="421"/>
        <v>6630334</v>
      </c>
      <c r="EL21" s="82">
        <f t="shared" si="421"/>
        <v>6630334</v>
      </c>
      <c r="EM21" s="82">
        <f t="shared" si="421"/>
        <v>6630334</v>
      </c>
      <c r="EN21" s="82">
        <f t="shared" si="422"/>
        <v>6630334</v>
      </c>
      <c r="EO21" s="82">
        <f t="shared" si="422"/>
        <v>6630334</v>
      </c>
      <c r="EP21" s="82">
        <f t="shared" si="422"/>
        <v>6630334</v>
      </c>
      <c r="EQ21" s="82">
        <f t="shared" si="422"/>
        <v>6630334</v>
      </c>
      <c r="ER21" s="82">
        <f t="shared" si="422"/>
        <v>6630334</v>
      </c>
      <c r="ES21" s="82">
        <f t="shared" si="422"/>
        <v>6630334</v>
      </c>
      <c r="ET21" s="82">
        <f t="shared" si="422"/>
        <v>6630334</v>
      </c>
      <c r="EU21" s="82">
        <f t="shared" si="422"/>
        <v>6630334</v>
      </c>
      <c r="EV21" s="82">
        <f t="shared" si="422"/>
        <v>6630334</v>
      </c>
      <c r="EW21" s="82">
        <f t="shared" si="422"/>
        <v>6630334</v>
      </c>
      <c r="EX21" s="82">
        <f t="shared" si="423"/>
        <v>6630334</v>
      </c>
      <c r="EY21" s="82">
        <f t="shared" si="423"/>
        <v>6630334</v>
      </c>
      <c r="EZ21" s="82">
        <f t="shared" si="423"/>
        <v>6630334</v>
      </c>
      <c r="FA21" s="82">
        <f t="shared" si="423"/>
        <v>6630334</v>
      </c>
      <c r="FB21" s="82">
        <f t="shared" si="423"/>
        <v>6630334</v>
      </c>
      <c r="FC21" s="82">
        <f t="shared" si="423"/>
        <v>6630334</v>
      </c>
      <c r="FD21" s="126"/>
      <c r="FE21" s="82">
        <f>FC21</f>
        <v>6630334</v>
      </c>
      <c r="FF21" s="82">
        <f>FE21</f>
        <v>6630334</v>
      </c>
      <c r="FG21" s="82">
        <f t="shared" si="424"/>
        <v>6630334</v>
      </c>
      <c r="FH21" s="82">
        <f t="shared" si="424"/>
        <v>6630334</v>
      </c>
      <c r="FI21" s="82">
        <f t="shared" si="424"/>
        <v>6630334</v>
      </c>
      <c r="FJ21" s="82">
        <f>FH21</f>
        <v>6630334</v>
      </c>
      <c r="FK21" s="82">
        <f>FI21</f>
        <v>6630334</v>
      </c>
      <c r="FL21" s="82">
        <f t="shared" si="425"/>
        <v>6630334</v>
      </c>
      <c r="FM21" s="82">
        <f t="shared" si="425"/>
        <v>6630334</v>
      </c>
      <c r="FN21" s="82">
        <f t="shared" si="425"/>
        <v>6630334</v>
      </c>
      <c r="FO21" s="82">
        <f t="shared" si="425"/>
        <v>6630334</v>
      </c>
      <c r="FP21" s="82">
        <f t="shared" si="425"/>
        <v>6630334</v>
      </c>
      <c r="FQ21" s="82">
        <f t="shared" si="425"/>
        <v>6630334</v>
      </c>
      <c r="FR21" s="82">
        <f t="shared" si="425"/>
        <v>6630334</v>
      </c>
      <c r="FS21" s="82">
        <f t="shared" si="425"/>
        <v>6630334</v>
      </c>
      <c r="FT21" s="82">
        <f t="shared" si="425"/>
        <v>6630334</v>
      </c>
      <c r="FU21" s="82">
        <f t="shared" si="425"/>
        <v>6630334</v>
      </c>
      <c r="FV21" s="82">
        <f t="shared" si="426"/>
        <v>6630334</v>
      </c>
      <c r="FW21" s="82">
        <f t="shared" si="426"/>
        <v>6630334</v>
      </c>
      <c r="FX21" s="82">
        <f t="shared" si="426"/>
        <v>6630334</v>
      </c>
      <c r="FY21" s="82">
        <f t="shared" si="426"/>
        <v>6630334</v>
      </c>
      <c r="FZ21" s="82">
        <f t="shared" si="426"/>
        <v>6630334</v>
      </c>
      <c r="GA21" s="82">
        <f t="shared" si="426"/>
        <v>6630334</v>
      </c>
      <c r="GB21" s="82">
        <f t="shared" si="426"/>
        <v>6630334</v>
      </c>
      <c r="GC21" s="82">
        <f t="shared" si="426"/>
        <v>6630334</v>
      </c>
      <c r="GD21" s="82">
        <f t="shared" si="426"/>
        <v>6630334</v>
      </c>
      <c r="GE21" s="82">
        <f t="shared" si="426"/>
        <v>6630334</v>
      </c>
      <c r="GF21" s="82">
        <f t="shared" si="427"/>
        <v>6630334</v>
      </c>
      <c r="GG21" s="82">
        <f t="shared" si="427"/>
        <v>6630334</v>
      </c>
      <c r="GH21" s="82">
        <f t="shared" si="427"/>
        <v>6630334</v>
      </c>
      <c r="GI21" s="82">
        <f t="shared" si="427"/>
        <v>6630334</v>
      </c>
      <c r="GJ21" s="130"/>
      <c r="GK21" s="82">
        <f>GI21</f>
        <v>6630334</v>
      </c>
      <c r="GL21" s="82">
        <f t="shared" si="428"/>
        <v>6630334</v>
      </c>
      <c r="GM21" s="82">
        <f t="shared" si="429"/>
        <v>6630334</v>
      </c>
      <c r="GN21" s="82">
        <f t="shared" si="429"/>
        <v>6630334</v>
      </c>
      <c r="GO21" s="82">
        <f t="shared" si="429"/>
        <v>6630334</v>
      </c>
      <c r="GP21" s="82">
        <f t="shared" si="429"/>
        <v>6630334</v>
      </c>
      <c r="GQ21" s="82">
        <f>GO21</f>
        <v>6630334</v>
      </c>
      <c r="GR21" s="82">
        <f>GP21</f>
        <v>6630334</v>
      </c>
      <c r="GS21" s="82">
        <f t="shared" si="430"/>
        <v>6630334</v>
      </c>
      <c r="GT21" s="82">
        <f t="shared" si="430"/>
        <v>6630334</v>
      </c>
      <c r="GU21" s="82">
        <f t="shared" si="430"/>
        <v>6630334</v>
      </c>
      <c r="GV21" s="82">
        <f t="shared" si="430"/>
        <v>6630334</v>
      </c>
      <c r="GW21" s="82">
        <f t="shared" si="430"/>
        <v>6630334</v>
      </c>
      <c r="GX21" s="82">
        <f t="shared" si="430"/>
        <v>6630334</v>
      </c>
      <c r="GY21" s="82">
        <f t="shared" si="430"/>
        <v>6630334</v>
      </c>
      <c r="GZ21" s="82">
        <f t="shared" si="430"/>
        <v>6630334</v>
      </c>
      <c r="HA21" s="82">
        <f t="shared" si="430"/>
        <v>6630334</v>
      </c>
      <c r="HB21" s="82">
        <f t="shared" si="430"/>
        <v>6630334</v>
      </c>
      <c r="HC21" s="82">
        <f t="shared" si="431"/>
        <v>6630334</v>
      </c>
      <c r="HD21" s="82">
        <f t="shared" si="431"/>
        <v>6630334</v>
      </c>
      <c r="HE21" s="82">
        <f t="shared" si="431"/>
        <v>6630334</v>
      </c>
      <c r="HF21" s="82">
        <f t="shared" si="431"/>
        <v>6630334</v>
      </c>
      <c r="HG21" s="82">
        <f t="shared" si="431"/>
        <v>6630334</v>
      </c>
      <c r="HH21" s="82">
        <f t="shared" si="431"/>
        <v>6630334</v>
      </c>
      <c r="HI21" s="82">
        <f t="shared" si="431"/>
        <v>6630334</v>
      </c>
      <c r="HJ21" s="82">
        <f t="shared" si="431"/>
        <v>6630334</v>
      </c>
      <c r="HK21" s="82">
        <f t="shared" si="431"/>
        <v>6630334</v>
      </c>
      <c r="HL21" s="82">
        <f t="shared" si="431"/>
        <v>6630334</v>
      </c>
      <c r="HM21" s="82">
        <f t="shared" si="432"/>
        <v>6630334</v>
      </c>
      <c r="HN21" s="130"/>
      <c r="HO21" s="82">
        <f>HM21</f>
        <v>6630334</v>
      </c>
      <c r="HP21" s="82">
        <f t="shared" si="433"/>
        <v>6630334</v>
      </c>
      <c r="HQ21" s="82">
        <f t="shared" si="434"/>
        <v>6630334</v>
      </c>
      <c r="HR21" s="82">
        <f t="shared" si="434"/>
        <v>6630334</v>
      </c>
      <c r="HS21" s="82">
        <f t="shared" si="434"/>
        <v>6630334</v>
      </c>
      <c r="HT21" s="82">
        <f t="shared" si="434"/>
        <v>6630334</v>
      </c>
      <c r="HU21" s="82">
        <f t="shared" si="434"/>
        <v>6630334</v>
      </c>
      <c r="HV21" s="82">
        <f t="shared" si="434"/>
        <v>6630334</v>
      </c>
      <c r="HW21" s="82">
        <f t="shared" si="434"/>
        <v>6630334</v>
      </c>
      <c r="HX21" s="82">
        <f t="shared" si="434"/>
        <v>6630334</v>
      </c>
      <c r="HY21" s="82">
        <f t="shared" si="434"/>
        <v>6630334</v>
      </c>
      <c r="HZ21" s="82">
        <f t="shared" si="434"/>
        <v>6630334</v>
      </c>
      <c r="IA21" s="82">
        <f t="shared" si="434"/>
        <v>6630334</v>
      </c>
      <c r="IB21" s="82">
        <f>HZ21</f>
        <v>6630334</v>
      </c>
      <c r="IC21" s="82">
        <f>IA21</f>
        <v>6630334</v>
      </c>
      <c r="ID21" s="82">
        <f t="shared" si="435"/>
        <v>6630334</v>
      </c>
      <c r="IE21" s="82">
        <f t="shared" si="435"/>
        <v>6630334</v>
      </c>
      <c r="IF21" s="82">
        <f t="shared" si="435"/>
        <v>6630334</v>
      </c>
      <c r="IG21" s="82">
        <f t="shared" si="435"/>
        <v>6630334</v>
      </c>
      <c r="IH21" s="82">
        <f t="shared" si="435"/>
        <v>6630334</v>
      </c>
      <c r="II21" s="82">
        <f t="shared" si="435"/>
        <v>6630334</v>
      </c>
      <c r="IJ21" s="82">
        <f t="shared" si="435"/>
        <v>6630334</v>
      </c>
      <c r="IK21" s="82">
        <f t="shared" si="435"/>
        <v>6630334</v>
      </c>
      <c r="IL21" s="82">
        <f t="shared" si="435"/>
        <v>6630334</v>
      </c>
      <c r="IM21" s="82">
        <f t="shared" si="435"/>
        <v>6630334</v>
      </c>
      <c r="IN21" s="82">
        <f t="shared" si="435"/>
        <v>6630334</v>
      </c>
      <c r="IO21" s="82">
        <f t="shared" si="435"/>
        <v>6630334</v>
      </c>
      <c r="IP21" s="82">
        <f t="shared" si="435"/>
        <v>6630334</v>
      </c>
      <c r="IQ21" s="82">
        <f t="shared" si="435"/>
        <v>6630334</v>
      </c>
      <c r="IR21" s="82">
        <f t="shared" si="435"/>
        <v>6630334</v>
      </c>
      <c r="IS21" s="82">
        <f t="shared" si="435"/>
        <v>6630334</v>
      </c>
      <c r="IT21" s="130"/>
      <c r="IU21" s="82">
        <f>IS21</f>
        <v>6630334</v>
      </c>
      <c r="IV21" s="82">
        <f t="shared" si="160"/>
        <v>6630334</v>
      </c>
      <c r="IW21" s="82">
        <f t="shared" ref="IW21:JI21" si="529">IV21</f>
        <v>6630334</v>
      </c>
      <c r="IX21" s="82">
        <f t="shared" si="529"/>
        <v>6630334</v>
      </c>
      <c r="IY21" s="82">
        <f t="shared" si="529"/>
        <v>6630334</v>
      </c>
      <c r="IZ21" s="82">
        <f t="shared" si="529"/>
        <v>6630334</v>
      </c>
      <c r="JA21" s="82">
        <f t="shared" si="529"/>
        <v>6630334</v>
      </c>
      <c r="JB21" s="82">
        <f t="shared" si="529"/>
        <v>6630334</v>
      </c>
      <c r="JC21" s="82">
        <f t="shared" si="529"/>
        <v>6630334</v>
      </c>
      <c r="JD21" s="82">
        <f t="shared" si="529"/>
        <v>6630334</v>
      </c>
      <c r="JE21" s="82">
        <f t="shared" si="529"/>
        <v>6630334</v>
      </c>
      <c r="JF21" s="82">
        <f t="shared" si="529"/>
        <v>6630334</v>
      </c>
      <c r="JG21" s="82">
        <f t="shared" si="529"/>
        <v>6630334</v>
      </c>
      <c r="JH21" s="82">
        <f t="shared" si="529"/>
        <v>6630334</v>
      </c>
      <c r="JI21" s="82">
        <f t="shared" si="529"/>
        <v>6630334</v>
      </c>
      <c r="JJ21" s="82">
        <f t="shared" si="497"/>
        <v>6630334</v>
      </c>
      <c r="JK21" s="82">
        <f t="shared" ref="JK21:JX21" si="530">JJ21</f>
        <v>6630334</v>
      </c>
      <c r="JL21" s="82">
        <f t="shared" si="530"/>
        <v>6630334</v>
      </c>
      <c r="JM21" s="82">
        <f t="shared" si="530"/>
        <v>6630334</v>
      </c>
      <c r="JN21" s="82">
        <f t="shared" si="530"/>
        <v>6630334</v>
      </c>
      <c r="JO21" s="82">
        <f t="shared" si="530"/>
        <v>6630334</v>
      </c>
      <c r="JP21" s="82">
        <f t="shared" si="530"/>
        <v>6630334</v>
      </c>
      <c r="JQ21" s="82">
        <f t="shared" si="530"/>
        <v>6630334</v>
      </c>
      <c r="JR21" s="82">
        <f t="shared" si="530"/>
        <v>6630334</v>
      </c>
      <c r="JS21" s="82">
        <f t="shared" si="530"/>
        <v>6630334</v>
      </c>
      <c r="JT21" s="82">
        <f t="shared" si="530"/>
        <v>6630334</v>
      </c>
      <c r="JU21" s="82">
        <f t="shared" si="530"/>
        <v>6630334</v>
      </c>
      <c r="JV21" s="82">
        <f t="shared" si="530"/>
        <v>6630334</v>
      </c>
      <c r="JW21" s="82">
        <f t="shared" si="530"/>
        <v>6630334</v>
      </c>
      <c r="JX21" s="82">
        <f t="shared" si="530"/>
        <v>6630334</v>
      </c>
      <c r="JY21" s="133"/>
      <c r="JZ21" s="82">
        <f>JX21</f>
        <v>6630334</v>
      </c>
      <c r="KA21" s="82">
        <f t="shared" si="438"/>
        <v>6630334</v>
      </c>
      <c r="KB21" s="82">
        <f t="shared" si="439"/>
        <v>6630334</v>
      </c>
      <c r="KC21" s="82">
        <f t="shared" si="439"/>
        <v>6630334</v>
      </c>
      <c r="KD21" s="82">
        <f t="shared" si="439"/>
        <v>6630334</v>
      </c>
      <c r="KE21" s="82">
        <f t="shared" si="439"/>
        <v>6630334</v>
      </c>
      <c r="KF21" s="82">
        <f t="shared" si="439"/>
        <v>6630334</v>
      </c>
      <c r="KG21" s="82">
        <f t="shared" si="439"/>
        <v>6630334</v>
      </c>
      <c r="KH21" s="82">
        <f t="shared" si="439"/>
        <v>6630334</v>
      </c>
      <c r="KI21" s="82">
        <f t="shared" si="439"/>
        <v>6630334</v>
      </c>
      <c r="KJ21" s="82">
        <f t="shared" si="439"/>
        <v>6630334</v>
      </c>
      <c r="KK21" s="82">
        <f t="shared" si="439"/>
        <v>6630334</v>
      </c>
      <c r="KL21" s="82">
        <f>KJ21</f>
        <v>6630334</v>
      </c>
      <c r="KM21" s="82">
        <f>KK21</f>
        <v>6630334</v>
      </c>
      <c r="KN21" s="82">
        <f t="shared" si="440"/>
        <v>6630334</v>
      </c>
      <c r="KO21" s="82">
        <f t="shared" si="440"/>
        <v>6630334</v>
      </c>
      <c r="KP21" s="82">
        <f t="shared" si="440"/>
        <v>6630334</v>
      </c>
      <c r="KQ21" s="82">
        <f t="shared" si="440"/>
        <v>6630334</v>
      </c>
      <c r="KR21" s="82">
        <f t="shared" si="440"/>
        <v>6630334</v>
      </c>
      <c r="KS21" s="82">
        <f t="shared" si="440"/>
        <v>6630334</v>
      </c>
      <c r="KT21" s="82">
        <f t="shared" si="440"/>
        <v>6630334</v>
      </c>
      <c r="KU21" s="82">
        <f t="shared" si="440"/>
        <v>6630334</v>
      </c>
      <c r="KV21" s="82">
        <f t="shared" si="440"/>
        <v>6630334</v>
      </c>
      <c r="KW21" s="82">
        <f t="shared" si="440"/>
        <v>6630334</v>
      </c>
      <c r="KX21" s="82">
        <f t="shared" si="441"/>
        <v>6630334</v>
      </c>
      <c r="KY21" s="82">
        <f t="shared" si="441"/>
        <v>6630334</v>
      </c>
      <c r="KZ21" s="82">
        <f t="shared" si="441"/>
        <v>6630334</v>
      </c>
      <c r="LA21" s="82">
        <f t="shared" si="441"/>
        <v>6630334</v>
      </c>
      <c r="LB21" s="82">
        <f t="shared" si="441"/>
        <v>6630334</v>
      </c>
      <c r="LC21" s="82">
        <f t="shared" si="441"/>
        <v>6630334</v>
      </c>
      <c r="LD21" s="82">
        <f t="shared" si="441"/>
        <v>6630334</v>
      </c>
      <c r="LE21" s="130"/>
      <c r="LF21" s="82">
        <f>LD21</f>
        <v>6630334</v>
      </c>
      <c r="LG21" s="82">
        <f t="shared" ref="LG21:LO21" si="531">LF21</f>
        <v>6630334</v>
      </c>
      <c r="LH21" s="82">
        <f t="shared" si="531"/>
        <v>6630334</v>
      </c>
      <c r="LI21" s="82">
        <f t="shared" si="531"/>
        <v>6630334</v>
      </c>
      <c r="LJ21" s="82">
        <f t="shared" si="531"/>
        <v>6630334</v>
      </c>
      <c r="LK21" s="82">
        <f t="shared" si="531"/>
        <v>6630334</v>
      </c>
      <c r="LL21" s="82">
        <f t="shared" si="531"/>
        <v>6630334</v>
      </c>
      <c r="LM21" s="82">
        <f t="shared" si="531"/>
        <v>6630334</v>
      </c>
      <c r="LN21" s="82">
        <f t="shared" si="531"/>
        <v>6630334</v>
      </c>
      <c r="LO21" s="82">
        <f t="shared" si="531"/>
        <v>6630334</v>
      </c>
      <c r="LP21" s="82">
        <f t="shared" si="500"/>
        <v>6630334</v>
      </c>
      <c r="LQ21" s="82">
        <f>LP21</f>
        <v>6630334</v>
      </c>
      <c r="LR21" s="82">
        <v>0</v>
      </c>
      <c r="LS21" s="82">
        <f t="shared" si="213"/>
        <v>0</v>
      </c>
      <c r="LT21" s="82">
        <f t="shared" si="213"/>
        <v>0</v>
      </c>
      <c r="LU21" s="82">
        <f t="shared" si="213"/>
        <v>0</v>
      </c>
      <c r="LV21" s="82">
        <f t="shared" si="213"/>
        <v>0</v>
      </c>
      <c r="LW21" s="82">
        <f t="shared" si="213"/>
        <v>0</v>
      </c>
      <c r="LX21" s="82">
        <f t="shared" si="279"/>
        <v>0</v>
      </c>
      <c r="LY21" s="82">
        <f t="shared" ref="LY21:MI21" si="532">LX21</f>
        <v>0</v>
      </c>
      <c r="LZ21" s="82">
        <f t="shared" si="532"/>
        <v>0</v>
      </c>
      <c r="MA21" s="82">
        <f t="shared" si="532"/>
        <v>0</v>
      </c>
      <c r="MB21" s="82">
        <f t="shared" si="532"/>
        <v>0</v>
      </c>
      <c r="MC21" s="82">
        <f t="shared" si="532"/>
        <v>0</v>
      </c>
      <c r="MD21" s="82">
        <f t="shared" si="532"/>
        <v>0</v>
      </c>
      <c r="ME21" s="82">
        <f t="shared" si="532"/>
        <v>0</v>
      </c>
      <c r="MF21" s="82">
        <f t="shared" si="532"/>
        <v>0</v>
      </c>
      <c r="MG21" s="82">
        <f t="shared" si="532"/>
        <v>0</v>
      </c>
      <c r="MH21" s="82">
        <f t="shared" si="532"/>
        <v>0</v>
      </c>
      <c r="MI21" s="82">
        <f t="shared" si="532"/>
        <v>0</v>
      </c>
      <c r="MJ21" s="133"/>
      <c r="MK21" s="82">
        <f>MJ21</f>
        <v>0</v>
      </c>
      <c r="ML21" s="82">
        <f t="shared" si="281"/>
        <v>0</v>
      </c>
      <c r="MM21" s="82">
        <f t="shared" ref="MM21:NO21" si="533">ML21</f>
        <v>0</v>
      </c>
      <c r="MN21" s="82">
        <f t="shared" si="533"/>
        <v>0</v>
      </c>
      <c r="MO21" s="82">
        <f t="shared" si="533"/>
        <v>0</v>
      </c>
      <c r="MP21" s="82">
        <f t="shared" si="533"/>
        <v>0</v>
      </c>
      <c r="MQ21" s="82">
        <f t="shared" si="533"/>
        <v>0</v>
      </c>
      <c r="MR21" s="82">
        <f t="shared" si="533"/>
        <v>0</v>
      </c>
      <c r="MS21" s="82">
        <f t="shared" si="533"/>
        <v>0</v>
      </c>
      <c r="MT21" s="82">
        <f t="shared" si="533"/>
        <v>0</v>
      </c>
      <c r="MU21" s="82">
        <f t="shared" si="533"/>
        <v>0</v>
      </c>
      <c r="MV21" s="82">
        <f t="shared" si="533"/>
        <v>0</v>
      </c>
      <c r="MW21" s="82">
        <f t="shared" si="533"/>
        <v>0</v>
      </c>
      <c r="MX21" s="82">
        <f t="shared" si="533"/>
        <v>0</v>
      </c>
      <c r="MY21" s="82">
        <f t="shared" si="533"/>
        <v>0</v>
      </c>
      <c r="MZ21" s="82">
        <f t="shared" si="533"/>
        <v>0</v>
      </c>
      <c r="NA21" s="82">
        <f t="shared" si="533"/>
        <v>0</v>
      </c>
      <c r="NB21" s="82">
        <f t="shared" si="533"/>
        <v>0</v>
      </c>
      <c r="NC21" s="82">
        <f t="shared" si="533"/>
        <v>0</v>
      </c>
      <c r="ND21" s="82">
        <f t="shared" si="533"/>
        <v>0</v>
      </c>
      <c r="NE21" s="82">
        <f t="shared" si="533"/>
        <v>0</v>
      </c>
      <c r="NF21" s="82">
        <f t="shared" si="533"/>
        <v>0</v>
      </c>
      <c r="NG21" s="82">
        <f t="shared" si="533"/>
        <v>0</v>
      </c>
      <c r="NH21" s="82">
        <f t="shared" si="533"/>
        <v>0</v>
      </c>
      <c r="NI21" s="82">
        <f t="shared" si="533"/>
        <v>0</v>
      </c>
      <c r="NJ21" s="82">
        <f t="shared" si="533"/>
        <v>0</v>
      </c>
      <c r="NK21" s="82">
        <f t="shared" si="533"/>
        <v>0</v>
      </c>
      <c r="NL21" s="82">
        <f t="shared" si="533"/>
        <v>0</v>
      </c>
      <c r="NM21" s="82">
        <f t="shared" si="533"/>
        <v>0</v>
      </c>
      <c r="NN21" s="82">
        <f t="shared" si="533"/>
        <v>0</v>
      </c>
      <c r="NO21" s="82">
        <f t="shared" si="533"/>
        <v>0</v>
      </c>
      <c r="NP21" s="133"/>
      <c r="NQ21" s="82">
        <f>NP21</f>
        <v>0</v>
      </c>
      <c r="NR21" s="82">
        <f>NQ21</f>
        <v>0</v>
      </c>
      <c r="NS21" s="82">
        <f t="shared" ref="NS21:OU21" si="534">NR21</f>
        <v>0</v>
      </c>
      <c r="NT21" s="82">
        <f t="shared" si="534"/>
        <v>0</v>
      </c>
      <c r="NU21" s="82">
        <f t="shared" si="534"/>
        <v>0</v>
      </c>
      <c r="NV21" s="82">
        <f t="shared" si="534"/>
        <v>0</v>
      </c>
      <c r="NW21" s="82">
        <f t="shared" si="534"/>
        <v>0</v>
      </c>
      <c r="NX21" s="82">
        <f t="shared" si="534"/>
        <v>0</v>
      </c>
      <c r="NY21" s="82">
        <f t="shared" si="534"/>
        <v>0</v>
      </c>
      <c r="NZ21" s="82">
        <f t="shared" si="534"/>
        <v>0</v>
      </c>
      <c r="OA21" s="82">
        <f t="shared" si="534"/>
        <v>0</v>
      </c>
      <c r="OB21" s="82">
        <f t="shared" si="534"/>
        <v>0</v>
      </c>
      <c r="OC21" s="82">
        <f t="shared" si="534"/>
        <v>0</v>
      </c>
      <c r="OD21" s="82">
        <f t="shared" si="534"/>
        <v>0</v>
      </c>
      <c r="OE21" s="82">
        <f t="shared" si="534"/>
        <v>0</v>
      </c>
      <c r="OF21" s="82">
        <f t="shared" si="534"/>
        <v>0</v>
      </c>
      <c r="OG21" s="82">
        <f t="shared" si="534"/>
        <v>0</v>
      </c>
      <c r="OH21" s="82">
        <f t="shared" si="534"/>
        <v>0</v>
      </c>
      <c r="OI21" s="82">
        <f t="shared" si="534"/>
        <v>0</v>
      </c>
      <c r="OJ21" s="82">
        <f t="shared" si="534"/>
        <v>0</v>
      </c>
      <c r="OK21" s="82">
        <f t="shared" si="534"/>
        <v>0</v>
      </c>
      <c r="OL21" s="82">
        <f t="shared" si="534"/>
        <v>0</v>
      </c>
      <c r="OM21" s="82">
        <f t="shared" si="534"/>
        <v>0</v>
      </c>
      <c r="ON21" s="82">
        <f t="shared" si="534"/>
        <v>0</v>
      </c>
      <c r="OO21" s="82">
        <f t="shared" si="534"/>
        <v>0</v>
      </c>
      <c r="OP21" s="82">
        <f t="shared" si="534"/>
        <v>0</v>
      </c>
      <c r="OQ21" s="82">
        <f t="shared" si="534"/>
        <v>0</v>
      </c>
      <c r="OR21" s="82">
        <f t="shared" si="534"/>
        <v>0</v>
      </c>
      <c r="OS21" s="82">
        <f t="shared" si="534"/>
        <v>0</v>
      </c>
      <c r="OT21" s="82">
        <f t="shared" si="534"/>
        <v>0</v>
      </c>
      <c r="OU21" s="82">
        <f t="shared" si="534"/>
        <v>0</v>
      </c>
      <c r="OV21" s="130"/>
      <c r="OW21" s="82">
        <f>OV21</f>
        <v>0</v>
      </c>
      <c r="OX21" s="82">
        <f>OW21</f>
        <v>0</v>
      </c>
      <c r="OY21" s="82">
        <f t="shared" ref="OY21:PZ21" si="535">OX21</f>
        <v>0</v>
      </c>
      <c r="OZ21" s="82">
        <f t="shared" si="535"/>
        <v>0</v>
      </c>
      <c r="PA21" s="82">
        <f t="shared" si="535"/>
        <v>0</v>
      </c>
      <c r="PB21" s="82">
        <f t="shared" si="535"/>
        <v>0</v>
      </c>
      <c r="PC21" s="82">
        <f t="shared" si="535"/>
        <v>0</v>
      </c>
      <c r="PD21" s="82">
        <f t="shared" si="535"/>
        <v>0</v>
      </c>
      <c r="PE21" s="82">
        <f t="shared" si="535"/>
        <v>0</v>
      </c>
      <c r="PF21" s="82">
        <f t="shared" si="535"/>
        <v>0</v>
      </c>
      <c r="PG21" s="82">
        <f t="shared" si="535"/>
        <v>0</v>
      </c>
      <c r="PH21" s="82">
        <f t="shared" si="535"/>
        <v>0</v>
      </c>
      <c r="PI21" s="82">
        <f t="shared" si="535"/>
        <v>0</v>
      </c>
      <c r="PJ21" s="82">
        <f t="shared" si="535"/>
        <v>0</v>
      </c>
      <c r="PK21" s="82">
        <f t="shared" si="535"/>
        <v>0</v>
      </c>
      <c r="PL21" s="82">
        <f t="shared" si="535"/>
        <v>0</v>
      </c>
      <c r="PM21" s="82">
        <f t="shared" si="535"/>
        <v>0</v>
      </c>
      <c r="PN21" s="82">
        <f t="shared" si="535"/>
        <v>0</v>
      </c>
      <c r="PO21" s="82">
        <f t="shared" si="535"/>
        <v>0</v>
      </c>
      <c r="PP21" s="82">
        <f t="shared" si="535"/>
        <v>0</v>
      </c>
      <c r="PQ21" s="82">
        <f t="shared" si="535"/>
        <v>0</v>
      </c>
      <c r="PR21" s="82">
        <f t="shared" si="535"/>
        <v>0</v>
      </c>
      <c r="PS21" s="82">
        <f t="shared" si="535"/>
        <v>0</v>
      </c>
      <c r="PT21" s="82">
        <f t="shared" si="535"/>
        <v>0</v>
      </c>
      <c r="PU21" s="82">
        <f t="shared" si="535"/>
        <v>0</v>
      </c>
      <c r="PV21" s="82">
        <f t="shared" si="535"/>
        <v>0</v>
      </c>
      <c r="PW21" s="82">
        <f t="shared" si="535"/>
        <v>0</v>
      </c>
      <c r="PX21" s="82">
        <f t="shared" si="535"/>
        <v>0</v>
      </c>
      <c r="PY21" s="82">
        <f t="shared" si="535"/>
        <v>0</v>
      </c>
      <c r="PZ21" s="82">
        <f t="shared" si="535"/>
        <v>0</v>
      </c>
      <c r="QA21" s="130"/>
      <c r="QB21" s="82">
        <f>QA21</f>
        <v>0</v>
      </c>
      <c r="QC21" s="82">
        <f t="shared" ref="QC21:RF21" si="536">QB21</f>
        <v>0</v>
      </c>
      <c r="QD21" s="82">
        <f t="shared" si="536"/>
        <v>0</v>
      </c>
      <c r="QE21" s="82">
        <f t="shared" si="536"/>
        <v>0</v>
      </c>
      <c r="QF21" s="82">
        <f t="shared" si="536"/>
        <v>0</v>
      </c>
      <c r="QG21" s="82">
        <f t="shared" si="536"/>
        <v>0</v>
      </c>
      <c r="QH21" s="82">
        <f t="shared" si="536"/>
        <v>0</v>
      </c>
      <c r="QI21" s="82">
        <f t="shared" si="536"/>
        <v>0</v>
      </c>
      <c r="QJ21" s="82">
        <f t="shared" si="536"/>
        <v>0</v>
      </c>
      <c r="QK21" s="82">
        <f t="shared" si="536"/>
        <v>0</v>
      </c>
      <c r="QL21" s="82">
        <f t="shared" si="536"/>
        <v>0</v>
      </c>
      <c r="QM21" s="82">
        <f t="shared" si="536"/>
        <v>0</v>
      </c>
      <c r="QN21" s="82">
        <f t="shared" si="536"/>
        <v>0</v>
      </c>
      <c r="QO21" s="82">
        <f t="shared" si="536"/>
        <v>0</v>
      </c>
      <c r="QP21" s="82">
        <f t="shared" si="536"/>
        <v>0</v>
      </c>
      <c r="QQ21" s="82">
        <f t="shared" si="536"/>
        <v>0</v>
      </c>
      <c r="QR21" s="82">
        <f t="shared" si="536"/>
        <v>0</v>
      </c>
      <c r="QS21" s="82">
        <f t="shared" si="536"/>
        <v>0</v>
      </c>
      <c r="QT21" s="82">
        <f t="shared" si="536"/>
        <v>0</v>
      </c>
      <c r="QU21" s="82">
        <f t="shared" si="536"/>
        <v>0</v>
      </c>
      <c r="QV21" s="82">
        <f t="shared" si="536"/>
        <v>0</v>
      </c>
      <c r="QW21" s="82">
        <f t="shared" si="536"/>
        <v>0</v>
      </c>
      <c r="QX21" s="82">
        <f t="shared" si="536"/>
        <v>0</v>
      </c>
      <c r="QY21" s="82">
        <f t="shared" si="536"/>
        <v>0</v>
      </c>
      <c r="QZ21" s="82">
        <f t="shared" si="536"/>
        <v>0</v>
      </c>
      <c r="RA21" s="82">
        <f t="shared" si="536"/>
        <v>0</v>
      </c>
      <c r="RB21" s="82">
        <f t="shared" si="536"/>
        <v>0</v>
      </c>
      <c r="RC21" s="82">
        <f t="shared" si="536"/>
        <v>0</v>
      </c>
      <c r="RD21" s="82">
        <f t="shared" si="536"/>
        <v>0</v>
      </c>
      <c r="RE21" s="82">
        <f t="shared" si="536"/>
        <v>0</v>
      </c>
      <c r="RF21" s="82">
        <f t="shared" si="536"/>
        <v>0</v>
      </c>
      <c r="RG21" s="130"/>
      <c r="RH21" s="82">
        <f>RG21</f>
        <v>0</v>
      </c>
      <c r="RI21" s="82">
        <f t="shared" ref="RI21:SK21" si="537">RH21</f>
        <v>0</v>
      </c>
      <c r="RJ21" s="82">
        <f t="shared" si="537"/>
        <v>0</v>
      </c>
      <c r="RK21" s="82">
        <f t="shared" si="537"/>
        <v>0</v>
      </c>
      <c r="RL21" s="82">
        <f t="shared" si="537"/>
        <v>0</v>
      </c>
      <c r="RM21" s="82">
        <f t="shared" si="537"/>
        <v>0</v>
      </c>
      <c r="RN21" s="82">
        <f t="shared" si="537"/>
        <v>0</v>
      </c>
      <c r="RO21" s="82">
        <f t="shared" si="537"/>
        <v>0</v>
      </c>
      <c r="RP21" s="82">
        <f t="shared" si="537"/>
        <v>0</v>
      </c>
      <c r="RQ21" s="82">
        <f t="shared" si="537"/>
        <v>0</v>
      </c>
      <c r="RR21" s="82">
        <f t="shared" si="537"/>
        <v>0</v>
      </c>
      <c r="RS21" s="82">
        <f t="shared" si="537"/>
        <v>0</v>
      </c>
      <c r="RT21" s="82">
        <f t="shared" si="537"/>
        <v>0</v>
      </c>
      <c r="RU21" s="82">
        <f t="shared" si="537"/>
        <v>0</v>
      </c>
      <c r="RV21" s="82">
        <f t="shared" si="537"/>
        <v>0</v>
      </c>
      <c r="RW21" s="82">
        <f t="shared" si="537"/>
        <v>0</v>
      </c>
      <c r="RX21" s="82">
        <f t="shared" si="537"/>
        <v>0</v>
      </c>
      <c r="RY21" s="82">
        <f t="shared" si="537"/>
        <v>0</v>
      </c>
      <c r="RZ21" s="82">
        <f t="shared" si="537"/>
        <v>0</v>
      </c>
      <c r="SA21" s="82">
        <f t="shared" si="537"/>
        <v>0</v>
      </c>
      <c r="SB21" s="82">
        <f t="shared" si="537"/>
        <v>0</v>
      </c>
      <c r="SC21" s="82">
        <f t="shared" si="537"/>
        <v>0</v>
      </c>
      <c r="SD21" s="82">
        <f t="shared" si="537"/>
        <v>0</v>
      </c>
      <c r="SE21" s="82">
        <f t="shared" si="537"/>
        <v>0</v>
      </c>
      <c r="SF21" s="82">
        <f t="shared" si="537"/>
        <v>0</v>
      </c>
      <c r="SG21" s="82">
        <f t="shared" si="537"/>
        <v>0</v>
      </c>
      <c r="SH21" s="82">
        <f t="shared" si="537"/>
        <v>0</v>
      </c>
      <c r="SI21" s="82">
        <f t="shared" si="537"/>
        <v>0</v>
      </c>
      <c r="SJ21" s="82">
        <f t="shared" si="537"/>
        <v>0</v>
      </c>
      <c r="SK21" s="82">
        <f t="shared" si="537"/>
        <v>0</v>
      </c>
      <c r="SL21" s="130"/>
      <c r="SM21" s="82">
        <f>SL21</f>
        <v>0</v>
      </c>
      <c r="SN21" s="82">
        <f t="shared" si="455"/>
        <v>0</v>
      </c>
      <c r="SO21" s="82">
        <f t="shared" si="455"/>
        <v>0</v>
      </c>
      <c r="SP21" s="82">
        <f>SO21</f>
        <v>0</v>
      </c>
      <c r="SQ21" s="82">
        <f t="shared" ref="SQ21:TQ21" si="538">SP21</f>
        <v>0</v>
      </c>
      <c r="SR21" s="82">
        <f t="shared" si="538"/>
        <v>0</v>
      </c>
      <c r="SS21" s="82">
        <f t="shared" si="538"/>
        <v>0</v>
      </c>
      <c r="ST21" s="82">
        <f t="shared" si="538"/>
        <v>0</v>
      </c>
      <c r="SU21" s="82">
        <f t="shared" si="538"/>
        <v>0</v>
      </c>
      <c r="SV21" s="82">
        <f t="shared" si="538"/>
        <v>0</v>
      </c>
      <c r="SW21" s="82">
        <f t="shared" si="538"/>
        <v>0</v>
      </c>
      <c r="SX21" s="82">
        <f t="shared" si="538"/>
        <v>0</v>
      </c>
      <c r="SY21" s="82">
        <f t="shared" si="538"/>
        <v>0</v>
      </c>
      <c r="SZ21" s="82">
        <f t="shared" si="538"/>
        <v>0</v>
      </c>
      <c r="TA21" s="82">
        <f t="shared" si="538"/>
        <v>0</v>
      </c>
      <c r="TB21" s="82">
        <f t="shared" si="538"/>
        <v>0</v>
      </c>
      <c r="TC21" s="82">
        <f t="shared" si="538"/>
        <v>0</v>
      </c>
      <c r="TD21" s="82">
        <f t="shared" si="538"/>
        <v>0</v>
      </c>
      <c r="TE21" s="82">
        <f t="shared" si="538"/>
        <v>0</v>
      </c>
      <c r="TF21" s="82">
        <f t="shared" si="538"/>
        <v>0</v>
      </c>
      <c r="TG21" s="82">
        <f t="shared" si="538"/>
        <v>0</v>
      </c>
      <c r="TH21" s="82">
        <f t="shared" si="538"/>
        <v>0</v>
      </c>
      <c r="TI21" s="82">
        <f t="shared" si="538"/>
        <v>0</v>
      </c>
      <c r="TJ21" s="82">
        <f t="shared" si="538"/>
        <v>0</v>
      </c>
      <c r="TK21" s="82">
        <f t="shared" si="538"/>
        <v>0</v>
      </c>
      <c r="TL21" s="82">
        <f t="shared" si="538"/>
        <v>0</v>
      </c>
      <c r="TM21" s="82">
        <f t="shared" si="538"/>
        <v>0</v>
      </c>
      <c r="TN21" s="82">
        <f t="shared" si="538"/>
        <v>0</v>
      </c>
      <c r="TO21" s="82">
        <f t="shared" si="538"/>
        <v>0</v>
      </c>
      <c r="TP21" s="82">
        <f t="shared" si="538"/>
        <v>0</v>
      </c>
      <c r="TQ21" s="82">
        <f t="shared" si="538"/>
        <v>0</v>
      </c>
      <c r="TR21" s="130"/>
      <c r="TS21" s="82">
        <f>TR21</f>
        <v>0</v>
      </c>
      <c r="TT21" s="82">
        <f t="shared" ref="TT21:UW21" si="539">TS21</f>
        <v>0</v>
      </c>
      <c r="TU21" s="82">
        <f t="shared" si="539"/>
        <v>0</v>
      </c>
      <c r="TV21" s="82">
        <f t="shared" si="539"/>
        <v>0</v>
      </c>
      <c r="TW21" s="82">
        <f t="shared" si="539"/>
        <v>0</v>
      </c>
      <c r="TX21" s="82">
        <f t="shared" si="539"/>
        <v>0</v>
      </c>
      <c r="TY21" s="82">
        <f t="shared" si="539"/>
        <v>0</v>
      </c>
      <c r="TZ21" s="82">
        <f t="shared" si="539"/>
        <v>0</v>
      </c>
      <c r="UA21" s="82">
        <f t="shared" si="539"/>
        <v>0</v>
      </c>
      <c r="UB21" s="82">
        <f t="shared" si="539"/>
        <v>0</v>
      </c>
      <c r="UC21" s="82">
        <f t="shared" si="539"/>
        <v>0</v>
      </c>
      <c r="UD21" s="82">
        <f t="shared" si="539"/>
        <v>0</v>
      </c>
      <c r="UE21" s="82">
        <f t="shared" si="539"/>
        <v>0</v>
      </c>
      <c r="UF21" s="82">
        <f t="shared" si="539"/>
        <v>0</v>
      </c>
      <c r="UG21" s="82">
        <f t="shared" si="539"/>
        <v>0</v>
      </c>
      <c r="UH21" s="82">
        <f t="shared" si="539"/>
        <v>0</v>
      </c>
      <c r="UI21" s="82">
        <f t="shared" si="539"/>
        <v>0</v>
      </c>
      <c r="UJ21" s="82">
        <f t="shared" si="539"/>
        <v>0</v>
      </c>
      <c r="UK21" s="82">
        <f t="shared" si="539"/>
        <v>0</v>
      </c>
      <c r="UL21" s="82">
        <f t="shared" si="539"/>
        <v>0</v>
      </c>
      <c r="UM21" s="82">
        <f t="shared" si="539"/>
        <v>0</v>
      </c>
      <c r="UN21" s="82">
        <f t="shared" si="539"/>
        <v>0</v>
      </c>
      <c r="UO21" s="82">
        <f t="shared" si="539"/>
        <v>0</v>
      </c>
      <c r="UP21" s="82">
        <f t="shared" si="539"/>
        <v>0</v>
      </c>
      <c r="UQ21" s="82">
        <f t="shared" si="539"/>
        <v>0</v>
      </c>
      <c r="UR21" s="82">
        <f t="shared" si="539"/>
        <v>0</v>
      </c>
      <c r="US21" s="82">
        <f t="shared" si="539"/>
        <v>0</v>
      </c>
      <c r="UT21" s="82">
        <f t="shared" si="539"/>
        <v>0</v>
      </c>
      <c r="UU21" s="82">
        <f t="shared" si="539"/>
        <v>0</v>
      </c>
      <c r="UV21" s="82">
        <f t="shared" si="539"/>
        <v>0</v>
      </c>
      <c r="UW21" s="82">
        <f t="shared" si="539"/>
        <v>0</v>
      </c>
      <c r="UX21" s="130"/>
      <c r="UY21" s="82">
        <f>UX21</f>
        <v>0</v>
      </c>
      <c r="UZ21" s="82">
        <f>UY21</f>
        <v>0</v>
      </c>
      <c r="VA21" s="82">
        <f t="shared" ref="VA21:VZ21" si="540">UZ21</f>
        <v>0</v>
      </c>
      <c r="VB21" s="82">
        <f t="shared" si="540"/>
        <v>0</v>
      </c>
      <c r="VC21" s="82">
        <f t="shared" si="540"/>
        <v>0</v>
      </c>
      <c r="VD21" s="82">
        <f t="shared" si="540"/>
        <v>0</v>
      </c>
      <c r="VE21" s="82">
        <f t="shared" si="540"/>
        <v>0</v>
      </c>
      <c r="VF21" s="82">
        <f t="shared" si="540"/>
        <v>0</v>
      </c>
      <c r="VG21" s="82">
        <f t="shared" si="540"/>
        <v>0</v>
      </c>
      <c r="VH21" s="82">
        <f t="shared" si="540"/>
        <v>0</v>
      </c>
      <c r="VI21" s="82">
        <f t="shared" si="540"/>
        <v>0</v>
      </c>
      <c r="VJ21" s="82">
        <f t="shared" si="540"/>
        <v>0</v>
      </c>
      <c r="VK21" s="82">
        <f t="shared" si="540"/>
        <v>0</v>
      </c>
      <c r="VL21" s="82">
        <f t="shared" si="540"/>
        <v>0</v>
      </c>
      <c r="VM21" s="82">
        <f t="shared" si="540"/>
        <v>0</v>
      </c>
      <c r="VN21" s="82">
        <f t="shared" si="540"/>
        <v>0</v>
      </c>
      <c r="VO21" s="82">
        <f t="shared" si="540"/>
        <v>0</v>
      </c>
      <c r="VP21" s="82">
        <f t="shared" si="540"/>
        <v>0</v>
      </c>
      <c r="VQ21" s="82">
        <f t="shared" si="540"/>
        <v>0</v>
      </c>
      <c r="VR21" s="82">
        <f t="shared" si="540"/>
        <v>0</v>
      </c>
      <c r="VS21" s="82">
        <f t="shared" si="540"/>
        <v>0</v>
      </c>
      <c r="VT21" s="82">
        <f t="shared" si="540"/>
        <v>0</v>
      </c>
      <c r="VU21" s="82">
        <f t="shared" si="540"/>
        <v>0</v>
      </c>
      <c r="VV21" s="82">
        <f t="shared" si="540"/>
        <v>0</v>
      </c>
      <c r="VW21" s="82">
        <f t="shared" si="540"/>
        <v>0</v>
      </c>
      <c r="VX21" s="82">
        <f t="shared" si="540"/>
        <v>0</v>
      </c>
      <c r="VY21" s="82">
        <f t="shared" si="540"/>
        <v>0</v>
      </c>
      <c r="VZ21" s="82">
        <f t="shared" si="540"/>
        <v>0</v>
      </c>
      <c r="WA21" s="133"/>
      <c r="WB21" s="82">
        <f>WA21</f>
        <v>0</v>
      </c>
      <c r="WC21" s="82">
        <f>WB21</f>
        <v>0</v>
      </c>
      <c r="WD21" s="82">
        <f t="shared" ref="WD21:XF21" si="541">WC21</f>
        <v>0</v>
      </c>
      <c r="WE21" s="82">
        <f t="shared" si="541"/>
        <v>0</v>
      </c>
      <c r="WF21" s="82">
        <f t="shared" si="541"/>
        <v>0</v>
      </c>
      <c r="WG21" s="82">
        <f t="shared" si="541"/>
        <v>0</v>
      </c>
      <c r="WH21" s="82">
        <f t="shared" si="541"/>
        <v>0</v>
      </c>
      <c r="WI21" s="82">
        <f t="shared" si="541"/>
        <v>0</v>
      </c>
      <c r="WJ21" s="82">
        <f t="shared" si="541"/>
        <v>0</v>
      </c>
      <c r="WK21" s="82">
        <f t="shared" si="541"/>
        <v>0</v>
      </c>
      <c r="WL21" s="82">
        <f t="shared" si="541"/>
        <v>0</v>
      </c>
      <c r="WM21" s="82">
        <f t="shared" si="541"/>
        <v>0</v>
      </c>
      <c r="WN21" s="82">
        <f t="shared" si="541"/>
        <v>0</v>
      </c>
      <c r="WO21" s="82">
        <f t="shared" si="541"/>
        <v>0</v>
      </c>
      <c r="WP21" s="82">
        <f t="shared" si="541"/>
        <v>0</v>
      </c>
      <c r="WQ21" s="82">
        <f t="shared" si="541"/>
        <v>0</v>
      </c>
      <c r="WR21" s="82">
        <f t="shared" si="541"/>
        <v>0</v>
      </c>
      <c r="WS21" s="82">
        <f t="shared" si="541"/>
        <v>0</v>
      </c>
      <c r="WT21" s="82">
        <f t="shared" si="541"/>
        <v>0</v>
      </c>
      <c r="WU21" s="82">
        <f t="shared" si="541"/>
        <v>0</v>
      </c>
      <c r="WV21" s="82">
        <f t="shared" si="541"/>
        <v>0</v>
      </c>
      <c r="WW21" s="82">
        <f t="shared" si="541"/>
        <v>0</v>
      </c>
      <c r="WX21" s="82">
        <f t="shared" si="541"/>
        <v>0</v>
      </c>
      <c r="WY21" s="82">
        <f t="shared" si="541"/>
        <v>0</v>
      </c>
      <c r="WZ21" s="82">
        <f t="shared" si="541"/>
        <v>0</v>
      </c>
      <c r="XA21" s="82">
        <f t="shared" si="541"/>
        <v>0</v>
      </c>
      <c r="XB21" s="82">
        <f t="shared" si="541"/>
        <v>0</v>
      </c>
      <c r="XC21" s="82">
        <f t="shared" si="541"/>
        <v>0</v>
      </c>
      <c r="XD21" s="82">
        <f t="shared" si="541"/>
        <v>0</v>
      </c>
      <c r="XE21" s="82">
        <f t="shared" si="541"/>
        <v>0</v>
      </c>
      <c r="XF21" s="82">
        <f t="shared" si="541"/>
        <v>0</v>
      </c>
      <c r="XG21" s="133"/>
      <c r="XH21" s="82">
        <f>XG21</f>
        <v>0</v>
      </c>
      <c r="XI21" s="82">
        <f t="shared" si="183"/>
        <v>0</v>
      </c>
      <c r="XJ21" s="82">
        <f t="shared" si="183"/>
        <v>0</v>
      </c>
      <c r="XK21" s="82">
        <f t="shared" si="183"/>
        <v>0</v>
      </c>
      <c r="XL21" s="82">
        <f t="shared" si="183"/>
        <v>0</v>
      </c>
      <c r="XM21" s="82">
        <f t="shared" si="183"/>
        <v>0</v>
      </c>
      <c r="XN21" s="82">
        <f t="shared" si="183"/>
        <v>0</v>
      </c>
      <c r="XO21" s="82">
        <f t="shared" si="183"/>
        <v>0</v>
      </c>
      <c r="XP21" s="82">
        <f>XO21</f>
        <v>0</v>
      </c>
      <c r="XQ21" s="82">
        <f t="shared" ref="XQ21:YK21" si="542">XP21</f>
        <v>0</v>
      </c>
      <c r="XR21" s="82">
        <f t="shared" si="542"/>
        <v>0</v>
      </c>
      <c r="XS21" s="82">
        <f t="shared" si="542"/>
        <v>0</v>
      </c>
      <c r="XT21" s="82">
        <f t="shared" si="542"/>
        <v>0</v>
      </c>
      <c r="XU21" s="82">
        <f t="shared" si="542"/>
        <v>0</v>
      </c>
      <c r="XV21" s="82">
        <f t="shared" si="542"/>
        <v>0</v>
      </c>
      <c r="XW21" s="82">
        <f t="shared" si="542"/>
        <v>0</v>
      </c>
      <c r="XX21" s="82">
        <f t="shared" si="542"/>
        <v>0</v>
      </c>
      <c r="XY21" s="82">
        <f t="shared" si="542"/>
        <v>0</v>
      </c>
      <c r="XZ21" s="82">
        <f t="shared" si="542"/>
        <v>0</v>
      </c>
      <c r="YA21" s="82">
        <f t="shared" si="542"/>
        <v>0</v>
      </c>
      <c r="YB21" s="82">
        <f t="shared" si="542"/>
        <v>0</v>
      </c>
      <c r="YC21" s="82">
        <f t="shared" si="542"/>
        <v>0</v>
      </c>
      <c r="YD21" s="82">
        <f t="shared" si="542"/>
        <v>0</v>
      </c>
      <c r="YE21" s="82">
        <f t="shared" si="542"/>
        <v>0</v>
      </c>
      <c r="YF21" s="82">
        <f t="shared" si="542"/>
        <v>0</v>
      </c>
      <c r="YG21" s="82">
        <f t="shared" si="542"/>
        <v>0</v>
      </c>
      <c r="YH21" s="82">
        <f t="shared" si="542"/>
        <v>0</v>
      </c>
      <c r="YI21" s="82">
        <f t="shared" si="542"/>
        <v>0</v>
      </c>
      <c r="YJ21" s="82">
        <f t="shared" si="542"/>
        <v>0</v>
      </c>
      <c r="YK21" s="82">
        <f t="shared" si="542"/>
        <v>0</v>
      </c>
      <c r="YL21" s="130"/>
      <c r="YM21" s="82">
        <f>YL21</f>
        <v>0</v>
      </c>
      <c r="YN21" s="82">
        <f t="shared" ref="YN21:YV21" si="543">YM21</f>
        <v>0</v>
      </c>
      <c r="YO21" s="82">
        <f t="shared" si="543"/>
        <v>0</v>
      </c>
      <c r="YP21" s="82">
        <f t="shared" si="543"/>
        <v>0</v>
      </c>
      <c r="YQ21" s="82">
        <f t="shared" si="543"/>
        <v>0</v>
      </c>
      <c r="YR21" s="82">
        <f t="shared" si="543"/>
        <v>0</v>
      </c>
      <c r="YS21" s="82">
        <f t="shared" si="543"/>
        <v>0</v>
      </c>
      <c r="YT21" s="82">
        <f t="shared" si="543"/>
        <v>0</v>
      </c>
      <c r="YU21" s="82">
        <f t="shared" si="543"/>
        <v>0</v>
      </c>
      <c r="YV21" s="82">
        <f t="shared" si="543"/>
        <v>0</v>
      </c>
      <c r="YW21" s="82">
        <f>YV21</f>
        <v>0</v>
      </c>
      <c r="YX21" s="82">
        <f t="shared" ref="YX21:ZG21" si="544">YW21</f>
        <v>0</v>
      </c>
      <c r="YY21" s="82">
        <f t="shared" si="544"/>
        <v>0</v>
      </c>
      <c r="YZ21" s="82">
        <f t="shared" si="544"/>
        <v>0</v>
      </c>
      <c r="ZA21" s="82">
        <f t="shared" si="544"/>
        <v>0</v>
      </c>
      <c r="ZB21" s="82">
        <f t="shared" si="544"/>
        <v>0</v>
      </c>
      <c r="ZC21" s="82">
        <f t="shared" si="544"/>
        <v>0</v>
      </c>
      <c r="ZD21" s="82">
        <f t="shared" si="544"/>
        <v>0</v>
      </c>
      <c r="ZE21" s="82">
        <f t="shared" si="544"/>
        <v>0</v>
      </c>
      <c r="ZF21" s="82">
        <f t="shared" si="544"/>
        <v>0</v>
      </c>
      <c r="ZG21" s="82">
        <f t="shared" si="544"/>
        <v>0</v>
      </c>
      <c r="ZH21" s="82">
        <f>ZG21</f>
        <v>0</v>
      </c>
      <c r="ZI21" s="82">
        <f t="shared" ref="ZI21:ZQ21" si="545">ZH21</f>
        <v>0</v>
      </c>
      <c r="ZJ21" s="82">
        <f t="shared" si="545"/>
        <v>0</v>
      </c>
      <c r="ZK21" s="82">
        <f t="shared" si="545"/>
        <v>0</v>
      </c>
      <c r="ZL21" s="82">
        <f t="shared" si="545"/>
        <v>0</v>
      </c>
      <c r="ZM21" s="82">
        <f t="shared" si="545"/>
        <v>0</v>
      </c>
      <c r="ZN21" s="82">
        <f t="shared" si="545"/>
        <v>0</v>
      </c>
      <c r="ZO21" s="82">
        <f t="shared" si="545"/>
        <v>0</v>
      </c>
      <c r="ZP21" s="82">
        <f t="shared" si="545"/>
        <v>0</v>
      </c>
      <c r="ZQ21" s="82">
        <f t="shared" si="545"/>
        <v>0</v>
      </c>
      <c r="ZR21" s="130"/>
      <c r="ZS21" s="82">
        <f>ZR21</f>
        <v>0</v>
      </c>
      <c r="ZT21" s="82">
        <f t="shared" si="187"/>
        <v>0</v>
      </c>
      <c r="ZU21" s="82">
        <f>ZT21</f>
        <v>0</v>
      </c>
      <c r="ZV21" s="82">
        <f t="shared" ref="ZV21:AAV21" si="546">ZU21</f>
        <v>0</v>
      </c>
      <c r="ZW21" s="82">
        <f t="shared" si="546"/>
        <v>0</v>
      </c>
      <c r="ZX21" s="82">
        <f t="shared" si="546"/>
        <v>0</v>
      </c>
      <c r="ZY21" s="82">
        <f t="shared" si="546"/>
        <v>0</v>
      </c>
      <c r="ZZ21" s="82">
        <f t="shared" si="546"/>
        <v>0</v>
      </c>
      <c r="AAA21" s="82">
        <f t="shared" si="546"/>
        <v>0</v>
      </c>
      <c r="AAB21" s="82">
        <f t="shared" si="546"/>
        <v>0</v>
      </c>
      <c r="AAC21" s="82">
        <f t="shared" si="546"/>
        <v>0</v>
      </c>
      <c r="AAD21" s="82">
        <f t="shared" si="546"/>
        <v>0</v>
      </c>
      <c r="AAE21" s="82">
        <f t="shared" si="546"/>
        <v>0</v>
      </c>
      <c r="AAF21" s="82">
        <f t="shared" si="546"/>
        <v>0</v>
      </c>
      <c r="AAG21" s="82">
        <f t="shared" si="546"/>
        <v>0</v>
      </c>
      <c r="AAH21" s="82">
        <f t="shared" si="546"/>
        <v>0</v>
      </c>
      <c r="AAI21" s="82">
        <f t="shared" si="546"/>
        <v>0</v>
      </c>
      <c r="AAJ21" s="82">
        <f t="shared" si="546"/>
        <v>0</v>
      </c>
      <c r="AAK21" s="82">
        <f t="shared" si="546"/>
        <v>0</v>
      </c>
      <c r="AAL21" s="82">
        <f t="shared" si="546"/>
        <v>0</v>
      </c>
      <c r="AAM21" s="82">
        <f t="shared" si="546"/>
        <v>0</v>
      </c>
      <c r="AAN21" s="82">
        <f t="shared" si="546"/>
        <v>0</v>
      </c>
      <c r="AAO21" s="82">
        <f t="shared" si="546"/>
        <v>0</v>
      </c>
      <c r="AAP21" s="82">
        <f t="shared" si="546"/>
        <v>0</v>
      </c>
      <c r="AAQ21" s="82">
        <f t="shared" si="546"/>
        <v>0</v>
      </c>
      <c r="AAR21" s="82">
        <f t="shared" si="546"/>
        <v>0</v>
      </c>
      <c r="AAS21" s="82">
        <f t="shared" si="546"/>
        <v>0</v>
      </c>
      <c r="AAT21" s="82">
        <f t="shared" si="546"/>
        <v>0</v>
      </c>
      <c r="AAU21" s="82">
        <f t="shared" si="546"/>
        <v>0</v>
      </c>
      <c r="AAV21" s="82">
        <f t="shared" si="546"/>
        <v>0</v>
      </c>
      <c r="AAW21" s="130"/>
      <c r="AAX21" s="82">
        <f>AAW21</f>
        <v>0</v>
      </c>
      <c r="AAY21" s="82">
        <f t="shared" ref="AAY21:ABM21" si="547">AAX21</f>
        <v>0</v>
      </c>
      <c r="AAZ21" s="82">
        <f t="shared" si="547"/>
        <v>0</v>
      </c>
      <c r="ABA21" s="82">
        <f t="shared" si="547"/>
        <v>0</v>
      </c>
      <c r="ABB21" s="82">
        <f t="shared" si="547"/>
        <v>0</v>
      </c>
      <c r="ABC21" s="82">
        <f t="shared" si="547"/>
        <v>0</v>
      </c>
      <c r="ABD21" s="82">
        <f t="shared" si="547"/>
        <v>0</v>
      </c>
      <c r="ABE21" s="82">
        <f t="shared" si="547"/>
        <v>0</v>
      </c>
      <c r="ABF21" s="82">
        <f t="shared" si="547"/>
        <v>0</v>
      </c>
      <c r="ABG21" s="82">
        <f t="shared" si="547"/>
        <v>0</v>
      </c>
      <c r="ABH21" s="82">
        <f t="shared" si="547"/>
        <v>0</v>
      </c>
      <c r="ABI21" s="82">
        <f t="shared" si="547"/>
        <v>0</v>
      </c>
      <c r="ABJ21" s="82">
        <f t="shared" si="547"/>
        <v>0</v>
      </c>
      <c r="ABK21" s="82">
        <f t="shared" si="547"/>
        <v>0</v>
      </c>
      <c r="ABL21" s="82">
        <f t="shared" si="547"/>
        <v>0</v>
      </c>
      <c r="ABM21" s="82">
        <f t="shared" si="547"/>
        <v>0</v>
      </c>
      <c r="ABN21" s="82">
        <f>ABM21</f>
        <v>0</v>
      </c>
      <c r="ABO21" s="82">
        <f t="shared" ref="ABO21:ACB21" si="548">ABN21</f>
        <v>0</v>
      </c>
      <c r="ABP21" s="82">
        <f t="shared" si="548"/>
        <v>0</v>
      </c>
      <c r="ABQ21" s="82">
        <f t="shared" si="548"/>
        <v>0</v>
      </c>
      <c r="ABR21" s="82">
        <f t="shared" si="548"/>
        <v>0</v>
      </c>
      <c r="ABS21" s="82">
        <f t="shared" si="548"/>
        <v>0</v>
      </c>
      <c r="ABT21" s="82">
        <f t="shared" si="548"/>
        <v>0</v>
      </c>
      <c r="ABU21" s="82">
        <f t="shared" si="548"/>
        <v>0</v>
      </c>
      <c r="ABV21" s="82">
        <f t="shared" si="548"/>
        <v>0</v>
      </c>
      <c r="ABW21" s="82">
        <f t="shared" si="548"/>
        <v>0</v>
      </c>
      <c r="ABX21" s="82">
        <f t="shared" si="548"/>
        <v>0</v>
      </c>
      <c r="ABY21" s="82">
        <f t="shared" si="548"/>
        <v>0</v>
      </c>
      <c r="ABZ21" s="82">
        <f t="shared" si="548"/>
        <v>0</v>
      </c>
      <c r="ACA21" s="82">
        <f t="shared" si="548"/>
        <v>0</v>
      </c>
      <c r="ACB21" s="82">
        <f t="shared" si="548"/>
        <v>0</v>
      </c>
      <c r="ACC21" s="130"/>
      <c r="ACD21" s="82">
        <f>ACC21</f>
        <v>0</v>
      </c>
      <c r="ACE21" s="82">
        <f t="shared" si="191"/>
        <v>0</v>
      </c>
      <c r="ACF21" s="82">
        <f t="shared" si="191"/>
        <v>0</v>
      </c>
      <c r="ACG21" s="82">
        <f t="shared" si="191"/>
        <v>0</v>
      </c>
      <c r="ACH21" s="82">
        <f t="shared" si="191"/>
        <v>0</v>
      </c>
      <c r="ACI21" s="82">
        <f>ACH21</f>
        <v>0</v>
      </c>
      <c r="ACJ21" s="82">
        <f t="shared" ref="ACJ21:ADH21" si="549">ACI21</f>
        <v>0</v>
      </c>
      <c r="ACK21" s="82">
        <f t="shared" si="549"/>
        <v>0</v>
      </c>
      <c r="ACL21" s="82">
        <f t="shared" si="549"/>
        <v>0</v>
      </c>
      <c r="ACM21" s="82">
        <f t="shared" si="549"/>
        <v>0</v>
      </c>
      <c r="ACN21" s="82">
        <f t="shared" si="549"/>
        <v>0</v>
      </c>
      <c r="ACO21" s="82">
        <f t="shared" si="549"/>
        <v>0</v>
      </c>
      <c r="ACP21" s="82">
        <f t="shared" si="549"/>
        <v>0</v>
      </c>
      <c r="ACQ21" s="82">
        <f t="shared" si="549"/>
        <v>0</v>
      </c>
      <c r="ACR21" s="82">
        <f t="shared" si="549"/>
        <v>0</v>
      </c>
      <c r="ACS21" s="82">
        <f t="shared" si="549"/>
        <v>0</v>
      </c>
      <c r="ACT21" s="82">
        <f t="shared" si="549"/>
        <v>0</v>
      </c>
      <c r="ACU21" s="82">
        <f t="shared" si="549"/>
        <v>0</v>
      </c>
      <c r="ACV21" s="82">
        <f t="shared" si="549"/>
        <v>0</v>
      </c>
      <c r="ACW21" s="82">
        <f t="shared" si="549"/>
        <v>0</v>
      </c>
      <c r="ACX21" s="82">
        <f t="shared" si="549"/>
        <v>0</v>
      </c>
      <c r="ACY21" s="82">
        <f t="shared" si="549"/>
        <v>0</v>
      </c>
      <c r="ACZ21" s="82">
        <f t="shared" si="549"/>
        <v>0</v>
      </c>
      <c r="ADA21" s="82">
        <f t="shared" si="549"/>
        <v>0</v>
      </c>
      <c r="ADB21" s="82">
        <f t="shared" si="549"/>
        <v>0</v>
      </c>
      <c r="ADC21" s="82">
        <f t="shared" si="549"/>
        <v>0</v>
      </c>
      <c r="ADD21" s="82">
        <f t="shared" si="549"/>
        <v>0</v>
      </c>
      <c r="ADE21" s="82">
        <f t="shared" si="549"/>
        <v>0</v>
      </c>
      <c r="ADF21" s="82">
        <f t="shared" si="549"/>
        <v>0</v>
      </c>
      <c r="ADG21" s="82">
        <f t="shared" si="549"/>
        <v>0</v>
      </c>
      <c r="ADH21" s="82">
        <f t="shared" si="549"/>
        <v>0</v>
      </c>
      <c r="ADI21" s="130"/>
      <c r="ADJ21" s="82">
        <f>ADI21</f>
        <v>0</v>
      </c>
      <c r="ADK21" s="82">
        <f t="shared" ref="ADK21:ADV21" si="550">ADJ21</f>
        <v>0</v>
      </c>
      <c r="ADL21" s="82">
        <f t="shared" si="550"/>
        <v>0</v>
      </c>
      <c r="ADM21" s="82">
        <f t="shared" si="550"/>
        <v>0</v>
      </c>
      <c r="ADN21" s="82">
        <f t="shared" si="550"/>
        <v>0</v>
      </c>
      <c r="ADO21" s="82">
        <f t="shared" si="550"/>
        <v>0</v>
      </c>
      <c r="ADP21" s="82">
        <f t="shared" si="550"/>
        <v>0</v>
      </c>
      <c r="ADQ21" s="82">
        <f t="shared" si="550"/>
        <v>0</v>
      </c>
      <c r="ADR21" s="82">
        <f t="shared" si="550"/>
        <v>0</v>
      </c>
      <c r="ADS21" s="82">
        <f t="shared" si="550"/>
        <v>0</v>
      </c>
      <c r="ADT21" s="82">
        <f t="shared" si="550"/>
        <v>0</v>
      </c>
      <c r="ADU21" s="82">
        <f t="shared" si="550"/>
        <v>0</v>
      </c>
      <c r="ADV21" s="82">
        <f t="shared" si="550"/>
        <v>0</v>
      </c>
      <c r="ADW21" s="82">
        <f>ADV21</f>
        <v>0</v>
      </c>
      <c r="ADX21" s="82">
        <f t="shared" ref="ADX21:AEG21" si="551">ADW21</f>
        <v>0</v>
      </c>
      <c r="ADY21" s="82">
        <f t="shared" si="551"/>
        <v>0</v>
      </c>
      <c r="ADZ21" s="82">
        <f t="shared" si="551"/>
        <v>0</v>
      </c>
      <c r="AEA21" s="82">
        <f t="shared" si="551"/>
        <v>0</v>
      </c>
      <c r="AEB21" s="82">
        <f t="shared" si="551"/>
        <v>0</v>
      </c>
      <c r="AEC21" s="82">
        <f t="shared" si="551"/>
        <v>0</v>
      </c>
      <c r="AED21" s="82">
        <f t="shared" si="551"/>
        <v>0</v>
      </c>
      <c r="AEE21" s="82">
        <f t="shared" si="551"/>
        <v>0</v>
      </c>
      <c r="AEF21" s="82">
        <f t="shared" si="551"/>
        <v>0</v>
      </c>
      <c r="AEG21" s="82">
        <f t="shared" si="551"/>
        <v>0</v>
      </c>
      <c r="AEH21" s="82">
        <f t="shared" si="303"/>
        <v>0</v>
      </c>
      <c r="AEI21" s="82">
        <f t="shared" si="232"/>
        <v>0</v>
      </c>
      <c r="AEJ21" s="82">
        <f t="shared" si="232"/>
        <v>0</v>
      </c>
      <c r="AEK21" s="82">
        <f t="shared" si="232"/>
        <v>0</v>
      </c>
      <c r="AEL21" s="82">
        <f t="shared" si="232"/>
        <v>0</v>
      </c>
      <c r="AEM21" s="82">
        <f t="shared" si="232"/>
        <v>0</v>
      </c>
      <c r="AEN21" s="130"/>
      <c r="AEO21" s="82">
        <f>AEN21</f>
        <v>0</v>
      </c>
      <c r="AEP21" s="82">
        <f t="shared" si="195"/>
        <v>0</v>
      </c>
      <c r="AEQ21" s="82">
        <f t="shared" si="195"/>
        <v>0</v>
      </c>
      <c r="AER21" s="82">
        <f t="shared" si="195"/>
        <v>0</v>
      </c>
      <c r="AES21" s="82">
        <f t="shared" si="195"/>
        <v>0</v>
      </c>
      <c r="AET21" s="82">
        <f t="shared" si="195"/>
        <v>0</v>
      </c>
      <c r="AEU21" s="82">
        <f>AET21</f>
        <v>0</v>
      </c>
      <c r="AEV21" s="82">
        <f>AEU21</f>
        <v>0</v>
      </c>
      <c r="AEW21" s="82">
        <f>AEV21</f>
        <v>0</v>
      </c>
      <c r="AEX21" s="82">
        <f t="shared" ref="AEX21:AFS21" si="552">AEW21</f>
        <v>0</v>
      </c>
      <c r="AEY21" s="82">
        <f t="shared" si="552"/>
        <v>0</v>
      </c>
      <c r="AEZ21" s="82">
        <f t="shared" si="552"/>
        <v>0</v>
      </c>
      <c r="AFA21" s="82">
        <f t="shared" si="552"/>
        <v>0</v>
      </c>
      <c r="AFB21" s="82">
        <f t="shared" si="552"/>
        <v>0</v>
      </c>
      <c r="AFC21" s="82">
        <f t="shared" si="552"/>
        <v>0</v>
      </c>
      <c r="AFD21" s="82">
        <f t="shared" si="552"/>
        <v>0</v>
      </c>
      <c r="AFE21" s="82">
        <f t="shared" si="552"/>
        <v>0</v>
      </c>
      <c r="AFF21" s="82">
        <f t="shared" si="552"/>
        <v>0</v>
      </c>
      <c r="AFG21" s="82">
        <f t="shared" si="552"/>
        <v>0</v>
      </c>
      <c r="AFH21" s="82">
        <f t="shared" si="552"/>
        <v>0</v>
      </c>
      <c r="AFI21" s="82">
        <f t="shared" si="552"/>
        <v>0</v>
      </c>
      <c r="AFJ21" s="82">
        <f t="shared" si="552"/>
        <v>0</v>
      </c>
      <c r="AFK21" s="82">
        <f t="shared" si="552"/>
        <v>0</v>
      </c>
      <c r="AFL21" s="82">
        <f t="shared" si="552"/>
        <v>0</v>
      </c>
      <c r="AFM21" s="82">
        <f t="shared" si="552"/>
        <v>0</v>
      </c>
      <c r="AFN21" s="82">
        <f t="shared" si="552"/>
        <v>0</v>
      </c>
      <c r="AFO21" s="82">
        <f t="shared" si="552"/>
        <v>0</v>
      </c>
      <c r="AFP21" s="82">
        <f t="shared" si="552"/>
        <v>0</v>
      </c>
      <c r="AFQ21" s="82">
        <f t="shared" si="552"/>
        <v>0</v>
      </c>
      <c r="AFR21" s="82">
        <f t="shared" si="552"/>
        <v>0</v>
      </c>
      <c r="AFS21" s="82">
        <f t="shared" si="552"/>
        <v>0</v>
      </c>
      <c r="AFT21" s="130"/>
      <c r="AFU21" s="82">
        <f>AFT21</f>
        <v>0</v>
      </c>
      <c r="AFV21" s="82">
        <f t="shared" si="475"/>
        <v>0</v>
      </c>
      <c r="AFW21" s="82">
        <f t="shared" si="475"/>
        <v>0</v>
      </c>
      <c r="AFX21" s="82">
        <f t="shared" si="475"/>
        <v>0</v>
      </c>
      <c r="AFY21" s="82">
        <f>AFX21</f>
        <v>0</v>
      </c>
      <c r="AFZ21" s="82">
        <f t="shared" si="476"/>
        <v>0</v>
      </c>
      <c r="AGA21" s="82">
        <f t="shared" si="476"/>
        <v>0</v>
      </c>
      <c r="AGB21" s="82">
        <f t="shared" si="476"/>
        <v>0</v>
      </c>
      <c r="AGC21" s="82">
        <f t="shared" si="476"/>
        <v>0</v>
      </c>
      <c r="AGD21" s="82">
        <f>AGC21</f>
        <v>0</v>
      </c>
      <c r="AGE21" s="82">
        <f t="shared" ref="AGE21:AGX21" si="553">AGD21</f>
        <v>0</v>
      </c>
      <c r="AGF21" s="82">
        <f t="shared" si="553"/>
        <v>0</v>
      </c>
      <c r="AGG21" s="82">
        <f t="shared" si="553"/>
        <v>0</v>
      </c>
      <c r="AGH21" s="82">
        <f t="shared" si="553"/>
        <v>0</v>
      </c>
      <c r="AGI21" s="82">
        <f t="shared" si="553"/>
        <v>0</v>
      </c>
      <c r="AGJ21" s="82">
        <f t="shared" si="553"/>
        <v>0</v>
      </c>
      <c r="AGK21" s="82">
        <f t="shared" si="553"/>
        <v>0</v>
      </c>
      <c r="AGL21" s="82">
        <f t="shared" si="553"/>
        <v>0</v>
      </c>
      <c r="AGM21" s="82">
        <f t="shared" si="553"/>
        <v>0</v>
      </c>
      <c r="AGN21" s="82">
        <f t="shared" si="553"/>
        <v>0</v>
      </c>
      <c r="AGO21" s="82">
        <f t="shared" si="553"/>
        <v>0</v>
      </c>
      <c r="AGP21" s="82">
        <f t="shared" si="553"/>
        <v>0</v>
      </c>
      <c r="AGQ21" s="82">
        <f t="shared" si="553"/>
        <v>0</v>
      </c>
      <c r="AGR21" s="82">
        <f t="shared" si="553"/>
        <v>0</v>
      </c>
      <c r="AGS21" s="82">
        <f t="shared" si="553"/>
        <v>0</v>
      </c>
      <c r="AGT21" s="82">
        <f t="shared" si="553"/>
        <v>0</v>
      </c>
      <c r="AGU21" s="82">
        <f t="shared" si="553"/>
        <v>0</v>
      </c>
      <c r="AGV21" s="82">
        <f t="shared" si="553"/>
        <v>0</v>
      </c>
      <c r="AGW21" s="82">
        <f t="shared" si="553"/>
        <v>0</v>
      </c>
      <c r="AGX21" s="82">
        <f t="shared" si="553"/>
        <v>0</v>
      </c>
      <c r="AGY21" s="133"/>
      <c r="AGZ21" s="82">
        <f>AGY21</f>
        <v>0</v>
      </c>
      <c r="AHA21" s="82">
        <f t="shared" ref="AHA21:AHJ21" si="554">AGZ21</f>
        <v>0</v>
      </c>
      <c r="AHB21" s="82">
        <f t="shared" si="554"/>
        <v>0</v>
      </c>
      <c r="AHC21" s="82">
        <f t="shared" si="554"/>
        <v>0</v>
      </c>
      <c r="AHD21" s="82">
        <f t="shared" si="554"/>
        <v>0</v>
      </c>
      <c r="AHE21" s="82">
        <f t="shared" si="554"/>
        <v>0</v>
      </c>
      <c r="AHF21" s="82">
        <f t="shared" si="554"/>
        <v>0</v>
      </c>
      <c r="AHG21" s="82">
        <f t="shared" si="554"/>
        <v>0</v>
      </c>
      <c r="AHH21" s="82">
        <f t="shared" si="554"/>
        <v>0</v>
      </c>
      <c r="AHI21" s="82">
        <f t="shared" si="554"/>
        <v>0</v>
      </c>
      <c r="AHJ21" s="82">
        <f t="shared" si="554"/>
        <v>0</v>
      </c>
      <c r="AHK21" s="82">
        <f>AHJ21</f>
        <v>0</v>
      </c>
      <c r="AHL21" s="82">
        <f t="shared" ref="AHL21:AID21" si="555">AHK21</f>
        <v>0</v>
      </c>
      <c r="AHM21" s="82">
        <f t="shared" si="555"/>
        <v>0</v>
      </c>
      <c r="AHN21" s="82">
        <f t="shared" si="555"/>
        <v>0</v>
      </c>
      <c r="AHO21" s="82">
        <f t="shared" si="555"/>
        <v>0</v>
      </c>
      <c r="AHP21" s="82">
        <f t="shared" si="555"/>
        <v>0</v>
      </c>
      <c r="AHQ21" s="82">
        <f t="shared" si="555"/>
        <v>0</v>
      </c>
      <c r="AHR21" s="82">
        <f t="shared" si="555"/>
        <v>0</v>
      </c>
      <c r="AHS21" s="82">
        <f t="shared" si="555"/>
        <v>0</v>
      </c>
      <c r="AHT21" s="82">
        <f t="shared" si="555"/>
        <v>0</v>
      </c>
      <c r="AHU21" s="82">
        <f t="shared" si="555"/>
        <v>0</v>
      </c>
      <c r="AHV21" s="82">
        <f t="shared" si="555"/>
        <v>0</v>
      </c>
      <c r="AHW21" s="82">
        <f t="shared" si="555"/>
        <v>0</v>
      </c>
      <c r="AHX21" s="82">
        <f t="shared" si="555"/>
        <v>0</v>
      </c>
      <c r="AHY21" s="82">
        <f t="shared" si="555"/>
        <v>0</v>
      </c>
      <c r="AHZ21" s="82">
        <f t="shared" si="555"/>
        <v>0</v>
      </c>
      <c r="AIA21" s="82">
        <f t="shared" si="555"/>
        <v>0</v>
      </c>
      <c r="AIB21" s="82">
        <f t="shared" si="555"/>
        <v>0</v>
      </c>
      <c r="AIC21" s="82">
        <f t="shared" si="555"/>
        <v>0</v>
      </c>
      <c r="AID21" s="82">
        <f t="shared" si="555"/>
        <v>0</v>
      </c>
      <c r="AIE21" s="130"/>
      <c r="AIF21" s="82">
        <f>AIE21</f>
        <v>0</v>
      </c>
      <c r="AIG21" s="82">
        <f t="shared" ref="AIG21:AIW21" si="556">AIF21</f>
        <v>0</v>
      </c>
      <c r="AIH21" s="82">
        <f t="shared" si="556"/>
        <v>0</v>
      </c>
      <c r="AII21" s="82">
        <f t="shared" si="556"/>
        <v>0</v>
      </c>
      <c r="AIJ21" s="82">
        <f t="shared" si="556"/>
        <v>0</v>
      </c>
      <c r="AIK21" s="82">
        <f t="shared" si="556"/>
        <v>0</v>
      </c>
      <c r="AIL21" s="82">
        <f t="shared" si="556"/>
        <v>0</v>
      </c>
      <c r="AIM21" s="82">
        <f t="shared" si="556"/>
        <v>0</v>
      </c>
      <c r="AIN21" s="82">
        <f t="shared" si="556"/>
        <v>0</v>
      </c>
      <c r="AIO21" s="82">
        <f t="shared" si="556"/>
        <v>0</v>
      </c>
      <c r="AIP21" s="82">
        <f t="shared" si="556"/>
        <v>0</v>
      </c>
      <c r="AIQ21" s="82">
        <f t="shared" si="556"/>
        <v>0</v>
      </c>
      <c r="AIR21" s="82">
        <f t="shared" si="556"/>
        <v>0</v>
      </c>
      <c r="AIS21" s="82">
        <f t="shared" si="556"/>
        <v>0</v>
      </c>
      <c r="AIT21" s="82">
        <f t="shared" si="556"/>
        <v>0</v>
      </c>
      <c r="AIU21" s="82">
        <f t="shared" si="556"/>
        <v>0</v>
      </c>
      <c r="AIV21" s="82">
        <f t="shared" si="556"/>
        <v>0</v>
      </c>
      <c r="AIW21" s="82">
        <f t="shared" si="556"/>
        <v>0</v>
      </c>
      <c r="AIX21" s="82">
        <f>AIW21</f>
        <v>0</v>
      </c>
      <c r="AIY21" s="82">
        <f t="shared" ref="AIY21:AJJ21" si="557">AIX21</f>
        <v>0</v>
      </c>
      <c r="AIZ21" s="82">
        <f t="shared" si="557"/>
        <v>0</v>
      </c>
      <c r="AJA21" s="82">
        <f t="shared" si="557"/>
        <v>0</v>
      </c>
      <c r="AJB21" s="82">
        <f t="shared" si="557"/>
        <v>0</v>
      </c>
      <c r="AJC21" s="82">
        <f t="shared" si="557"/>
        <v>0</v>
      </c>
      <c r="AJD21" s="82">
        <f t="shared" si="557"/>
        <v>0</v>
      </c>
      <c r="AJE21" s="82">
        <f t="shared" si="557"/>
        <v>0</v>
      </c>
      <c r="AJF21" s="82">
        <f t="shared" si="557"/>
        <v>0</v>
      </c>
      <c r="AJG21" s="82">
        <f t="shared" si="557"/>
        <v>0</v>
      </c>
      <c r="AJH21" s="82">
        <f t="shared" si="557"/>
        <v>0</v>
      </c>
      <c r="AJI21" s="82">
        <f t="shared" si="557"/>
        <v>0</v>
      </c>
      <c r="AJJ21" s="82">
        <f t="shared" si="557"/>
        <v>0</v>
      </c>
      <c r="AJK21" s="145"/>
      <c r="AJL21" s="82">
        <f>AJK21</f>
        <v>0</v>
      </c>
      <c r="AJM21" s="82">
        <f t="shared" ref="AJM21:AKK21" si="558">AJL21</f>
        <v>0</v>
      </c>
      <c r="AJN21" s="82">
        <f t="shared" si="558"/>
        <v>0</v>
      </c>
      <c r="AJO21" s="82">
        <f t="shared" si="558"/>
        <v>0</v>
      </c>
      <c r="AJP21" s="82">
        <f t="shared" si="558"/>
        <v>0</v>
      </c>
      <c r="AJQ21" s="82">
        <f t="shared" si="558"/>
        <v>0</v>
      </c>
      <c r="AJR21" s="82">
        <f t="shared" si="558"/>
        <v>0</v>
      </c>
      <c r="AJS21" s="82">
        <f t="shared" si="558"/>
        <v>0</v>
      </c>
      <c r="AJT21" s="82">
        <f t="shared" si="558"/>
        <v>0</v>
      </c>
      <c r="AJU21" s="82">
        <f t="shared" si="558"/>
        <v>0</v>
      </c>
      <c r="AJV21" s="82">
        <f t="shared" si="558"/>
        <v>0</v>
      </c>
      <c r="AJW21" s="82">
        <f t="shared" si="558"/>
        <v>0</v>
      </c>
      <c r="AJX21" s="82">
        <f t="shared" si="558"/>
        <v>0</v>
      </c>
      <c r="AJY21" s="82">
        <f t="shared" si="558"/>
        <v>0</v>
      </c>
      <c r="AJZ21" s="82">
        <f t="shared" si="558"/>
        <v>0</v>
      </c>
      <c r="AKA21" s="82">
        <f t="shared" si="558"/>
        <v>0</v>
      </c>
      <c r="AKB21" s="82">
        <f t="shared" si="558"/>
        <v>0</v>
      </c>
      <c r="AKC21" s="82">
        <f t="shared" si="558"/>
        <v>0</v>
      </c>
      <c r="AKD21" s="82">
        <f t="shared" si="558"/>
        <v>0</v>
      </c>
      <c r="AKE21" s="82">
        <f t="shared" si="558"/>
        <v>0</v>
      </c>
      <c r="AKF21" s="82">
        <f t="shared" si="558"/>
        <v>0</v>
      </c>
      <c r="AKG21" s="82">
        <f t="shared" si="558"/>
        <v>0</v>
      </c>
      <c r="AKH21" s="82">
        <f t="shared" si="558"/>
        <v>0</v>
      </c>
      <c r="AKI21" s="82">
        <f t="shared" si="558"/>
        <v>0</v>
      </c>
      <c r="AKJ21" s="82">
        <f t="shared" si="558"/>
        <v>0</v>
      </c>
      <c r="AKK21" s="82">
        <f t="shared" si="558"/>
        <v>0</v>
      </c>
      <c r="AKL21" s="82">
        <f>AKK21</f>
        <v>0</v>
      </c>
      <c r="AKM21" s="82">
        <f t="shared" si="311"/>
        <v>0</v>
      </c>
      <c r="AKN21" s="112"/>
      <c r="AKO21" s="82">
        <f>AKN21</f>
        <v>0</v>
      </c>
      <c r="AKP21" s="82">
        <f t="shared" ref="AKP21:AKX21" si="559">AKO21</f>
        <v>0</v>
      </c>
      <c r="AKQ21" s="82">
        <f t="shared" si="559"/>
        <v>0</v>
      </c>
      <c r="AKR21" s="82">
        <f t="shared" si="559"/>
        <v>0</v>
      </c>
      <c r="AKS21" s="82">
        <f t="shared" si="559"/>
        <v>0</v>
      </c>
      <c r="AKT21" s="82">
        <f t="shared" si="559"/>
        <v>0</v>
      </c>
      <c r="AKU21" s="82">
        <f t="shared" si="559"/>
        <v>0</v>
      </c>
      <c r="AKV21" s="82">
        <f t="shared" si="559"/>
        <v>0</v>
      </c>
      <c r="AKW21" s="82">
        <f t="shared" si="559"/>
        <v>0</v>
      </c>
      <c r="AKX21" s="82">
        <f t="shared" si="559"/>
        <v>0</v>
      </c>
      <c r="AKY21" s="82">
        <f>AKX21</f>
        <v>0</v>
      </c>
      <c r="AKZ21" s="82">
        <f t="shared" si="313"/>
        <v>0</v>
      </c>
      <c r="ALA21" s="82">
        <f t="shared" si="313"/>
        <v>0</v>
      </c>
      <c r="ALB21" s="82">
        <f t="shared" si="313"/>
        <v>0</v>
      </c>
      <c r="ALC21" s="82">
        <f t="shared" si="313"/>
        <v>0</v>
      </c>
      <c r="ALD21" s="82">
        <f t="shared" si="313"/>
        <v>0</v>
      </c>
      <c r="ALE21" s="82">
        <f t="shared" si="240"/>
        <v>0</v>
      </c>
      <c r="ALF21" s="82">
        <f t="shared" si="314"/>
        <v>0</v>
      </c>
      <c r="ALG21" s="82">
        <f t="shared" ref="ALG21:ALS21" si="560">ALF21</f>
        <v>0</v>
      </c>
      <c r="ALH21" s="82">
        <f t="shared" si="560"/>
        <v>0</v>
      </c>
      <c r="ALI21" s="82">
        <f t="shared" si="560"/>
        <v>0</v>
      </c>
      <c r="ALJ21" s="82">
        <f t="shared" si="560"/>
        <v>0</v>
      </c>
      <c r="ALK21" s="82">
        <f t="shared" si="560"/>
        <v>0</v>
      </c>
      <c r="ALL21" s="82">
        <f t="shared" si="560"/>
        <v>0</v>
      </c>
      <c r="ALM21" s="82">
        <f t="shared" si="560"/>
        <v>0</v>
      </c>
      <c r="ALN21" s="82">
        <f t="shared" si="560"/>
        <v>0</v>
      </c>
      <c r="ALO21" s="82">
        <f t="shared" si="560"/>
        <v>0</v>
      </c>
      <c r="ALP21" s="82">
        <f t="shared" si="560"/>
        <v>0</v>
      </c>
      <c r="ALQ21" s="82">
        <f t="shared" si="560"/>
        <v>0</v>
      </c>
      <c r="ALR21" s="82">
        <f t="shared" si="560"/>
        <v>0</v>
      </c>
      <c r="ALS21" s="82">
        <f t="shared" si="560"/>
        <v>0</v>
      </c>
      <c r="ALT21" s="130"/>
      <c r="ALU21" s="82">
        <f>ALT21</f>
        <v>0</v>
      </c>
      <c r="ALV21" s="82">
        <f t="shared" ref="ALV21:AMF21" si="561">ALU21</f>
        <v>0</v>
      </c>
      <c r="ALW21" s="82">
        <f t="shared" si="561"/>
        <v>0</v>
      </c>
      <c r="ALX21" s="82">
        <f t="shared" si="561"/>
        <v>0</v>
      </c>
      <c r="ALY21" s="82">
        <f t="shared" si="561"/>
        <v>0</v>
      </c>
      <c r="ALZ21" s="82">
        <f t="shared" si="561"/>
        <v>0</v>
      </c>
      <c r="AMA21" s="82">
        <f t="shared" si="561"/>
        <v>0</v>
      </c>
      <c r="AMB21" s="82">
        <f t="shared" si="561"/>
        <v>0</v>
      </c>
      <c r="AMC21" s="82">
        <f t="shared" si="561"/>
        <v>0</v>
      </c>
      <c r="AMD21" s="82">
        <f t="shared" si="561"/>
        <v>0</v>
      </c>
      <c r="AME21" s="82">
        <f t="shared" si="561"/>
        <v>0</v>
      </c>
      <c r="AMF21" s="82">
        <f t="shared" si="561"/>
        <v>0</v>
      </c>
      <c r="AMG21" s="82">
        <f>AMF21</f>
        <v>0</v>
      </c>
      <c r="AMH21" s="82">
        <f>AMG21</f>
        <v>0</v>
      </c>
      <c r="AMI21" s="82">
        <f t="shared" ref="AMI21:AMX21" si="562">AMH21</f>
        <v>0</v>
      </c>
      <c r="AMJ21" s="82">
        <f t="shared" si="562"/>
        <v>0</v>
      </c>
      <c r="AMK21" s="82">
        <f t="shared" si="562"/>
        <v>0</v>
      </c>
      <c r="AML21" s="82">
        <f t="shared" si="562"/>
        <v>0</v>
      </c>
      <c r="AMM21" s="82">
        <f t="shared" si="562"/>
        <v>0</v>
      </c>
      <c r="AMN21" s="82">
        <f t="shared" si="562"/>
        <v>0</v>
      </c>
      <c r="AMO21" s="82">
        <f t="shared" si="562"/>
        <v>0</v>
      </c>
      <c r="AMP21" s="82">
        <f t="shared" si="562"/>
        <v>0</v>
      </c>
      <c r="AMQ21" s="82">
        <f t="shared" si="562"/>
        <v>0</v>
      </c>
      <c r="AMR21" s="82">
        <f t="shared" si="562"/>
        <v>0</v>
      </c>
      <c r="AMS21" s="82">
        <f t="shared" si="562"/>
        <v>0</v>
      </c>
      <c r="AMT21" s="82">
        <f t="shared" si="562"/>
        <v>0</v>
      </c>
      <c r="AMU21" s="82">
        <f t="shared" si="562"/>
        <v>0</v>
      </c>
      <c r="AMV21" s="82">
        <f t="shared" si="562"/>
        <v>0</v>
      </c>
      <c r="AMW21" s="82">
        <f t="shared" si="562"/>
        <v>0</v>
      </c>
      <c r="AMX21" s="82">
        <f t="shared" si="562"/>
        <v>0</v>
      </c>
      <c r="AMY21" s="130"/>
      <c r="AMZ21" s="82">
        <f>AMY21</f>
        <v>0</v>
      </c>
      <c r="ANA21" s="82">
        <f t="shared" si="487"/>
        <v>0</v>
      </c>
      <c r="ANB21" s="82">
        <f t="shared" si="487"/>
        <v>0</v>
      </c>
      <c r="ANC21" s="82">
        <f t="shared" si="487"/>
        <v>0</v>
      </c>
      <c r="AND21" s="82">
        <f>ANC21</f>
        <v>0</v>
      </c>
      <c r="ANE21" s="82">
        <f t="shared" si="488"/>
        <v>0</v>
      </c>
      <c r="ANF21" s="82">
        <f t="shared" si="488"/>
        <v>0</v>
      </c>
      <c r="ANG21" s="82">
        <f t="shared" si="488"/>
        <v>0</v>
      </c>
      <c r="ANH21" s="82">
        <f t="shared" si="488"/>
        <v>0</v>
      </c>
      <c r="ANI21" s="82">
        <f t="shared" si="488"/>
        <v>0</v>
      </c>
      <c r="ANJ21" s="82">
        <f t="shared" si="488"/>
        <v>0</v>
      </c>
      <c r="ANK21" s="82">
        <f t="shared" si="488"/>
        <v>0</v>
      </c>
      <c r="ANL21" s="82">
        <f t="shared" si="367"/>
        <v>0</v>
      </c>
      <c r="ANM21" s="82">
        <f t="shared" ref="ANM21:AOC21" si="563">ANL21</f>
        <v>0</v>
      </c>
      <c r="ANN21" s="82">
        <f t="shared" si="563"/>
        <v>0</v>
      </c>
      <c r="ANO21" s="82">
        <f t="shared" si="563"/>
        <v>0</v>
      </c>
      <c r="ANP21" s="82">
        <f t="shared" si="563"/>
        <v>0</v>
      </c>
      <c r="ANQ21" s="82">
        <f t="shared" si="563"/>
        <v>0</v>
      </c>
      <c r="ANR21" s="82">
        <f t="shared" si="563"/>
        <v>0</v>
      </c>
      <c r="ANS21" s="82">
        <f t="shared" si="563"/>
        <v>0</v>
      </c>
      <c r="ANT21" s="82">
        <f t="shared" si="563"/>
        <v>0</v>
      </c>
      <c r="ANU21" s="82">
        <f t="shared" si="563"/>
        <v>0</v>
      </c>
      <c r="ANV21" s="82">
        <f t="shared" si="563"/>
        <v>0</v>
      </c>
      <c r="ANW21" s="82">
        <f t="shared" si="563"/>
        <v>0</v>
      </c>
      <c r="ANX21" s="82">
        <f t="shared" si="563"/>
        <v>0</v>
      </c>
      <c r="ANY21" s="82">
        <f t="shared" si="563"/>
        <v>0</v>
      </c>
      <c r="ANZ21" s="82">
        <f t="shared" si="563"/>
        <v>0</v>
      </c>
      <c r="AOA21" s="82">
        <f t="shared" si="563"/>
        <v>0</v>
      </c>
      <c r="AOB21" s="82">
        <f t="shared" si="563"/>
        <v>0</v>
      </c>
      <c r="AOC21" s="82">
        <f t="shared" si="563"/>
        <v>0</v>
      </c>
    </row>
    <row r="22" spans="1:1069" x14ac:dyDescent="0.2">
      <c r="A22" s="160"/>
      <c r="B22" t="s">
        <v>1654</v>
      </c>
      <c r="C22" s="52">
        <v>68850</v>
      </c>
      <c r="D22" s="52">
        <f>C22</f>
        <v>68850</v>
      </c>
      <c r="E22" s="52">
        <v>0</v>
      </c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98"/>
      <c r="AN22">
        <v>5535576</v>
      </c>
      <c r="AO22" s="52">
        <f t="shared" ref="AO22:BZ22" si="564">AN22</f>
        <v>5535576</v>
      </c>
      <c r="AP22" s="82">
        <f t="shared" si="564"/>
        <v>5535576</v>
      </c>
      <c r="AQ22" s="82">
        <f t="shared" si="564"/>
        <v>5535576</v>
      </c>
      <c r="AR22" s="82">
        <f t="shared" si="564"/>
        <v>5535576</v>
      </c>
      <c r="AS22" s="82">
        <f t="shared" si="564"/>
        <v>5535576</v>
      </c>
      <c r="AT22" s="82">
        <f t="shared" si="564"/>
        <v>5535576</v>
      </c>
      <c r="AU22" s="82">
        <f t="shared" si="564"/>
        <v>5535576</v>
      </c>
      <c r="AV22" s="82">
        <f t="shared" si="564"/>
        <v>5535576</v>
      </c>
      <c r="AW22" s="82">
        <f t="shared" si="564"/>
        <v>5535576</v>
      </c>
      <c r="AX22" s="82">
        <f t="shared" si="564"/>
        <v>5535576</v>
      </c>
      <c r="AY22" s="82">
        <f t="shared" si="564"/>
        <v>5535576</v>
      </c>
      <c r="AZ22" s="82">
        <f t="shared" si="564"/>
        <v>5535576</v>
      </c>
      <c r="BA22" s="82">
        <f t="shared" si="564"/>
        <v>5535576</v>
      </c>
      <c r="BB22" s="82">
        <f t="shared" si="564"/>
        <v>5535576</v>
      </c>
      <c r="BC22" s="82">
        <f t="shared" si="564"/>
        <v>5535576</v>
      </c>
      <c r="BD22" s="82">
        <f t="shared" si="564"/>
        <v>5535576</v>
      </c>
      <c r="BE22" s="82">
        <f t="shared" si="564"/>
        <v>5535576</v>
      </c>
      <c r="BF22" s="82">
        <f t="shared" si="564"/>
        <v>5535576</v>
      </c>
      <c r="BG22" s="82">
        <f t="shared" si="564"/>
        <v>5535576</v>
      </c>
      <c r="BH22" s="82">
        <f t="shared" si="564"/>
        <v>5535576</v>
      </c>
      <c r="BI22" s="82">
        <f t="shared" si="564"/>
        <v>5535576</v>
      </c>
      <c r="BJ22" s="82">
        <f t="shared" si="564"/>
        <v>5535576</v>
      </c>
      <c r="BK22" s="82">
        <f t="shared" si="564"/>
        <v>5535576</v>
      </c>
      <c r="BL22" s="82">
        <f t="shared" si="564"/>
        <v>5535576</v>
      </c>
      <c r="BM22" s="106">
        <f t="shared" si="564"/>
        <v>5535576</v>
      </c>
      <c r="BN22" s="82">
        <f t="shared" si="564"/>
        <v>5535576</v>
      </c>
      <c r="BO22" s="82">
        <f t="shared" si="564"/>
        <v>5535576</v>
      </c>
      <c r="BP22" s="82">
        <f t="shared" si="564"/>
        <v>5535576</v>
      </c>
      <c r="BQ22" s="82">
        <f t="shared" si="564"/>
        <v>5535576</v>
      </c>
      <c r="BR22" s="82">
        <f t="shared" si="564"/>
        <v>5535576</v>
      </c>
      <c r="BS22" s="82">
        <f t="shared" si="564"/>
        <v>5535576</v>
      </c>
      <c r="BT22" s="82">
        <f t="shared" si="564"/>
        <v>5535576</v>
      </c>
      <c r="BU22" s="82">
        <f t="shared" si="564"/>
        <v>5535576</v>
      </c>
      <c r="BV22" s="82">
        <f t="shared" si="564"/>
        <v>5535576</v>
      </c>
      <c r="BW22" s="82">
        <f t="shared" si="564"/>
        <v>5535576</v>
      </c>
      <c r="BX22" s="82">
        <f t="shared" si="564"/>
        <v>5535576</v>
      </c>
      <c r="BY22" s="82">
        <f t="shared" si="564"/>
        <v>5535576</v>
      </c>
      <c r="BZ22" s="82">
        <f t="shared" si="564"/>
        <v>5535576</v>
      </c>
      <c r="CA22" s="82">
        <f>BZ22</f>
        <v>5535576</v>
      </c>
      <c r="CB22" s="82">
        <f t="shared" ref="CB22:CK22" si="565">CA22</f>
        <v>5535576</v>
      </c>
      <c r="CC22" s="82">
        <f t="shared" si="565"/>
        <v>5535576</v>
      </c>
      <c r="CD22" s="82">
        <f t="shared" si="565"/>
        <v>5535576</v>
      </c>
      <c r="CE22" s="82">
        <f t="shared" si="565"/>
        <v>5535576</v>
      </c>
      <c r="CF22" s="82">
        <f t="shared" si="565"/>
        <v>5535576</v>
      </c>
      <c r="CG22" s="82">
        <f t="shared" si="565"/>
        <v>5535576</v>
      </c>
      <c r="CH22" s="82">
        <f t="shared" si="565"/>
        <v>5535576</v>
      </c>
      <c r="CI22" s="82">
        <f t="shared" si="565"/>
        <v>5535576</v>
      </c>
      <c r="CJ22" s="82">
        <f t="shared" si="565"/>
        <v>5535576</v>
      </c>
      <c r="CK22" s="82">
        <f t="shared" si="565"/>
        <v>5535576</v>
      </c>
      <c r="CL22" s="82">
        <f t="shared" si="323"/>
        <v>5535576</v>
      </c>
      <c r="CM22" s="82">
        <f t="shared" si="249"/>
        <v>5535576</v>
      </c>
      <c r="CN22" s="82">
        <f t="shared" si="249"/>
        <v>5535576</v>
      </c>
      <c r="CO22" s="82">
        <f t="shared" si="249"/>
        <v>5535576</v>
      </c>
      <c r="CP22" s="82">
        <f t="shared" si="324"/>
        <v>5535576</v>
      </c>
      <c r="CQ22" s="82">
        <f t="shared" si="250"/>
        <v>5535576</v>
      </c>
      <c r="CR22" s="82">
        <f t="shared" si="250"/>
        <v>5535576</v>
      </c>
      <c r="CT22" s="82">
        <f t="shared" si="416"/>
        <v>5535576</v>
      </c>
      <c r="CU22" s="82">
        <f t="shared" si="151"/>
        <v>5535576</v>
      </c>
      <c r="CV22" s="113">
        <f t="shared" si="494"/>
        <v>5535576</v>
      </c>
      <c r="CW22" s="82">
        <f t="shared" si="494"/>
        <v>5535576</v>
      </c>
      <c r="CX22" s="82">
        <f t="shared" si="417"/>
        <v>5535576</v>
      </c>
      <c r="CY22" s="82">
        <f t="shared" si="325"/>
        <v>5535576</v>
      </c>
      <c r="CZ22" s="82">
        <f t="shared" si="326"/>
        <v>5535576</v>
      </c>
      <c r="DA22" s="82">
        <f t="shared" si="251"/>
        <v>5535576</v>
      </c>
      <c r="DB22" s="82">
        <f t="shared" si="252"/>
        <v>5535576</v>
      </c>
      <c r="DC22" s="82">
        <f t="shared" si="253"/>
        <v>5535576</v>
      </c>
      <c r="DD22" s="82">
        <f t="shared" si="254"/>
        <v>5535576</v>
      </c>
      <c r="DE22" s="82">
        <f t="shared" si="255"/>
        <v>5535576</v>
      </c>
      <c r="DF22" s="82">
        <f t="shared" si="256"/>
        <v>5535576</v>
      </c>
      <c r="DG22" s="82">
        <f t="shared" si="257"/>
        <v>5535576</v>
      </c>
      <c r="DH22" s="82">
        <f t="shared" si="258"/>
        <v>5535576</v>
      </c>
      <c r="DI22" s="82">
        <f t="shared" si="259"/>
        <v>5535576</v>
      </c>
      <c r="DJ22" s="82">
        <f t="shared" si="260"/>
        <v>5535576</v>
      </c>
      <c r="DK22" s="82">
        <f t="shared" si="261"/>
        <v>5535576</v>
      </c>
      <c r="DL22" s="82">
        <f t="shared" si="262"/>
        <v>5535576</v>
      </c>
      <c r="DM22" s="82">
        <f t="shared" si="327"/>
        <v>5535576</v>
      </c>
      <c r="DN22" s="82">
        <f t="shared" si="328"/>
        <v>5535576</v>
      </c>
      <c r="DO22" s="82">
        <f t="shared" si="263"/>
        <v>5535576</v>
      </c>
      <c r="DP22" s="82">
        <f t="shared" si="264"/>
        <v>5535576</v>
      </c>
      <c r="DQ22" s="82">
        <f t="shared" si="265"/>
        <v>5535576</v>
      </c>
      <c r="DR22" s="82">
        <f t="shared" si="266"/>
        <v>5535576</v>
      </c>
      <c r="DS22" s="82">
        <f t="shared" si="267"/>
        <v>5535576</v>
      </c>
      <c r="DT22" s="82">
        <f t="shared" si="268"/>
        <v>5535576</v>
      </c>
      <c r="DU22" s="82">
        <f t="shared" si="329"/>
        <v>5535576</v>
      </c>
      <c r="DV22" s="82">
        <f t="shared" si="330"/>
        <v>5535576</v>
      </c>
      <c r="DW22" s="82">
        <f t="shared" si="269"/>
        <v>5535576</v>
      </c>
      <c r="DX22" s="117"/>
      <c r="DY22" s="82">
        <f t="shared" si="418"/>
        <v>5535576</v>
      </c>
      <c r="DZ22" s="82">
        <f t="shared" si="419"/>
        <v>5535576</v>
      </c>
      <c r="EA22" s="82">
        <f t="shared" si="420"/>
        <v>5535576</v>
      </c>
      <c r="EB22" s="82">
        <f t="shared" si="495"/>
        <v>5535576</v>
      </c>
      <c r="EC22" s="82">
        <f t="shared" si="495"/>
        <v>5535576</v>
      </c>
      <c r="ED22" s="82">
        <f t="shared" ref="ED22:EM25" si="566">EB22</f>
        <v>5535576</v>
      </c>
      <c r="EE22" s="82">
        <f t="shared" si="566"/>
        <v>5535576</v>
      </c>
      <c r="EF22" s="82">
        <f t="shared" si="566"/>
        <v>5535576</v>
      </c>
      <c r="EG22" s="82">
        <f t="shared" si="566"/>
        <v>5535576</v>
      </c>
      <c r="EH22" s="82">
        <f t="shared" si="566"/>
        <v>5535576</v>
      </c>
      <c r="EI22" s="82">
        <f t="shared" si="566"/>
        <v>5535576</v>
      </c>
      <c r="EJ22" s="82">
        <f t="shared" si="566"/>
        <v>5535576</v>
      </c>
      <c r="EK22" s="82">
        <f t="shared" si="566"/>
        <v>5535576</v>
      </c>
      <c r="EL22" s="82">
        <f t="shared" si="566"/>
        <v>5535576</v>
      </c>
      <c r="EM22" s="82">
        <f t="shared" si="566"/>
        <v>5535576</v>
      </c>
      <c r="EN22" s="82">
        <f t="shared" ref="EN22:EW25" si="567">EL22</f>
        <v>5535576</v>
      </c>
      <c r="EO22" s="82">
        <f t="shared" si="567"/>
        <v>5535576</v>
      </c>
      <c r="EP22" s="82">
        <f t="shared" si="567"/>
        <v>5535576</v>
      </c>
      <c r="EQ22" s="82">
        <f t="shared" si="567"/>
        <v>5535576</v>
      </c>
      <c r="ER22" s="82">
        <f t="shared" si="567"/>
        <v>5535576</v>
      </c>
      <c r="ES22" s="82">
        <f t="shared" si="567"/>
        <v>5535576</v>
      </c>
      <c r="ET22" s="82">
        <f t="shared" si="567"/>
        <v>5535576</v>
      </c>
      <c r="EU22" s="82">
        <f t="shared" si="567"/>
        <v>5535576</v>
      </c>
      <c r="EV22" s="82">
        <f t="shared" si="567"/>
        <v>5535576</v>
      </c>
      <c r="EW22" s="82">
        <f t="shared" si="567"/>
        <v>5535576</v>
      </c>
      <c r="EX22" s="82">
        <f t="shared" ref="EX22:FG25" si="568">EV22</f>
        <v>5535576</v>
      </c>
      <c r="EY22" s="82">
        <f t="shared" si="568"/>
        <v>5535576</v>
      </c>
      <c r="EZ22" s="82">
        <f t="shared" si="568"/>
        <v>5535576</v>
      </c>
      <c r="FA22" s="82">
        <f t="shared" si="568"/>
        <v>5535576</v>
      </c>
      <c r="FB22" s="82">
        <f t="shared" si="568"/>
        <v>5535576</v>
      </c>
      <c r="FC22" s="82">
        <v>0</v>
      </c>
      <c r="FD22" s="126"/>
      <c r="FE22" s="82">
        <v>0</v>
      </c>
      <c r="FF22" s="82">
        <v>0</v>
      </c>
      <c r="FG22" s="82">
        <v>0</v>
      </c>
      <c r="FH22" s="82">
        <v>0</v>
      </c>
      <c r="FI22" s="82">
        <v>0</v>
      </c>
      <c r="FJ22" s="82">
        <v>0</v>
      </c>
      <c r="FK22" s="82">
        <v>0</v>
      </c>
      <c r="FL22" s="82">
        <v>0</v>
      </c>
      <c r="FM22" s="82">
        <v>0</v>
      </c>
      <c r="FN22" s="82">
        <v>0</v>
      </c>
      <c r="FO22" s="82">
        <v>0</v>
      </c>
      <c r="FP22" s="82">
        <v>0</v>
      </c>
      <c r="FQ22" s="82">
        <v>0</v>
      </c>
      <c r="FR22" s="82">
        <v>0</v>
      </c>
      <c r="FS22" s="82">
        <v>0</v>
      </c>
      <c r="FT22" s="82">
        <v>0</v>
      </c>
      <c r="FU22" s="82">
        <v>0</v>
      </c>
      <c r="FV22" s="82">
        <v>0</v>
      </c>
      <c r="FW22" s="82">
        <v>0</v>
      </c>
      <c r="FX22" s="82">
        <v>0</v>
      </c>
      <c r="FY22" s="82">
        <v>0</v>
      </c>
      <c r="FZ22" s="82">
        <v>0</v>
      </c>
      <c r="GA22" s="82">
        <v>0</v>
      </c>
      <c r="GB22" s="82">
        <v>0</v>
      </c>
      <c r="GC22" s="82">
        <v>0</v>
      </c>
      <c r="GD22" s="82">
        <v>0</v>
      </c>
      <c r="GE22" s="82">
        <v>0</v>
      </c>
      <c r="GF22" s="82">
        <v>0</v>
      </c>
      <c r="GG22" s="82">
        <v>0</v>
      </c>
      <c r="GH22" s="82">
        <v>0</v>
      </c>
      <c r="GI22" s="82">
        <v>0</v>
      </c>
      <c r="GJ22" s="130"/>
      <c r="GK22">
        <f>GJ22</f>
        <v>0</v>
      </c>
      <c r="GL22">
        <f t="shared" si="428"/>
        <v>0</v>
      </c>
      <c r="GM22">
        <f t="shared" ref="GM22:HM22" si="569">GL22</f>
        <v>0</v>
      </c>
      <c r="GN22">
        <f t="shared" si="569"/>
        <v>0</v>
      </c>
      <c r="GO22">
        <f t="shared" si="569"/>
        <v>0</v>
      </c>
      <c r="GP22">
        <f t="shared" si="569"/>
        <v>0</v>
      </c>
      <c r="GQ22">
        <f t="shared" si="569"/>
        <v>0</v>
      </c>
      <c r="GR22">
        <f t="shared" si="569"/>
        <v>0</v>
      </c>
      <c r="GS22">
        <f t="shared" si="569"/>
        <v>0</v>
      </c>
      <c r="GT22">
        <f t="shared" si="569"/>
        <v>0</v>
      </c>
      <c r="GU22">
        <f t="shared" si="569"/>
        <v>0</v>
      </c>
      <c r="GV22">
        <f t="shared" si="569"/>
        <v>0</v>
      </c>
      <c r="GW22">
        <f t="shared" si="569"/>
        <v>0</v>
      </c>
      <c r="GX22">
        <f t="shared" si="569"/>
        <v>0</v>
      </c>
      <c r="GY22">
        <f t="shared" si="569"/>
        <v>0</v>
      </c>
      <c r="GZ22">
        <f t="shared" si="569"/>
        <v>0</v>
      </c>
      <c r="HA22">
        <f t="shared" si="569"/>
        <v>0</v>
      </c>
      <c r="HB22">
        <f t="shared" si="569"/>
        <v>0</v>
      </c>
      <c r="HC22">
        <f t="shared" si="569"/>
        <v>0</v>
      </c>
      <c r="HD22">
        <f t="shared" si="569"/>
        <v>0</v>
      </c>
      <c r="HE22">
        <f t="shared" si="569"/>
        <v>0</v>
      </c>
      <c r="HF22">
        <f t="shared" si="569"/>
        <v>0</v>
      </c>
      <c r="HG22">
        <f t="shared" si="569"/>
        <v>0</v>
      </c>
      <c r="HH22">
        <f t="shared" si="569"/>
        <v>0</v>
      </c>
      <c r="HI22">
        <f t="shared" si="569"/>
        <v>0</v>
      </c>
      <c r="HJ22">
        <f t="shared" si="569"/>
        <v>0</v>
      </c>
      <c r="HK22">
        <f t="shared" si="569"/>
        <v>0</v>
      </c>
      <c r="HL22">
        <f t="shared" si="569"/>
        <v>0</v>
      </c>
      <c r="HM22">
        <f t="shared" si="569"/>
        <v>0</v>
      </c>
      <c r="HN22" s="130"/>
      <c r="HO22">
        <f>HN22</f>
        <v>0</v>
      </c>
      <c r="HP22">
        <f t="shared" si="433"/>
        <v>0</v>
      </c>
      <c r="HQ22">
        <f t="shared" ref="HQ22:IS22" si="570">HP22</f>
        <v>0</v>
      </c>
      <c r="HR22">
        <f t="shared" si="570"/>
        <v>0</v>
      </c>
      <c r="HS22">
        <f t="shared" si="570"/>
        <v>0</v>
      </c>
      <c r="HT22">
        <f t="shared" si="570"/>
        <v>0</v>
      </c>
      <c r="HU22">
        <f t="shared" si="570"/>
        <v>0</v>
      </c>
      <c r="HV22">
        <f t="shared" si="570"/>
        <v>0</v>
      </c>
      <c r="HW22">
        <f t="shared" si="570"/>
        <v>0</v>
      </c>
      <c r="HX22">
        <f t="shared" si="570"/>
        <v>0</v>
      </c>
      <c r="HY22">
        <f t="shared" si="570"/>
        <v>0</v>
      </c>
      <c r="HZ22">
        <f t="shared" si="570"/>
        <v>0</v>
      </c>
      <c r="IA22">
        <f t="shared" si="570"/>
        <v>0</v>
      </c>
      <c r="IB22">
        <f t="shared" si="570"/>
        <v>0</v>
      </c>
      <c r="IC22">
        <f t="shared" si="570"/>
        <v>0</v>
      </c>
      <c r="ID22">
        <f t="shared" si="570"/>
        <v>0</v>
      </c>
      <c r="IE22">
        <f t="shared" si="570"/>
        <v>0</v>
      </c>
      <c r="IF22">
        <f t="shared" si="570"/>
        <v>0</v>
      </c>
      <c r="IG22">
        <f t="shared" si="570"/>
        <v>0</v>
      </c>
      <c r="IH22">
        <f t="shared" si="570"/>
        <v>0</v>
      </c>
      <c r="II22">
        <f t="shared" si="570"/>
        <v>0</v>
      </c>
      <c r="IJ22">
        <f t="shared" si="570"/>
        <v>0</v>
      </c>
      <c r="IK22">
        <f t="shared" si="570"/>
        <v>0</v>
      </c>
      <c r="IL22">
        <f t="shared" si="570"/>
        <v>0</v>
      </c>
      <c r="IM22">
        <f t="shared" si="570"/>
        <v>0</v>
      </c>
      <c r="IN22">
        <f t="shared" si="570"/>
        <v>0</v>
      </c>
      <c r="IO22">
        <f t="shared" si="570"/>
        <v>0</v>
      </c>
      <c r="IP22">
        <f t="shared" si="570"/>
        <v>0</v>
      </c>
      <c r="IQ22">
        <f t="shared" si="570"/>
        <v>0</v>
      </c>
      <c r="IR22">
        <f t="shared" si="570"/>
        <v>0</v>
      </c>
      <c r="IS22">
        <f t="shared" si="570"/>
        <v>0</v>
      </c>
      <c r="IT22" s="130"/>
      <c r="IU22">
        <f>IT22</f>
        <v>0</v>
      </c>
      <c r="IV22" s="82">
        <f t="shared" si="160"/>
        <v>0</v>
      </c>
      <c r="IW22" s="82">
        <f t="shared" ref="IW22:JI22" si="571">IV22</f>
        <v>0</v>
      </c>
      <c r="IX22" s="82">
        <f t="shared" si="571"/>
        <v>0</v>
      </c>
      <c r="IY22" s="82">
        <f t="shared" si="571"/>
        <v>0</v>
      </c>
      <c r="IZ22" s="82">
        <f t="shared" si="571"/>
        <v>0</v>
      </c>
      <c r="JA22" s="82">
        <f t="shared" si="571"/>
        <v>0</v>
      </c>
      <c r="JB22" s="82">
        <f t="shared" si="571"/>
        <v>0</v>
      </c>
      <c r="JC22" s="82">
        <f t="shared" si="571"/>
        <v>0</v>
      </c>
      <c r="JD22" s="82">
        <f t="shared" si="571"/>
        <v>0</v>
      </c>
      <c r="JE22" s="82">
        <f t="shared" si="571"/>
        <v>0</v>
      </c>
      <c r="JF22" s="82">
        <f t="shared" si="571"/>
        <v>0</v>
      </c>
      <c r="JG22" s="82">
        <f t="shared" si="571"/>
        <v>0</v>
      </c>
      <c r="JH22" s="82">
        <f t="shared" si="571"/>
        <v>0</v>
      </c>
      <c r="JI22" s="82">
        <f t="shared" si="571"/>
        <v>0</v>
      </c>
      <c r="JJ22" s="82">
        <f t="shared" si="497"/>
        <v>0</v>
      </c>
      <c r="JK22" s="82">
        <f t="shared" ref="JK22:JX22" si="572">JJ22</f>
        <v>0</v>
      </c>
      <c r="JL22" s="82">
        <f t="shared" si="572"/>
        <v>0</v>
      </c>
      <c r="JM22" s="82">
        <f t="shared" si="572"/>
        <v>0</v>
      </c>
      <c r="JN22" s="82">
        <f t="shared" si="572"/>
        <v>0</v>
      </c>
      <c r="JO22" s="82">
        <f t="shared" si="572"/>
        <v>0</v>
      </c>
      <c r="JP22" s="82">
        <f t="shared" si="572"/>
        <v>0</v>
      </c>
      <c r="JQ22" s="82">
        <f t="shared" si="572"/>
        <v>0</v>
      </c>
      <c r="JR22" s="82">
        <f t="shared" si="572"/>
        <v>0</v>
      </c>
      <c r="JS22" s="82">
        <f t="shared" si="572"/>
        <v>0</v>
      </c>
      <c r="JT22" s="82">
        <f t="shared" si="572"/>
        <v>0</v>
      </c>
      <c r="JU22" s="82">
        <f t="shared" si="572"/>
        <v>0</v>
      </c>
      <c r="JV22" s="82">
        <f t="shared" si="572"/>
        <v>0</v>
      </c>
      <c r="JW22" s="82">
        <f t="shared" si="572"/>
        <v>0</v>
      </c>
      <c r="JX22" s="82">
        <f t="shared" si="572"/>
        <v>0</v>
      </c>
      <c r="JY22" s="133"/>
      <c r="JZ22" s="82">
        <f>JY22</f>
        <v>0</v>
      </c>
      <c r="KA22" s="82">
        <f t="shared" si="438"/>
        <v>0</v>
      </c>
      <c r="KB22" s="82">
        <f t="shared" ref="KB22:LD22" si="573">KA22</f>
        <v>0</v>
      </c>
      <c r="KC22" s="82">
        <f t="shared" si="573"/>
        <v>0</v>
      </c>
      <c r="KD22" s="82">
        <f t="shared" si="573"/>
        <v>0</v>
      </c>
      <c r="KE22" s="82">
        <f t="shared" si="573"/>
        <v>0</v>
      </c>
      <c r="KF22" s="82">
        <f t="shared" si="573"/>
        <v>0</v>
      </c>
      <c r="KG22" s="82">
        <f t="shared" si="573"/>
        <v>0</v>
      </c>
      <c r="KH22" s="82">
        <f t="shared" si="573"/>
        <v>0</v>
      </c>
      <c r="KI22" s="82">
        <f t="shared" si="573"/>
        <v>0</v>
      </c>
      <c r="KJ22" s="82">
        <f t="shared" si="573"/>
        <v>0</v>
      </c>
      <c r="KK22" s="82">
        <f t="shared" si="573"/>
        <v>0</v>
      </c>
      <c r="KL22" s="82">
        <f t="shared" si="573"/>
        <v>0</v>
      </c>
      <c r="KM22" s="82">
        <f t="shared" si="573"/>
        <v>0</v>
      </c>
      <c r="KN22" s="82">
        <f t="shared" si="573"/>
        <v>0</v>
      </c>
      <c r="KO22" s="82">
        <f t="shared" si="573"/>
        <v>0</v>
      </c>
      <c r="KP22" s="82">
        <f t="shared" si="573"/>
        <v>0</v>
      </c>
      <c r="KQ22" s="82">
        <f t="shared" si="573"/>
        <v>0</v>
      </c>
      <c r="KR22" s="82">
        <f t="shared" si="573"/>
        <v>0</v>
      </c>
      <c r="KS22" s="82">
        <f t="shared" si="573"/>
        <v>0</v>
      </c>
      <c r="KT22" s="82">
        <f t="shared" si="573"/>
        <v>0</v>
      </c>
      <c r="KU22" s="82">
        <f t="shared" si="573"/>
        <v>0</v>
      </c>
      <c r="KV22" s="82">
        <f t="shared" si="573"/>
        <v>0</v>
      </c>
      <c r="KW22" s="82">
        <f t="shared" si="573"/>
        <v>0</v>
      </c>
      <c r="KX22" s="82">
        <f t="shared" si="573"/>
        <v>0</v>
      </c>
      <c r="KY22" s="82">
        <f t="shared" si="573"/>
        <v>0</v>
      </c>
      <c r="KZ22" s="82">
        <f t="shared" si="573"/>
        <v>0</v>
      </c>
      <c r="LA22" s="82">
        <f t="shared" si="573"/>
        <v>0</v>
      </c>
      <c r="LB22" s="82">
        <f t="shared" si="573"/>
        <v>0</v>
      </c>
      <c r="LC22" s="82">
        <f t="shared" si="573"/>
        <v>0</v>
      </c>
      <c r="LD22" s="82">
        <f t="shared" si="573"/>
        <v>0</v>
      </c>
      <c r="LE22" s="130"/>
      <c r="LF22" s="82">
        <f>LE22</f>
        <v>0</v>
      </c>
      <c r="LG22" s="82">
        <f t="shared" ref="LG22:LO22" si="574">LF22</f>
        <v>0</v>
      </c>
      <c r="LH22" s="82">
        <f t="shared" si="574"/>
        <v>0</v>
      </c>
      <c r="LI22" s="82">
        <f t="shared" si="574"/>
        <v>0</v>
      </c>
      <c r="LJ22" s="82">
        <f t="shared" si="574"/>
        <v>0</v>
      </c>
      <c r="LK22" s="82">
        <f t="shared" si="574"/>
        <v>0</v>
      </c>
      <c r="LL22" s="82">
        <f t="shared" si="574"/>
        <v>0</v>
      </c>
      <c r="LM22" s="82">
        <f t="shared" si="574"/>
        <v>0</v>
      </c>
      <c r="LN22" s="82">
        <f t="shared" si="574"/>
        <v>0</v>
      </c>
      <c r="LO22" s="82">
        <f t="shared" si="574"/>
        <v>0</v>
      </c>
      <c r="LP22" s="82">
        <f t="shared" si="500"/>
        <v>0</v>
      </c>
      <c r="LQ22" s="82">
        <f>LP22</f>
        <v>0</v>
      </c>
      <c r="LR22" s="82">
        <f>LQ22</f>
        <v>0</v>
      </c>
      <c r="LS22" s="82">
        <f t="shared" si="213"/>
        <v>0</v>
      </c>
      <c r="LT22" s="82">
        <f t="shared" si="213"/>
        <v>0</v>
      </c>
      <c r="LU22" s="82">
        <f t="shared" si="213"/>
        <v>0</v>
      </c>
      <c r="LV22" s="82">
        <f t="shared" si="213"/>
        <v>0</v>
      </c>
      <c r="LW22" s="82">
        <f t="shared" si="213"/>
        <v>0</v>
      </c>
      <c r="LX22" s="82">
        <f t="shared" si="279"/>
        <v>0</v>
      </c>
      <c r="LY22" s="82">
        <f t="shared" ref="LY22:MI22" si="575">LX22</f>
        <v>0</v>
      </c>
      <c r="LZ22" s="82">
        <f t="shared" si="575"/>
        <v>0</v>
      </c>
      <c r="MA22" s="82">
        <f t="shared" si="575"/>
        <v>0</v>
      </c>
      <c r="MB22" s="82">
        <f t="shared" si="575"/>
        <v>0</v>
      </c>
      <c r="MC22" s="82">
        <f t="shared" si="575"/>
        <v>0</v>
      </c>
      <c r="MD22" s="82">
        <f t="shared" si="575"/>
        <v>0</v>
      </c>
      <c r="ME22" s="82">
        <f t="shared" si="575"/>
        <v>0</v>
      </c>
      <c r="MF22" s="82">
        <f t="shared" si="575"/>
        <v>0</v>
      </c>
      <c r="MG22" s="82">
        <f t="shared" si="575"/>
        <v>0</v>
      </c>
      <c r="MH22" s="82">
        <f t="shared" si="575"/>
        <v>0</v>
      </c>
      <c r="MI22" s="82">
        <f t="shared" si="575"/>
        <v>0</v>
      </c>
      <c r="MJ22" s="133"/>
      <c r="MK22" s="82">
        <f>MJ22</f>
        <v>0</v>
      </c>
      <c r="ML22" s="82">
        <v>255000</v>
      </c>
      <c r="MM22" s="82">
        <f>ML22-100000</f>
        <v>155000</v>
      </c>
      <c r="MN22" s="82">
        <f t="shared" ref="MN22:NG22" si="576">MM22</f>
        <v>155000</v>
      </c>
      <c r="MO22" s="82">
        <f t="shared" si="576"/>
        <v>155000</v>
      </c>
      <c r="MP22" s="82">
        <f t="shared" si="576"/>
        <v>155000</v>
      </c>
      <c r="MQ22" s="82">
        <f t="shared" si="576"/>
        <v>155000</v>
      </c>
      <c r="MR22" s="82">
        <f t="shared" si="576"/>
        <v>155000</v>
      </c>
      <c r="MS22" s="82">
        <f t="shared" si="576"/>
        <v>155000</v>
      </c>
      <c r="MT22" s="82">
        <f t="shared" si="576"/>
        <v>155000</v>
      </c>
      <c r="MU22" s="82">
        <f t="shared" si="576"/>
        <v>155000</v>
      </c>
      <c r="MV22" s="82">
        <f t="shared" si="576"/>
        <v>155000</v>
      </c>
      <c r="MW22" s="82">
        <f t="shared" si="576"/>
        <v>155000</v>
      </c>
      <c r="MX22" s="82">
        <f t="shared" si="576"/>
        <v>155000</v>
      </c>
      <c r="MY22" s="82">
        <f t="shared" si="576"/>
        <v>155000</v>
      </c>
      <c r="MZ22" s="82">
        <f t="shared" si="576"/>
        <v>155000</v>
      </c>
      <c r="NA22" s="82">
        <f t="shared" si="576"/>
        <v>155000</v>
      </c>
      <c r="NB22" s="82">
        <f t="shared" si="576"/>
        <v>155000</v>
      </c>
      <c r="NC22" s="82">
        <f t="shared" si="576"/>
        <v>155000</v>
      </c>
      <c r="ND22" s="82">
        <f t="shared" si="576"/>
        <v>155000</v>
      </c>
      <c r="NE22" s="82">
        <f t="shared" si="576"/>
        <v>155000</v>
      </c>
      <c r="NF22" s="82">
        <f t="shared" si="576"/>
        <v>155000</v>
      </c>
      <c r="NG22" s="82">
        <f t="shared" si="576"/>
        <v>155000</v>
      </c>
      <c r="NH22" s="82">
        <f>NG22+62000</f>
        <v>217000</v>
      </c>
      <c r="NI22" s="82">
        <f t="shared" ref="NI22:NN22" si="577">NH22</f>
        <v>217000</v>
      </c>
      <c r="NJ22" s="82">
        <f t="shared" si="577"/>
        <v>217000</v>
      </c>
      <c r="NK22" s="82">
        <f t="shared" si="577"/>
        <v>217000</v>
      </c>
      <c r="NL22" s="82">
        <f t="shared" si="577"/>
        <v>217000</v>
      </c>
      <c r="NM22" s="82">
        <f t="shared" si="577"/>
        <v>217000</v>
      </c>
      <c r="NN22" s="82">
        <f t="shared" si="577"/>
        <v>217000</v>
      </c>
      <c r="NO22" s="82">
        <f>NN22-22000</f>
        <v>195000</v>
      </c>
      <c r="NP22" s="133"/>
      <c r="NQ22" s="82">
        <f>NO22</f>
        <v>195000</v>
      </c>
      <c r="NR22" s="82">
        <f>NQ22-100000</f>
        <v>95000</v>
      </c>
      <c r="NS22" s="82">
        <f>NR22</f>
        <v>95000</v>
      </c>
      <c r="NT22" s="82">
        <f t="shared" ref="NT22:OC25" si="578">NR22</f>
        <v>95000</v>
      </c>
      <c r="NU22" s="82">
        <f t="shared" si="578"/>
        <v>95000</v>
      </c>
      <c r="NV22" s="82">
        <f t="shared" si="578"/>
        <v>95000</v>
      </c>
      <c r="NW22" s="82">
        <f t="shared" si="578"/>
        <v>95000</v>
      </c>
      <c r="NX22" s="82">
        <f t="shared" si="578"/>
        <v>95000</v>
      </c>
      <c r="NY22" s="82">
        <f t="shared" si="578"/>
        <v>95000</v>
      </c>
      <c r="NZ22" s="82">
        <f t="shared" si="578"/>
        <v>95000</v>
      </c>
      <c r="OA22" s="82">
        <f t="shared" si="578"/>
        <v>95000</v>
      </c>
      <c r="OB22" s="82">
        <f t="shared" si="578"/>
        <v>95000</v>
      </c>
      <c r="OC22" s="82">
        <f t="shared" si="578"/>
        <v>95000</v>
      </c>
      <c r="OD22" s="82">
        <f t="shared" ref="OD22:OM25" si="579">OB22</f>
        <v>95000</v>
      </c>
      <c r="OE22" s="82">
        <f t="shared" si="579"/>
        <v>95000</v>
      </c>
      <c r="OF22" s="82">
        <f t="shared" si="579"/>
        <v>95000</v>
      </c>
      <c r="OG22" s="82">
        <f t="shared" si="579"/>
        <v>95000</v>
      </c>
      <c r="OH22" s="82">
        <f t="shared" si="579"/>
        <v>95000</v>
      </c>
      <c r="OI22" s="82">
        <f t="shared" si="579"/>
        <v>95000</v>
      </c>
      <c r="OJ22" s="82">
        <f t="shared" si="579"/>
        <v>95000</v>
      </c>
      <c r="OK22" s="82">
        <f t="shared" si="579"/>
        <v>95000</v>
      </c>
      <c r="OL22" s="82">
        <f t="shared" si="579"/>
        <v>95000</v>
      </c>
      <c r="OM22" s="82">
        <f t="shared" si="579"/>
        <v>95000</v>
      </c>
      <c r="ON22" s="82">
        <f t="shared" ref="ON22:OW25" si="580">OL22</f>
        <v>95000</v>
      </c>
      <c r="OO22" s="82">
        <f t="shared" si="580"/>
        <v>95000</v>
      </c>
      <c r="OP22" s="82">
        <f t="shared" si="580"/>
        <v>95000</v>
      </c>
      <c r="OQ22" s="82">
        <f t="shared" si="580"/>
        <v>95000</v>
      </c>
      <c r="OR22" s="82">
        <f t="shared" si="580"/>
        <v>95000</v>
      </c>
      <c r="OS22" s="82">
        <f t="shared" si="580"/>
        <v>95000</v>
      </c>
      <c r="OT22" s="82">
        <f t="shared" si="580"/>
        <v>95000</v>
      </c>
      <c r="OU22" s="82">
        <f t="shared" si="580"/>
        <v>95000</v>
      </c>
      <c r="OV22" s="130"/>
      <c r="OW22" s="82">
        <f>OU22</f>
        <v>95000</v>
      </c>
      <c r="OX22" s="82">
        <f>OW22</f>
        <v>95000</v>
      </c>
      <c r="OY22" s="82">
        <f>OW22-63000+10000</f>
        <v>42000</v>
      </c>
      <c r="OZ22" s="82">
        <f>OY22</f>
        <v>42000</v>
      </c>
      <c r="PA22" s="82">
        <f t="shared" ref="PA22:PZ22" si="581">OY22</f>
        <v>42000</v>
      </c>
      <c r="PB22" s="82">
        <f t="shared" si="581"/>
        <v>42000</v>
      </c>
      <c r="PC22" s="82">
        <f t="shared" si="581"/>
        <v>42000</v>
      </c>
      <c r="PD22" s="82">
        <f t="shared" si="581"/>
        <v>42000</v>
      </c>
      <c r="PE22" s="82">
        <f t="shared" si="581"/>
        <v>42000</v>
      </c>
      <c r="PF22" s="82">
        <f t="shared" si="581"/>
        <v>42000</v>
      </c>
      <c r="PG22" s="82">
        <f t="shared" si="581"/>
        <v>42000</v>
      </c>
      <c r="PH22" s="82">
        <f t="shared" si="581"/>
        <v>42000</v>
      </c>
      <c r="PI22" s="82">
        <f t="shared" si="581"/>
        <v>42000</v>
      </c>
      <c r="PJ22" s="82">
        <f t="shared" si="581"/>
        <v>42000</v>
      </c>
      <c r="PK22" s="82">
        <f t="shared" si="581"/>
        <v>42000</v>
      </c>
      <c r="PL22" s="82">
        <f t="shared" si="581"/>
        <v>42000</v>
      </c>
      <c r="PM22" s="82">
        <f t="shared" si="581"/>
        <v>42000</v>
      </c>
      <c r="PN22" s="82">
        <f t="shared" si="581"/>
        <v>42000</v>
      </c>
      <c r="PO22" s="82">
        <f t="shared" si="581"/>
        <v>42000</v>
      </c>
      <c r="PP22" s="82">
        <f t="shared" si="581"/>
        <v>42000</v>
      </c>
      <c r="PQ22" s="82">
        <f t="shared" si="581"/>
        <v>42000</v>
      </c>
      <c r="PR22" s="82">
        <f t="shared" si="581"/>
        <v>42000</v>
      </c>
      <c r="PS22" s="82">
        <f t="shared" si="581"/>
        <v>42000</v>
      </c>
      <c r="PT22" s="82">
        <f t="shared" si="581"/>
        <v>42000</v>
      </c>
      <c r="PU22" s="82">
        <f t="shared" si="581"/>
        <v>42000</v>
      </c>
      <c r="PV22" s="82">
        <f t="shared" si="581"/>
        <v>42000</v>
      </c>
      <c r="PW22" s="82">
        <f t="shared" si="581"/>
        <v>42000</v>
      </c>
      <c r="PX22" s="82">
        <f t="shared" si="581"/>
        <v>42000</v>
      </c>
      <c r="PY22" s="82">
        <f t="shared" si="581"/>
        <v>42000</v>
      </c>
      <c r="PZ22" s="82">
        <f t="shared" si="581"/>
        <v>42000</v>
      </c>
      <c r="QA22" s="130"/>
      <c r="QB22" s="82">
        <f>PZ22</f>
        <v>42000</v>
      </c>
      <c r="QC22" s="82">
        <f>QA22</f>
        <v>0</v>
      </c>
      <c r="QD22" s="82">
        <v>0</v>
      </c>
      <c r="QE22" s="82">
        <f t="shared" ref="QE22:RF22" si="582">QC22</f>
        <v>0</v>
      </c>
      <c r="QF22" s="82">
        <f t="shared" si="582"/>
        <v>0</v>
      </c>
      <c r="QG22" s="82">
        <f t="shared" si="582"/>
        <v>0</v>
      </c>
      <c r="QH22" s="82">
        <f t="shared" si="582"/>
        <v>0</v>
      </c>
      <c r="QI22" s="82">
        <f t="shared" si="582"/>
        <v>0</v>
      </c>
      <c r="QJ22" s="82">
        <f t="shared" si="582"/>
        <v>0</v>
      </c>
      <c r="QK22" s="82">
        <f t="shared" si="582"/>
        <v>0</v>
      </c>
      <c r="QL22" s="82">
        <f t="shared" si="582"/>
        <v>0</v>
      </c>
      <c r="QM22" s="82">
        <f t="shared" si="582"/>
        <v>0</v>
      </c>
      <c r="QN22" s="82">
        <f t="shared" si="582"/>
        <v>0</v>
      </c>
      <c r="QO22" s="82">
        <f t="shared" si="582"/>
        <v>0</v>
      </c>
      <c r="QP22" s="82">
        <f t="shared" si="582"/>
        <v>0</v>
      </c>
      <c r="QQ22" s="82">
        <f t="shared" si="582"/>
        <v>0</v>
      </c>
      <c r="QR22" s="82">
        <f t="shared" si="582"/>
        <v>0</v>
      </c>
      <c r="QS22" s="82">
        <f t="shared" si="582"/>
        <v>0</v>
      </c>
      <c r="QT22" s="82">
        <f t="shared" si="582"/>
        <v>0</v>
      </c>
      <c r="QU22" s="82">
        <f t="shared" si="582"/>
        <v>0</v>
      </c>
      <c r="QV22" s="82">
        <f t="shared" si="582"/>
        <v>0</v>
      </c>
      <c r="QW22" s="82">
        <f t="shared" si="582"/>
        <v>0</v>
      </c>
      <c r="QX22" s="82">
        <f t="shared" si="582"/>
        <v>0</v>
      </c>
      <c r="QY22" s="82">
        <f t="shared" si="582"/>
        <v>0</v>
      </c>
      <c r="QZ22" s="82">
        <f t="shared" si="582"/>
        <v>0</v>
      </c>
      <c r="RA22" s="82">
        <f t="shared" si="582"/>
        <v>0</v>
      </c>
      <c r="RB22" s="82">
        <f t="shared" si="582"/>
        <v>0</v>
      </c>
      <c r="RC22" s="82">
        <f t="shared" si="582"/>
        <v>0</v>
      </c>
      <c r="RD22" s="82">
        <f t="shared" si="582"/>
        <v>0</v>
      </c>
      <c r="RE22" s="82">
        <f t="shared" si="582"/>
        <v>0</v>
      </c>
      <c r="RF22" s="82">
        <f t="shared" si="582"/>
        <v>0</v>
      </c>
      <c r="RG22" s="130"/>
      <c r="RH22" s="82">
        <f t="shared" ref="RH22:SK22" si="583">RF22</f>
        <v>0</v>
      </c>
      <c r="RI22" s="82">
        <f t="shared" si="583"/>
        <v>0</v>
      </c>
      <c r="RJ22" s="82">
        <f t="shared" si="583"/>
        <v>0</v>
      </c>
      <c r="RK22" s="82">
        <f t="shared" si="583"/>
        <v>0</v>
      </c>
      <c r="RL22" s="82">
        <f t="shared" si="583"/>
        <v>0</v>
      </c>
      <c r="RM22" s="82">
        <f t="shared" si="583"/>
        <v>0</v>
      </c>
      <c r="RN22" s="82">
        <f t="shared" si="583"/>
        <v>0</v>
      </c>
      <c r="RO22" s="82">
        <f t="shared" si="583"/>
        <v>0</v>
      </c>
      <c r="RP22" s="82">
        <f t="shared" si="583"/>
        <v>0</v>
      </c>
      <c r="RQ22" s="82">
        <f t="shared" si="583"/>
        <v>0</v>
      </c>
      <c r="RR22" s="82">
        <f t="shared" si="583"/>
        <v>0</v>
      </c>
      <c r="RS22" s="82">
        <f t="shared" si="583"/>
        <v>0</v>
      </c>
      <c r="RT22" s="82">
        <f t="shared" si="583"/>
        <v>0</v>
      </c>
      <c r="RU22" s="82">
        <f t="shared" si="583"/>
        <v>0</v>
      </c>
      <c r="RV22" s="82">
        <f t="shared" si="583"/>
        <v>0</v>
      </c>
      <c r="RW22" s="82">
        <f t="shared" si="583"/>
        <v>0</v>
      </c>
      <c r="RX22" s="82">
        <f t="shared" si="583"/>
        <v>0</v>
      </c>
      <c r="RY22" s="82">
        <f t="shared" si="583"/>
        <v>0</v>
      </c>
      <c r="RZ22" s="82">
        <f t="shared" si="583"/>
        <v>0</v>
      </c>
      <c r="SA22" s="82">
        <f t="shared" si="583"/>
        <v>0</v>
      </c>
      <c r="SB22" s="82">
        <f t="shared" si="583"/>
        <v>0</v>
      </c>
      <c r="SC22" s="82">
        <f t="shared" si="583"/>
        <v>0</v>
      </c>
      <c r="SD22" s="82">
        <f t="shared" si="583"/>
        <v>0</v>
      </c>
      <c r="SE22" s="82">
        <f t="shared" si="583"/>
        <v>0</v>
      </c>
      <c r="SF22" s="82">
        <f t="shared" si="583"/>
        <v>0</v>
      </c>
      <c r="SG22" s="82">
        <f t="shared" si="583"/>
        <v>0</v>
      </c>
      <c r="SH22" s="82">
        <f t="shared" si="583"/>
        <v>0</v>
      </c>
      <c r="SI22" s="82">
        <f t="shared" si="583"/>
        <v>0</v>
      </c>
      <c r="SJ22" s="82">
        <f t="shared" si="583"/>
        <v>0</v>
      </c>
      <c r="SK22" s="82">
        <f t="shared" si="583"/>
        <v>0</v>
      </c>
      <c r="SL22" s="130"/>
      <c r="SM22" s="82">
        <f t="shared" ref="SM22:TD22" si="584">SK22</f>
        <v>0</v>
      </c>
      <c r="SN22" s="82">
        <f t="shared" si="584"/>
        <v>0</v>
      </c>
      <c r="SO22" s="82">
        <f t="shared" si="584"/>
        <v>0</v>
      </c>
      <c r="SP22" s="82">
        <f t="shared" si="584"/>
        <v>0</v>
      </c>
      <c r="SQ22" s="82">
        <f t="shared" si="584"/>
        <v>0</v>
      </c>
      <c r="SR22" s="82">
        <f t="shared" si="584"/>
        <v>0</v>
      </c>
      <c r="SS22" s="82">
        <f t="shared" si="584"/>
        <v>0</v>
      </c>
      <c r="ST22" s="82">
        <f t="shared" si="584"/>
        <v>0</v>
      </c>
      <c r="SU22" s="82">
        <f t="shared" si="584"/>
        <v>0</v>
      </c>
      <c r="SV22" s="82">
        <f t="shared" si="584"/>
        <v>0</v>
      </c>
      <c r="SW22" s="82">
        <f t="shared" si="584"/>
        <v>0</v>
      </c>
      <c r="SX22" s="82">
        <f t="shared" si="584"/>
        <v>0</v>
      </c>
      <c r="SY22" s="82">
        <f t="shared" si="584"/>
        <v>0</v>
      </c>
      <c r="SZ22" s="82">
        <f t="shared" si="584"/>
        <v>0</v>
      </c>
      <c r="TA22" s="82">
        <f t="shared" si="584"/>
        <v>0</v>
      </c>
      <c r="TB22" s="82">
        <f t="shared" si="584"/>
        <v>0</v>
      </c>
      <c r="TC22" s="82">
        <f t="shared" si="584"/>
        <v>0</v>
      </c>
      <c r="TD22" s="82">
        <f t="shared" si="584"/>
        <v>0</v>
      </c>
      <c r="TE22" s="82">
        <v>800000</v>
      </c>
      <c r="TF22" s="82">
        <v>800000</v>
      </c>
      <c r="TG22" s="82">
        <f t="shared" ref="TG22:TQ22" si="585">TE22</f>
        <v>800000</v>
      </c>
      <c r="TH22" s="82">
        <f t="shared" si="585"/>
        <v>800000</v>
      </c>
      <c r="TI22" s="82">
        <f t="shared" si="585"/>
        <v>800000</v>
      </c>
      <c r="TJ22" s="82">
        <f t="shared" si="585"/>
        <v>800000</v>
      </c>
      <c r="TK22" s="82">
        <f t="shared" si="585"/>
        <v>800000</v>
      </c>
      <c r="TL22" s="82">
        <f t="shared" si="585"/>
        <v>800000</v>
      </c>
      <c r="TM22" s="82">
        <f t="shared" si="585"/>
        <v>800000</v>
      </c>
      <c r="TN22" s="82">
        <f t="shared" si="585"/>
        <v>800000</v>
      </c>
      <c r="TO22" s="82">
        <f t="shared" si="585"/>
        <v>800000</v>
      </c>
      <c r="TP22" s="82">
        <f t="shared" si="585"/>
        <v>800000</v>
      </c>
      <c r="TQ22" s="82">
        <f t="shared" si="585"/>
        <v>800000</v>
      </c>
      <c r="TR22" s="130"/>
      <c r="TS22" s="82">
        <f>TQ22</f>
        <v>800000</v>
      </c>
      <c r="TT22" s="82">
        <f t="shared" ref="TT22:UF22" si="586">TS22</f>
        <v>800000</v>
      </c>
      <c r="TU22" s="82">
        <f t="shared" si="586"/>
        <v>800000</v>
      </c>
      <c r="TV22" s="82">
        <f t="shared" si="586"/>
        <v>800000</v>
      </c>
      <c r="TW22" s="82">
        <f t="shared" si="586"/>
        <v>800000</v>
      </c>
      <c r="TX22" s="82">
        <f t="shared" si="586"/>
        <v>800000</v>
      </c>
      <c r="TY22" s="82">
        <f t="shared" si="586"/>
        <v>800000</v>
      </c>
      <c r="TZ22" s="82">
        <f t="shared" si="586"/>
        <v>800000</v>
      </c>
      <c r="UA22" s="82">
        <f t="shared" si="586"/>
        <v>800000</v>
      </c>
      <c r="UB22" s="82">
        <f t="shared" si="586"/>
        <v>800000</v>
      </c>
      <c r="UC22" s="82">
        <f t="shared" si="586"/>
        <v>800000</v>
      </c>
      <c r="UD22" s="82">
        <f t="shared" si="586"/>
        <v>800000</v>
      </c>
      <c r="UE22" s="82">
        <f t="shared" si="586"/>
        <v>800000</v>
      </c>
      <c r="UF22" s="82">
        <f t="shared" si="586"/>
        <v>800000</v>
      </c>
      <c r="UG22" s="82">
        <f>UF22-700000</f>
        <v>100000</v>
      </c>
      <c r="UH22" s="82">
        <f t="shared" ref="UH22:UW22" si="587">UG22</f>
        <v>100000</v>
      </c>
      <c r="UI22" s="82">
        <f t="shared" si="587"/>
        <v>100000</v>
      </c>
      <c r="UJ22" s="82">
        <f t="shared" si="587"/>
        <v>100000</v>
      </c>
      <c r="UK22" s="82">
        <f t="shared" si="587"/>
        <v>100000</v>
      </c>
      <c r="UL22" s="82">
        <f t="shared" si="587"/>
        <v>100000</v>
      </c>
      <c r="UM22" s="82">
        <f t="shared" si="587"/>
        <v>100000</v>
      </c>
      <c r="UN22" s="82">
        <f t="shared" si="587"/>
        <v>100000</v>
      </c>
      <c r="UO22" s="82">
        <f t="shared" si="587"/>
        <v>100000</v>
      </c>
      <c r="UP22" s="82">
        <f t="shared" si="587"/>
        <v>100000</v>
      </c>
      <c r="UQ22" s="82">
        <f t="shared" si="587"/>
        <v>100000</v>
      </c>
      <c r="UR22" s="82">
        <f t="shared" si="587"/>
        <v>100000</v>
      </c>
      <c r="US22" s="82">
        <f t="shared" si="587"/>
        <v>100000</v>
      </c>
      <c r="UT22" s="82">
        <f t="shared" si="587"/>
        <v>100000</v>
      </c>
      <c r="UU22" s="82">
        <f t="shared" si="587"/>
        <v>100000</v>
      </c>
      <c r="UV22" s="82">
        <f t="shared" si="587"/>
        <v>100000</v>
      </c>
      <c r="UW22" s="82">
        <f t="shared" si="587"/>
        <v>100000</v>
      </c>
      <c r="UX22" s="130"/>
      <c r="UY22" s="82">
        <f>UW22</f>
        <v>100000</v>
      </c>
      <c r="UZ22" s="82">
        <f>UY22</f>
        <v>100000</v>
      </c>
      <c r="VA22" s="82">
        <f t="shared" ref="VA22:VQ22" si="588">UY22</f>
        <v>100000</v>
      </c>
      <c r="VB22" s="82">
        <f t="shared" si="588"/>
        <v>100000</v>
      </c>
      <c r="VC22" s="82">
        <f t="shared" si="588"/>
        <v>100000</v>
      </c>
      <c r="VD22" s="82">
        <f t="shared" si="588"/>
        <v>100000</v>
      </c>
      <c r="VE22" s="82">
        <f t="shared" si="588"/>
        <v>100000</v>
      </c>
      <c r="VF22" s="82">
        <f t="shared" si="588"/>
        <v>100000</v>
      </c>
      <c r="VG22" s="82">
        <f t="shared" si="588"/>
        <v>100000</v>
      </c>
      <c r="VH22" s="82">
        <f t="shared" si="588"/>
        <v>100000</v>
      </c>
      <c r="VI22" s="82">
        <f t="shared" si="588"/>
        <v>100000</v>
      </c>
      <c r="VJ22" s="82">
        <f t="shared" si="588"/>
        <v>100000</v>
      </c>
      <c r="VK22" s="82">
        <f t="shared" si="588"/>
        <v>100000</v>
      </c>
      <c r="VL22" s="82">
        <f t="shared" si="588"/>
        <v>100000</v>
      </c>
      <c r="VM22" s="82">
        <f t="shared" si="588"/>
        <v>100000</v>
      </c>
      <c r="VN22" s="82">
        <f t="shared" si="588"/>
        <v>100000</v>
      </c>
      <c r="VO22" s="82">
        <f t="shared" si="588"/>
        <v>100000</v>
      </c>
      <c r="VP22" s="82">
        <f t="shared" si="588"/>
        <v>100000</v>
      </c>
      <c r="VQ22" s="82">
        <f t="shared" si="588"/>
        <v>100000</v>
      </c>
      <c r="VR22" s="82">
        <f>VP22+440000</f>
        <v>540000</v>
      </c>
      <c r="VS22" s="82">
        <f>VR22</f>
        <v>540000</v>
      </c>
      <c r="VT22" s="82">
        <f t="shared" ref="VT22:VZ22" si="589">VR22</f>
        <v>540000</v>
      </c>
      <c r="VU22" s="82">
        <f t="shared" si="589"/>
        <v>540000</v>
      </c>
      <c r="VV22" s="82">
        <f t="shared" si="589"/>
        <v>540000</v>
      </c>
      <c r="VW22" s="82">
        <f t="shared" si="589"/>
        <v>540000</v>
      </c>
      <c r="VX22" s="82">
        <f t="shared" si="589"/>
        <v>540000</v>
      </c>
      <c r="VY22" s="82">
        <f t="shared" si="589"/>
        <v>540000</v>
      </c>
      <c r="VZ22" s="82">
        <f t="shared" si="589"/>
        <v>540000</v>
      </c>
      <c r="WA22" s="133"/>
      <c r="WB22" s="82">
        <f>VZ22</f>
        <v>540000</v>
      </c>
      <c r="WC22" s="82">
        <f>WB22</f>
        <v>540000</v>
      </c>
      <c r="WD22" s="82">
        <f>WB22-300000</f>
        <v>240000</v>
      </c>
      <c r="WE22" s="82">
        <f>WD22</f>
        <v>240000</v>
      </c>
      <c r="WF22" s="82">
        <f>WD22</f>
        <v>240000</v>
      </c>
      <c r="WG22" s="82">
        <f>WE22+30000</f>
        <v>270000</v>
      </c>
      <c r="WH22" s="82">
        <f>WG22</f>
        <v>270000</v>
      </c>
      <c r="WI22" s="82">
        <f t="shared" ref="WI22:XF22" si="590">WG22</f>
        <v>270000</v>
      </c>
      <c r="WJ22" s="82">
        <f t="shared" si="590"/>
        <v>270000</v>
      </c>
      <c r="WK22" s="82">
        <f t="shared" si="590"/>
        <v>270000</v>
      </c>
      <c r="WL22" s="82">
        <f t="shared" si="590"/>
        <v>270000</v>
      </c>
      <c r="WM22" s="82">
        <f t="shared" si="590"/>
        <v>270000</v>
      </c>
      <c r="WN22" s="82">
        <f t="shared" si="590"/>
        <v>270000</v>
      </c>
      <c r="WO22" s="82">
        <f t="shared" si="590"/>
        <v>270000</v>
      </c>
      <c r="WP22" s="82">
        <f t="shared" si="590"/>
        <v>270000</v>
      </c>
      <c r="WQ22" s="82">
        <f t="shared" si="590"/>
        <v>270000</v>
      </c>
      <c r="WR22" s="82">
        <f t="shared" si="590"/>
        <v>270000</v>
      </c>
      <c r="WS22" s="82">
        <f t="shared" si="590"/>
        <v>270000</v>
      </c>
      <c r="WT22" s="82">
        <f t="shared" si="590"/>
        <v>270000</v>
      </c>
      <c r="WU22" s="82">
        <f t="shared" si="590"/>
        <v>270000</v>
      </c>
      <c r="WV22" s="82">
        <f t="shared" si="590"/>
        <v>270000</v>
      </c>
      <c r="WW22" s="82">
        <f t="shared" si="590"/>
        <v>270000</v>
      </c>
      <c r="WX22" s="82">
        <f t="shared" si="590"/>
        <v>270000</v>
      </c>
      <c r="WY22" s="82">
        <f t="shared" si="590"/>
        <v>270000</v>
      </c>
      <c r="WZ22" s="82">
        <f t="shared" si="590"/>
        <v>270000</v>
      </c>
      <c r="XA22" s="82">
        <f t="shared" si="590"/>
        <v>270000</v>
      </c>
      <c r="XB22" s="82">
        <f t="shared" si="590"/>
        <v>270000</v>
      </c>
      <c r="XC22" s="82">
        <f t="shared" si="590"/>
        <v>270000</v>
      </c>
      <c r="XD22" s="82">
        <f t="shared" si="590"/>
        <v>270000</v>
      </c>
      <c r="XE22" s="82">
        <f t="shared" si="590"/>
        <v>270000</v>
      </c>
      <c r="XF22" s="82">
        <f t="shared" si="590"/>
        <v>270000</v>
      </c>
      <c r="XG22" s="133"/>
      <c r="XH22" s="82">
        <f>XF22</f>
        <v>270000</v>
      </c>
      <c r="XI22" s="82">
        <f>XH22</f>
        <v>270000</v>
      </c>
      <c r="XJ22" s="82">
        <f>XI22</f>
        <v>270000</v>
      </c>
      <c r="XK22" s="82">
        <v>0</v>
      </c>
      <c r="XL22" s="82">
        <f>XK22</f>
        <v>0</v>
      </c>
      <c r="XM22" s="82">
        <f>XL22</f>
        <v>0</v>
      </c>
      <c r="XN22" s="82">
        <f>XM22</f>
        <v>0</v>
      </c>
      <c r="XO22" s="82">
        <f>XN22</f>
        <v>0</v>
      </c>
      <c r="XP22" s="82">
        <f>XO22</f>
        <v>0</v>
      </c>
      <c r="XQ22" s="82">
        <f t="shared" ref="XQ22:YC22" si="591">XP22</f>
        <v>0</v>
      </c>
      <c r="XR22" s="82">
        <f t="shared" si="591"/>
        <v>0</v>
      </c>
      <c r="XS22" s="82">
        <f t="shared" si="591"/>
        <v>0</v>
      </c>
      <c r="XT22" s="82">
        <f t="shared" si="591"/>
        <v>0</v>
      </c>
      <c r="XU22" s="82">
        <f t="shared" si="591"/>
        <v>0</v>
      </c>
      <c r="XV22" s="82">
        <f t="shared" si="591"/>
        <v>0</v>
      </c>
      <c r="XW22" s="82">
        <f t="shared" si="591"/>
        <v>0</v>
      </c>
      <c r="XX22" s="82">
        <f t="shared" si="591"/>
        <v>0</v>
      </c>
      <c r="XY22" s="82">
        <f t="shared" si="591"/>
        <v>0</v>
      </c>
      <c r="XZ22" s="82">
        <f t="shared" si="591"/>
        <v>0</v>
      </c>
      <c r="YA22" s="82">
        <f t="shared" si="591"/>
        <v>0</v>
      </c>
      <c r="YB22" s="82">
        <f t="shared" si="591"/>
        <v>0</v>
      </c>
      <c r="YC22" s="82">
        <f t="shared" si="591"/>
        <v>0</v>
      </c>
      <c r="YD22" s="82">
        <v>500000</v>
      </c>
      <c r="YE22" s="82">
        <f t="shared" ref="YE22:YK22" si="592">YD22</f>
        <v>500000</v>
      </c>
      <c r="YF22" s="82">
        <f t="shared" si="592"/>
        <v>500000</v>
      </c>
      <c r="YG22" s="82">
        <f t="shared" si="592"/>
        <v>500000</v>
      </c>
      <c r="YH22" s="82">
        <f t="shared" si="592"/>
        <v>500000</v>
      </c>
      <c r="YI22" s="82">
        <f t="shared" si="592"/>
        <v>500000</v>
      </c>
      <c r="YJ22" s="82">
        <f t="shared" si="592"/>
        <v>500000</v>
      </c>
      <c r="YK22" s="82">
        <f t="shared" si="592"/>
        <v>500000</v>
      </c>
      <c r="YL22" s="130"/>
      <c r="YM22" s="82">
        <f>YK22</f>
        <v>500000</v>
      </c>
      <c r="YN22" s="82">
        <f t="shared" ref="YN22:YV22" si="593">YM22</f>
        <v>500000</v>
      </c>
      <c r="YO22" s="82">
        <f t="shared" si="593"/>
        <v>500000</v>
      </c>
      <c r="YP22" s="82">
        <f t="shared" si="593"/>
        <v>500000</v>
      </c>
      <c r="YQ22" s="82">
        <f t="shared" si="593"/>
        <v>500000</v>
      </c>
      <c r="YR22" s="82">
        <f t="shared" si="593"/>
        <v>500000</v>
      </c>
      <c r="YS22" s="82">
        <f t="shared" si="593"/>
        <v>500000</v>
      </c>
      <c r="YT22" s="82">
        <f t="shared" si="593"/>
        <v>500000</v>
      </c>
      <c r="YU22" s="82">
        <f t="shared" si="593"/>
        <v>500000</v>
      </c>
      <c r="YV22" s="82">
        <f t="shared" si="593"/>
        <v>500000</v>
      </c>
      <c r="YW22" s="82">
        <f>YV22</f>
        <v>500000</v>
      </c>
      <c r="YX22" s="82">
        <f t="shared" ref="YX22:ZG22" si="594">YW22</f>
        <v>500000</v>
      </c>
      <c r="YY22" s="82">
        <f t="shared" si="594"/>
        <v>500000</v>
      </c>
      <c r="YZ22" s="82">
        <f t="shared" si="594"/>
        <v>500000</v>
      </c>
      <c r="ZA22" s="82">
        <f t="shared" si="594"/>
        <v>500000</v>
      </c>
      <c r="ZB22" s="82">
        <f t="shared" si="594"/>
        <v>500000</v>
      </c>
      <c r="ZC22" s="82">
        <f t="shared" si="594"/>
        <v>500000</v>
      </c>
      <c r="ZD22" s="82">
        <f t="shared" si="594"/>
        <v>500000</v>
      </c>
      <c r="ZE22" s="82">
        <f t="shared" si="594"/>
        <v>500000</v>
      </c>
      <c r="ZF22" s="82">
        <f t="shared" si="594"/>
        <v>500000</v>
      </c>
      <c r="ZG22" s="82">
        <f t="shared" si="594"/>
        <v>500000</v>
      </c>
      <c r="ZH22" s="82">
        <f>ZG22</f>
        <v>500000</v>
      </c>
      <c r="ZI22" s="82">
        <f t="shared" ref="ZI22:ZQ22" si="595">ZH22</f>
        <v>500000</v>
      </c>
      <c r="ZJ22" s="82">
        <f t="shared" si="595"/>
        <v>500000</v>
      </c>
      <c r="ZK22" s="82">
        <f t="shared" si="595"/>
        <v>500000</v>
      </c>
      <c r="ZL22" s="82">
        <f t="shared" si="595"/>
        <v>500000</v>
      </c>
      <c r="ZM22" s="82">
        <f t="shared" si="595"/>
        <v>500000</v>
      </c>
      <c r="ZN22" s="82">
        <f t="shared" si="595"/>
        <v>500000</v>
      </c>
      <c r="ZO22" s="82">
        <f t="shared" si="595"/>
        <v>500000</v>
      </c>
      <c r="ZP22" s="82">
        <f t="shared" si="595"/>
        <v>500000</v>
      </c>
      <c r="ZQ22" s="82">
        <f t="shared" si="595"/>
        <v>500000</v>
      </c>
      <c r="ZR22" s="130"/>
      <c r="ZS22" s="82">
        <f>ZQ22</f>
        <v>500000</v>
      </c>
      <c r="ZT22" s="82">
        <f t="shared" si="187"/>
        <v>500000</v>
      </c>
      <c r="ZU22" s="82">
        <f>ZT22</f>
        <v>500000</v>
      </c>
      <c r="ZV22" s="82">
        <f t="shared" ref="ZV22:AAV22" si="596">ZU22</f>
        <v>500000</v>
      </c>
      <c r="ZW22" s="82">
        <f t="shared" si="596"/>
        <v>500000</v>
      </c>
      <c r="ZX22" s="82">
        <f t="shared" si="596"/>
        <v>500000</v>
      </c>
      <c r="ZY22" s="82">
        <f t="shared" si="596"/>
        <v>500000</v>
      </c>
      <c r="ZZ22" s="82">
        <f t="shared" si="596"/>
        <v>500000</v>
      </c>
      <c r="AAA22" s="82">
        <f t="shared" si="596"/>
        <v>500000</v>
      </c>
      <c r="AAB22" s="82">
        <f t="shared" si="596"/>
        <v>500000</v>
      </c>
      <c r="AAC22" s="82">
        <f t="shared" si="596"/>
        <v>500000</v>
      </c>
      <c r="AAD22" s="82">
        <f t="shared" si="596"/>
        <v>500000</v>
      </c>
      <c r="AAE22" s="82">
        <f t="shared" si="596"/>
        <v>500000</v>
      </c>
      <c r="AAF22" s="82">
        <f t="shared" si="596"/>
        <v>500000</v>
      </c>
      <c r="AAG22" s="82">
        <f t="shared" si="596"/>
        <v>500000</v>
      </c>
      <c r="AAH22" s="82">
        <f t="shared" si="596"/>
        <v>500000</v>
      </c>
      <c r="AAI22" s="82">
        <f t="shared" si="596"/>
        <v>500000</v>
      </c>
      <c r="AAJ22" s="82">
        <f t="shared" si="596"/>
        <v>500000</v>
      </c>
      <c r="AAK22" s="82">
        <f t="shared" si="596"/>
        <v>500000</v>
      </c>
      <c r="AAL22" s="82">
        <f t="shared" si="596"/>
        <v>500000</v>
      </c>
      <c r="AAM22" s="82">
        <f t="shared" si="596"/>
        <v>500000</v>
      </c>
      <c r="AAN22" s="82">
        <f t="shared" si="596"/>
        <v>500000</v>
      </c>
      <c r="AAO22" s="82">
        <f t="shared" si="596"/>
        <v>500000</v>
      </c>
      <c r="AAP22" s="82">
        <f t="shared" si="596"/>
        <v>500000</v>
      </c>
      <c r="AAQ22" s="82">
        <f t="shared" si="596"/>
        <v>500000</v>
      </c>
      <c r="AAR22" s="82">
        <f t="shared" si="596"/>
        <v>500000</v>
      </c>
      <c r="AAS22" s="82">
        <f t="shared" si="596"/>
        <v>500000</v>
      </c>
      <c r="AAT22" s="82">
        <f t="shared" si="596"/>
        <v>500000</v>
      </c>
      <c r="AAU22" s="82">
        <f t="shared" si="596"/>
        <v>500000</v>
      </c>
      <c r="AAV22" s="82">
        <f t="shared" si="596"/>
        <v>500000</v>
      </c>
      <c r="AAW22" s="130"/>
      <c r="AAX22" s="82">
        <f>AAV22-100000</f>
        <v>400000</v>
      </c>
      <c r="AAY22" s="82">
        <f>AAX22-100000</f>
        <v>300000</v>
      </c>
      <c r="AAZ22" s="82">
        <f t="shared" ref="AAZ22:ABM22" si="597">AAY22</f>
        <v>300000</v>
      </c>
      <c r="ABA22" s="82">
        <f t="shared" si="597"/>
        <v>300000</v>
      </c>
      <c r="ABB22" s="82">
        <f t="shared" si="597"/>
        <v>300000</v>
      </c>
      <c r="ABC22" s="82">
        <f t="shared" si="597"/>
        <v>300000</v>
      </c>
      <c r="ABD22" s="82">
        <f t="shared" si="597"/>
        <v>300000</v>
      </c>
      <c r="ABE22" s="82">
        <f t="shared" si="597"/>
        <v>300000</v>
      </c>
      <c r="ABF22" s="82">
        <f t="shared" si="597"/>
        <v>300000</v>
      </c>
      <c r="ABG22" s="82">
        <f t="shared" si="597"/>
        <v>300000</v>
      </c>
      <c r="ABH22" s="82">
        <f t="shared" si="597"/>
        <v>300000</v>
      </c>
      <c r="ABI22" s="82">
        <f t="shared" si="597"/>
        <v>300000</v>
      </c>
      <c r="ABJ22" s="82">
        <f t="shared" si="597"/>
        <v>300000</v>
      </c>
      <c r="ABK22" s="82">
        <f t="shared" si="597"/>
        <v>300000</v>
      </c>
      <c r="ABL22" s="82">
        <f t="shared" si="597"/>
        <v>300000</v>
      </c>
      <c r="ABM22" s="82">
        <f t="shared" si="597"/>
        <v>300000</v>
      </c>
      <c r="ABN22" s="82">
        <f>ABM22</f>
        <v>300000</v>
      </c>
      <c r="ABO22" s="82">
        <f t="shared" ref="ABO22:ACB22" si="598">ABN22</f>
        <v>300000</v>
      </c>
      <c r="ABP22" s="82">
        <f t="shared" si="598"/>
        <v>300000</v>
      </c>
      <c r="ABQ22" s="82">
        <f t="shared" si="598"/>
        <v>300000</v>
      </c>
      <c r="ABR22" s="82">
        <f t="shared" si="598"/>
        <v>300000</v>
      </c>
      <c r="ABS22" s="82">
        <f t="shared" si="598"/>
        <v>300000</v>
      </c>
      <c r="ABT22" s="82">
        <f t="shared" si="598"/>
        <v>300000</v>
      </c>
      <c r="ABU22" s="82">
        <f t="shared" si="598"/>
        <v>300000</v>
      </c>
      <c r="ABV22" s="82">
        <f t="shared" si="598"/>
        <v>300000</v>
      </c>
      <c r="ABW22" s="82">
        <f t="shared" si="598"/>
        <v>300000</v>
      </c>
      <c r="ABX22" s="82">
        <f t="shared" si="598"/>
        <v>300000</v>
      </c>
      <c r="ABY22" s="82">
        <f t="shared" si="598"/>
        <v>300000</v>
      </c>
      <c r="ABZ22" s="82">
        <f t="shared" si="598"/>
        <v>300000</v>
      </c>
      <c r="ACA22" s="82">
        <f t="shared" si="598"/>
        <v>300000</v>
      </c>
      <c r="ACB22" s="82">
        <f t="shared" si="598"/>
        <v>300000</v>
      </c>
      <c r="ACC22" s="130"/>
      <c r="ACD22" s="82">
        <f>ACB22</f>
        <v>300000</v>
      </c>
      <c r="ACE22" s="82">
        <f t="shared" si="191"/>
        <v>300000</v>
      </c>
      <c r="ACF22" s="82">
        <f t="shared" si="191"/>
        <v>300000</v>
      </c>
      <c r="ACG22" s="82">
        <f t="shared" si="191"/>
        <v>300000</v>
      </c>
      <c r="ACH22" s="82">
        <f t="shared" si="191"/>
        <v>300000</v>
      </c>
      <c r="ACI22" s="82">
        <f>ACH22</f>
        <v>300000</v>
      </c>
      <c r="ACJ22" s="82">
        <f t="shared" ref="ACJ22:ADH22" si="599">ACI22</f>
        <v>300000</v>
      </c>
      <c r="ACK22" s="82">
        <f t="shared" si="599"/>
        <v>300000</v>
      </c>
      <c r="ACL22" s="82">
        <f t="shared" si="599"/>
        <v>300000</v>
      </c>
      <c r="ACM22" s="82">
        <f t="shared" si="599"/>
        <v>300000</v>
      </c>
      <c r="ACN22" s="82">
        <f t="shared" si="599"/>
        <v>300000</v>
      </c>
      <c r="ACO22" s="82">
        <f t="shared" si="599"/>
        <v>300000</v>
      </c>
      <c r="ACP22" s="82">
        <f t="shared" si="599"/>
        <v>300000</v>
      </c>
      <c r="ACQ22" s="82">
        <f t="shared" si="599"/>
        <v>300000</v>
      </c>
      <c r="ACR22" s="82">
        <f t="shared" si="599"/>
        <v>300000</v>
      </c>
      <c r="ACS22" s="82">
        <f t="shared" si="599"/>
        <v>300000</v>
      </c>
      <c r="ACT22" s="82">
        <f t="shared" si="599"/>
        <v>300000</v>
      </c>
      <c r="ACU22" s="82">
        <f t="shared" si="599"/>
        <v>300000</v>
      </c>
      <c r="ACV22" s="82">
        <f t="shared" si="599"/>
        <v>300000</v>
      </c>
      <c r="ACW22" s="82">
        <f t="shared" si="599"/>
        <v>300000</v>
      </c>
      <c r="ACX22" s="82">
        <f t="shared" si="599"/>
        <v>300000</v>
      </c>
      <c r="ACY22" s="82">
        <f t="shared" si="599"/>
        <v>300000</v>
      </c>
      <c r="ACZ22" s="82">
        <f t="shared" si="599"/>
        <v>300000</v>
      </c>
      <c r="ADA22" s="82">
        <f t="shared" si="599"/>
        <v>300000</v>
      </c>
      <c r="ADB22" s="82">
        <f t="shared" si="599"/>
        <v>300000</v>
      </c>
      <c r="ADC22" s="82">
        <f t="shared" si="599"/>
        <v>300000</v>
      </c>
      <c r="ADD22" s="82">
        <f t="shared" si="599"/>
        <v>300000</v>
      </c>
      <c r="ADE22" s="82">
        <f t="shared" si="599"/>
        <v>300000</v>
      </c>
      <c r="ADF22" s="82">
        <f t="shared" si="599"/>
        <v>300000</v>
      </c>
      <c r="ADG22" s="82">
        <f t="shared" si="599"/>
        <v>300000</v>
      </c>
      <c r="ADH22" s="82">
        <f t="shared" si="599"/>
        <v>300000</v>
      </c>
      <c r="ADI22" s="130"/>
      <c r="ADJ22" s="82">
        <f>ADH22</f>
        <v>300000</v>
      </c>
      <c r="ADK22" s="82">
        <f t="shared" ref="ADK22:ADV22" si="600">ADJ22</f>
        <v>300000</v>
      </c>
      <c r="ADL22" s="82">
        <f t="shared" si="600"/>
        <v>300000</v>
      </c>
      <c r="ADM22" s="82">
        <f t="shared" si="600"/>
        <v>300000</v>
      </c>
      <c r="ADN22" s="82">
        <f t="shared" si="600"/>
        <v>300000</v>
      </c>
      <c r="ADO22" s="82">
        <f t="shared" si="600"/>
        <v>300000</v>
      </c>
      <c r="ADP22" s="82">
        <f t="shared" si="600"/>
        <v>300000</v>
      </c>
      <c r="ADQ22" s="82">
        <f t="shared" si="600"/>
        <v>300000</v>
      </c>
      <c r="ADR22" s="82">
        <f t="shared" si="600"/>
        <v>300000</v>
      </c>
      <c r="ADS22" s="82">
        <f t="shared" si="600"/>
        <v>300000</v>
      </c>
      <c r="ADT22" s="82">
        <f t="shared" si="600"/>
        <v>300000</v>
      </c>
      <c r="ADU22" s="82">
        <f t="shared" si="600"/>
        <v>300000</v>
      </c>
      <c r="ADV22" s="82">
        <f t="shared" si="600"/>
        <v>300000</v>
      </c>
      <c r="ADW22" s="82">
        <f>ADV22</f>
        <v>300000</v>
      </c>
      <c r="ADX22" s="82">
        <f>ADW22</f>
        <v>300000</v>
      </c>
      <c r="ADY22" s="82">
        <f>ADX22-100000</f>
        <v>200000</v>
      </c>
      <c r="ADZ22" s="82">
        <f t="shared" ref="ADZ22:AEG22" si="601">ADY22</f>
        <v>200000</v>
      </c>
      <c r="AEA22" s="82">
        <f t="shared" si="601"/>
        <v>200000</v>
      </c>
      <c r="AEB22" s="82">
        <f t="shared" si="601"/>
        <v>200000</v>
      </c>
      <c r="AEC22" s="82">
        <f t="shared" si="601"/>
        <v>200000</v>
      </c>
      <c r="AED22" s="82">
        <f t="shared" si="601"/>
        <v>200000</v>
      </c>
      <c r="AEE22" s="82">
        <f t="shared" si="601"/>
        <v>200000</v>
      </c>
      <c r="AEF22" s="82">
        <f t="shared" si="601"/>
        <v>200000</v>
      </c>
      <c r="AEG22" s="82">
        <f t="shared" si="601"/>
        <v>200000</v>
      </c>
      <c r="AEH22" s="82">
        <f t="shared" si="303"/>
        <v>200000</v>
      </c>
      <c r="AEI22" s="82">
        <f t="shared" si="232"/>
        <v>200000</v>
      </c>
      <c r="AEJ22" s="82">
        <f t="shared" si="232"/>
        <v>200000</v>
      </c>
      <c r="AEK22" s="82">
        <f t="shared" si="232"/>
        <v>200000</v>
      </c>
      <c r="AEL22" s="82">
        <f t="shared" si="232"/>
        <v>200000</v>
      </c>
      <c r="AEM22" s="82">
        <f t="shared" si="232"/>
        <v>200000</v>
      </c>
      <c r="AEN22" s="130"/>
      <c r="AEO22" s="82">
        <f>AEM22</f>
        <v>200000</v>
      </c>
      <c r="AEP22" s="82">
        <f t="shared" si="195"/>
        <v>200000</v>
      </c>
      <c r="AEQ22" s="82">
        <f t="shared" si="195"/>
        <v>200000</v>
      </c>
      <c r="AER22" s="82">
        <f t="shared" si="195"/>
        <v>200000</v>
      </c>
      <c r="AES22" s="82">
        <f t="shared" si="195"/>
        <v>200000</v>
      </c>
      <c r="AET22" s="82">
        <f t="shared" si="195"/>
        <v>200000</v>
      </c>
      <c r="AEU22" s="82">
        <f>AET22</f>
        <v>200000</v>
      </c>
      <c r="AEV22" s="82">
        <f>AEU22</f>
        <v>200000</v>
      </c>
      <c r="AEW22" s="82">
        <f>AEV22</f>
        <v>200000</v>
      </c>
      <c r="AEX22" s="82">
        <f t="shared" ref="AEX22:AFS22" si="602">AEW22</f>
        <v>200000</v>
      </c>
      <c r="AEY22" s="82">
        <f t="shared" si="602"/>
        <v>200000</v>
      </c>
      <c r="AEZ22" s="82">
        <f t="shared" si="602"/>
        <v>200000</v>
      </c>
      <c r="AFA22" s="82">
        <f t="shared" si="602"/>
        <v>200000</v>
      </c>
      <c r="AFB22" s="82">
        <f t="shared" si="602"/>
        <v>200000</v>
      </c>
      <c r="AFC22" s="82">
        <f t="shared" si="602"/>
        <v>200000</v>
      </c>
      <c r="AFD22" s="82">
        <f t="shared" si="602"/>
        <v>200000</v>
      </c>
      <c r="AFE22" s="82">
        <f t="shared" si="602"/>
        <v>200000</v>
      </c>
      <c r="AFF22" s="82">
        <f t="shared" si="602"/>
        <v>200000</v>
      </c>
      <c r="AFG22" s="82">
        <f t="shared" si="602"/>
        <v>200000</v>
      </c>
      <c r="AFH22" s="82">
        <f t="shared" si="602"/>
        <v>200000</v>
      </c>
      <c r="AFI22" s="82">
        <f t="shared" si="602"/>
        <v>200000</v>
      </c>
      <c r="AFJ22" s="82">
        <f t="shared" si="602"/>
        <v>200000</v>
      </c>
      <c r="AFK22" s="82">
        <f t="shared" si="602"/>
        <v>200000</v>
      </c>
      <c r="AFL22" s="82">
        <f t="shared" si="602"/>
        <v>200000</v>
      </c>
      <c r="AFM22" s="82">
        <f t="shared" si="602"/>
        <v>200000</v>
      </c>
      <c r="AFN22" s="82">
        <f t="shared" si="602"/>
        <v>200000</v>
      </c>
      <c r="AFO22" s="82">
        <f t="shared" si="602"/>
        <v>200000</v>
      </c>
      <c r="AFP22" s="82">
        <f t="shared" si="602"/>
        <v>200000</v>
      </c>
      <c r="AFQ22" s="82">
        <f t="shared" si="602"/>
        <v>200000</v>
      </c>
      <c r="AFR22" s="82">
        <f t="shared" si="602"/>
        <v>200000</v>
      </c>
      <c r="AFS22" s="82">
        <f t="shared" si="602"/>
        <v>200000</v>
      </c>
      <c r="AFT22" s="130"/>
      <c r="AFU22" s="82">
        <f>AFS22</f>
        <v>200000</v>
      </c>
      <c r="AFV22" s="82">
        <f t="shared" si="475"/>
        <v>200000</v>
      </c>
      <c r="AFW22" s="82">
        <f t="shared" si="475"/>
        <v>200000</v>
      </c>
      <c r="AFX22" s="82">
        <f t="shared" si="475"/>
        <v>200000</v>
      </c>
      <c r="AFY22" s="82">
        <f>AFX22</f>
        <v>200000</v>
      </c>
      <c r="AFZ22" s="82">
        <f t="shared" si="476"/>
        <v>200000</v>
      </c>
      <c r="AGA22" s="82">
        <f t="shared" si="476"/>
        <v>200000</v>
      </c>
      <c r="AGB22" s="82">
        <f t="shared" si="476"/>
        <v>200000</v>
      </c>
      <c r="AGC22" s="82">
        <f t="shared" si="476"/>
        <v>200000</v>
      </c>
      <c r="AGD22" s="82">
        <f>AGC22</f>
        <v>200000</v>
      </c>
      <c r="AGE22" s="82">
        <f t="shared" ref="AGE22:AGX22" si="603">AGD22</f>
        <v>200000</v>
      </c>
      <c r="AGF22" s="82">
        <f t="shared" si="603"/>
        <v>200000</v>
      </c>
      <c r="AGG22" s="82">
        <f t="shared" si="603"/>
        <v>200000</v>
      </c>
      <c r="AGH22" s="82">
        <f t="shared" si="603"/>
        <v>200000</v>
      </c>
      <c r="AGI22" s="82">
        <f t="shared" si="603"/>
        <v>200000</v>
      </c>
      <c r="AGJ22" s="82">
        <f t="shared" si="603"/>
        <v>200000</v>
      </c>
      <c r="AGK22" s="82">
        <f t="shared" si="603"/>
        <v>200000</v>
      </c>
      <c r="AGL22" s="82">
        <f t="shared" si="603"/>
        <v>200000</v>
      </c>
      <c r="AGM22" s="82">
        <f t="shared" si="603"/>
        <v>200000</v>
      </c>
      <c r="AGN22" s="82">
        <f t="shared" si="603"/>
        <v>200000</v>
      </c>
      <c r="AGO22" s="82">
        <f t="shared" si="603"/>
        <v>200000</v>
      </c>
      <c r="AGP22" s="82">
        <f t="shared" si="603"/>
        <v>200000</v>
      </c>
      <c r="AGQ22" s="82">
        <f t="shared" si="603"/>
        <v>200000</v>
      </c>
      <c r="AGR22" s="82">
        <f t="shared" si="603"/>
        <v>200000</v>
      </c>
      <c r="AGS22" s="82">
        <f t="shared" si="603"/>
        <v>200000</v>
      </c>
      <c r="AGT22" s="82">
        <f t="shared" si="603"/>
        <v>200000</v>
      </c>
      <c r="AGU22" s="82">
        <f t="shared" si="603"/>
        <v>200000</v>
      </c>
      <c r="AGV22" s="82">
        <f t="shared" si="603"/>
        <v>200000</v>
      </c>
      <c r="AGW22" s="82">
        <f t="shared" si="603"/>
        <v>200000</v>
      </c>
      <c r="AGX22" s="82">
        <f t="shared" si="603"/>
        <v>200000</v>
      </c>
      <c r="AGY22" s="133"/>
      <c r="AGZ22" s="82">
        <f>AGX22</f>
        <v>200000</v>
      </c>
      <c r="AHA22" s="82">
        <f t="shared" ref="AHA22:AHJ22" si="604">AGZ22</f>
        <v>200000</v>
      </c>
      <c r="AHB22" s="82">
        <f t="shared" si="604"/>
        <v>200000</v>
      </c>
      <c r="AHC22" s="82">
        <f t="shared" si="604"/>
        <v>200000</v>
      </c>
      <c r="AHD22" s="82">
        <f t="shared" si="604"/>
        <v>200000</v>
      </c>
      <c r="AHE22" s="82">
        <f t="shared" si="604"/>
        <v>200000</v>
      </c>
      <c r="AHF22" s="82">
        <f t="shared" si="604"/>
        <v>200000</v>
      </c>
      <c r="AHG22" s="82">
        <f t="shared" si="604"/>
        <v>200000</v>
      </c>
      <c r="AHH22" s="82">
        <f t="shared" si="604"/>
        <v>200000</v>
      </c>
      <c r="AHI22" s="82">
        <f t="shared" si="604"/>
        <v>200000</v>
      </c>
      <c r="AHJ22" s="82">
        <f t="shared" si="604"/>
        <v>200000</v>
      </c>
      <c r="AHK22" s="82">
        <f>AHJ22</f>
        <v>200000</v>
      </c>
      <c r="AHL22" s="82">
        <f t="shared" ref="AHL22:AID22" si="605">AHK22</f>
        <v>200000</v>
      </c>
      <c r="AHM22" s="82">
        <f t="shared" si="605"/>
        <v>200000</v>
      </c>
      <c r="AHN22" s="82">
        <f t="shared" si="605"/>
        <v>200000</v>
      </c>
      <c r="AHO22" s="82">
        <f t="shared" si="605"/>
        <v>200000</v>
      </c>
      <c r="AHP22" s="82">
        <f t="shared" si="605"/>
        <v>200000</v>
      </c>
      <c r="AHQ22" s="82">
        <f t="shared" si="605"/>
        <v>200000</v>
      </c>
      <c r="AHR22" s="82">
        <f t="shared" si="605"/>
        <v>200000</v>
      </c>
      <c r="AHS22" s="82">
        <f t="shared" si="605"/>
        <v>200000</v>
      </c>
      <c r="AHT22" s="82">
        <f t="shared" si="605"/>
        <v>200000</v>
      </c>
      <c r="AHU22" s="82">
        <f t="shared" si="605"/>
        <v>200000</v>
      </c>
      <c r="AHV22" s="82">
        <f t="shared" si="605"/>
        <v>200000</v>
      </c>
      <c r="AHW22" s="82">
        <f t="shared" si="605"/>
        <v>200000</v>
      </c>
      <c r="AHX22" s="82">
        <f t="shared" si="605"/>
        <v>200000</v>
      </c>
      <c r="AHY22" s="82">
        <f t="shared" si="605"/>
        <v>200000</v>
      </c>
      <c r="AHZ22" s="82">
        <f t="shared" si="605"/>
        <v>200000</v>
      </c>
      <c r="AIA22" s="82">
        <f t="shared" si="605"/>
        <v>200000</v>
      </c>
      <c r="AIB22" s="82">
        <f t="shared" si="605"/>
        <v>200000</v>
      </c>
      <c r="AIC22" s="82">
        <f t="shared" si="605"/>
        <v>200000</v>
      </c>
      <c r="AID22" s="82">
        <f t="shared" si="605"/>
        <v>200000</v>
      </c>
      <c r="AIE22" s="130"/>
      <c r="AIF22" s="82">
        <f>AID22</f>
        <v>200000</v>
      </c>
      <c r="AIG22" s="82">
        <f t="shared" ref="AIG22:AIW22" si="606">AIF22</f>
        <v>200000</v>
      </c>
      <c r="AIH22" s="82">
        <f t="shared" si="606"/>
        <v>200000</v>
      </c>
      <c r="AII22" s="82">
        <f t="shared" si="606"/>
        <v>200000</v>
      </c>
      <c r="AIJ22" s="82">
        <f t="shared" si="606"/>
        <v>200000</v>
      </c>
      <c r="AIK22" s="82">
        <f t="shared" si="606"/>
        <v>200000</v>
      </c>
      <c r="AIL22" s="82">
        <f t="shared" si="606"/>
        <v>200000</v>
      </c>
      <c r="AIM22" s="82">
        <f t="shared" si="606"/>
        <v>200000</v>
      </c>
      <c r="AIN22" s="82">
        <f t="shared" si="606"/>
        <v>200000</v>
      </c>
      <c r="AIO22" s="82">
        <f t="shared" si="606"/>
        <v>200000</v>
      </c>
      <c r="AIP22" s="82">
        <f t="shared" si="606"/>
        <v>200000</v>
      </c>
      <c r="AIQ22" s="82">
        <f t="shared" si="606"/>
        <v>200000</v>
      </c>
      <c r="AIR22" s="82">
        <f t="shared" si="606"/>
        <v>200000</v>
      </c>
      <c r="AIS22" s="82">
        <f t="shared" si="606"/>
        <v>200000</v>
      </c>
      <c r="AIT22" s="82">
        <f t="shared" si="606"/>
        <v>200000</v>
      </c>
      <c r="AIU22" s="82">
        <f t="shared" si="606"/>
        <v>200000</v>
      </c>
      <c r="AIV22" s="82">
        <f t="shared" si="606"/>
        <v>200000</v>
      </c>
      <c r="AIW22" s="82">
        <f t="shared" si="606"/>
        <v>200000</v>
      </c>
      <c r="AIX22" s="82">
        <v>0</v>
      </c>
      <c r="AIY22" s="82">
        <f t="shared" ref="AIY22:AJJ22" si="607">AIX22</f>
        <v>0</v>
      </c>
      <c r="AIZ22" s="82">
        <f t="shared" si="607"/>
        <v>0</v>
      </c>
      <c r="AJA22" s="82">
        <f t="shared" si="607"/>
        <v>0</v>
      </c>
      <c r="AJB22" s="82">
        <f t="shared" si="607"/>
        <v>0</v>
      </c>
      <c r="AJC22" s="82">
        <f t="shared" si="607"/>
        <v>0</v>
      </c>
      <c r="AJD22" s="82">
        <f t="shared" si="607"/>
        <v>0</v>
      </c>
      <c r="AJE22" s="82">
        <f t="shared" si="607"/>
        <v>0</v>
      </c>
      <c r="AJF22" s="82">
        <f t="shared" si="607"/>
        <v>0</v>
      </c>
      <c r="AJG22" s="82">
        <f t="shared" si="607"/>
        <v>0</v>
      </c>
      <c r="AJH22" s="82">
        <f t="shared" si="607"/>
        <v>0</v>
      </c>
      <c r="AJI22" s="82">
        <f t="shared" si="607"/>
        <v>0</v>
      </c>
      <c r="AJJ22" s="82">
        <f t="shared" si="607"/>
        <v>0</v>
      </c>
      <c r="AJK22" s="145"/>
      <c r="AJL22" s="82">
        <f>AJK22</f>
        <v>0</v>
      </c>
      <c r="AJM22" s="82">
        <f t="shared" ref="AJM22:AKK22" si="608">AJL22</f>
        <v>0</v>
      </c>
      <c r="AJN22" s="82">
        <f t="shared" si="608"/>
        <v>0</v>
      </c>
      <c r="AJO22" s="82">
        <f t="shared" si="608"/>
        <v>0</v>
      </c>
      <c r="AJP22" s="82">
        <f t="shared" si="608"/>
        <v>0</v>
      </c>
      <c r="AJQ22" s="82">
        <f t="shared" si="608"/>
        <v>0</v>
      </c>
      <c r="AJR22" s="82">
        <f t="shared" si="608"/>
        <v>0</v>
      </c>
      <c r="AJS22" s="82">
        <f t="shared" si="608"/>
        <v>0</v>
      </c>
      <c r="AJT22" s="82">
        <f t="shared" si="608"/>
        <v>0</v>
      </c>
      <c r="AJU22" s="82">
        <f t="shared" si="608"/>
        <v>0</v>
      </c>
      <c r="AJV22" s="82">
        <f t="shared" si="608"/>
        <v>0</v>
      </c>
      <c r="AJW22" s="82">
        <f t="shared" si="608"/>
        <v>0</v>
      </c>
      <c r="AJX22" s="82">
        <f t="shared" si="608"/>
        <v>0</v>
      </c>
      <c r="AJY22" s="82">
        <f t="shared" si="608"/>
        <v>0</v>
      </c>
      <c r="AJZ22" s="82">
        <f t="shared" si="608"/>
        <v>0</v>
      </c>
      <c r="AKA22" s="82">
        <f t="shared" si="608"/>
        <v>0</v>
      </c>
      <c r="AKB22" s="82">
        <f t="shared" si="608"/>
        <v>0</v>
      </c>
      <c r="AKC22" s="82">
        <f t="shared" si="608"/>
        <v>0</v>
      </c>
      <c r="AKD22" s="82">
        <f t="shared" si="608"/>
        <v>0</v>
      </c>
      <c r="AKE22" s="82">
        <f t="shared" si="608"/>
        <v>0</v>
      </c>
      <c r="AKF22" s="82">
        <f t="shared" si="608"/>
        <v>0</v>
      </c>
      <c r="AKG22" s="82">
        <f t="shared" si="608"/>
        <v>0</v>
      </c>
      <c r="AKH22" s="82">
        <f t="shared" si="608"/>
        <v>0</v>
      </c>
      <c r="AKI22" s="82">
        <f t="shared" si="608"/>
        <v>0</v>
      </c>
      <c r="AKJ22" s="82">
        <f t="shared" si="608"/>
        <v>0</v>
      </c>
      <c r="AKK22" s="82">
        <f t="shared" si="608"/>
        <v>0</v>
      </c>
      <c r="AKL22" s="82">
        <f>AKK22</f>
        <v>0</v>
      </c>
      <c r="AKM22" s="82">
        <f t="shared" si="311"/>
        <v>0</v>
      </c>
      <c r="AKN22" s="112"/>
      <c r="AKO22" s="82">
        <f>AKN22</f>
        <v>0</v>
      </c>
      <c r="AKP22" s="82">
        <f t="shared" ref="AKP22:AKX22" si="609">AKO22</f>
        <v>0</v>
      </c>
      <c r="AKQ22" s="82">
        <f t="shared" si="609"/>
        <v>0</v>
      </c>
      <c r="AKR22" s="82">
        <f t="shared" si="609"/>
        <v>0</v>
      </c>
      <c r="AKS22" s="82">
        <f t="shared" si="609"/>
        <v>0</v>
      </c>
      <c r="AKT22" s="82">
        <f t="shared" si="609"/>
        <v>0</v>
      </c>
      <c r="AKU22" s="82">
        <f t="shared" si="609"/>
        <v>0</v>
      </c>
      <c r="AKV22" s="82">
        <f t="shared" si="609"/>
        <v>0</v>
      </c>
      <c r="AKW22" s="82">
        <f t="shared" si="609"/>
        <v>0</v>
      </c>
      <c r="AKX22" s="82">
        <f t="shared" si="609"/>
        <v>0</v>
      </c>
      <c r="AKY22" s="82">
        <f>AKX22</f>
        <v>0</v>
      </c>
      <c r="AKZ22" s="82">
        <f t="shared" si="313"/>
        <v>0</v>
      </c>
      <c r="ALA22" s="82">
        <f t="shared" si="313"/>
        <v>0</v>
      </c>
      <c r="ALB22" s="82">
        <f t="shared" si="313"/>
        <v>0</v>
      </c>
      <c r="ALC22" s="82">
        <f t="shared" si="313"/>
        <v>0</v>
      </c>
      <c r="ALD22" s="82">
        <f t="shared" si="313"/>
        <v>0</v>
      </c>
      <c r="ALE22" s="82">
        <f t="shared" si="240"/>
        <v>0</v>
      </c>
      <c r="ALF22" s="82">
        <f t="shared" si="314"/>
        <v>0</v>
      </c>
      <c r="ALG22" s="82">
        <f t="shared" ref="ALG22:ALS22" si="610">ALF22</f>
        <v>0</v>
      </c>
      <c r="ALH22" s="82">
        <f t="shared" si="610"/>
        <v>0</v>
      </c>
      <c r="ALI22" s="82">
        <f t="shared" si="610"/>
        <v>0</v>
      </c>
      <c r="ALJ22" s="82">
        <f t="shared" si="610"/>
        <v>0</v>
      </c>
      <c r="ALK22" s="82">
        <f t="shared" si="610"/>
        <v>0</v>
      </c>
      <c r="ALL22" s="82">
        <f t="shared" si="610"/>
        <v>0</v>
      </c>
      <c r="ALM22" s="82">
        <f t="shared" si="610"/>
        <v>0</v>
      </c>
      <c r="ALN22" s="82">
        <f t="shared" si="610"/>
        <v>0</v>
      </c>
      <c r="ALO22" s="82">
        <f t="shared" si="610"/>
        <v>0</v>
      </c>
      <c r="ALP22" s="82">
        <f t="shared" si="610"/>
        <v>0</v>
      </c>
      <c r="ALQ22" s="82">
        <f t="shared" si="610"/>
        <v>0</v>
      </c>
      <c r="ALR22" s="82">
        <f t="shared" si="610"/>
        <v>0</v>
      </c>
      <c r="ALS22" s="82">
        <f t="shared" si="610"/>
        <v>0</v>
      </c>
      <c r="ALT22" s="130"/>
      <c r="ALU22" s="82">
        <f>ALT22</f>
        <v>0</v>
      </c>
      <c r="ALV22" s="82">
        <f t="shared" ref="ALV22:AMF22" si="611">ALU22</f>
        <v>0</v>
      </c>
      <c r="ALW22" s="82">
        <f t="shared" si="611"/>
        <v>0</v>
      </c>
      <c r="ALX22" s="82">
        <f t="shared" si="611"/>
        <v>0</v>
      </c>
      <c r="ALY22" s="82">
        <f t="shared" si="611"/>
        <v>0</v>
      </c>
      <c r="ALZ22" s="82">
        <f t="shared" si="611"/>
        <v>0</v>
      </c>
      <c r="AMA22" s="82">
        <f t="shared" si="611"/>
        <v>0</v>
      </c>
      <c r="AMB22" s="82">
        <f t="shared" si="611"/>
        <v>0</v>
      </c>
      <c r="AMC22" s="82">
        <f t="shared" si="611"/>
        <v>0</v>
      </c>
      <c r="AMD22" s="82">
        <f t="shared" si="611"/>
        <v>0</v>
      </c>
      <c r="AME22" s="82">
        <f t="shared" si="611"/>
        <v>0</v>
      </c>
      <c r="AMF22" s="82">
        <f t="shared" si="611"/>
        <v>0</v>
      </c>
      <c r="AMG22" s="82">
        <v>683880</v>
      </c>
      <c r="AMH22" s="82">
        <f>AMG22</f>
        <v>683880</v>
      </c>
      <c r="AMI22" s="82">
        <f t="shared" ref="AMI22:AMV22" si="612">AMH22</f>
        <v>683880</v>
      </c>
      <c r="AMJ22" s="82">
        <f t="shared" si="612"/>
        <v>683880</v>
      </c>
      <c r="AMK22" s="82">
        <f t="shared" si="612"/>
        <v>683880</v>
      </c>
      <c r="AML22" s="82">
        <f t="shared" si="612"/>
        <v>683880</v>
      </c>
      <c r="AMM22" s="82">
        <f t="shared" si="612"/>
        <v>683880</v>
      </c>
      <c r="AMN22" s="82">
        <f t="shared" si="612"/>
        <v>683880</v>
      </c>
      <c r="AMO22" s="82">
        <f t="shared" si="612"/>
        <v>683880</v>
      </c>
      <c r="AMP22" s="82">
        <f t="shared" si="612"/>
        <v>683880</v>
      </c>
      <c r="AMQ22" s="82">
        <f t="shared" si="612"/>
        <v>683880</v>
      </c>
      <c r="AMR22" s="82">
        <f t="shared" si="612"/>
        <v>683880</v>
      </c>
      <c r="AMS22" s="82">
        <f t="shared" si="612"/>
        <v>683880</v>
      </c>
      <c r="AMT22" s="82">
        <f t="shared" si="612"/>
        <v>683880</v>
      </c>
      <c r="AMU22" s="82">
        <f t="shared" si="612"/>
        <v>683880</v>
      </c>
      <c r="AMV22" s="82">
        <f t="shared" si="612"/>
        <v>683880</v>
      </c>
      <c r="AMW22" s="82">
        <f>AMV22-200000</f>
        <v>483880</v>
      </c>
      <c r="AMX22" s="82">
        <f>AMW22</f>
        <v>483880</v>
      </c>
      <c r="AMY22" s="130"/>
      <c r="AMZ22" s="82">
        <f>AMX22</f>
        <v>483880</v>
      </c>
      <c r="ANA22" s="82">
        <f t="shared" si="487"/>
        <v>483880</v>
      </c>
      <c r="ANB22" s="82">
        <f t="shared" si="487"/>
        <v>483880</v>
      </c>
      <c r="ANC22" s="82">
        <f t="shared" si="487"/>
        <v>483880</v>
      </c>
      <c r="AND22" s="82">
        <f>ANC22</f>
        <v>483880</v>
      </c>
      <c r="ANE22" s="82">
        <f t="shared" si="488"/>
        <v>483880</v>
      </c>
      <c r="ANF22" s="82">
        <f t="shared" si="488"/>
        <v>483880</v>
      </c>
      <c r="ANG22" s="82">
        <f t="shared" si="488"/>
        <v>483880</v>
      </c>
      <c r="ANH22" s="82">
        <f t="shared" si="488"/>
        <v>483880</v>
      </c>
      <c r="ANI22" s="82">
        <f t="shared" si="488"/>
        <v>483880</v>
      </c>
      <c r="ANJ22" s="82">
        <f t="shared" si="488"/>
        <v>483880</v>
      </c>
      <c r="ANK22" s="82">
        <f t="shared" si="488"/>
        <v>483880</v>
      </c>
      <c r="ANL22" s="82">
        <f t="shared" si="367"/>
        <v>483880</v>
      </c>
      <c r="ANM22" s="82">
        <f t="shared" ref="ANM22:ANT22" si="613">ANL22</f>
        <v>483880</v>
      </c>
      <c r="ANN22" s="82">
        <f t="shared" si="613"/>
        <v>483880</v>
      </c>
      <c r="ANO22" s="82">
        <f t="shared" si="613"/>
        <v>483880</v>
      </c>
      <c r="ANP22" s="82">
        <f t="shared" si="613"/>
        <v>483880</v>
      </c>
      <c r="ANQ22" s="82">
        <f t="shared" si="613"/>
        <v>483880</v>
      </c>
      <c r="ANR22" s="82">
        <f t="shared" si="613"/>
        <v>483880</v>
      </c>
      <c r="ANS22" s="82">
        <f t="shared" si="613"/>
        <v>483880</v>
      </c>
      <c r="ANT22" s="82">
        <f t="shared" si="613"/>
        <v>483880</v>
      </c>
      <c r="ANU22" s="82">
        <f>ANT22-100000</f>
        <v>383880</v>
      </c>
      <c r="ANV22" s="82">
        <f t="shared" ref="ANV22:AOA22" si="614">ANU22</f>
        <v>383880</v>
      </c>
      <c r="ANW22" s="82">
        <f t="shared" si="614"/>
        <v>383880</v>
      </c>
      <c r="ANX22" s="82">
        <f t="shared" si="614"/>
        <v>383880</v>
      </c>
      <c r="ANY22" s="82">
        <f t="shared" si="614"/>
        <v>383880</v>
      </c>
      <c r="ANZ22" s="82">
        <f t="shared" si="614"/>
        <v>383880</v>
      </c>
      <c r="AOA22" s="82">
        <f t="shared" si="614"/>
        <v>383880</v>
      </c>
      <c r="AOB22" s="82">
        <f>AOA22-63000</f>
        <v>320880</v>
      </c>
      <c r="AOC22" s="82">
        <f>AOB22</f>
        <v>320880</v>
      </c>
    </row>
    <row r="23" spans="1:1069" x14ac:dyDescent="0.2">
      <c r="A23" s="160"/>
      <c r="B23" t="s">
        <v>1655</v>
      </c>
      <c r="C23" s="52">
        <v>200000</v>
      </c>
      <c r="D23" s="52">
        <f>C23</f>
        <v>200000</v>
      </c>
      <c r="E23" s="52">
        <f t="shared" ref="E23:AH23" si="615">D23</f>
        <v>200000</v>
      </c>
      <c r="F23" s="52">
        <f t="shared" si="615"/>
        <v>200000</v>
      </c>
      <c r="G23" s="52">
        <f t="shared" si="615"/>
        <v>200000</v>
      </c>
      <c r="H23" s="52">
        <f t="shared" si="615"/>
        <v>200000</v>
      </c>
      <c r="I23" s="52">
        <f t="shared" si="615"/>
        <v>200000</v>
      </c>
      <c r="J23" s="52">
        <f t="shared" si="615"/>
        <v>200000</v>
      </c>
      <c r="K23" s="52">
        <f t="shared" si="615"/>
        <v>200000</v>
      </c>
      <c r="L23" s="52">
        <f t="shared" si="615"/>
        <v>200000</v>
      </c>
      <c r="M23" s="52">
        <f t="shared" si="615"/>
        <v>200000</v>
      </c>
      <c r="N23" s="52">
        <f t="shared" si="615"/>
        <v>200000</v>
      </c>
      <c r="O23" s="52">
        <f t="shared" si="615"/>
        <v>200000</v>
      </c>
      <c r="P23" s="52">
        <f t="shared" si="615"/>
        <v>200000</v>
      </c>
      <c r="Q23" s="52">
        <f t="shared" si="615"/>
        <v>200000</v>
      </c>
      <c r="R23" s="52">
        <f t="shared" si="615"/>
        <v>200000</v>
      </c>
      <c r="S23" s="52">
        <f t="shared" si="615"/>
        <v>200000</v>
      </c>
      <c r="T23" s="52">
        <f t="shared" si="615"/>
        <v>200000</v>
      </c>
      <c r="U23" s="52">
        <f t="shared" si="615"/>
        <v>200000</v>
      </c>
      <c r="V23" s="52">
        <f t="shared" si="615"/>
        <v>200000</v>
      </c>
      <c r="W23" s="52">
        <f t="shared" si="615"/>
        <v>200000</v>
      </c>
      <c r="X23" s="52">
        <f t="shared" si="615"/>
        <v>200000</v>
      </c>
      <c r="Y23" s="52">
        <f t="shared" si="615"/>
        <v>200000</v>
      </c>
      <c r="Z23" s="52">
        <f t="shared" si="615"/>
        <v>200000</v>
      </c>
      <c r="AA23" s="52">
        <f t="shared" si="615"/>
        <v>200000</v>
      </c>
      <c r="AB23" s="52">
        <f t="shared" si="615"/>
        <v>200000</v>
      </c>
      <c r="AC23" s="52">
        <f t="shared" si="615"/>
        <v>200000</v>
      </c>
      <c r="AD23" s="52">
        <f t="shared" si="615"/>
        <v>200000</v>
      </c>
      <c r="AE23" s="52">
        <f t="shared" si="615"/>
        <v>200000</v>
      </c>
      <c r="AF23" s="52">
        <f t="shared" si="615"/>
        <v>200000</v>
      </c>
      <c r="AG23" s="52">
        <f t="shared" si="615"/>
        <v>200000</v>
      </c>
      <c r="AH23" s="98">
        <f t="shared" si="615"/>
        <v>200000</v>
      </c>
      <c r="AI23" s="82">
        <f t="shared" ref="AI23:AR25" si="616">AG23</f>
        <v>200000</v>
      </c>
      <c r="AJ23" s="82">
        <f t="shared" si="616"/>
        <v>200000</v>
      </c>
      <c r="AK23" s="82">
        <f t="shared" si="616"/>
        <v>200000</v>
      </c>
      <c r="AL23" s="82">
        <f t="shared" si="616"/>
        <v>200000</v>
      </c>
      <c r="AM23" s="82">
        <f t="shared" si="616"/>
        <v>200000</v>
      </c>
      <c r="AN23" s="82">
        <f t="shared" si="616"/>
        <v>200000</v>
      </c>
      <c r="AO23" s="82">
        <f t="shared" si="616"/>
        <v>200000</v>
      </c>
      <c r="AP23" s="82">
        <f t="shared" si="616"/>
        <v>200000</v>
      </c>
      <c r="AQ23" s="82">
        <f t="shared" si="616"/>
        <v>200000</v>
      </c>
      <c r="AR23" s="82">
        <f t="shared" si="616"/>
        <v>200000</v>
      </c>
      <c r="AS23" s="82">
        <f t="shared" ref="AS23:BB25" si="617">AQ23</f>
        <v>200000</v>
      </c>
      <c r="AT23" s="82">
        <f t="shared" si="617"/>
        <v>200000</v>
      </c>
      <c r="AU23" s="82">
        <f t="shared" si="617"/>
        <v>200000</v>
      </c>
      <c r="AV23" s="82">
        <f t="shared" si="617"/>
        <v>200000</v>
      </c>
      <c r="AW23" s="82">
        <f t="shared" si="617"/>
        <v>200000</v>
      </c>
      <c r="AX23" s="82">
        <f t="shared" si="617"/>
        <v>200000</v>
      </c>
      <c r="AY23" s="82">
        <f t="shared" si="617"/>
        <v>200000</v>
      </c>
      <c r="AZ23" s="82">
        <f t="shared" si="617"/>
        <v>200000</v>
      </c>
      <c r="BA23" s="82">
        <f t="shared" si="617"/>
        <v>200000</v>
      </c>
      <c r="BB23" s="82">
        <f t="shared" si="617"/>
        <v>200000</v>
      </c>
      <c r="BC23" s="82">
        <f t="shared" ref="BC23:BL25" si="618">BA23</f>
        <v>200000</v>
      </c>
      <c r="BD23" s="82">
        <f t="shared" si="618"/>
        <v>200000</v>
      </c>
      <c r="BE23" s="82">
        <f t="shared" si="618"/>
        <v>200000</v>
      </c>
      <c r="BF23" s="82">
        <f t="shared" si="618"/>
        <v>200000</v>
      </c>
      <c r="BG23" s="82">
        <f t="shared" si="618"/>
        <v>200000</v>
      </c>
      <c r="BH23" s="82">
        <f t="shared" si="618"/>
        <v>200000</v>
      </c>
      <c r="BI23" s="82">
        <f t="shared" si="618"/>
        <v>200000</v>
      </c>
      <c r="BJ23" s="82">
        <f t="shared" si="618"/>
        <v>200000</v>
      </c>
      <c r="BK23" s="82">
        <f t="shared" si="618"/>
        <v>200000</v>
      </c>
      <c r="BL23" s="82">
        <f t="shared" si="618"/>
        <v>200000</v>
      </c>
      <c r="BM23" s="106">
        <f>BL23</f>
        <v>200000</v>
      </c>
      <c r="BN23" s="82">
        <f t="shared" ref="BN23:BW25" si="619">BL23</f>
        <v>200000</v>
      </c>
      <c r="BO23" s="82">
        <f t="shared" si="619"/>
        <v>200000</v>
      </c>
      <c r="BP23" s="82">
        <f t="shared" si="619"/>
        <v>200000</v>
      </c>
      <c r="BQ23" s="82">
        <f t="shared" si="619"/>
        <v>200000</v>
      </c>
      <c r="BR23" s="82">
        <f t="shared" si="619"/>
        <v>200000</v>
      </c>
      <c r="BS23" s="82">
        <f t="shared" si="619"/>
        <v>200000</v>
      </c>
      <c r="BT23" s="82">
        <f t="shared" si="619"/>
        <v>200000</v>
      </c>
      <c r="BU23" s="82">
        <f t="shared" si="619"/>
        <v>200000</v>
      </c>
      <c r="BV23" s="82">
        <f t="shared" si="619"/>
        <v>200000</v>
      </c>
      <c r="BW23" s="82">
        <f t="shared" si="619"/>
        <v>200000</v>
      </c>
      <c r="BX23" s="82">
        <f t="shared" ref="BX23:CG25" si="620">BV23</f>
        <v>200000</v>
      </c>
      <c r="BY23" s="82">
        <f t="shared" si="620"/>
        <v>200000</v>
      </c>
      <c r="BZ23" s="82">
        <f t="shared" si="620"/>
        <v>200000</v>
      </c>
      <c r="CA23" s="82">
        <f t="shared" si="620"/>
        <v>200000</v>
      </c>
      <c r="CB23" s="82">
        <f t="shared" si="620"/>
        <v>200000</v>
      </c>
      <c r="CC23" s="82">
        <f t="shared" si="620"/>
        <v>200000</v>
      </c>
      <c r="CD23" s="82">
        <f t="shared" si="620"/>
        <v>200000</v>
      </c>
      <c r="CE23" s="82">
        <f t="shared" si="620"/>
        <v>200000</v>
      </c>
      <c r="CF23" s="82">
        <f t="shared" si="620"/>
        <v>200000</v>
      </c>
      <c r="CG23" s="82">
        <f t="shared" si="620"/>
        <v>200000</v>
      </c>
      <c r="CH23" s="82">
        <f t="shared" ref="CH23:CQ25" si="621">CF23</f>
        <v>200000</v>
      </c>
      <c r="CI23" s="82">
        <f t="shared" si="621"/>
        <v>200000</v>
      </c>
      <c r="CJ23" s="82">
        <f t="shared" si="621"/>
        <v>200000</v>
      </c>
      <c r="CK23" s="82">
        <f t="shared" si="621"/>
        <v>200000</v>
      </c>
      <c r="CL23" s="82">
        <f t="shared" si="621"/>
        <v>200000</v>
      </c>
      <c r="CM23" s="82">
        <f t="shared" si="621"/>
        <v>200000</v>
      </c>
      <c r="CN23" s="82">
        <f t="shared" si="621"/>
        <v>200000</v>
      </c>
      <c r="CO23" s="82">
        <f t="shared" si="621"/>
        <v>200000</v>
      </c>
      <c r="CP23" s="82">
        <f t="shared" si="621"/>
        <v>200000</v>
      </c>
      <c r="CQ23" s="82">
        <f t="shared" si="621"/>
        <v>200000</v>
      </c>
      <c r="CR23" s="82">
        <f t="shared" ref="CR23:DA25" si="622">CP23</f>
        <v>200000</v>
      </c>
      <c r="CT23" s="82">
        <f t="shared" si="416"/>
        <v>200000</v>
      </c>
      <c r="CU23" s="82">
        <f t="shared" si="151"/>
        <v>200000</v>
      </c>
      <c r="CV23" s="82">
        <f t="shared" si="494"/>
        <v>200000</v>
      </c>
      <c r="CW23" s="82">
        <f t="shared" si="494"/>
        <v>200000</v>
      </c>
      <c r="CX23" s="82">
        <f t="shared" si="417"/>
        <v>200000</v>
      </c>
      <c r="CY23" s="82">
        <f t="shared" si="325"/>
        <v>200000</v>
      </c>
      <c r="CZ23" s="82">
        <f t="shared" si="326"/>
        <v>200000</v>
      </c>
      <c r="DA23" s="82">
        <f t="shared" si="251"/>
        <v>200000</v>
      </c>
      <c r="DB23" s="82">
        <f t="shared" si="252"/>
        <v>200000</v>
      </c>
      <c r="DC23" s="82">
        <f t="shared" si="253"/>
        <v>200000</v>
      </c>
      <c r="DD23" s="82">
        <f t="shared" si="254"/>
        <v>200000</v>
      </c>
      <c r="DE23" s="82">
        <f t="shared" si="255"/>
        <v>200000</v>
      </c>
      <c r="DF23" s="82">
        <f t="shared" si="256"/>
        <v>200000</v>
      </c>
      <c r="DG23" s="82">
        <f t="shared" si="257"/>
        <v>200000</v>
      </c>
      <c r="DH23" s="82">
        <f t="shared" si="258"/>
        <v>200000</v>
      </c>
      <c r="DI23" s="82">
        <f t="shared" si="259"/>
        <v>200000</v>
      </c>
      <c r="DJ23" s="82">
        <f t="shared" si="260"/>
        <v>200000</v>
      </c>
      <c r="DK23" s="82">
        <f t="shared" si="261"/>
        <v>200000</v>
      </c>
      <c r="DL23" s="82">
        <f t="shared" si="262"/>
        <v>200000</v>
      </c>
      <c r="DM23" s="82">
        <f t="shared" si="327"/>
        <v>200000</v>
      </c>
      <c r="DN23" s="82">
        <f t="shared" si="328"/>
        <v>200000</v>
      </c>
      <c r="DO23" s="82">
        <f t="shared" si="263"/>
        <v>200000</v>
      </c>
      <c r="DP23" s="82">
        <f t="shared" si="264"/>
        <v>200000</v>
      </c>
      <c r="DQ23" s="82">
        <f t="shared" si="265"/>
        <v>200000</v>
      </c>
      <c r="DR23" s="82">
        <f t="shared" si="266"/>
        <v>200000</v>
      </c>
      <c r="DS23" s="82">
        <f t="shared" si="267"/>
        <v>200000</v>
      </c>
      <c r="DT23" s="82">
        <f t="shared" si="268"/>
        <v>200000</v>
      </c>
      <c r="DU23" s="82">
        <f t="shared" si="329"/>
        <v>200000</v>
      </c>
      <c r="DV23" s="82">
        <f t="shared" si="330"/>
        <v>200000</v>
      </c>
      <c r="DW23" s="82">
        <f t="shared" si="269"/>
        <v>200000</v>
      </c>
      <c r="DX23" s="117"/>
      <c r="DY23" s="82">
        <f t="shared" si="418"/>
        <v>200000</v>
      </c>
      <c r="DZ23" s="82">
        <f t="shared" si="419"/>
        <v>200000</v>
      </c>
      <c r="EA23" s="82">
        <f t="shared" si="420"/>
        <v>200000</v>
      </c>
      <c r="EB23" s="82">
        <f t="shared" si="495"/>
        <v>200000</v>
      </c>
      <c r="EC23" s="82">
        <f t="shared" si="495"/>
        <v>200000</v>
      </c>
      <c r="ED23" s="82">
        <f t="shared" si="566"/>
        <v>200000</v>
      </c>
      <c r="EE23" s="82">
        <f t="shared" si="566"/>
        <v>200000</v>
      </c>
      <c r="EF23" s="82">
        <f t="shared" si="566"/>
        <v>200000</v>
      </c>
      <c r="EG23" s="82">
        <f t="shared" si="566"/>
        <v>200000</v>
      </c>
      <c r="EH23" s="82">
        <f t="shared" si="566"/>
        <v>200000</v>
      </c>
      <c r="EI23" s="82">
        <f t="shared" si="566"/>
        <v>200000</v>
      </c>
      <c r="EJ23" s="82">
        <f t="shared" si="566"/>
        <v>200000</v>
      </c>
      <c r="EK23" s="82">
        <f t="shared" si="566"/>
        <v>200000</v>
      </c>
      <c r="EL23" s="82">
        <f t="shared" si="566"/>
        <v>200000</v>
      </c>
      <c r="EM23" s="82">
        <f t="shared" si="566"/>
        <v>200000</v>
      </c>
      <c r="EN23" s="82">
        <f t="shared" si="567"/>
        <v>200000</v>
      </c>
      <c r="EO23" s="82">
        <f t="shared" si="567"/>
        <v>200000</v>
      </c>
      <c r="EP23" s="82">
        <f t="shared" si="567"/>
        <v>200000</v>
      </c>
      <c r="EQ23" s="82">
        <f t="shared" si="567"/>
        <v>200000</v>
      </c>
      <c r="ER23" s="82">
        <f t="shared" si="567"/>
        <v>200000</v>
      </c>
      <c r="ES23" s="82">
        <f t="shared" si="567"/>
        <v>200000</v>
      </c>
      <c r="ET23" s="82">
        <f t="shared" si="567"/>
        <v>200000</v>
      </c>
      <c r="EU23" s="82">
        <f t="shared" si="567"/>
        <v>200000</v>
      </c>
      <c r="EV23" s="82">
        <f t="shared" si="567"/>
        <v>200000</v>
      </c>
      <c r="EW23" s="82">
        <f t="shared" si="567"/>
        <v>200000</v>
      </c>
      <c r="EX23" s="82">
        <f t="shared" si="568"/>
        <v>200000</v>
      </c>
      <c r="EY23" s="82">
        <f t="shared" si="568"/>
        <v>200000</v>
      </c>
      <c r="EZ23" s="82">
        <f t="shared" si="568"/>
        <v>200000</v>
      </c>
      <c r="FA23" s="82">
        <f t="shared" si="568"/>
        <v>200000</v>
      </c>
      <c r="FB23" s="82">
        <f t="shared" si="568"/>
        <v>200000</v>
      </c>
      <c r="FC23" s="82">
        <f>FA23</f>
        <v>200000</v>
      </c>
      <c r="FD23" s="126"/>
      <c r="FE23" s="82">
        <f>FC23</f>
        <v>200000</v>
      </c>
      <c r="FF23" s="82">
        <f>FE23</f>
        <v>200000</v>
      </c>
      <c r="FG23" s="82">
        <f t="shared" ref="FG23:FP25" si="623">FE23</f>
        <v>200000</v>
      </c>
      <c r="FH23" s="82">
        <f t="shared" si="623"/>
        <v>200000</v>
      </c>
      <c r="FI23" s="82">
        <f t="shared" si="623"/>
        <v>200000</v>
      </c>
      <c r="FJ23" s="82">
        <f t="shared" si="623"/>
        <v>200000</v>
      </c>
      <c r="FK23" s="82">
        <f t="shared" si="623"/>
        <v>200000</v>
      </c>
      <c r="FL23" s="82">
        <f t="shared" si="623"/>
        <v>200000</v>
      </c>
      <c r="FM23" s="82">
        <f t="shared" si="623"/>
        <v>200000</v>
      </c>
      <c r="FN23" s="82">
        <f t="shared" si="623"/>
        <v>200000</v>
      </c>
      <c r="FO23" s="82">
        <f t="shared" si="623"/>
        <v>200000</v>
      </c>
      <c r="FP23" s="82">
        <f t="shared" si="623"/>
        <v>200000</v>
      </c>
      <c r="FQ23" s="82">
        <f t="shared" ref="FQ23:FZ25" si="624">FO23</f>
        <v>200000</v>
      </c>
      <c r="FR23" s="82">
        <f t="shared" si="624"/>
        <v>200000</v>
      </c>
      <c r="FS23" s="82">
        <f t="shared" si="624"/>
        <v>200000</v>
      </c>
      <c r="FT23" s="82">
        <f t="shared" si="624"/>
        <v>200000</v>
      </c>
      <c r="FU23" s="82">
        <f t="shared" si="624"/>
        <v>200000</v>
      </c>
      <c r="FV23" s="82">
        <f t="shared" si="624"/>
        <v>200000</v>
      </c>
      <c r="FW23" s="82">
        <f t="shared" si="624"/>
        <v>200000</v>
      </c>
      <c r="FX23" s="82">
        <f t="shared" si="624"/>
        <v>200000</v>
      </c>
      <c r="FY23" s="82">
        <f t="shared" si="624"/>
        <v>200000</v>
      </c>
      <c r="FZ23" s="82">
        <f t="shared" si="624"/>
        <v>200000</v>
      </c>
      <c r="GA23" s="82">
        <f t="shared" ref="GA23:GJ25" si="625">FY23</f>
        <v>200000</v>
      </c>
      <c r="GB23" s="82">
        <f t="shared" si="625"/>
        <v>200000</v>
      </c>
      <c r="GC23" s="82">
        <f t="shared" si="625"/>
        <v>200000</v>
      </c>
      <c r="GD23" s="82">
        <f t="shared" si="625"/>
        <v>200000</v>
      </c>
      <c r="GE23" s="82">
        <f t="shared" si="625"/>
        <v>200000</v>
      </c>
      <c r="GF23" s="82">
        <f t="shared" si="625"/>
        <v>200000</v>
      </c>
      <c r="GG23" s="82">
        <f t="shared" si="625"/>
        <v>200000</v>
      </c>
      <c r="GH23" s="82">
        <f t="shared" si="625"/>
        <v>200000</v>
      </c>
      <c r="GI23" s="82">
        <f t="shared" si="625"/>
        <v>200000</v>
      </c>
      <c r="GJ23" s="130"/>
      <c r="GK23" s="82">
        <f>GI23</f>
        <v>200000</v>
      </c>
      <c r="GL23" s="82">
        <f t="shared" si="428"/>
        <v>200000</v>
      </c>
      <c r="GM23" s="82">
        <f t="shared" ref="GM23:GV25" si="626">GK23</f>
        <v>200000</v>
      </c>
      <c r="GN23" s="82">
        <f t="shared" si="626"/>
        <v>200000</v>
      </c>
      <c r="GO23" s="82">
        <f t="shared" si="626"/>
        <v>200000</v>
      </c>
      <c r="GP23" s="82">
        <f t="shared" si="626"/>
        <v>200000</v>
      </c>
      <c r="GQ23" s="82">
        <f t="shared" si="626"/>
        <v>200000</v>
      </c>
      <c r="GR23" s="82">
        <f t="shared" si="626"/>
        <v>200000</v>
      </c>
      <c r="GS23" s="82">
        <f t="shared" si="626"/>
        <v>200000</v>
      </c>
      <c r="GT23" s="82">
        <f t="shared" si="626"/>
        <v>200000</v>
      </c>
      <c r="GU23" s="82">
        <f t="shared" si="626"/>
        <v>200000</v>
      </c>
      <c r="GV23" s="82">
        <f t="shared" si="626"/>
        <v>200000</v>
      </c>
      <c r="GW23" s="82">
        <f t="shared" ref="GW23:HF25" si="627">GU23</f>
        <v>200000</v>
      </c>
      <c r="GX23" s="82">
        <f t="shared" si="627"/>
        <v>200000</v>
      </c>
      <c r="GY23" s="82">
        <f t="shared" si="627"/>
        <v>200000</v>
      </c>
      <c r="GZ23" s="82">
        <f t="shared" si="627"/>
        <v>200000</v>
      </c>
      <c r="HA23" s="82">
        <f t="shared" si="627"/>
        <v>200000</v>
      </c>
      <c r="HB23" s="82">
        <f t="shared" si="627"/>
        <v>200000</v>
      </c>
      <c r="HC23" s="82">
        <f t="shared" si="627"/>
        <v>200000</v>
      </c>
      <c r="HD23" s="82">
        <f t="shared" si="627"/>
        <v>200000</v>
      </c>
      <c r="HE23" s="82">
        <f t="shared" si="627"/>
        <v>200000</v>
      </c>
      <c r="HF23" s="82">
        <f t="shared" si="627"/>
        <v>200000</v>
      </c>
      <c r="HG23" s="82">
        <f t="shared" ref="HG23:HP25" si="628">HE23</f>
        <v>200000</v>
      </c>
      <c r="HH23" s="82">
        <f t="shared" si="628"/>
        <v>200000</v>
      </c>
      <c r="HI23" s="82">
        <f t="shared" si="628"/>
        <v>200000</v>
      </c>
      <c r="HJ23" s="82">
        <f t="shared" si="628"/>
        <v>200000</v>
      </c>
      <c r="HK23" s="82">
        <f t="shared" si="628"/>
        <v>200000</v>
      </c>
      <c r="HL23" s="82">
        <f t="shared" si="628"/>
        <v>200000</v>
      </c>
      <c r="HM23" s="82">
        <f t="shared" si="628"/>
        <v>200000</v>
      </c>
      <c r="HN23" s="130"/>
      <c r="HO23" s="82">
        <f>HM23</f>
        <v>200000</v>
      </c>
      <c r="HP23" s="82">
        <f t="shared" si="433"/>
        <v>200000</v>
      </c>
      <c r="HQ23" s="82">
        <f t="shared" ref="HQ23:HZ25" si="629">HO23</f>
        <v>200000</v>
      </c>
      <c r="HR23" s="82">
        <f t="shared" si="629"/>
        <v>200000</v>
      </c>
      <c r="HS23" s="82">
        <f t="shared" si="629"/>
        <v>200000</v>
      </c>
      <c r="HT23" s="82">
        <f t="shared" si="629"/>
        <v>200000</v>
      </c>
      <c r="HU23" s="82">
        <f t="shared" si="629"/>
        <v>200000</v>
      </c>
      <c r="HV23" s="82">
        <f t="shared" si="629"/>
        <v>200000</v>
      </c>
      <c r="HW23" s="82">
        <f t="shared" si="629"/>
        <v>200000</v>
      </c>
      <c r="HX23" s="82">
        <f t="shared" si="629"/>
        <v>200000</v>
      </c>
      <c r="HY23" s="82">
        <f t="shared" si="629"/>
        <v>200000</v>
      </c>
      <c r="HZ23" s="82">
        <f t="shared" si="629"/>
        <v>200000</v>
      </c>
      <c r="IA23" s="82">
        <f t="shared" ref="IA23:IJ25" si="630">HY23</f>
        <v>200000</v>
      </c>
      <c r="IB23" s="82">
        <f t="shared" si="630"/>
        <v>200000</v>
      </c>
      <c r="IC23" s="82">
        <f t="shared" si="630"/>
        <v>200000</v>
      </c>
      <c r="ID23" s="82">
        <f t="shared" si="630"/>
        <v>200000</v>
      </c>
      <c r="IE23" s="82">
        <f t="shared" si="630"/>
        <v>200000</v>
      </c>
      <c r="IF23" s="82">
        <f t="shared" si="630"/>
        <v>200000</v>
      </c>
      <c r="IG23" s="82">
        <f t="shared" si="630"/>
        <v>200000</v>
      </c>
      <c r="IH23" s="82">
        <f t="shared" si="630"/>
        <v>200000</v>
      </c>
      <c r="II23" s="82">
        <f t="shared" si="630"/>
        <v>200000</v>
      </c>
      <c r="IJ23" s="82">
        <f t="shared" si="630"/>
        <v>200000</v>
      </c>
      <c r="IK23" s="82">
        <f t="shared" ref="IK23:IT25" si="631">II23</f>
        <v>200000</v>
      </c>
      <c r="IL23" s="82">
        <f t="shared" si="631"/>
        <v>200000</v>
      </c>
      <c r="IM23" s="82">
        <f t="shared" si="631"/>
        <v>200000</v>
      </c>
      <c r="IN23" s="82">
        <f t="shared" si="631"/>
        <v>200000</v>
      </c>
      <c r="IO23" s="82">
        <f t="shared" si="631"/>
        <v>200000</v>
      </c>
      <c r="IP23" s="82">
        <f t="shared" si="631"/>
        <v>200000</v>
      </c>
      <c r="IQ23" s="82">
        <f t="shared" si="631"/>
        <v>200000</v>
      </c>
      <c r="IR23" s="82">
        <f t="shared" si="631"/>
        <v>200000</v>
      </c>
      <c r="IS23" s="82">
        <f t="shared" si="631"/>
        <v>200000</v>
      </c>
      <c r="IT23" s="130"/>
      <c r="IU23" s="82">
        <f>IS23</f>
        <v>200000</v>
      </c>
      <c r="IV23" s="82">
        <f t="shared" si="160"/>
        <v>200000</v>
      </c>
      <c r="IW23" s="82">
        <f t="shared" ref="IW23:JI23" si="632">IV23</f>
        <v>200000</v>
      </c>
      <c r="IX23" s="82">
        <f t="shared" si="632"/>
        <v>200000</v>
      </c>
      <c r="IY23" s="82">
        <f t="shared" si="632"/>
        <v>200000</v>
      </c>
      <c r="IZ23" s="82">
        <f t="shared" si="632"/>
        <v>200000</v>
      </c>
      <c r="JA23" s="82">
        <f t="shared" si="632"/>
        <v>200000</v>
      </c>
      <c r="JB23" s="82">
        <f t="shared" si="632"/>
        <v>200000</v>
      </c>
      <c r="JC23" s="82">
        <f t="shared" si="632"/>
        <v>200000</v>
      </c>
      <c r="JD23" s="82">
        <f t="shared" si="632"/>
        <v>200000</v>
      </c>
      <c r="JE23" s="82">
        <f t="shared" si="632"/>
        <v>200000</v>
      </c>
      <c r="JF23" s="82">
        <f t="shared" si="632"/>
        <v>200000</v>
      </c>
      <c r="JG23" s="82">
        <f t="shared" si="632"/>
        <v>200000</v>
      </c>
      <c r="JH23" s="82">
        <f t="shared" si="632"/>
        <v>200000</v>
      </c>
      <c r="JI23" s="82">
        <f t="shared" si="632"/>
        <v>200000</v>
      </c>
      <c r="JJ23" s="82">
        <f t="shared" si="497"/>
        <v>200000</v>
      </c>
      <c r="JK23" s="82">
        <f t="shared" ref="JK23:JX23" si="633">JJ23</f>
        <v>200000</v>
      </c>
      <c r="JL23" s="82">
        <f t="shared" si="633"/>
        <v>200000</v>
      </c>
      <c r="JM23" s="82">
        <f t="shared" si="633"/>
        <v>200000</v>
      </c>
      <c r="JN23" s="82">
        <f t="shared" si="633"/>
        <v>200000</v>
      </c>
      <c r="JO23" s="82">
        <f t="shared" si="633"/>
        <v>200000</v>
      </c>
      <c r="JP23" s="82">
        <f t="shared" si="633"/>
        <v>200000</v>
      </c>
      <c r="JQ23" s="82">
        <f t="shared" si="633"/>
        <v>200000</v>
      </c>
      <c r="JR23" s="82">
        <f t="shared" si="633"/>
        <v>200000</v>
      </c>
      <c r="JS23" s="82">
        <f t="shared" si="633"/>
        <v>200000</v>
      </c>
      <c r="JT23" s="82">
        <f t="shared" si="633"/>
        <v>200000</v>
      </c>
      <c r="JU23" s="82">
        <f t="shared" si="633"/>
        <v>200000</v>
      </c>
      <c r="JV23" s="82">
        <f t="shared" si="633"/>
        <v>200000</v>
      </c>
      <c r="JW23" s="82">
        <f t="shared" si="633"/>
        <v>200000</v>
      </c>
      <c r="JX23" s="82">
        <f t="shared" si="633"/>
        <v>200000</v>
      </c>
      <c r="JY23" s="133"/>
      <c r="JZ23" s="82">
        <f>JX23</f>
        <v>200000</v>
      </c>
      <c r="KA23" s="82">
        <f t="shared" si="438"/>
        <v>200000</v>
      </c>
      <c r="KB23" s="82">
        <f t="shared" ref="KB23:KK25" si="634">JZ23</f>
        <v>200000</v>
      </c>
      <c r="KC23" s="82">
        <f t="shared" si="634"/>
        <v>200000</v>
      </c>
      <c r="KD23" s="82">
        <f t="shared" si="634"/>
        <v>200000</v>
      </c>
      <c r="KE23" s="82">
        <f t="shared" si="634"/>
        <v>200000</v>
      </c>
      <c r="KF23" s="82">
        <f t="shared" si="634"/>
        <v>200000</v>
      </c>
      <c r="KG23" s="82">
        <f t="shared" si="634"/>
        <v>200000</v>
      </c>
      <c r="KH23" s="82">
        <f t="shared" si="634"/>
        <v>200000</v>
      </c>
      <c r="KI23" s="82">
        <f t="shared" si="634"/>
        <v>200000</v>
      </c>
      <c r="KJ23" s="82">
        <f t="shared" si="634"/>
        <v>200000</v>
      </c>
      <c r="KK23" s="82">
        <f t="shared" si="634"/>
        <v>200000</v>
      </c>
      <c r="KL23" s="82">
        <f t="shared" ref="KL23:KU25" si="635">KJ23</f>
        <v>200000</v>
      </c>
      <c r="KM23" s="82">
        <f t="shared" si="635"/>
        <v>200000</v>
      </c>
      <c r="KN23" s="82">
        <f t="shared" si="635"/>
        <v>200000</v>
      </c>
      <c r="KO23" s="82">
        <f t="shared" si="635"/>
        <v>200000</v>
      </c>
      <c r="KP23" s="82">
        <f t="shared" si="635"/>
        <v>200000</v>
      </c>
      <c r="KQ23" s="82">
        <f t="shared" si="635"/>
        <v>200000</v>
      </c>
      <c r="KR23" s="82">
        <f t="shared" si="635"/>
        <v>200000</v>
      </c>
      <c r="KS23" s="82">
        <f t="shared" si="635"/>
        <v>200000</v>
      </c>
      <c r="KT23" s="82">
        <f t="shared" si="635"/>
        <v>200000</v>
      </c>
      <c r="KU23" s="82">
        <f t="shared" si="635"/>
        <v>200000</v>
      </c>
      <c r="KV23" s="82">
        <f t="shared" ref="KV23:LE25" si="636">KT23</f>
        <v>200000</v>
      </c>
      <c r="KW23" s="82">
        <f t="shared" si="636"/>
        <v>200000</v>
      </c>
      <c r="KX23" s="82">
        <f t="shared" si="636"/>
        <v>200000</v>
      </c>
      <c r="KY23" s="82">
        <f t="shared" si="636"/>
        <v>200000</v>
      </c>
      <c r="KZ23" s="82">
        <f t="shared" si="636"/>
        <v>200000</v>
      </c>
      <c r="LA23" s="82">
        <f t="shared" si="636"/>
        <v>200000</v>
      </c>
      <c r="LB23" s="82">
        <f t="shared" si="636"/>
        <v>200000</v>
      </c>
      <c r="LC23" s="82">
        <f t="shared" si="636"/>
        <v>200000</v>
      </c>
      <c r="LD23" s="82">
        <f t="shared" si="636"/>
        <v>200000</v>
      </c>
      <c r="LE23" s="130"/>
      <c r="LF23" s="82">
        <f>LD23</f>
        <v>200000</v>
      </c>
      <c r="LG23" s="82">
        <f t="shared" ref="LG23:LO23" si="637">LF23</f>
        <v>200000</v>
      </c>
      <c r="LH23" s="82">
        <f t="shared" si="637"/>
        <v>200000</v>
      </c>
      <c r="LI23" s="82">
        <f t="shared" si="637"/>
        <v>200000</v>
      </c>
      <c r="LJ23" s="82">
        <f t="shared" si="637"/>
        <v>200000</v>
      </c>
      <c r="LK23" s="82">
        <f t="shared" si="637"/>
        <v>200000</v>
      </c>
      <c r="LL23" s="82">
        <f t="shared" si="637"/>
        <v>200000</v>
      </c>
      <c r="LM23" s="82">
        <f t="shared" si="637"/>
        <v>200000</v>
      </c>
      <c r="LN23" s="82">
        <f t="shared" si="637"/>
        <v>200000</v>
      </c>
      <c r="LO23" s="82">
        <f t="shared" si="637"/>
        <v>200000</v>
      </c>
      <c r="LP23" s="82">
        <f t="shared" si="500"/>
        <v>200000</v>
      </c>
      <c r="LQ23" s="82">
        <f>LP23</f>
        <v>200000</v>
      </c>
      <c r="LR23" s="82">
        <f>LQ23</f>
        <v>200000</v>
      </c>
      <c r="LS23" s="82">
        <f t="shared" si="213"/>
        <v>200000</v>
      </c>
      <c r="LT23" s="82">
        <f t="shared" si="213"/>
        <v>200000</v>
      </c>
      <c r="LU23" s="82">
        <f t="shared" si="213"/>
        <v>200000</v>
      </c>
      <c r="LV23" s="82">
        <f t="shared" si="213"/>
        <v>200000</v>
      </c>
      <c r="LW23" s="82">
        <f t="shared" si="213"/>
        <v>200000</v>
      </c>
      <c r="LX23" s="82">
        <f t="shared" si="279"/>
        <v>200000</v>
      </c>
      <c r="LY23" s="82">
        <f t="shared" ref="LY23:MI23" si="638">LX23</f>
        <v>200000</v>
      </c>
      <c r="LZ23" s="82">
        <f t="shared" si="638"/>
        <v>200000</v>
      </c>
      <c r="MA23" s="82">
        <f t="shared" si="638"/>
        <v>200000</v>
      </c>
      <c r="MB23" s="82">
        <f t="shared" si="638"/>
        <v>200000</v>
      </c>
      <c r="MC23" s="82">
        <f t="shared" si="638"/>
        <v>200000</v>
      </c>
      <c r="MD23" s="82">
        <f t="shared" si="638"/>
        <v>200000</v>
      </c>
      <c r="ME23" s="82">
        <f t="shared" si="638"/>
        <v>200000</v>
      </c>
      <c r="MF23" s="82">
        <f t="shared" si="638"/>
        <v>200000</v>
      </c>
      <c r="MG23" s="82">
        <f t="shared" si="638"/>
        <v>200000</v>
      </c>
      <c r="MH23" s="82">
        <f t="shared" si="638"/>
        <v>200000</v>
      </c>
      <c r="MI23" s="82">
        <f t="shared" si="638"/>
        <v>200000</v>
      </c>
      <c r="MJ23" s="133"/>
      <c r="MK23" s="82">
        <f>MI23</f>
        <v>200000</v>
      </c>
      <c r="ML23" s="82">
        <f>MK23</f>
        <v>200000</v>
      </c>
      <c r="MM23" s="82">
        <f t="shared" ref="MM23:MV25" si="639">MK23</f>
        <v>200000</v>
      </c>
      <c r="MN23" s="82">
        <f t="shared" si="639"/>
        <v>200000</v>
      </c>
      <c r="MO23" s="82">
        <f t="shared" si="639"/>
        <v>200000</v>
      </c>
      <c r="MP23" s="82">
        <f t="shared" si="639"/>
        <v>200000</v>
      </c>
      <c r="MQ23" s="82">
        <f t="shared" si="639"/>
        <v>200000</v>
      </c>
      <c r="MR23" s="82">
        <f t="shared" si="639"/>
        <v>200000</v>
      </c>
      <c r="MS23" s="82">
        <f t="shared" si="639"/>
        <v>200000</v>
      </c>
      <c r="MT23" s="82">
        <f t="shared" si="639"/>
        <v>200000</v>
      </c>
      <c r="MU23" s="82">
        <f t="shared" si="639"/>
        <v>200000</v>
      </c>
      <c r="MV23" s="82">
        <f t="shared" si="639"/>
        <v>200000</v>
      </c>
      <c r="MW23" s="82">
        <f t="shared" ref="MW23:NF25" si="640">MU23</f>
        <v>200000</v>
      </c>
      <c r="MX23" s="82">
        <f t="shared" si="640"/>
        <v>200000</v>
      </c>
      <c r="MY23" s="82">
        <f t="shared" si="640"/>
        <v>200000</v>
      </c>
      <c r="MZ23" s="82">
        <f t="shared" si="640"/>
        <v>200000</v>
      </c>
      <c r="NA23" s="82">
        <f t="shared" si="640"/>
        <v>200000</v>
      </c>
      <c r="NB23" s="82">
        <f t="shared" si="640"/>
        <v>200000</v>
      </c>
      <c r="NC23" s="82">
        <f t="shared" si="640"/>
        <v>200000</v>
      </c>
      <c r="ND23" s="82">
        <f t="shared" si="640"/>
        <v>200000</v>
      </c>
      <c r="NE23" s="82">
        <f t="shared" si="640"/>
        <v>200000</v>
      </c>
      <c r="NF23" s="82">
        <f t="shared" si="640"/>
        <v>200000</v>
      </c>
      <c r="NG23" s="82">
        <f t="shared" ref="NG23:NP25" si="641">NE23</f>
        <v>200000</v>
      </c>
      <c r="NH23" s="82">
        <f t="shared" si="641"/>
        <v>200000</v>
      </c>
      <c r="NI23" s="82">
        <f t="shared" si="641"/>
        <v>200000</v>
      </c>
      <c r="NJ23" s="82">
        <f t="shared" si="641"/>
        <v>200000</v>
      </c>
      <c r="NK23" s="82">
        <f t="shared" si="641"/>
        <v>200000</v>
      </c>
      <c r="NL23" s="82">
        <f t="shared" si="641"/>
        <v>200000</v>
      </c>
      <c r="NM23" s="82">
        <f t="shared" si="641"/>
        <v>200000</v>
      </c>
      <c r="NN23" s="82">
        <f t="shared" si="641"/>
        <v>200000</v>
      </c>
      <c r="NO23" s="82">
        <f t="shared" si="641"/>
        <v>200000</v>
      </c>
      <c r="NP23" s="133"/>
      <c r="NQ23" s="82">
        <f>NO23</f>
        <v>200000</v>
      </c>
      <c r="NR23" s="82">
        <f>NQ23</f>
        <v>200000</v>
      </c>
      <c r="NS23" s="82">
        <f>NQ23</f>
        <v>200000</v>
      </c>
      <c r="NT23" s="82">
        <f t="shared" si="578"/>
        <v>200000</v>
      </c>
      <c r="NU23" s="82">
        <f t="shared" si="578"/>
        <v>200000</v>
      </c>
      <c r="NV23" s="82">
        <f t="shared" si="578"/>
        <v>200000</v>
      </c>
      <c r="NW23" s="82">
        <f t="shared" si="578"/>
        <v>200000</v>
      </c>
      <c r="NX23" s="82">
        <f t="shared" si="578"/>
        <v>200000</v>
      </c>
      <c r="NY23" s="82">
        <f t="shared" si="578"/>
        <v>200000</v>
      </c>
      <c r="NZ23" s="82">
        <f t="shared" si="578"/>
        <v>200000</v>
      </c>
      <c r="OA23" s="82">
        <f t="shared" si="578"/>
        <v>200000</v>
      </c>
      <c r="OB23" s="82">
        <f t="shared" si="578"/>
        <v>200000</v>
      </c>
      <c r="OC23" s="82">
        <f t="shared" si="578"/>
        <v>200000</v>
      </c>
      <c r="OD23" s="82">
        <f t="shared" si="579"/>
        <v>200000</v>
      </c>
      <c r="OE23" s="82">
        <f t="shared" si="579"/>
        <v>200000</v>
      </c>
      <c r="OF23" s="82">
        <f t="shared" si="579"/>
        <v>200000</v>
      </c>
      <c r="OG23" s="82">
        <f t="shared" si="579"/>
        <v>200000</v>
      </c>
      <c r="OH23" s="82">
        <f t="shared" si="579"/>
        <v>200000</v>
      </c>
      <c r="OI23" s="82">
        <f t="shared" si="579"/>
        <v>200000</v>
      </c>
      <c r="OJ23" s="82">
        <f t="shared" si="579"/>
        <v>200000</v>
      </c>
      <c r="OK23" s="82">
        <f t="shared" si="579"/>
        <v>200000</v>
      </c>
      <c r="OL23" s="82">
        <f t="shared" si="579"/>
        <v>200000</v>
      </c>
      <c r="OM23" s="82">
        <f t="shared" si="579"/>
        <v>200000</v>
      </c>
      <c r="ON23" s="82">
        <f t="shared" si="580"/>
        <v>200000</v>
      </c>
      <c r="OO23" s="82">
        <f t="shared" si="580"/>
        <v>200000</v>
      </c>
      <c r="OP23" s="82">
        <f t="shared" si="580"/>
        <v>200000</v>
      </c>
      <c r="OQ23" s="82">
        <f t="shared" si="580"/>
        <v>200000</v>
      </c>
      <c r="OR23" s="82">
        <f t="shared" si="580"/>
        <v>200000</v>
      </c>
      <c r="OS23" s="82">
        <f t="shared" si="580"/>
        <v>200000</v>
      </c>
      <c r="OT23" s="82">
        <f t="shared" si="580"/>
        <v>200000</v>
      </c>
      <c r="OU23" s="82">
        <f t="shared" si="580"/>
        <v>200000</v>
      </c>
      <c r="OV23" s="130"/>
      <c r="OW23" s="82">
        <v>0</v>
      </c>
      <c r="OX23" s="82">
        <v>0</v>
      </c>
      <c r="OY23" s="82">
        <v>0</v>
      </c>
      <c r="OZ23" s="82">
        <v>0</v>
      </c>
      <c r="PA23" s="82">
        <v>0</v>
      </c>
      <c r="PB23" s="82">
        <v>0</v>
      </c>
      <c r="PC23" s="82">
        <v>0</v>
      </c>
      <c r="PD23" s="82">
        <v>0</v>
      </c>
      <c r="PE23" s="82">
        <v>0</v>
      </c>
      <c r="PF23" s="82">
        <v>0</v>
      </c>
      <c r="PG23" s="82">
        <v>0</v>
      </c>
      <c r="PH23" s="82">
        <v>0</v>
      </c>
      <c r="PI23" s="82">
        <v>0</v>
      </c>
      <c r="PJ23" s="82">
        <v>0</v>
      </c>
      <c r="PK23" s="82">
        <v>0</v>
      </c>
      <c r="PL23" s="82">
        <v>0</v>
      </c>
      <c r="PM23" s="82">
        <v>0</v>
      </c>
      <c r="PN23" s="82">
        <v>0</v>
      </c>
      <c r="PO23" s="82">
        <v>0</v>
      </c>
      <c r="PP23" s="82">
        <v>0</v>
      </c>
      <c r="PQ23" s="82">
        <v>0</v>
      </c>
      <c r="PR23" s="82">
        <v>0</v>
      </c>
      <c r="PS23" s="82">
        <v>0</v>
      </c>
      <c r="PT23" s="82">
        <v>0</v>
      </c>
      <c r="PU23" s="82">
        <v>0</v>
      </c>
      <c r="PV23" s="82">
        <v>0</v>
      </c>
      <c r="PW23" s="82">
        <v>0</v>
      </c>
      <c r="PX23" s="82">
        <v>0</v>
      </c>
      <c r="PY23" s="82">
        <v>0</v>
      </c>
      <c r="PZ23" s="82">
        <v>0</v>
      </c>
      <c r="QA23" s="130"/>
      <c r="QB23" s="82">
        <v>0</v>
      </c>
      <c r="QC23" s="82">
        <v>0</v>
      </c>
      <c r="QD23" s="82">
        <v>0</v>
      </c>
      <c r="QE23" s="82">
        <v>0</v>
      </c>
      <c r="QF23" s="82">
        <v>0</v>
      </c>
      <c r="QG23" s="82">
        <v>0</v>
      </c>
      <c r="QH23" s="82">
        <v>0</v>
      </c>
      <c r="QI23" s="82">
        <v>0</v>
      </c>
      <c r="QJ23" s="82">
        <v>0</v>
      </c>
      <c r="QK23" s="82">
        <v>0</v>
      </c>
      <c r="QL23" s="82">
        <v>0</v>
      </c>
      <c r="QM23" s="82">
        <v>0</v>
      </c>
      <c r="QN23" s="82">
        <v>0</v>
      </c>
      <c r="QO23" s="82">
        <v>0</v>
      </c>
      <c r="QP23" s="82">
        <v>0</v>
      </c>
      <c r="QQ23" s="82">
        <v>0</v>
      </c>
      <c r="QR23" s="82">
        <v>0</v>
      </c>
      <c r="QS23" s="82">
        <v>0</v>
      </c>
      <c r="QT23" s="82">
        <v>0</v>
      </c>
      <c r="QU23" s="82">
        <v>0</v>
      </c>
      <c r="QV23" s="82">
        <v>0</v>
      </c>
      <c r="QW23" s="82">
        <v>0</v>
      </c>
      <c r="QX23" s="82">
        <v>0</v>
      </c>
      <c r="QY23" s="82">
        <v>0</v>
      </c>
      <c r="QZ23" s="82">
        <v>0</v>
      </c>
      <c r="RA23" s="82">
        <v>0</v>
      </c>
      <c r="RB23" s="82">
        <v>0</v>
      </c>
      <c r="RC23" s="82">
        <v>0</v>
      </c>
      <c r="RD23" s="82">
        <v>0</v>
      </c>
      <c r="RE23" s="82">
        <v>0</v>
      </c>
      <c r="RF23" s="82">
        <v>0</v>
      </c>
      <c r="RG23" s="130"/>
      <c r="RH23" s="82">
        <v>0</v>
      </c>
      <c r="RI23" s="82">
        <v>0</v>
      </c>
      <c r="RJ23" s="82">
        <v>0</v>
      </c>
      <c r="RK23" s="82">
        <v>0</v>
      </c>
      <c r="RL23" s="82">
        <v>0</v>
      </c>
      <c r="RM23" s="82">
        <v>0</v>
      </c>
      <c r="RN23" s="82">
        <v>0</v>
      </c>
      <c r="RO23" s="82">
        <v>0</v>
      </c>
      <c r="RP23" s="82">
        <v>0</v>
      </c>
      <c r="RQ23" s="82">
        <v>0</v>
      </c>
      <c r="RR23" s="82">
        <v>0</v>
      </c>
      <c r="RS23" s="82">
        <v>0</v>
      </c>
      <c r="RT23" s="82">
        <v>0</v>
      </c>
      <c r="RU23" s="82">
        <v>0</v>
      </c>
      <c r="RV23" s="82">
        <v>0</v>
      </c>
      <c r="RW23" s="82">
        <v>0</v>
      </c>
      <c r="RX23" s="82">
        <v>0</v>
      </c>
      <c r="RY23" s="82">
        <v>0</v>
      </c>
      <c r="RZ23" s="82">
        <v>0</v>
      </c>
      <c r="SA23" s="82">
        <v>0</v>
      </c>
      <c r="SB23" s="82">
        <v>0</v>
      </c>
      <c r="SC23" s="82">
        <v>0</v>
      </c>
      <c r="SD23" s="82">
        <v>0</v>
      </c>
      <c r="SE23" s="82">
        <v>0</v>
      </c>
      <c r="SF23" s="82">
        <v>0</v>
      </c>
      <c r="SG23" s="82">
        <v>0</v>
      </c>
      <c r="SH23" s="82">
        <v>0</v>
      </c>
      <c r="SI23" s="82">
        <v>0</v>
      </c>
      <c r="SJ23" s="82">
        <v>0</v>
      </c>
      <c r="SK23" s="82">
        <v>0</v>
      </c>
      <c r="SL23" s="130"/>
      <c r="SM23" s="82">
        <v>0</v>
      </c>
      <c r="SN23" s="82">
        <v>0</v>
      </c>
      <c r="SO23" s="82">
        <v>0</v>
      </c>
      <c r="SP23" s="82">
        <v>0</v>
      </c>
      <c r="SQ23" s="82">
        <v>0</v>
      </c>
      <c r="SR23" s="82">
        <v>0</v>
      </c>
      <c r="SS23" s="82">
        <v>0</v>
      </c>
      <c r="ST23" s="82">
        <v>0</v>
      </c>
      <c r="SU23" s="82">
        <v>0</v>
      </c>
      <c r="SV23" s="82">
        <v>0</v>
      </c>
      <c r="SW23" s="82">
        <v>0</v>
      </c>
      <c r="SX23" s="82">
        <v>0</v>
      </c>
      <c r="SY23" s="82">
        <v>0</v>
      </c>
      <c r="SZ23" s="82">
        <v>0</v>
      </c>
      <c r="TA23" s="82">
        <v>0</v>
      </c>
      <c r="TB23" s="82">
        <v>0</v>
      </c>
      <c r="TC23" s="82">
        <v>0</v>
      </c>
      <c r="TD23" s="82">
        <v>0</v>
      </c>
      <c r="TE23" s="82">
        <v>0</v>
      </c>
      <c r="TF23" s="82">
        <v>0</v>
      </c>
      <c r="TG23" s="82">
        <v>0</v>
      </c>
      <c r="TH23" s="82">
        <v>0</v>
      </c>
      <c r="TI23" s="82">
        <v>0</v>
      </c>
      <c r="TJ23" s="82">
        <v>0</v>
      </c>
      <c r="TK23" s="82">
        <v>0</v>
      </c>
      <c r="TL23" s="82">
        <v>0</v>
      </c>
      <c r="TM23" s="82">
        <v>0</v>
      </c>
      <c r="TN23" s="82">
        <v>0</v>
      </c>
      <c r="TO23" s="82">
        <v>0</v>
      </c>
      <c r="TP23" s="82">
        <v>0</v>
      </c>
      <c r="TQ23" s="82">
        <v>0</v>
      </c>
      <c r="TR23" s="130"/>
      <c r="TS23" s="82">
        <v>0</v>
      </c>
      <c r="TT23" s="82">
        <v>0</v>
      </c>
      <c r="TU23" s="82">
        <v>0</v>
      </c>
      <c r="TV23" s="82">
        <v>0</v>
      </c>
      <c r="TW23" s="82">
        <v>0</v>
      </c>
      <c r="TX23" s="82">
        <v>0</v>
      </c>
      <c r="TY23" s="82">
        <v>0</v>
      </c>
      <c r="TZ23" s="82">
        <v>0</v>
      </c>
      <c r="UA23" s="82">
        <v>0</v>
      </c>
      <c r="UB23" s="82">
        <v>0</v>
      </c>
      <c r="UC23" s="82">
        <v>0</v>
      </c>
      <c r="UD23" s="82">
        <v>0</v>
      </c>
      <c r="UE23" s="82">
        <v>0</v>
      </c>
      <c r="UF23" s="82">
        <v>0</v>
      </c>
      <c r="UG23" s="82">
        <v>0</v>
      </c>
      <c r="UH23" s="82">
        <v>0</v>
      </c>
      <c r="UI23" s="82">
        <v>0</v>
      </c>
      <c r="UJ23" s="82">
        <v>0</v>
      </c>
      <c r="UK23" s="82">
        <v>0</v>
      </c>
      <c r="UL23" s="82">
        <v>0</v>
      </c>
      <c r="UM23" s="82">
        <v>0</v>
      </c>
      <c r="UN23" s="82">
        <v>0</v>
      </c>
      <c r="UO23" s="82">
        <v>0</v>
      </c>
      <c r="UP23" s="82">
        <v>0</v>
      </c>
      <c r="UQ23" s="82">
        <v>0</v>
      </c>
      <c r="UR23" s="82">
        <v>0</v>
      </c>
      <c r="US23" s="82">
        <v>0</v>
      </c>
      <c r="UT23" s="82">
        <v>0</v>
      </c>
      <c r="UU23" s="82">
        <v>0</v>
      </c>
      <c r="UV23" s="82">
        <v>0</v>
      </c>
      <c r="UW23" s="82">
        <v>0</v>
      </c>
      <c r="UX23" s="130"/>
      <c r="UY23" s="82">
        <v>0</v>
      </c>
      <c r="UZ23" s="82">
        <v>0</v>
      </c>
      <c r="VA23" s="82">
        <v>0</v>
      </c>
      <c r="VB23" s="82">
        <v>0</v>
      </c>
      <c r="VC23" s="82">
        <v>0</v>
      </c>
      <c r="VD23" s="82">
        <v>0</v>
      </c>
      <c r="VE23" s="82">
        <v>0</v>
      </c>
      <c r="VF23" s="82">
        <v>0</v>
      </c>
      <c r="VG23" s="82">
        <v>0</v>
      </c>
      <c r="VH23" s="82">
        <v>0</v>
      </c>
      <c r="VI23" s="82">
        <v>0</v>
      </c>
      <c r="VJ23" s="82">
        <v>0</v>
      </c>
      <c r="VK23" s="82">
        <v>0</v>
      </c>
      <c r="VL23" s="82">
        <v>0</v>
      </c>
      <c r="VM23" s="82">
        <v>0</v>
      </c>
      <c r="VN23" s="82">
        <v>0</v>
      </c>
      <c r="VO23" s="82">
        <v>0</v>
      </c>
      <c r="VP23" s="82">
        <v>0</v>
      </c>
      <c r="VQ23" s="82">
        <v>0</v>
      </c>
      <c r="VR23" s="82">
        <v>0</v>
      </c>
      <c r="VS23" s="82">
        <v>0</v>
      </c>
      <c r="VT23" s="82">
        <v>0</v>
      </c>
      <c r="VU23" s="82">
        <v>0</v>
      </c>
      <c r="VV23" s="82">
        <v>0</v>
      </c>
      <c r="VW23" s="82">
        <v>0</v>
      </c>
      <c r="VX23" s="82">
        <v>0</v>
      </c>
      <c r="VY23" s="82">
        <v>0</v>
      </c>
      <c r="VZ23" s="82">
        <v>0</v>
      </c>
      <c r="WA23" s="133"/>
      <c r="WB23" s="82">
        <v>0</v>
      </c>
      <c r="WC23" s="82">
        <v>0</v>
      </c>
      <c r="WD23" s="82">
        <v>0</v>
      </c>
      <c r="WE23" s="82">
        <v>0</v>
      </c>
      <c r="WF23" s="82">
        <v>0</v>
      </c>
      <c r="WG23" s="82">
        <v>0</v>
      </c>
      <c r="WH23" s="82">
        <v>0</v>
      </c>
      <c r="WI23" s="82">
        <v>0</v>
      </c>
      <c r="WJ23" s="82">
        <v>0</v>
      </c>
      <c r="WK23" s="82">
        <v>0</v>
      </c>
      <c r="WL23" s="82">
        <v>0</v>
      </c>
      <c r="WM23" s="82">
        <v>0</v>
      </c>
      <c r="WN23" s="82">
        <v>0</v>
      </c>
      <c r="WO23" s="82">
        <v>0</v>
      </c>
      <c r="WP23" s="82">
        <v>0</v>
      </c>
      <c r="WQ23" s="82">
        <v>0</v>
      </c>
      <c r="WR23" s="82">
        <v>0</v>
      </c>
      <c r="WS23" s="82">
        <v>0</v>
      </c>
      <c r="WT23" s="82">
        <v>0</v>
      </c>
      <c r="WU23" s="82">
        <v>0</v>
      </c>
      <c r="WV23" s="82">
        <v>0</v>
      </c>
      <c r="WW23" s="82">
        <v>0</v>
      </c>
      <c r="WX23" s="82">
        <v>0</v>
      </c>
      <c r="WY23" s="82">
        <v>0</v>
      </c>
      <c r="WZ23" s="82">
        <v>0</v>
      </c>
      <c r="XA23" s="82">
        <v>0</v>
      </c>
      <c r="XB23" s="82">
        <v>0</v>
      </c>
      <c r="XC23" s="82">
        <v>0</v>
      </c>
      <c r="XD23" s="82">
        <v>0</v>
      </c>
      <c r="XE23" s="82">
        <v>0</v>
      </c>
      <c r="XF23" s="82">
        <v>0</v>
      </c>
      <c r="XG23" s="133"/>
      <c r="XH23" s="82">
        <v>0</v>
      </c>
      <c r="XI23" s="82">
        <v>0</v>
      </c>
      <c r="XJ23" s="82">
        <v>0</v>
      </c>
      <c r="XK23" s="82">
        <v>0</v>
      </c>
      <c r="XL23" s="82">
        <v>0</v>
      </c>
      <c r="XM23" s="82">
        <v>0</v>
      </c>
      <c r="XN23" s="82">
        <v>0</v>
      </c>
      <c r="XO23" s="82">
        <v>0</v>
      </c>
      <c r="XP23" s="82">
        <v>0</v>
      </c>
      <c r="XQ23" s="82">
        <v>0</v>
      </c>
      <c r="XR23" s="82">
        <v>0</v>
      </c>
      <c r="XS23" s="82">
        <v>0</v>
      </c>
      <c r="XT23" s="82">
        <v>0</v>
      </c>
      <c r="XU23" s="82">
        <v>0</v>
      </c>
      <c r="XV23" s="82">
        <v>0</v>
      </c>
      <c r="XW23" s="82">
        <v>0</v>
      </c>
      <c r="XX23" s="82">
        <v>0</v>
      </c>
      <c r="XY23" s="82">
        <v>0</v>
      </c>
      <c r="XZ23" s="82">
        <v>0</v>
      </c>
      <c r="YA23" s="82">
        <v>0</v>
      </c>
      <c r="YB23" s="82">
        <v>0</v>
      </c>
      <c r="YC23" s="82">
        <v>0</v>
      </c>
      <c r="YD23" s="82">
        <v>0</v>
      </c>
      <c r="YE23" s="82">
        <v>0</v>
      </c>
      <c r="YF23" s="82">
        <v>0</v>
      </c>
      <c r="YG23" s="82">
        <v>0</v>
      </c>
      <c r="YH23" s="82">
        <v>0</v>
      </c>
      <c r="YI23" s="82">
        <v>0</v>
      </c>
      <c r="YJ23" s="82">
        <v>0</v>
      </c>
      <c r="YK23" s="82">
        <v>0</v>
      </c>
      <c r="YL23" s="130"/>
      <c r="YM23" s="82">
        <v>0</v>
      </c>
      <c r="YN23" s="82">
        <v>0</v>
      </c>
      <c r="YO23" s="82">
        <v>0</v>
      </c>
      <c r="YP23" s="82">
        <v>0</v>
      </c>
      <c r="YQ23" s="82">
        <v>0</v>
      </c>
      <c r="YR23" s="82">
        <v>0</v>
      </c>
      <c r="YS23" s="82">
        <v>0</v>
      </c>
      <c r="YT23" s="82">
        <v>0</v>
      </c>
      <c r="YU23" s="82">
        <v>0</v>
      </c>
      <c r="YV23" s="82">
        <v>0</v>
      </c>
      <c r="YW23" s="82">
        <v>0</v>
      </c>
      <c r="YX23" s="82">
        <v>0</v>
      </c>
      <c r="YY23" s="82">
        <v>0</v>
      </c>
      <c r="YZ23" s="82">
        <v>0</v>
      </c>
      <c r="ZA23" s="82">
        <v>0</v>
      </c>
      <c r="ZB23" s="82">
        <v>0</v>
      </c>
      <c r="ZC23" s="82">
        <v>0</v>
      </c>
      <c r="ZD23" s="82">
        <v>0</v>
      </c>
      <c r="ZE23" s="82">
        <v>0</v>
      </c>
      <c r="ZF23" s="82">
        <v>0</v>
      </c>
      <c r="ZG23" s="82">
        <v>0</v>
      </c>
      <c r="ZH23" s="82">
        <v>0</v>
      </c>
      <c r="ZI23" s="82">
        <v>0</v>
      </c>
      <c r="ZJ23" s="82">
        <v>0</v>
      </c>
      <c r="ZK23" s="82">
        <v>0</v>
      </c>
      <c r="ZL23" s="82">
        <v>0</v>
      </c>
      <c r="ZM23" s="82">
        <v>0</v>
      </c>
      <c r="ZN23" s="82">
        <v>0</v>
      </c>
      <c r="ZO23" s="82">
        <v>0</v>
      </c>
      <c r="ZP23" s="82">
        <v>0</v>
      </c>
      <c r="ZQ23" s="82">
        <v>0</v>
      </c>
      <c r="ZR23" s="130"/>
      <c r="ZS23" s="82">
        <v>0</v>
      </c>
      <c r="ZT23" s="82">
        <v>0</v>
      </c>
      <c r="ZU23" s="82">
        <v>0</v>
      </c>
      <c r="ZV23" s="82">
        <v>0</v>
      </c>
      <c r="ZW23" s="82">
        <v>0</v>
      </c>
      <c r="ZX23" s="82">
        <v>0</v>
      </c>
      <c r="ZY23" s="82">
        <v>0</v>
      </c>
      <c r="ZZ23" s="82">
        <v>0</v>
      </c>
      <c r="AAA23" s="82">
        <v>0</v>
      </c>
      <c r="AAB23" s="82">
        <v>0</v>
      </c>
      <c r="AAC23" s="82">
        <v>0</v>
      </c>
      <c r="AAD23" s="82">
        <v>0</v>
      </c>
      <c r="AAE23" s="82">
        <v>0</v>
      </c>
      <c r="AAF23" s="82">
        <v>0</v>
      </c>
      <c r="AAG23" s="82">
        <v>0</v>
      </c>
      <c r="AAH23" s="82">
        <v>0</v>
      </c>
      <c r="AAI23" s="82">
        <v>0</v>
      </c>
      <c r="AAJ23" s="82">
        <v>0</v>
      </c>
      <c r="AAK23" s="82">
        <v>0</v>
      </c>
      <c r="AAL23" s="82">
        <v>0</v>
      </c>
      <c r="AAM23" s="82">
        <v>0</v>
      </c>
      <c r="AAN23" s="82">
        <v>0</v>
      </c>
      <c r="AAO23" s="82">
        <v>0</v>
      </c>
      <c r="AAP23" s="82">
        <v>0</v>
      </c>
      <c r="AAQ23" s="82">
        <v>0</v>
      </c>
      <c r="AAR23" s="82">
        <v>0</v>
      </c>
      <c r="AAS23" s="82">
        <v>0</v>
      </c>
      <c r="AAT23" s="82">
        <v>0</v>
      </c>
      <c r="AAU23" s="82">
        <v>0</v>
      </c>
      <c r="AAV23" s="82">
        <v>0</v>
      </c>
      <c r="AAW23" s="130"/>
      <c r="AAX23" s="82">
        <v>0</v>
      </c>
      <c r="AAY23" s="82">
        <v>0</v>
      </c>
      <c r="AAZ23" s="82">
        <v>0</v>
      </c>
      <c r="ABA23" s="82">
        <v>0</v>
      </c>
      <c r="ABB23" s="82">
        <v>0</v>
      </c>
      <c r="ABC23" s="82">
        <v>0</v>
      </c>
      <c r="ABD23" s="82">
        <v>0</v>
      </c>
      <c r="ABE23" s="82">
        <v>0</v>
      </c>
      <c r="ABF23" s="82">
        <v>0</v>
      </c>
      <c r="ABG23" s="82">
        <v>0</v>
      </c>
      <c r="ABH23" s="82">
        <v>0</v>
      </c>
      <c r="ABI23" s="82">
        <v>0</v>
      </c>
      <c r="ABJ23" s="82">
        <v>0</v>
      </c>
      <c r="ABK23" s="82">
        <v>0</v>
      </c>
      <c r="ABL23" s="82">
        <v>0</v>
      </c>
      <c r="ABM23" s="82">
        <v>0</v>
      </c>
      <c r="ABN23" s="82">
        <v>0</v>
      </c>
      <c r="ABO23" s="82">
        <v>0</v>
      </c>
      <c r="ABP23" s="82">
        <v>0</v>
      </c>
      <c r="ABQ23" s="82">
        <v>0</v>
      </c>
      <c r="ABR23" s="82">
        <v>0</v>
      </c>
      <c r="ABS23" s="82">
        <v>0</v>
      </c>
      <c r="ABT23" s="82">
        <v>0</v>
      </c>
      <c r="ABU23" s="82">
        <v>0</v>
      </c>
      <c r="ABV23" s="82">
        <v>0</v>
      </c>
      <c r="ABW23" s="82">
        <v>0</v>
      </c>
      <c r="ABX23" s="82">
        <v>0</v>
      </c>
      <c r="ABY23" s="82">
        <v>0</v>
      </c>
      <c r="ABZ23" s="82">
        <v>0</v>
      </c>
      <c r="ACA23" s="82">
        <v>0</v>
      </c>
      <c r="ACB23" s="82">
        <v>0</v>
      </c>
      <c r="ACC23" s="130"/>
      <c r="ACD23" s="82">
        <v>0</v>
      </c>
      <c r="ACE23" s="82">
        <v>0</v>
      </c>
      <c r="ACF23" s="82">
        <v>0</v>
      </c>
      <c r="ACG23" s="82">
        <v>0</v>
      </c>
      <c r="ACH23" s="82">
        <v>0</v>
      </c>
      <c r="ACI23" s="82">
        <v>0</v>
      </c>
      <c r="ACJ23" s="82">
        <v>0</v>
      </c>
      <c r="ACK23" s="82">
        <v>0</v>
      </c>
      <c r="ACL23" s="82">
        <v>0</v>
      </c>
      <c r="ACM23" s="82">
        <v>0</v>
      </c>
      <c r="ACN23" s="82">
        <v>0</v>
      </c>
      <c r="ACO23" s="82">
        <v>0</v>
      </c>
      <c r="ACP23" s="82">
        <v>0</v>
      </c>
      <c r="ACQ23" s="82">
        <v>0</v>
      </c>
      <c r="ACR23" s="82">
        <v>0</v>
      </c>
      <c r="ACS23" s="82">
        <v>0</v>
      </c>
      <c r="ACT23" s="82">
        <v>0</v>
      </c>
      <c r="ACU23" s="82">
        <v>0</v>
      </c>
      <c r="ACV23" s="82">
        <v>0</v>
      </c>
      <c r="ACW23" s="82">
        <v>0</v>
      </c>
      <c r="ACX23" s="82">
        <v>0</v>
      </c>
      <c r="ACY23" s="82">
        <v>0</v>
      </c>
      <c r="ACZ23" s="82">
        <v>0</v>
      </c>
      <c r="ADA23" s="82">
        <v>0</v>
      </c>
      <c r="ADB23" s="82">
        <v>0</v>
      </c>
      <c r="ADC23" s="82">
        <v>0</v>
      </c>
      <c r="ADD23" s="82">
        <v>0</v>
      </c>
      <c r="ADE23" s="82">
        <v>0</v>
      </c>
      <c r="ADF23" s="82">
        <v>0</v>
      </c>
      <c r="ADG23" s="82">
        <v>0</v>
      </c>
      <c r="ADH23" s="82">
        <v>0</v>
      </c>
      <c r="ADI23" s="130"/>
      <c r="ADJ23" s="82">
        <v>0</v>
      </c>
      <c r="ADK23" s="82">
        <v>0</v>
      </c>
      <c r="ADL23" s="82">
        <v>0</v>
      </c>
      <c r="ADM23" s="82">
        <v>0</v>
      </c>
      <c r="ADN23" s="82">
        <v>0</v>
      </c>
      <c r="ADO23" s="82">
        <v>0</v>
      </c>
      <c r="ADP23" s="82">
        <v>0</v>
      </c>
      <c r="ADQ23" s="82">
        <v>0</v>
      </c>
      <c r="ADR23" s="82">
        <v>0</v>
      </c>
      <c r="ADS23" s="82">
        <v>0</v>
      </c>
      <c r="ADT23" s="82">
        <v>0</v>
      </c>
      <c r="ADU23" s="82">
        <v>0</v>
      </c>
      <c r="ADV23" s="82">
        <v>0</v>
      </c>
      <c r="ADW23" s="82">
        <v>0</v>
      </c>
      <c r="ADX23" s="82">
        <v>0</v>
      </c>
      <c r="ADY23" s="82">
        <v>0</v>
      </c>
      <c r="ADZ23" s="82">
        <v>0</v>
      </c>
      <c r="AEA23" s="82">
        <v>0</v>
      </c>
      <c r="AEB23" s="82">
        <v>0</v>
      </c>
      <c r="AEC23" s="82">
        <v>0</v>
      </c>
      <c r="AED23" s="82">
        <v>0</v>
      </c>
      <c r="AEE23" s="82">
        <v>0</v>
      </c>
      <c r="AEF23" s="82">
        <v>0</v>
      </c>
      <c r="AEG23" s="82">
        <v>0</v>
      </c>
      <c r="AEH23" s="82">
        <v>0</v>
      </c>
      <c r="AEI23" s="82">
        <v>0</v>
      </c>
      <c r="AEJ23" s="82">
        <v>0</v>
      </c>
      <c r="AEK23" s="82">
        <v>0</v>
      </c>
      <c r="AEL23" s="82">
        <v>0</v>
      </c>
      <c r="AEM23" s="82">
        <v>0</v>
      </c>
      <c r="AEN23" s="130"/>
      <c r="AEO23" s="82">
        <v>0</v>
      </c>
      <c r="AEP23" s="82">
        <v>0</v>
      </c>
      <c r="AEQ23" s="82">
        <v>0</v>
      </c>
      <c r="AER23" s="82">
        <v>0</v>
      </c>
      <c r="AES23" s="82">
        <v>0</v>
      </c>
      <c r="AET23" s="82">
        <v>0</v>
      </c>
      <c r="AEU23" s="82">
        <v>0</v>
      </c>
      <c r="AEV23" s="82">
        <v>0</v>
      </c>
      <c r="AEW23" s="82">
        <v>0</v>
      </c>
      <c r="AEX23" s="82">
        <v>0</v>
      </c>
      <c r="AEY23" s="82">
        <v>0</v>
      </c>
      <c r="AEZ23" s="82">
        <v>0</v>
      </c>
      <c r="AFA23" s="82">
        <v>0</v>
      </c>
      <c r="AFB23" s="82">
        <v>0</v>
      </c>
      <c r="AFC23" s="82">
        <v>0</v>
      </c>
      <c r="AFD23" s="82">
        <v>0</v>
      </c>
      <c r="AFE23" s="82">
        <v>0</v>
      </c>
      <c r="AFF23" s="82">
        <v>0</v>
      </c>
      <c r="AFG23" s="82">
        <v>0</v>
      </c>
      <c r="AFH23" s="82">
        <v>0</v>
      </c>
      <c r="AFI23" s="82">
        <v>0</v>
      </c>
      <c r="AFJ23" s="82">
        <v>0</v>
      </c>
      <c r="AFK23" s="82">
        <v>0</v>
      </c>
      <c r="AFL23" s="82">
        <v>0</v>
      </c>
      <c r="AFM23" s="82">
        <v>0</v>
      </c>
      <c r="AFN23" s="82">
        <v>0</v>
      </c>
      <c r="AFO23" s="82">
        <v>0</v>
      </c>
      <c r="AFP23" s="82">
        <v>0</v>
      </c>
      <c r="AFQ23" s="82">
        <v>0</v>
      </c>
      <c r="AFR23" s="82">
        <v>0</v>
      </c>
      <c r="AFS23" s="82">
        <v>0</v>
      </c>
      <c r="AFT23" s="130"/>
      <c r="AFU23" s="82">
        <v>0</v>
      </c>
      <c r="AFV23" s="82">
        <v>0</v>
      </c>
      <c r="AFW23" s="82">
        <v>0</v>
      </c>
      <c r="AFX23" s="82">
        <v>0</v>
      </c>
      <c r="AFY23" s="82">
        <v>0</v>
      </c>
      <c r="AFZ23" s="82">
        <v>0</v>
      </c>
      <c r="AGA23" s="82">
        <v>0</v>
      </c>
      <c r="AGB23" s="82">
        <v>0</v>
      </c>
      <c r="AGC23" s="82">
        <v>0</v>
      </c>
      <c r="AGD23" s="82">
        <v>0</v>
      </c>
      <c r="AGE23" s="82">
        <v>0</v>
      </c>
      <c r="AGF23" s="82">
        <v>0</v>
      </c>
      <c r="AGG23" s="82">
        <v>0</v>
      </c>
      <c r="AGH23" s="82">
        <v>0</v>
      </c>
      <c r="AGI23" s="82">
        <v>0</v>
      </c>
      <c r="AGJ23" s="82">
        <v>0</v>
      </c>
      <c r="AGK23" s="82">
        <v>0</v>
      </c>
      <c r="AGL23" s="82">
        <v>0</v>
      </c>
      <c r="AGM23" s="82">
        <v>0</v>
      </c>
      <c r="AGN23" s="82">
        <v>0</v>
      </c>
      <c r="AGO23" s="82">
        <v>0</v>
      </c>
      <c r="AGP23" s="82">
        <v>0</v>
      </c>
      <c r="AGQ23" s="82">
        <v>0</v>
      </c>
      <c r="AGR23" s="82">
        <v>0</v>
      </c>
      <c r="AGS23" s="82">
        <v>0</v>
      </c>
      <c r="AGT23" s="82">
        <v>0</v>
      </c>
      <c r="AGU23" s="82">
        <v>0</v>
      </c>
      <c r="AGV23" s="82">
        <v>0</v>
      </c>
      <c r="AGW23" s="82">
        <v>0</v>
      </c>
      <c r="AGX23" s="82">
        <v>0</v>
      </c>
      <c r="AGY23" s="133"/>
      <c r="AGZ23" s="82">
        <v>0</v>
      </c>
      <c r="AHA23" s="82">
        <v>0</v>
      </c>
      <c r="AHB23" s="82">
        <v>0</v>
      </c>
      <c r="AHC23" s="82">
        <v>0</v>
      </c>
      <c r="AHD23" s="82">
        <v>0</v>
      </c>
      <c r="AHE23" s="82">
        <v>0</v>
      </c>
      <c r="AHF23" s="82">
        <v>0</v>
      </c>
      <c r="AHG23" s="82">
        <v>0</v>
      </c>
      <c r="AHH23" s="82">
        <v>0</v>
      </c>
      <c r="AHI23" s="82">
        <v>0</v>
      </c>
      <c r="AHJ23" s="82">
        <v>0</v>
      </c>
      <c r="AHK23" s="82">
        <v>0</v>
      </c>
      <c r="AHL23" s="82">
        <v>0</v>
      </c>
      <c r="AHM23" s="82">
        <v>0</v>
      </c>
      <c r="AHN23" s="82">
        <v>0</v>
      </c>
      <c r="AHO23" s="82">
        <v>0</v>
      </c>
      <c r="AHP23" s="82">
        <v>0</v>
      </c>
      <c r="AHQ23" s="82">
        <v>0</v>
      </c>
      <c r="AHR23" s="82">
        <v>0</v>
      </c>
      <c r="AHS23" s="82">
        <v>0</v>
      </c>
      <c r="AHT23" s="82">
        <v>0</v>
      </c>
      <c r="AHU23" s="82">
        <v>0</v>
      </c>
      <c r="AHV23" s="82">
        <v>0</v>
      </c>
      <c r="AHW23" s="82">
        <v>0</v>
      </c>
      <c r="AHX23" s="82">
        <v>0</v>
      </c>
      <c r="AHY23" s="82">
        <v>0</v>
      </c>
      <c r="AHZ23" s="82">
        <v>0</v>
      </c>
      <c r="AIA23" s="82">
        <v>0</v>
      </c>
      <c r="AIB23" s="82">
        <v>0</v>
      </c>
      <c r="AIC23" s="82">
        <v>0</v>
      </c>
      <c r="AID23" s="82">
        <v>0</v>
      </c>
      <c r="AIE23" s="130"/>
      <c r="AIF23" s="82">
        <v>0</v>
      </c>
      <c r="AIG23" s="82">
        <v>0</v>
      </c>
      <c r="AIH23" s="82">
        <v>0</v>
      </c>
      <c r="AII23" s="82">
        <v>0</v>
      </c>
      <c r="AIJ23" s="82">
        <v>0</v>
      </c>
      <c r="AIK23" s="82">
        <v>0</v>
      </c>
      <c r="AIL23" s="82">
        <v>0</v>
      </c>
      <c r="AIM23" s="82">
        <v>0</v>
      </c>
      <c r="AIN23" s="82">
        <v>0</v>
      </c>
      <c r="AIO23" s="82">
        <v>0</v>
      </c>
      <c r="AIP23" s="82">
        <v>0</v>
      </c>
      <c r="AIQ23" s="82">
        <v>0</v>
      </c>
      <c r="AIR23" s="82">
        <v>0</v>
      </c>
      <c r="AIS23" s="82">
        <v>0</v>
      </c>
      <c r="AIT23" s="82">
        <v>0</v>
      </c>
      <c r="AIU23" s="82">
        <v>0</v>
      </c>
      <c r="AIV23" s="82">
        <v>0</v>
      </c>
      <c r="AIW23" s="82">
        <v>0</v>
      </c>
      <c r="AIX23" s="82">
        <v>0</v>
      </c>
      <c r="AIY23" s="82">
        <v>0</v>
      </c>
      <c r="AIZ23" s="82">
        <v>0</v>
      </c>
      <c r="AJA23" s="82">
        <v>0</v>
      </c>
      <c r="AJB23" s="82">
        <v>0</v>
      </c>
      <c r="AJC23" s="82">
        <v>0</v>
      </c>
      <c r="AJD23" s="82">
        <v>0</v>
      </c>
      <c r="AJE23" s="82">
        <v>0</v>
      </c>
      <c r="AJF23" s="82">
        <v>0</v>
      </c>
      <c r="AJG23" s="82">
        <v>0</v>
      </c>
      <c r="AJH23" s="82">
        <v>0</v>
      </c>
      <c r="AJI23" s="82">
        <v>0</v>
      </c>
      <c r="AJJ23" s="82">
        <v>0</v>
      </c>
      <c r="AJK23" s="145"/>
      <c r="AJL23" s="82">
        <v>0</v>
      </c>
      <c r="AJM23" s="82">
        <v>0</v>
      </c>
      <c r="AJN23" s="82">
        <v>0</v>
      </c>
      <c r="AJO23" s="82">
        <v>0</v>
      </c>
      <c r="AJP23" s="82">
        <v>0</v>
      </c>
      <c r="AJQ23" s="82">
        <v>0</v>
      </c>
      <c r="AJR23" s="82">
        <v>0</v>
      </c>
      <c r="AJS23" s="82">
        <v>0</v>
      </c>
      <c r="AJT23" s="82">
        <v>0</v>
      </c>
      <c r="AJU23" s="82">
        <v>0</v>
      </c>
      <c r="AJV23" s="82">
        <v>0</v>
      </c>
      <c r="AJW23" s="82">
        <v>0</v>
      </c>
      <c r="AJX23" s="82">
        <v>0</v>
      </c>
      <c r="AJY23" s="82">
        <v>0</v>
      </c>
      <c r="AJZ23" s="82">
        <v>0</v>
      </c>
      <c r="AKA23" s="82">
        <v>0</v>
      </c>
      <c r="AKB23" s="82">
        <v>0</v>
      </c>
      <c r="AKC23" s="82">
        <v>0</v>
      </c>
      <c r="AKD23" s="82">
        <v>0</v>
      </c>
      <c r="AKE23" s="82">
        <v>0</v>
      </c>
      <c r="AKF23" s="82">
        <v>0</v>
      </c>
      <c r="AKG23" s="82">
        <v>0</v>
      </c>
      <c r="AKH23" s="82">
        <v>0</v>
      </c>
      <c r="AKI23" s="82">
        <v>0</v>
      </c>
      <c r="AKJ23" s="82">
        <v>0</v>
      </c>
      <c r="AKK23" s="82">
        <v>0</v>
      </c>
      <c r="AKL23" s="82">
        <v>0</v>
      </c>
      <c r="AKM23" s="82">
        <v>0</v>
      </c>
      <c r="AKN23" s="112"/>
      <c r="AKO23" s="82">
        <v>0</v>
      </c>
      <c r="AKP23" s="82">
        <v>0</v>
      </c>
      <c r="AKQ23" s="82">
        <v>0</v>
      </c>
      <c r="AKR23" s="82">
        <v>0</v>
      </c>
      <c r="AKS23" s="82">
        <v>0</v>
      </c>
      <c r="AKT23" s="82">
        <v>0</v>
      </c>
      <c r="AKU23" s="82">
        <v>0</v>
      </c>
      <c r="AKV23" s="82">
        <v>0</v>
      </c>
      <c r="AKW23" s="82">
        <v>0</v>
      </c>
      <c r="AKX23" s="82">
        <v>0</v>
      </c>
      <c r="AKY23" s="82">
        <v>0</v>
      </c>
      <c r="AKZ23" s="82">
        <v>0</v>
      </c>
      <c r="ALA23" s="82">
        <v>0</v>
      </c>
      <c r="ALB23" s="82">
        <v>0</v>
      </c>
      <c r="ALC23" s="82">
        <v>0</v>
      </c>
      <c r="ALD23" s="82">
        <v>0</v>
      </c>
      <c r="ALE23" s="82">
        <v>0</v>
      </c>
      <c r="ALF23" s="82">
        <v>0</v>
      </c>
      <c r="ALG23" s="82">
        <v>0</v>
      </c>
      <c r="ALH23" s="82">
        <v>0</v>
      </c>
      <c r="ALI23" s="82">
        <v>0</v>
      </c>
      <c r="ALJ23" s="82">
        <v>0</v>
      </c>
      <c r="ALK23" s="82">
        <v>0</v>
      </c>
      <c r="ALL23" s="82">
        <v>0</v>
      </c>
      <c r="ALM23" s="82">
        <v>0</v>
      </c>
      <c r="ALN23" s="82">
        <v>0</v>
      </c>
      <c r="ALO23" s="82">
        <v>0</v>
      </c>
      <c r="ALP23" s="82">
        <v>0</v>
      </c>
      <c r="ALQ23" s="82">
        <v>0</v>
      </c>
      <c r="ALR23" s="82">
        <v>0</v>
      </c>
      <c r="ALS23" s="82">
        <v>0</v>
      </c>
      <c r="ALT23" s="130"/>
      <c r="ALU23" s="82">
        <v>0</v>
      </c>
      <c r="ALV23" s="82">
        <v>0</v>
      </c>
      <c r="ALW23" s="82">
        <v>0</v>
      </c>
      <c r="ALX23" s="82">
        <v>0</v>
      </c>
      <c r="ALY23" s="82">
        <v>0</v>
      </c>
      <c r="ALZ23" s="82">
        <v>0</v>
      </c>
      <c r="AMA23" s="82">
        <v>0</v>
      </c>
      <c r="AMB23" s="82">
        <v>0</v>
      </c>
      <c r="AMC23" s="82">
        <v>0</v>
      </c>
      <c r="AMD23" s="82">
        <v>0</v>
      </c>
      <c r="AME23" s="82">
        <v>0</v>
      </c>
      <c r="AMF23" s="82">
        <v>0</v>
      </c>
      <c r="AMG23" s="82">
        <v>0</v>
      </c>
      <c r="AMH23" s="82">
        <v>0</v>
      </c>
      <c r="AMI23" s="82">
        <v>0</v>
      </c>
      <c r="AMJ23" s="82">
        <v>0</v>
      </c>
      <c r="AMK23" s="82">
        <v>0</v>
      </c>
      <c r="AML23" s="82">
        <v>0</v>
      </c>
      <c r="AMM23" s="82">
        <v>0</v>
      </c>
      <c r="AMN23" s="82">
        <v>0</v>
      </c>
      <c r="AMO23" s="82">
        <v>0</v>
      </c>
      <c r="AMP23" s="82">
        <v>0</v>
      </c>
      <c r="AMQ23" s="82">
        <v>0</v>
      </c>
      <c r="AMR23" s="82">
        <v>0</v>
      </c>
      <c r="AMS23" s="82">
        <v>0</v>
      </c>
      <c r="AMT23" s="82">
        <v>0</v>
      </c>
      <c r="AMU23" s="82">
        <v>0</v>
      </c>
      <c r="AMV23" s="82">
        <v>0</v>
      </c>
      <c r="AMW23" s="82">
        <v>0</v>
      </c>
      <c r="AMX23" s="82">
        <v>0</v>
      </c>
      <c r="AMY23" s="130"/>
      <c r="AMZ23" s="82">
        <v>0</v>
      </c>
      <c r="ANA23" s="82">
        <v>0</v>
      </c>
      <c r="ANB23" s="82">
        <v>0</v>
      </c>
      <c r="ANC23" s="82">
        <v>0</v>
      </c>
      <c r="AND23" s="82">
        <v>0</v>
      </c>
      <c r="ANE23" s="82">
        <v>0</v>
      </c>
      <c r="ANF23" s="82">
        <v>0</v>
      </c>
      <c r="ANG23" s="82">
        <v>0</v>
      </c>
      <c r="ANH23" s="82">
        <v>0</v>
      </c>
      <c r="ANI23" s="82">
        <v>0</v>
      </c>
      <c r="ANJ23" s="82">
        <v>0</v>
      </c>
      <c r="ANK23" s="82">
        <v>0</v>
      </c>
      <c r="ANL23" s="82">
        <v>0</v>
      </c>
      <c r="ANM23" s="82">
        <v>0</v>
      </c>
      <c r="ANN23" s="82">
        <v>0</v>
      </c>
      <c r="ANO23" s="82">
        <v>0</v>
      </c>
      <c r="ANP23" s="82">
        <v>0</v>
      </c>
      <c r="ANQ23" s="82">
        <v>0</v>
      </c>
      <c r="ANR23" s="82">
        <v>0</v>
      </c>
      <c r="ANS23" s="82">
        <v>0</v>
      </c>
      <c r="ANT23" s="82">
        <v>0</v>
      </c>
      <c r="ANU23" s="82">
        <v>0</v>
      </c>
      <c r="ANV23" s="82">
        <v>0</v>
      </c>
      <c r="ANW23" s="82">
        <v>0</v>
      </c>
      <c r="ANX23" s="82">
        <v>0</v>
      </c>
      <c r="ANY23" s="82">
        <v>0</v>
      </c>
      <c r="ANZ23" s="82">
        <v>0</v>
      </c>
      <c r="AOA23" s="82">
        <v>0</v>
      </c>
      <c r="AOB23" s="82">
        <v>0</v>
      </c>
      <c r="AOC23" s="82">
        <v>0</v>
      </c>
    </row>
    <row r="24" spans="1:1069" x14ac:dyDescent="0.2">
      <c r="A24" s="160"/>
      <c r="B24" t="s">
        <v>1656</v>
      </c>
      <c r="C24" s="52">
        <v>115000</v>
      </c>
      <c r="D24" s="52">
        <f>C24</f>
        <v>115000</v>
      </c>
      <c r="E24" s="52">
        <f t="shared" ref="E24:AH24" si="642">D24</f>
        <v>115000</v>
      </c>
      <c r="F24" s="52">
        <f t="shared" si="642"/>
        <v>115000</v>
      </c>
      <c r="G24" s="52">
        <f t="shared" si="642"/>
        <v>115000</v>
      </c>
      <c r="H24" s="52">
        <f t="shared" si="642"/>
        <v>115000</v>
      </c>
      <c r="I24" s="52">
        <f t="shared" si="642"/>
        <v>115000</v>
      </c>
      <c r="J24" s="52">
        <f t="shared" si="642"/>
        <v>115000</v>
      </c>
      <c r="K24" s="52">
        <f t="shared" si="642"/>
        <v>115000</v>
      </c>
      <c r="L24" s="52">
        <f t="shared" si="642"/>
        <v>115000</v>
      </c>
      <c r="M24" s="52">
        <f t="shared" si="642"/>
        <v>115000</v>
      </c>
      <c r="N24" s="52">
        <f t="shared" si="642"/>
        <v>115000</v>
      </c>
      <c r="O24" s="52">
        <f t="shared" si="642"/>
        <v>115000</v>
      </c>
      <c r="P24" s="52">
        <f t="shared" si="642"/>
        <v>115000</v>
      </c>
      <c r="Q24" s="52">
        <f t="shared" si="642"/>
        <v>115000</v>
      </c>
      <c r="R24" s="52">
        <f t="shared" si="642"/>
        <v>115000</v>
      </c>
      <c r="S24" s="52">
        <f t="shared" si="642"/>
        <v>115000</v>
      </c>
      <c r="T24" s="52">
        <f t="shared" si="642"/>
        <v>115000</v>
      </c>
      <c r="U24" s="52">
        <f t="shared" si="642"/>
        <v>115000</v>
      </c>
      <c r="V24" s="52">
        <f t="shared" si="642"/>
        <v>115000</v>
      </c>
      <c r="W24" s="52">
        <f t="shared" si="642"/>
        <v>115000</v>
      </c>
      <c r="X24" s="52">
        <f t="shared" si="642"/>
        <v>115000</v>
      </c>
      <c r="Y24" s="52">
        <f t="shared" si="642"/>
        <v>115000</v>
      </c>
      <c r="Z24" s="52">
        <f t="shared" si="642"/>
        <v>115000</v>
      </c>
      <c r="AA24" s="52">
        <f t="shared" si="642"/>
        <v>115000</v>
      </c>
      <c r="AB24" s="52">
        <f t="shared" si="642"/>
        <v>115000</v>
      </c>
      <c r="AC24" s="52">
        <f t="shared" si="642"/>
        <v>115000</v>
      </c>
      <c r="AD24" s="52">
        <f t="shared" si="642"/>
        <v>115000</v>
      </c>
      <c r="AE24" s="52">
        <f t="shared" si="642"/>
        <v>115000</v>
      </c>
      <c r="AF24" s="52">
        <f t="shared" si="642"/>
        <v>115000</v>
      </c>
      <c r="AG24" s="52">
        <f t="shared" si="642"/>
        <v>115000</v>
      </c>
      <c r="AH24" s="98">
        <f t="shared" si="642"/>
        <v>115000</v>
      </c>
      <c r="AI24" s="82">
        <f t="shared" si="616"/>
        <v>115000</v>
      </c>
      <c r="AJ24" s="82">
        <f t="shared" si="616"/>
        <v>115000</v>
      </c>
      <c r="AK24" s="82">
        <f t="shared" si="616"/>
        <v>115000</v>
      </c>
      <c r="AL24" s="82">
        <f t="shared" si="616"/>
        <v>115000</v>
      </c>
      <c r="AM24" s="82">
        <f t="shared" si="616"/>
        <v>115000</v>
      </c>
      <c r="AN24" s="82">
        <f t="shared" si="616"/>
        <v>115000</v>
      </c>
      <c r="AO24" s="82">
        <f t="shared" si="616"/>
        <v>115000</v>
      </c>
      <c r="AP24" s="82">
        <f t="shared" si="616"/>
        <v>115000</v>
      </c>
      <c r="AQ24" s="82">
        <f t="shared" si="616"/>
        <v>115000</v>
      </c>
      <c r="AR24" s="82">
        <f t="shared" si="616"/>
        <v>115000</v>
      </c>
      <c r="AS24" s="82">
        <f t="shared" si="617"/>
        <v>115000</v>
      </c>
      <c r="AT24" s="82">
        <f t="shared" si="617"/>
        <v>115000</v>
      </c>
      <c r="AU24" s="82">
        <f t="shared" si="617"/>
        <v>115000</v>
      </c>
      <c r="AV24" s="82">
        <f t="shared" si="617"/>
        <v>115000</v>
      </c>
      <c r="AW24" s="82">
        <f t="shared" si="617"/>
        <v>115000</v>
      </c>
      <c r="AX24" s="82">
        <f t="shared" si="617"/>
        <v>115000</v>
      </c>
      <c r="AY24" s="82">
        <f t="shared" si="617"/>
        <v>115000</v>
      </c>
      <c r="AZ24" s="82">
        <f t="shared" si="617"/>
        <v>115000</v>
      </c>
      <c r="BA24" s="82">
        <f t="shared" si="617"/>
        <v>115000</v>
      </c>
      <c r="BB24" s="82">
        <f t="shared" si="617"/>
        <v>115000</v>
      </c>
      <c r="BC24" s="82">
        <f t="shared" si="618"/>
        <v>115000</v>
      </c>
      <c r="BD24" s="82">
        <f t="shared" si="618"/>
        <v>115000</v>
      </c>
      <c r="BE24" s="82">
        <f t="shared" si="618"/>
        <v>115000</v>
      </c>
      <c r="BF24" s="82">
        <f t="shared" si="618"/>
        <v>115000</v>
      </c>
      <c r="BG24" s="82">
        <f t="shared" si="618"/>
        <v>115000</v>
      </c>
      <c r="BH24" s="82">
        <f t="shared" si="618"/>
        <v>115000</v>
      </c>
      <c r="BI24" s="82">
        <f t="shared" si="618"/>
        <v>115000</v>
      </c>
      <c r="BJ24" s="82">
        <f t="shared" si="618"/>
        <v>115000</v>
      </c>
      <c r="BK24" s="82">
        <f t="shared" si="618"/>
        <v>115000</v>
      </c>
      <c r="BL24" s="82">
        <f t="shared" si="618"/>
        <v>115000</v>
      </c>
      <c r="BM24" s="106">
        <f>BL24</f>
        <v>115000</v>
      </c>
      <c r="BN24" s="82">
        <f t="shared" si="619"/>
        <v>115000</v>
      </c>
      <c r="BO24" s="82">
        <f t="shared" si="619"/>
        <v>115000</v>
      </c>
      <c r="BP24" s="82">
        <f t="shared" si="619"/>
        <v>115000</v>
      </c>
      <c r="BQ24" s="82">
        <f t="shared" si="619"/>
        <v>115000</v>
      </c>
      <c r="BR24" s="82">
        <f t="shared" si="619"/>
        <v>115000</v>
      </c>
      <c r="BS24" s="82">
        <f t="shared" si="619"/>
        <v>115000</v>
      </c>
      <c r="BT24" s="82">
        <f t="shared" si="619"/>
        <v>115000</v>
      </c>
      <c r="BU24" s="82">
        <f t="shared" si="619"/>
        <v>115000</v>
      </c>
      <c r="BV24" s="82">
        <f t="shared" si="619"/>
        <v>115000</v>
      </c>
      <c r="BW24" s="82">
        <f t="shared" si="619"/>
        <v>115000</v>
      </c>
      <c r="BX24" s="82">
        <f t="shared" si="620"/>
        <v>115000</v>
      </c>
      <c r="BY24" s="82">
        <f t="shared" si="620"/>
        <v>115000</v>
      </c>
      <c r="BZ24" s="82">
        <f t="shared" si="620"/>
        <v>115000</v>
      </c>
      <c r="CA24" s="82">
        <f t="shared" si="620"/>
        <v>115000</v>
      </c>
      <c r="CB24" s="82">
        <f t="shared" si="620"/>
        <v>115000</v>
      </c>
      <c r="CC24" s="82">
        <f t="shared" si="620"/>
        <v>115000</v>
      </c>
      <c r="CD24" s="82">
        <f t="shared" si="620"/>
        <v>115000</v>
      </c>
      <c r="CE24" s="82">
        <f t="shared" si="620"/>
        <v>115000</v>
      </c>
      <c r="CF24" s="82">
        <f t="shared" si="620"/>
        <v>115000</v>
      </c>
      <c r="CG24" s="82">
        <f t="shared" si="620"/>
        <v>115000</v>
      </c>
      <c r="CH24" s="82">
        <f t="shared" si="621"/>
        <v>115000</v>
      </c>
      <c r="CI24" s="82">
        <f t="shared" si="621"/>
        <v>115000</v>
      </c>
      <c r="CJ24" s="82">
        <f t="shared" si="621"/>
        <v>115000</v>
      </c>
      <c r="CK24" s="82">
        <f t="shared" si="621"/>
        <v>115000</v>
      </c>
      <c r="CL24" s="82">
        <f t="shared" si="621"/>
        <v>115000</v>
      </c>
      <c r="CM24" s="82">
        <f t="shared" si="621"/>
        <v>115000</v>
      </c>
      <c r="CN24" s="82">
        <f t="shared" si="621"/>
        <v>115000</v>
      </c>
      <c r="CO24" s="82">
        <f t="shared" si="621"/>
        <v>115000</v>
      </c>
      <c r="CP24" s="82">
        <f t="shared" si="621"/>
        <v>115000</v>
      </c>
      <c r="CQ24" s="82">
        <f t="shared" si="621"/>
        <v>115000</v>
      </c>
      <c r="CR24" s="82">
        <f t="shared" si="622"/>
        <v>115000</v>
      </c>
      <c r="CT24" s="82">
        <f t="shared" si="416"/>
        <v>115000</v>
      </c>
      <c r="CU24" s="82">
        <f t="shared" si="151"/>
        <v>115000</v>
      </c>
      <c r="CV24" s="82">
        <f t="shared" si="494"/>
        <v>115000</v>
      </c>
      <c r="CW24" s="82">
        <f t="shared" si="494"/>
        <v>115000</v>
      </c>
      <c r="CX24" s="82">
        <f t="shared" si="417"/>
        <v>115000</v>
      </c>
      <c r="CY24" s="82">
        <f t="shared" si="325"/>
        <v>115000</v>
      </c>
      <c r="CZ24" s="82">
        <f t="shared" si="326"/>
        <v>115000</v>
      </c>
      <c r="DA24" s="82">
        <f t="shared" si="251"/>
        <v>115000</v>
      </c>
      <c r="DB24" s="82">
        <f t="shared" si="252"/>
        <v>115000</v>
      </c>
      <c r="DC24" s="82">
        <f t="shared" si="253"/>
        <v>115000</v>
      </c>
      <c r="DD24" s="82">
        <f t="shared" si="254"/>
        <v>115000</v>
      </c>
      <c r="DE24" s="82">
        <f t="shared" si="255"/>
        <v>115000</v>
      </c>
      <c r="DF24" s="82">
        <f t="shared" si="256"/>
        <v>115000</v>
      </c>
      <c r="DG24" s="82">
        <f t="shared" si="257"/>
        <v>115000</v>
      </c>
      <c r="DH24" s="82">
        <f t="shared" si="258"/>
        <v>115000</v>
      </c>
      <c r="DI24" s="82">
        <f t="shared" si="259"/>
        <v>115000</v>
      </c>
      <c r="DJ24" s="82">
        <f t="shared" si="260"/>
        <v>115000</v>
      </c>
      <c r="DK24" s="82">
        <f t="shared" si="261"/>
        <v>115000</v>
      </c>
      <c r="DL24" s="82">
        <f t="shared" si="262"/>
        <v>115000</v>
      </c>
      <c r="DM24" s="82">
        <f t="shared" si="327"/>
        <v>115000</v>
      </c>
      <c r="DN24" s="82">
        <f t="shared" si="328"/>
        <v>115000</v>
      </c>
      <c r="DO24" s="82">
        <f t="shared" si="263"/>
        <v>115000</v>
      </c>
      <c r="DP24" s="82">
        <f t="shared" si="264"/>
        <v>115000</v>
      </c>
      <c r="DQ24" s="82">
        <f t="shared" si="265"/>
        <v>115000</v>
      </c>
      <c r="DR24" s="82">
        <f t="shared" si="266"/>
        <v>115000</v>
      </c>
      <c r="DS24" s="82">
        <f t="shared" si="267"/>
        <v>115000</v>
      </c>
      <c r="DT24" s="82">
        <f t="shared" si="268"/>
        <v>115000</v>
      </c>
      <c r="DU24" s="82">
        <f t="shared" si="329"/>
        <v>115000</v>
      </c>
      <c r="DV24" s="82">
        <f t="shared" si="330"/>
        <v>115000</v>
      </c>
      <c r="DW24" s="82">
        <f t="shared" si="269"/>
        <v>115000</v>
      </c>
      <c r="DX24" s="117"/>
      <c r="DY24" s="82">
        <f t="shared" si="418"/>
        <v>115000</v>
      </c>
      <c r="DZ24" s="82">
        <f t="shared" si="419"/>
        <v>115000</v>
      </c>
      <c r="EA24" s="82">
        <f t="shared" si="420"/>
        <v>115000</v>
      </c>
      <c r="EB24" s="82">
        <f t="shared" si="495"/>
        <v>115000</v>
      </c>
      <c r="EC24" s="82">
        <f t="shared" si="495"/>
        <v>115000</v>
      </c>
      <c r="ED24" s="82">
        <f t="shared" si="566"/>
        <v>115000</v>
      </c>
      <c r="EE24" s="82">
        <f t="shared" si="566"/>
        <v>115000</v>
      </c>
      <c r="EF24" s="82">
        <f t="shared" si="566"/>
        <v>115000</v>
      </c>
      <c r="EG24" s="82">
        <f t="shared" si="566"/>
        <v>115000</v>
      </c>
      <c r="EH24" s="82">
        <f t="shared" si="566"/>
        <v>115000</v>
      </c>
      <c r="EI24" s="82">
        <f t="shared" si="566"/>
        <v>115000</v>
      </c>
      <c r="EJ24" s="82">
        <f t="shared" si="566"/>
        <v>115000</v>
      </c>
      <c r="EK24" s="82">
        <f t="shared" si="566"/>
        <v>115000</v>
      </c>
      <c r="EL24" s="82">
        <f t="shared" si="566"/>
        <v>115000</v>
      </c>
      <c r="EM24" s="82">
        <f t="shared" si="566"/>
        <v>115000</v>
      </c>
      <c r="EN24" s="82">
        <f t="shared" si="567"/>
        <v>115000</v>
      </c>
      <c r="EO24" s="82">
        <f t="shared" si="567"/>
        <v>115000</v>
      </c>
      <c r="EP24" s="82">
        <f t="shared" si="567"/>
        <v>115000</v>
      </c>
      <c r="EQ24" s="82">
        <f t="shared" si="567"/>
        <v>115000</v>
      </c>
      <c r="ER24" s="82">
        <f t="shared" si="567"/>
        <v>115000</v>
      </c>
      <c r="ES24" s="82">
        <f t="shared" si="567"/>
        <v>115000</v>
      </c>
      <c r="ET24" s="82">
        <f t="shared" si="567"/>
        <v>115000</v>
      </c>
      <c r="EU24" s="82">
        <f t="shared" si="567"/>
        <v>115000</v>
      </c>
      <c r="EV24" s="82">
        <f t="shared" si="567"/>
        <v>115000</v>
      </c>
      <c r="EW24" s="82">
        <f t="shared" si="567"/>
        <v>115000</v>
      </c>
      <c r="EX24" s="82">
        <f t="shared" si="568"/>
        <v>115000</v>
      </c>
      <c r="EY24" s="82">
        <f t="shared" si="568"/>
        <v>115000</v>
      </c>
      <c r="EZ24" s="82">
        <f t="shared" si="568"/>
        <v>115000</v>
      </c>
      <c r="FA24" s="82">
        <f t="shared" si="568"/>
        <v>115000</v>
      </c>
      <c r="FB24" s="82">
        <f t="shared" si="568"/>
        <v>115000</v>
      </c>
      <c r="FC24" s="82">
        <f>FA24</f>
        <v>115000</v>
      </c>
      <c r="FD24" s="126"/>
      <c r="FE24" s="82">
        <f>FC24</f>
        <v>115000</v>
      </c>
      <c r="FF24" s="82">
        <f>FE24</f>
        <v>115000</v>
      </c>
      <c r="FG24" s="82">
        <f t="shared" si="623"/>
        <v>115000</v>
      </c>
      <c r="FH24" s="82">
        <f t="shared" si="623"/>
        <v>115000</v>
      </c>
      <c r="FI24" s="82">
        <f t="shared" si="623"/>
        <v>115000</v>
      </c>
      <c r="FJ24" s="82">
        <f t="shared" si="623"/>
        <v>115000</v>
      </c>
      <c r="FK24" s="82">
        <f t="shared" si="623"/>
        <v>115000</v>
      </c>
      <c r="FL24" s="82">
        <f t="shared" si="623"/>
        <v>115000</v>
      </c>
      <c r="FM24" s="82">
        <f t="shared" si="623"/>
        <v>115000</v>
      </c>
      <c r="FN24" s="82">
        <f t="shared" si="623"/>
        <v>115000</v>
      </c>
      <c r="FO24" s="82">
        <f t="shared" si="623"/>
        <v>115000</v>
      </c>
      <c r="FP24" s="82">
        <f t="shared" si="623"/>
        <v>115000</v>
      </c>
      <c r="FQ24" s="82">
        <f t="shared" si="624"/>
        <v>115000</v>
      </c>
      <c r="FR24" s="82">
        <f t="shared" si="624"/>
        <v>115000</v>
      </c>
      <c r="FS24" s="82">
        <f t="shared" si="624"/>
        <v>115000</v>
      </c>
      <c r="FT24" s="82">
        <f t="shared" si="624"/>
        <v>115000</v>
      </c>
      <c r="FU24" s="82">
        <f t="shared" si="624"/>
        <v>115000</v>
      </c>
      <c r="FV24" s="82">
        <f t="shared" si="624"/>
        <v>115000</v>
      </c>
      <c r="FW24" s="82">
        <f t="shared" si="624"/>
        <v>115000</v>
      </c>
      <c r="FX24" s="82">
        <f t="shared" si="624"/>
        <v>115000</v>
      </c>
      <c r="FY24" s="82">
        <f t="shared" si="624"/>
        <v>115000</v>
      </c>
      <c r="FZ24" s="82">
        <f t="shared" si="624"/>
        <v>115000</v>
      </c>
      <c r="GA24" s="82">
        <f t="shared" si="625"/>
        <v>115000</v>
      </c>
      <c r="GB24" s="82">
        <f t="shared" si="625"/>
        <v>115000</v>
      </c>
      <c r="GC24" s="82">
        <f t="shared" si="625"/>
        <v>115000</v>
      </c>
      <c r="GD24" s="82">
        <f t="shared" si="625"/>
        <v>115000</v>
      </c>
      <c r="GE24" s="82">
        <f t="shared" si="625"/>
        <v>115000</v>
      </c>
      <c r="GF24" s="82">
        <f t="shared" si="625"/>
        <v>115000</v>
      </c>
      <c r="GG24" s="82">
        <f t="shared" si="625"/>
        <v>115000</v>
      </c>
      <c r="GH24" s="82">
        <f t="shared" si="625"/>
        <v>115000</v>
      </c>
      <c r="GI24" s="82">
        <f t="shared" si="625"/>
        <v>115000</v>
      </c>
      <c r="GJ24" s="130"/>
      <c r="GK24" s="82">
        <f>GI24</f>
        <v>115000</v>
      </c>
      <c r="GL24" s="82">
        <f t="shared" si="428"/>
        <v>115000</v>
      </c>
      <c r="GM24" s="82">
        <f t="shared" si="626"/>
        <v>115000</v>
      </c>
      <c r="GN24" s="82">
        <f t="shared" si="626"/>
        <v>115000</v>
      </c>
      <c r="GO24" s="82">
        <f t="shared" si="626"/>
        <v>115000</v>
      </c>
      <c r="GP24" s="82">
        <f t="shared" si="626"/>
        <v>115000</v>
      </c>
      <c r="GQ24" s="82">
        <f t="shared" si="626"/>
        <v>115000</v>
      </c>
      <c r="GR24" s="82">
        <f t="shared" si="626"/>
        <v>115000</v>
      </c>
      <c r="GS24" s="82">
        <f t="shared" si="626"/>
        <v>115000</v>
      </c>
      <c r="GT24" s="82">
        <f t="shared" si="626"/>
        <v>115000</v>
      </c>
      <c r="GU24" s="82">
        <f t="shared" si="626"/>
        <v>115000</v>
      </c>
      <c r="GV24" s="82">
        <f t="shared" si="626"/>
        <v>115000</v>
      </c>
      <c r="GW24" s="82">
        <f t="shared" si="627"/>
        <v>115000</v>
      </c>
      <c r="GX24" s="82">
        <f t="shared" si="627"/>
        <v>115000</v>
      </c>
      <c r="GY24" s="82">
        <f t="shared" si="627"/>
        <v>115000</v>
      </c>
      <c r="GZ24" s="82">
        <f t="shared" si="627"/>
        <v>115000</v>
      </c>
      <c r="HA24" s="82">
        <f t="shared" si="627"/>
        <v>115000</v>
      </c>
      <c r="HB24" s="82">
        <f t="shared" si="627"/>
        <v>115000</v>
      </c>
      <c r="HC24" s="82">
        <f t="shared" si="627"/>
        <v>115000</v>
      </c>
      <c r="HD24" s="82">
        <f t="shared" si="627"/>
        <v>115000</v>
      </c>
      <c r="HE24" s="82">
        <f t="shared" si="627"/>
        <v>115000</v>
      </c>
      <c r="HF24" s="82">
        <f t="shared" si="627"/>
        <v>115000</v>
      </c>
      <c r="HG24" s="82">
        <f t="shared" si="628"/>
        <v>115000</v>
      </c>
      <c r="HH24" s="82">
        <f t="shared" si="628"/>
        <v>115000</v>
      </c>
      <c r="HI24" s="82">
        <f t="shared" si="628"/>
        <v>115000</v>
      </c>
      <c r="HJ24" s="82">
        <f t="shared" si="628"/>
        <v>115000</v>
      </c>
      <c r="HK24" s="82">
        <f t="shared" si="628"/>
        <v>115000</v>
      </c>
      <c r="HL24" s="82">
        <f t="shared" si="628"/>
        <v>115000</v>
      </c>
      <c r="HM24" s="82">
        <f t="shared" si="628"/>
        <v>115000</v>
      </c>
      <c r="HN24" s="130"/>
      <c r="HO24" s="82">
        <f>HM24</f>
        <v>115000</v>
      </c>
      <c r="HP24" s="82">
        <f t="shared" si="433"/>
        <v>115000</v>
      </c>
      <c r="HQ24" s="82">
        <f t="shared" si="629"/>
        <v>115000</v>
      </c>
      <c r="HR24" s="82">
        <f t="shared" si="629"/>
        <v>115000</v>
      </c>
      <c r="HS24" s="82">
        <f t="shared" si="629"/>
        <v>115000</v>
      </c>
      <c r="HT24" s="82">
        <f t="shared" si="629"/>
        <v>115000</v>
      </c>
      <c r="HU24" s="82">
        <f t="shared" si="629"/>
        <v>115000</v>
      </c>
      <c r="HV24" s="82">
        <f t="shared" si="629"/>
        <v>115000</v>
      </c>
      <c r="HW24" s="82">
        <f t="shared" si="629"/>
        <v>115000</v>
      </c>
      <c r="HX24" s="82">
        <f t="shared" si="629"/>
        <v>115000</v>
      </c>
      <c r="HY24" s="82">
        <f t="shared" si="629"/>
        <v>115000</v>
      </c>
      <c r="HZ24" s="82">
        <f t="shared" si="629"/>
        <v>115000</v>
      </c>
      <c r="IA24" s="82">
        <f t="shared" si="630"/>
        <v>115000</v>
      </c>
      <c r="IB24" s="82">
        <f t="shared" si="630"/>
        <v>115000</v>
      </c>
      <c r="IC24" s="82">
        <f t="shared" si="630"/>
        <v>115000</v>
      </c>
      <c r="ID24" s="82">
        <f t="shared" si="630"/>
        <v>115000</v>
      </c>
      <c r="IE24" s="82">
        <f t="shared" si="630"/>
        <v>115000</v>
      </c>
      <c r="IF24" s="82">
        <f t="shared" si="630"/>
        <v>115000</v>
      </c>
      <c r="IG24" s="82">
        <f t="shared" si="630"/>
        <v>115000</v>
      </c>
      <c r="IH24" s="82">
        <f t="shared" si="630"/>
        <v>115000</v>
      </c>
      <c r="II24" s="82">
        <f t="shared" si="630"/>
        <v>115000</v>
      </c>
      <c r="IJ24" s="82">
        <f t="shared" si="630"/>
        <v>115000</v>
      </c>
      <c r="IK24" s="82">
        <f t="shared" si="631"/>
        <v>115000</v>
      </c>
      <c r="IL24" s="82">
        <f t="shared" si="631"/>
        <v>115000</v>
      </c>
      <c r="IM24" s="82">
        <f t="shared" si="631"/>
        <v>115000</v>
      </c>
      <c r="IN24" s="82">
        <f t="shared" si="631"/>
        <v>115000</v>
      </c>
      <c r="IO24" s="82">
        <f t="shared" si="631"/>
        <v>115000</v>
      </c>
      <c r="IP24" s="82">
        <f t="shared" si="631"/>
        <v>115000</v>
      </c>
      <c r="IQ24" s="82">
        <f t="shared" si="631"/>
        <v>115000</v>
      </c>
      <c r="IR24" s="82">
        <f t="shared" si="631"/>
        <v>115000</v>
      </c>
      <c r="IS24" s="82">
        <f t="shared" si="631"/>
        <v>115000</v>
      </c>
      <c r="IT24" s="130"/>
      <c r="IU24" s="82">
        <f>IS24</f>
        <v>115000</v>
      </c>
      <c r="IV24" s="82">
        <f t="shared" si="160"/>
        <v>115000</v>
      </c>
      <c r="IW24" s="82">
        <f t="shared" ref="IW24:JI24" si="643">IV24</f>
        <v>115000</v>
      </c>
      <c r="IX24" s="82">
        <f t="shared" si="643"/>
        <v>115000</v>
      </c>
      <c r="IY24" s="82">
        <f t="shared" si="643"/>
        <v>115000</v>
      </c>
      <c r="IZ24" s="82">
        <f t="shared" si="643"/>
        <v>115000</v>
      </c>
      <c r="JA24" s="82">
        <f t="shared" si="643"/>
        <v>115000</v>
      </c>
      <c r="JB24" s="82">
        <f t="shared" si="643"/>
        <v>115000</v>
      </c>
      <c r="JC24" s="82">
        <f t="shared" si="643"/>
        <v>115000</v>
      </c>
      <c r="JD24" s="82">
        <f t="shared" si="643"/>
        <v>115000</v>
      </c>
      <c r="JE24" s="82">
        <f t="shared" si="643"/>
        <v>115000</v>
      </c>
      <c r="JF24" s="82">
        <f t="shared" si="643"/>
        <v>115000</v>
      </c>
      <c r="JG24" s="82">
        <f t="shared" si="643"/>
        <v>115000</v>
      </c>
      <c r="JH24" s="82">
        <f t="shared" si="643"/>
        <v>115000</v>
      </c>
      <c r="JI24" s="82">
        <f t="shared" si="643"/>
        <v>115000</v>
      </c>
      <c r="JJ24" s="82">
        <f t="shared" si="497"/>
        <v>115000</v>
      </c>
      <c r="JK24" s="82">
        <f t="shared" ref="JK24:JX24" si="644">JJ24</f>
        <v>115000</v>
      </c>
      <c r="JL24" s="82">
        <f t="shared" si="644"/>
        <v>115000</v>
      </c>
      <c r="JM24" s="82">
        <f t="shared" si="644"/>
        <v>115000</v>
      </c>
      <c r="JN24" s="82">
        <f t="shared" si="644"/>
        <v>115000</v>
      </c>
      <c r="JO24" s="82">
        <f t="shared" si="644"/>
        <v>115000</v>
      </c>
      <c r="JP24" s="82">
        <f t="shared" si="644"/>
        <v>115000</v>
      </c>
      <c r="JQ24" s="82">
        <f t="shared" si="644"/>
        <v>115000</v>
      </c>
      <c r="JR24" s="82">
        <f t="shared" si="644"/>
        <v>115000</v>
      </c>
      <c r="JS24" s="82">
        <f t="shared" si="644"/>
        <v>115000</v>
      </c>
      <c r="JT24" s="82">
        <f t="shared" si="644"/>
        <v>115000</v>
      </c>
      <c r="JU24" s="82">
        <f t="shared" si="644"/>
        <v>115000</v>
      </c>
      <c r="JV24" s="82">
        <f t="shared" si="644"/>
        <v>115000</v>
      </c>
      <c r="JW24" s="82">
        <f t="shared" si="644"/>
        <v>115000</v>
      </c>
      <c r="JX24" s="82">
        <f t="shared" si="644"/>
        <v>115000</v>
      </c>
      <c r="JY24" s="133"/>
      <c r="JZ24" s="82">
        <f>JX24</f>
        <v>115000</v>
      </c>
      <c r="KA24" s="82">
        <f t="shared" si="438"/>
        <v>115000</v>
      </c>
      <c r="KB24" s="82">
        <f t="shared" si="634"/>
        <v>115000</v>
      </c>
      <c r="KC24" s="82">
        <f t="shared" si="634"/>
        <v>115000</v>
      </c>
      <c r="KD24" s="82">
        <f t="shared" si="634"/>
        <v>115000</v>
      </c>
      <c r="KE24" s="82">
        <f t="shared" si="634"/>
        <v>115000</v>
      </c>
      <c r="KF24" s="82">
        <f t="shared" si="634"/>
        <v>115000</v>
      </c>
      <c r="KG24" s="82">
        <f t="shared" si="634"/>
        <v>115000</v>
      </c>
      <c r="KH24" s="82">
        <f t="shared" si="634"/>
        <v>115000</v>
      </c>
      <c r="KI24" s="82">
        <f t="shared" si="634"/>
        <v>115000</v>
      </c>
      <c r="KJ24" s="82">
        <f t="shared" si="634"/>
        <v>115000</v>
      </c>
      <c r="KK24" s="82">
        <f t="shared" si="634"/>
        <v>115000</v>
      </c>
      <c r="KL24" s="82">
        <f t="shared" si="635"/>
        <v>115000</v>
      </c>
      <c r="KM24" s="82">
        <f t="shared" si="635"/>
        <v>115000</v>
      </c>
      <c r="KN24" s="82">
        <f t="shared" si="635"/>
        <v>115000</v>
      </c>
      <c r="KO24" s="82">
        <f t="shared" si="635"/>
        <v>115000</v>
      </c>
      <c r="KP24" s="82">
        <f t="shared" si="635"/>
        <v>115000</v>
      </c>
      <c r="KQ24" s="82">
        <f t="shared" si="635"/>
        <v>115000</v>
      </c>
      <c r="KR24" s="82">
        <f t="shared" si="635"/>
        <v>115000</v>
      </c>
      <c r="KS24" s="82">
        <f t="shared" si="635"/>
        <v>115000</v>
      </c>
      <c r="KT24" s="82">
        <f t="shared" si="635"/>
        <v>115000</v>
      </c>
      <c r="KU24" s="82">
        <f t="shared" si="635"/>
        <v>115000</v>
      </c>
      <c r="KV24" s="82">
        <f t="shared" si="636"/>
        <v>115000</v>
      </c>
      <c r="KW24" s="82">
        <f t="shared" si="636"/>
        <v>115000</v>
      </c>
      <c r="KX24" s="82">
        <f t="shared" si="636"/>
        <v>115000</v>
      </c>
      <c r="KY24" s="82">
        <f t="shared" si="636"/>
        <v>115000</v>
      </c>
      <c r="KZ24" s="82">
        <f t="shared" si="636"/>
        <v>115000</v>
      </c>
      <c r="LA24" s="82">
        <f t="shared" si="636"/>
        <v>115000</v>
      </c>
      <c r="LB24" s="82">
        <f t="shared" si="636"/>
        <v>115000</v>
      </c>
      <c r="LC24" s="82">
        <f t="shared" si="636"/>
        <v>115000</v>
      </c>
      <c r="LD24" s="82">
        <f t="shared" si="636"/>
        <v>115000</v>
      </c>
      <c r="LE24" s="130"/>
      <c r="LF24" s="82">
        <f>LD24</f>
        <v>115000</v>
      </c>
      <c r="LG24" s="82">
        <f t="shared" ref="LG24:LO24" si="645">LF24</f>
        <v>115000</v>
      </c>
      <c r="LH24" s="82">
        <f t="shared" si="645"/>
        <v>115000</v>
      </c>
      <c r="LI24" s="82">
        <f t="shared" si="645"/>
        <v>115000</v>
      </c>
      <c r="LJ24" s="82">
        <f t="shared" si="645"/>
        <v>115000</v>
      </c>
      <c r="LK24" s="82">
        <f t="shared" si="645"/>
        <v>115000</v>
      </c>
      <c r="LL24" s="82">
        <f t="shared" si="645"/>
        <v>115000</v>
      </c>
      <c r="LM24" s="82">
        <f t="shared" si="645"/>
        <v>115000</v>
      </c>
      <c r="LN24" s="82">
        <f t="shared" si="645"/>
        <v>115000</v>
      </c>
      <c r="LO24" s="82">
        <f t="shared" si="645"/>
        <v>115000</v>
      </c>
      <c r="LP24" s="82">
        <f t="shared" si="500"/>
        <v>115000</v>
      </c>
      <c r="LQ24" s="82">
        <f>LP24</f>
        <v>115000</v>
      </c>
      <c r="LR24" s="82">
        <f>LQ24</f>
        <v>115000</v>
      </c>
      <c r="LS24" s="82">
        <f t="shared" si="213"/>
        <v>115000</v>
      </c>
      <c r="LT24" s="82">
        <f t="shared" si="213"/>
        <v>115000</v>
      </c>
      <c r="LU24" s="82">
        <f t="shared" si="213"/>
        <v>115000</v>
      </c>
      <c r="LV24" s="82">
        <f t="shared" si="213"/>
        <v>115000</v>
      </c>
      <c r="LW24" s="82">
        <f t="shared" si="213"/>
        <v>115000</v>
      </c>
      <c r="LX24" s="82">
        <f t="shared" si="279"/>
        <v>115000</v>
      </c>
      <c r="LY24" s="82">
        <f t="shared" ref="LY24:MI24" si="646">LX24</f>
        <v>115000</v>
      </c>
      <c r="LZ24" s="82">
        <f t="shared" si="646"/>
        <v>115000</v>
      </c>
      <c r="MA24" s="82">
        <f t="shared" si="646"/>
        <v>115000</v>
      </c>
      <c r="MB24" s="82">
        <f t="shared" si="646"/>
        <v>115000</v>
      </c>
      <c r="MC24" s="82">
        <f t="shared" si="646"/>
        <v>115000</v>
      </c>
      <c r="MD24" s="82">
        <f t="shared" si="646"/>
        <v>115000</v>
      </c>
      <c r="ME24" s="82">
        <f t="shared" si="646"/>
        <v>115000</v>
      </c>
      <c r="MF24" s="82">
        <f t="shared" si="646"/>
        <v>115000</v>
      </c>
      <c r="MG24" s="82">
        <f t="shared" si="646"/>
        <v>115000</v>
      </c>
      <c r="MH24" s="82">
        <f t="shared" si="646"/>
        <v>115000</v>
      </c>
      <c r="MI24" s="82">
        <f t="shared" si="646"/>
        <v>115000</v>
      </c>
      <c r="MJ24" s="133"/>
      <c r="MK24" s="82">
        <f>MI24</f>
        <v>115000</v>
      </c>
      <c r="ML24" s="82">
        <f>MK24</f>
        <v>115000</v>
      </c>
      <c r="MM24" s="82">
        <f t="shared" si="639"/>
        <v>115000</v>
      </c>
      <c r="MN24" s="82">
        <f t="shared" si="639"/>
        <v>115000</v>
      </c>
      <c r="MO24" s="82">
        <f t="shared" si="639"/>
        <v>115000</v>
      </c>
      <c r="MP24" s="82">
        <f t="shared" si="639"/>
        <v>115000</v>
      </c>
      <c r="MQ24" s="82">
        <f t="shared" si="639"/>
        <v>115000</v>
      </c>
      <c r="MR24" s="82">
        <f t="shared" si="639"/>
        <v>115000</v>
      </c>
      <c r="MS24" s="82">
        <f t="shared" si="639"/>
        <v>115000</v>
      </c>
      <c r="MT24" s="82">
        <f t="shared" si="639"/>
        <v>115000</v>
      </c>
      <c r="MU24" s="82">
        <f t="shared" si="639"/>
        <v>115000</v>
      </c>
      <c r="MV24" s="82">
        <f t="shared" si="639"/>
        <v>115000</v>
      </c>
      <c r="MW24" s="82">
        <f t="shared" si="640"/>
        <v>115000</v>
      </c>
      <c r="MX24" s="82">
        <f t="shared" si="640"/>
        <v>115000</v>
      </c>
      <c r="MY24" s="82">
        <f t="shared" si="640"/>
        <v>115000</v>
      </c>
      <c r="MZ24" s="82">
        <f t="shared" si="640"/>
        <v>115000</v>
      </c>
      <c r="NA24" s="82">
        <f t="shared" si="640"/>
        <v>115000</v>
      </c>
      <c r="NB24" s="82">
        <f t="shared" si="640"/>
        <v>115000</v>
      </c>
      <c r="NC24" s="82">
        <f t="shared" si="640"/>
        <v>115000</v>
      </c>
      <c r="ND24" s="82">
        <f t="shared" si="640"/>
        <v>115000</v>
      </c>
      <c r="NE24" s="82">
        <f t="shared" si="640"/>
        <v>115000</v>
      </c>
      <c r="NF24" s="82">
        <f t="shared" si="640"/>
        <v>115000</v>
      </c>
      <c r="NG24" s="82">
        <f t="shared" si="641"/>
        <v>115000</v>
      </c>
      <c r="NH24" s="82">
        <f t="shared" si="641"/>
        <v>115000</v>
      </c>
      <c r="NI24" s="82">
        <f t="shared" si="641"/>
        <v>115000</v>
      </c>
      <c r="NJ24" s="82">
        <f t="shared" si="641"/>
        <v>115000</v>
      </c>
      <c r="NK24" s="82">
        <f t="shared" si="641"/>
        <v>115000</v>
      </c>
      <c r="NL24" s="82">
        <f t="shared" si="641"/>
        <v>115000</v>
      </c>
      <c r="NM24" s="82">
        <f t="shared" si="641"/>
        <v>115000</v>
      </c>
      <c r="NN24" s="82">
        <f t="shared" si="641"/>
        <v>115000</v>
      </c>
      <c r="NO24" s="82">
        <f t="shared" si="641"/>
        <v>115000</v>
      </c>
      <c r="NP24" s="133"/>
      <c r="NQ24" s="82">
        <f>NO24</f>
        <v>115000</v>
      </c>
      <c r="NR24" s="82">
        <f>NQ24</f>
        <v>115000</v>
      </c>
      <c r="NS24" s="82">
        <f>NQ24</f>
        <v>115000</v>
      </c>
      <c r="NT24" s="82">
        <f t="shared" si="578"/>
        <v>115000</v>
      </c>
      <c r="NU24" s="82">
        <f t="shared" si="578"/>
        <v>115000</v>
      </c>
      <c r="NV24" s="82">
        <f t="shared" si="578"/>
        <v>115000</v>
      </c>
      <c r="NW24" s="82">
        <f t="shared" si="578"/>
        <v>115000</v>
      </c>
      <c r="NX24" s="82">
        <f t="shared" si="578"/>
        <v>115000</v>
      </c>
      <c r="NY24" s="82">
        <f t="shared" si="578"/>
        <v>115000</v>
      </c>
      <c r="NZ24" s="82">
        <f t="shared" si="578"/>
        <v>115000</v>
      </c>
      <c r="OA24" s="82">
        <f t="shared" si="578"/>
        <v>115000</v>
      </c>
      <c r="OB24" s="82">
        <f t="shared" si="578"/>
        <v>115000</v>
      </c>
      <c r="OC24" s="82">
        <f t="shared" si="578"/>
        <v>115000</v>
      </c>
      <c r="OD24" s="82">
        <f t="shared" si="579"/>
        <v>115000</v>
      </c>
      <c r="OE24" s="82">
        <f t="shared" si="579"/>
        <v>115000</v>
      </c>
      <c r="OF24" s="82">
        <f t="shared" si="579"/>
        <v>115000</v>
      </c>
      <c r="OG24" s="82">
        <f t="shared" si="579"/>
        <v>115000</v>
      </c>
      <c r="OH24" s="82">
        <f t="shared" si="579"/>
        <v>115000</v>
      </c>
      <c r="OI24" s="82">
        <f t="shared" si="579"/>
        <v>115000</v>
      </c>
      <c r="OJ24" s="82">
        <f t="shared" si="579"/>
        <v>115000</v>
      </c>
      <c r="OK24" s="82">
        <f t="shared" si="579"/>
        <v>115000</v>
      </c>
      <c r="OL24" s="82">
        <f t="shared" si="579"/>
        <v>115000</v>
      </c>
      <c r="OM24" s="82">
        <f t="shared" si="579"/>
        <v>115000</v>
      </c>
      <c r="ON24" s="82">
        <f t="shared" si="580"/>
        <v>115000</v>
      </c>
      <c r="OO24" s="82">
        <f t="shared" si="580"/>
        <v>115000</v>
      </c>
      <c r="OP24" s="82">
        <f t="shared" si="580"/>
        <v>115000</v>
      </c>
      <c r="OQ24" s="82">
        <f t="shared" si="580"/>
        <v>115000</v>
      </c>
      <c r="OR24" s="82">
        <f t="shared" si="580"/>
        <v>115000</v>
      </c>
      <c r="OS24" s="82">
        <f t="shared" si="580"/>
        <v>115000</v>
      </c>
      <c r="OT24" s="82">
        <f t="shared" si="580"/>
        <v>115000</v>
      </c>
      <c r="OU24" s="82">
        <f t="shared" si="580"/>
        <v>115000</v>
      </c>
      <c r="OV24" s="130"/>
      <c r="OW24" s="82">
        <v>0</v>
      </c>
      <c r="OX24" s="82">
        <v>0</v>
      </c>
      <c r="OY24" s="82">
        <v>0</v>
      </c>
      <c r="OZ24" s="82">
        <v>0</v>
      </c>
      <c r="PA24" s="82">
        <v>0</v>
      </c>
      <c r="PB24" s="82">
        <v>0</v>
      </c>
      <c r="PC24" s="82">
        <v>0</v>
      </c>
      <c r="PD24" s="82">
        <v>0</v>
      </c>
      <c r="PE24" s="82">
        <v>0</v>
      </c>
      <c r="PF24" s="82">
        <v>0</v>
      </c>
      <c r="PG24" s="82">
        <v>0</v>
      </c>
      <c r="PH24" s="82">
        <v>0</v>
      </c>
      <c r="PI24" s="82">
        <v>0</v>
      </c>
      <c r="PJ24" s="82">
        <v>0</v>
      </c>
      <c r="PK24" s="82">
        <v>0</v>
      </c>
      <c r="PL24" s="82">
        <v>0</v>
      </c>
      <c r="PM24" s="82">
        <v>0</v>
      </c>
      <c r="PN24" s="82">
        <v>0</v>
      </c>
      <c r="PO24" s="82">
        <v>0</v>
      </c>
      <c r="PP24" s="82">
        <v>0</v>
      </c>
      <c r="PQ24" s="82">
        <v>0</v>
      </c>
      <c r="PR24" s="82">
        <v>0</v>
      </c>
      <c r="PS24" s="82">
        <v>0</v>
      </c>
      <c r="PT24" s="82">
        <v>0</v>
      </c>
      <c r="PU24" s="82">
        <v>0</v>
      </c>
      <c r="PV24" s="82">
        <v>0</v>
      </c>
      <c r="PW24" s="82">
        <v>0</v>
      </c>
      <c r="PX24" s="82">
        <v>0</v>
      </c>
      <c r="PY24" s="82">
        <v>0</v>
      </c>
      <c r="PZ24" s="82">
        <v>0</v>
      </c>
      <c r="QA24" s="130"/>
      <c r="QB24" s="82">
        <v>0</v>
      </c>
      <c r="QC24" s="82">
        <v>0</v>
      </c>
      <c r="QD24" s="82">
        <v>0</v>
      </c>
      <c r="QE24" s="82">
        <v>0</v>
      </c>
      <c r="QF24" s="82">
        <v>0</v>
      </c>
      <c r="QG24" s="82">
        <v>0</v>
      </c>
      <c r="QH24" s="82">
        <v>0</v>
      </c>
      <c r="QI24" s="82">
        <v>0</v>
      </c>
      <c r="QJ24" s="82">
        <v>0</v>
      </c>
      <c r="QK24" s="82">
        <v>0</v>
      </c>
      <c r="QL24" s="82">
        <v>0</v>
      </c>
      <c r="QM24" s="82">
        <v>0</v>
      </c>
      <c r="QN24" s="82">
        <v>0</v>
      </c>
      <c r="QO24" s="82">
        <v>0</v>
      </c>
      <c r="QP24" s="82">
        <v>0</v>
      </c>
      <c r="QQ24" s="82">
        <v>0</v>
      </c>
      <c r="QR24" s="82">
        <v>0</v>
      </c>
      <c r="QS24" s="82">
        <v>0</v>
      </c>
      <c r="QT24" s="82">
        <v>0</v>
      </c>
      <c r="QU24" s="82">
        <v>0</v>
      </c>
      <c r="QV24" s="82">
        <v>0</v>
      </c>
      <c r="QW24" s="82">
        <v>0</v>
      </c>
      <c r="QX24" s="82">
        <v>0</v>
      </c>
      <c r="QY24" s="82">
        <v>0</v>
      </c>
      <c r="QZ24" s="82">
        <v>0</v>
      </c>
      <c r="RA24" s="82">
        <v>0</v>
      </c>
      <c r="RB24" s="82">
        <v>0</v>
      </c>
      <c r="RC24" s="82">
        <v>0</v>
      </c>
      <c r="RD24" s="82">
        <v>0</v>
      </c>
      <c r="RE24" s="82">
        <v>0</v>
      </c>
      <c r="RF24" s="82">
        <v>0</v>
      </c>
      <c r="RG24" s="130"/>
      <c r="RH24" s="82">
        <v>0</v>
      </c>
      <c r="RI24" s="82">
        <v>0</v>
      </c>
      <c r="RJ24" s="82">
        <v>0</v>
      </c>
      <c r="RK24" s="82">
        <v>0</v>
      </c>
      <c r="RL24" s="82">
        <v>0</v>
      </c>
      <c r="RM24" s="82">
        <v>0</v>
      </c>
      <c r="RN24" s="82">
        <v>0</v>
      </c>
      <c r="RO24" s="82">
        <v>0</v>
      </c>
      <c r="RP24" s="82">
        <v>0</v>
      </c>
      <c r="RQ24" s="82">
        <v>0</v>
      </c>
      <c r="RR24" s="82">
        <v>0</v>
      </c>
      <c r="RS24" s="82">
        <v>0</v>
      </c>
      <c r="RT24" s="82">
        <v>0</v>
      </c>
      <c r="RU24" s="82">
        <v>0</v>
      </c>
      <c r="RV24" s="82">
        <v>0</v>
      </c>
      <c r="RW24" s="82">
        <v>0</v>
      </c>
      <c r="RX24" s="82">
        <v>0</v>
      </c>
      <c r="RY24" s="82">
        <v>0</v>
      </c>
      <c r="RZ24" s="82">
        <v>0</v>
      </c>
      <c r="SA24" s="82">
        <v>0</v>
      </c>
      <c r="SB24" s="82">
        <v>0</v>
      </c>
      <c r="SC24" s="82">
        <v>0</v>
      </c>
      <c r="SD24" s="82">
        <v>0</v>
      </c>
      <c r="SE24" s="82">
        <v>0</v>
      </c>
      <c r="SF24" s="82">
        <v>0</v>
      </c>
      <c r="SG24" s="82">
        <v>0</v>
      </c>
      <c r="SH24" s="82">
        <v>0</v>
      </c>
      <c r="SI24" s="82">
        <v>0</v>
      </c>
      <c r="SJ24" s="82">
        <v>0</v>
      </c>
      <c r="SK24" s="82">
        <v>0</v>
      </c>
      <c r="SL24" s="130"/>
      <c r="SM24" s="82">
        <v>0</v>
      </c>
      <c r="SN24" s="82">
        <v>0</v>
      </c>
      <c r="SO24" s="82">
        <v>0</v>
      </c>
      <c r="SP24" s="82">
        <v>0</v>
      </c>
      <c r="SQ24" s="82">
        <v>0</v>
      </c>
      <c r="SR24" s="82">
        <v>0</v>
      </c>
      <c r="SS24" s="82">
        <v>0</v>
      </c>
      <c r="ST24" s="82">
        <v>0</v>
      </c>
      <c r="SU24" s="82">
        <v>0</v>
      </c>
      <c r="SV24" s="82">
        <v>0</v>
      </c>
      <c r="SW24" s="82">
        <v>0</v>
      </c>
      <c r="SX24" s="82">
        <v>0</v>
      </c>
      <c r="SY24" s="82">
        <v>0</v>
      </c>
      <c r="SZ24" s="82">
        <v>0</v>
      </c>
      <c r="TA24" s="82">
        <v>0</v>
      </c>
      <c r="TB24" s="82">
        <v>0</v>
      </c>
      <c r="TC24" s="82">
        <v>0</v>
      </c>
      <c r="TD24" s="82">
        <v>0</v>
      </c>
      <c r="TE24" s="82">
        <v>0</v>
      </c>
      <c r="TF24" s="82">
        <v>0</v>
      </c>
      <c r="TG24" s="82">
        <v>0</v>
      </c>
      <c r="TH24" s="82">
        <v>0</v>
      </c>
      <c r="TI24" s="82">
        <v>0</v>
      </c>
      <c r="TJ24" s="82">
        <v>0</v>
      </c>
      <c r="TK24" s="82">
        <v>0</v>
      </c>
      <c r="TL24" s="82">
        <v>0</v>
      </c>
      <c r="TM24" s="82">
        <v>0</v>
      </c>
      <c r="TN24" s="82">
        <v>0</v>
      </c>
      <c r="TO24" s="82">
        <v>0</v>
      </c>
      <c r="TP24" s="82">
        <v>0</v>
      </c>
      <c r="TQ24" s="82">
        <v>0</v>
      </c>
      <c r="TR24" s="130"/>
      <c r="TS24" s="82">
        <v>0</v>
      </c>
      <c r="TT24" s="82">
        <v>0</v>
      </c>
      <c r="TU24" s="82">
        <v>0</v>
      </c>
      <c r="TV24" s="82">
        <v>0</v>
      </c>
      <c r="TW24" s="82">
        <v>0</v>
      </c>
      <c r="TX24" s="82">
        <v>0</v>
      </c>
      <c r="TY24" s="82">
        <v>0</v>
      </c>
      <c r="TZ24" s="82">
        <v>0</v>
      </c>
      <c r="UA24" s="82">
        <v>0</v>
      </c>
      <c r="UB24" s="82">
        <v>0</v>
      </c>
      <c r="UC24" s="82">
        <v>0</v>
      </c>
      <c r="UD24" s="82">
        <v>0</v>
      </c>
      <c r="UE24" s="82">
        <v>0</v>
      </c>
      <c r="UF24" s="82">
        <v>0</v>
      </c>
      <c r="UG24" s="82">
        <v>0</v>
      </c>
      <c r="UH24" s="82">
        <v>0</v>
      </c>
      <c r="UI24" s="82">
        <v>0</v>
      </c>
      <c r="UJ24" s="82">
        <v>0</v>
      </c>
      <c r="UK24" s="82">
        <v>0</v>
      </c>
      <c r="UL24" s="82">
        <v>40000</v>
      </c>
      <c r="UM24" s="82">
        <v>40000</v>
      </c>
      <c r="UN24" s="82">
        <v>40000</v>
      </c>
      <c r="UO24" s="82">
        <v>40000</v>
      </c>
      <c r="UP24" s="82">
        <v>40000</v>
      </c>
      <c r="UQ24" s="82">
        <v>40000</v>
      </c>
      <c r="UR24" s="82">
        <v>40000</v>
      </c>
      <c r="US24" s="82">
        <v>40000</v>
      </c>
      <c r="UT24" s="82">
        <v>40000</v>
      </c>
      <c r="UU24" s="82">
        <v>40000</v>
      </c>
      <c r="UV24" s="82">
        <v>40000</v>
      </c>
      <c r="UW24" s="82">
        <v>40000</v>
      </c>
      <c r="UX24" s="130"/>
      <c r="UY24" s="82">
        <v>40000</v>
      </c>
      <c r="UZ24" s="82">
        <v>40000</v>
      </c>
      <c r="VA24" s="82">
        <v>40000</v>
      </c>
      <c r="VB24" s="82">
        <v>40000</v>
      </c>
      <c r="VC24" s="82">
        <v>40000</v>
      </c>
      <c r="VD24" s="82">
        <v>40000</v>
      </c>
      <c r="VE24" s="82">
        <v>40000</v>
      </c>
      <c r="VF24" s="82">
        <v>40000</v>
      </c>
      <c r="VG24" s="82">
        <v>40000</v>
      </c>
      <c r="VH24" s="82">
        <v>40000</v>
      </c>
      <c r="VI24" s="82">
        <v>40000</v>
      </c>
      <c r="VJ24" s="82">
        <v>40000</v>
      </c>
      <c r="VK24" s="82">
        <v>40000</v>
      </c>
      <c r="VL24" s="82">
        <v>40000</v>
      </c>
      <c r="VM24" s="82">
        <v>40000</v>
      </c>
      <c r="VN24" s="82">
        <v>40000</v>
      </c>
      <c r="VO24" s="82">
        <v>40000</v>
      </c>
      <c r="VP24" s="82">
        <v>40000</v>
      </c>
      <c r="VQ24" s="82">
        <v>40000</v>
      </c>
      <c r="VR24" s="82">
        <v>40000</v>
      </c>
      <c r="VS24" s="82">
        <v>40000</v>
      </c>
      <c r="VT24" s="82">
        <v>40000</v>
      </c>
      <c r="VU24" s="82">
        <v>40000</v>
      </c>
      <c r="VV24" s="82">
        <v>40000</v>
      </c>
      <c r="VW24" s="82">
        <v>40000</v>
      </c>
      <c r="VX24" s="82">
        <v>40000</v>
      </c>
      <c r="VY24" s="82">
        <v>40000</v>
      </c>
      <c r="VZ24" s="82">
        <v>40000</v>
      </c>
      <c r="WA24" s="133"/>
      <c r="WB24" s="82">
        <v>40000</v>
      </c>
      <c r="WC24" s="82">
        <v>40000</v>
      </c>
      <c r="WD24" s="82">
        <v>40000</v>
      </c>
      <c r="WE24" s="82">
        <v>40000</v>
      </c>
      <c r="WF24" s="82">
        <v>40000</v>
      </c>
      <c r="WG24" s="82">
        <v>40000</v>
      </c>
      <c r="WH24" s="82">
        <v>40000</v>
      </c>
      <c r="WI24" s="82">
        <v>40000</v>
      </c>
      <c r="WJ24" s="82">
        <v>40000</v>
      </c>
      <c r="WK24" s="82">
        <v>40000</v>
      </c>
      <c r="WL24" s="82">
        <v>40000</v>
      </c>
      <c r="WM24" s="82">
        <v>40000</v>
      </c>
      <c r="WN24" s="82">
        <v>40000</v>
      </c>
      <c r="WO24" s="82">
        <v>40000</v>
      </c>
      <c r="WP24" s="82">
        <v>40000</v>
      </c>
      <c r="WQ24" s="82">
        <v>40000</v>
      </c>
      <c r="WR24" s="82">
        <v>40000</v>
      </c>
      <c r="WS24" s="82">
        <v>40000</v>
      </c>
      <c r="WT24" s="82">
        <v>40000</v>
      </c>
      <c r="WU24" s="82">
        <v>40000</v>
      </c>
      <c r="WV24" s="82">
        <v>40000</v>
      </c>
      <c r="WW24" s="82">
        <v>40000</v>
      </c>
      <c r="WX24" s="82">
        <v>40000</v>
      </c>
      <c r="WY24" s="82">
        <v>40000</v>
      </c>
      <c r="WZ24" s="82">
        <v>40000</v>
      </c>
      <c r="XA24" s="82">
        <v>40000</v>
      </c>
      <c r="XB24" s="82">
        <v>40000</v>
      </c>
      <c r="XC24" s="82">
        <v>40000</v>
      </c>
      <c r="XD24" s="82">
        <v>40000</v>
      </c>
      <c r="XE24" s="82">
        <v>40000</v>
      </c>
      <c r="XF24" s="82">
        <v>40000</v>
      </c>
      <c r="XG24" s="133"/>
      <c r="XH24" s="82">
        <v>40000</v>
      </c>
      <c r="XI24" s="82">
        <v>40000</v>
      </c>
      <c r="XJ24" s="82">
        <v>40000</v>
      </c>
      <c r="XK24" s="82">
        <v>40000</v>
      </c>
      <c r="XL24" s="82">
        <v>40000</v>
      </c>
      <c r="XM24" s="82">
        <v>40000</v>
      </c>
      <c r="XN24" s="82">
        <v>40000</v>
      </c>
      <c r="XO24" s="82">
        <v>40000</v>
      </c>
      <c r="XP24" s="82">
        <v>40000</v>
      </c>
      <c r="XQ24" s="82">
        <v>40000</v>
      </c>
      <c r="XR24" s="82">
        <v>40000</v>
      </c>
      <c r="XS24" s="82">
        <v>40000</v>
      </c>
      <c r="XT24" s="82">
        <v>40000</v>
      </c>
      <c r="XU24" s="82">
        <v>40000</v>
      </c>
      <c r="XV24" s="82">
        <v>40000</v>
      </c>
      <c r="XW24" s="82">
        <v>40000</v>
      </c>
      <c r="XX24" s="82">
        <v>40000</v>
      </c>
      <c r="XY24" s="82">
        <v>40000</v>
      </c>
      <c r="XZ24" s="82">
        <v>40000</v>
      </c>
      <c r="YA24" s="82">
        <v>40000</v>
      </c>
      <c r="YB24" s="82">
        <v>40000</v>
      </c>
      <c r="YC24" s="82">
        <v>40000</v>
      </c>
      <c r="YD24" s="82">
        <v>40000</v>
      </c>
      <c r="YE24" s="82">
        <v>40000</v>
      </c>
      <c r="YF24" s="82">
        <v>40000</v>
      </c>
      <c r="YG24" s="82">
        <v>40000</v>
      </c>
      <c r="YH24" s="82">
        <v>40000</v>
      </c>
      <c r="YI24" s="82">
        <v>40000</v>
      </c>
      <c r="YJ24" s="82">
        <v>40000</v>
      </c>
      <c r="YK24" s="82">
        <v>40000</v>
      </c>
      <c r="YL24" s="130"/>
      <c r="YM24" s="82">
        <v>40000</v>
      </c>
      <c r="YN24" s="82">
        <v>40000</v>
      </c>
      <c r="YO24" s="82">
        <v>40000</v>
      </c>
      <c r="YP24" s="82">
        <v>40000</v>
      </c>
      <c r="YQ24" s="82">
        <v>40000</v>
      </c>
      <c r="YR24" s="82">
        <v>40000</v>
      </c>
      <c r="YS24" s="82">
        <v>40000</v>
      </c>
      <c r="YT24" s="82">
        <v>40000</v>
      </c>
      <c r="YU24" s="82">
        <v>40000</v>
      </c>
      <c r="YV24" s="82">
        <v>40000</v>
      </c>
      <c r="YW24" s="82">
        <v>40000</v>
      </c>
      <c r="YX24" s="82">
        <v>40000</v>
      </c>
      <c r="YY24" s="82">
        <v>40000</v>
      </c>
      <c r="YZ24" s="82">
        <v>40000</v>
      </c>
      <c r="ZA24" s="82">
        <v>40000</v>
      </c>
      <c r="ZB24" s="82">
        <v>40000</v>
      </c>
      <c r="ZC24" s="82">
        <v>40000</v>
      </c>
      <c r="ZD24" s="82">
        <v>40000</v>
      </c>
      <c r="ZE24" s="82">
        <v>40000</v>
      </c>
      <c r="ZF24" s="82">
        <v>40000</v>
      </c>
      <c r="ZG24" s="82">
        <v>40000</v>
      </c>
      <c r="ZH24" s="82">
        <v>40000</v>
      </c>
      <c r="ZI24" s="82">
        <v>40000</v>
      </c>
      <c r="ZJ24" s="82">
        <v>40000</v>
      </c>
      <c r="ZK24" s="82">
        <v>40000</v>
      </c>
      <c r="ZL24" s="82">
        <v>40000</v>
      </c>
      <c r="ZM24" s="82">
        <v>40000</v>
      </c>
      <c r="ZN24" s="82">
        <v>40000</v>
      </c>
      <c r="ZO24" s="82">
        <v>40000</v>
      </c>
      <c r="ZP24" s="82">
        <v>40000</v>
      </c>
      <c r="ZQ24" s="82">
        <v>40000</v>
      </c>
      <c r="ZR24" s="130"/>
      <c r="ZS24" s="82">
        <v>40000</v>
      </c>
      <c r="ZT24" s="82">
        <v>40000</v>
      </c>
      <c r="ZU24" s="82">
        <v>40000</v>
      </c>
      <c r="ZV24" s="82">
        <v>40000</v>
      </c>
      <c r="ZW24" s="82">
        <v>40000</v>
      </c>
      <c r="ZX24" s="82">
        <v>40000</v>
      </c>
      <c r="ZY24" s="82">
        <v>40000</v>
      </c>
      <c r="ZZ24" s="82">
        <v>40000</v>
      </c>
      <c r="AAA24" s="82">
        <v>40000</v>
      </c>
      <c r="AAB24" s="82">
        <v>40000</v>
      </c>
      <c r="AAC24" s="82">
        <v>40000</v>
      </c>
      <c r="AAD24" s="82">
        <v>40000</v>
      </c>
      <c r="AAE24" s="82">
        <v>40000</v>
      </c>
      <c r="AAF24" s="82">
        <v>40000</v>
      </c>
      <c r="AAG24" s="82">
        <v>40000</v>
      </c>
      <c r="AAH24" s="82">
        <v>40000</v>
      </c>
      <c r="AAI24" s="82">
        <v>40000</v>
      </c>
      <c r="AAJ24" s="82">
        <v>40000</v>
      </c>
      <c r="AAK24" s="82">
        <v>40000</v>
      </c>
      <c r="AAL24" s="82">
        <v>40000</v>
      </c>
      <c r="AAM24" s="82">
        <v>40000</v>
      </c>
      <c r="AAN24" s="82">
        <v>40000</v>
      </c>
      <c r="AAO24" s="82">
        <v>40000</v>
      </c>
      <c r="AAP24" s="82">
        <v>40000</v>
      </c>
      <c r="AAQ24" s="82">
        <v>40000</v>
      </c>
      <c r="AAR24" s="82">
        <v>40000</v>
      </c>
      <c r="AAS24" s="82">
        <v>40000</v>
      </c>
      <c r="AAT24" s="82">
        <v>40000</v>
      </c>
      <c r="AAU24" s="82">
        <v>40000</v>
      </c>
      <c r="AAV24" s="82">
        <v>40000</v>
      </c>
      <c r="AAW24" s="130"/>
      <c r="AAX24" s="82">
        <v>40000</v>
      </c>
      <c r="AAY24" s="82">
        <v>40000</v>
      </c>
      <c r="AAZ24" s="82">
        <v>40000</v>
      </c>
      <c r="ABA24" s="82">
        <v>40000</v>
      </c>
      <c r="ABB24" s="82">
        <v>40000</v>
      </c>
      <c r="ABC24" s="82">
        <v>40000</v>
      </c>
      <c r="ABD24" s="82">
        <v>40000</v>
      </c>
      <c r="ABE24" s="82">
        <v>40000</v>
      </c>
      <c r="ABF24" s="82">
        <v>40000</v>
      </c>
      <c r="ABG24" s="82">
        <v>40000</v>
      </c>
      <c r="ABH24" s="82">
        <v>40000</v>
      </c>
      <c r="ABI24" s="82">
        <v>40000</v>
      </c>
      <c r="ABJ24" s="82">
        <v>40000</v>
      </c>
      <c r="ABK24" s="82">
        <v>40000</v>
      </c>
      <c r="ABL24" s="82">
        <v>40000</v>
      </c>
      <c r="ABM24" s="82">
        <v>40000</v>
      </c>
      <c r="ABN24" s="82">
        <v>40000</v>
      </c>
      <c r="ABO24" s="82">
        <v>40000</v>
      </c>
      <c r="ABP24" s="82">
        <v>40000</v>
      </c>
      <c r="ABQ24" s="82">
        <v>40000</v>
      </c>
      <c r="ABR24" s="82">
        <v>40000</v>
      </c>
      <c r="ABS24" s="82">
        <v>40000</v>
      </c>
      <c r="ABT24" s="82">
        <v>40000</v>
      </c>
      <c r="ABU24" s="82">
        <v>40000</v>
      </c>
      <c r="ABV24" s="82">
        <v>40000</v>
      </c>
      <c r="ABW24" s="82">
        <v>40000</v>
      </c>
      <c r="ABX24" s="82">
        <v>40000</v>
      </c>
      <c r="ABY24" s="82">
        <v>40000</v>
      </c>
      <c r="ABZ24" s="82">
        <v>40000</v>
      </c>
      <c r="ACA24" s="82">
        <v>40000</v>
      </c>
      <c r="ACB24" s="82">
        <v>40000</v>
      </c>
      <c r="ACC24" s="130"/>
      <c r="ACD24" s="82">
        <v>40000</v>
      </c>
      <c r="ACE24" s="82">
        <v>40000</v>
      </c>
      <c r="ACF24" s="82">
        <v>40000</v>
      </c>
      <c r="ACG24" s="82">
        <v>40000</v>
      </c>
      <c r="ACH24" s="82">
        <v>40000</v>
      </c>
      <c r="ACI24" s="82">
        <v>40000</v>
      </c>
      <c r="ACJ24" s="82">
        <v>40000</v>
      </c>
      <c r="ACK24" s="82">
        <v>40000</v>
      </c>
      <c r="ACL24" s="82">
        <v>40000</v>
      </c>
      <c r="ACM24" s="82">
        <v>40000</v>
      </c>
      <c r="ACN24" s="82">
        <v>40000</v>
      </c>
      <c r="ACO24" s="82">
        <v>40000</v>
      </c>
      <c r="ACP24" s="82">
        <v>40000</v>
      </c>
      <c r="ACQ24" s="82">
        <v>40000</v>
      </c>
      <c r="ACR24" s="82">
        <v>40000</v>
      </c>
      <c r="ACS24" s="82">
        <v>40000</v>
      </c>
      <c r="ACT24" s="82">
        <v>40000</v>
      </c>
      <c r="ACU24" s="82">
        <v>40000</v>
      </c>
      <c r="ACV24" s="82">
        <v>40000</v>
      </c>
      <c r="ACW24" s="82">
        <v>40000</v>
      </c>
      <c r="ACX24" s="82">
        <v>40000</v>
      </c>
      <c r="ACY24" s="82">
        <v>40000</v>
      </c>
      <c r="ACZ24" s="82">
        <v>40000</v>
      </c>
      <c r="ADA24" s="82">
        <v>40000</v>
      </c>
      <c r="ADB24" s="82">
        <v>40000</v>
      </c>
      <c r="ADC24" s="82">
        <v>40000</v>
      </c>
      <c r="ADD24" s="82">
        <v>40000</v>
      </c>
      <c r="ADE24" s="82">
        <v>40000</v>
      </c>
      <c r="ADF24" s="82">
        <v>40000</v>
      </c>
      <c r="ADG24" s="82">
        <v>40000</v>
      </c>
      <c r="ADH24" s="82">
        <v>40000</v>
      </c>
      <c r="ADI24" s="130"/>
      <c r="ADJ24" s="82">
        <v>40000</v>
      </c>
      <c r="ADK24" s="82">
        <v>40000</v>
      </c>
      <c r="ADL24" s="82">
        <v>40000</v>
      </c>
      <c r="ADM24" s="82">
        <v>40000</v>
      </c>
      <c r="ADN24" s="82">
        <v>40000</v>
      </c>
      <c r="ADO24" s="82">
        <v>40000</v>
      </c>
      <c r="ADP24" s="82">
        <v>40000</v>
      </c>
      <c r="ADQ24" s="82">
        <v>40000</v>
      </c>
      <c r="ADR24" s="82">
        <v>40000</v>
      </c>
      <c r="ADS24" s="82">
        <v>40000</v>
      </c>
      <c r="ADT24" s="82">
        <v>40000</v>
      </c>
      <c r="ADU24" s="82">
        <v>40000</v>
      </c>
      <c r="ADV24" s="82">
        <v>40000</v>
      </c>
      <c r="ADW24" s="82">
        <v>40000</v>
      </c>
      <c r="ADX24" s="82">
        <v>40000</v>
      </c>
      <c r="ADY24" s="82">
        <v>40000</v>
      </c>
      <c r="ADZ24" s="82">
        <v>40000</v>
      </c>
      <c r="AEA24" s="82">
        <v>40000</v>
      </c>
      <c r="AEB24" s="82">
        <v>40000</v>
      </c>
      <c r="AEC24" s="82">
        <v>40000</v>
      </c>
      <c r="AED24" s="82">
        <v>40000</v>
      </c>
      <c r="AEE24" s="82">
        <v>40000</v>
      </c>
      <c r="AEF24" s="82">
        <v>40000</v>
      </c>
      <c r="AEG24" s="82">
        <v>40000</v>
      </c>
      <c r="AEH24" s="82">
        <v>40000</v>
      </c>
      <c r="AEI24" s="82">
        <v>40000</v>
      </c>
      <c r="AEJ24" s="82">
        <v>40000</v>
      </c>
      <c r="AEK24" s="82">
        <v>40000</v>
      </c>
      <c r="AEL24" s="82">
        <v>40000</v>
      </c>
      <c r="AEM24" s="82">
        <v>40000</v>
      </c>
      <c r="AEN24" s="130"/>
      <c r="AEO24" s="82">
        <v>40000</v>
      </c>
      <c r="AEP24" s="82">
        <v>40000</v>
      </c>
      <c r="AEQ24" s="82">
        <v>40000</v>
      </c>
      <c r="AER24" s="82">
        <v>40000</v>
      </c>
      <c r="AES24" s="82">
        <v>40000</v>
      </c>
      <c r="AET24" s="82">
        <v>40000</v>
      </c>
      <c r="AEU24" s="82">
        <v>40000</v>
      </c>
      <c r="AEV24" s="82">
        <v>40000</v>
      </c>
      <c r="AEW24" s="82">
        <v>40000</v>
      </c>
      <c r="AEX24" s="82">
        <v>40000</v>
      </c>
      <c r="AEY24" s="82">
        <v>40000</v>
      </c>
      <c r="AEZ24" s="82">
        <v>40000</v>
      </c>
      <c r="AFA24" s="82">
        <v>40000</v>
      </c>
      <c r="AFB24" s="82">
        <v>40000</v>
      </c>
      <c r="AFC24" s="82">
        <v>40000</v>
      </c>
      <c r="AFD24" s="82">
        <v>40000</v>
      </c>
      <c r="AFE24" s="82">
        <v>40000</v>
      </c>
      <c r="AFF24" s="82">
        <v>40000</v>
      </c>
      <c r="AFG24" s="82">
        <v>40000</v>
      </c>
      <c r="AFH24" s="82">
        <v>40000</v>
      </c>
      <c r="AFI24" s="82">
        <v>40000</v>
      </c>
      <c r="AFJ24" s="82">
        <v>40000</v>
      </c>
      <c r="AFK24" s="82">
        <v>40000</v>
      </c>
      <c r="AFL24" s="82">
        <v>40000</v>
      </c>
      <c r="AFM24" s="82">
        <v>40000</v>
      </c>
      <c r="AFN24" s="82">
        <v>40000</v>
      </c>
      <c r="AFO24" s="82">
        <v>40000</v>
      </c>
      <c r="AFP24" s="82">
        <v>40000</v>
      </c>
      <c r="AFQ24" s="82">
        <v>40000</v>
      </c>
      <c r="AFR24" s="82">
        <v>40000</v>
      </c>
      <c r="AFS24" s="82">
        <v>40000</v>
      </c>
      <c r="AFT24" s="130"/>
      <c r="AFU24" s="82">
        <v>40000</v>
      </c>
      <c r="AFV24" s="82">
        <v>40000</v>
      </c>
      <c r="AFW24" s="82">
        <v>40000</v>
      </c>
      <c r="AFX24" s="82">
        <v>40000</v>
      </c>
      <c r="AFY24" s="82">
        <v>40000</v>
      </c>
      <c r="AFZ24" s="82">
        <v>40000</v>
      </c>
      <c r="AGA24" s="82">
        <v>40000</v>
      </c>
      <c r="AGB24" s="82">
        <v>40000</v>
      </c>
      <c r="AGC24" s="82">
        <v>40000</v>
      </c>
      <c r="AGD24" s="82">
        <v>40000</v>
      </c>
      <c r="AGE24" s="82">
        <v>40000</v>
      </c>
      <c r="AGF24" s="82">
        <v>40000</v>
      </c>
      <c r="AGG24" s="82">
        <v>40000</v>
      </c>
      <c r="AGH24" s="82">
        <v>40000</v>
      </c>
      <c r="AGI24" s="82">
        <v>40000</v>
      </c>
      <c r="AGJ24" s="82">
        <v>40000</v>
      </c>
      <c r="AGK24" s="82">
        <v>40000</v>
      </c>
      <c r="AGL24" s="82">
        <v>40000</v>
      </c>
      <c r="AGM24" s="82">
        <v>40000</v>
      </c>
      <c r="AGN24" s="82">
        <v>40000</v>
      </c>
      <c r="AGO24" s="82">
        <v>40000</v>
      </c>
      <c r="AGP24" s="82">
        <v>40000</v>
      </c>
      <c r="AGQ24" s="82">
        <v>40000</v>
      </c>
      <c r="AGR24" s="82">
        <v>40000</v>
      </c>
      <c r="AGS24" s="82">
        <v>40000</v>
      </c>
      <c r="AGT24" s="82">
        <v>40000</v>
      </c>
      <c r="AGU24" s="82">
        <v>40000</v>
      </c>
      <c r="AGV24" s="82">
        <v>40000</v>
      </c>
      <c r="AGW24" s="82">
        <v>40000</v>
      </c>
      <c r="AGX24" s="82">
        <v>40000</v>
      </c>
      <c r="AGY24" s="133"/>
      <c r="AGZ24" s="82">
        <v>40000</v>
      </c>
      <c r="AHA24" s="82">
        <v>40000</v>
      </c>
      <c r="AHB24" s="82">
        <v>40000</v>
      </c>
      <c r="AHC24" s="82">
        <v>40000</v>
      </c>
      <c r="AHD24" s="82">
        <v>40000</v>
      </c>
      <c r="AHE24" s="82">
        <v>40000</v>
      </c>
      <c r="AHF24" s="82">
        <v>40000</v>
      </c>
      <c r="AHG24" s="82">
        <v>40000</v>
      </c>
      <c r="AHH24" s="82">
        <v>40000</v>
      </c>
      <c r="AHI24" s="82">
        <v>40000</v>
      </c>
      <c r="AHJ24" s="82">
        <v>40000</v>
      </c>
      <c r="AHK24" s="82">
        <v>40000</v>
      </c>
      <c r="AHL24" s="82">
        <v>40000</v>
      </c>
      <c r="AHM24" s="82">
        <v>40000</v>
      </c>
      <c r="AHN24" s="82">
        <v>40000</v>
      </c>
      <c r="AHO24" s="82">
        <v>40000</v>
      </c>
      <c r="AHP24" s="82">
        <v>40000</v>
      </c>
      <c r="AHQ24" s="82">
        <v>40000</v>
      </c>
      <c r="AHR24" s="82">
        <v>40000</v>
      </c>
      <c r="AHS24" s="82">
        <v>40000</v>
      </c>
      <c r="AHT24" s="82">
        <v>40000</v>
      </c>
      <c r="AHU24" s="82">
        <v>40000</v>
      </c>
      <c r="AHV24" s="82">
        <v>40000</v>
      </c>
      <c r="AHW24" s="82">
        <v>40000</v>
      </c>
      <c r="AHX24" s="82">
        <v>40000</v>
      </c>
      <c r="AHY24" s="82">
        <v>40000</v>
      </c>
      <c r="AHZ24" s="82">
        <v>40000</v>
      </c>
      <c r="AIA24" s="82">
        <v>40000</v>
      </c>
      <c r="AIB24" s="82">
        <v>40000</v>
      </c>
      <c r="AIC24" s="82">
        <v>40000</v>
      </c>
      <c r="AID24" s="82">
        <v>40000</v>
      </c>
      <c r="AIE24" s="130"/>
      <c r="AIF24" s="82">
        <v>40000</v>
      </c>
      <c r="AIG24" s="82">
        <v>40000</v>
      </c>
      <c r="AIH24" s="82">
        <v>40000</v>
      </c>
      <c r="AII24" s="82">
        <v>40000</v>
      </c>
      <c r="AIJ24" s="82">
        <v>40000</v>
      </c>
      <c r="AIK24" s="82">
        <v>40000</v>
      </c>
      <c r="AIL24" s="82">
        <v>40000</v>
      </c>
      <c r="AIM24" s="82">
        <v>40000</v>
      </c>
      <c r="AIN24" s="82">
        <v>40000</v>
      </c>
      <c r="AIO24" s="82">
        <v>40000</v>
      </c>
      <c r="AIP24" s="82">
        <v>40000</v>
      </c>
      <c r="AIQ24" s="82">
        <v>40000</v>
      </c>
      <c r="AIR24" s="82">
        <v>40000</v>
      </c>
      <c r="AIS24" s="82">
        <v>40000</v>
      </c>
      <c r="AIT24" s="82">
        <v>40000</v>
      </c>
      <c r="AIU24" s="82">
        <v>40000</v>
      </c>
      <c r="AIV24" s="82">
        <v>40000</v>
      </c>
      <c r="AIW24" s="82">
        <v>40000</v>
      </c>
      <c r="AIX24" s="82">
        <v>40000</v>
      </c>
      <c r="AIY24" s="82">
        <v>40000</v>
      </c>
      <c r="AIZ24" s="82">
        <v>40000</v>
      </c>
      <c r="AJA24" s="82">
        <v>40000</v>
      </c>
      <c r="AJB24" s="82">
        <v>40000</v>
      </c>
      <c r="AJC24" s="82">
        <v>40000</v>
      </c>
      <c r="AJD24" s="82">
        <v>40000</v>
      </c>
      <c r="AJE24" s="82">
        <v>40000</v>
      </c>
      <c r="AJF24" s="82">
        <v>40000</v>
      </c>
      <c r="AJG24" s="82">
        <v>40000</v>
      </c>
      <c r="AJH24" s="82">
        <v>40000</v>
      </c>
      <c r="AJI24" s="82">
        <v>40000</v>
      </c>
      <c r="AJJ24" s="82">
        <v>40000</v>
      </c>
      <c r="AJK24" s="145"/>
      <c r="AJL24" s="82">
        <v>40000</v>
      </c>
      <c r="AJM24" s="82">
        <v>40000</v>
      </c>
      <c r="AJN24" s="82">
        <v>40000</v>
      </c>
      <c r="AJO24" s="82">
        <v>40000</v>
      </c>
      <c r="AJP24" s="82">
        <v>40000</v>
      </c>
      <c r="AJQ24" s="82">
        <v>40000</v>
      </c>
      <c r="AJR24" s="82">
        <v>40000</v>
      </c>
      <c r="AJS24" s="82">
        <v>40000</v>
      </c>
      <c r="AJT24" s="82">
        <v>40000</v>
      </c>
      <c r="AJU24" s="82">
        <v>40000</v>
      </c>
      <c r="AJV24" s="82">
        <v>40000</v>
      </c>
      <c r="AJW24" s="82">
        <v>40000</v>
      </c>
      <c r="AJX24" s="82">
        <v>40000</v>
      </c>
      <c r="AJY24" s="82">
        <v>40000</v>
      </c>
      <c r="AJZ24" s="82">
        <v>40000</v>
      </c>
      <c r="AKA24" s="82">
        <v>40000</v>
      </c>
      <c r="AKB24" s="82">
        <v>40000</v>
      </c>
      <c r="AKC24" s="82">
        <v>40000</v>
      </c>
      <c r="AKD24" s="82">
        <v>40000</v>
      </c>
      <c r="AKE24" s="82">
        <v>40000</v>
      </c>
      <c r="AKF24" s="82">
        <v>40000</v>
      </c>
      <c r="AKG24" s="82">
        <v>40000</v>
      </c>
      <c r="AKH24" s="82">
        <v>40000</v>
      </c>
      <c r="AKI24" s="82">
        <v>40000</v>
      </c>
      <c r="AKJ24" s="82">
        <v>40000</v>
      </c>
      <c r="AKK24" s="82">
        <v>40000</v>
      </c>
      <c r="AKL24" s="82">
        <v>40000</v>
      </c>
      <c r="AKM24" s="82">
        <v>40000</v>
      </c>
      <c r="AKN24" s="112"/>
      <c r="AKO24" s="82">
        <v>40000</v>
      </c>
      <c r="AKP24" s="82">
        <v>40000</v>
      </c>
      <c r="AKQ24" s="82">
        <v>40000</v>
      </c>
      <c r="AKR24" s="82">
        <v>40000</v>
      </c>
      <c r="AKS24" s="82">
        <v>40000</v>
      </c>
      <c r="AKT24" s="82">
        <v>40000</v>
      </c>
      <c r="AKU24" s="82">
        <v>40000</v>
      </c>
      <c r="AKV24" s="82">
        <v>40000</v>
      </c>
      <c r="AKW24" s="82">
        <v>40000</v>
      </c>
      <c r="AKX24" s="82">
        <v>40000</v>
      </c>
      <c r="AKY24" s="82">
        <v>40000</v>
      </c>
      <c r="AKZ24" s="82">
        <v>40000</v>
      </c>
      <c r="ALA24" s="82">
        <v>40000</v>
      </c>
      <c r="ALB24" s="82">
        <v>40000</v>
      </c>
      <c r="ALC24" s="82">
        <v>40000</v>
      </c>
      <c r="ALD24" s="82">
        <v>40000</v>
      </c>
      <c r="ALE24" s="82">
        <v>40000</v>
      </c>
      <c r="ALF24" s="82">
        <v>40000</v>
      </c>
      <c r="ALG24" s="82">
        <v>40000</v>
      </c>
      <c r="ALH24" s="82">
        <v>40000</v>
      </c>
      <c r="ALI24" s="82">
        <v>40000</v>
      </c>
      <c r="ALJ24" s="82">
        <v>40000</v>
      </c>
      <c r="ALK24" s="82">
        <v>40000</v>
      </c>
      <c r="ALL24" s="82">
        <v>40000</v>
      </c>
      <c r="ALM24" s="82">
        <v>40000</v>
      </c>
      <c r="ALN24" s="82">
        <v>40000</v>
      </c>
      <c r="ALO24" s="82">
        <v>40000</v>
      </c>
      <c r="ALP24" s="82">
        <v>40000</v>
      </c>
      <c r="ALQ24" s="82">
        <v>40000</v>
      </c>
      <c r="ALR24" s="82">
        <v>40000</v>
      </c>
      <c r="ALS24" s="82">
        <v>40000</v>
      </c>
      <c r="ALT24" s="130"/>
      <c r="ALU24" s="82">
        <v>40000</v>
      </c>
      <c r="ALV24" s="82">
        <v>40000</v>
      </c>
      <c r="ALW24" s="82">
        <v>40000</v>
      </c>
      <c r="ALX24" s="82">
        <v>40000</v>
      </c>
      <c r="ALY24" s="82">
        <v>40000</v>
      </c>
      <c r="ALZ24" s="82">
        <v>40000</v>
      </c>
      <c r="AMA24" s="82">
        <v>40000</v>
      </c>
      <c r="AMB24" s="82">
        <v>40000</v>
      </c>
      <c r="AMC24" s="82">
        <v>40000</v>
      </c>
      <c r="AMD24" s="82">
        <v>40000</v>
      </c>
      <c r="AME24" s="82">
        <v>40000</v>
      </c>
      <c r="AMF24" s="82">
        <v>40000</v>
      </c>
      <c r="AMG24" s="82">
        <v>40000</v>
      </c>
      <c r="AMH24" s="82">
        <v>40000</v>
      </c>
      <c r="AMI24" s="82">
        <v>40000</v>
      </c>
      <c r="AMJ24" s="82">
        <v>40000</v>
      </c>
      <c r="AMK24" s="82">
        <v>40000</v>
      </c>
      <c r="AML24" s="82">
        <v>40000</v>
      </c>
      <c r="AMM24" s="82">
        <v>40000</v>
      </c>
      <c r="AMN24" s="82">
        <v>40000</v>
      </c>
      <c r="AMO24" s="82">
        <v>40000</v>
      </c>
      <c r="AMP24" s="82">
        <v>40000</v>
      </c>
      <c r="AMQ24" s="82">
        <v>40000</v>
      </c>
      <c r="AMR24" s="82">
        <v>40000</v>
      </c>
      <c r="AMS24" s="82">
        <v>40000</v>
      </c>
      <c r="AMT24" s="82">
        <v>40000</v>
      </c>
      <c r="AMU24" s="82">
        <v>40000</v>
      </c>
      <c r="AMV24" s="82">
        <v>40000</v>
      </c>
      <c r="AMW24" s="82">
        <v>40000</v>
      </c>
      <c r="AMX24" s="82">
        <v>40000</v>
      </c>
      <c r="AMY24" s="130"/>
      <c r="AMZ24" s="82">
        <v>40000</v>
      </c>
      <c r="ANA24" s="82">
        <v>40000</v>
      </c>
      <c r="ANB24" s="82">
        <v>40000</v>
      </c>
      <c r="ANC24" s="82">
        <v>40000</v>
      </c>
      <c r="AND24" s="82">
        <v>40000</v>
      </c>
      <c r="ANE24" s="82">
        <v>40000</v>
      </c>
      <c r="ANF24" s="82">
        <v>40000</v>
      </c>
      <c r="ANG24" s="82">
        <v>40000</v>
      </c>
      <c r="ANH24" s="82">
        <v>40000</v>
      </c>
      <c r="ANI24" s="82">
        <v>40000</v>
      </c>
      <c r="ANJ24" s="82">
        <v>40000</v>
      </c>
      <c r="ANK24" s="82">
        <v>40000</v>
      </c>
      <c r="ANL24" s="82">
        <v>40000</v>
      </c>
      <c r="ANM24" s="82">
        <v>40000</v>
      </c>
      <c r="ANN24" s="82">
        <v>40000</v>
      </c>
      <c r="ANO24" s="82">
        <v>40000</v>
      </c>
      <c r="ANP24" s="82">
        <v>40000</v>
      </c>
      <c r="ANQ24" s="82">
        <v>40000</v>
      </c>
      <c r="ANR24" s="82">
        <v>40000</v>
      </c>
      <c r="ANS24" s="82">
        <v>40000</v>
      </c>
      <c r="ANT24" s="82">
        <v>40000</v>
      </c>
      <c r="ANU24" s="82">
        <v>40000</v>
      </c>
      <c r="ANV24" s="82">
        <v>40000</v>
      </c>
      <c r="ANW24" s="82">
        <v>40000</v>
      </c>
      <c r="ANX24" s="82">
        <v>40000</v>
      </c>
      <c r="ANY24" s="82">
        <v>40000</v>
      </c>
      <c r="ANZ24" s="82">
        <v>40000</v>
      </c>
      <c r="AOA24" s="82">
        <v>40000</v>
      </c>
      <c r="AOB24" s="82">
        <v>40000</v>
      </c>
      <c r="AOC24" s="82">
        <v>40000</v>
      </c>
    </row>
    <row r="25" spans="1:1069" x14ac:dyDescent="0.2">
      <c r="A25" s="160"/>
      <c r="B25" t="s">
        <v>1657</v>
      </c>
      <c r="C25" s="52">
        <v>16200500</v>
      </c>
      <c r="D25" s="52">
        <f>C25</f>
        <v>16200500</v>
      </c>
      <c r="E25" s="52">
        <f t="shared" ref="E25:AH25" si="647">D25</f>
        <v>16200500</v>
      </c>
      <c r="F25" s="52">
        <f t="shared" si="647"/>
        <v>16200500</v>
      </c>
      <c r="G25" s="52">
        <f t="shared" si="647"/>
        <v>16200500</v>
      </c>
      <c r="H25" s="52">
        <f t="shared" si="647"/>
        <v>16200500</v>
      </c>
      <c r="I25" s="52">
        <f t="shared" si="647"/>
        <v>16200500</v>
      </c>
      <c r="J25" s="52">
        <f t="shared" si="647"/>
        <v>16200500</v>
      </c>
      <c r="K25" s="52">
        <f t="shared" si="647"/>
        <v>16200500</v>
      </c>
      <c r="L25" s="52">
        <f t="shared" si="647"/>
        <v>16200500</v>
      </c>
      <c r="M25" s="52">
        <f t="shared" si="647"/>
        <v>16200500</v>
      </c>
      <c r="N25" s="52">
        <f t="shared" si="647"/>
        <v>16200500</v>
      </c>
      <c r="O25" s="52">
        <f t="shared" si="647"/>
        <v>16200500</v>
      </c>
      <c r="P25" s="52">
        <f t="shared" si="647"/>
        <v>16200500</v>
      </c>
      <c r="Q25" s="52">
        <f t="shared" si="647"/>
        <v>16200500</v>
      </c>
      <c r="R25" s="52">
        <f t="shared" si="647"/>
        <v>16200500</v>
      </c>
      <c r="S25" s="52">
        <f t="shared" si="647"/>
        <v>16200500</v>
      </c>
      <c r="T25" s="52">
        <f t="shared" si="647"/>
        <v>16200500</v>
      </c>
      <c r="U25" s="52">
        <f t="shared" si="647"/>
        <v>16200500</v>
      </c>
      <c r="V25" s="52">
        <f t="shared" si="647"/>
        <v>16200500</v>
      </c>
      <c r="W25" s="52">
        <f t="shared" si="647"/>
        <v>16200500</v>
      </c>
      <c r="X25" s="52">
        <f t="shared" si="647"/>
        <v>16200500</v>
      </c>
      <c r="Y25" s="52">
        <f t="shared" si="647"/>
        <v>16200500</v>
      </c>
      <c r="Z25" s="52">
        <f t="shared" si="647"/>
        <v>16200500</v>
      </c>
      <c r="AA25" s="52">
        <f t="shared" si="647"/>
        <v>16200500</v>
      </c>
      <c r="AB25" s="52">
        <f t="shared" si="647"/>
        <v>16200500</v>
      </c>
      <c r="AC25" s="52">
        <f t="shared" si="647"/>
        <v>16200500</v>
      </c>
      <c r="AD25" s="52">
        <f t="shared" si="647"/>
        <v>16200500</v>
      </c>
      <c r="AE25" s="52">
        <f t="shared" si="647"/>
        <v>16200500</v>
      </c>
      <c r="AF25" s="52">
        <f t="shared" si="647"/>
        <v>16200500</v>
      </c>
      <c r="AG25" s="52">
        <f t="shared" si="647"/>
        <v>16200500</v>
      </c>
      <c r="AH25" s="98">
        <f t="shared" si="647"/>
        <v>16200500</v>
      </c>
      <c r="AI25" s="82">
        <f t="shared" si="616"/>
        <v>16200500</v>
      </c>
      <c r="AJ25" s="82">
        <f t="shared" si="616"/>
        <v>16200500</v>
      </c>
      <c r="AK25" s="82">
        <f t="shared" si="616"/>
        <v>16200500</v>
      </c>
      <c r="AL25" s="82">
        <f t="shared" si="616"/>
        <v>16200500</v>
      </c>
      <c r="AM25" s="82">
        <f t="shared" si="616"/>
        <v>16200500</v>
      </c>
      <c r="AN25" s="82">
        <f t="shared" si="616"/>
        <v>16200500</v>
      </c>
      <c r="AO25" s="82">
        <f t="shared" si="616"/>
        <v>16200500</v>
      </c>
      <c r="AP25" s="82">
        <f t="shared" si="616"/>
        <v>16200500</v>
      </c>
      <c r="AQ25" s="82">
        <f t="shared" si="616"/>
        <v>16200500</v>
      </c>
      <c r="AR25" s="82">
        <f t="shared" si="616"/>
        <v>16200500</v>
      </c>
      <c r="AS25" s="82">
        <f t="shared" si="617"/>
        <v>16200500</v>
      </c>
      <c r="AT25" s="82">
        <f t="shared" si="617"/>
        <v>16200500</v>
      </c>
      <c r="AU25" s="82">
        <f t="shared" si="617"/>
        <v>16200500</v>
      </c>
      <c r="AV25" s="82">
        <f t="shared" si="617"/>
        <v>16200500</v>
      </c>
      <c r="AW25" s="82">
        <f t="shared" si="617"/>
        <v>16200500</v>
      </c>
      <c r="AX25" s="82">
        <f t="shared" si="617"/>
        <v>16200500</v>
      </c>
      <c r="AY25" s="82">
        <f t="shared" si="617"/>
        <v>16200500</v>
      </c>
      <c r="AZ25" s="82">
        <f t="shared" si="617"/>
        <v>16200500</v>
      </c>
      <c r="BA25" s="82">
        <f t="shared" si="617"/>
        <v>16200500</v>
      </c>
      <c r="BB25" s="82">
        <f t="shared" si="617"/>
        <v>16200500</v>
      </c>
      <c r="BC25" s="82">
        <f t="shared" si="618"/>
        <v>16200500</v>
      </c>
      <c r="BD25" s="82">
        <f t="shared" si="618"/>
        <v>16200500</v>
      </c>
      <c r="BE25" s="82">
        <f t="shared" si="618"/>
        <v>16200500</v>
      </c>
      <c r="BF25" s="82">
        <f t="shared" si="618"/>
        <v>16200500</v>
      </c>
      <c r="BG25" s="82">
        <f t="shared" si="618"/>
        <v>16200500</v>
      </c>
      <c r="BH25" s="82">
        <f t="shared" si="618"/>
        <v>16200500</v>
      </c>
      <c r="BI25" s="82">
        <f t="shared" si="618"/>
        <v>16200500</v>
      </c>
      <c r="BJ25" s="82">
        <f t="shared" si="618"/>
        <v>16200500</v>
      </c>
      <c r="BK25" s="82">
        <f t="shared" si="618"/>
        <v>16200500</v>
      </c>
      <c r="BL25" s="82">
        <f t="shared" si="618"/>
        <v>16200500</v>
      </c>
      <c r="BM25" s="106">
        <f>BL25</f>
        <v>16200500</v>
      </c>
      <c r="BN25" s="82">
        <f t="shared" si="619"/>
        <v>16200500</v>
      </c>
      <c r="BO25" s="82">
        <f t="shared" si="619"/>
        <v>16200500</v>
      </c>
      <c r="BP25" s="82">
        <f t="shared" si="619"/>
        <v>16200500</v>
      </c>
      <c r="BQ25" s="82">
        <f t="shared" si="619"/>
        <v>16200500</v>
      </c>
      <c r="BR25" s="82">
        <f t="shared" si="619"/>
        <v>16200500</v>
      </c>
      <c r="BS25" s="82">
        <f t="shared" si="619"/>
        <v>16200500</v>
      </c>
      <c r="BT25" s="82">
        <f t="shared" si="619"/>
        <v>16200500</v>
      </c>
      <c r="BU25" s="82">
        <f t="shared" si="619"/>
        <v>16200500</v>
      </c>
      <c r="BV25" s="82">
        <f t="shared" si="619"/>
        <v>16200500</v>
      </c>
      <c r="BW25" s="82">
        <f t="shared" si="619"/>
        <v>16200500</v>
      </c>
      <c r="BX25" s="82">
        <f t="shared" si="620"/>
        <v>16200500</v>
      </c>
      <c r="BY25" s="82">
        <f t="shared" si="620"/>
        <v>16200500</v>
      </c>
      <c r="BZ25" s="82">
        <f t="shared" si="620"/>
        <v>16200500</v>
      </c>
      <c r="CA25" s="82">
        <f t="shared" si="620"/>
        <v>16200500</v>
      </c>
      <c r="CB25" s="82">
        <f t="shared" si="620"/>
        <v>16200500</v>
      </c>
      <c r="CC25" s="82">
        <f t="shared" si="620"/>
        <v>16200500</v>
      </c>
      <c r="CD25" s="82">
        <f t="shared" si="620"/>
        <v>16200500</v>
      </c>
      <c r="CE25" s="82">
        <f t="shared" si="620"/>
        <v>16200500</v>
      </c>
      <c r="CF25" s="82">
        <f t="shared" si="620"/>
        <v>16200500</v>
      </c>
      <c r="CG25" s="82">
        <f t="shared" si="620"/>
        <v>16200500</v>
      </c>
      <c r="CH25" s="82">
        <f t="shared" si="621"/>
        <v>16200500</v>
      </c>
      <c r="CI25" s="82">
        <f t="shared" si="621"/>
        <v>16200500</v>
      </c>
      <c r="CJ25" s="82">
        <f t="shared" si="621"/>
        <v>16200500</v>
      </c>
      <c r="CK25" s="82">
        <f t="shared" si="621"/>
        <v>16200500</v>
      </c>
      <c r="CL25" s="82">
        <f t="shared" si="621"/>
        <v>16200500</v>
      </c>
      <c r="CM25" s="82">
        <f t="shared" si="621"/>
        <v>16200500</v>
      </c>
      <c r="CN25" s="82">
        <f t="shared" si="621"/>
        <v>16200500</v>
      </c>
      <c r="CO25" s="82">
        <f t="shared" si="621"/>
        <v>16200500</v>
      </c>
      <c r="CP25" s="82">
        <f t="shared" si="621"/>
        <v>16200500</v>
      </c>
      <c r="CQ25" s="82">
        <f t="shared" si="621"/>
        <v>16200500</v>
      </c>
      <c r="CR25" s="82">
        <f t="shared" si="622"/>
        <v>16200500</v>
      </c>
      <c r="CT25" s="82">
        <f t="shared" si="416"/>
        <v>16200500</v>
      </c>
      <c r="CU25" s="82">
        <f t="shared" si="151"/>
        <v>16200500</v>
      </c>
      <c r="CV25" s="82">
        <f t="shared" si="494"/>
        <v>16200500</v>
      </c>
      <c r="CW25" s="82">
        <f t="shared" si="494"/>
        <v>16200500</v>
      </c>
      <c r="CX25" s="82">
        <f t="shared" si="417"/>
        <v>16200500</v>
      </c>
      <c r="CY25" s="82">
        <f t="shared" si="325"/>
        <v>16200500</v>
      </c>
      <c r="CZ25" s="82">
        <f t="shared" si="326"/>
        <v>16200500</v>
      </c>
      <c r="DA25" s="82">
        <f t="shared" si="251"/>
        <v>16200500</v>
      </c>
      <c r="DB25" s="82">
        <f t="shared" si="252"/>
        <v>16200500</v>
      </c>
      <c r="DC25" s="82">
        <f t="shared" si="253"/>
        <v>16200500</v>
      </c>
      <c r="DD25" s="82">
        <f t="shared" si="254"/>
        <v>16200500</v>
      </c>
      <c r="DE25" s="82">
        <f t="shared" si="255"/>
        <v>16200500</v>
      </c>
      <c r="DF25" s="82">
        <f t="shared" si="256"/>
        <v>16200500</v>
      </c>
      <c r="DG25" s="82">
        <f t="shared" si="257"/>
        <v>16200500</v>
      </c>
      <c r="DH25" s="82">
        <f t="shared" si="258"/>
        <v>16200500</v>
      </c>
      <c r="DI25" s="82">
        <f t="shared" si="259"/>
        <v>16200500</v>
      </c>
      <c r="DJ25" s="82">
        <f t="shared" si="260"/>
        <v>16200500</v>
      </c>
      <c r="DK25" s="82">
        <f t="shared" si="261"/>
        <v>16200500</v>
      </c>
      <c r="DL25" s="82">
        <f t="shared" si="262"/>
        <v>16200500</v>
      </c>
      <c r="DM25" s="82">
        <f t="shared" si="327"/>
        <v>16200500</v>
      </c>
      <c r="DN25" s="82">
        <f t="shared" si="328"/>
        <v>16200500</v>
      </c>
      <c r="DO25" s="82">
        <f t="shared" si="263"/>
        <v>16200500</v>
      </c>
      <c r="DP25" s="82">
        <f t="shared" si="264"/>
        <v>16200500</v>
      </c>
      <c r="DQ25" s="82">
        <f t="shared" si="265"/>
        <v>16200500</v>
      </c>
      <c r="DR25" s="82">
        <f t="shared" si="266"/>
        <v>16200500</v>
      </c>
      <c r="DS25" s="82">
        <f t="shared" si="267"/>
        <v>16200500</v>
      </c>
      <c r="DT25" s="82">
        <f t="shared" si="268"/>
        <v>16200500</v>
      </c>
      <c r="DU25" s="82">
        <f t="shared" si="329"/>
        <v>16200500</v>
      </c>
      <c r="DV25" s="82">
        <f t="shared" si="330"/>
        <v>16200500</v>
      </c>
      <c r="DW25" s="82">
        <f t="shared" si="269"/>
        <v>16200500</v>
      </c>
      <c r="DX25" s="117"/>
      <c r="DY25" s="82">
        <f t="shared" si="418"/>
        <v>16200500</v>
      </c>
      <c r="DZ25" s="82">
        <f t="shared" si="419"/>
        <v>16200500</v>
      </c>
      <c r="EA25" s="82">
        <f t="shared" si="420"/>
        <v>16200500</v>
      </c>
      <c r="EB25" s="82">
        <f t="shared" si="495"/>
        <v>16200500</v>
      </c>
      <c r="EC25" s="82">
        <f t="shared" si="495"/>
        <v>16200500</v>
      </c>
      <c r="ED25" s="82">
        <f t="shared" si="566"/>
        <v>16200500</v>
      </c>
      <c r="EE25" s="82">
        <f t="shared" si="566"/>
        <v>16200500</v>
      </c>
      <c r="EF25" s="82">
        <f t="shared" si="566"/>
        <v>16200500</v>
      </c>
      <c r="EG25" s="82">
        <f t="shared" si="566"/>
        <v>16200500</v>
      </c>
      <c r="EH25" s="82">
        <f t="shared" si="566"/>
        <v>16200500</v>
      </c>
      <c r="EI25" s="82">
        <f t="shared" si="566"/>
        <v>16200500</v>
      </c>
      <c r="EJ25" s="82">
        <f t="shared" si="566"/>
        <v>16200500</v>
      </c>
      <c r="EK25" s="82">
        <f t="shared" si="566"/>
        <v>16200500</v>
      </c>
      <c r="EL25" s="82">
        <f t="shared" si="566"/>
        <v>16200500</v>
      </c>
      <c r="EM25" s="82">
        <f t="shared" si="566"/>
        <v>16200500</v>
      </c>
      <c r="EN25" s="82">
        <f t="shared" si="567"/>
        <v>16200500</v>
      </c>
      <c r="EO25" s="82">
        <f t="shared" si="567"/>
        <v>16200500</v>
      </c>
      <c r="EP25" s="82">
        <f t="shared" si="567"/>
        <v>16200500</v>
      </c>
      <c r="EQ25" s="82">
        <f t="shared" si="567"/>
        <v>16200500</v>
      </c>
      <c r="ER25" s="82">
        <f t="shared" si="567"/>
        <v>16200500</v>
      </c>
      <c r="ES25" s="82">
        <f t="shared" si="567"/>
        <v>16200500</v>
      </c>
      <c r="ET25" s="82">
        <f t="shared" si="567"/>
        <v>16200500</v>
      </c>
      <c r="EU25" s="82">
        <f t="shared" si="567"/>
        <v>16200500</v>
      </c>
      <c r="EV25" s="82">
        <f t="shared" si="567"/>
        <v>16200500</v>
      </c>
      <c r="EW25" s="82">
        <f t="shared" si="567"/>
        <v>16200500</v>
      </c>
      <c r="EX25" s="82">
        <f t="shared" si="568"/>
        <v>16200500</v>
      </c>
      <c r="EY25" s="82">
        <f t="shared" si="568"/>
        <v>16200500</v>
      </c>
      <c r="EZ25" s="82">
        <f t="shared" si="568"/>
        <v>16200500</v>
      </c>
      <c r="FA25" s="82">
        <f t="shared" si="568"/>
        <v>16200500</v>
      </c>
      <c r="FB25" s="82">
        <f t="shared" si="568"/>
        <v>16200500</v>
      </c>
      <c r="FC25" s="82">
        <f>FA25</f>
        <v>16200500</v>
      </c>
      <c r="FD25" s="126"/>
      <c r="FE25" s="82">
        <f>FC25</f>
        <v>16200500</v>
      </c>
      <c r="FF25" s="82">
        <f>FE25</f>
        <v>16200500</v>
      </c>
      <c r="FG25" s="82">
        <f t="shared" si="623"/>
        <v>16200500</v>
      </c>
      <c r="FH25" s="82">
        <f t="shared" si="623"/>
        <v>16200500</v>
      </c>
      <c r="FI25" s="82">
        <f t="shared" si="623"/>
        <v>16200500</v>
      </c>
      <c r="FJ25" s="82">
        <f t="shared" si="623"/>
        <v>16200500</v>
      </c>
      <c r="FK25" s="82">
        <f t="shared" si="623"/>
        <v>16200500</v>
      </c>
      <c r="FL25" s="82">
        <f t="shared" si="623"/>
        <v>16200500</v>
      </c>
      <c r="FM25" s="82">
        <f t="shared" si="623"/>
        <v>16200500</v>
      </c>
      <c r="FN25" s="82">
        <f t="shared" si="623"/>
        <v>16200500</v>
      </c>
      <c r="FO25" s="82">
        <f t="shared" si="623"/>
        <v>16200500</v>
      </c>
      <c r="FP25" s="82">
        <f t="shared" si="623"/>
        <v>16200500</v>
      </c>
      <c r="FQ25" s="82">
        <f t="shared" si="624"/>
        <v>16200500</v>
      </c>
      <c r="FR25" s="82">
        <f t="shared" si="624"/>
        <v>16200500</v>
      </c>
      <c r="FS25" s="82">
        <f t="shared" si="624"/>
        <v>16200500</v>
      </c>
      <c r="FT25" s="82">
        <f t="shared" si="624"/>
        <v>16200500</v>
      </c>
      <c r="FU25" s="82">
        <f t="shared" si="624"/>
        <v>16200500</v>
      </c>
      <c r="FV25" s="82">
        <f t="shared" si="624"/>
        <v>16200500</v>
      </c>
      <c r="FW25" s="82">
        <f t="shared" si="624"/>
        <v>16200500</v>
      </c>
      <c r="FX25" s="82">
        <f t="shared" si="624"/>
        <v>16200500</v>
      </c>
      <c r="FY25" s="82">
        <f t="shared" si="624"/>
        <v>16200500</v>
      </c>
      <c r="FZ25" s="82">
        <f t="shared" si="624"/>
        <v>16200500</v>
      </c>
      <c r="GA25" s="82">
        <f t="shared" si="625"/>
        <v>16200500</v>
      </c>
      <c r="GB25" s="82">
        <f t="shared" si="625"/>
        <v>16200500</v>
      </c>
      <c r="GC25" s="82">
        <f t="shared" si="625"/>
        <v>16200500</v>
      </c>
      <c r="GD25" s="82">
        <f t="shared" si="625"/>
        <v>16200500</v>
      </c>
      <c r="GE25" s="82">
        <f t="shared" si="625"/>
        <v>16200500</v>
      </c>
      <c r="GF25" s="82">
        <f t="shared" si="625"/>
        <v>16200500</v>
      </c>
      <c r="GG25" s="82">
        <f t="shared" si="625"/>
        <v>16200500</v>
      </c>
      <c r="GH25" s="82">
        <f t="shared" si="625"/>
        <v>16200500</v>
      </c>
      <c r="GI25" s="82">
        <f t="shared" si="625"/>
        <v>16200500</v>
      </c>
      <c r="GJ25" s="130"/>
      <c r="GK25" s="82">
        <f>GI25</f>
        <v>16200500</v>
      </c>
      <c r="GL25" s="82">
        <f t="shared" si="428"/>
        <v>16200500</v>
      </c>
      <c r="GM25" s="82">
        <f t="shared" si="626"/>
        <v>16200500</v>
      </c>
      <c r="GN25" s="82">
        <f t="shared" si="626"/>
        <v>16200500</v>
      </c>
      <c r="GO25" s="82">
        <f t="shared" si="626"/>
        <v>16200500</v>
      </c>
      <c r="GP25" s="82">
        <f t="shared" si="626"/>
        <v>16200500</v>
      </c>
      <c r="GQ25" s="82">
        <f t="shared" si="626"/>
        <v>16200500</v>
      </c>
      <c r="GR25" s="82">
        <f t="shared" si="626"/>
        <v>16200500</v>
      </c>
      <c r="GS25" s="82">
        <f t="shared" si="626"/>
        <v>16200500</v>
      </c>
      <c r="GT25" s="82">
        <f t="shared" si="626"/>
        <v>16200500</v>
      </c>
      <c r="GU25" s="82">
        <f t="shared" si="626"/>
        <v>16200500</v>
      </c>
      <c r="GV25" s="82">
        <f t="shared" si="626"/>
        <v>16200500</v>
      </c>
      <c r="GW25" s="82">
        <f t="shared" si="627"/>
        <v>16200500</v>
      </c>
      <c r="GX25" s="82">
        <f t="shared" si="627"/>
        <v>16200500</v>
      </c>
      <c r="GY25" s="82">
        <f t="shared" si="627"/>
        <v>16200500</v>
      </c>
      <c r="GZ25" s="82">
        <f t="shared" si="627"/>
        <v>16200500</v>
      </c>
      <c r="HA25" s="82">
        <f t="shared" si="627"/>
        <v>16200500</v>
      </c>
      <c r="HB25" s="82">
        <f t="shared" si="627"/>
        <v>16200500</v>
      </c>
      <c r="HC25" s="82">
        <f t="shared" si="627"/>
        <v>16200500</v>
      </c>
      <c r="HD25" s="82">
        <f t="shared" si="627"/>
        <v>16200500</v>
      </c>
      <c r="HE25" s="82">
        <f t="shared" si="627"/>
        <v>16200500</v>
      </c>
      <c r="HF25" s="82">
        <f t="shared" si="627"/>
        <v>16200500</v>
      </c>
      <c r="HG25" s="82">
        <f t="shared" si="628"/>
        <v>16200500</v>
      </c>
      <c r="HH25" s="82">
        <f t="shared" si="628"/>
        <v>16200500</v>
      </c>
      <c r="HI25" s="82">
        <f t="shared" si="628"/>
        <v>16200500</v>
      </c>
      <c r="HJ25" s="82">
        <f t="shared" si="628"/>
        <v>16200500</v>
      </c>
      <c r="HK25" s="82">
        <f t="shared" si="628"/>
        <v>16200500</v>
      </c>
      <c r="HL25" s="82">
        <f t="shared" si="628"/>
        <v>16200500</v>
      </c>
      <c r="HM25" s="82">
        <f t="shared" si="628"/>
        <v>16200500</v>
      </c>
      <c r="HN25" s="130"/>
      <c r="HO25" s="82">
        <f>HM25</f>
        <v>16200500</v>
      </c>
      <c r="HP25" s="82">
        <f t="shared" si="433"/>
        <v>16200500</v>
      </c>
      <c r="HQ25" s="82">
        <f t="shared" si="629"/>
        <v>16200500</v>
      </c>
      <c r="HR25" s="82">
        <f t="shared" si="629"/>
        <v>16200500</v>
      </c>
      <c r="HS25" s="82">
        <f t="shared" si="629"/>
        <v>16200500</v>
      </c>
      <c r="HT25" s="82">
        <f t="shared" si="629"/>
        <v>16200500</v>
      </c>
      <c r="HU25" s="82">
        <f t="shared" si="629"/>
        <v>16200500</v>
      </c>
      <c r="HV25" s="82">
        <f t="shared" si="629"/>
        <v>16200500</v>
      </c>
      <c r="HW25" s="82">
        <f t="shared" si="629"/>
        <v>16200500</v>
      </c>
      <c r="HX25" s="82">
        <f t="shared" si="629"/>
        <v>16200500</v>
      </c>
      <c r="HY25" s="82">
        <f t="shared" si="629"/>
        <v>16200500</v>
      </c>
      <c r="HZ25" s="82">
        <f t="shared" si="629"/>
        <v>16200500</v>
      </c>
      <c r="IA25" s="82">
        <f t="shared" si="630"/>
        <v>16200500</v>
      </c>
      <c r="IB25" s="82">
        <f t="shared" si="630"/>
        <v>16200500</v>
      </c>
      <c r="IC25" s="82">
        <f t="shared" si="630"/>
        <v>16200500</v>
      </c>
      <c r="ID25" s="82">
        <f t="shared" si="630"/>
        <v>16200500</v>
      </c>
      <c r="IE25" s="82">
        <f t="shared" si="630"/>
        <v>16200500</v>
      </c>
      <c r="IF25" s="82">
        <f t="shared" si="630"/>
        <v>16200500</v>
      </c>
      <c r="IG25" s="82">
        <f t="shared" si="630"/>
        <v>16200500</v>
      </c>
      <c r="IH25" s="82">
        <f t="shared" si="630"/>
        <v>16200500</v>
      </c>
      <c r="II25" s="82">
        <f t="shared" si="630"/>
        <v>16200500</v>
      </c>
      <c r="IJ25" s="82">
        <f t="shared" si="630"/>
        <v>16200500</v>
      </c>
      <c r="IK25" s="82">
        <f t="shared" si="631"/>
        <v>16200500</v>
      </c>
      <c r="IL25" s="82">
        <f t="shared" si="631"/>
        <v>16200500</v>
      </c>
      <c r="IM25" s="82">
        <f t="shared" si="631"/>
        <v>16200500</v>
      </c>
      <c r="IN25" s="82">
        <f t="shared" si="631"/>
        <v>16200500</v>
      </c>
      <c r="IO25" s="82">
        <f t="shared" si="631"/>
        <v>16200500</v>
      </c>
      <c r="IP25" s="82">
        <f t="shared" si="631"/>
        <v>16200500</v>
      </c>
      <c r="IQ25" s="82">
        <f t="shared" si="631"/>
        <v>16200500</v>
      </c>
      <c r="IR25" s="82">
        <f t="shared" si="631"/>
        <v>16200500</v>
      </c>
      <c r="IS25" s="82">
        <f t="shared" si="631"/>
        <v>16200500</v>
      </c>
      <c r="IT25" s="130"/>
      <c r="IU25" s="82">
        <f>IS25</f>
        <v>16200500</v>
      </c>
      <c r="IV25" s="82">
        <f t="shared" si="160"/>
        <v>16200500</v>
      </c>
      <c r="IW25" s="82">
        <f t="shared" ref="IW25:JI25" si="648">IV25</f>
        <v>16200500</v>
      </c>
      <c r="IX25" s="82">
        <f t="shared" si="648"/>
        <v>16200500</v>
      </c>
      <c r="IY25" s="82">
        <f t="shared" si="648"/>
        <v>16200500</v>
      </c>
      <c r="IZ25" s="82">
        <f t="shared" si="648"/>
        <v>16200500</v>
      </c>
      <c r="JA25" s="82">
        <f t="shared" si="648"/>
        <v>16200500</v>
      </c>
      <c r="JB25" s="82">
        <f t="shared" si="648"/>
        <v>16200500</v>
      </c>
      <c r="JC25" s="82">
        <f t="shared" si="648"/>
        <v>16200500</v>
      </c>
      <c r="JD25" s="82">
        <f t="shared" si="648"/>
        <v>16200500</v>
      </c>
      <c r="JE25" s="82">
        <f t="shared" si="648"/>
        <v>16200500</v>
      </c>
      <c r="JF25" s="82">
        <f t="shared" si="648"/>
        <v>16200500</v>
      </c>
      <c r="JG25" s="82">
        <f t="shared" si="648"/>
        <v>16200500</v>
      </c>
      <c r="JH25" s="82">
        <f t="shared" si="648"/>
        <v>16200500</v>
      </c>
      <c r="JI25" s="82">
        <f t="shared" si="648"/>
        <v>16200500</v>
      </c>
      <c r="JJ25" s="82">
        <f t="shared" si="497"/>
        <v>16200500</v>
      </c>
      <c r="JK25" s="82">
        <f t="shared" ref="JK25:JX25" si="649">JJ25</f>
        <v>16200500</v>
      </c>
      <c r="JL25" s="82">
        <f t="shared" si="649"/>
        <v>16200500</v>
      </c>
      <c r="JM25" s="82">
        <f t="shared" si="649"/>
        <v>16200500</v>
      </c>
      <c r="JN25" s="82">
        <f t="shared" si="649"/>
        <v>16200500</v>
      </c>
      <c r="JO25" s="82">
        <f t="shared" si="649"/>
        <v>16200500</v>
      </c>
      <c r="JP25" s="82">
        <f t="shared" si="649"/>
        <v>16200500</v>
      </c>
      <c r="JQ25" s="82">
        <f t="shared" si="649"/>
        <v>16200500</v>
      </c>
      <c r="JR25" s="82">
        <f t="shared" si="649"/>
        <v>16200500</v>
      </c>
      <c r="JS25" s="82">
        <f t="shared" si="649"/>
        <v>16200500</v>
      </c>
      <c r="JT25" s="82">
        <f t="shared" si="649"/>
        <v>16200500</v>
      </c>
      <c r="JU25" s="82">
        <f t="shared" si="649"/>
        <v>16200500</v>
      </c>
      <c r="JV25" s="82">
        <f t="shared" si="649"/>
        <v>16200500</v>
      </c>
      <c r="JW25" s="82">
        <f t="shared" si="649"/>
        <v>16200500</v>
      </c>
      <c r="JX25" s="82">
        <f t="shared" si="649"/>
        <v>16200500</v>
      </c>
      <c r="JY25" s="133"/>
      <c r="JZ25" s="82">
        <f>JX25</f>
        <v>16200500</v>
      </c>
      <c r="KA25" s="82">
        <f t="shared" si="438"/>
        <v>16200500</v>
      </c>
      <c r="KB25" s="82">
        <f t="shared" si="634"/>
        <v>16200500</v>
      </c>
      <c r="KC25" s="82">
        <f t="shared" si="634"/>
        <v>16200500</v>
      </c>
      <c r="KD25" s="82">
        <f t="shared" si="634"/>
        <v>16200500</v>
      </c>
      <c r="KE25" s="82">
        <f t="shared" si="634"/>
        <v>16200500</v>
      </c>
      <c r="KF25" s="82">
        <f t="shared" si="634"/>
        <v>16200500</v>
      </c>
      <c r="KG25" s="82">
        <f t="shared" si="634"/>
        <v>16200500</v>
      </c>
      <c r="KH25" s="82">
        <f t="shared" si="634"/>
        <v>16200500</v>
      </c>
      <c r="KI25" s="82">
        <f t="shared" si="634"/>
        <v>16200500</v>
      </c>
      <c r="KJ25" s="82">
        <f t="shared" si="634"/>
        <v>16200500</v>
      </c>
      <c r="KK25" s="82">
        <f t="shared" si="634"/>
        <v>16200500</v>
      </c>
      <c r="KL25" s="82">
        <f t="shared" si="635"/>
        <v>16200500</v>
      </c>
      <c r="KM25" s="82">
        <f t="shared" si="635"/>
        <v>16200500</v>
      </c>
      <c r="KN25" s="82">
        <f t="shared" si="635"/>
        <v>16200500</v>
      </c>
      <c r="KO25" s="82">
        <f t="shared" si="635"/>
        <v>16200500</v>
      </c>
      <c r="KP25" s="82">
        <f t="shared" si="635"/>
        <v>16200500</v>
      </c>
      <c r="KQ25" s="82">
        <f t="shared" si="635"/>
        <v>16200500</v>
      </c>
      <c r="KR25" s="82">
        <f t="shared" si="635"/>
        <v>16200500</v>
      </c>
      <c r="KS25" s="82">
        <f t="shared" si="635"/>
        <v>16200500</v>
      </c>
      <c r="KT25" s="82">
        <f t="shared" si="635"/>
        <v>16200500</v>
      </c>
      <c r="KU25" s="82">
        <f t="shared" si="635"/>
        <v>16200500</v>
      </c>
      <c r="KV25" s="82">
        <f t="shared" si="636"/>
        <v>16200500</v>
      </c>
      <c r="KW25" s="82">
        <f t="shared" si="636"/>
        <v>16200500</v>
      </c>
      <c r="KX25" s="82">
        <f t="shared" si="636"/>
        <v>16200500</v>
      </c>
      <c r="KY25" s="82">
        <f t="shared" si="636"/>
        <v>16200500</v>
      </c>
      <c r="KZ25" s="82">
        <f t="shared" si="636"/>
        <v>16200500</v>
      </c>
      <c r="LA25" s="82">
        <f t="shared" si="636"/>
        <v>16200500</v>
      </c>
      <c r="LB25" s="82">
        <f t="shared" si="636"/>
        <v>16200500</v>
      </c>
      <c r="LC25" s="82">
        <f t="shared" si="636"/>
        <v>16200500</v>
      </c>
      <c r="LD25" s="82">
        <f t="shared" si="636"/>
        <v>16200500</v>
      </c>
      <c r="LE25" s="130"/>
      <c r="LF25" s="82">
        <f>LD25</f>
        <v>16200500</v>
      </c>
      <c r="LG25" s="82">
        <f t="shared" ref="LG25:LO25" si="650">LF25</f>
        <v>16200500</v>
      </c>
      <c r="LH25" s="82">
        <f t="shared" si="650"/>
        <v>16200500</v>
      </c>
      <c r="LI25" s="82">
        <f t="shared" si="650"/>
        <v>16200500</v>
      </c>
      <c r="LJ25" s="82">
        <f t="shared" si="650"/>
        <v>16200500</v>
      </c>
      <c r="LK25" s="82">
        <f t="shared" si="650"/>
        <v>16200500</v>
      </c>
      <c r="LL25" s="82">
        <f t="shared" si="650"/>
        <v>16200500</v>
      </c>
      <c r="LM25" s="82">
        <f t="shared" si="650"/>
        <v>16200500</v>
      </c>
      <c r="LN25" s="82">
        <f t="shared" si="650"/>
        <v>16200500</v>
      </c>
      <c r="LO25" s="82">
        <f t="shared" si="650"/>
        <v>16200500</v>
      </c>
      <c r="LP25" s="82">
        <f t="shared" si="500"/>
        <v>16200500</v>
      </c>
      <c r="LQ25" s="82">
        <f>LP25</f>
        <v>16200500</v>
      </c>
      <c r="LR25" s="82">
        <f>LQ25</f>
        <v>16200500</v>
      </c>
      <c r="LS25" s="82">
        <f t="shared" si="213"/>
        <v>16200500</v>
      </c>
      <c r="LT25" s="82">
        <f t="shared" si="213"/>
        <v>16200500</v>
      </c>
      <c r="LU25" s="82">
        <f t="shared" si="213"/>
        <v>16200500</v>
      </c>
      <c r="LV25" s="82">
        <f t="shared" si="213"/>
        <v>16200500</v>
      </c>
      <c r="LW25" s="82">
        <f t="shared" si="213"/>
        <v>16200500</v>
      </c>
      <c r="LX25" s="82">
        <f t="shared" si="279"/>
        <v>16200500</v>
      </c>
      <c r="LY25" s="82">
        <f t="shared" ref="LY25:MI25" si="651">LX25</f>
        <v>16200500</v>
      </c>
      <c r="LZ25" s="82">
        <f t="shared" si="651"/>
        <v>16200500</v>
      </c>
      <c r="MA25" s="82">
        <f t="shared" si="651"/>
        <v>16200500</v>
      </c>
      <c r="MB25" s="82">
        <f t="shared" si="651"/>
        <v>16200500</v>
      </c>
      <c r="MC25" s="82">
        <f t="shared" si="651"/>
        <v>16200500</v>
      </c>
      <c r="MD25" s="82">
        <f t="shared" si="651"/>
        <v>16200500</v>
      </c>
      <c r="ME25" s="82">
        <f t="shared" si="651"/>
        <v>16200500</v>
      </c>
      <c r="MF25" s="82">
        <f t="shared" si="651"/>
        <v>16200500</v>
      </c>
      <c r="MG25" s="82">
        <f t="shared" si="651"/>
        <v>16200500</v>
      </c>
      <c r="MH25" s="82">
        <f t="shared" si="651"/>
        <v>16200500</v>
      </c>
      <c r="MI25" s="82">
        <f t="shared" si="651"/>
        <v>16200500</v>
      </c>
      <c r="MJ25" s="133"/>
      <c r="MK25" s="82">
        <f>MI25</f>
        <v>16200500</v>
      </c>
      <c r="ML25" s="82">
        <f>MK25</f>
        <v>16200500</v>
      </c>
      <c r="MM25" s="82">
        <f t="shared" si="639"/>
        <v>16200500</v>
      </c>
      <c r="MN25" s="82">
        <f t="shared" si="639"/>
        <v>16200500</v>
      </c>
      <c r="MO25" s="82">
        <f t="shared" si="639"/>
        <v>16200500</v>
      </c>
      <c r="MP25" s="82">
        <f t="shared" si="639"/>
        <v>16200500</v>
      </c>
      <c r="MQ25" s="82">
        <f t="shared" si="639"/>
        <v>16200500</v>
      </c>
      <c r="MR25" s="82">
        <f t="shared" si="639"/>
        <v>16200500</v>
      </c>
      <c r="MS25" s="82">
        <f t="shared" si="639"/>
        <v>16200500</v>
      </c>
      <c r="MT25" s="82">
        <f t="shared" si="639"/>
        <v>16200500</v>
      </c>
      <c r="MU25" s="82">
        <f t="shared" si="639"/>
        <v>16200500</v>
      </c>
      <c r="MV25" s="82">
        <f t="shared" si="639"/>
        <v>16200500</v>
      </c>
      <c r="MW25" s="82">
        <f t="shared" si="640"/>
        <v>16200500</v>
      </c>
      <c r="MX25" s="82">
        <f t="shared" si="640"/>
        <v>16200500</v>
      </c>
      <c r="MY25" s="82">
        <f t="shared" si="640"/>
        <v>16200500</v>
      </c>
      <c r="MZ25" s="82">
        <f t="shared" si="640"/>
        <v>16200500</v>
      </c>
      <c r="NA25" s="82">
        <f t="shared" si="640"/>
        <v>16200500</v>
      </c>
      <c r="NB25" s="82">
        <f t="shared" si="640"/>
        <v>16200500</v>
      </c>
      <c r="NC25" s="82">
        <f t="shared" si="640"/>
        <v>16200500</v>
      </c>
      <c r="ND25" s="82">
        <f t="shared" si="640"/>
        <v>16200500</v>
      </c>
      <c r="NE25" s="82">
        <f t="shared" si="640"/>
        <v>16200500</v>
      </c>
      <c r="NF25" s="82">
        <f t="shared" si="640"/>
        <v>16200500</v>
      </c>
      <c r="NG25" s="82">
        <f t="shared" si="641"/>
        <v>16200500</v>
      </c>
      <c r="NH25" s="82">
        <f t="shared" si="641"/>
        <v>16200500</v>
      </c>
      <c r="NI25" s="82">
        <f t="shared" si="641"/>
        <v>16200500</v>
      </c>
      <c r="NJ25" s="82">
        <f t="shared" si="641"/>
        <v>16200500</v>
      </c>
      <c r="NK25" s="82">
        <f t="shared" si="641"/>
        <v>16200500</v>
      </c>
      <c r="NL25" s="82">
        <f t="shared" si="641"/>
        <v>16200500</v>
      </c>
      <c r="NM25" s="82">
        <f t="shared" si="641"/>
        <v>16200500</v>
      </c>
      <c r="NN25" s="82">
        <f t="shared" si="641"/>
        <v>16200500</v>
      </c>
      <c r="NO25" s="82">
        <f t="shared" si="641"/>
        <v>16200500</v>
      </c>
      <c r="NP25" s="133"/>
      <c r="NQ25" s="82">
        <f>NO25</f>
        <v>16200500</v>
      </c>
      <c r="NR25" s="82">
        <f>NQ25</f>
        <v>16200500</v>
      </c>
      <c r="NS25" s="82">
        <f>NQ25</f>
        <v>16200500</v>
      </c>
      <c r="NT25" s="82">
        <f t="shared" si="578"/>
        <v>16200500</v>
      </c>
      <c r="NU25" s="82">
        <f t="shared" si="578"/>
        <v>16200500</v>
      </c>
      <c r="NV25" s="82">
        <f t="shared" si="578"/>
        <v>16200500</v>
      </c>
      <c r="NW25" s="82">
        <f t="shared" si="578"/>
        <v>16200500</v>
      </c>
      <c r="NX25" s="82">
        <f t="shared" si="578"/>
        <v>16200500</v>
      </c>
      <c r="NY25" s="82">
        <f t="shared" si="578"/>
        <v>16200500</v>
      </c>
      <c r="NZ25" s="82">
        <f t="shared" si="578"/>
        <v>16200500</v>
      </c>
      <c r="OA25" s="82">
        <f t="shared" si="578"/>
        <v>16200500</v>
      </c>
      <c r="OB25" s="82">
        <f t="shared" si="578"/>
        <v>16200500</v>
      </c>
      <c r="OC25" s="82">
        <f t="shared" si="578"/>
        <v>16200500</v>
      </c>
      <c r="OD25" s="82">
        <f t="shared" si="579"/>
        <v>16200500</v>
      </c>
      <c r="OE25" s="82">
        <f t="shared" si="579"/>
        <v>16200500</v>
      </c>
      <c r="OF25" s="82">
        <f t="shared" si="579"/>
        <v>16200500</v>
      </c>
      <c r="OG25" s="82">
        <f t="shared" si="579"/>
        <v>16200500</v>
      </c>
      <c r="OH25" s="82">
        <f t="shared" si="579"/>
        <v>16200500</v>
      </c>
      <c r="OI25" s="82">
        <f t="shared" si="579"/>
        <v>16200500</v>
      </c>
      <c r="OJ25" s="82">
        <f t="shared" si="579"/>
        <v>16200500</v>
      </c>
      <c r="OK25" s="82">
        <f t="shared" si="579"/>
        <v>16200500</v>
      </c>
      <c r="OL25" s="82">
        <f t="shared" si="579"/>
        <v>16200500</v>
      </c>
      <c r="OM25" s="82">
        <f t="shared" si="579"/>
        <v>16200500</v>
      </c>
      <c r="ON25" s="82">
        <f t="shared" si="580"/>
        <v>16200500</v>
      </c>
      <c r="OO25" s="82">
        <f t="shared" si="580"/>
        <v>16200500</v>
      </c>
      <c r="OP25" s="82">
        <f t="shared" si="580"/>
        <v>16200500</v>
      </c>
      <c r="OQ25" s="82">
        <f t="shared" si="580"/>
        <v>16200500</v>
      </c>
      <c r="OR25" s="82">
        <f t="shared" si="580"/>
        <v>16200500</v>
      </c>
      <c r="OS25" s="82">
        <f t="shared" si="580"/>
        <v>16200500</v>
      </c>
      <c r="OT25" s="82">
        <f t="shared" si="580"/>
        <v>16200500</v>
      </c>
      <c r="OU25" s="82">
        <f t="shared" si="580"/>
        <v>16200500</v>
      </c>
      <c r="OV25" s="130"/>
      <c r="OW25" s="82">
        <v>0</v>
      </c>
      <c r="OX25" s="82">
        <v>0</v>
      </c>
      <c r="OY25" s="82">
        <v>0</v>
      </c>
      <c r="OZ25" s="82">
        <v>0</v>
      </c>
      <c r="PA25" s="82">
        <v>0</v>
      </c>
      <c r="PB25" s="82">
        <v>0</v>
      </c>
      <c r="PC25" s="82">
        <v>0</v>
      </c>
      <c r="PD25" s="82">
        <v>0</v>
      </c>
      <c r="PE25" s="82">
        <v>0</v>
      </c>
      <c r="PF25" s="82">
        <v>0</v>
      </c>
      <c r="PG25" s="82">
        <v>0</v>
      </c>
      <c r="PH25" s="82">
        <v>0</v>
      </c>
      <c r="PI25" s="82">
        <v>0</v>
      </c>
      <c r="PJ25" s="82">
        <v>0</v>
      </c>
      <c r="PK25" s="82">
        <v>0</v>
      </c>
      <c r="PL25" s="82">
        <v>0</v>
      </c>
      <c r="PM25" s="82">
        <v>0</v>
      </c>
      <c r="PN25" s="82">
        <v>0</v>
      </c>
      <c r="PO25" s="82">
        <v>0</v>
      </c>
      <c r="PP25" s="82">
        <v>0</v>
      </c>
      <c r="PQ25" s="82">
        <v>0</v>
      </c>
      <c r="PR25" s="82">
        <v>0</v>
      </c>
      <c r="PS25" s="82">
        <v>0</v>
      </c>
      <c r="PT25" s="82">
        <v>0</v>
      </c>
      <c r="PU25" s="82">
        <v>0</v>
      </c>
      <c r="PV25" s="82">
        <v>0</v>
      </c>
      <c r="PW25" s="82">
        <v>0</v>
      </c>
      <c r="PX25" s="82">
        <v>0</v>
      </c>
      <c r="PY25" s="82">
        <v>0</v>
      </c>
      <c r="PZ25" s="82">
        <v>0</v>
      </c>
      <c r="QA25" s="130"/>
      <c r="QB25" s="82">
        <v>0</v>
      </c>
      <c r="QC25" s="82">
        <v>0</v>
      </c>
      <c r="QD25" s="82">
        <v>0</v>
      </c>
      <c r="QE25" s="82">
        <v>0</v>
      </c>
      <c r="QF25" s="82">
        <v>0</v>
      </c>
      <c r="QG25" s="82">
        <v>0</v>
      </c>
      <c r="QH25" s="82">
        <v>0</v>
      </c>
      <c r="QI25" s="82">
        <v>0</v>
      </c>
      <c r="QJ25" s="82">
        <v>0</v>
      </c>
      <c r="QK25" s="82">
        <v>0</v>
      </c>
      <c r="QL25" s="82">
        <v>0</v>
      </c>
      <c r="QM25" s="82">
        <v>0</v>
      </c>
      <c r="QN25" s="82">
        <v>0</v>
      </c>
      <c r="QO25" s="82">
        <v>0</v>
      </c>
      <c r="QP25" s="82">
        <v>0</v>
      </c>
      <c r="QQ25" s="82">
        <v>0</v>
      </c>
      <c r="QR25" s="82">
        <v>0</v>
      </c>
      <c r="QS25" s="82">
        <v>0</v>
      </c>
      <c r="QT25" s="82">
        <v>0</v>
      </c>
      <c r="QU25" s="82">
        <v>0</v>
      </c>
      <c r="QV25" s="82">
        <v>0</v>
      </c>
      <c r="QW25" s="82">
        <v>0</v>
      </c>
      <c r="QX25" s="82">
        <v>0</v>
      </c>
      <c r="QY25" s="82">
        <v>0</v>
      </c>
      <c r="QZ25" s="82">
        <v>0</v>
      </c>
      <c r="RA25" s="82">
        <v>0</v>
      </c>
      <c r="RB25" s="82">
        <v>0</v>
      </c>
      <c r="RC25" s="82">
        <v>0</v>
      </c>
      <c r="RD25" s="82">
        <v>0</v>
      </c>
      <c r="RE25" s="82">
        <v>0</v>
      </c>
      <c r="RF25" s="82">
        <v>0</v>
      </c>
      <c r="RG25" s="130"/>
      <c r="RH25" s="82">
        <v>0</v>
      </c>
      <c r="RI25" s="82">
        <v>0</v>
      </c>
      <c r="RJ25" s="82">
        <v>0</v>
      </c>
      <c r="RK25" s="82">
        <v>0</v>
      </c>
      <c r="RL25" s="82">
        <v>0</v>
      </c>
      <c r="RM25" s="82">
        <v>0</v>
      </c>
      <c r="RN25" s="82">
        <v>0</v>
      </c>
      <c r="RO25" s="82">
        <v>0</v>
      </c>
      <c r="RP25" s="82">
        <v>0</v>
      </c>
      <c r="RQ25" s="82">
        <v>0</v>
      </c>
      <c r="RR25" s="82">
        <v>0</v>
      </c>
      <c r="RS25" s="82">
        <v>0</v>
      </c>
      <c r="RT25" s="82">
        <v>0</v>
      </c>
      <c r="RU25" s="82">
        <v>0</v>
      </c>
      <c r="RV25" s="82">
        <v>0</v>
      </c>
      <c r="RW25" s="82">
        <v>0</v>
      </c>
      <c r="RX25" s="82">
        <v>0</v>
      </c>
      <c r="RY25" s="82">
        <v>0</v>
      </c>
      <c r="RZ25" s="82">
        <v>0</v>
      </c>
      <c r="SA25" s="82">
        <v>0</v>
      </c>
      <c r="SB25" s="82">
        <v>0</v>
      </c>
      <c r="SC25" s="82">
        <v>0</v>
      </c>
      <c r="SD25" s="82">
        <v>0</v>
      </c>
      <c r="SE25" s="82">
        <v>0</v>
      </c>
      <c r="SF25" s="82">
        <v>0</v>
      </c>
      <c r="SG25" s="82">
        <v>0</v>
      </c>
      <c r="SH25" s="82">
        <v>0</v>
      </c>
      <c r="SI25" s="82">
        <v>0</v>
      </c>
      <c r="SJ25" s="82">
        <v>0</v>
      </c>
      <c r="SK25" s="82">
        <v>0</v>
      </c>
      <c r="SL25" s="130"/>
      <c r="SM25" s="82">
        <v>0</v>
      </c>
      <c r="SN25" s="82">
        <v>0</v>
      </c>
      <c r="SO25" s="82">
        <v>0</v>
      </c>
      <c r="SP25" s="82">
        <v>0</v>
      </c>
      <c r="SQ25" s="82">
        <v>0</v>
      </c>
      <c r="SR25" s="82">
        <v>0</v>
      </c>
      <c r="SS25" s="82">
        <v>0</v>
      </c>
      <c r="ST25" s="82">
        <v>0</v>
      </c>
      <c r="SU25" s="82">
        <v>0</v>
      </c>
      <c r="SV25" s="82">
        <v>0</v>
      </c>
      <c r="SW25" s="82">
        <v>0</v>
      </c>
      <c r="SX25" s="82">
        <v>0</v>
      </c>
      <c r="SY25" s="82">
        <v>0</v>
      </c>
      <c r="SZ25" s="82">
        <v>0</v>
      </c>
      <c r="TA25" s="82">
        <v>0</v>
      </c>
      <c r="TB25" s="82">
        <v>0</v>
      </c>
      <c r="TC25" s="82">
        <v>0</v>
      </c>
      <c r="TD25" s="82">
        <v>0</v>
      </c>
      <c r="TE25" s="82">
        <v>0</v>
      </c>
      <c r="TF25" s="82">
        <v>0</v>
      </c>
      <c r="TG25" s="82">
        <v>0</v>
      </c>
      <c r="TH25" s="82">
        <v>0</v>
      </c>
      <c r="TI25" s="82">
        <v>0</v>
      </c>
      <c r="TJ25" s="82">
        <v>0</v>
      </c>
      <c r="TK25" s="82">
        <v>0</v>
      </c>
      <c r="TL25" s="82">
        <v>0</v>
      </c>
      <c r="TM25" s="82">
        <v>0</v>
      </c>
      <c r="TN25" s="82">
        <v>0</v>
      </c>
      <c r="TO25" s="82">
        <v>0</v>
      </c>
      <c r="TP25" s="82">
        <v>0</v>
      </c>
      <c r="TQ25" s="82">
        <v>0</v>
      </c>
      <c r="TR25" s="130"/>
      <c r="TS25" s="82">
        <v>0</v>
      </c>
      <c r="TT25" s="82">
        <v>0</v>
      </c>
      <c r="TU25" s="82">
        <v>0</v>
      </c>
      <c r="TV25" s="82">
        <v>0</v>
      </c>
      <c r="TW25" s="82">
        <v>0</v>
      </c>
      <c r="TX25" s="82">
        <v>0</v>
      </c>
      <c r="TY25" s="82">
        <v>0</v>
      </c>
      <c r="TZ25" s="82">
        <v>0</v>
      </c>
      <c r="UA25" s="82">
        <v>0</v>
      </c>
      <c r="UB25" s="82">
        <v>0</v>
      </c>
      <c r="UC25" s="82">
        <v>0</v>
      </c>
      <c r="UD25" s="82">
        <v>0</v>
      </c>
      <c r="UE25" s="82">
        <v>0</v>
      </c>
      <c r="UF25" s="82">
        <v>0</v>
      </c>
      <c r="UG25" s="82">
        <v>0</v>
      </c>
      <c r="UH25" s="82">
        <v>0</v>
      </c>
      <c r="UI25" s="82">
        <v>0</v>
      </c>
      <c r="UJ25" s="82">
        <v>0</v>
      </c>
      <c r="UK25" s="82">
        <v>0</v>
      </c>
      <c r="UL25" s="82">
        <v>0</v>
      </c>
      <c r="UM25" s="82">
        <v>0</v>
      </c>
      <c r="UN25" s="82">
        <v>0</v>
      </c>
      <c r="UO25" s="82">
        <v>0</v>
      </c>
      <c r="UP25" s="82">
        <v>0</v>
      </c>
      <c r="UQ25" s="82">
        <v>0</v>
      </c>
      <c r="UR25" s="82">
        <v>0</v>
      </c>
      <c r="US25" s="82">
        <v>0</v>
      </c>
      <c r="UT25" s="82">
        <v>0</v>
      </c>
      <c r="UU25" s="82">
        <v>0</v>
      </c>
      <c r="UV25" s="82">
        <v>0</v>
      </c>
      <c r="UW25" s="82">
        <v>0</v>
      </c>
      <c r="UX25" s="130"/>
      <c r="UY25" s="82">
        <v>0</v>
      </c>
      <c r="UZ25" s="82">
        <v>0</v>
      </c>
      <c r="VA25" s="82">
        <v>0</v>
      </c>
      <c r="VB25" s="82">
        <v>0</v>
      </c>
      <c r="VC25" s="82">
        <v>0</v>
      </c>
      <c r="VD25" s="82">
        <v>0</v>
      </c>
      <c r="VE25" s="82">
        <v>0</v>
      </c>
      <c r="VF25" s="82">
        <v>0</v>
      </c>
      <c r="VG25" s="82">
        <v>0</v>
      </c>
      <c r="VH25" s="82">
        <v>0</v>
      </c>
      <c r="VI25" s="82">
        <v>0</v>
      </c>
      <c r="VJ25" s="82">
        <v>0</v>
      </c>
      <c r="VK25" s="82">
        <v>0</v>
      </c>
      <c r="VL25" s="82">
        <v>0</v>
      </c>
      <c r="VM25" s="82">
        <v>0</v>
      </c>
      <c r="VN25" s="82">
        <v>0</v>
      </c>
      <c r="VO25" s="82">
        <v>0</v>
      </c>
      <c r="VP25" s="82">
        <v>0</v>
      </c>
      <c r="VQ25" s="82">
        <v>0</v>
      </c>
      <c r="VR25" s="82">
        <v>0</v>
      </c>
      <c r="VS25" s="82">
        <v>0</v>
      </c>
      <c r="VT25" s="82">
        <v>0</v>
      </c>
      <c r="VU25" s="82">
        <v>0</v>
      </c>
      <c r="VV25" s="82">
        <v>0</v>
      </c>
      <c r="VW25" s="82">
        <v>0</v>
      </c>
      <c r="VX25" s="82">
        <v>0</v>
      </c>
      <c r="VY25" s="82">
        <v>0</v>
      </c>
      <c r="VZ25" s="82">
        <v>0</v>
      </c>
      <c r="WA25" s="133"/>
      <c r="WB25" s="82">
        <v>0</v>
      </c>
      <c r="WC25" s="82">
        <v>0</v>
      </c>
      <c r="WD25" s="82">
        <v>0</v>
      </c>
      <c r="WE25" s="82">
        <v>0</v>
      </c>
      <c r="WF25" s="82">
        <v>0</v>
      </c>
      <c r="WG25" s="82">
        <v>0</v>
      </c>
      <c r="WH25" s="82">
        <v>0</v>
      </c>
      <c r="WI25" s="82">
        <v>0</v>
      </c>
      <c r="WJ25" s="82">
        <v>0</v>
      </c>
      <c r="WK25" s="82">
        <v>0</v>
      </c>
      <c r="WL25" s="82">
        <v>0</v>
      </c>
      <c r="WM25" s="82">
        <v>0</v>
      </c>
      <c r="WN25" s="82">
        <v>0</v>
      </c>
      <c r="WO25" s="82">
        <v>0</v>
      </c>
      <c r="WP25" s="82">
        <v>0</v>
      </c>
      <c r="WQ25" s="82">
        <v>0</v>
      </c>
      <c r="WR25" s="82">
        <v>0</v>
      </c>
      <c r="WS25" s="82">
        <v>0</v>
      </c>
      <c r="WT25" s="82">
        <v>0</v>
      </c>
      <c r="WU25" s="82">
        <v>0</v>
      </c>
      <c r="WV25" s="82">
        <v>0</v>
      </c>
      <c r="WW25" s="82">
        <v>0</v>
      </c>
      <c r="WX25" s="82">
        <v>0</v>
      </c>
      <c r="WY25" s="82">
        <v>0</v>
      </c>
      <c r="WZ25" s="82">
        <v>0</v>
      </c>
      <c r="XA25" s="82">
        <v>0</v>
      </c>
      <c r="XB25" s="82">
        <v>0</v>
      </c>
      <c r="XC25" s="82">
        <v>0</v>
      </c>
      <c r="XD25" s="82">
        <v>0</v>
      </c>
      <c r="XE25" s="82">
        <v>0</v>
      </c>
      <c r="XF25" s="82">
        <v>0</v>
      </c>
      <c r="XG25" s="133"/>
      <c r="XH25" s="82">
        <v>0</v>
      </c>
      <c r="XI25" s="82">
        <v>0</v>
      </c>
      <c r="XJ25" s="82">
        <v>0</v>
      </c>
      <c r="XK25" s="82">
        <v>0</v>
      </c>
      <c r="XL25" s="82">
        <v>0</v>
      </c>
      <c r="XM25" s="82">
        <v>0</v>
      </c>
      <c r="XN25" s="82">
        <v>0</v>
      </c>
      <c r="XO25" s="82">
        <v>0</v>
      </c>
      <c r="XP25" s="82">
        <v>0</v>
      </c>
      <c r="XQ25" s="82">
        <v>0</v>
      </c>
      <c r="XR25" s="82">
        <v>0</v>
      </c>
      <c r="XS25" s="82">
        <v>0</v>
      </c>
      <c r="XT25" s="82">
        <v>0</v>
      </c>
      <c r="XU25" s="82">
        <v>0</v>
      </c>
      <c r="XV25" s="82">
        <v>0</v>
      </c>
      <c r="XW25" s="82">
        <v>0</v>
      </c>
      <c r="XX25" s="82">
        <v>0</v>
      </c>
      <c r="XY25" s="82">
        <v>0</v>
      </c>
      <c r="XZ25" s="82">
        <v>0</v>
      </c>
      <c r="YA25" s="82">
        <v>0</v>
      </c>
      <c r="YB25" s="82">
        <v>0</v>
      </c>
      <c r="YC25" s="82">
        <v>0</v>
      </c>
      <c r="YD25" s="82">
        <v>0</v>
      </c>
      <c r="YE25" s="82">
        <v>0</v>
      </c>
      <c r="YF25" s="82">
        <v>0</v>
      </c>
      <c r="YG25" s="82">
        <v>0</v>
      </c>
      <c r="YH25" s="82">
        <v>0</v>
      </c>
      <c r="YI25" s="82">
        <v>0</v>
      </c>
      <c r="YJ25" s="82">
        <v>0</v>
      </c>
      <c r="YK25" s="82">
        <v>0</v>
      </c>
      <c r="YL25" s="130"/>
      <c r="YM25" s="82">
        <v>0</v>
      </c>
      <c r="YN25" s="82">
        <v>0</v>
      </c>
      <c r="YO25" s="82">
        <v>0</v>
      </c>
      <c r="YP25" s="82">
        <v>0</v>
      </c>
      <c r="YQ25" s="82">
        <v>0</v>
      </c>
      <c r="YR25" s="82">
        <v>0</v>
      </c>
      <c r="YS25" s="82">
        <v>0</v>
      </c>
      <c r="YT25" s="82">
        <v>0</v>
      </c>
      <c r="YU25" s="82">
        <v>0</v>
      </c>
      <c r="YV25" s="82">
        <v>0</v>
      </c>
      <c r="YW25" s="82">
        <v>0</v>
      </c>
      <c r="YX25" s="82">
        <v>0</v>
      </c>
      <c r="YY25" s="82">
        <v>0</v>
      </c>
      <c r="YZ25" s="82">
        <v>0</v>
      </c>
      <c r="ZA25" s="82">
        <v>0</v>
      </c>
      <c r="ZB25" s="82">
        <v>0</v>
      </c>
      <c r="ZC25" s="82">
        <v>0</v>
      </c>
      <c r="ZD25" s="82">
        <v>0</v>
      </c>
      <c r="ZE25" s="82">
        <v>0</v>
      </c>
      <c r="ZF25" s="82">
        <v>0</v>
      </c>
      <c r="ZG25" s="82">
        <v>0</v>
      </c>
      <c r="ZH25" s="82">
        <v>0</v>
      </c>
      <c r="ZI25" s="82">
        <v>0</v>
      </c>
      <c r="ZJ25" s="82">
        <v>0</v>
      </c>
      <c r="ZK25" s="82">
        <v>0</v>
      </c>
      <c r="ZL25" s="82">
        <v>0</v>
      </c>
      <c r="ZM25" s="82">
        <v>0</v>
      </c>
      <c r="ZN25" s="82">
        <v>0</v>
      </c>
      <c r="ZO25" s="82">
        <v>0</v>
      </c>
      <c r="ZP25" s="82">
        <v>0</v>
      </c>
      <c r="ZQ25" s="82">
        <v>0</v>
      </c>
      <c r="ZR25" s="130"/>
      <c r="ZS25" s="82">
        <v>0</v>
      </c>
      <c r="ZT25" s="82">
        <v>0</v>
      </c>
      <c r="ZU25" s="82">
        <v>0</v>
      </c>
      <c r="ZV25" s="82">
        <v>0</v>
      </c>
      <c r="ZW25" s="82">
        <v>0</v>
      </c>
      <c r="ZX25" s="82">
        <v>0</v>
      </c>
      <c r="ZY25" s="82">
        <v>0</v>
      </c>
      <c r="ZZ25" s="82">
        <v>0</v>
      </c>
      <c r="AAA25" s="82">
        <v>0</v>
      </c>
      <c r="AAB25" s="82">
        <v>0</v>
      </c>
      <c r="AAC25" s="82">
        <v>0</v>
      </c>
      <c r="AAD25" s="82">
        <v>0</v>
      </c>
      <c r="AAE25" s="82">
        <v>0</v>
      </c>
      <c r="AAF25" s="82">
        <v>0</v>
      </c>
      <c r="AAG25" s="82">
        <v>0</v>
      </c>
      <c r="AAH25" s="82">
        <v>0</v>
      </c>
      <c r="AAI25" s="82">
        <v>0</v>
      </c>
      <c r="AAJ25" s="82">
        <v>0</v>
      </c>
      <c r="AAK25" s="82">
        <v>0</v>
      </c>
      <c r="AAL25" s="82">
        <v>0</v>
      </c>
      <c r="AAM25" s="82">
        <v>0</v>
      </c>
      <c r="AAN25" s="82">
        <v>0</v>
      </c>
      <c r="AAO25" s="82">
        <v>0</v>
      </c>
      <c r="AAP25" s="82">
        <v>0</v>
      </c>
      <c r="AAQ25" s="82">
        <v>0</v>
      </c>
      <c r="AAR25" s="82">
        <v>0</v>
      </c>
      <c r="AAS25" s="82">
        <v>0</v>
      </c>
      <c r="AAT25" s="82">
        <v>0</v>
      </c>
      <c r="AAU25" s="82">
        <v>0</v>
      </c>
      <c r="AAV25" s="82">
        <v>0</v>
      </c>
      <c r="AAW25" s="130"/>
      <c r="AAX25" s="82">
        <v>0</v>
      </c>
      <c r="AAY25" s="82">
        <v>0</v>
      </c>
      <c r="AAZ25" s="82">
        <v>0</v>
      </c>
      <c r="ABA25" s="82">
        <v>0</v>
      </c>
      <c r="ABB25" s="82">
        <v>0</v>
      </c>
      <c r="ABC25" s="82">
        <v>0</v>
      </c>
      <c r="ABD25" s="82">
        <v>0</v>
      </c>
      <c r="ABE25" s="82">
        <v>0</v>
      </c>
      <c r="ABF25" s="82">
        <v>0</v>
      </c>
      <c r="ABG25" s="82">
        <v>0</v>
      </c>
      <c r="ABH25" s="82">
        <v>0</v>
      </c>
      <c r="ABI25" s="82">
        <v>0</v>
      </c>
      <c r="ABJ25" s="82">
        <v>0</v>
      </c>
      <c r="ABK25" s="82">
        <v>0</v>
      </c>
      <c r="ABL25" s="82">
        <v>0</v>
      </c>
      <c r="ABM25" s="82">
        <v>0</v>
      </c>
      <c r="ABN25" s="82">
        <v>0</v>
      </c>
      <c r="ABO25" s="82">
        <v>0</v>
      </c>
      <c r="ABP25" s="82">
        <v>0</v>
      </c>
      <c r="ABQ25" s="82">
        <v>0</v>
      </c>
      <c r="ABR25" s="82">
        <v>0</v>
      </c>
      <c r="ABS25" s="82">
        <v>0</v>
      </c>
      <c r="ABT25" s="82">
        <v>0</v>
      </c>
      <c r="ABU25" s="82">
        <v>0</v>
      </c>
      <c r="ABV25" s="82">
        <v>0</v>
      </c>
      <c r="ABW25" s="82">
        <v>0</v>
      </c>
      <c r="ABX25" s="82">
        <v>0</v>
      </c>
      <c r="ABY25" s="82">
        <v>0</v>
      </c>
      <c r="ABZ25" s="82">
        <v>0</v>
      </c>
      <c r="ACA25" s="82">
        <v>0</v>
      </c>
      <c r="ACB25" s="82">
        <v>0</v>
      </c>
      <c r="ACC25" s="130"/>
      <c r="ACD25" s="82">
        <v>0</v>
      </c>
      <c r="ACE25" s="82">
        <v>0</v>
      </c>
      <c r="ACF25" s="82">
        <v>0</v>
      </c>
      <c r="ACG25" s="82">
        <v>0</v>
      </c>
      <c r="ACH25" s="82">
        <v>0</v>
      </c>
      <c r="ACI25" s="82">
        <v>0</v>
      </c>
      <c r="ACJ25" s="82">
        <v>0</v>
      </c>
      <c r="ACK25" s="82">
        <v>0</v>
      </c>
      <c r="ACL25" s="82">
        <v>0</v>
      </c>
      <c r="ACM25" s="82">
        <v>0</v>
      </c>
      <c r="ACN25" s="82">
        <v>0</v>
      </c>
      <c r="ACO25" s="82">
        <v>0</v>
      </c>
      <c r="ACP25" s="82">
        <v>0</v>
      </c>
      <c r="ACQ25" s="82">
        <v>0</v>
      </c>
      <c r="ACR25" s="82">
        <v>0</v>
      </c>
      <c r="ACS25" s="82">
        <v>0</v>
      </c>
      <c r="ACT25" s="82">
        <v>0</v>
      </c>
      <c r="ACU25" s="82">
        <v>0</v>
      </c>
      <c r="ACV25" s="82">
        <v>0</v>
      </c>
      <c r="ACW25" s="82">
        <v>0</v>
      </c>
      <c r="ACX25" s="82">
        <v>0</v>
      </c>
      <c r="ACY25" s="82">
        <v>0</v>
      </c>
      <c r="ACZ25" s="82">
        <v>0</v>
      </c>
      <c r="ADA25" s="82">
        <v>0</v>
      </c>
      <c r="ADB25" s="82">
        <v>0</v>
      </c>
      <c r="ADC25" s="82">
        <v>0</v>
      </c>
      <c r="ADD25" s="82">
        <v>0</v>
      </c>
      <c r="ADE25" s="82">
        <v>0</v>
      </c>
      <c r="ADF25" s="82">
        <v>0</v>
      </c>
      <c r="ADG25" s="82">
        <v>0</v>
      </c>
      <c r="ADH25" s="82">
        <v>0</v>
      </c>
      <c r="ADI25" s="130"/>
      <c r="ADJ25" s="82">
        <v>0</v>
      </c>
      <c r="ADK25" s="82">
        <v>0</v>
      </c>
      <c r="ADL25" s="82">
        <v>0</v>
      </c>
      <c r="ADM25" s="82">
        <v>0</v>
      </c>
      <c r="ADN25" s="82">
        <v>0</v>
      </c>
      <c r="ADO25" s="82">
        <v>0</v>
      </c>
      <c r="ADP25" s="82">
        <v>0</v>
      </c>
      <c r="ADQ25" s="82">
        <v>0</v>
      </c>
      <c r="ADR25" s="82">
        <v>0</v>
      </c>
      <c r="ADS25" s="82">
        <v>0</v>
      </c>
      <c r="ADT25" s="82">
        <v>0</v>
      </c>
      <c r="ADU25" s="82">
        <v>0</v>
      </c>
      <c r="ADV25" s="82">
        <v>0</v>
      </c>
      <c r="ADW25" s="82">
        <v>0</v>
      </c>
      <c r="ADX25" s="82">
        <v>0</v>
      </c>
      <c r="ADY25" s="82">
        <v>0</v>
      </c>
      <c r="ADZ25" s="82">
        <v>0</v>
      </c>
      <c r="AEA25" s="82">
        <v>0</v>
      </c>
      <c r="AEB25" s="82">
        <v>0</v>
      </c>
      <c r="AEC25" s="82">
        <v>0</v>
      </c>
      <c r="AED25" s="82">
        <v>0</v>
      </c>
      <c r="AEE25" s="82">
        <v>0</v>
      </c>
      <c r="AEF25" s="82">
        <v>0</v>
      </c>
      <c r="AEG25" s="82">
        <v>0</v>
      </c>
      <c r="AEH25" s="82">
        <v>0</v>
      </c>
      <c r="AEI25" s="82">
        <v>0</v>
      </c>
      <c r="AEJ25" s="82">
        <v>0</v>
      </c>
      <c r="AEK25" s="82">
        <v>0</v>
      </c>
      <c r="AEL25" s="82">
        <v>0</v>
      </c>
      <c r="AEM25" s="82">
        <v>0</v>
      </c>
      <c r="AEN25" s="130"/>
      <c r="AEO25" s="82">
        <v>0</v>
      </c>
      <c r="AEP25" s="82">
        <v>0</v>
      </c>
      <c r="AEQ25" s="82">
        <v>0</v>
      </c>
      <c r="AER25" s="82">
        <v>0</v>
      </c>
      <c r="AES25" s="82">
        <v>0</v>
      </c>
      <c r="AET25" s="82">
        <v>0</v>
      </c>
      <c r="AEU25" s="82">
        <v>0</v>
      </c>
      <c r="AEV25" s="82">
        <v>0</v>
      </c>
      <c r="AEW25" s="82">
        <v>0</v>
      </c>
      <c r="AEX25" s="82">
        <v>0</v>
      </c>
      <c r="AEY25" s="82">
        <v>0</v>
      </c>
      <c r="AEZ25" s="82">
        <v>0</v>
      </c>
      <c r="AFA25" s="82">
        <v>0</v>
      </c>
      <c r="AFB25" s="82">
        <v>0</v>
      </c>
      <c r="AFC25" s="82">
        <v>0</v>
      </c>
      <c r="AFD25" s="82">
        <v>0</v>
      </c>
      <c r="AFE25" s="82">
        <v>0</v>
      </c>
      <c r="AFF25" s="82">
        <v>0</v>
      </c>
      <c r="AFG25" s="82">
        <v>0</v>
      </c>
      <c r="AFH25" s="82">
        <v>0</v>
      </c>
      <c r="AFI25" s="82">
        <v>0</v>
      </c>
      <c r="AFJ25" s="82">
        <v>0</v>
      </c>
      <c r="AFK25" s="82">
        <v>0</v>
      </c>
      <c r="AFL25" s="82">
        <v>0</v>
      </c>
      <c r="AFM25" s="82">
        <v>0</v>
      </c>
      <c r="AFN25" s="82">
        <v>0</v>
      </c>
      <c r="AFO25" s="82">
        <v>0</v>
      </c>
      <c r="AFP25" s="82">
        <v>0</v>
      </c>
      <c r="AFQ25" s="82">
        <v>0</v>
      </c>
      <c r="AFR25" s="82">
        <v>0</v>
      </c>
      <c r="AFS25" s="82">
        <v>0</v>
      </c>
      <c r="AFT25" s="130"/>
      <c r="AFU25" s="148">
        <v>2224432</v>
      </c>
      <c r="AFV25" s="148">
        <v>2224432</v>
      </c>
      <c r="AFW25" s="148">
        <v>2224432</v>
      </c>
      <c r="AFX25" s="148">
        <v>2224432</v>
      </c>
      <c r="AFY25" s="148">
        <v>2224432</v>
      </c>
      <c r="AFZ25" s="148">
        <v>2224432</v>
      </c>
      <c r="AGA25" s="148">
        <v>2224432</v>
      </c>
      <c r="AGB25" s="148">
        <v>2224432</v>
      </c>
      <c r="AGC25" s="148">
        <v>2224432</v>
      </c>
      <c r="AGD25" s="148">
        <v>2224432</v>
      </c>
      <c r="AGE25" s="148">
        <v>2224432</v>
      </c>
      <c r="AGF25" s="148">
        <v>2224432</v>
      </c>
      <c r="AGG25" s="148">
        <v>2224432</v>
      </c>
      <c r="AGH25" s="148">
        <v>2224432</v>
      </c>
      <c r="AGI25" s="148">
        <v>2224432</v>
      </c>
      <c r="AGJ25" s="148">
        <v>2224432</v>
      </c>
      <c r="AGK25" s="148">
        <v>2224432</v>
      </c>
      <c r="AGL25" s="148">
        <v>2224432</v>
      </c>
      <c r="AGM25" s="148">
        <v>2224432</v>
      </c>
      <c r="AGN25" s="148">
        <v>2224432</v>
      </c>
      <c r="AGO25" s="148">
        <v>2224432</v>
      </c>
      <c r="AGP25" s="148">
        <v>2224432</v>
      </c>
      <c r="AGQ25" s="148">
        <v>2224432</v>
      </c>
      <c r="AGR25" s="148">
        <v>2224432</v>
      </c>
      <c r="AGS25" s="148">
        <v>2224432</v>
      </c>
      <c r="AGT25" s="148">
        <v>2224432</v>
      </c>
      <c r="AGU25" s="148">
        <v>2224432</v>
      </c>
      <c r="AGV25" s="148">
        <v>2224432</v>
      </c>
      <c r="AGW25" s="148">
        <v>2224432</v>
      </c>
      <c r="AGX25" s="148">
        <v>2224432</v>
      </c>
      <c r="AGY25" s="133"/>
      <c r="AGZ25" s="148">
        <v>2224432</v>
      </c>
      <c r="AHA25" s="148">
        <v>2224432</v>
      </c>
      <c r="AHB25" s="148">
        <v>2224432</v>
      </c>
      <c r="AHC25" s="148">
        <v>2224432</v>
      </c>
      <c r="AHD25" s="148">
        <v>2224432</v>
      </c>
      <c r="AHE25" s="148">
        <v>2224432</v>
      </c>
      <c r="AHF25" s="148">
        <v>2224432</v>
      </c>
      <c r="AHG25" s="148">
        <v>2224432</v>
      </c>
      <c r="AHH25" s="148">
        <v>2224432</v>
      </c>
      <c r="AHI25" s="148">
        <v>2224432</v>
      </c>
      <c r="AHJ25" s="148">
        <v>2224432</v>
      </c>
      <c r="AHK25" s="148">
        <v>2224432</v>
      </c>
      <c r="AHL25" s="148">
        <v>2224432</v>
      </c>
      <c r="AHM25" s="148">
        <v>2224432</v>
      </c>
      <c r="AHN25" s="148">
        <v>2224432</v>
      </c>
      <c r="AHO25" s="148">
        <v>2224432</v>
      </c>
      <c r="AHP25" s="148">
        <v>2224432</v>
      </c>
      <c r="AHQ25" s="148">
        <v>2224432</v>
      </c>
      <c r="AHR25" s="148">
        <v>2224432</v>
      </c>
      <c r="AHS25" s="148">
        <v>2224432</v>
      </c>
      <c r="AHT25" s="148">
        <v>2224432</v>
      </c>
      <c r="AHU25" s="148">
        <v>2224432</v>
      </c>
      <c r="AHV25" s="148">
        <v>2224432</v>
      </c>
      <c r="AHW25" s="148">
        <v>2224432</v>
      </c>
      <c r="AHX25" s="148">
        <v>2224432</v>
      </c>
      <c r="AHY25" s="148">
        <v>2224432</v>
      </c>
      <c r="AHZ25" s="148">
        <v>2224432</v>
      </c>
      <c r="AIA25" s="148">
        <v>2224432</v>
      </c>
      <c r="AIB25" s="148">
        <v>2224432</v>
      </c>
      <c r="AIC25" s="148">
        <v>2224432</v>
      </c>
      <c r="AID25" s="148">
        <v>2224432</v>
      </c>
      <c r="AIE25" s="130"/>
      <c r="AIF25" s="148">
        <v>2224432</v>
      </c>
      <c r="AIG25" s="148">
        <v>2224432</v>
      </c>
      <c r="AIH25" s="148">
        <v>2224432</v>
      </c>
      <c r="AII25" s="148">
        <v>2224432</v>
      </c>
      <c r="AIJ25" s="148">
        <v>2224432</v>
      </c>
      <c r="AIK25" s="148">
        <v>2224432</v>
      </c>
      <c r="AIL25" s="148">
        <v>2224432</v>
      </c>
      <c r="AIM25" s="148">
        <v>2224432</v>
      </c>
      <c r="AIN25" s="148">
        <v>2224432</v>
      </c>
      <c r="AIO25" s="148">
        <v>2224432</v>
      </c>
      <c r="AIP25" s="148">
        <v>2224432</v>
      </c>
      <c r="AIQ25" s="148">
        <v>2224432</v>
      </c>
      <c r="AIR25" s="148">
        <v>2224432</v>
      </c>
      <c r="AIS25" s="148">
        <v>2224432</v>
      </c>
      <c r="AIT25" s="148">
        <v>2224432</v>
      </c>
      <c r="AIU25" s="148">
        <v>2224432</v>
      </c>
      <c r="AIV25" s="148">
        <v>2224432</v>
      </c>
      <c r="AIW25" s="148">
        <v>2224432</v>
      </c>
      <c r="AIX25" s="148">
        <v>2224432</v>
      </c>
      <c r="AIY25" s="148">
        <v>2224432</v>
      </c>
      <c r="AIZ25" s="148">
        <v>2224432</v>
      </c>
      <c r="AJA25" s="148">
        <v>2224432</v>
      </c>
      <c r="AJB25" s="148">
        <v>2224432</v>
      </c>
      <c r="AJC25" s="148">
        <v>2224432</v>
      </c>
      <c r="AJD25" s="148">
        <v>2224432</v>
      </c>
      <c r="AJE25" s="148">
        <v>2224432</v>
      </c>
      <c r="AJF25" s="148">
        <v>2224432</v>
      </c>
      <c r="AJG25" s="148">
        <v>2224432</v>
      </c>
      <c r="AJH25" s="148">
        <v>2224432</v>
      </c>
      <c r="AJI25" s="148">
        <v>2224432</v>
      </c>
      <c r="AJJ25" s="148">
        <v>2224432</v>
      </c>
      <c r="AJK25" s="145"/>
      <c r="AJL25" s="148">
        <v>2224432</v>
      </c>
      <c r="AJM25" s="148">
        <v>2224432</v>
      </c>
      <c r="AJN25" s="148">
        <v>2224432</v>
      </c>
      <c r="AJO25" s="148">
        <v>2224432</v>
      </c>
      <c r="AJP25" s="148">
        <v>2224432</v>
      </c>
      <c r="AJQ25" s="148">
        <v>2224432</v>
      </c>
      <c r="AJR25" s="148">
        <v>2224432</v>
      </c>
      <c r="AJS25" s="148">
        <v>2224432</v>
      </c>
      <c r="AJT25" s="148">
        <v>2224432</v>
      </c>
      <c r="AJU25" s="148">
        <v>2224432</v>
      </c>
      <c r="AJV25" s="148">
        <v>2224432</v>
      </c>
      <c r="AJW25" s="148">
        <v>2224432</v>
      </c>
      <c r="AJX25" s="148">
        <v>2224432</v>
      </c>
      <c r="AJY25" s="148">
        <v>2224432</v>
      </c>
      <c r="AJZ25" s="148">
        <v>2224432</v>
      </c>
      <c r="AKA25" s="148">
        <v>2224432</v>
      </c>
      <c r="AKB25" s="148">
        <v>2224432</v>
      </c>
      <c r="AKC25" s="148">
        <v>2224432</v>
      </c>
      <c r="AKD25" s="148">
        <v>2224432</v>
      </c>
      <c r="AKE25" s="148">
        <v>2224432</v>
      </c>
      <c r="AKF25" s="148">
        <v>2224432</v>
      </c>
      <c r="AKG25" s="148">
        <v>2224432</v>
      </c>
      <c r="AKH25" s="148">
        <v>2224432</v>
      </c>
      <c r="AKI25" s="148">
        <v>2224432</v>
      </c>
      <c r="AKJ25" s="148">
        <v>2224432</v>
      </c>
      <c r="AKK25" s="148">
        <v>2224432</v>
      </c>
      <c r="AKL25" s="148">
        <v>2224432</v>
      </c>
      <c r="AKM25" s="148">
        <v>2224432</v>
      </c>
      <c r="AKN25" s="112"/>
      <c r="AKO25" s="148">
        <v>2224432</v>
      </c>
      <c r="AKP25" s="148">
        <v>2224432</v>
      </c>
      <c r="AKQ25" s="148">
        <v>2224432</v>
      </c>
      <c r="AKR25" s="148">
        <v>2224432</v>
      </c>
      <c r="AKS25" s="148">
        <v>2224432</v>
      </c>
      <c r="AKT25" s="148">
        <v>2224432</v>
      </c>
      <c r="AKU25" s="148">
        <v>2224432</v>
      </c>
      <c r="AKV25" s="148">
        <v>2224432</v>
      </c>
      <c r="AKW25" s="148">
        <v>2224432</v>
      </c>
      <c r="AKX25" s="148">
        <v>2224432</v>
      </c>
      <c r="AKY25" s="148">
        <v>2224432</v>
      </c>
      <c r="AKZ25" s="148">
        <v>2224432</v>
      </c>
      <c r="ALA25" s="148">
        <v>2224432</v>
      </c>
      <c r="ALB25" s="148">
        <v>2224432</v>
      </c>
      <c r="ALC25" s="148">
        <v>2224432</v>
      </c>
      <c r="ALD25" s="148">
        <v>2224432</v>
      </c>
      <c r="ALE25" s="148">
        <v>2224432</v>
      </c>
      <c r="ALF25" s="148">
        <v>2224432</v>
      </c>
      <c r="ALG25" s="148">
        <v>2224432</v>
      </c>
      <c r="ALH25" s="148">
        <v>2224432</v>
      </c>
      <c r="ALI25" s="148">
        <v>2224432</v>
      </c>
      <c r="ALJ25" s="148">
        <v>2224432</v>
      </c>
      <c r="ALK25" s="148">
        <v>2224432</v>
      </c>
      <c r="ALL25" s="148">
        <v>2224432</v>
      </c>
      <c r="ALM25" s="148">
        <v>2224432</v>
      </c>
      <c r="ALN25" s="148">
        <v>2224432</v>
      </c>
      <c r="ALO25" s="148">
        <v>2224432</v>
      </c>
      <c r="ALP25" s="148">
        <v>2224432</v>
      </c>
      <c r="ALQ25" s="148">
        <v>2224432</v>
      </c>
      <c r="ALR25" s="148">
        <v>2224432</v>
      </c>
      <c r="ALS25" s="148">
        <v>2224432</v>
      </c>
      <c r="ALT25" s="130"/>
      <c r="ALU25" s="148">
        <v>2224432</v>
      </c>
      <c r="ALV25" s="148">
        <v>2224432</v>
      </c>
      <c r="ALW25" s="148">
        <v>2224432</v>
      </c>
      <c r="ALX25" s="148">
        <v>2224432</v>
      </c>
      <c r="ALY25" s="148">
        <v>2224432</v>
      </c>
      <c r="ALZ25" s="148">
        <v>2224432</v>
      </c>
      <c r="AMA25" s="148">
        <v>2224432</v>
      </c>
      <c r="AMB25" s="148">
        <v>2224432</v>
      </c>
      <c r="AMC25" s="148">
        <v>2224432</v>
      </c>
      <c r="AMD25" s="148">
        <v>2224432</v>
      </c>
      <c r="AME25" s="148">
        <v>2224432</v>
      </c>
      <c r="AMF25" s="148">
        <v>2224432</v>
      </c>
      <c r="AMG25" s="148">
        <v>2224432</v>
      </c>
      <c r="AMH25" s="148">
        <v>2224432</v>
      </c>
      <c r="AMI25" s="148">
        <v>2224432</v>
      </c>
      <c r="AMJ25" s="148">
        <v>2224432</v>
      </c>
      <c r="AMK25" s="148">
        <v>2224432</v>
      </c>
      <c r="AML25" s="148">
        <v>2224432</v>
      </c>
      <c r="AMM25" s="148">
        <v>2224432</v>
      </c>
      <c r="AMN25" s="148">
        <v>2224432</v>
      </c>
      <c r="AMO25" s="148">
        <v>2224432</v>
      </c>
      <c r="AMP25" s="148">
        <v>2224432</v>
      </c>
      <c r="AMQ25" s="148">
        <v>2224432</v>
      </c>
      <c r="AMR25" s="148">
        <v>2224432</v>
      </c>
      <c r="AMS25" s="148">
        <v>2224432</v>
      </c>
      <c r="AMT25" s="148">
        <v>2224432</v>
      </c>
      <c r="AMU25" s="148">
        <v>2224432</v>
      </c>
      <c r="AMV25" s="148">
        <v>2224432</v>
      </c>
      <c r="AMW25" s="148">
        <v>2224432</v>
      </c>
      <c r="AMX25" s="148">
        <v>2224432</v>
      </c>
      <c r="AMY25" s="130"/>
      <c r="AMZ25" s="148">
        <v>2224432</v>
      </c>
      <c r="ANA25" s="148">
        <v>2224432</v>
      </c>
      <c r="ANB25" s="148">
        <v>2224432</v>
      </c>
      <c r="ANC25" s="148">
        <v>2224432</v>
      </c>
      <c r="AND25" s="148">
        <v>2224432</v>
      </c>
      <c r="ANE25" s="148">
        <v>2224432</v>
      </c>
      <c r="ANF25" s="148">
        <v>2224432</v>
      </c>
      <c r="ANG25" s="148">
        <v>2224432</v>
      </c>
      <c r="ANH25" s="148">
        <v>2224432</v>
      </c>
      <c r="ANI25" s="148">
        <v>2224432</v>
      </c>
      <c r="ANJ25" s="148">
        <v>2224432</v>
      </c>
      <c r="ANK25" s="148">
        <v>2224432</v>
      </c>
      <c r="ANL25" s="148">
        <v>2224432</v>
      </c>
      <c r="ANM25" s="148">
        <v>2224432</v>
      </c>
      <c r="ANN25" s="148">
        <v>2224432</v>
      </c>
      <c r="ANO25" s="148">
        <v>2224432</v>
      </c>
      <c r="ANP25" s="148">
        <v>2224432</v>
      </c>
      <c r="ANQ25" s="148">
        <v>2224432</v>
      </c>
      <c r="ANR25" s="148">
        <v>2224432</v>
      </c>
      <c r="ANS25" s="148">
        <v>2224432</v>
      </c>
      <c r="ANT25" s="148">
        <v>2224432</v>
      </c>
      <c r="ANU25" s="148">
        <v>2224432</v>
      </c>
      <c r="ANV25" s="148">
        <v>2224432</v>
      </c>
      <c r="ANW25" s="148">
        <v>2224432</v>
      </c>
      <c r="ANX25" s="148">
        <v>2224432</v>
      </c>
      <c r="ANY25" s="148">
        <v>2224432</v>
      </c>
      <c r="ANZ25" s="148">
        <v>2224432</v>
      </c>
      <c r="AOA25" s="148">
        <v>2224432</v>
      </c>
      <c r="AOB25" s="148">
        <v>2224432</v>
      </c>
      <c r="AOC25" s="148">
        <v>2224432</v>
      </c>
    </row>
    <row r="26" spans="1:1069" x14ac:dyDescent="0.2">
      <c r="A26" s="160"/>
      <c r="B26" s="63" t="s">
        <v>1658</v>
      </c>
      <c r="C26" s="52">
        <f>BALANCING!C13</f>
        <v>1656008</v>
      </c>
      <c r="D26" s="52">
        <f>C26+BALANCING!D13</f>
        <v>3552493</v>
      </c>
      <c r="E26" s="52">
        <f>D26+BALANCING!E13</f>
        <v>5452993</v>
      </c>
      <c r="F26" s="52">
        <f>E26+BALANCING!F13</f>
        <v>6759993</v>
      </c>
      <c r="G26" s="52">
        <f>F26+BALANCING!G13</f>
        <v>8080593</v>
      </c>
      <c r="H26" s="52">
        <f>G26+BALANCING!H13</f>
        <v>9325593</v>
      </c>
      <c r="I26" s="52">
        <f>H26+BALANCING!I13</f>
        <v>10663318</v>
      </c>
      <c r="J26" s="52">
        <f>I26+BALANCING!J13</f>
        <v>11595018</v>
      </c>
      <c r="K26" s="52">
        <f>J26+BALANCING!K13</f>
        <v>12910018</v>
      </c>
      <c r="L26" s="52">
        <f>K26+BALANCING!L13</f>
        <v>14160518</v>
      </c>
      <c r="M26" s="52">
        <f>L26+BALANCING!M13</f>
        <v>15072081</v>
      </c>
      <c r="N26" s="52">
        <f>M26+BALANCING!N13</f>
        <v>16728081</v>
      </c>
      <c r="O26" s="52">
        <f>N26+BALANCING!O13</f>
        <v>17570081</v>
      </c>
      <c r="P26" s="52">
        <f>O26+BALANCING!P13</f>
        <v>18237081</v>
      </c>
      <c r="Q26" s="52">
        <f>P26+BALANCING!Q13</f>
        <v>19336081</v>
      </c>
      <c r="R26" s="52">
        <f>Q26+BALANCING!R13</f>
        <v>20138081</v>
      </c>
      <c r="S26" s="52">
        <f>R26+BALANCING!S13</f>
        <v>21189081</v>
      </c>
      <c r="T26" s="52">
        <f>S26+BALANCING!T13</f>
        <v>22366081</v>
      </c>
      <c r="U26" s="52">
        <f>T26+BALANCING!U13</f>
        <v>23132081</v>
      </c>
      <c r="V26" s="52">
        <f>U26+BALANCING!V13</f>
        <v>23742581</v>
      </c>
      <c r="W26" s="52">
        <f>V26+BALANCING!W13</f>
        <v>25842581</v>
      </c>
      <c r="X26" s="52">
        <f>W26+BALANCING!X13</f>
        <v>26950581</v>
      </c>
      <c r="Y26" s="52">
        <f>X26+BALANCING!Y13</f>
        <v>28994581</v>
      </c>
      <c r="Z26" s="52">
        <f>Y26+BALANCING!Z13</f>
        <v>31236235</v>
      </c>
      <c r="AA26" s="52">
        <f>Z26+BALANCING!AA13</f>
        <v>32404235</v>
      </c>
      <c r="AB26" s="52">
        <f>AA26+BALANCING!AB13</f>
        <v>33605435</v>
      </c>
      <c r="AC26" s="52">
        <f>AB26+BALANCING!AC13</f>
        <v>34376835</v>
      </c>
      <c r="AD26" s="52">
        <f>AC26+BALANCING!AD13</f>
        <v>35021835</v>
      </c>
      <c r="AE26" s="52">
        <f>AD26+BALANCING!AE13</f>
        <v>35512835</v>
      </c>
      <c r="AF26" s="52">
        <f>AE26+BALANCING!AF13</f>
        <v>36243835</v>
      </c>
      <c r="AG26" s="52">
        <f>AF26+BALANCING!AG13</f>
        <v>37485835</v>
      </c>
      <c r="AH26" s="98">
        <f>AG26</f>
        <v>37485835</v>
      </c>
      <c r="AI26" s="82">
        <f>BALANCING!AI13</f>
        <v>608500</v>
      </c>
      <c r="AJ26" s="82">
        <f>AI26+BALANCING!AJ13</f>
        <v>1442500</v>
      </c>
      <c r="AK26" s="82">
        <f>AJ26+BALANCING!AK13</f>
        <v>2659386</v>
      </c>
      <c r="AL26" s="82">
        <f>AK26+BALANCING!AL13</f>
        <v>4857386</v>
      </c>
      <c r="AM26" s="82">
        <f>AL26+BALANCING!AM13</f>
        <v>6763981</v>
      </c>
      <c r="AN26" s="82">
        <f>AM26+BALANCING!AN13</f>
        <v>8199281</v>
      </c>
      <c r="AO26" s="82">
        <f>AN26+BALANCING!AO13</f>
        <v>9407281</v>
      </c>
      <c r="AP26" s="82">
        <f>AO26+BALANCING!AP13</f>
        <v>11436281</v>
      </c>
      <c r="AQ26" s="82">
        <f>AP26+BALANCING!AQ13</f>
        <v>12769881</v>
      </c>
      <c r="AR26" s="82">
        <f>AQ26+BALANCING!AR13</f>
        <v>13898481</v>
      </c>
      <c r="AS26" s="82">
        <f>AR26+BALANCING!AS13</f>
        <v>15186581</v>
      </c>
      <c r="AT26" s="82">
        <f>AS26+BALANCING!AT13</f>
        <v>15857581</v>
      </c>
      <c r="AU26" s="82">
        <f>AT26+BALANCING!AU13</f>
        <v>16726581</v>
      </c>
      <c r="AV26" s="82">
        <f>AU26+BALANCING!AV13</f>
        <v>17738981</v>
      </c>
      <c r="AW26" s="82">
        <f>AV26+BALANCING!AW13</f>
        <v>19461781</v>
      </c>
      <c r="AX26" s="82">
        <f>AW26+BALANCING!AX13</f>
        <v>20494781</v>
      </c>
      <c r="AY26" s="82">
        <f>AX26+BALANCING!AY13</f>
        <v>20974781</v>
      </c>
      <c r="AZ26" s="82">
        <f>AY26+BALANCING!AZ13</f>
        <v>22218781</v>
      </c>
      <c r="BA26" s="82">
        <f>AZ26+BALANCING!BA13</f>
        <v>24310781</v>
      </c>
      <c r="BB26" s="82">
        <f>BA26+BALANCING!BB13</f>
        <v>25002781</v>
      </c>
      <c r="BC26" s="82">
        <f>BB26+BALANCING!BC13</f>
        <v>26155281</v>
      </c>
      <c r="BD26" s="82">
        <f>BC26+BALANCING!BD13</f>
        <v>27277581</v>
      </c>
      <c r="BE26" s="82">
        <f>BD26+BALANCING!BE13</f>
        <v>28714081</v>
      </c>
      <c r="BF26" s="82">
        <f>BE26+BALANCING!BF13</f>
        <v>30036181</v>
      </c>
      <c r="BG26" s="82">
        <f>BF26+BALANCING!BG13</f>
        <v>31494181</v>
      </c>
      <c r="BH26" s="82">
        <f>BG26+BALANCING!BH13</f>
        <v>32348981</v>
      </c>
      <c r="BI26" s="82">
        <f>BH26+BALANCING!BI13</f>
        <v>33130981</v>
      </c>
      <c r="BJ26" s="82">
        <f>BI26+BALANCING!BJ13</f>
        <v>33815541</v>
      </c>
      <c r="BK26" s="82">
        <f>BJ26+BALANCING!BK13</f>
        <v>35769004</v>
      </c>
      <c r="BL26" s="82">
        <f>BK26+BALANCING!BL13</f>
        <v>37092604</v>
      </c>
      <c r="BM26" s="106">
        <v>0</v>
      </c>
      <c r="BN26" s="82">
        <f>BM26+BALANCING!BN13</f>
        <v>1047000</v>
      </c>
      <c r="BO26" s="82">
        <f>BN26+BALANCING!BO13</f>
        <v>2674000</v>
      </c>
      <c r="BP26" s="82">
        <f>BO26+BALANCING!BP13</f>
        <v>4425000</v>
      </c>
      <c r="BQ26" s="82">
        <f>BP26+BALANCING!BQ13</f>
        <v>5566000</v>
      </c>
      <c r="BR26" s="82">
        <f>BQ26+BALANCING!BR13</f>
        <v>6077000</v>
      </c>
      <c r="BS26" s="82">
        <f>BR26+BALANCING!BS13</f>
        <v>7449312</v>
      </c>
      <c r="BT26" s="82">
        <f>BS26+BALANCING!BT13</f>
        <v>8819312</v>
      </c>
      <c r="BU26" s="82">
        <f>BT26+BALANCING!BU13</f>
        <v>8977312</v>
      </c>
      <c r="BV26" s="82">
        <f>BU26+BALANCING!BV13</f>
        <v>9952012</v>
      </c>
      <c r="BW26" s="82">
        <f>BV26+BALANCING!BW13</f>
        <v>10903762</v>
      </c>
      <c r="BX26" s="82">
        <f>BW26+BALANCING!BX13</f>
        <v>11735762</v>
      </c>
      <c r="BY26" s="82">
        <f>BX26+BALANCING!BY13</f>
        <v>12708762</v>
      </c>
      <c r="BZ26" s="82">
        <f>BY26+BALANCING!BZ13</f>
        <v>14193262</v>
      </c>
      <c r="CA26" s="82">
        <f>BZ26+BALANCING!CA13</f>
        <v>16515262</v>
      </c>
      <c r="CB26" s="82">
        <f>CA26+BALANCING!CB13</f>
        <v>17593262</v>
      </c>
      <c r="CC26" s="82">
        <f>CB26+BALANCING!CC13</f>
        <v>18783262</v>
      </c>
      <c r="CD26" s="82">
        <f>CC26+BALANCING!CD13</f>
        <v>19630262</v>
      </c>
      <c r="CE26" s="82">
        <f>CD26+BALANCING!CE13</f>
        <v>20013262</v>
      </c>
      <c r="CF26" s="82">
        <f>CE26+BALANCING!CF13</f>
        <v>21774432</v>
      </c>
      <c r="CG26" s="82">
        <f>CF26+BALANCING!CG13</f>
        <v>22497432</v>
      </c>
      <c r="CH26" s="82">
        <f>CG26+BALANCING!CH13</f>
        <v>23676412</v>
      </c>
      <c r="CI26" s="82">
        <f>CH26+BALANCING!CI13</f>
        <v>24713412</v>
      </c>
      <c r="CJ26" s="82">
        <f>CI26+BALANCING!CJ13</f>
        <v>25479912</v>
      </c>
      <c r="CK26" s="82">
        <f>CJ26+BALANCING!CK13</f>
        <v>27215912</v>
      </c>
      <c r="CL26" s="82">
        <f>CK26+BALANCING!CL13</f>
        <v>28132912</v>
      </c>
      <c r="CM26" s="82">
        <f>CL26+BALANCING!CM13</f>
        <v>29502912</v>
      </c>
      <c r="CN26" s="82">
        <f>CM26+BALANCING!CN13</f>
        <v>30998912</v>
      </c>
      <c r="CO26" s="82">
        <f>CN26+BALANCING!CO13</f>
        <v>32104912</v>
      </c>
      <c r="CP26" s="82">
        <f>CO26+BALANCING!CP13</f>
        <v>33166464</v>
      </c>
      <c r="CQ26" s="82">
        <f>CP26+BALANCING!CQ13</f>
        <v>34516885</v>
      </c>
      <c r="CR26" s="82">
        <f>CQ26+BALANCING!CR13</f>
        <v>35319885</v>
      </c>
      <c r="CT26" s="82">
        <f>CS26+BALANCING!CT13</f>
        <v>2575000</v>
      </c>
      <c r="CU26" s="82">
        <f>CT26+BALANCING!CU13</f>
        <v>3607512</v>
      </c>
      <c r="CV26" s="82">
        <f>CU26+BALANCING!CV13</f>
        <v>5156965</v>
      </c>
      <c r="CW26" s="82">
        <f>CV26+BALANCING!CW13</f>
        <v>6320043</v>
      </c>
      <c r="CX26" s="82">
        <f>CW26+BALANCING!CX13</f>
        <v>7892043</v>
      </c>
      <c r="CY26" s="82">
        <f>CX26+BALANCING!CY13</f>
        <v>9249543</v>
      </c>
      <c r="CZ26" s="82">
        <f>CY26+BALANCING!CZ13</f>
        <v>10394543</v>
      </c>
      <c r="DA26" s="82">
        <f>CZ26+BALANCING!DA13</f>
        <v>11105543</v>
      </c>
      <c r="DB26" s="82">
        <f>DA26+BALANCING!DB13</f>
        <v>11735543</v>
      </c>
      <c r="DC26" s="82">
        <f>DB26+BALANCING!DC13</f>
        <v>13421543</v>
      </c>
      <c r="DD26" s="82">
        <f>DC26+BALANCING!DD13</f>
        <v>14263543</v>
      </c>
      <c r="DE26" s="82">
        <f>DD26+BALANCING!DE13</f>
        <v>14829512</v>
      </c>
      <c r="DF26" s="82">
        <f>DE26+BALANCING!DF13</f>
        <v>15848512</v>
      </c>
      <c r="DG26" s="82">
        <f>DF26+BALANCING!DG13</f>
        <v>16971354</v>
      </c>
      <c r="DH26" s="82">
        <f>DG26+BALANCING!DH13</f>
        <v>17983354</v>
      </c>
      <c r="DI26" s="82">
        <f>DH26+BALANCING!DI13</f>
        <v>18756354</v>
      </c>
      <c r="DJ26" s="82">
        <f>DI26+BALANCING!DJ13</f>
        <v>20456554</v>
      </c>
      <c r="DK26" s="82">
        <f>DJ26+BALANCING!DK13</f>
        <v>22036554</v>
      </c>
      <c r="DL26" s="82">
        <f>DK26+BALANCING!DL13</f>
        <v>22720554</v>
      </c>
      <c r="DM26" s="82">
        <f>DL26+BALANCING!DM13</f>
        <v>24500772</v>
      </c>
      <c r="DN26" s="82">
        <f>DM26+BALANCING!DN13</f>
        <v>25758772</v>
      </c>
      <c r="DO26" s="82">
        <f>DN26+BALANCING!DO13</f>
        <v>26931854</v>
      </c>
      <c r="DP26" s="82">
        <f>DO26+BALANCING!DP13</f>
        <v>28818904</v>
      </c>
      <c r="DQ26" s="82">
        <f>DP26+BALANCING!DQ13</f>
        <v>30233904</v>
      </c>
      <c r="DR26" s="82">
        <f>DQ26+BALANCING!DR13</f>
        <v>32694104</v>
      </c>
      <c r="DS26" s="82">
        <f>DR26+BALANCING!DS13</f>
        <v>33703362</v>
      </c>
      <c r="DT26" s="82">
        <f>DS26+BALANCING!DT13</f>
        <v>36147562</v>
      </c>
      <c r="DU26" s="82">
        <f>DT26+BALANCING!DU13</f>
        <v>37267215</v>
      </c>
      <c r="DV26" s="82">
        <f>DU26+BALANCING!DV13</f>
        <v>38351865</v>
      </c>
      <c r="DW26" s="82">
        <f>DV26+BALANCING!DW13</f>
        <v>39366865</v>
      </c>
      <c r="DX26" s="117"/>
      <c r="DY26" s="82">
        <f>DX26+BALANCING!DY13</f>
        <v>894200</v>
      </c>
      <c r="DZ26" s="82">
        <f>DY26+BALANCING!DZ13</f>
        <v>2552486</v>
      </c>
      <c r="EA26" s="82">
        <f>DZ26+BALANCING!EA13</f>
        <v>3261386</v>
      </c>
      <c r="EB26" s="82">
        <f>EA26+BALANCING!EB13</f>
        <v>3871386</v>
      </c>
      <c r="EC26" s="82">
        <f>EB26+BALANCING!EC13</f>
        <v>5175886</v>
      </c>
      <c r="ED26" s="82">
        <f>EC26+BALANCING!ED13</f>
        <v>6230886</v>
      </c>
      <c r="EE26" s="82">
        <f>ED26+BALANCING!EE13</f>
        <v>7041886</v>
      </c>
      <c r="EF26" s="82">
        <f>EE26+BALANCING!EF13</f>
        <v>8467986</v>
      </c>
      <c r="EG26" s="82">
        <f>EF26+BALANCING!EG13</f>
        <v>9687986</v>
      </c>
      <c r="EH26" s="82">
        <f>EG26+BALANCING!EH13</f>
        <v>11217986</v>
      </c>
      <c r="EI26" s="82">
        <f>EH26+BALANCING!EI13</f>
        <v>12516986</v>
      </c>
      <c r="EJ26" s="82">
        <f>EI26+BALANCING!EJ13</f>
        <v>14044596</v>
      </c>
      <c r="EK26" s="82">
        <f>EJ26+BALANCING!EK13</f>
        <v>15180596</v>
      </c>
      <c r="EL26" s="82">
        <f>EK26+BALANCING!EL13</f>
        <v>16030596</v>
      </c>
      <c r="EM26" s="82">
        <f>EL26+BALANCING!EM13</f>
        <v>17433607</v>
      </c>
      <c r="EN26" s="82">
        <f>EM26+BALANCING!EN13</f>
        <v>19025466</v>
      </c>
      <c r="EO26" s="82">
        <f>EN26+BALANCING!EO13</f>
        <v>20349416</v>
      </c>
      <c r="EP26" s="82">
        <f>EO26+BALANCING!EP13</f>
        <v>22848416</v>
      </c>
      <c r="EQ26" s="82">
        <f>EP26+BALANCING!EQ13</f>
        <v>23995416</v>
      </c>
      <c r="ER26" s="82">
        <f>EQ26+BALANCING!ER13</f>
        <v>24627816</v>
      </c>
      <c r="ES26" s="82">
        <f>ER26+BALANCING!ES13</f>
        <v>25765816</v>
      </c>
      <c r="ET26" s="82">
        <f>ES26+BALANCING!ET13</f>
        <v>27293681</v>
      </c>
      <c r="EU26" s="82">
        <f>ET26+BALANCING!EU13</f>
        <v>29217681</v>
      </c>
      <c r="EV26" s="82">
        <f>EU26+BALANCING!EV13</f>
        <v>30718809</v>
      </c>
      <c r="EW26" s="82">
        <f>EV26+BALANCING!EW13</f>
        <v>31958809</v>
      </c>
      <c r="EX26" s="82">
        <f>EW26+BALANCING!EX13</f>
        <v>33257809</v>
      </c>
      <c r="EY26" s="82">
        <f>EX26+BALANCING!EY13</f>
        <v>34108809</v>
      </c>
      <c r="EZ26" s="82">
        <f>EY26+BALANCING!EZ13</f>
        <v>35446887</v>
      </c>
      <c r="FA26" s="82">
        <f>EZ26+BALANCING!FA13</f>
        <v>37195387</v>
      </c>
      <c r="FB26" s="82">
        <f>FA26+BALANCING!FB13</f>
        <v>39187408</v>
      </c>
      <c r="FC26" s="82">
        <f>FB26+BALANCING!FC13</f>
        <v>40772408</v>
      </c>
      <c r="FD26" s="126"/>
      <c r="FE26" s="82">
        <f>FD26+BALANCING!FE13</f>
        <v>1823895</v>
      </c>
      <c r="FF26" s="82">
        <f>FE26+BALANCING!FF13</f>
        <v>3022895</v>
      </c>
      <c r="FG26" s="82">
        <f>FF26+BALANCING!FG13</f>
        <v>4484895</v>
      </c>
      <c r="FH26" s="82">
        <f>FG26+BALANCING!FH13</f>
        <v>5084895</v>
      </c>
      <c r="FI26" s="82">
        <f>FH26+BALANCING!FI13</f>
        <v>5529895</v>
      </c>
      <c r="FJ26" s="82">
        <f>FI26+BALANCING!FJ13</f>
        <v>6262895</v>
      </c>
      <c r="FK26" s="82">
        <f>FJ26+BALANCING!FK13</f>
        <v>7899895</v>
      </c>
      <c r="FL26" s="82">
        <f>FK26+BALANCING!FL13</f>
        <v>9043395</v>
      </c>
      <c r="FM26" s="82">
        <f>FL26+BALANCING!FM13</f>
        <v>10010395</v>
      </c>
      <c r="FN26" s="82">
        <f>FM26+BALANCING!FN13</f>
        <v>11812084</v>
      </c>
      <c r="FO26" s="82">
        <f>FN26+BALANCING!FO13</f>
        <v>12944684</v>
      </c>
      <c r="FP26" s="82">
        <f>FO26+BALANCING!FP13</f>
        <v>13893684</v>
      </c>
      <c r="FQ26" s="82">
        <f>FP26+BALANCING!FQ13</f>
        <v>15240684</v>
      </c>
      <c r="FR26" s="82">
        <f>FQ26+BALANCING!FR13</f>
        <v>17245684</v>
      </c>
      <c r="FS26" s="82">
        <f>FR26+BALANCING!FS13</f>
        <v>18482684</v>
      </c>
      <c r="FT26" s="82">
        <f>FS26+BALANCING!FT13</f>
        <v>19384684</v>
      </c>
      <c r="FU26" s="82">
        <f>FT26+BALANCING!FU13</f>
        <v>20673684</v>
      </c>
      <c r="FV26" s="82">
        <f>FU26+BALANCING!FV13</f>
        <v>21991684</v>
      </c>
      <c r="FW26" s="82">
        <f>FV26+BALANCING!FW13</f>
        <v>22656684</v>
      </c>
      <c r="FX26" s="82">
        <f>FW26+BALANCING!FX13</f>
        <v>24022184</v>
      </c>
      <c r="FY26" s="82">
        <f>FX26+BALANCING!FY13</f>
        <v>25179163</v>
      </c>
      <c r="FZ26" s="82">
        <f>FY26+BALANCING!FZ13</f>
        <v>26074163</v>
      </c>
      <c r="GA26" s="82">
        <f>FZ26+BALANCING!GA13</f>
        <v>27859845</v>
      </c>
      <c r="GB26" s="82">
        <f>GA26+BALANCING!GB13</f>
        <v>28578845</v>
      </c>
      <c r="GC26" s="82">
        <f>GB26+BALANCING!GC13</f>
        <v>29584845</v>
      </c>
      <c r="GD26" s="82">
        <f>GC26+BALANCING!GD13</f>
        <v>31419937</v>
      </c>
      <c r="GE26" s="82">
        <f>GD26+BALANCING!GE13</f>
        <v>32739937</v>
      </c>
      <c r="GF26" s="82">
        <f>GE26+BALANCING!GF13</f>
        <v>34784437</v>
      </c>
      <c r="GG26" s="82">
        <f>GF26+BALANCING!GG13</f>
        <v>35908437</v>
      </c>
      <c r="GH26" s="82">
        <f>GG26+BALANCING!GH13</f>
        <v>36644437</v>
      </c>
      <c r="GI26" s="82">
        <f>GH26+BALANCING!GI13</f>
        <v>38972437</v>
      </c>
      <c r="GJ26" s="130"/>
      <c r="GK26" s="110">
        <f>BALANCING!GK13</f>
        <v>642000</v>
      </c>
      <c r="GL26" s="110">
        <f>GK26+BALANCING!GL13</f>
        <v>1416000</v>
      </c>
      <c r="GM26" s="110">
        <f>GL26+BALANCING!GM13</f>
        <v>2542300</v>
      </c>
      <c r="GN26" s="110">
        <f>GM26+BALANCING!GN13</f>
        <v>3097300</v>
      </c>
      <c r="GO26" s="110">
        <f>GN26+BALANCING!GO13</f>
        <v>4107300</v>
      </c>
      <c r="GP26" s="110">
        <f>GO26+BALANCING!GP13</f>
        <v>5734600</v>
      </c>
      <c r="GQ26" s="110">
        <f>GP26+BALANCING!GQ13</f>
        <v>7063600</v>
      </c>
      <c r="GR26" s="110">
        <f>GQ26+BALANCING!GR13</f>
        <v>8631600</v>
      </c>
      <c r="GS26" s="110">
        <f>GR26+BALANCING!GS13</f>
        <v>9879600</v>
      </c>
      <c r="GT26" s="110">
        <f>GS26+BALANCING!GT13</f>
        <v>11306600</v>
      </c>
      <c r="GU26" s="110">
        <f>GT26+BALANCING!GU13</f>
        <v>12293512</v>
      </c>
      <c r="GV26" s="110">
        <f>GU26+BALANCING!GV13</f>
        <v>12936512</v>
      </c>
      <c r="GW26" s="110">
        <f>GV26+BALANCING!GW13</f>
        <v>14586434</v>
      </c>
      <c r="GX26" s="110">
        <f>GW26+BALANCING!GX13</f>
        <v>15292434</v>
      </c>
      <c r="GY26" s="110">
        <f>GX26+BALANCING!GY13</f>
        <v>16097042</v>
      </c>
      <c r="GZ26" s="110">
        <f>GY26+BALANCING!GZ13</f>
        <v>17334042</v>
      </c>
      <c r="HA26" s="110">
        <f>GZ26+BALANCING!HA13</f>
        <v>19490474</v>
      </c>
      <c r="HB26" s="110">
        <f>HA26+BALANCING!HB13</f>
        <v>20871535</v>
      </c>
      <c r="HC26" s="110">
        <f>HB26+BALANCING!HC13</f>
        <v>21999535</v>
      </c>
      <c r="HD26" s="110">
        <f>HC26+BALANCING!HD13</f>
        <v>23362535</v>
      </c>
      <c r="HE26" s="110">
        <f>HD26+BALANCING!HE13</f>
        <v>24192535</v>
      </c>
      <c r="HF26" s="110">
        <f>HE26+BALANCING!HF13</f>
        <v>25032535</v>
      </c>
      <c r="HG26" s="110">
        <f>HF26+BALANCING!HG13</f>
        <v>27217985</v>
      </c>
      <c r="HH26" s="110">
        <f>HG26+BALANCING!HH13</f>
        <v>27793985</v>
      </c>
      <c r="HI26" s="110">
        <f>HH26+BALANCING!HI13</f>
        <v>28350985</v>
      </c>
      <c r="HJ26" s="110">
        <f>HI26+BALANCING!HJ13</f>
        <v>28818985</v>
      </c>
      <c r="HK26" s="110">
        <f>HJ26+BALANCING!HK13</f>
        <v>29607985</v>
      </c>
      <c r="HL26" s="110">
        <f>HK26+BALANCING!HL13</f>
        <v>30816802</v>
      </c>
      <c r="HM26" s="110">
        <f>HL26+BALANCING!HM13</f>
        <v>31242802</v>
      </c>
      <c r="HN26" s="130"/>
      <c r="HO26" s="110">
        <f>HN26+BALANCING!HO13</f>
        <v>880000</v>
      </c>
      <c r="HP26" s="110">
        <f>HO26+BALANCING!HP13</f>
        <v>2478000</v>
      </c>
      <c r="HQ26" s="110">
        <f>HP26+BALANCING!HQ13</f>
        <v>3684000</v>
      </c>
      <c r="HR26" s="110">
        <f>HQ26+BALANCING!HR13</f>
        <v>5459232</v>
      </c>
      <c r="HS26" s="110">
        <f>HR26+BALANCING!HS13</f>
        <v>6590932</v>
      </c>
      <c r="HT26" s="110">
        <f>HS26+BALANCING!HT13</f>
        <v>8410932</v>
      </c>
      <c r="HU26" s="110">
        <f>HT26+BALANCING!HU13</f>
        <v>10542832</v>
      </c>
      <c r="HV26" s="110">
        <f>HU26+BALANCING!HV13</f>
        <v>12196732</v>
      </c>
      <c r="HW26" s="110">
        <f>HV26+BALANCING!HW13</f>
        <v>12909732</v>
      </c>
      <c r="HX26" s="110">
        <f>HW26+BALANCING!HX13</f>
        <v>13779732</v>
      </c>
      <c r="HY26" s="110">
        <f>HX26+BALANCING!HY13</f>
        <v>14878732</v>
      </c>
      <c r="HZ26" s="110">
        <f>HY26+BALANCING!HZ13</f>
        <v>15967732</v>
      </c>
      <c r="IA26" s="110">
        <f>HZ26+BALANCING!IA13</f>
        <v>18078164</v>
      </c>
      <c r="IB26" s="110">
        <f>IA26+BALANCING!IB13</f>
        <v>19020164</v>
      </c>
      <c r="IC26" s="110">
        <f>IB26+BALANCING!IC13</f>
        <v>20396164</v>
      </c>
      <c r="ID26" s="110">
        <f>IC26+BALANCING!ID13</f>
        <v>22225464</v>
      </c>
      <c r="IE26" s="110">
        <f>ID26+BALANCING!IE13</f>
        <v>22801664</v>
      </c>
      <c r="IF26" s="110">
        <f>IE26+BALANCING!IF13</f>
        <v>24062344</v>
      </c>
      <c r="IG26" s="110">
        <f>IF26+BALANCING!IG13</f>
        <v>24670344</v>
      </c>
      <c r="IH26" s="110">
        <f>IG26+BALANCING!IH13</f>
        <v>26390180</v>
      </c>
      <c r="II26" s="110">
        <f>IH26+BALANCING!II13</f>
        <v>27067180</v>
      </c>
      <c r="IJ26" s="110">
        <f>II26+BALANCING!IJ13</f>
        <v>28718180</v>
      </c>
      <c r="IK26" s="110">
        <f>IJ26+BALANCING!IK13</f>
        <v>30122800</v>
      </c>
      <c r="IL26" s="110">
        <f>IK26+BALANCING!IL13</f>
        <v>30905800</v>
      </c>
      <c r="IM26" s="110">
        <f>IL26+BALANCING!IM13</f>
        <v>32324800</v>
      </c>
      <c r="IN26" s="110">
        <f>IM26+BALANCING!IN13</f>
        <v>33492500</v>
      </c>
      <c r="IO26" s="110">
        <f>IN26+BALANCING!IO13</f>
        <v>34157900</v>
      </c>
      <c r="IP26" s="110">
        <f>IO26+BALANCING!IP13</f>
        <v>35860922</v>
      </c>
      <c r="IQ26" s="110">
        <f>IP26+BALANCING!IQ13</f>
        <v>37246925</v>
      </c>
      <c r="IR26" s="110">
        <f>IQ26+BALANCING!IR13</f>
        <v>37754925</v>
      </c>
      <c r="IS26" s="110">
        <f>IR26+BALANCING!IS13</f>
        <v>38561950</v>
      </c>
      <c r="IT26" s="130"/>
      <c r="IU26" s="110">
        <f>IT26+BALANCING!IU13</f>
        <v>223000</v>
      </c>
      <c r="IV26" s="110">
        <f>IU26+BALANCING!IV13</f>
        <v>2223169</v>
      </c>
      <c r="IW26" s="110">
        <f>IV26+BALANCING!IW13</f>
        <v>2719169</v>
      </c>
      <c r="IX26" s="110">
        <f>IW26+BALANCING!IX13</f>
        <v>3504512</v>
      </c>
      <c r="IY26" s="110">
        <f>IX26+BALANCING!IY13</f>
        <v>4653512</v>
      </c>
      <c r="IZ26" s="110">
        <f>IY26+BALANCING!IZ13</f>
        <v>5523512</v>
      </c>
      <c r="JA26" s="110">
        <f>IZ26+BALANCING!JA13</f>
        <v>7008512</v>
      </c>
      <c r="JB26" s="110">
        <f>JA26+BALANCING!JB13</f>
        <v>9246564</v>
      </c>
      <c r="JC26" s="110">
        <f>JB26+BALANCING!JC13</f>
        <v>9944415</v>
      </c>
      <c r="JD26" s="110">
        <f>JC26+BALANCING!JD13</f>
        <v>10617415</v>
      </c>
      <c r="JE26" s="110">
        <f>JD26+BALANCING!JE13</f>
        <v>12289415</v>
      </c>
      <c r="JF26" s="110">
        <f>JE26+BALANCING!JF13</f>
        <v>14813998</v>
      </c>
      <c r="JG26" s="110">
        <f>JF26+BALANCING!JG13</f>
        <v>15886998</v>
      </c>
      <c r="JH26" s="110">
        <f>JG26+BALANCING!JH13</f>
        <v>16611998</v>
      </c>
      <c r="JI26" s="110">
        <f>JH26+BALANCING!JI13</f>
        <v>17804998</v>
      </c>
      <c r="JJ26" s="110">
        <f>JI26+BALANCING!JJ13</f>
        <v>18641998</v>
      </c>
      <c r="JK26" s="110">
        <f>JJ26+BALANCING!JK13</f>
        <v>19358998</v>
      </c>
      <c r="JL26" s="110">
        <f>JK26+BALANCING!JL13</f>
        <v>20453998</v>
      </c>
      <c r="JM26" s="110">
        <f>JL26+BALANCING!JM13</f>
        <v>21538498</v>
      </c>
      <c r="JN26" s="110">
        <f>JM26+BALANCING!JN13</f>
        <v>22223498</v>
      </c>
      <c r="JO26" s="110">
        <f>JN26+BALANCING!JO13</f>
        <v>23300466</v>
      </c>
      <c r="JP26" s="110">
        <f>JO26+BALANCING!JP13</f>
        <v>24133166</v>
      </c>
      <c r="JQ26" s="110">
        <f>JP26+BALANCING!JQ13</f>
        <v>24837166</v>
      </c>
      <c r="JR26" s="110">
        <f>JQ26+BALANCING!JR13</f>
        <v>25236166</v>
      </c>
      <c r="JS26" s="110">
        <f>JR26+BALANCING!JS13</f>
        <v>26236116</v>
      </c>
      <c r="JT26" s="110">
        <f>JS26+BALANCING!JT13</f>
        <v>27532116</v>
      </c>
      <c r="JU26" s="110">
        <f>JT26+BALANCING!JU13</f>
        <v>29930616</v>
      </c>
      <c r="JV26" s="110">
        <f>JU26+BALANCING!JV13</f>
        <v>31160616</v>
      </c>
      <c r="JW26" s="110">
        <f>JV26+BALANCING!JW13</f>
        <v>32827116</v>
      </c>
      <c r="JX26" s="110">
        <f>JW26+BALANCING!JX13</f>
        <v>33704116</v>
      </c>
      <c r="JY26" s="133"/>
      <c r="JZ26" s="110">
        <f>JY26+BALANCING!JZ13</f>
        <v>1235700</v>
      </c>
      <c r="KA26" s="110">
        <f>JZ26+BALANCING!KA13</f>
        <v>2025700</v>
      </c>
      <c r="KB26" s="110">
        <f>KA26+BALANCING!KB13</f>
        <v>2895700</v>
      </c>
      <c r="KC26" s="110">
        <f>KB26+BALANCING!KC13</f>
        <v>3604700</v>
      </c>
      <c r="KD26" s="110">
        <f>KC26+BALANCING!KD13</f>
        <v>4814812</v>
      </c>
      <c r="KE26" s="110">
        <f>KD26+BALANCING!KE13</f>
        <v>5982812</v>
      </c>
      <c r="KF26" s="110">
        <f>KE26+BALANCING!KF13</f>
        <v>7493312</v>
      </c>
      <c r="KG26" s="110">
        <f>KF26+BALANCING!KG13</f>
        <v>8555062</v>
      </c>
      <c r="KH26" s="110">
        <f>KG26+BALANCING!KH13</f>
        <v>9866962</v>
      </c>
      <c r="KI26" s="110">
        <f>KH26+BALANCING!KI13</f>
        <v>10420962</v>
      </c>
      <c r="KJ26" s="110">
        <f>KI26+BALANCING!KJ13</f>
        <v>11208962</v>
      </c>
      <c r="KK26" s="110">
        <f>KJ26+BALANCING!KK13</f>
        <v>12127962</v>
      </c>
      <c r="KL26" s="110">
        <f>KK26+BALANCING!KL13</f>
        <v>14739362</v>
      </c>
      <c r="KM26" s="110">
        <f>KL26+BALANCING!KM13</f>
        <v>15617362</v>
      </c>
      <c r="KN26" s="110">
        <f>KM26+BALANCING!KN13</f>
        <v>16887862</v>
      </c>
      <c r="KO26" s="110">
        <f>KN26+BALANCING!KO13</f>
        <v>18715404</v>
      </c>
      <c r="KP26" s="110">
        <f>KO26+BALANCING!KP13</f>
        <v>19135404</v>
      </c>
      <c r="KQ26" s="110">
        <f>KP26+BALANCING!KQ13</f>
        <v>20600404</v>
      </c>
      <c r="KR26" s="110">
        <f>KQ26+BALANCING!KR13</f>
        <v>21113904</v>
      </c>
      <c r="KS26" s="110">
        <f>KR26+BALANCING!KS13</f>
        <v>22066904</v>
      </c>
      <c r="KT26" s="110">
        <f>KS26+BALANCING!KT13</f>
        <v>24368954</v>
      </c>
      <c r="KU26" s="110">
        <f>KT26+BALANCING!KU13</f>
        <v>25185954</v>
      </c>
      <c r="KV26" s="110">
        <f>KU26+BALANCING!KV13</f>
        <v>25984954</v>
      </c>
      <c r="KW26" s="110">
        <f>KV26+BALANCING!KW13</f>
        <v>27102854</v>
      </c>
      <c r="KX26" s="110">
        <f>KW26+BALANCING!KX13</f>
        <v>28180854</v>
      </c>
      <c r="KY26" s="110">
        <f>KX26+BALANCING!KY13</f>
        <v>29661892</v>
      </c>
      <c r="KZ26" s="110">
        <f>KY26+BALANCING!KZ13</f>
        <v>30972892</v>
      </c>
      <c r="LA26" s="110">
        <f>KZ26+BALANCING!LA13</f>
        <v>32486392</v>
      </c>
      <c r="LB26" s="110">
        <f>LA26+BALANCING!LB13</f>
        <v>33593642</v>
      </c>
      <c r="LC26" s="110">
        <f>LB26+BALANCING!LC13</f>
        <v>34133642</v>
      </c>
      <c r="LD26" s="110">
        <f>LC26+BALANCING!LD13</f>
        <v>36501642</v>
      </c>
      <c r="LE26" s="130"/>
      <c r="LF26" s="110">
        <f>LE26+BALANCING!LF13</f>
        <v>1837864</v>
      </c>
      <c r="LG26" s="110">
        <f>LF26+BALANCING!LG13</f>
        <v>2993864</v>
      </c>
      <c r="LH26" s="110">
        <f>LG26+BALANCING!LH13</f>
        <v>3920864</v>
      </c>
      <c r="LI26" s="110">
        <f>LH26+BALANCING!LI13</f>
        <v>5124864</v>
      </c>
      <c r="LJ26" s="110">
        <f>LI26+BALANCING!LJ13</f>
        <v>6491364</v>
      </c>
      <c r="LK26" s="110">
        <f>LJ26+BALANCING!LK13</f>
        <v>7083864</v>
      </c>
      <c r="LL26" s="110">
        <f>LK26+BALANCING!LL13</f>
        <v>8545864</v>
      </c>
      <c r="LM26" s="110">
        <f>LL26+BALANCING!LM13</f>
        <v>9643795</v>
      </c>
      <c r="LN26" s="110">
        <f>LM26+BALANCING!LN13</f>
        <v>10433795</v>
      </c>
      <c r="LO26" s="110">
        <f>LN26+BALANCING!LO13</f>
        <v>11344795</v>
      </c>
      <c r="LP26" s="110">
        <f>LO26+BALANCING!LP13</f>
        <v>12068795</v>
      </c>
      <c r="LQ26" s="110">
        <f>LP26+BALANCING!LQ13</f>
        <v>13118837</v>
      </c>
      <c r="LR26" s="110">
        <f>LQ26+BALANCING!LR13</f>
        <v>14481837</v>
      </c>
      <c r="LS26" s="110">
        <f>LR26+BALANCING!LS13</f>
        <v>15627137</v>
      </c>
      <c r="LT26" s="110">
        <f>LS26+BALANCING!LT13</f>
        <v>17458137</v>
      </c>
      <c r="LU26" s="110">
        <f>LT26+BALANCING!LU13</f>
        <v>18707137</v>
      </c>
      <c r="LV26" s="110">
        <f>LU26+BALANCING!LV13</f>
        <v>20081137</v>
      </c>
      <c r="LW26" s="110">
        <f>LV26+BALANCING!LW13</f>
        <v>21583387</v>
      </c>
      <c r="LX26" s="110">
        <f>LW26+BALANCING!LX13</f>
        <v>23166887</v>
      </c>
      <c r="LY26" s="110">
        <f>LX26+BALANCING!LY13</f>
        <v>24441887</v>
      </c>
      <c r="LZ26" s="110">
        <f>LY26+BALANCING!LZ13</f>
        <v>26141901</v>
      </c>
      <c r="MA26" s="110">
        <f>LZ26+BALANCING!MA13</f>
        <v>26731351</v>
      </c>
      <c r="MB26" s="110">
        <f>MA26+BALANCING!MB13</f>
        <v>28048351</v>
      </c>
      <c r="MC26" s="110">
        <f>MB26+BALANCING!MC13</f>
        <v>28594351</v>
      </c>
      <c r="MD26" s="110">
        <f>MC26+BALANCING!MD13</f>
        <v>29303101</v>
      </c>
      <c r="ME26" s="110">
        <f>MD26+BALANCING!ME13</f>
        <v>30701299</v>
      </c>
      <c r="MF26" s="110">
        <f>ME26+BALANCING!MF13</f>
        <v>31398441</v>
      </c>
      <c r="MG26" s="110">
        <f>MF26+BALANCING!MG13</f>
        <v>33543941</v>
      </c>
      <c r="MH26" s="110">
        <f>MG26+BALANCING!MH13</f>
        <v>34482441</v>
      </c>
      <c r="MI26" s="110">
        <f>MH26+BALANCING!MI13</f>
        <v>35442486</v>
      </c>
      <c r="MJ26" s="133"/>
      <c r="MK26" s="110">
        <f>MJ26+BALANCING!MK13</f>
        <v>1090164</v>
      </c>
      <c r="ML26" s="110">
        <f>MK26+BALANCING!ML13</f>
        <v>2246664</v>
      </c>
      <c r="MM26" s="110">
        <f>ML26+BALANCING!MM13</f>
        <v>2840564</v>
      </c>
      <c r="MN26" s="110">
        <f>MM26+BALANCING!MN13</f>
        <v>3701464</v>
      </c>
      <c r="MO26" s="110">
        <f>MN26+BALANCING!MO13</f>
        <v>4519464</v>
      </c>
      <c r="MP26" s="110">
        <f>MO26+BALANCING!MP13</f>
        <v>5513464</v>
      </c>
      <c r="MQ26" s="110">
        <f>MP26+BALANCING!MQ13</f>
        <v>6314464</v>
      </c>
      <c r="MR26" s="110">
        <f>MQ26+BALANCING!MR13</f>
        <v>7218464</v>
      </c>
      <c r="MS26" s="110">
        <f>MR26+BALANCING!MS13</f>
        <v>7814464</v>
      </c>
      <c r="MT26" s="110">
        <f>MS26+BALANCING!MT13</f>
        <v>9091842</v>
      </c>
      <c r="MU26" s="110">
        <f>MT26+BALANCING!MU13</f>
        <v>10462310</v>
      </c>
      <c r="MV26" s="110">
        <f>MU26+BALANCING!MV13</f>
        <v>12309654</v>
      </c>
      <c r="MW26" s="110">
        <f>MV26+BALANCING!MW13</f>
        <v>13262104</v>
      </c>
      <c r="MX26" s="110">
        <f>MW26+BALANCING!MX13</f>
        <v>14320104</v>
      </c>
      <c r="MY26" s="110">
        <f>MX26+BALANCING!MY13</f>
        <v>15290104</v>
      </c>
      <c r="MZ26" s="110">
        <f>MY26+BALANCING!MZ13</f>
        <v>16817104</v>
      </c>
      <c r="NA26" s="110">
        <f>MZ26+BALANCING!NA13</f>
        <v>18004904</v>
      </c>
      <c r="NB26" s="110">
        <f>NA26+BALANCING!NB13</f>
        <v>19219929</v>
      </c>
      <c r="NC26" s="110">
        <f>NB26+BALANCING!NC13</f>
        <v>20838927</v>
      </c>
      <c r="ND26" s="110">
        <f>NC26+BALANCING!ND13</f>
        <v>22170927</v>
      </c>
      <c r="NE26" s="110">
        <f>ND26+BALANCING!NE13</f>
        <v>23040427</v>
      </c>
      <c r="NF26" s="110">
        <f>NE26+BALANCING!NF13</f>
        <v>24788387</v>
      </c>
      <c r="NG26" s="110">
        <f>NF26+BALANCING!NG13</f>
        <v>25509387</v>
      </c>
      <c r="NH26" s="110">
        <f>NG26+BALANCING!NH13</f>
        <v>26682387</v>
      </c>
      <c r="NI26" s="110">
        <f>NH26+BALANCING!NI13</f>
        <v>27819387</v>
      </c>
      <c r="NJ26" s="110">
        <f>NI26+BALANCING!NJ13</f>
        <v>28733273</v>
      </c>
      <c r="NK26" s="110">
        <f>NJ26+BALANCING!NK13</f>
        <v>29797273</v>
      </c>
      <c r="NL26" s="110">
        <f>NK26+BALANCING!NL13</f>
        <v>30256273</v>
      </c>
      <c r="NM26" s="110">
        <f>NL26+BALANCING!NM13</f>
        <v>31071273</v>
      </c>
      <c r="NN26" s="110">
        <f>NM26+BALANCING!NN13</f>
        <v>32590961</v>
      </c>
      <c r="NO26" s="110">
        <f>NN26+BALANCING!NO13</f>
        <v>33504961</v>
      </c>
      <c r="NP26" s="133"/>
      <c r="NQ26" s="110">
        <f>NP26+BALANCING!NQ13</f>
        <v>573000</v>
      </c>
      <c r="NR26" s="110">
        <f>NQ26+BALANCING!NR13</f>
        <v>2490456</v>
      </c>
      <c r="NS26" s="110">
        <f>NR26+BALANCING!NS13</f>
        <v>3613960</v>
      </c>
      <c r="NT26" s="110">
        <f>NS26+BALANCING!NT13</f>
        <v>4874160</v>
      </c>
      <c r="NU26" s="110">
        <f>NT26+BALANCING!NU13</f>
        <v>5584660</v>
      </c>
      <c r="NV26" s="110">
        <f>NU26+BALANCING!NV13</f>
        <v>6614660</v>
      </c>
      <c r="NW26" s="110">
        <f>NV26+BALANCING!NW13</f>
        <v>7600310</v>
      </c>
      <c r="NX26" s="110">
        <f>NW26+BALANCING!NX13</f>
        <v>8344310</v>
      </c>
      <c r="NY26" s="110">
        <f>NX26+BALANCING!NY13</f>
        <v>9117210</v>
      </c>
      <c r="NZ26" s="110">
        <f>NY26+BALANCING!NZ13</f>
        <v>9579210</v>
      </c>
      <c r="OA26" s="110">
        <f>NZ26+BALANCING!OA13</f>
        <v>10031210</v>
      </c>
      <c r="OB26" s="110">
        <f>OA26+BALANCING!OB13</f>
        <v>10588210</v>
      </c>
      <c r="OC26" s="110">
        <f>OB26+BALANCING!OC13</f>
        <v>11624040</v>
      </c>
      <c r="OD26" s="110">
        <f>OC26+BALANCING!OD13</f>
        <v>13171040</v>
      </c>
      <c r="OE26" s="110">
        <f>OD26+BALANCING!OE13</f>
        <v>15089440</v>
      </c>
      <c r="OF26" s="110">
        <f>OE26+BALANCING!OF13</f>
        <v>17341440</v>
      </c>
      <c r="OG26" s="110">
        <f>OF26+BALANCING!OG13</f>
        <v>18893340</v>
      </c>
      <c r="OH26" s="110">
        <f>OG26+BALANCING!OH13</f>
        <v>19570340</v>
      </c>
      <c r="OI26" s="110">
        <f>OH26+BALANCING!OI13</f>
        <v>20552540</v>
      </c>
      <c r="OJ26" s="110">
        <f>OI26+BALANCING!OJ13</f>
        <v>21667540</v>
      </c>
      <c r="OK26" s="110">
        <f>OJ26+BALANCING!OK13</f>
        <v>22653540</v>
      </c>
      <c r="OL26" s="110">
        <f>OK26+BALANCING!OL13</f>
        <v>23577540</v>
      </c>
      <c r="OM26" s="110">
        <f>OL26+BALANCING!OM13</f>
        <v>23919540</v>
      </c>
      <c r="ON26" s="110">
        <f>OM26+BALANCING!ON13</f>
        <v>25233540</v>
      </c>
      <c r="OO26" s="110">
        <f>ON26+BALANCING!OO13</f>
        <v>25723540</v>
      </c>
      <c r="OP26" s="110">
        <f>OO26+BALANCING!OP13</f>
        <v>27128634</v>
      </c>
      <c r="OQ26" s="110">
        <f>OP26+BALANCING!OQ13</f>
        <v>28275637</v>
      </c>
      <c r="OR26" s="110">
        <f>OQ26+BALANCING!OR13</f>
        <v>28972049</v>
      </c>
      <c r="OS26" s="110">
        <f>OR26+BALANCING!OS13</f>
        <v>30150447</v>
      </c>
      <c r="OT26" s="110">
        <f>OS26+BALANCING!OT13</f>
        <v>31442447</v>
      </c>
      <c r="OU26" s="110">
        <f>OT26+BALANCING!OU13</f>
        <v>32501447</v>
      </c>
      <c r="OV26" s="130"/>
      <c r="OW26" s="110">
        <f>OV26+BALANCING!OW13</f>
        <v>1082000</v>
      </c>
      <c r="OX26" s="110">
        <f>OW26+BALANCING!OX13</f>
        <v>2203495</v>
      </c>
      <c r="OY26" s="110">
        <f>OX26+BALANCING!OY13</f>
        <v>3470475</v>
      </c>
      <c r="OZ26" s="110">
        <f>OY26+BALANCING!OZ13</f>
        <v>4240475</v>
      </c>
      <c r="PA26" s="110">
        <f>OZ26+BALANCING!PA13</f>
        <v>5208475</v>
      </c>
      <c r="PB26" s="110">
        <f>PA26+BALANCING!PB13</f>
        <v>6319475</v>
      </c>
      <c r="PC26" s="110">
        <f>PB26+BALANCING!PC13</f>
        <v>7181975</v>
      </c>
      <c r="PD26" s="110">
        <f>PC26+BALANCING!PD13</f>
        <v>8806975</v>
      </c>
      <c r="PE26" s="110">
        <f>PD26+BALANCING!PE13</f>
        <v>9595175</v>
      </c>
      <c r="PF26" s="110">
        <f>PE26+BALANCING!PF13</f>
        <v>10313175</v>
      </c>
      <c r="PG26" s="110">
        <f>PF26+BALANCING!PG13</f>
        <v>11574175</v>
      </c>
      <c r="PH26" s="110">
        <f>PG26+BALANCING!PH13</f>
        <v>12919175</v>
      </c>
      <c r="PI26" s="110">
        <f>PH26+BALANCING!PI13</f>
        <v>14649713</v>
      </c>
      <c r="PJ26" s="110">
        <f>PI26+BALANCING!PJ13</f>
        <v>15541713</v>
      </c>
      <c r="PK26" s="110">
        <f>PJ26+BALANCING!PK13</f>
        <v>16276613</v>
      </c>
      <c r="PL26" s="110">
        <f>PK26+BALANCING!PL13</f>
        <v>17331745</v>
      </c>
      <c r="PM26" s="110">
        <f>PL26+BALANCING!PM13</f>
        <v>17686745</v>
      </c>
      <c r="PN26" s="110">
        <f>PM26+BALANCING!PN13</f>
        <v>18944245</v>
      </c>
      <c r="PO26" s="110">
        <f>PN26+BALANCING!PO13</f>
        <v>20484445</v>
      </c>
      <c r="PP26" s="110">
        <f>PO26+BALANCING!PP13</f>
        <v>23267593</v>
      </c>
      <c r="PQ26" s="110">
        <f>PP26+BALANCING!PQ13</f>
        <v>24079593</v>
      </c>
      <c r="PR26" s="110">
        <f>PQ26+BALANCING!PR13</f>
        <v>24621607</v>
      </c>
      <c r="PS26" s="110">
        <f>PR26+BALANCING!PS13</f>
        <v>25316607</v>
      </c>
      <c r="PT26" s="110">
        <f>PS26+BALANCING!PT13</f>
        <v>26040607</v>
      </c>
      <c r="PU26" s="110">
        <f>PT26+BALANCING!PU13</f>
        <v>26700587</v>
      </c>
      <c r="PV26" s="110">
        <f>PU26+BALANCING!PV13</f>
        <v>27891587</v>
      </c>
      <c r="PW26" s="110">
        <f>PV26+BALANCING!PW13</f>
        <v>28690587</v>
      </c>
      <c r="PX26" s="110">
        <f>PW26+BALANCING!PX13</f>
        <v>29534087</v>
      </c>
      <c r="PY26" s="110">
        <f>PX26+BALANCING!PY13</f>
        <v>30124087</v>
      </c>
      <c r="PZ26" s="110">
        <f>PY26+BALANCING!PZ13</f>
        <v>30860087</v>
      </c>
      <c r="QA26" s="130"/>
      <c r="QB26" s="110">
        <f>QA26+BALANCING!QB13</f>
        <v>768000</v>
      </c>
      <c r="QC26" s="110">
        <f>QB26+BALANCING!QC13</f>
        <v>1088000</v>
      </c>
      <c r="QD26" s="110">
        <f>QC26+BALANCING!QD13</f>
        <v>1995100</v>
      </c>
      <c r="QE26" s="110">
        <f>QD26+BALANCING!QE13</f>
        <v>2464100</v>
      </c>
      <c r="QF26" s="110">
        <f>QE26+BALANCING!QF13</f>
        <v>4036250</v>
      </c>
      <c r="QG26" s="110">
        <f>QF26+BALANCING!QG13</f>
        <v>4834250</v>
      </c>
      <c r="QH26" s="110">
        <f>QG26+BALANCING!QH13</f>
        <v>5946250</v>
      </c>
      <c r="QI26" s="110">
        <f>QH26+BALANCING!QI13</f>
        <v>6525230</v>
      </c>
      <c r="QJ26" s="110">
        <f>QI26+BALANCING!QJ13</f>
        <v>7361330</v>
      </c>
      <c r="QK26" s="110">
        <f>QJ26+BALANCING!QK13</f>
        <v>7985330</v>
      </c>
      <c r="QL26" s="110">
        <f>QK26+BALANCING!QL13</f>
        <v>8842880</v>
      </c>
      <c r="QM26" s="110">
        <f>QL26+BALANCING!QM13</f>
        <v>9751880</v>
      </c>
      <c r="QN26" s="110">
        <f>QM26+BALANCING!QN13</f>
        <v>11192782</v>
      </c>
      <c r="QO26" s="110">
        <f>QN26+BALANCING!QO13</f>
        <v>12868182</v>
      </c>
      <c r="QP26" s="110">
        <f>QO26+BALANCING!QP13</f>
        <v>13839882</v>
      </c>
      <c r="QQ26" s="110">
        <f>QP26+BALANCING!QQ13</f>
        <v>15183382</v>
      </c>
      <c r="QR26" s="110">
        <f>QQ26+BALANCING!QR13</f>
        <v>16234232</v>
      </c>
      <c r="QS26" s="110">
        <f>QR26+BALANCING!QS13</f>
        <v>17374682</v>
      </c>
      <c r="QT26" s="110">
        <f>QS26+BALANCING!QT13</f>
        <v>18606182</v>
      </c>
      <c r="QU26" s="110">
        <f>QT26+BALANCING!QU13</f>
        <v>18986182</v>
      </c>
      <c r="QV26" s="110">
        <f>QU26+BALANCING!QV13</f>
        <v>19739582</v>
      </c>
      <c r="QW26" s="110">
        <f>QV26+BALANCING!QW13</f>
        <v>20581682</v>
      </c>
      <c r="QX26" s="110">
        <f>QW26+BALANCING!QX13</f>
        <v>21066682</v>
      </c>
      <c r="QY26" s="110">
        <f>QX26+BALANCING!QY13</f>
        <v>21469642</v>
      </c>
      <c r="QZ26" s="110">
        <f>QY26+BALANCING!QZ13</f>
        <v>23575642</v>
      </c>
      <c r="RA26" s="110">
        <f>QZ26+BALANCING!RA13</f>
        <v>25052642</v>
      </c>
      <c r="RB26" s="110">
        <f>RA26+BALANCING!RB13</f>
        <v>25319642</v>
      </c>
      <c r="RC26" s="110">
        <f>RB26+BALANCING!RC13</f>
        <v>26579642</v>
      </c>
      <c r="RD26" s="110">
        <f>RC26+BALANCING!RD13</f>
        <v>27175830</v>
      </c>
      <c r="RE26" s="110">
        <f>RD26+BALANCING!RE13</f>
        <v>27965830</v>
      </c>
      <c r="RF26" s="110">
        <f>RE26+BALANCING!RF13</f>
        <v>28919330</v>
      </c>
      <c r="RG26" s="130"/>
      <c r="RH26" s="110">
        <f>RG26+BALANCING!RH13</f>
        <v>888000</v>
      </c>
      <c r="RI26" s="110">
        <f>RH26+BALANCING!RI13</f>
        <v>1985000</v>
      </c>
      <c r="RJ26" s="110">
        <f>RI26+BALANCING!RJ13</f>
        <v>2643000</v>
      </c>
      <c r="RK26" s="110">
        <f>RJ26+BALANCING!RK13</f>
        <v>3480017</v>
      </c>
      <c r="RL26" s="110">
        <f>RK26+BALANCING!RL13</f>
        <v>4290002</v>
      </c>
      <c r="RM26" s="110">
        <f>RL26+BALANCING!RM13</f>
        <v>5642782</v>
      </c>
      <c r="RN26" s="110">
        <f>RM26+BALANCING!RN13</f>
        <v>6400782</v>
      </c>
      <c r="RO26" s="110">
        <f>RN26+BALANCING!RO13</f>
        <v>7577782</v>
      </c>
      <c r="RP26" s="110">
        <f>RO26+BALANCING!RP13</f>
        <v>8681782</v>
      </c>
      <c r="RQ26" s="110">
        <f>RP26+BALANCING!RQ13</f>
        <v>9328534</v>
      </c>
      <c r="RR26" s="110">
        <f>RQ26+BALANCING!RR13</f>
        <v>9948534</v>
      </c>
      <c r="RS26" s="110">
        <f>RR26+BALANCING!RS13</f>
        <v>12126534</v>
      </c>
      <c r="RT26" s="110">
        <f>RS26+BALANCING!RT13</f>
        <v>13206133</v>
      </c>
      <c r="RU26" s="110">
        <f>RT26+BALANCING!RU13</f>
        <v>13616133</v>
      </c>
      <c r="RV26" s="110">
        <f>RU26+BALANCING!RV13</f>
        <v>14074133</v>
      </c>
      <c r="RW26" s="110">
        <f>RV26+BALANCING!RW13</f>
        <v>14595133</v>
      </c>
      <c r="RX26" s="110">
        <f>RW26+BALANCING!RX13</f>
        <v>15477133</v>
      </c>
      <c r="RY26" s="110">
        <f>RX26+BALANCING!RY13</f>
        <v>16211133</v>
      </c>
      <c r="RZ26" s="110">
        <f>RY26+BALANCING!RZ13</f>
        <v>17145133</v>
      </c>
      <c r="SA26" s="110">
        <f>RZ26+BALANCING!SA13</f>
        <v>18337133</v>
      </c>
      <c r="SB26" s="110">
        <f>SA26+BALANCING!SB13</f>
        <v>19174975</v>
      </c>
      <c r="SC26" s="110">
        <f>SB26+BALANCING!SC13</f>
        <v>20014975</v>
      </c>
      <c r="SD26" s="110">
        <f>SC26+BALANCING!SD13</f>
        <v>20602975</v>
      </c>
      <c r="SE26" s="110">
        <f>SD26+BALANCING!SE13</f>
        <v>21052975</v>
      </c>
      <c r="SF26" s="110">
        <f>SE26+BALANCING!SF13</f>
        <v>22218775</v>
      </c>
      <c r="SG26" s="110">
        <f>SF26+BALANCING!SG13</f>
        <v>23053108</v>
      </c>
      <c r="SH26" s="110">
        <f>SG26+BALANCING!SH13</f>
        <v>25113108</v>
      </c>
      <c r="SI26" s="110">
        <f>SH26+BALANCING!SI13</f>
        <v>26038488</v>
      </c>
      <c r="SJ26" s="110">
        <f>SI26+BALANCING!SJ13</f>
        <v>27178488</v>
      </c>
      <c r="SK26" s="110">
        <f>SJ26+BALANCING!SK13</f>
        <v>28383488</v>
      </c>
      <c r="SL26" s="130"/>
      <c r="SM26" s="110">
        <f>SL26+BALANCING!SM13</f>
        <v>408900</v>
      </c>
      <c r="SN26" s="110">
        <f>SM26+BALANCING!SN13</f>
        <v>1228900</v>
      </c>
      <c r="SO26" s="110">
        <f>SN26+BALANCING!SO13</f>
        <v>2504300</v>
      </c>
      <c r="SP26" s="110">
        <f>SO26+BALANCING!SP13</f>
        <v>3685800</v>
      </c>
      <c r="SQ26" s="110">
        <f>SP26+BALANCING!SQ13</f>
        <v>5256650</v>
      </c>
      <c r="SR26" s="110">
        <f>SQ26+BALANCING!SR13</f>
        <v>6060150</v>
      </c>
      <c r="SS26" s="110">
        <f>SR26+BALANCING!SS13</f>
        <v>7529150</v>
      </c>
      <c r="ST26" s="110">
        <f>SS26+BALANCING!ST13</f>
        <v>8807952</v>
      </c>
      <c r="SU26" s="110">
        <f>ST26+BALANCING!SU13</f>
        <v>10177952</v>
      </c>
      <c r="SV26" s="110">
        <f>SU26+BALANCING!SV13</f>
        <v>11893080</v>
      </c>
      <c r="SW26" s="110">
        <f>SV26+BALANCING!SW13</f>
        <v>13483080</v>
      </c>
      <c r="SX26" s="110">
        <f>SW26+BALANCING!SX13</f>
        <v>14305880</v>
      </c>
      <c r="SY26" s="110">
        <f>SX26+BALANCING!SY13</f>
        <v>16595970</v>
      </c>
      <c r="SZ26" s="110">
        <f>SY26+BALANCING!SZ13</f>
        <v>17744079</v>
      </c>
      <c r="TA26" s="110">
        <f>SZ26+BALANCING!TA13</f>
        <v>18700079</v>
      </c>
      <c r="TB26" s="110">
        <f>TA26+BALANCING!TB13</f>
        <v>20447969</v>
      </c>
      <c r="TC26" s="110">
        <f>TB26+BALANCING!TC13</f>
        <v>22482919</v>
      </c>
      <c r="TD26" s="110">
        <f>TC26+BALANCING!TD13</f>
        <v>23083919</v>
      </c>
      <c r="TE26" s="110">
        <f>TD26+BALANCING!TE13</f>
        <v>24943141</v>
      </c>
      <c r="TF26" s="110">
        <f>TE26+BALANCING!TF13</f>
        <v>26124570</v>
      </c>
      <c r="TG26" s="110">
        <f>TF26+BALANCING!TG13</f>
        <v>27371570</v>
      </c>
      <c r="TH26" s="110">
        <f>TG26+BALANCING!TH13</f>
        <v>30417834</v>
      </c>
      <c r="TI26" s="110">
        <f>TH26+BALANCING!TI13</f>
        <v>31613834</v>
      </c>
      <c r="TJ26" s="110">
        <f>TI26+BALANCING!TJ13</f>
        <v>32185834</v>
      </c>
      <c r="TK26" s="110">
        <f>TJ26+BALANCING!TK13</f>
        <v>32965393</v>
      </c>
      <c r="TL26" s="110">
        <f>TK26+BALANCING!TL13</f>
        <v>33636393</v>
      </c>
      <c r="TM26" s="110">
        <f>TL26+BALANCING!TM13</f>
        <v>35297745</v>
      </c>
      <c r="TN26" s="110">
        <f>TM26+BALANCING!TN13</f>
        <v>35915745</v>
      </c>
      <c r="TO26" s="110">
        <f>TN26+BALANCING!TO13</f>
        <v>37229245</v>
      </c>
      <c r="TP26" s="110">
        <f>TO26+BALANCING!TP13</f>
        <v>37872245</v>
      </c>
      <c r="TQ26" s="110">
        <f>TP26+BALANCING!TQ13</f>
        <v>39255245</v>
      </c>
      <c r="TR26" s="130"/>
      <c r="TS26" s="110">
        <f>TR26+BALANCING!TS13</f>
        <v>641000</v>
      </c>
      <c r="TT26" s="110">
        <f>TS26+BALANCING!TT13</f>
        <v>1488000</v>
      </c>
      <c r="TU26" s="110">
        <f>TT26+BALANCING!TU13</f>
        <v>2243000</v>
      </c>
      <c r="TV26" s="110">
        <f>TU26+BALANCING!TV13</f>
        <v>4144000</v>
      </c>
      <c r="TW26" s="110">
        <f>TV26+BALANCING!TW13</f>
        <v>5411800</v>
      </c>
      <c r="TX26" s="110">
        <f>TW26+BALANCING!TX13</f>
        <v>7132800</v>
      </c>
      <c r="TY26" s="110">
        <f>TX26+BALANCING!TY13</f>
        <v>7972800</v>
      </c>
      <c r="TZ26" s="110">
        <f>TY26+BALANCING!TZ13</f>
        <v>9602800</v>
      </c>
      <c r="UA26" s="110">
        <f>TZ26+BALANCING!UA13</f>
        <v>10504800</v>
      </c>
      <c r="UB26" s="110">
        <f>UA26+BALANCING!UB13</f>
        <v>12961390</v>
      </c>
      <c r="UC26" s="110">
        <f>UB26+BALANCING!UC13</f>
        <v>13499390</v>
      </c>
      <c r="UD26" s="110">
        <f>UC26+BALANCING!UD13</f>
        <v>14875390</v>
      </c>
      <c r="UE26" s="110">
        <f>UD26+BALANCING!UE13</f>
        <v>16267090</v>
      </c>
      <c r="UF26" s="110">
        <f>UE26+BALANCING!UF13</f>
        <v>18066690</v>
      </c>
      <c r="UG26" s="110">
        <f>UF26+BALANCING!UG13</f>
        <v>20355690</v>
      </c>
      <c r="UH26" s="110">
        <f>UG26+BALANCING!UH13</f>
        <v>22078190</v>
      </c>
      <c r="UI26" s="110">
        <f>UH26+BALANCING!UI13</f>
        <v>23558190</v>
      </c>
      <c r="UJ26" s="110">
        <f>UI26+BALANCING!UJ13</f>
        <v>25462190</v>
      </c>
      <c r="UK26" s="110">
        <f>UJ26+BALANCING!UK13</f>
        <v>27021190</v>
      </c>
      <c r="UL26" s="110">
        <f>UK26+BALANCING!UL13</f>
        <v>28114190</v>
      </c>
      <c r="UM26" s="110">
        <f>UL26+BALANCING!UM13</f>
        <v>29139253</v>
      </c>
      <c r="UN26" s="110">
        <f>UM26+BALANCING!UN13</f>
        <v>29913753</v>
      </c>
      <c r="UO26" s="110">
        <f>UN26+BALANCING!UO13</f>
        <v>31059753</v>
      </c>
      <c r="UP26" s="110">
        <f>UO26+BALANCING!UP13</f>
        <v>32738753</v>
      </c>
      <c r="UQ26" s="110">
        <f>UP26+BALANCING!UQ13</f>
        <v>34165753</v>
      </c>
      <c r="UR26" s="110">
        <f>UQ26+BALANCING!UR13</f>
        <v>35016753</v>
      </c>
      <c r="US26" s="110">
        <f>UR26+BALANCING!US13</f>
        <v>36667753</v>
      </c>
      <c r="UT26" s="110">
        <f>US26+BALANCING!UT13</f>
        <v>38096753</v>
      </c>
      <c r="UU26" s="110">
        <f>UT26+BALANCING!UU13</f>
        <v>38877753</v>
      </c>
      <c r="UV26" s="110">
        <f>UU26+BALANCING!UV13</f>
        <v>39245753</v>
      </c>
      <c r="UW26" s="110">
        <f>UV26+BALANCING!UW13</f>
        <v>40436753</v>
      </c>
      <c r="UX26" s="130"/>
      <c r="UY26" s="110">
        <f>UX26+BALANCING!UY13</f>
        <v>796000</v>
      </c>
      <c r="UZ26" s="110">
        <f>UY26+BALANCING!UZ13</f>
        <v>1662000</v>
      </c>
      <c r="VA26" s="110">
        <f>UZ26+BALANCING!VA13</f>
        <v>4017260</v>
      </c>
      <c r="VB26" s="110">
        <f>VA26+BALANCING!VB13</f>
        <v>4922260</v>
      </c>
      <c r="VC26" s="110">
        <f>VB26+BALANCING!VC13</f>
        <v>5949260</v>
      </c>
      <c r="VD26" s="110">
        <f>VC26+BALANCING!VD13</f>
        <v>7243260</v>
      </c>
      <c r="VE26" s="110">
        <f>VD26+BALANCING!VE13</f>
        <v>8069760</v>
      </c>
      <c r="VF26" s="110">
        <f>VE26+BALANCING!VF13</f>
        <v>10094760</v>
      </c>
      <c r="VG26" s="110">
        <f>VF26+BALANCING!VG13</f>
        <v>10320760</v>
      </c>
      <c r="VH26" s="110">
        <f>VG26+BALANCING!VH13</f>
        <v>11353760</v>
      </c>
      <c r="VI26" s="110">
        <f>VH26+BALANCING!VI13</f>
        <v>11815760</v>
      </c>
      <c r="VJ26" s="110">
        <f>VI26+BALANCING!VJ13</f>
        <v>12765760</v>
      </c>
      <c r="VK26" s="110">
        <f>VJ26+BALANCING!VK13</f>
        <v>13649760</v>
      </c>
      <c r="VL26" s="110">
        <f>VK26+BALANCING!VL13</f>
        <v>14513760</v>
      </c>
      <c r="VM26" s="110">
        <f>VL26+BALANCING!VM13</f>
        <v>15602760</v>
      </c>
      <c r="VN26" s="110">
        <f>VM26+BALANCING!VN13</f>
        <v>16833280</v>
      </c>
      <c r="VO26" s="110">
        <f>VN26+BALANCING!VO13</f>
        <v>17395280</v>
      </c>
      <c r="VP26" s="110">
        <f>VO26+BALANCING!VP13</f>
        <v>17779280</v>
      </c>
      <c r="VQ26" s="110">
        <f>VP26+BALANCING!VQ13</f>
        <v>18689280</v>
      </c>
      <c r="VR26" s="110">
        <f>VQ26+BALANCING!VR13</f>
        <v>19938386</v>
      </c>
      <c r="VS26" s="110">
        <f>VR26+BALANCING!VS13</f>
        <v>21433386</v>
      </c>
      <c r="VT26" s="110">
        <f>VS26+BALANCING!VT13</f>
        <v>23293386</v>
      </c>
      <c r="VU26" s="110">
        <f>VT26+BALANCING!VU13</f>
        <v>24553886</v>
      </c>
      <c r="VV26" s="110">
        <f>VU26+BALANCING!VV13</f>
        <v>26519218</v>
      </c>
      <c r="VW26" s="110">
        <f>VV26+BALANCING!VW13</f>
        <v>27556218</v>
      </c>
      <c r="VX26" s="110">
        <f>VW26+BALANCING!VX13</f>
        <v>29436218</v>
      </c>
      <c r="VY26" s="110">
        <f>VX26+BALANCING!VY13</f>
        <v>31320218</v>
      </c>
      <c r="VZ26" s="110">
        <f>VY26+BALANCING!VZ13</f>
        <v>32570218</v>
      </c>
      <c r="WA26" s="133"/>
      <c r="WB26" s="110">
        <f>WA26+BALANCING!WB13</f>
        <v>1608652</v>
      </c>
      <c r="WC26" s="110">
        <f>WB26+BALANCING!WC13</f>
        <v>2525652</v>
      </c>
      <c r="WD26" s="110">
        <f>WC26+BALANCING!WD13</f>
        <v>3437152</v>
      </c>
      <c r="WE26" s="110">
        <f>WD26+BALANCING!WE13</f>
        <v>4277152</v>
      </c>
      <c r="WF26" s="110">
        <f>WE26+BALANCING!WF13</f>
        <v>5244352</v>
      </c>
      <c r="WG26" s="110">
        <f>WF26+BALANCING!WG13</f>
        <v>6374352</v>
      </c>
      <c r="WH26" s="110">
        <f>WG26+BALANCING!WH13</f>
        <v>7103352</v>
      </c>
      <c r="WI26" s="110">
        <f>WH26+BALANCING!WI13</f>
        <v>7485352</v>
      </c>
      <c r="WJ26" s="110">
        <f>WI26+BALANCING!WJ13</f>
        <v>7969352</v>
      </c>
      <c r="WK26" s="110">
        <f>WJ26+BALANCING!WK13</f>
        <v>8810352</v>
      </c>
      <c r="WL26" s="110">
        <f>WK26+BALANCING!WL13</f>
        <v>10420352</v>
      </c>
      <c r="WM26" s="110">
        <f>WL26+BALANCING!WM13</f>
        <v>10931352</v>
      </c>
      <c r="WN26" s="110">
        <f>WM26+BALANCING!WN13</f>
        <v>11542852</v>
      </c>
      <c r="WO26" s="110">
        <f>WN26+BALANCING!WO13</f>
        <v>12593852</v>
      </c>
      <c r="WP26" s="110">
        <f>WO26+BALANCING!WP13</f>
        <v>14254902</v>
      </c>
      <c r="WQ26" s="110">
        <f>WP26+BALANCING!WQ13</f>
        <v>15139902</v>
      </c>
      <c r="WR26" s="110">
        <f>WQ26+BALANCING!WR13</f>
        <v>15243902</v>
      </c>
      <c r="WS26" s="110">
        <f>WR26+BALANCING!WS13</f>
        <v>15243902</v>
      </c>
      <c r="WT26" s="110">
        <f>WS26+BALANCING!WT13</f>
        <v>15722607</v>
      </c>
      <c r="WU26" s="110">
        <f>WT26+BALANCING!WU13</f>
        <v>16282607</v>
      </c>
      <c r="WV26" s="110">
        <f>WU26+BALANCING!WV13</f>
        <v>16860607</v>
      </c>
      <c r="WW26" s="110">
        <f>WV26+BALANCING!WW13</f>
        <v>18299607</v>
      </c>
      <c r="WX26" s="110">
        <f>WW26+BALANCING!WX13</f>
        <v>19221607</v>
      </c>
      <c r="WY26" s="110">
        <f>WX26+BALANCING!WY13</f>
        <v>21225607</v>
      </c>
      <c r="WZ26" s="110">
        <f>WY26+BALANCING!WZ13</f>
        <v>21580607</v>
      </c>
      <c r="XA26" s="110">
        <f>WZ26+BALANCING!XA13</f>
        <v>23198607</v>
      </c>
      <c r="XB26" s="110">
        <f>XA26+BALANCING!XB13</f>
        <v>24627407</v>
      </c>
      <c r="XC26" s="110">
        <f>XB26+BALANCING!XC13</f>
        <v>25920881</v>
      </c>
      <c r="XD26" s="110">
        <f>XC26+BALANCING!XD13</f>
        <v>26573881</v>
      </c>
      <c r="XE26" s="110">
        <f>XD26+BALANCING!XE13</f>
        <v>29035881</v>
      </c>
      <c r="XF26" s="110">
        <f>XE26+BALANCING!XF13</f>
        <v>30421881</v>
      </c>
      <c r="XG26" s="133"/>
      <c r="XH26" s="110">
        <f>XG26+BALANCING!XH13</f>
        <v>1520000</v>
      </c>
      <c r="XI26" s="110">
        <f>XH26+BALANCING!XI13</f>
        <v>2683890</v>
      </c>
      <c r="XJ26" s="110">
        <f>XI26+BALANCING!XJ13</f>
        <v>4708890</v>
      </c>
      <c r="XK26" s="110">
        <f>XJ26+BALANCING!XK13</f>
        <v>5705890</v>
      </c>
      <c r="XL26" s="110">
        <f>XK26+BALANCING!XL13</f>
        <v>6932475</v>
      </c>
      <c r="XM26" s="110">
        <f>XL26+BALANCING!XM13</f>
        <v>7578475</v>
      </c>
      <c r="XN26" s="110">
        <f>XM26+BALANCING!XN13</f>
        <v>9032440</v>
      </c>
      <c r="XO26" s="110">
        <f>XN26+BALANCING!XO13</f>
        <v>9759640</v>
      </c>
      <c r="XP26" s="110">
        <f>XO26+BALANCING!XP13</f>
        <v>10308490</v>
      </c>
      <c r="XQ26" s="110">
        <f>XP26+BALANCING!XQ13</f>
        <v>11066490</v>
      </c>
      <c r="XR26" s="110">
        <f>XQ26+BALANCING!XR13</f>
        <v>11773490</v>
      </c>
      <c r="XS26" s="110">
        <f>XR26+BALANCING!XS13</f>
        <v>13639444</v>
      </c>
      <c r="XT26" s="110">
        <f>XS26+BALANCING!XT13</f>
        <v>14384444</v>
      </c>
      <c r="XU26" s="110">
        <f>XT26+BALANCING!XU13</f>
        <v>15842294</v>
      </c>
      <c r="XV26" s="110">
        <f>XU26+BALANCING!XV13</f>
        <v>17132294</v>
      </c>
      <c r="XW26" s="110">
        <f>XV26+BALANCING!XW13</f>
        <v>18167294</v>
      </c>
      <c r="XX26" s="110">
        <f>XW26+BALANCING!XX13</f>
        <v>19259294</v>
      </c>
      <c r="XY26" s="110">
        <f>XX26+BALANCING!XY13</f>
        <v>19789294</v>
      </c>
      <c r="XZ26" s="110">
        <f>XY26+BALANCING!XZ13</f>
        <v>20414324</v>
      </c>
      <c r="YA26" s="110">
        <f>XZ26+BALANCING!YA13</f>
        <v>20764324</v>
      </c>
      <c r="YB26" s="110">
        <f>YA26+BALANCING!YB13</f>
        <v>21750324</v>
      </c>
      <c r="YC26" s="110">
        <f>YB26+BALANCING!YC13</f>
        <v>22746324</v>
      </c>
      <c r="YD26" s="110">
        <f>YC26+BALANCING!YD13</f>
        <v>24688324</v>
      </c>
      <c r="YE26" s="110">
        <f>YD26+BALANCING!YE13</f>
        <v>25220324</v>
      </c>
      <c r="YF26" s="110">
        <f>YE26+BALANCING!YF13</f>
        <v>26141324</v>
      </c>
      <c r="YG26" s="110">
        <f>YF26+BALANCING!YG13</f>
        <v>26911324</v>
      </c>
      <c r="YH26" s="110">
        <f>YG26+BALANCING!YH13</f>
        <v>27597324</v>
      </c>
      <c r="YI26" s="110">
        <f>YH26+BALANCING!YI13</f>
        <v>27970324</v>
      </c>
      <c r="YJ26" s="110">
        <f>YI26+BALANCING!YJ13</f>
        <v>29180590</v>
      </c>
      <c r="YK26" s="110">
        <f>YJ26+BALANCING!YK13</f>
        <v>29538590</v>
      </c>
      <c r="YL26" s="130"/>
      <c r="YM26" s="110">
        <f>YL26+BALANCING!YM13</f>
        <v>2827000</v>
      </c>
      <c r="YN26" s="110">
        <f>YM26+BALANCING!YN13</f>
        <v>3925256</v>
      </c>
      <c r="YO26" s="110">
        <f>YN26+BALANCING!YO13</f>
        <v>4862256</v>
      </c>
      <c r="YP26" s="110">
        <f>YO26+BALANCING!YP13</f>
        <v>5726756</v>
      </c>
      <c r="YQ26" s="110">
        <f>YP26+BALANCING!YQ13</f>
        <v>7041756</v>
      </c>
      <c r="YR26" s="110">
        <f>YQ26+BALANCING!YR13</f>
        <v>8144756</v>
      </c>
      <c r="YS26" s="110">
        <f>YR26+BALANCING!YS13</f>
        <v>9314432</v>
      </c>
      <c r="YT26" s="110">
        <f>YS26+BALANCING!YT13</f>
        <v>10050932</v>
      </c>
      <c r="YU26" s="110">
        <f>YT26+BALANCING!YU13</f>
        <v>11032932</v>
      </c>
      <c r="YV26" s="110">
        <f>YU26+BALANCING!YV13</f>
        <v>12268764</v>
      </c>
      <c r="YW26" s="110">
        <f>YV26+BALANCING!YW13</f>
        <v>13520764</v>
      </c>
      <c r="YX26" s="110">
        <f>YW26+BALANCING!YX13</f>
        <v>14361214</v>
      </c>
      <c r="YY26" s="110">
        <f>YX26+BALANCING!YY13</f>
        <v>15185214</v>
      </c>
      <c r="YZ26" s="110">
        <f>YY26+BALANCING!YZ13</f>
        <v>15918714</v>
      </c>
      <c r="ZA26" s="110">
        <f>YZ26+BALANCING!ZA13</f>
        <v>17711714</v>
      </c>
      <c r="ZB26" s="110">
        <f>ZA26+BALANCING!ZB13</f>
        <v>19103714</v>
      </c>
      <c r="ZC26" s="110">
        <f>ZB26+BALANCING!ZC13</f>
        <v>19745714</v>
      </c>
      <c r="ZD26" s="110">
        <f>ZC26+BALANCING!ZD13</f>
        <v>20626714</v>
      </c>
      <c r="ZE26" s="110">
        <f>ZD26+BALANCING!ZE13</f>
        <v>22187714</v>
      </c>
      <c r="ZF26" s="110">
        <f>ZE26+BALANCING!ZF13</f>
        <v>22657714</v>
      </c>
      <c r="ZG26" s="110">
        <f>ZF26+BALANCING!ZG13</f>
        <v>23952414</v>
      </c>
      <c r="ZH26" s="110">
        <f>ZG26+BALANCING!ZH13</f>
        <v>25427164</v>
      </c>
      <c r="ZI26" s="110">
        <f>ZH26+BALANCING!ZI13</f>
        <v>26495164</v>
      </c>
      <c r="ZJ26" s="110">
        <f>ZI26+BALANCING!ZJ13</f>
        <v>27820164</v>
      </c>
      <c r="ZK26" s="110">
        <f>ZJ26+BALANCING!ZK13</f>
        <v>28626664</v>
      </c>
      <c r="ZL26" s="110">
        <f>ZK26+BALANCING!ZL13</f>
        <v>30083383</v>
      </c>
      <c r="ZM26" s="110">
        <f>ZL26+BALANCING!ZM13</f>
        <v>32598383</v>
      </c>
      <c r="ZN26" s="110">
        <f>ZM26+BALANCING!ZN13</f>
        <v>34003383</v>
      </c>
      <c r="ZO26" s="110">
        <f>ZN26+BALANCING!ZO13</f>
        <v>34665883</v>
      </c>
      <c r="ZP26" s="110">
        <f>ZO26+BALANCING!ZP13</f>
        <v>35508383</v>
      </c>
      <c r="ZQ26" s="110">
        <f>ZP26+BALANCING!ZQ13</f>
        <v>36314383</v>
      </c>
      <c r="ZR26" s="130"/>
      <c r="ZS26" s="110">
        <f>ZR26+BALANCING!ZS13</f>
        <v>1700000</v>
      </c>
      <c r="ZT26" s="110">
        <f>ZS26+BALANCING!ZT13</f>
        <v>2707000</v>
      </c>
      <c r="ZU26" s="110">
        <f>ZT26+BALANCING!ZU13</f>
        <v>3965000</v>
      </c>
      <c r="ZV26" s="110">
        <f>ZU26+BALANCING!ZV13</f>
        <v>6002740</v>
      </c>
      <c r="ZW26" s="110">
        <f>ZV26+BALANCING!ZW13</f>
        <v>7402740</v>
      </c>
      <c r="ZX26" s="110">
        <f>ZW26+BALANCING!ZX13</f>
        <v>8960786</v>
      </c>
      <c r="ZY26" s="110">
        <f>ZX26+BALANCING!ZY13</f>
        <v>10028736</v>
      </c>
      <c r="ZZ26" s="110">
        <f>ZY26+BALANCING!ZZ13</f>
        <v>10903236</v>
      </c>
      <c r="AAA26" s="110">
        <f>ZZ26+BALANCING!AAA13</f>
        <v>12403236</v>
      </c>
      <c r="AAB26" s="110">
        <f>AAA26+BALANCING!AAB13</f>
        <v>13223236</v>
      </c>
      <c r="AAC26" s="110">
        <f>AAB26+BALANCING!AAC13</f>
        <v>13780236</v>
      </c>
      <c r="AAD26" s="110">
        <f>AAC26+BALANCING!AAD13</f>
        <v>15575236</v>
      </c>
      <c r="AAE26" s="110">
        <f>AAD26+BALANCING!AAE13</f>
        <v>16839236</v>
      </c>
      <c r="AAF26" s="110">
        <f>AAE26+BALANCING!AAF13</f>
        <v>18123052</v>
      </c>
      <c r="AAG26" s="110">
        <f>AAF26+BALANCING!AAG13</f>
        <v>18969524</v>
      </c>
      <c r="AAH26" s="110">
        <f>AAG26+BALANCING!AAH13</f>
        <v>19832224</v>
      </c>
      <c r="AAI26" s="110">
        <f>AAH26+BALANCING!AAI13</f>
        <v>21118224</v>
      </c>
      <c r="AAJ26" s="110">
        <f>AAI26+BALANCING!AAJ13</f>
        <v>22202056</v>
      </c>
      <c r="AAK26" s="110">
        <f>AAJ26+BALANCING!AAK13</f>
        <v>23939538</v>
      </c>
      <c r="AAL26" s="110">
        <f>AAK26+BALANCING!AAL13</f>
        <v>25880138</v>
      </c>
      <c r="AAM26" s="110">
        <f>AAL26+BALANCING!AAM13</f>
        <v>26737018</v>
      </c>
      <c r="AAN26" s="110">
        <f>AAM26+BALANCING!AAN13</f>
        <v>28322018</v>
      </c>
      <c r="AAO26" s="110">
        <f>AAN26+BALANCING!AAO13</f>
        <v>29387018</v>
      </c>
      <c r="AAP26" s="110">
        <f>AAO26+BALANCING!AAP13</f>
        <v>30686518</v>
      </c>
      <c r="AAQ26" s="110">
        <f>AAP26+BALANCING!AAQ13</f>
        <v>31589027</v>
      </c>
      <c r="AAR26" s="110">
        <f>AAQ26+BALANCING!AAR13</f>
        <v>33296027</v>
      </c>
      <c r="AAS26" s="110">
        <f>AAR26+BALANCING!AAS13</f>
        <v>34636027</v>
      </c>
      <c r="AAT26" s="110">
        <f>AAS26+BALANCING!AAT13</f>
        <v>36024527</v>
      </c>
      <c r="AAU26" s="110">
        <f>AAT26+BALANCING!AAU13</f>
        <v>36928527</v>
      </c>
      <c r="AAV26" s="110">
        <f>AAU26+BALANCING!AAV13</f>
        <v>38632527</v>
      </c>
      <c r="AAW26" s="130"/>
      <c r="AAX26" s="110">
        <f>AAW26+BALANCING!AAX13</f>
        <v>989000</v>
      </c>
      <c r="AAY26" s="110">
        <f>AAX26+BALANCING!AAY13</f>
        <v>1464000</v>
      </c>
      <c r="AAZ26" s="110">
        <f>AAY26+BALANCING!AAZ13</f>
        <v>2342000</v>
      </c>
      <c r="ABA26" s="110">
        <f>AAZ26+BALANCING!ABA13</f>
        <v>4053000</v>
      </c>
      <c r="ABB26" s="110">
        <f>ABA26+BALANCING!ABB13</f>
        <v>5056500</v>
      </c>
      <c r="ABC26" s="110">
        <f>ABB26+BALANCING!ABC13</f>
        <v>6756000</v>
      </c>
      <c r="ABD26" s="110">
        <f>ABC26+BALANCING!ABD13</f>
        <v>7296200</v>
      </c>
      <c r="ABE26" s="110">
        <f>ABD26+BALANCING!ABE13</f>
        <v>9188197</v>
      </c>
      <c r="ABF26" s="110">
        <f>ABE26+BALANCING!ABF13</f>
        <v>9831197</v>
      </c>
      <c r="ABG26" s="110">
        <f>ABF26+BALANCING!ABG13</f>
        <v>10914739</v>
      </c>
      <c r="ABH26" s="110">
        <f>ABG26+BALANCING!ABH13</f>
        <v>13422974</v>
      </c>
      <c r="ABI26" s="110">
        <f>ABH26+BALANCING!ABI13</f>
        <v>14352974</v>
      </c>
      <c r="ABJ26" s="110">
        <f>ABI26+BALANCING!ABJ13</f>
        <v>16152974</v>
      </c>
      <c r="ABK26" s="110">
        <f>ABJ26+BALANCING!ABK13</f>
        <v>17689805</v>
      </c>
      <c r="ABL26" s="110">
        <f>ABK26+BALANCING!ABL13</f>
        <v>18617805</v>
      </c>
      <c r="ABM26" s="110">
        <f>ABL26+BALANCING!ABM13</f>
        <v>19272805</v>
      </c>
      <c r="ABN26" s="110">
        <f>ABM26+BALANCING!ABN13</f>
        <v>21293805</v>
      </c>
      <c r="ABO26" s="110">
        <f>ABN26+BALANCING!ABO13</f>
        <v>22963605</v>
      </c>
      <c r="ABP26" s="110">
        <f>ABO26+BALANCING!ABP13</f>
        <v>24288605</v>
      </c>
      <c r="ABQ26" s="110">
        <f>ABP26+BALANCING!ABQ13</f>
        <v>25364805</v>
      </c>
      <c r="ABR26" s="110">
        <f>ABQ26+BALANCING!ABR13</f>
        <v>26527431</v>
      </c>
      <c r="ABS26" s="110">
        <f>ABR26+BALANCING!ABS13</f>
        <v>27723931</v>
      </c>
      <c r="ABT26" s="110">
        <f>ABS26+BALANCING!ABT13</f>
        <v>28875335</v>
      </c>
      <c r="ABU26" s="110">
        <f>ABT26+BALANCING!ABU13</f>
        <v>29827344</v>
      </c>
      <c r="ABV26" s="110">
        <f>ABU26+BALANCING!ABV13</f>
        <v>30757344</v>
      </c>
      <c r="ABW26" s="110">
        <f>ABV26+BALANCING!ABW13</f>
        <v>31841344</v>
      </c>
      <c r="ABX26" s="110">
        <f>ABW26+BALANCING!ABX13</f>
        <v>32491344</v>
      </c>
      <c r="ABY26" s="110">
        <f>ABX26+BALANCING!ABY13</f>
        <v>33755344</v>
      </c>
      <c r="ABZ26" s="110">
        <f>ABY26+BALANCING!ABZ13</f>
        <v>34593844</v>
      </c>
      <c r="ACA26" s="110">
        <f>ABZ26+BALANCING!ACA13</f>
        <v>35906844</v>
      </c>
      <c r="ACB26" s="110">
        <f>ACA26+BALANCING!ACB13</f>
        <v>37903344</v>
      </c>
      <c r="ACC26" s="130"/>
      <c r="ACD26" s="110">
        <f>ACC26+BALANCING!ACD13</f>
        <v>913000</v>
      </c>
      <c r="ACE26" s="110">
        <f>ACD26+BALANCING!ACE13</f>
        <v>3070364</v>
      </c>
      <c r="ACF26" s="110">
        <f>ACE26+BALANCING!ACF13</f>
        <v>4131364</v>
      </c>
      <c r="ACG26" s="110">
        <f>ACF26+BALANCING!ACG13</f>
        <v>7060864</v>
      </c>
      <c r="ACH26" s="110">
        <f>ACG26+BALANCING!ACH13</f>
        <v>7932864</v>
      </c>
      <c r="ACI26" s="110">
        <f>ACH26+BALANCING!ACI13</f>
        <v>9873864</v>
      </c>
      <c r="ACJ26" s="110">
        <f>ACI26+BALANCING!ACJ13</f>
        <v>12462411</v>
      </c>
      <c r="ACK26" s="110">
        <f>ACJ26+BALANCING!ACK13</f>
        <v>13928661</v>
      </c>
      <c r="ACL26" s="110">
        <f>ACK26+BALANCING!ACL13</f>
        <v>15313661</v>
      </c>
      <c r="ACM26" s="110">
        <f>ACL26+BALANCING!ACM13</f>
        <v>15853661</v>
      </c>
      <c r="ACN26" s="110">
        <f>ACM26+BALANCING!ACN13</f>
        <v>17171661</v>
      </c>
      <c r="ACO26" s="110">
        <f>ACN26+BALANCING!ACO13</f>
        <v>18366161</v>
      </c>
      <c r="ACP26" s="110">
        <f>ACO26+BALANCING!ACP13</f>
        <v>19282314</v>
      </c>
      <c r="ACQ26" s="110">
        <f>ACP26+BALANCING!ACQ13</f>
        <v>20248390</v>
      </c>
      <c r="ACR26" s="110">
        <f>ACQ26+BALANCING!ACR13</f>
        <v>21089390</v>
      </c>
      <c r="ACS26" s="110">
        <f>ACR26+BALANCING!ACS13</f>
        <v>22777990</v>
      </c>
      <c r="ACT26" s="110">
        <f>ACS26+BALANCING!ACT13</f>
        <v>23928990</v>
      </c>
      <c r="ACU26" s="110">
        <f>ACT26+BALANCING!ACU13</f>
        <v>25596525</v>
      </c>
      <c r="ACV26" s="110">
        <f>ACU26+BALANCING!ACV13</f>
        <v>26415525</v>
      </c>
      <c r="ACW26" s="110">
        <f>ACV26+BALANCING!ACW13</f>
        <v>27382715</v>
      </c>
      <c r="ACX26" s="110">
        <f>ACW26+BALANCING!ACX13</f>
        <v>28092905</v>
      </c>
      <c r="ACY26" s="110">
        <f>ACX26+BALANCING!ACY13</f>
        <v>30824905</v>
      </c>
      <c r="ACZ26" s="110">
        <f>ACY26+BALANCING!ACZ13</f>
        <v>31595238</v>
      </c>
      <c r="ADA26" s="110">
        <f>ACZ26+BALANCING!ADA13</f>
        <v>33125738</v>
      </c>
      <c r="ADB26" s="110">
        <f>ADA26+BALANCING!ADB13</f>
        <v>34590469</v>
      </c>
      <c r="ADC26" s="110">
        <f>ADB26+BALANCING!ADC13</f>
        <v>35341669</v>
      </c>
      <c r="ADD26" s="110">
        <f>ADC26+BALANCING!ADD13</f>
        <v>36156669</v>
      </c>
      <c r="ADE26" s="110">
        <f>ADD26+BALANCING!ADE13</f>
        <v>36629669</v>
      </c>
      <c r="ADF26" s="110">
        <f>ADE26+BALANCING!ADF13</f>
        <v>37568669</v>
      </c>
      <c r="ADG26" s="110">
        <f>ADF26+BALANCING!ADG13</f>
        <v>38634669</v>
      </c>
      <c r="ADH26" s="110">
        <f>ADG26+BALANCING!ADH13</f>
        <v>39112669</v>
      </c>
      <c r="ADI26" s="130"/>
      <c r="ADJ26" s="110">
        <f>ADI26+BALANCING!ADJ13</f>
        <v>1126000</v>
      </c>
      <c r="ADK26" s="110">
        <f>ADJ26+BALANCING!ADK13</f>
        <v>2768601</v>
      </c>
      <c r="ADL26" s="110">
        <f>ADK26+BALANCING!ADL13</f>
        <v>4306601</v>
      </c>
      <c r="ADM26" s="110">
        <f>ADL26+BALANCING!ADM13</f>
        <v>5717347</v>
      </c>
      <c r="ADN26" s="110">
        <f>ADM26+BALANCING!ADN13</f>
        <v>6816347</v>
      </c>
      <c r="ADO26" s="110">
        <f>ADN26+BALANCING!ADO13</f>
        <v>8002347</v>
      </c>
      <c r="ADP26" s="110">
        <f>ADO26+BALANCING!ADP13</f>
        <v>9110147</v>
      </c>
      <c r="ADQ26" s="110">
        <f>ADP26+BALANCING!ADQ13</f>
        <v>9852147</v>
      </c>
      <c r="ADR26" s="110">
        <f>ADQ26+BALANCING!ADR13</f>
        <v>10872147</v>
      </c>
      <c r="ADS26" s="110">
        <f>ADR26+BALANCING!ADS13</f>
        <v>11792727</v>
      </c>
      <c r="ADT26" s="110">
        <f>ADS26+BALANCING!ADT13</f>
        <v>12895822</v>
      </c>
      <c r="ADU26" s="110">
        <f>ADT26+BALANCING!ADU13</f>
        <v>15122931</v>
      </c>
      <c r="ADV26" s="110">
        <f>ADU26+BALANCING!ADV13</f>
        <v>16084931</v>
      </c>
      <c r="ADW26" s="110">
        <f>ADV26+BALANCING!ADW13</f>
        <v>17346931</v>
      </c>
      <c r="ADX26" s="110">
        <f>ADW26+BALANCING!ADX13</f>
        <v>18229431</v>
      </c>
      <c r="ADY26" s="110">
        <f>ADX26+BALANCING!ADY13</f>
        <v>18740431</v>
      </c>
      <c r="ADZ26" s="110">
        <f>ADY26+BALANCING!ADZ13</f>
        <v>19686491</v>
      </c>
      <c r="AEA26" s="110">
        <f>ADZ26+BALANCING!AEA13</f>
        <v>21094891</v>
      </c>
      <c r="AEB26" s="110">
        <f>AEA26+BALANCING!AEB13</f>
        <v>22417891</v>
      </c>
      <c r="AEC26" s="110">
        <f>AEB26+BALANCING!AEC13</f>
        <v>23385891</v>
      </c>
      <c r="AED26" s="110">
        <f>AEC26+BALANCING!AED13</f>
        <v>24746891</v>
      </c>
      <c r="AEE26" s="110">
        <f>AED26+BALANCING!AEE13</f>
        <v>25681891</v>
      </c>
      <c r="AEF26" s="110">
        <f>AEE26+BALANCING!AEF13</f>
        <v>26725891</v>
      </c>
      <c r="AEG26" s="110">
        <f>AEF26+BALANCING!AEG13</f>
        <v>28097891</v>
      </c>
      <c r="AEH26" s="110">
        <f>AEG26+BALANCING!AEH13</f>
        <v>29373891</v>
      </c>
      <c r="AEI26" s="110">
        <f>AEH26+BALANCING!AEI13</f>
        <v>30377891</v>
      </c>
      <c r="AEJ26" s="110">
        <f>AEI26+BALANCING!AEJ13</f>
        <v>32278891</v>
      </c>
      <c r="AEK26" s="110">
        <f>AEJ26+BALANCING!AEK13</f>
        <v>33270891</v>
      </c>
      <c r="AEL26" s="110">
        <f>AEK26+BALANCING!AEL13</f>
        <v>33902891</v>
      </c>
      <c r="AEM26" s="110">
        <f>AEL26+BALANCING!AEM13</f>
        <v>35548891</v>
      </c>
      <c r="AEN26" s="130"/>
      <c r="AEO26" s="110">
        <f>AEN26+BALANCING!AEO13</f>
        <v>935893</v>
      </c>
      <c r="AEP26" s="110">
        <f>AEO26+BALANCING!AEP13</f>
        <v>1825893</v>
      </c>
      <c r="AEQ26" s="110">
        <f>AEP26+BALANCING!AEQ13</f>
        <v>2865933</v>
      </c>
      <c r="AER26" s="110">
        <f>AEQ26+BALANCING!AER13</f>
        <v>4984933</v>
      </c>
      <c r="AES26" s="110">
        <f>AER26+BALANCING!AES13</f>
        <v>6012036</v>
      </c>
      <c r="AET26" s="110">
        <f>AES26+BALANCING!AET13</f>
        <v>6956536</v>
      </c>
      <c r="AEU26" s="110">
        <f>AET26+BALANCING!AEU13</f>
        <v>7659536</v>
      </c>
      <c r="AEV26" s="110">
        <f>AEU26+BALANCING!AEV13</f>
        <v>9769678</v>
      </c>
      <c r="AEW26" s="110">
        <f>AEV26+BALANCING!AEW13</f>
        <v>11454578</v>
      </c>
      <c r="AEX26" s="110">
        <f>AEW26+BALANCING!AEX13</f>
        <v>14113067</v>
      </c>
      <c r="AEY26" s="110">
        <f>AEX26+BALANCING!AEY13</f>
        <v>15648067</v>
      </c>
      <c r="AEZ26" s="110">
        <f>AEY26+BALANCING!AEZ13</f>
        <v>17009855</v>
      </c>
      <c r="AFA26" s="110">
        <f>AEZ26+BALANCING!AFA13</f>
        <v>19117839</v>
      </c>
      <c r="AFB26" s="110">
        <f>AFA26+BALANCING!AFB13</f>
        <v>19471839</v>
      </c>
      <c r="AFC26" s="110">
        <f>AFB26+BALANCING!AFC13</f>
        <v>20128981</v>
      </c>
      <c r="AFD26" s="110">
        <f>AFC26+BALANCING!AFD13</f>
        <v>20889981</v>
      </c>
      <c r="AFE26" s="110">
        <f>AFD26+BALANCING!AFE13</f>
        <v>21620005</v>
      </c>
      <c r="AFF26" s="110">
        <f>AFE26+BALANCING!AFF13</f>
        <v>22509005</v>
      </c>
      <c r="AFG26" s="110">
        <f>AFF26+BALANCING!AFG13</f>
        <v>23358005</v>
      </c>
      <c r="AFH26" s="110">
        <f>AFG26+BALANCING!AFH13</f>
        <v>23983005</v>
      </c>
      <c r="AFI26" s="110">
        <f>AFH26+BALANCING!AFI13</f>
        <v>25085005</v>
      </c>
      <c r="AFJ26" s="110">
        <f>AFI26+BALANCING!AFJ13</f>
        <v>26368005</v>
      </c>
      <c r="AFK26" s="110">
        <f>AFJ26+BALANCING!AFK13</f>
        <v>27604832</v>
      </c>
      <c r="AFL26" s="110">
        <f>AFK26+BALANCING!AFL13</f>
        <v>28578832</v>
      </c>
      <c r="AFM26" s="110">
        <f>AFL26+BALANCING!AFM13</f>
        <v>29978832</v>
      </c>
      <c r="AFN26" s="110">
        <f>AFM26+BALANCING!AFN13</f>
        <v>31987806</v>
      </c>
      <c r="AFO26" s="110">
        <f>AFN26+BALANCING!AFO13</f>
        <v>32874136</v>
      </c>
      <c r="AFP26" s="110">
        <f>AFO26+BALANCING!AFP13</f>
        <v>33289136</v>
      </c>
      <c r="AFQ26" s="110">
        <f>AFP26+BALANCING!AFQ13</f>
        <v>33919861</v>
      </c>
      <c r="AFR26" s="110">
        <f>AFQ26+BALANCING!AFR13</f>
        <v>36114861</v>
      </c>
      <c r="AFS26" s="110">
        <f>AFR26+BALANCING!AFS13</f>
        <v>37645861</v>
      </c>
      <c r="AFT26" s="130"/>
      <c r="AFU26" s="110">
        <f>AFT26+BALANCING!AFU13</f>
        <v>599500</v>
      </c>
      <c r="AFV26" s="110">
        <f>AFU26+BALANCING!AFV13</f>
        <v>1820500</v>
      </c>
      <c r="AFW26" s="110">
        <f>AFV26+BALANCING!AFW13</f>
        <v>3605500</v>
      </c>
      <c r="AFX26" s="110">
        <f>AFW26+BALANCING!AFX13</f>
        <v>4120500</v>
      </c>
      <c r="AFY26" s="110">
        <f>AFX26+BALANCING!AFY13</f>
        <v>5403990</v>
      </c>
      <c r="AFZ26" s="110">
        <f>AFY26+BALANCING!AFZ13</f>
        <v>6480990</v>
      </c>
      <c r="AGA26" s="110">
        <f>AFZ26+BALANCING!AGA13</f>
        <v>7346990</v>
      </c>
      <c r="AGB26" s="110">
        <f>AGA26+BALANCING!AGB13</f>
        <v>7346990</v>
      </c>
      <c r="AGC26" s="110">
        <f>AGB26+BALANCING!AGC13</f>
        <v>7346990</v>
      </c>
      <c r="AGD26" s="110">
        <f>AGC26+BALANCING!AGD13</f>
        <v>7346990</v>
      </c>
      <c r="AGE26" s="110">
        <f>AGD26+BALANCING!AGE13</f>
        <v>7346990</v>
      </c>
      <c r="AGF26" s="110">
        <f>AGE26+BALANCING!AGF13</f>
        <v>7406990</v>
      </c>
      <c r="AGG26" s="110">
        <f>AGF26+BALANCING!AGG13</f>
        <v>7406990</v>
      </c>
      <c r="AGH26" s="110">
        <f>AGG26+BALANCING!AGH13</f>
        <v>7406990</v>
      </c>
      <c r="AGI26" s="110">
        <f>AGH26+BALANCING!AGI13</f>
        <v>7406990</v>
      </c>
      <c r="AGJ26" s="110">
        <f>AGI26+BALANCING!AGJ13</f>
        <v>7406990</v>
      </c>
      <c r="AGK26" s="110">
        <f>AGJ26+BALANCING!AGK13</f>
        <v>7406990</v>
      </c>
      <c r="AGL26" s="110">
        <f>AGK26+BALANCING!AGL13</f>
        <v>7406990</v>
      </c>
      <c r="AGM26" s="110">
        <f>AGL26+BALANCING!AGM13</f>
        <v>7406990</v>
      </c>
      <c r="AGN26" s="110">
        <f>AGM26+BALANCING!AGN13</f>
        <v>7406990</v>
      </c>
      <c r="AGO26" s="110">
        <f>AGN26+BALANCING!AGO13</f>
        <v>7536990</v>
      </c>
      <c r="AGP26" s="110">
        <f>AGO26+BALANCING!AGP13</f>
        <v>7536990</v>
      </c>
      <c r="AGQ26" s="110">
        <f>AGP26+BALANCING!AGQ13</f>
        <v>7536990</v>
      </c>
      <c r="AGR26" s="110">
        <f>AGQ26+BALANCING!AGR13</f>
        <v>7536990</v>
      </c>
      <c r="AGS26" s="110">
        <f>AGR26+BALANCING!AGS13</f>
        <v>7536990</v>
      </c>
      <c r="AGT26" s="110">
        <f>AGS26+BALANCING!AGT13</f>
        <v>7536990</v>
      </c>
      <c r="AGU26" s="110">
        <f>AGT26+BALANCING!AGU13</f>
        <v>7536990</v>
      </c>
      <c r="AGV26" s="110">
        <f>AGU26+BALANCING!AGV13</f>
        <v>7536990</v>
      </c>
      <c r="AGW26" s="110">
        <f>AGV26+BALANCING!AGW13</f>
        <v>7536990</v>
      </c>
      <c r="AGX26" s="110">
        <f>AGW26+BALANCING!AGX13</f>
        <v>7536990</v>
      </c>
      <c r="AGY26" s="133"/>
      <c r="AGZ26" s="110">
        <f>AGY26+BALANCING!AGZ13</f>
        <v>0</v>
      </c>
      <c r="AHA26" s="110">
        <f>AGZ26+BALANCING!AHA13</f>
        <v>0</v>
      </c>
      <c r="AHB26" s="110">
        <f>AHA26+BALANCING!AHB13</f>
        <v>0</v>
      </c>
      <c r="AHC26" s="110">
        <f>AHB26+BALANCING!AHC13</f>
        <v>0</v>
      </c>
      <c r="AHD26" s="110">
        <f>AHC26+BALANCING!AHD13</f>
        <v>0</v>
      </c>
      <c r="AHE26" s="110">
        <f>AHD26+BALANCING!AHE13</f>
        <v>0</v>
      </c>
      <c r="AHF26" s="110">
        <f>AHE26+BALANCING!AHF13</f>
        <v>0</v>
      </c>
      <c r="AHG26" s="110">
        <f>AHF26+BALANCING!AHG13</f>
        <v>0</v>
      </c>
      <c r="AHH26" s="110">
        <f>AHG26+BALANCING!AHH13</f>
        <v>0</v>
      </c>
      <c r="AHI26" s="110">
        <f>AHH26+BALANCING!AHI13</f>
        <v>0</v>
      </c>
      <c r="AHJ26" s="110">
        <f>AHI26+BALANCING!AHJ13</f>
        <v>0</v>
      </c>
      <c r="AHK26" s="110">
        <f>AHJ26+BALANCING!AHK13</f>
        <v>0</v>
      </c>
      <c r="AHL26" s="110">
        <f>AHK26+BALANCING!AHL13</f>
        <v>0</v>
      </c>
      <c r="AHM26" s="110">
        <f>AHL26+BALANCING!AHM13</f>
        <v>0</v>
      </c>
      <c r="AHN26" s="110">
        <f>AHM26+BALANCING!AHN13</f>
        <v>0</v>
      </c>
      <c r="AHO26" s="110">
        <f>AHN26+BALANCING!AHO13</f>
        <v>0</v>
      </c>
      <c r="AHP26" s="110">
        <f>AHO26+BALANCING!AHP13</f>
        <v>0</v>
      </c>
      <c r="AHQ26" s="110">
        <f>AHP26+BALANCING!AHQ13</f>
        <v>0</v>
      </c>
      <c r="AHR26" s="110">
        <f>AHQ26+BALANCING!AHR13</f>
        <v>0</v>
      </c>
      <c r="AHS26" s="110">
        <f>AHR26+BALANCING!AHS13</f>
        <v>0</v>
      </c>
      <c r="AHT26" s="110">
        <f>AHS26+BALANCING!AHT13</f>
        <v>0</v>
      </c>
      <c r="AHU26" s="110">
        <f>AHT26+BALANCING!AHU13</f>
        <v>0</v>
      </c>
      <c r="AHV26" s="110">
        <f>AHU26+BALANCING!AHV13</f>
        <v>0</v>
      </c>
      <c r="AHW26" s="110">
        <f>AHV26+BALANCING!AHW13</f>
        <v>0</v>
      </c>
      <c r="AHX26" s="110">
        <f>AHW26+BALANCING!AHX13</f>
        <v>0</v>
      </c>
      <c r="AHY26" s="110">
        <f>AHX26+BALANCING!AHY13</f>
        <v>0</v>
      </c>
      <c r="AHZ26" s="110">
        <f>AHY26+BALANCING!AHZ13</f>
        <v>0</v>
      </c>
      <c r="AIA26" s="110">
        <f>AHZ26+BALANCING!AIA13</f>
        <v>0</v>
      </c>
      <c r="AIB26" s="110">
        <f>AIA26+BALANCING!AIB13</f>
        <v>0</v>
      </c>
      <c r="AIC26" s="110">
        <f>AIB26+BALANCING!AIC13</f>
        <v>0</v>
      </c>
      <c r="AID26" s="110">
        <f>AIC26+BALANCING!AID13</f>
        <v>0</v>
      </c>
      <c r="AIE26" s="130"/>
      <c r="AIF26" s="110">
        <f>AIE26+BALANCING!AIF13</f>
        <v>0</v>
      </c>
      <c r="AIG26" s="110">
        <f>AIF26+BALANCING!AIG13</f>
        <v>0</v>
      </c>
      <c r="AIH26" s="110">
        <f>AIG26+BALANCING!AIH13</f>
        <v>0</v>
      </c>
      <c r="AII26" s="110">
        <f>AIH26+BALANCING!AII13</f>
        <v>0</v>
      </c>
      <c r="AIJ26" s="110">
        <f>AII26+BALANCING!AIJ13</f>
        <v>0</v>
      </c>
      <c r="AIK26" s="110">
        <f>AIJ26+BALANCING!AIK13</f>
        <v>0</v>
      </c>
      <c r="AIL26" s="110">
        <f>AIK26+BALANCING!AIL13</f>
        <v>0</v>
      </c>
      <c r="AIM26" s="110">
        <f>AIL26+BALANCING!AIM13</f>
        <v>0</v>
      </c>
      <c r="AIN26" s="110">
        <f>AIM26+BALANCING!AIN13</f>
        <v>0</v>
      </c>
      <c r="AIO26" s="110">
        <f>AIN26+BALANCING!AIO13</f>
        <v>0</v>
      </c>
      <c r="AIP26" s="110">
        <f>AIO26+BALANCING!AIP13</f>
        <v>0</v>
      </c>
      <c r="AIQ26" s="110">
        <f>AIP26+BALANCING!AIQ13</f>
        <v>0</v>
      </c>
      <c r="AIR26" s="110">
        <f>AIQ26+BALANCING!AIR13</f>
        <v>0</v>
      </c>
      <c r="AIS26" s="110">
        <f>AIR26+BALANCING!AIS13</f>
        <v>0</v>
      </c>
      <c r="AIT26" s="110">
        <f>AIS26+BALANCING!AIT13</f>
        <v>0</v>
      </c>
      <c r="AIU26" s="110">
        <f>AIT26+BALANCING!AIU13</f>
        <v>0</v>
      </c>
      <c r="AIV26" s="110">
        <f>AIU26+BALANCING!AIV13</f>
        <v>0</v>
      </c>
      <c r="AIW26" s="110">
        <f>AIV26+BALANCING!AIW13</f>
        <v>0</v>
      </c>
      <c r="AIX26" s="110">
        <f>AIW26+BALANCING!AIX13</f>
        <v>0</v>
      </c>
      <c r="AIY26" s="110">
        <f>AIX26+BALANCING!AIY13</f>
        <v>0</v>
      </c>
      <c r="AIZ26" s="110">
        <f>AIY26+BALANCING!AIZ13</f>
        <v>0</v>
      </c>
      <c r="AJA26" s="110">
        <f>AIZ26+BALANCING!AJA13</f>
        <v>0</v>
      </c>
      <c r="AJB26" s="110">
        <f>AJA26+BALANCING!AJB13</f>
        <v>0</v>
      </c>
      <c r="AJC26" s="110">
        <f>AJB26+BALANCING!AJC13</f>
        <v>0</v>
      </c>
      <c r="AJD26" s="110">
        <f>AJC26+BALANCING!AJD13</f>
        <v>0</v>
      </c>
      <c r="AJE26" s="110">
        <f>AJD26+BALANCING!AJE13</f>
        <v>0</v>
      </c>
      <c r="AJF26" s="110">
        <f>AJE26+BALANCING!AJF13</f>
        <v>0</v>
      </c>
      <c r="AJG26" s="110">
        <f>AJF26+BALANCING!AJG13</f>
        <v>0</v>
      </c>
      <c r="AJH26" s="110">
        <f>AJG26+BALANCING!AJH13</f>
        <v>0</v>
      </c>
      <c r="AJI26" s="110">
        <f>AJH26+BALANCING!AJI13</f>
        <v>0</v>
      </c>
      <c r="AJJ26" s="110">
        <f>AJI26+BALANCING!AJJ13</f>
        <v>0</v>
      </c>
      <c r="AJK26" s="145"/>
      <c r="AJL26" s="110">
        <f>AJK26+BALANCING!AJL13</f>
        <v>0</v>
      </c>
      <c r="AJM26" s="110">
        <f>AJL26+BALANCING!AJM13</f>
        <v>0</v>
      </c>
      <c r="AJN26" s="110">
        <f>AJM26+BALANCING!AJN13</f>
        <v>0</v>
      </c>
      <c r="AJO26" s="110">
        <f>AJN26+BALANCING!AJO13</f>
        <v>0</v>
      </c>
      <c r="AJP26" s="110">
        <f>AJO26+BALANCING!AJP13</f>
        <v>0</v>
      </c>
      <c r="AJQ26" s="110">
        <f>AJP26+BALANCING!AJQ13</f>
        <v>0</v>
      </c>
      <c r="AJR26" s="110">
        <f>AJQ26+BALANCING!AJR13</f>
        <v>0</v>
      </c>
      <c r="AJS26" s="110">
        <f>AJR26+BALANCING!AJS13</f>
        <v>0</v>
      </c>
      <c r="AJT26" s="110">
        <f>AJS26+BALANCING!AJT13</f>
        <v>0</v>
      </c>
      <c r="AJU26" s="110">
        <f>AJT26+BALANCING!AJU13</f>
        <v>0</v>
      </c>
      <c r="AJV26" s="110">
        <f>AJU26+BALANCING!AJV13</f>
        <v>0</v>
      </c>
      <c r="AJW26" s="110">
        <f>AJV26+BALANCING!AJW13</f>
        <v>0</v>
      </c>
      <c r="AJX26" s="110">
        <f>AJW26+BALANCING!AJX13</f>
        <v>0</v>
      </c>
      <c r="AJY26" s="110">
        <f>AJX26+BALANCING!AJY13</f>
        <v>0</v>
      </c>
      <c r="AJZ26" s="110">
        <f>AJY26+BALANCING!AJZ13</f>
        <v>0</v>
      </c>
      <c r="AKA26" s="110">
        <f>AJZ26+BALANCING!AKA13</f>
        <v>0</v>
      </c>
      <c r="AKB26" s="110">
        <f>AKA26+BALANCING!AKB13</f>
        <v>0</v>
      </c>
      <c r="AKC26" s="110">
        <f>AKB26+BALANCING!AKC13</f>
        <v>0</v>
      </c>
      <c r="AKD26" s="110">
        <f>AKC26+BALANCING!AKD13</f>
        <v>0</v>
      </c>
      <c r="AKE26" s="110">
        <f>AKD26+BALANCING!AKE13</f>
        <v>0</v>
      </c>
      <c r="AKF26" s="110">
        <f>AKE26+BALANCING!AKF13</f>
        <v>0</v>
      </c>
      <c r="AKG26" s="110">
        <f>AKF26+BALANCING!AKG13</f>
        <v>0</v>
      </c>
      <c r="AKH26" s="110">
        <f>AKG26+BALANCING!AKH13</f>
        <v>0</v>
      </c>
      <c r="AKI26" s="110">
        <f>AKH26+BALANCING!AKI13</f>
        <v>0</v>
      </c>
      <c r="AKJ26" s="110">
        <f>AKI26+BALANCING!AKJ13</f>
        <v>0</v>
      </c>
      <c r="AKK26" s="110">
        <f>AKJ26+BALANCING!AKK13</f>
        <v>0</v>
      </c>
      <c r="AKL26" s="110">
        <f>AKK26+BALANCING!AKL13</f>
        <v>0</v>
      </c>
      <c r="AKM26" s="110">
        <f>AKL26+BALANCING!AKM13</f>
        <v>0</v>
      </c>
      <c r="AKN26" s="112"/>
      <c r="AKO26" s="110">
        <f>AKN26+BALANCING!AKO13</f>
        <v>0</v>
      </c>
      <c r="AKP26" s="110">
        <f>AKO26+BALANCING!AKP13</f>
        <v>0</v>
      </c>
      <c r="AKQ26" s="110">
        <f>AKP26+BALANCING!AKQ13</f>
        <v>0</v>
      </c>
      <c r="AKR26" s="110">
        <f>AKQ26+BALANCING!AKR13</f>
        <v>0</v>
      </c>
      <c r="AKS26" s="110">
        <f>AKR26+BALANCING!AKS13</f>
        <v>0</v>
      </c>
      <c r="AKT26" s="110">
        <f>AKS26+BALANCING!AKT13</f>
        <v>0</v>
      </c>
      <c r="AKU26" s="110">
        <f>AKT26+BALANCING!AKU13</f>
        <v>0</v>
      </c>
      <c r="AKV26" s="110">
        <f>AKU26+BALANCING!AKV13</f>
        <v>0</v>
      </c>
      <c r="AKW26" s="110">
        <f>AKV26+BALANCING!AKW13</f>
        <v>0</v>
      </c>
      <c r="AKX26" s="110">
        <f>AKW26+BALANCING!AKX13</f>
        <v>0</v>
      </c>
      <c r="AKY26" s="110">
        <f>AKX26+BALANCING!AKY13</f>
        <v>0</v>
      </c>
      <c r="AKZ26" s="110">
        <f>AKY26+BALANCING!AKZ13</f>
        <v>0</v>
      </c>
      <c r="ALA26" s="110">
        <f>AKZ26+BALANCING!ALA13</f>
        <v>0</v>
      </c>
      <c r="ALB26" s="110">
        <f>ALA26+BALANCING!ALB13</f>
        <v>0</v>
      </c>
      <c r="ALC26" s="110">
        <f>ALB26+BALANCING!ALC13</f>
        <v>0</v>
      </c>
      <c r="ALD26" s="110">
        <f>ALC26+BALANCING!ALD13</f>
        <v>0</v>
      </c>
      <c r="ALE26" s="110">
        <f>ALD26+BALANCING!ALE13</f>
        <v>0</v>
      </c>
      <c r="ALF26" s="110">
        <f>ALE26+BALANCING!ALF13</f>
        <v>0</v>
      </c>
      <c r="ALG26" s="110">
        <f>ALF26+BALANCING!ALG13</f>
        <v>0</v>
      </c>
      <c r="ALH26" s="110">
        <f>ALG26+BALANCING!ALH13</f>
        <v>0</v>
      </c>
      <c r="ALI26" s="110">
        <f>ALH26+BALANCING!ALI13</f>
        <v>0</v>
      </c>
      <c r="ALJ26" s="110">
        <f>ALI26+BALANCING!ALJ13</f>
        <v>0</v>
      </c>
      <c r="ALK26" s="110">
        <f>ALJ26+BALANCING!ALK13</f>
        <v>0</v>
      </c>
      <c r="ALL26" s="110">
        <f>ALK26+BALANCING!ALL13</f>
        <v>0</v>
      </c>
      <c r="ALM26" s="110">
        <f>ALL26+BALANCING!ALM13</f>
        <v>0</v>
      </c>
      <c r="ALN26" s="110">
        <f>ALM26+BALANCING!ALN13</f>
        <v>0</v>
      </c>
      <c r="ALO26" s="110">
        <f>ALN26+BALANCING!ALO13</f>
        <v>0</v>
      </c>
      <c r="ALP26" s="110">
        <f>ALO26+BALANCING!ALP13</f>
        <v>0</v>
      </c>
      <c r="ALQ26" s="110">
        <f>ALP26+BALANCING!ALQ13</f>
        <v>0</v>
      </c>
      <c r="ALR26" s="110">
        <f>ALQ26+BALANCING!ALR13</f>
        <v>0</v>
      </c>
      <c r="ALS26" s="110">
        <f>ALR26+BALANCING!ALS13</f>
        <v>0</v>
      </c>
      <c r="ALT26" s="130"/>
      <c r="ALU26" s="110">
        <f>ALT26+BALANCING!ALU13</f>
        <v>0</v>
      </c>
      <c r="ALV26" s="110">
        <f>ALU26+BALANCING!ALV13</f>
        <v>0</v>
      </c>
      <c r="ALW26" s="110">
        <f>ALV26+BALANCING!ALW13</f>
        <v>0</v>
      </c>
      <c r="ALX26" s="110">
        <f>ALW26+BALANCING!ALX13</f>
        <v>0</v>
      </c>
      <c r="ALY26" s="110">
        <f>ALX26+BALANCING!ALY13</f>
        <v>0</v>
      </c>
      <c r="ALZ26" s="110">
        <f>ALY26+BALANCING!ALZ13</f>
        <v>0</v>
      </c>
      <c r="AMA26" s="110">
        <f>ALZ26+BALANCING!AMA13</f>
        <v>0</v>
      </c>
      <c r="AMB26" s="110">
        <f>AMA26+BALANCING!AMB13</f>
        <v>0</v>
      </c>
      <c r="AMC26" s="110">
        <f>AMB26+BALANCING!AMC13</f>
        <v>0</v>
      </c>
      <c r="AMD26" s="110">
        <f>AMC26+BALANCING!AMD13</f>
        <v>0</v>
      </c>
      <c r="AME26" s="110">
        <f>AMD26+BALANCING!AME13</f>
        <v>0</v>
      </c>
      <c r="AMF26" s="110">
        <f>AME26+BALANCING!AMF13</f>
        <v>0</v>
      </c>
      <c r="AMG26" s="110">
        <f>AMF26+BALANCING!AMG13</f>
        <v>0</v>
      </c>
      <c r="AMH26" s="110">
        <f>AMG26+BALANCING!AMH13</f>
        <v>0</v>
      </c>
      <c r="AMI26" s="110">
        <f>AMH26+BALANCING!AMI13</f>
        <v>0</v>
      </c>
      <c r="AMJ26" s="110">
        <f>AMI26+BALANCING!AMJ13</f>
        <v>0</v>
      </c>
      <c r="AMK26" s="110">
        <f>AMJ26+BALANCING!AMK13</f>
        <v>0</v>
      </c>
      <c r="AML26" s="110">
        <f>AMK26+BALANCING!AML13</f>
        <v>0</v>
      </c>
      <c r="AMM26" s="110">
        <f>AML26+BALANCING!AMM13</f>
        <v>0</v>
      </c>
      <c r="AMN26" s="110">
        <f>AMM26+BALANCING!AMN13</f>
        <v>0</v>
      </c>
      <c r="AMO26" s="110">
        <f>AMN26+BALANCING!AMO13</f>
        <v>0</v>
      </c>
      <c r="AMP26" s="110">
        <f>AMO26+BALANCING!AMP13</f>
        <v>0</v>
      </c>
      <c r="AMQ26" s="110">
        <f>AMP26+BALANCING!AMQ13</f>
        <v>0</v>
      </c>
      <c r="AMR26" s="110">
        <f>AMQ26+BALANCING!AMR13</f>
        <v>0</v>
      </c>
      <c r="AMS26" s="110">
        <f>AMR26+BALANCING!AMS13</f>
        <v>0</v>
      </c>
      <c r="AMT26" s="110">
        <f>AMS26+BALANCING!AMT13</f>
        <v>0</v>
      </c>
      <c r="AMU26" s="110">
        <f>AMT26+BALANCING!AMU13</f>
        <v>0</v>
      </c>
      <c r="AMV26" s="110">
        <f>AMU26+BALANCING!AMV13</f>
        <v>0</v>
      </c>
      <c r="AMW26" s="110">
        <f>AMV26+BALANCING!AMW13</f>
        <v>0</v>
      </c>
      <c r="AMX26" s="110">
        <f>AMW26+BALANCING!AMX13</f>
        <v>0</v>
      </c>
      <c r="AMY26" s="130"/>
      <c r="AMZ26" s="110">
        <f>AMY26+BALANCING!AMZ13</f>
        <v>0</v>
      </c>
      <c r="ANA26" s="110">
        <f>AMZ26+BALANCING!ANA13</f>
        <v>0</v>
      </c>
      <c r="ANB26" s="110">
        <f>ANA26+BALANCING!ANB13</f>
        <v>0</v>
      </c>
      <c r="ANC26" s="110">
        <f>ANB26+BALANCING!ANC13</f>
        <v>0</v>
      </c>
      <c r="AND26" s="110">
        <f>ANC26+BALANCING!AND13</f>
        <v>0</v>
      </c>
      <c r="ANE26" s="110">
        <f>AND26+BALANCING!ANE13</f>
        <v>0</v>
      </c>
      <c r="ANF26" s="110">
        <f>ANE26+BALANCING!ANF13</f>
        <v>0</v>
      </c>
      <c r="ANG26" s="110">
        <f>ANF26+BALANCING!ANG13</f>
        <v>0</v>
      </c>
      <c r="ANH26" s="110">
        <f>ANG26+BALANCING!ANH13</f>
        <v>0</v>
      </c>
      <c r="ANI26" s="110">
        <f>ANH26+BALANCING!ANI13</f>
        <v>0</v>
      </c>
      <c r="ANJ26" s="110">
        <f>ANI26+BALANCING!ANJ13</f>
        <v>0</v>
      </c>
      <c r="ANK26" s="110">
        <f>ANJ26+BALANCING!ANK13</f>
        <v>0</v>
      </c>
      <c r="ANL26" s="110">
        <f>ANK26+BALANCING!ANL13</f>
        <v>0</v>
      </c>
      <c r="ANM26" s="110">
        <f>ANL26+BALANCING!ANM13</f>
        <v>0</v>
      </c>
      <c r="ANN26" s="110">
        <f>ANM26+BALANCING!ANN13</f>
        <v>0</v>
      </c>
      <c r="ANO26" s="110">
        <f>ANN26+BALANCING!ANO13</f>
        <v>0</v>
      </c>
      <c r="ANP26" s="110">
        <f>ANO26+BALANCING!ANP13</f>
        <v>0</v>
      </c>
      <c r="ANQ26" s="110">
        <f>ANP26+BALANCING!ANQ13</f>
        <v>0</v>
      </c>
      <c r="ANR26" s="110">
        <f>ANQ26+BALANCING!ANR13</f>
        <v>0</v>
      </c>
      <c r="ANS26" s="110">
        <f>ANR26+BALANCING!ANS13</f>
        <v>0</v>
      </c>
      <c r="ANT26" s="110">
        <f>ANS26+BALANCING!ANT13</f>
        <v>0</v>
      </c>
      <c r="ANU26" s="110">
        <f>ANT26+BALANCING!ANU13</f>
        <v>0</v>
      </c>
      <c r="ANV26" s="110">
        <f>ANU26+BALANCING!ANV13</f>
        <v>0</v>
      </c>
      <c r="ANW26" s="110">
        <f>ANV26+BALANCING!ANW13</f>
        <v>0</v>
      </c>
      <c r="ANX26" s="110">
        <f>ANW26+BALANCING!ANX13</f>
        <v>0</v>
      </c>
      <c r="ANY26" s="110">
        <f>ANX26+BALANCING!ANY13</f>
        <v>0</v>
      </c>
      <c r="ANZ26" s="110">
        <f>ANY26+BALANCING!ANZ13</f>
        <v>0</v>
      </c>
      <c r="AOA26" s="110">
        <f>ANZ26+BALANCING!AOA13</f>
        <v>0</v>
      </c>
      <c r="AOB26" s="110">
        <f>AOA26+BALANCING!AOB13</f>
        <v>0</v>
      </c>
      <c r="AOC26" s="110">
        <f>AOB26+BALANCING!AOC13</f>
        <v>0</v>
      </c>
    </row>
    <row r="27" spans="1:1069" x14ac:dyDescent="0.2">
      <c r="A27" s="160"/>
      <c r="B27" t="s">
        <v>1659</v>
      </c>
      <c r="C27" s="52">
        <f>BALANCING!C14</f>
        <v>2169300</v>
      </c>
      <c r="D27" s="52">
        <f>C27+BALANCING!D14</f>
        <v>3373800</v>
      </c>
      <c r="E27" s="52">
        <f>D27+BALANCING!E14</f>
        <v>5559300</v>
      </c>
      <c r="F27" s="52">
        <f>E27+BALANCING!F14</f>
        <v>7132300</v>
      </c>
      <c r="G27" s="52">
        <f>F27+BALANCING!G14</f>
        <v>8140900</v>
      </c>
      <c r="H27" s="52">
        <f>G27+BALANCING!H14</f>
        <v>11040400</v>
      </c>
      <c r="I27" s="52">
        <f>H27+BALANCING!I14</f>
        <v>12156400</v>
      </c>
      <c r="J27" s="52">
        <f>I27+BALANCING!J14</f>
        <v>14393200</v>
      </c>
      <c r="K27" s="52">
        <f>J27+BALANCING!K14</f>
        <v>17693700</v>
      </c>
      <c r="L27" s="52">
        <f>K27+BALANCING!L14</f>
        <v>19286700</v>
      </c>
      <c r="M27" s="52">
        <f>L27+BALANCING!M14</f>
        <v>20621700</v>
      </c>
      <c r="N27" s="52">
        <f>M27+BALANCING!N14</f>
        <v>21881700</v>
      </c>
      <c r="O27" s="52">
        <f>N27+BALANCING!O14</f>
        <v>22919700</v>
      </c>
      <c r="P27" s="52">
        <f>O27+BALANCING!P14</f>
        <v>23940700</v>
      </c>
      <c r="Q27" s="52">
        <f>P27+BALANCING!Q14</f>
        <v>25478700</v>
      </c>
      <c r="R27" s="52">
        <f>Q27+BALANCING!R14</f>
        <v>26061300</v>
      </c>
      <c r="S27" s="52">
        <f>R27+BALANCING!S14</f>
        <v>27457300</v>
      </c>
      <c r="T27" s="52">
        <f>S27+BALANCING!T14</f>
        <v>28416300</v>
      </c>
      <c r="U27" s="52">
        <f>T27+BALANCING!U14</f>
        <v>29231300</v>
      </c>
      <c r="V27" s="52">
        <f>U27+BALANCING!V14</f>
        <v>30694600</v>
      </c>
      <c r="W27" s="52">
        <f>V27+BALANCING!W14</f>
        <v>31711600</v>
      </c>
      <c r="X27" s="52">
        <f>W27+BALANCING!X14</f>
        <v>32501600</v>
      </c>
      <c r="Y27" s="52">
        <f>X27+BALANCING!Y14</f>
        <v>33553900</v>
      </c>
      <c r="Z27" s="52">
        <f>Y27+BALANCING!Z14</f>
        <v>34814900</v>
      </c>
      <c r="AA27" s="52">
        <f>Z27+BALANCING!AA14</f>
        <v>36322700</v>
      </c>
      <c r="AB27" s="52">
        <f>AA27+BALANCING!AB14</f>
        <v>37336800</v>
      </c>
      <c r="AC27" s="52">
        <f>AB27+BALANCING!AC14</f>
        <v>38523800</v>
      </c>
      <c r="AD27" s="52">
        <f>AC27+BALANCING!AD14</f>
        <v>39041800</v>
      </c>
      <c r="AE27" s="52">
        <f>AD27+BALANCING!AE14</f>
        <v>41557800</v>
      </c>
      <c r="AF27" s="52">
        <f>AE27+BALANCING!AF14</f>
        <v>42536800</v>
      </c>
      <c r="AG27" s="52">
        <f>AF27+BALANCING!AG14</f>
        <v>43294800</v>
      </c>
      <c r="AH27" s="98">
        <f>AG27</f>
        <v>43294800</v>
      </c>
      <c r="AI27" s="82">
        <f>BALANCING!AI14</f>
        <v>1437000</v>
      </c>
      <c r="AJ27" s="82">
        <f>AI27+BALANCING!AJ14</f>
        <v>2483100</v>
      </c>
      <c r="AK27" s="82">
        <f>AJ27+BALANCING!AK14</f>
        <v>3548100</v>
      </c>
      <c r="AL27" s="82">
        <f>AK27+BALANCING!AL14</f>
        <v>5223100</v>
      </c>
      <c r="AM27" s="82">
        <f>AL27+BALANCING!AM14</f>
        <v>6838562</v>
      </c>
      <c r="AN27" s="82">
        <f>AM27+BALANCING!AN14</f>
        <v>7442562</v>
      </c>
      <c r="AO27" s="82">
        <f>AN27+BALANCING!AO14</f>
        <v>9002800</v>
      </c>
      <c r="AP27" s="82">
        <f>AO27+BALANCING!AP14</f>
        <v>11006564</v>
      </c>
      <c r="AQ27" s="82">
        <f>AP27+BALANCING!AQ14</f>
        <v>11874064</v>
      </c>
      <c r="AR27" s="82">
        <f>AQ27+BALANCING!AR14</f>
        <v>13342064</v>
      </c>
      <c r="AS27" s="82">
        <f>AR27+BALANCING!AS14</f>
        <v>13865464</v>
      </c>
      <c r="AT27" s="82">
        <f>AS27+BALANCING!AT14</f>
        <v>14740464</v>
      </c>
      <c r="AU27" s="82">
        <f>AT27+BALANCING!AU14</f>
        <v>15496364</v>
      </c>
      <c r="AV27" s="82">
        <f>AU27+BALANCING!AV14</f>
        <v>16276364</v>
      </c>
      <c r="AW27" s="82">
        <f>AV27+BALANCING!AW14</f>
        <v>17613864</v>
      </c>
      <c r="AX27" s="82">
        <f>AW27+BALANCING!AX14</f>
        <v>18806864</v>
      </c>
      <c r="AY27" s="82">
        <f>AX27+BALANCING!AY14</f>
        <v>20138864</v>
      </c>
      <c r="AZ27" s="82">
        <f>AY27+BALANCING!AZ14</f>
        <v>21571664</v>
      </c>
      <c r="BA27" s="82">
        <f>AZ27+BALANCING!BA14</f>
        <v>22243664</v>
      </c>
      <c r="BB27" s="82">
        <f>BA27+BALANCING!BB14</f>
        <v>23514964</v>
      </c>
      <c r="BC27" s="82">
        <f>BB27+BALANCING!BC14</f>
        <v>23901664</v>
      </c>
      <c r="BD27" s="82">
        <f>BC27+BALANCING!BD14</f>
        <v>24842404</v>
      </c>
      <c r="BE27" s="82">
        <f>BD27+BALANCING!BE14</f>
        <v>26364414</v>
      </c>
      <c r="BF27" s="82">
        <f>BE27+BALANCING!BF14</f>
        <v>26904514</v>
      </c>
      <c r="BG27" s="82">
        <f>BF27+BALANCING!BG14</f>
        <v>27808514</v>
      </c>
      <c r="BH27" s="82">
        <f>BG27+BALANCING!BH14</f>
        <v>29813414</v>
      </c>
      <c r="BI27" s="82">
        <f>BH27+BALANCING!BI14</f>
        <v>30705414</v>
      </c>
      <c r="BJ27" s="82">
        <f>BI27+BALANCING!BJ14</f>
        <v>31607414</v>
      </c>
      <c r="BK27" s="82">
        <f>BJ27+BALANCING!BK14</f>
        <v>32339414</v>
      </c>
      <c r="BL27" s="82">
        <f>BK27+BALANCING!BL14</f>
        <v>33260414</v>
      </c>
      <c r="BM27" s="106">
        <v>0</v>
      </c>
      <c r="BN27" s="82">
        <f>BM27+BALANCING!BN14</f>
        <v>293000</v>
      </c>
      <c r="BO27" s="82">
        <f>BN27+BALANCING!BO14</f>
        <v>1071000</v>
      </c>
      <c r="BP27" s="82">
        <f>BO27+BALANCING!BP14</f>
        <v>1492900</v>
      </c>
      <c r="BQ27" s="82">
        <f>BP27+BALANCING!BQ14</f>
        <v>2860900</v>
      </c>
      <c r="BR27" s="82">
        <f>BQ27+BALANCING!BR14</f>
        <v>3925460</v>
      </c>
      <c r="BS27" s="82">
        <f>BR27+BALANCING!BS14</f>
        <v>5049460</v>
      </c>
      <c r="BT27" s="82">
        <f>BS27+BALANCING!BT14</f>
        <v>6188460</v>
      </c>
      <c r="BU27" s="82">
        <f>BT27+BALANCING!BU14</f>
        <v>7494260</v>
      </c>
      <c r="BV27" s="82">
        <f>BU27+BALANCING!BV14</f>
        <v>9151760</v>
      </c>
      <c r="BW27" s="82">
        <f>BV27+BALANCING!BW14</f>
        <v>9980260</v>
      </c>
      <c r="BX27" s="82">
        <f>BW27+BALANCING!BX14</f>
        <v>10287210</v>
      </c>
      <c r="BY27" s="82">
        <f>BX27+BALANCING!BY14</f>
        <v>11234210</v>
      </c>
      <c r="BZ27" s="82">
        <f>BY27+BALANCING!BZ14</f>
        <v>11873210</v>
      </c>
      <c r="CA27" s="82">
        <f>BZ27+BALANCING!CA14</f>
        <v>12812210</v>
      </c>
      <c r="CB27" s="82">
        <f>CA27+BALANCING!CB14</f>
        <v>13473710</v>
      </c>
      <c r="CC27" s="82">
        <f>CB27+BALANCING!CC14</f>
        <v>14546710</v>
      </c>
      <c r="CD27" s="82">
        <f>CC27+BALANCING!CD14</f>
        <v>15806210</v>
      </c>
      <c r="CE27" s="82">
        <f>CD27+BALANCING!CE14</f>
        <v>16120210</v>
      </c>
      <c r="CF27" s="82">
        <f>CE27+BALANCING!CF14</f>
        <v>16980710</v>
      </c>
      <c r="CG27" s="82">
        <f>CF27+BALANCING!CG14</f>
        <v>17692710</v>
      </c>
      <c r="CH27" s="82">
        <f>CG27+BALANCING!CH14</f>
        <v>18707464</v>
      </c>
      <c r="CI27" s="82">
        <f>CH27+BALANCING!CI14</f>
        <v>19308464</v>
      </c>
      <c r="CJ27" s="82">
        <f>CI27+BALANCING!CJ14</f>
        <v>20232964</v>
      </c>
      <c r="CK27" s="82">
        <f>CJ27+BALANCING!CK14</f>
        <v>20712964</v>
      </c>
      <c r="CL27" s="82">
        <f>CK27+BALANCING!CL14</f>
        <v>22350464</v>
      </c>
      <c r="CM27" s="82">
        <f>CL27+BALANCING!CM14</f>
        <v>23682464</v>
      </c>
      <c r="CN27" s="82">
        <f>CM27+BALANCING!CN14</f>
        <v>24750364</v>
      </c>
      <c r="CO27" s="82">
        <f>CN27+BALANCING!CO14</f>
        <v>26508364</v>
      </c>
      <c r="CP27" s="82">
        <f>CO27+BALANCING!CP14</f>
        <v>27016314</v>
      </c>
      <c r="CQ27" s="82">
        <f>CP27+BALANCING!CQ14</f>
        <v>28692014</v>
      </c>
      <c r="CR27" s="82">
        <f>CQ27+BALANCING!CR14</f>
        <v>29614014</v>
      </c>
      <c r="CT27" s="82">
        <f>CS27+BALANCING!CT14</f>
        <v>1279000</v>
      </c>
      <c r="CU27" s="82">
        <f>CT27+BALANCING!CU14</f>
        <v>2659000</v>
      </c>
      <c r="CV27" s="82">
        <f>CU27+BALANCING!CV14</f>
        <v>3697000</v>
      </c>
      <c r="CW27" s="82">
        <f>CV27+BALANCING!CW14</f>
        <v>5285010</v>
      </c>
      <c r="CX27" s="82">
        <f>CW27+BALANCING!CX14</f>
        <v>5907063</v>
      </c>
      <c r="CY27" s="82">
        <f>CX27+BALANCING!CY14</f>
        <v>7735863</v>
      </c>
      <c r="CZ27" s="82">
        <f>CY27+BALANCING!CZ14</f>
        <v>8743985</v>
      </c>
      <c r="DA27" s="82">
        <f>CZ27+BALANCING!DA14</f>
        <v>9581985</v>
      </c>
      <c r="DB27" s="82">
        <f>DA27+BALANCING!DB14</f>
        <v>10951485</v>
      </c>
      <c r="DC27" s="82">
        <f>DB27+BALANCING!DC14</f>
        <v>11923558</v>
      </c>
      <c r="DD27" s="82">
        <f>DC27+BALANCING!DD14</f>
        <v>12617558</v>
      </c>
      <c r="DE27" s="82">
        <f>DD27+BALANCING!DE14</f>
        <v>13793058</v>
      </c>
      <c r="DF27" s="82">
        <f>DE27+BALANCING!DF14</f>
        <v>14926753</v>
      </c>
      <c r="DG27" s="82">
        <f>DF27+BALANCING!DG14</f>
        <v>16365143</v>
      </c>
      <c r="DH27" s="82">
        <f>DG27+BALANCING!DH14</f>
        <v>17458143</v>
      </c>
      <c r="DI27" s="82">
        <f>DH27+BALANCING!DI14</f>
        <v>18070243</v>
      </c>
      <c r="DJ27" s="82">
        <f>DI27+BALANCING!DJ14</f>
        <v>20623393</v>
      </c>
      <c r="DK27" s="82">
        <f>DJ27+BALANCING!DK14</f>
        <v>21120493</v>
      </c>
      <c r="DL27" s="82">
        <f>DK27+BALANCING!DL14</f>
        <v>22089493</v>
      </c>
      <c r="DM27" s="82">
        <f>DL27+BALANCING!DM14</f>
        <v>23715983</v>
      </c>
      <c r="DN27" s="82">
        <f>DM27+BALANCING!DN14</f>
        <v>24716883</v>
      </c>
      <c r="DO27" s="82">
        <f>DN27+BALANCING!DO14</f>
        <v>25620383</v>
      </c>
      <c r="DP27" s="82">
        <f>DO27+BALANCING!DP14</f>
        <v>26573383</v>
      </c>
      <c r="DQ27" s="82">
        <f>DP27+BALANCING!DQ14</f>
        <v>27252383</v>
      </c>
      <c r="DR27" s="82">
        <f>DQ27+BALANCING!DR14</f>
        <v>28667483</v>
      </c>
      <c r="DS27" s="82">
        <f>DR27+BALANCING!DS14</f>
        <v>29486983</v>
      </c>
      <c r="DT27" s="82">
        <f>DS27+BALANCING!DT14</f>
        <v>30468483</v>
      </c>
      <c r="DU27" s="82">
        <f>DT27+BALANCING!DU14</f>
        <v>32594483</v>
      </c>
      <c r="DV27" s="82">
        <f>DU27+BALANCING!DV14</f>
        <v>33108483</v>
      </c>
      <c r="DW27" s="82">
        <f>DV27+BALANCING!DW14</f>
        <v>34430483</v>
      </c>
      <c r="DX27" s="117"/>
      <c r="DY27" s="82">
        <f>DX27+BALANCING!DY14</f>
        <v>1631000</v>
      </c>
      <c r="DZ27" s="82">
        <f>DY27+BALANCING!DZ14</f>
        <v>2529000</v>
      </c>
      <c r="EA27" s="82">
        <f>DZ27+BALANCING!EA14</f>
        <v>2881000</v>
      </c>
      <c r="EB27" s="82">
        <f>EA27+BALANCING!EB14</f>
        <v>3251500</v>
      </c>
      <c r="EC27" s="82">
        <f>EB27+BALANCING!EC14</f>
        <v>4664500</v>
      </c>
      <c r="ED27" s="82">
        <f>EC27+BALANCING!ED14</f>
        <v>5388500</v>
      </c>
      <c r="EE27" s="82">
        <f>ED27+BALANCING!EE14</f>
        <v>6302500</v>
      </c>
      <c r="EF27" s="82">
        <f>EE27+BALANCING!EF14</f>
        <v>8050280</v>
      </c>
      <c r="EG27" s="82">
        <f>EF27+BALANCING!EG14</f>
        <v>9097280</v>
      </c>
      <c r="EH27" s="82">
        <f>EG27+BALANCING!EH14</f>
        <v>10636680</v>
      </c>
      <c r="EI27" s="82">
        <f>EH27+BALANCING!EI14</f>
        <v>11797680</v>
      </c>
      <c r="EJ27" s="82">
        <f>EI27+BALANCING!EJ14</f>
        <v>13545680</v>
      </c>
      <c r="EK27" s="82">
        <f>EJ27+BALANCING!EK14</f>
        <v>15723642</v>
      </c>
      <c r="EL27" s="82">
        <f>EK27+BALANCING!EL14</f>
        <v>17329492</v>
      </c>
      <c r="EM27" s="82">
        <f>EL27+BALANCING!EM14</f>
        <v>18290492</v>
      </c>
      <c r="EN27" s="82">
        <f>EM27+BALANCING!EN14</f>
        <v>19854492</v>
      </c>
      <c r="EO27" s="82">
        <f>EN27+BALANCING!EO14</f>
        <v>20538492</v>
      </c>
      <c r="EP27" s="82">
        <f>EO27+BALANCING!EP14</f>
        <v>21763392</v>
      </c>
      <c r="EQ27" s="82">
        <f>EP27+BALANCING!EQ14</f>
        <v>22566392</v>
      </c>
      <c r="ER27" s="82">
        <f>EQ27+BALANCING!ER14</f>
        <v>24068392</v>
      </c>
      <c r="ES27" s="82">
        <f>ER27+BALANCING!ES14</f>
        <v>26221392</v>
      </c>
      <c r="ET27" s="82">
        <f>ES27+BALANCING!ET14</f>
        <v>27487892</v>
      </c>
      <c r="EU27" s="82">
        <f>ET27+BALANCING!EU14</f>
        <v>29674892</v>
      </c>
      <c r="EV27" s="82">
        <f>EU27+BALANCING!EV14</f>
        <v>30392004</v>
      </c>
      <c r="EW27" s="82">
        <f>EV27+BALANCING!EW14</f>
        <v>31940042</v>
      </c>
      <c r="EX27" s="82">
        <f>EW27+BALANCING!EX14</f>
        <v>33141042</v>
      </c>
      <c r="EY27" s="82">
        <f>EX27+BALANCING!EY14</f>
        <v>34524247</v>
      </c>
      <c r="EZ27" s="82">
        <f>EY27+BALANCING!EZ14</f>
        <v>36226747</v>
      </c>
      <c r="FA27" s="82">
        <f>EZ27+BALANCING!FA14</f>
        <v>38119447</v>
      </c>
      <c r="FB27" s="82">
        <f>FA27+BALANCING!FB14</f>
        <v>39444447</v>
      </c>
      <c r="FC27" s="82">
        <f>FB27+BALANCING!FC14</f>
        <v>40233987</v>
      </c>
      <c r="FD27" s="126"/>
      <c r="FE27" s="82">
        <f>FD27+BALANCING!FE14</f>
        <v>626333</v>
      </c>
      <c r="FF27" s="82">
        <f>FE27+BALANCING!FF14</f>
        <v>1065333</v>
      </c>
      <c r="FG27" s="82">
        <f>FF27+BALANCING!FG14</f>
        <v>1597333</v>
      </c>
      <c r="FH27" s="82">
        <f>FG27+BALANCING!FH14</f>
        <v>2802233</v>
      </c>
      <c r="FI27" s="82">
        <f>FH27+BALANCING!FI14</f>
        <v>4805357</v>
      </c>
      <c r="FJ27" s="82">
        <f>FI27+BALANCING!FJ14</f>
        <v>5323357</v>
      </c>
      <c r="FK27" s="82">
        <f>FJ27+BALANCING!FK14</f>
        <v>6278357</v>
      </c>
      <c r="FL27" s="82">
        <f>FK27+BALANCING!FL14</f>
        <v>7067357</v>
      </c>
      <c r="FM27" s="82">
        <f>FL27+BALANCING!FM14</f>
        <v>8649357</v>
      </c>
      <c r="FN27" s="82">
        <f>FM27+BALANCING!FN14</f>
        <v>8924357</v>
      </c>
      <c r="FO27" s="82">
        <f>FN27+BALANCING!FO14</f>
        <v>10586357</v>
      </c>
      <c r="FP27" s="82">
        <f>FO27+BALANCING!FP14</f>
        <v>11679401</v>
      </c>
      <c r="FQ27" s="82">
        <f>FP27+BALANCING!FQ14</f>
        <v>12653401</v>
      </c>
      <c r="FR27" s="82">
        <f>FQ27+BALANCING!FR14</f>
        <v>13675401</v>
      </c>
      <c r="FS27" s="82">
        <f>FR27+BALANCING!FS14</f>
        <v>14854075</v>
      </c>
      <c r="FT27" s="82">
        <f>FS27+BALANCING!FT14</f>
        <v>15504075</v>
      </c>
      <c r="FU27" s="82">
        <f>FT27+BALANCING!FU14</f>
        <v>17384075</v>
      </c>
      <c r="FV27" s="82">
        <f>FU27+BALANCING!FV14</f>
        <v>18966075</v>
      </c>
      <c r="FW27" s="82">
        <f>FV27+BALANCING!FW14</f>
        <v>20779075</v>
      </c>
      <c r="FX27" s="82">
        <f>FW27+BALANCING!FX14</f>
        <v>21663075</v>
      </c>
      <c r="FY27" s="82">
        <f>FX27+BALANCING!FY14</f>
        <v>22516075</v>
      </c>
      <c r="FZ27" s="82">
        <f>FY27+BALANCING!FZ14</f>
        <v>23178075</v>
      </c>
      <c r="GA27" s="82">
        <f>FZ27+BALANCING!GA14</f>
        <v>23747075</v>
      </c>
      <c r="GB27" s="82">
        <f>GA27+BALANCING!GB14</f>
        <v>25273245</v>
      </c>
      <c r="GC27" s="82">
        <f>GB27+BALANCING!GC14</f>
        <v>26797245</v>
      </c>
      <c r="GD27" s="82">
        <f>GC27+BALANCING!GD14</f>
        <v>29238445</v>
      </c>
      <c r="GE27" s="82">
        <f>GD27+BALANCING!GE14</f>
        <v>30185445</v>
      </c>
      <c r="GF27" s="82">
        <f>GE27+BALANCING!GF14</f>
        <v>31559445</v>
      </c>
      <c r="GG27" s="82">
        <f>GF27+BALANCING!GG14</f>
        <v>33021445</v>
      </c>
      <c r="GH27" s="82">
        <f>GG27+BALANCING!GH14</f>
        <v>33806445</v>
      </c>
      <c r="GI27" s="82">
        <f>GH27+BALANCING!GI14</f>
        <v>35587445</v>
      </c>
      <c r="GJ27" s="130"/>
      <c r="GK27" s="110">
        <f>BALANCING!GK14</f>
        <v>1640000</v>
      </c>
      <c r="GL27" s="110">
        <f>GK27+BALANCING!GL14</f>
        <v>3130000</v>
      </c>
      <c r="GM27" s="110">
        <f>GL27+BALANCING!GM14</f>
        <v>4579034</v>
      </c>
      <c r="GN27" s="110">
        <f>GM27+BALANCING!GN14</f>
        <v>5032034</v>
      </c>
      <c r="GO27" s="110">
        <f>GN27+BALANCING!GO14</f>
        <v>5964034</v>
      </c>
      <c r="GP27" s="110">
        <f>GO27+BALANCING!GP14</f>
        <v>6764034</v>
      </c>
      <c r="GQ27" s="110">
        <f>GP27+BALANCING!GQ14</f>
        <v>8460034</v>
      </c>
      <c r="GR27" s="110">
        <f>GQ27+BALANCING!GR14</f>
        <v>9417034</v>
      </c>
      <c r="GS27" s="110">
        <f>GR27+BALANCING!GS14</f>
        <v>11106034</v>
      </c>
      <c r="GT27" s="110">
        <f>GS27+BALANCING!GT14</f>
        <v>12450534</v>
      </c>
      <c r="GU27" s="110">
        <f>GT27+BALANCING!GU14</f>
        <v>13527534</v>
      </c>
      <c r="GV27" s="110">
        <f>GU27+BALANCING!GV14</f>
        <v>15126534</v>
      </c>
      <c r="GW27" s="110">
        <f>GV27+BALANCING!GW14</f>
        <v>16485834</v>
      </c>
      <c r="GX27" s="110">
        <f>GW27+BALANCING!GX14</f>
        <v>17309537</v>
      </c>
      <c r="GY27" s="110">
        <f>GX27+BALANCING!GY14</f>
        <v>18384537</v>
      </c>
      <c r="GZ27" s="110">
        <f>GY27+BALANCING!GZ14</f>
        <v>19511509</v>
      </c>
      <c r="HA27" s="110">
        <f>GZ27+BALANCING!HA14</f>
        <v>20479111</v>
      </c>
      <c r="HB27" s="110">
        <f>HA27+BALANCING!HB14</f>
        <v>21294011</v>
      </c>
      <c r="HC27" s="110">
        <f>HB27+BALANCING!HC14</f>
        <v>21989011</v>
      </c>
      <c r="HD27" s="110">
        <f>HC27+BALANCING!HD14</f>
        <v>23529401</v>
      </c>
      <c r="HE27" s="110">
        <f>HD27+BALANCING!HE14</f>
        <v>24679601</v>
      </c>
      <c r="HF27" s="110">
        <f>HE27+BALANCING!HF14</f>
        <v>25394601</v>
      </c>
      <c r="HG27" s="110">
        <f>HF27+BALANCING!HG14</f>
        <v>26385761</v>
      </c>
      <c r="HH27" s="110">
        <f>HG27+BALANCING!HH14</f>
        <v>27449761</v>
      </c>
      <c r="HI27" s="110">
        <f>HH27+BALANCING!HI14</f>
        <v>28220761</v>
      </c>
      <c r="HJ27" s="110">
        <f>HI27+BALANCING!HJ14</f>
        <v>29054761</v>
      </c>
      <c r="HK27" s="110">
        <f>HJ27+BALANCING!HK14</f>
        <v>30086761</v>
      </c>
      <c r="HL27" s="110">
        <f>HK27+BALANCING!HL14</f>
        <v>31528569</v>
      </c>
      <c r="HM27" s="110">
        <f>HL27+BALANCING!HM14</f>
        <v>32897515</v>
      </c>
      <c r="HN27" s="130"/>
      <c r="HO27" s="110">
        <f>HN27+BALANCING!HO14</f>
        <v>1175000</v>
      </c>
      <c r="HP27" s="110">
        <f>HO27+BALANCING!HP14</f>
        <v>2230000</v>
      </c>
      <c r="HQ27" s="110">
        <f>HP27+BALANCING!HQ14</f>
        <v>3292000</v>
      </c>
      <c r="HR27" s="110">
        <f>HQ27+BALANCING!HR14</f>
        <v>4811000</v>
      </c>
      <c r="HS27" s="110">
        <f>HR27+BALANCING!HS14</f>
        <v>6707823</v>
      </c>
      <c r="HT27" s="110">
        <f>HS27+BALANCING!HT14</f>
        <v>7513723</v>
      </c>
      <c r="HU27" s="110">
        <f>HT27+BALANCING!HU14</f>
        <v>8791883</v>
      </c>
      <c r="HV27" s="110">
        <f>HU27+BALANCING!HV14</f>
        <v>10278043</v>
      </c>
      <c r="HW27" s="110">
        <f>HV27+BALANCING!HW14</f>
        <v>11963043</v>
      </c>
      <c r="HX27" s="110">
        <f>HW27+BALANCING!HX14</f>
        <v>13325043</v>
      </c>
      <c r="HY27" s="110">
        <f>HX27+BALANCING!HY14</f>
        <v>14692043</v>
      </c>
      <c r="HZ27" s="110">
        <f>HY27+BALANCING!HZ14</f>
        <v>16046043</v>
      </c>
      <c r="IA27" s="110">
        <f>HZ27+BALANCING!IA14</f>
        <v>16656043</v>
      </c>
      <c r="IB27" s="110">
        <f>IA27+BALANCING!IB14</f>
        <v>18019543</v>
      </c>
      <c r="IC27" s="110">
        <f>IB27+BALANCING!IC14</f>
        <v>21164943</v>
      </c>
      <c r="ID27" s="110">
        <f>IC27+BALANCING!ID14</f>
        <v>21992943</v>
      </c>
      <c r="IE27" s="110">
        <f>ID27+BALANCING!IE14</f>
        <v>23242593</v>
      </c>
      <c r="IF27" s="110">
        <f>IE27+BALANCING!IF14</f>
        <v>24124593</v>
      </c>
      <c r="IG27" s="110">
        <f>IF27+BALANCING!IG14</f>
        <v>25819593</v>
      </c>
      <c r="IH27" s="110">
        <f>IG27+BALANCING!IH14</f>
        <v>26743593</v>
      </c>
      <c r="II27" s="110">
        <f>IH27+BALANCING!II14</f>
        <v>27213993</v>
      </c>
      <c r="IJ27" s="110">
        <f>II27+BALANCING!IJ14</f>
        <v>28916993</v>
      </c>
      <c r="IK27" s="110">
        <f>IJ27+BALANCING!IK14</f>
        <v>30281493</v>
      </c>
      <c r="IL27" s="110">
        <f>IK27+BALANCING!IL14</f>
        <v>31873743</v>
      </c>
      <c r="IM27" s="110">
        <f>IL27+BALANCING!IM14</f>
        <v>33133143</v>
      </c>
      <c r="IN27" s="110">
        <f>IM27+BALANCING!IN14</f>
        <v>34445643</v>
      </c>
      <c r="IO27" s="110">
        <f>IN27+BALANCING!IO14</f>
        <v>35378343</v>
      </c>
      <c r="IP27" s="110">
        <f>IO27+BALANCING!IP14</f>
        <v>37675243</v>
      </c>
      <c r="IQ27" s="110">
        <f>IP27+BALANCING!IQ14</f>
        <v>38491243</v>
      </c>
      <c r="IR27" s="110">
        <f>IQ27+BALANCING!IR14</f>
        <v>39912743</v>
      </c>
      <c r="IS27" s="110">
        <f>IR27+BALANCING!IS14</f>
        <v>40501143</v>
      </c>
      <c r="IT27" s="130"/>
      <c r="IU27" s="110">
        <f>IT27+BALANCING!IU14</f>
        <v>1128000</v>
      </c>
      <c r="IV27" s="110">
        <f>IU27+BALANCING!IV14</f>
        <v>2689182</v>
      </c>
      <c r="IW27" s="110">
        <f>IV27+BALANCING!IW14</f>
        <v>3474582</v>
      </c>
      <c r="IX27" s="110">
        <f>IW27+BALANCING!IX14</f>
        <v>4828582</v>
      </c>
      <c r="IY27" s="110">
        <f>IX27+BALANCING!IY14</f>
        <v>5945582</v>
      </c>
      <c r="IZ27" s="110">
        <f>IY27+BALANCING!IZ14</f>
        <v>7137082</v>
      </c>
      <c r="JA27" s="110">
        <f>IZ27+BALANCING!JA14</f>
        <v>8090082</v>
      </c>
      <c r="JB27" s="110">
        <f>JA27+BALANCING!JB14</f>
        <v>8887582</v>
      </c>
      <c r="JC27" s="110">
        <f>JB27+BALANCING!JC14</f>
        <v>10589582</v>
      </c>
      <c r="JD27" s="110">
        <f>JC27+BALANCING!JD14</f>
        <v>11627582</v>
      </c>
      <c r="JE27" s="110">
        <f>JD27+BALANCING!JE14</f>
        <v>13061582</v>
      </c>
      <c r="JF27" s="110">
        <f>JE27+BALANCING!JF14</f>
        <v>14168482</v>
      </c>
      <c r="JG27" s="110">
        <f>JF27+BALANCING!JG14</f>
        <v>16245982</v>
      </c>
      <c r="JH27" s="110">
        <f>JG27+BALANCING!JH14</f>
        <v>17624482</v>
      </c>
      <c r="JI27" s="110">
        <f>JH27+BALANCING!JI14</f>
        <v>18607482</v>
      </c>
      <c r="JJ27" s="110">
        <f>JI27+BALANCING!JJ14</f>
        <v>20144262</v>
      </c>
      <c r="JK27" s="110">
        <f>JJ27+BALANCING!JK14</f>
        <v>21223262</v>
      </c>
      <c r="JL27" s="110">
        <f>JK27+BALANCING!JL14</f>
        <v>21864262</v>
      </c>
      <c r="JM27" s="110">
        <f>JL27+BALANCING!JM14</f>
        <v>24501898</v>
      </c>
      <c r="JN27" s="110">
        <f>JM27+BALANCING!JN14</f>
        <v>25794398</v>
      </c>
      <c r="JO27" s="110">
        <f>JN27+BALANCING!JO14</f>
        <v>26875398</v>
      </c>
      <c r="JP27" s="110">
        <f>JO27+BALANCING!JP14</f>
        <v>29603898</v>
      </c>
      <c r="JQ27" s="110">
        <f>JP27+BALANCING!JQ14</f>
        <v>31058978</v>
      </c>
      <c r="JR27" s="110">
        <f>JQ27+BALANCING!JR14</f>
        <v>33398509</v>
      </c>
      <c r="JS27" s="110">
        <f>JR27+BALANCING!JS14</f>
        <v>33863509</v>
      </c>
      <c r="JT27" s="110">
        <f>JS27+BALANCING!JT14</f>
        <v>35070509</v>
      </c>
      <c r="JU27" s="110">
        <f>JT27+BALANCING!JU14</f>
        <v>37238509</v>
      </c>
      <c r="JV27" s="110">
        <f>JU27+BALANCING!JV14</f>
        <v>38050009</v>
      </c>
      <c r="JW27" s="110">
        <f>JV27+BALANCING!JW14</f>
        <v>39513094</v>
      </c>
      <c r="JX27" s="110">
        <f>JW27+BALANCING!JX14</f>
        <v>41214094</v>
      </c>
      <c r="JY27" s="133"/>
      <c r="JZ27" s="110">
        <f>JY27+BALANCING!JZ14</f>
        <v>1371000</v>
      </c>
      <c r="KA27" s="110">
        <f>JZ27+BALANCING!KA14</f>
        <v>2583900</v>
      </c>
      <c r="KB27" s="110">
        <f>KA27+BALANCING!KB14</f>
        <v>4382600</v>
      </c>
      <c r="KC27" s="110">
        <f>KB27+BALANCING!KC14</f>
        <v>6144060</v>
      </c>
      <c r="KD27" s="110">
        <f>KC27+BALANCING!KD14</f>
        <v>7397804</v>
      </c>
      <c r="KE27" s="110">
        <f>KD27+BALANCING!KE14</f>
        <v>10072124</v>
      </c>
      <c r="KF27" s="110">
        <f>KE27+BALANCING!KF14</f>
        <v>13148464</v>
      </c>
      <c r="KG27" s="110">
        <f>KF27+BALANCING!KG14</f>
        <v>14970144</v>
      </c>
      <c r="KH27" s="110">
        <f>KG27+BALANCING!KH14</f>
        <v>17451024</v>
      </c>
      <c r="KI27" s="110">
        <f>KH27+BALANCING!KI14</f>
        <v>20464324</v>
      </c>
      <c r="KJ27" s="110">
        <f>KI27+BALANCING!KJ14</f>
        <v>22598054</v>
      </c>
      <c r="KK27" s="110">
        <f>KJ27+BALANCING!KK14</f>
        <v>23428054</v>
      </c>
      <c r="KL27" s="110">
        <f>KK27+BALANCING!KL14</f>
        <v>26414754</v>
      </c>
      <c r="KM27" s="110">
        <f>KL27+BALANCING!KM14</f>
        <v>29341654</v>
      </c>
      <c r="KN27" s="110">
        <f>KM27+BALANCING!KN14</f>
        <v>30798654</v>
      </c>
      <c r="KO27" s="110">
        <f>KN27+BALANCING!KO14</f>
        <v>34257704</v>
      </c>
      <c r="KP27" s="110">
        <f>KO27+BALANCING!KP14</f>
        <v>36366434</v>
      </c>
      <c r="KQ27" s="110">
        <f>KP27+BALANCING!KQ14</f>
        <v>38703934</v>
      </c>
      <c r="KR27" s="110">
        <f>KQ27+BALANCING!KR14</f>
        <v>39727934</v>
      </c>
      <c r="KS27" s="110">
        <f>KR27+BALANCING!KS14</f>
        <v>42173524</v>
      </c>
      <c r="KT27" s="110">
        <f>KS27+BALANCING!KT14</f>
        <v>44629894</v>
      </c>
      <c r="KU27" s="110">
        <f>KT27+BALANCING!KU14</f>
        <v>47126394</v>
      </c>
      <c r="KV27" s="110">
        <f>KU27+BALANCING!KV14</f>
        <v>49145394</v>
      </c>
      <c r="KW27" s="110">
        <f>KV27+BALANCING!KW14</f>
        <v>51557594</v>
      </c>
      <c r="KX27" s="110">
        <f>KW27+BALANCING!KX14</f>
        <v>53765474</v>
      </c>
      <c r="KY27" s="110">
        <f>KX27+BALANCING!KY14</f>
        <v>54938474</v>
      </c>
      <c r="KZ27" s="110">
        <f>KY27+BALANCING!KZ14</f>
        <v>57941134</v>
      </c>
      <c r="LA27" s="110">
        <f>KZ27+BALANCING!LA14</f>
        <v>61274134</v>
      </c>
      <c r="LB27" s="110">
        <f>LA27+BALANCING!LB14</f>
        <v>63815134</v>
      </c>
      <c r="LC27" s="110">
        <f>LB27+BALANCING!LC14</f>
        <v>68823634</v>
      </c>
      <c r="LD27" s="110">
        <f>LC27+BALANCING!LD14</f>
        <v>70143584</v>
      </c>
      <c r="LE27" s="130"/>
      <c r="LF27" s="110">
        <f>LE27+BALANCING!LF14</f>
        <v>3509660</v>
      </c>
      <c r="LG27" s="110">
        <f>LF27+BALANCING!LG14</f>
        <v>5459760</v>
      </c>
      <c r="LH27" s="110">
        <f>LG27+BALANCING!LH14</f>
        <v>7913760</v>
      </c>
      <c r="LI27" s="110">
        <f>LH27+BALANCING!LI14</f>
        <v>10177110</v>
      </c>
      <c r="LJ27" s="110">
        <f>LI27+BALANCING!LJ14</f>
        <v>11992560</v>
      </c>
      <c r="LK27" s="110">
        <f>LJ27+BALANCING!LK14</f>
        <v>15065410</v>
      </c>
      <c r="LL27" s="110">
        <f>LK27+BALANCING!LL14</f>
        <v>17555110</v>
      </c>
      <c r="LM27" s="110">
        <f>LL27+BALANCING!LM14</f>
        <v>20981110</v>
      </c>
      <c r="LN27" s="110">
        <f>LM27+BALANCING!LN14</f>
        <v>21835110</v>
      </c>
      <c r="LO27" s="110">
        <f>LN27+BALANCING!LO14</f>
        <v>24129110</v>
      </c>
      <c r="LP27" s="110">
        <f>LO27+BALANCING!LP14</f>
        <v>28394378</v>
      </c>
      <c r="LQ27" s="110">
        <f>LP27+BALANCING!LQ14</f>
        <v>30053118</v>
      </c>
      <c r="LR27" s="110">
        <f>LQ27+BALANCING!LR14</f>
        <v>32255118</v>
      </c>
      <c r="LS27" s="110">
        <f>LR27+BALANCING!LS14</f>
        <v>35217331</v>
      </c>
      <c r="LT27" s="110">
        <f>LS27+BALANCING!LT14</f>
        <v>38010674</v>
      </c>
      <c r="LU27" s="110">
        <f>LT27+BALANCING!LU14</f>
        <v>38898874</v>
      </c>
      <c r="LV27" s="110">
        <f>LU27+BALANCING!LV14</f>
        <v>40776774</v>
      </c>
      <c r="LW27" s="110">
        <f>LV27+BALANCING!LW14</f>
        <v>43643774</v>
      </c>
      <c r="LX27" s="110">
        <f>LW27+BALANCING!LX14</f>
        <v>46642983</v>
      </c>
      <c r="LY27" s="110">
        <f>LX27+BALANCING!LY14</f>
        <v>48755983</v>
      </c>
      <c r="LZ27" s="110">
        <f>LY27+BALANCING!LZ14</f>
        <v>52343983</v>
      </c>
      <c r="MA27" s="110">
        <f>LZ27+BALANCING!MA14</f>
        <v>54392983</v>
      </c>
      <c r="MB27" s="110">
        <f>MA27+BALANCING!MB14</f>
        <v>54906983</v>
      </c>
      <c r="MC27" s="110">
        <f>MB27+BALANCING!MC14</f>
        <v>58197433</v>
      </c>
      <c r="MD27" s="110">
        <f>MC27+BALANCING!MD14</f>
        <v>59799783</v>
      </c>
      <c r="ME27" s="110">
        <f>MD27+BALANCING!ME14</f>
        <v>62005523</v>
      </c>
      <c r="MF27" s="110">
        <f>ME27+BALANCING!MF14</f>
        <v>63233523</v>
      </c>
      <c r="MG27" s="110">
        <f>MF27+BALANCING!MG14</f>
        <v>66514359</v>
      </c>
      <c r="MH27" s="110">
        <f>MG27+BALANCING!MH14</f>
        <v>67840359</v>
      </c>
      <c r="MI27" s="110">
        <f>MH27+BALANCING!MI14</f>
        <v>69884859</v>
      </c>
      <c r="MJ27" s="133"/>
      <c r="MK27" s="110">
        <f>MJ27+BALANCING!MK14</f>
        <v>2181100</v>
      </c>
      <c r="ML27" s="110">
        <f>MK27+BALANCING!ML14</f>
        <v>4118100</v>
      </c>
      <c r="MM27" s="110">
        <f>ML27+BALANCING!MM14</f>
        <v>6487100</v>
      </c>
      <c r="MN27" s="110">
        <f>MM27+BALANCING!MN14</f>
        <v>8452100</v>
      </c>
      <c r="MO27" s="110">
        <f>MN27+BALANCING!MO14</f>
        <v>12054100</v>
      </c>
      <c r="MP27" s="110">
        <f>MO27+BALANCING!MP14</f>
        <v>13693000</v>
      </c>
      <c r="MQ27" s="110">
        <f>MP27+BALANCING!MQ14</f>
        <v>15425500</v>
      </c>
      <c r="MR27" s="110">
        <f>MQ27+BALANCING!MR14</f>
        <v>18971870</v>
      </c>
      <c r="MS27" s="110">
        <f>MR27+BALANCING!MS14</f>
        <v>21868371</v>
      </c>
      <c r="MT27" s="110">
        <f>MS27+BALANCING!MT14</f>
        <v>23550371</v>
      </c>
      <c r="MU27" s="110">
        <f>MT27+BALANCING!MU14</f>
        <v>26973371</v>
      </c>
      <c r="MV27" s="110">
        <f>MU27+BALANCING!MV14</f>
        <v>30293371</v>
      </c>
      <c r="MW27" s="110">
        <f>MV27+BALANCING!MW14</f>
        <v>33146371</v>
      </c>
      <c r="MX27" s="110">
        <f>MW27+BALANCING!MX14</f>
        <v>34704371</v>
      </c>
      <c r="MY27" s="110">
        <f>MX27+BALANCING!MY14</f>
        <v>37384471</v>
      </c>
      <c r="MZ27" s="110">
        <f>MY27+BALANCING!MZ14</f>
        <v>39925471</v>
      </c>
      <c r="NA27" s="110">
        <f>MZ27+BALANCING!NA14</f>
        <v>41473171</v>
      </c>
      <c r="NB27" s="110">
        <f>NA27+BALANCING!NB14</f>
        <v>44089189</v>
      </c>
      <c r="NC27" s="110">
        <f>NB27+BALANCING!NC14</f>
        <v>45602306</v>
      </c>
      <c r="ND27" s="110">
        <f>NC27+BALANCING!ND14</f>
        <v>46892306</v>
      </c>
      <c r="NE27" s="110">
        <f>ND27+BALANCING!NE14</f>
        <v>47852626</v>
      </c>
      <c r="NF27" s="110">
        <f>NE27+BALANCING!NF14</f>
        <v>49629226</v>
      </c>
      <c r="NG27" s="110">
        <f>NF27+BALANCING!NG14</f>
        <v>52325226</v>
      </c>
      <c r="NH27" s="110">
        <f>NG27+BALANCING!NH14</f>
        <v>54121226</v>
      </c>
      <c r="NI27" s="110">
        <f>NH27+BALANCING!NI14</f>
        <v>56850526</v>
      </c>
      <c r="NJ27" s="110">
        <f>NI27+BALANCING!NJ14</f>
        <v>60114626</v>
      </c>
      <c r="NK27" s="110">
        <f>NJ27+BALANCING!NK14</f>
        <v>61391626</v>
      </c>
      <c r="NL27" s="110">
        <f>NK27+BALANCING!NL14</f>
        <v>62627626</v>
      </c>
      <c r="NM27" s="110">
        <f>NL27+BALANCING!NM14</f>
        <v>64632626</v>
      </c>
      <c r="NN27" s="110">
        <f>NM27+BALANCING!NN14</f>
        <v>66742926</v>
      </c>
      <c r="NO27" s="110">
        <f>NN27+BALANCING!NO14</f>
        <v>68666926</v>
      </c>
      <c r="NP27" s="133"/>
      <c r="NQ27" s="110">
        <f>NP27+BALANCING!NQ14</f>
        <v>2068500</v>
      </c>
      <c r="NR27" s="110">
        <f>NQ27+BALANCING!NR14</f>
        <v>4570500</v>
      </c>
      <c r="NS27" s="110">
        <f>NR27+BALANCING!NS14</f>
        <v>8218392</v>
      </c>
      <c r="NT27" s="110">
        <f>NS27+BALANCING!NT14</f>
        <v>9961892</v>
      </c>
      <c r="NU27" s="110">
        <f>NT27+BALANCING!NU14</f>
        <v>12334692</v>
      </c>
      <c r="NV27" s="110">
        <f>NU27+BALANCING!NV14</f>
        <v>15658101</v>
      </c>
      <c r="NW27" s="110">
        <f>NV27+BALANCING!NW14</f>
        <v>18571101</v>
      </c>
      <c r="NX27" s="110">
        <f>NW27+BALANCING!NX14</f>
        <v>21649601</v>
      </c>
      <c r="NY27" s="110">
        <f>NX27+BALANCING!NY14</f>
        <v>24122601</v>
      </c>
      <c r="NZ27" s="110">
        <f>NY27+BALANCING!NZ14</f>
        <v>26003301</v>
      </c>
      <c r="OA27" s="110">
        <f>NZ27+BALANCING!OA14</f>
        <v>27444205</v>
      </c>
      <c r="OB27" s="110">
        <f>OA27+BALANCING!OB14</f>
        <v>29234205</v>
      </c>
      <c r="OC27" s="110">
        <f>OB27+BALANCING!OC14</f>
        <v>30687205</v>
      </c>
      <c r="OD27" s="110">
        <f>OC27+BALANCING!OD14</f>
        <v>32992105</v>
      </c>
      <c r="OE27" s="110">
        <f>OD27+BALANCING!OE14</f>
        <v>33954105</v>
      </c>
      <c r="OF27" s="110">
        <f>OE27+BALANCING!OF14</f>
        <v>36638520</v>
      </c>
      <c r="OG27" s="110">
        <f>OF27+BALANCING!OG14</f>
        <v>38171020</v>
      </c>
      <c r="OH27" s="110">
        <f>OG27+BALANCING!OH14</f>
        <v>39327520</v>
      </c>
      <c r="OI27" s="110">
        <f>OH27+BALANCING!OI14</f>
        <v>40342520</v>
      </c>
      <c r="OJ27" s="110">
        <f>OI27+BALANCING!OJ14</f>
        <v>41799520</v>
      </c>
      <c r="OK27" s="110">
        <f>OJ27+BALANCING!OK14</f>
        <v>43178820</v>
      </c>
      <c r="OL27" s="110">
        <f>OK27+BALANCING!OL14</f>
        <v>44256820</v>
      </c>
      <c r="OM27" s="110">
        <f>OL27+BALANCING!OM14</f>
        <v>45521320</v>
      </c>
      <c r="ON27" s="110">
        <f>OM27+BALANCING!ON14</f>
        <v>46808320</v>
      </c>
      <c r="OO27" s="110">
        <f>ON27+BALANCING!OO14</f>
        <v>47137320</v>
      </c>
      <c r="OP27" s="110">
        <f>OO27+BALANCING!OP14</f>
        <v>48663820</v>
      </c>
      <c r="OQ27" s="110">
        <f>OP27+BALANCING!OQ14</f>
        <v>52014783</v>
      </c>
      <c r="OR27" s="110">
        <f>OQ27+BALANCING!OR14</f>
        <v>52904543</v>
      </c>
      <c r="OS27" s="110">
        <f>OR27+BALANCING!OS14</f>
        <v>54507803</v>
      </c>
      <c r="OT27" s="110">
        <f>OS27+BALANCING!OT14</f>
        <v>55764813</v>
      </c>
      <c r="OU27" s="110">
        <f>OT27+BALANCING!OU14</f>
        <v>57106573</v>
      </c>
      <c r="OV27" s="130"/>
      <c r="OW27" s="110">
        <f>OV27+BALANCING!OW14</f>
        <v>947500</v>
      </c>
      <c r="OX27" s="110">
        <f>OW27+BALANCING!OX14</f>
        <v>2306400</v>
      </c>
      <c r="OY27" s="110">
        <f>OX27+BALANCING!OY14</f>
        <v>4320500</v>
      </c>
      <c r="OZ27" s="110">
        <f>OY27+BALANCING!OZ14</f>
        <v>7294500</v>
      </c>
      <c r="PA27" s="110">
        <f>OZ27+BALANCING!PA14</f>
        <v>9669000</v>
      </c>
      <c r="PB27" s="110">
        <f>PA27+BALANCING!PB14</f>
        <v>10897000</v>
      </c>
      <c r="PC27" s="110">
        <f>PB27+BALANCING!PC14</f>
        <v>12084500</v>
      </c>
      <c r="PD27" s="110">
        <f>PC27+BALANCING!PD14</f>
        <v>13298500</v>
      </c>
      <c r="PE27" s="110">
        <f>PD27+BALANCING!PE14</f>
        <v>14818500</v>
      </c>
      <c r="PF27" s="110">
        <f>PE27+BALANCING!PF14</f>
        <v>17266000</v>
      </c>
      <c r="PG27" s="110">
        <f>PF27+BALANCING!PG14</f>
        <v>18968300</v>
      </c>
      <c r="PH27" s="110">
        <f>PG27+BALANCING!PH14</f>
        <v>19587800</v>
      </c>
      <c r="PI27" s="110">
        <f>PH27+BALANCING!PI14</f>
        <v>22482400</v>
      </c>
      <c r="PJ27" s="110">
        <f>PI27+BALANCING!PJ14</f>
        <v>23311800</v>
      </c>
      <c r="PK27" s="110">
        <f>PJ27+BALANCING!PK14</f>
        <v>25033300</v>
      </c>
      <c r="PL27" s="110">
        <f>PK27+BALANCING!PL14</f>
        <v>26316300</v>
      </c>
      <c r="PM27" s="110">
        <f>PL27+BALANCING!PM14</f>
        <v>27028300</v>
      </c>
      <c r="PN27" s="110">
        <f>PM27+BALANCING!PN14</f>
        <v>29401300</v>
      </c>
      <c r="PO27" s="110">
        <f>PN27+BALANCING!PO14</f>
        <v>30562400</v>
      </c>
      <c r="PP27" s="110">
        <f>PO27+BALANCING!PP14</f>
        <v>31302400</v>
      </c>
      <c r="PQ27" s="110">
        <f>PP27+BALANCING!PQ14</f>
        <v>31724400</v>
      </c>
      <c r="PR27" s="110">
        <f>PQ27+BALANCING!PR14</f>
        <v>33206400</v>
      </c>
      <c r="PS27" s="110">
        <f>PR27+BALANCING!PS14</f>
        <v>34130900</v>
      </c>
      <c r="PT27" s="110">
        <f>PS27+BALANCING!PT14</f>
        <v>35631900</v>
      </c>
      <c r="PU27" s="110">
        <f>PT27+BALANCING!PU14</f>
        <v>36483900</v>
      </c>
      <c r="PV27" s="110">
        <f>PU27+BALANCING!PV14</f>
        <v>37900614</v>
      </c>
      <c r="PW27" s="110">
        <f>PV27+BALANCING!PW14</f>
        <v>38768614</v>
      </c>
      <c r="PX27" s="110">
        <f>PW27+BALANCING!PX14</f>
        <v>39395114</v>
      </c>
      <c r="PY27" s="110">
        <f>PX27+BALANCING!PY14</f>
        <v>40462789</v>
      </c>
      <c r="PZ27" s="110">
        <f>PY27+BALANCING!PZ14</f>
        <v>42086189</v>
      </c>
      <c r="QA27" s="130"/>
      <c r="QB27" s="110">
        <f>QA27+BALANCING!QB14</f>
        <v>1145000</v>
      </c>
      <c r="QC27" s="110">
        <f>QB27+BALANCING!QC14</f>
        <v>1885000</v>
      </c>
      <c r="QD27" s="110">
        <f>QC27+BALANCING!QD14</f>
        <v>3224000</v>
      </c>
      <c r="QE27" s="110">
        <f>QD27+BALANCING!QE14</f>
        <v>5008600</v>
      </c>
      <c r="QF27" s="110">
        <f>QE27+BALANCING!QF14</f>
        <v>6222600</v>
      </c>
      <c r="QG27" s="110">
        <f>QF27+BALANCING!QG14</f>
        <v>8232700</v>
      </c>
      <c r="QH27" s="110">
        <f>QG27+BALANCING!QH14</f>
        <v>9641700</v>
      </c>
      <c r="QI27" s="110">
        <f>QH27+BALANCING!QI14</f>
        <v>11164700</v>
      </c>
      <c r="QJ27" s="110">
        <f>QI27+BALANCING!QJ14</f>
        <v>12448450</v>
      </c>
      <c r="QK27" s="110">
        <f>QJ27+BALANCING!QK14</f>
        <v>13313700</v>
      </c>
      <c r="QL27" s="110">
        <f>QK27+BALANCING!QL14</f>
        <v>15272600</v>
      </c>
      <c r="QM27" s="110">
        <f>QL27+BALANCING!QM14</f>
        <v>16419600</v>
      </c>
      <c r="QN27" s="110">
        <f>QM27+BALANCING!QN14</f>
        <v>17997100</v>
      </c>
      <c r="QO27" s="110">
        <f>QN27+BALANCING!QO14</f>
        <v>19402100</v>
      </c>
      <c r="QP27" s="110">
        <f>QO27+BALANCING!QP14</f>
        <v>21462100</v>
      </c>
      <c r="QQ27" s="110">
        <f>QP27+BALANCING!QQ14</f>
        <v>22098100</v>
      </c>
      <c r="QR27" s="110">
        <f>QQ27+BALANCING!QR14</f>
        <v>23809100</v>
      </c>
      <c r="QS27" s="110">
        <f>QR27+BALANCING!QS14</f>
        <v>25124100</v>
      </c>
      <c r="QT27" s="110">
        <f>QS27+BALANCING!QT14</f>
        <v>29293800</v>
      </c>
      <c r="QU27" s="110">
        <f>QT27+BALANCING!QU14</f>
        <v>30147300</v>
      </c>
      <c r="QV27" s="110">
        <f>QU27+BALANCING!QV14</f>
        <v>30978800</v>
      </c>
      <c r="QW27" s="110">
        <f>QV27+BALANCING!QW14</f>
        <v>32083300</v>
      </c>
      <c r="QX27" s="110">
        <f>QW27+BALANCING!QX14</f>
        <v>33133785</v>
      </c>
      <c r="QY27" s="110">
        <f>QX27+BALANCING!QY14</f>
        <v>34073770</v>
      </c>
      <c r="QZ27" s="110">
        <f>QY27+BALANCING!QZ14</f>
        <v>35847770</v>
      </c>
      <c r="RA27" s="110">
        <f>QZ27+BALANCING!RA14</f>
        <v>36443770</v>
      </c>
      <c r="RB27" s="110">
        <f>RA27+BALANCING!RB14</f>
        <v>37537270</v>
      </c>
      <c r="RC27" s="110">
        <f>RB27+BALANCING!RC14</f>
        <v>39028020</v>
      </c>
      <c r="RD27" s="110">
        <f>RC27+BALANCING!RD14</f>
        <v>41100320</v>
      </c>
      <c r="RE27" s="110">
        <f>RD27+BALANCING!RE14</f>
        <v>42785320</v>
      </c>
      <c r="RF27" s="110">
        <f>RE27+BALANCING!RF14</f>
        <v>44894228</v>
      </c>
      <c r="RG27" s="130"/>
      <c r="RH27" s="110">
        <f>RG27+BALANCING!RH14</f>
        <v>1267000</v>
      </c>
      <c r="RI27" s="110">
        <f>RH27+BALANCING!RI14</f>
        <v>1893648</v>
      </c>
      <c r="RJ27" s="110">
        <f>RI27+BALANCING!RJ14</f>
        <v>3868648</v>
      </c>
      <c r="RK27" s="110">
        <f>RJ27+BALANCING!RK14</f>
        <v>5384028</v>
      </c>
      <c r="RL27" s="110">
        <f>RK27+BALANCING!RL14</f>
        <v>6356813</v>
      </c>
      <c r="RM27" s="110">
        <f>RL27+BALANCING!RM14</f>
        <v>7382813</v>
      </c>
      <c r="RN27" s="110">
        <f>RM27+BALANCING!RN14</f>
        <v>8874813</v>
      </c>
      <c r="RO27" s="110">
        <f>RN27+BALANCING!RO14</f>
        <v>9718813</v>
      </c>
      <c r="RP27" s="110">
        <f>RO27+BALANCING!RP14</f>
        <v>10802813</v>
      </c>
      <c r="RQ27" s="110">
        <f>RP27+BALANCING!RQ14</f>
        <v>11796313</v>
      </c>
      <c r="RR27" s="110">
        <f>RQ27+BALANCING!RR14</f>
        <v>13025313</v>
      </c>
      <c r="RS27" s="110">
        <f>RR27+BALANCING!RS14</f>
        <v>14458598</v>
      </c>
      <c r="RT27" s="110">
        <f>RS27+BALANCING!RT14</f>
        <v>15632902</v>
      </c>
      <c r="RU27" s="110">
        <f>RT27+BALANCING!RU14</f>
        <v>16803302</v>
      </c>
      <c r="RV27" s="110">
        <f>RU27+BALANCING!RV14</f>
        <v>18488802</v>
      </c>
      <c r="RW27" s="110">
        <f>RV27+BALANCING!RW14</f>
        <v>20239302</v>
      </c>
      <c r="RX27" s="110">
        <f>RW27+BALANCING!RX14</f>
        <v>21494802</v>
      </c>
      <c r="RY27" s="110">
        <f>RX27+BALANCING!RY14</f>
        <v>23781087</v>
      </c>
      <c r="RZ27" s="110">
        <f>RY27+BALANCING!RZ14</f>
        <v>26363387</v>
      </c>
      <c r="SA27" s="110">
        <f>RZ27+BALANCING!SA14</f>
        <v>27679887</v>
      </c>
      <c r="SB27" s="110">
        <f>SA27+BALANCING!SB14</f>
        <v>28390387</v>
      </c>
      <c r="SC27" s="110">
        <f>SB27+BALANCING!SC14</f>
        <v>29620887</v>
      </c>
      <c r="SD27" s="110">
        <f>SC27+BALANCING!SD14</f>
        <v>31276387</v>
      </c>
      <c r="SE27" s="110">
        <f>SD27+BALANCING!SE14</f>
        <v>33447127</v>
      </c>
      <c r="SF27" s="110">
        <f>SE27+BALANCING!SF14</f>
        <v>36200627</v>
      </c>
      <c r="SG27" s="110">
        <f>SF27+BALANCING!SG14</f>
        <v>37367382</v>
      </c>
      <c r="SH27" s="110">
        <f>SG27+BALANCING!SH14</f>
        <v>38422182</v>
      </c>
      <c r="SI27" s="110">
        <f>SH27+BALANCING!SI14</f>
        <v>39467182</v>
      </c>
      <c r="SJ27" s="110">
        <f>SI27+BALANCING!SJ14</f>
        <v>41083082</v>
      </c>
      <c r="SK27" s="110">
        <f>SJ27+BALANCING!SK14</f>
        <v>42259131</v>
      </c>
      <c r="SL27" s="130"/>
      <c r="SM27" s="110">
        <f>SL27+BALANCING!SM14</f>
        <v>861500</v>
      </c>
      <c r="SN27" s="110">
        <f>SM27+BALANCING!SN14</f>
        <v>1935855</v>
      </c>
      <c r="SO27" s="110">
        <f>SN27+BALANCING!SO14</f>
        <v>3532855</v>
      </c>
      <c r="SP27" s="110">
        <f>SO27+BALANCING!SP14</f>
        <v>5074855</v>
      </c>
      <c r="SQ27" s="110">
        <f>SP27+BALANCING!SQ14</f>
        <v>7043723</v>
      </c>
      <c r="SR27" s="110">
        <f>SQ27+BALANCING!SR14</f>
        <v>8749723</v>
      </c>
      <c r="SS27" s="110">
        <f>SR27+BALANCING!SS14</f>
        <v>10043723</v>
      </c>
      <c r="ST27" s="110">
        <f>SS27+BALANCING!ST14</f>
        <v>10721723</v>
      </c>
      <c r="SU27" s="110">
        <f>ST27+BALANCING!SU14</f>
        <v>13566078</v>
      </c>
      <c r="SV27" s="110">
        <f>SU27+BALANCING!SV14</f>
        <v>15198428</v>
      </c>
      <c r="SW27" s="110">
        <f>SV27+BALANCING!SW14</f>
        <v>16052428</v>
      </c>
      <c r="SX27" s="110">
        <f>SW27+BALANCING!SX14</f>
        <v>17311428</v>
      </c>
      <c r="SY27" s="110">
        <f>SX27+BALANCING!SY14</f>
        <v>19886428</v>
      </c>
      <c r="SZ27" s="110">
        <f>SY27+BALANCING!SZ14</f>
        <v>20715428</v>
      </c>
      <c r="TA27" s="110">
        <f>SZ27+BALANCING!TA14</f>
        <v>22975268</v>
      </c>
      <c r="TB27" s="110">
        <f>TA27+BALANCING!TB14</f>
        <v>24765623</v>
      </c>
      <c r="TC27" s="110">
        <f>TB27+BALANCING!TC14</f>
        <v>26657183</v>
      </c>
      <c r="TD27" s="110">
        <f>TC27+BALANCING!TD14</f>
        <v>28997183</v>
      </c>
      <c r="TE27" s="110">
        <f>TD27+BALANCING!TE14</f>
        <v>31089413</v>
      </c>
      <c r="TF27" s="110">
        <f>TE27+BALANCING!TF14</f>
        <v>32259413</v>
      </c>
      <c r="TG27" s="110">
        <f>TF27+BALANCING!TG14</f>
        <v>33559913</v>
      </c>
      <c r="TH27" s="110">
        <f>TG27+BALANCING!TH14</f>
        <v>35134946</v>
      </c>
      <c r="TI27" s="110">
        <f>TH27+BALANCING!TI14</f>
        <v>36117301</v>
      </c>
      <c r="TJ27" s="110">
        <f>TI27+BALANCING!TJ14</f>
        <v>38117301</v>
      </c>
      <c r="TK27" s="110">
        <f>TJ27+BALANCING!TK14</f>
        <v>39202301</v>
      </c>
      <c r="TL27" s="110">
        <f>TK27+BALANCING!TL14</f>
        <v>40149301</v>
      </c>
      <c r="TM27" s="110">
        <f>TL27+BALANCING!TM14</f>
        <v>41409801</v>
      </c>
      <c r="TN27" s="110">
        <f>TM27+BALANCING!TN14</f>
        <v>43239801</v>
      </c>
      <c r="TO27" s="110">
        <f>TN27+BALANCING!TO14</f>
        <v>44312801</v>
      </c>
      <c r="TP27" s="110">
        <f>TO27+BALANCING!TP14</f>
        <v>45020801</v>
      </c>
      <c r="TQ27" s="110">
        <f>TP27+BALANCING!TQ14</f>
        <v>46780711</v>
      </c>
      <c r="TR27" s="130"/>
      <c r="TS27" s="110">
        <f>TR27+BALANCING!TS14</f>
        <v>353474</v>
      </c>
      <c r="TT27" s="110">
        <f>TS27+BALANCING!TT14</f>
        <v>1379474</v>
      </c>
      <c r="TU27" s="110">
        <f>TT27+BALANCING!TU14</f>
        <v>2733474</v>
      </c>
      <c r="TV27" s="110">
        <f>TU27+BALANCING!TV14</f>
        <v>3441034</v>
      </c>
      <c r="TW27" s="110">
        <f>TV27+BALANCING!TW14</f>
        <v>4749034</v>
      </c>
      <c r="TX27" s="110">
        <f>TW27+BALANCING!TX14</f>
        <v>5594389</v>
      </c>
      <c r="TY27" s="110">
        <f>TX27+BALANCING!TY14</f>
        <v>6370389</v>
      </c>
      <c r="TZ27" s="110">
        <f>TY27+BALANCING!TZ14</f>
        <v>7784889</v>
      </c>
      <c r="UA27" s="110">
        <f>TZ27+BALANCING!UA14</f>
        <v>9590889</v>
      </c>
      <c r="UB27" s="110">
        <f>UA27+BALANCING!UB14</f>
        <v>11944889</v>
      </c>
      <c r="UC27" s="110">
        <f>UB27+BALANCING!UC14</f>
        <v>13779889</v>
      </c>
      <c r="UD27" s="110">
        <f>UC27+BALANCING!UD14</f>
        <v>14526889</v>
      </c>
      <c r="UE27" s="110">
        <f>UD27+BALANCING!UE14</f>
        <v>15486889</v>
      </c>
      <c r="UF27" s="110">
        <f>UE27+BALANCING!UF14</f>
        <v>17172950</v>
      </c>
      <c r="UG27" s="110">
        <f>UF27+BALANCING!UG14</f>
        <v>18905450</v>
      </c>
      <c r="UH27" s="110">
        <f>UG27+BALANCING!UH14</f>
        <v>20077450</v>
      </c>
      <c r="UI27" s="110">
        <f>UH27+BALANCING!UI14</f>
        <v>21194150</v>
      </c>
      <c r="UJ27" s="110">
        <f>UI27+BALANCING!UJ14</f>
        <v>22942150</v>
      </c>
      <c r="UK27" s="110">
        <f>UJ27+BALANCING!UK14</f>
        <v>23892150</v>
      </c>
      <c r="UL27" s="110">
        <f>UK27+BALANCING!UL14</f>
        <v>25469505</v>
      </c>
      <c r="UM27" s="110">
        <f>UL27+BALANCING!UM14</f>
        <v>26882505</v>
      </c>
      <c r="UN27" s="110">
        <f>UM27+BALANCING!UN14</f>
        <v>28435505</v>
      </c>
      <c r="UO27" s="110">
        <f>UN27+BALANCING!UO14</f>
        <v>29908505</v>
      </c>
      <c r="UP27" s="110">
        <f>UO27+BALANCING!UP14</f>
        <v>31641563</v>
      </c>
      <c r="UQ27" s="110">
        <f>UP27+BALANCING!UQ14</f>
        <v>32932363</v>
      </c>
      <c r="UR27" s="110">
        <f>UQ27+BALANCING!UR14</f>
        <v>34703863</v>
      </c>
      <c r="US27" s="110">
        <f>UR27+BALANCING!US14</f>
        <v>35616518</v>
      </c>
      <c r="UT27" s="110">
        <f>US27+BALANCING!UT14</f>
        <v>37031518</v>
      </c>
      <c r="UU27" s="110">
        <f>UT27+BALANCING!UU14</f>
        <v>37629518</v>
      </c>
      <c r="UV27" s="110">
        <f>UU27+BALANCING!UV14</f>
        <v>38604518</v>
      </c>
      <c r="UW27" s="110">
        <f>UV27+BALANCING!UW14</f>
        <v>39794759</v>
      </c>
      <c r="UX27" s="130"/>
      <c r="UY27" s="110">
        <f>UX27+BALANCING!UY14</f>
        <v>2338275</v>
      </c>
      <c r="UZ27" s="110">
        <f>UY27+BALANCING!UZ14</f>
        <v>3872275</v>
      </c>
      <c r="VA27" s="110">
        <f>UZ27+BALANCING!VA14</f>
        <v>4646275</v>
      </c>
      <c r="VB27" s="110">
        <f>VA27+BALANCING!VB14</f>
        <v>7875275</v>
      </c>
      <c r="VC27" s="110">
        <f>VB27+BALANCING!VC14</f>
        <v>9372175</v>
      </c>
      <c r="VD27" s="110">
        <f>VC27+BALANCING!VD14</f>
        <v>10584175</v>
      </c>
      <c r="VE27" s="110">
        <f>VD27+BALANCING!VE14</f>
        <v>11031075</v>
      </c>
      <c r="VF27" s="110">
        <f>VE27+BALANCING!VF14</f>
        <v>12213075</v>
      </c>
      <c r="VG27" s="110">
        <f>VF27+BALANCING!VG14</f>
        <v>13555075</v>
      </c>
      <c r="VH27" s="110">
        <f>VG27+BALANCING!VH14</f>
        <v>15114575</v>
      </c>
      <c r="VI27" s="110">
        <f>VH27+BALANCING!VI14</f>
        <v>17543575</v>
      </c>
      <c r="VJ27" s="110">
        <f>VI27+BALANCING!VJ14</f>
        <v>18685075</v>
      </c>
      <c r="VK27" s="110">
        <f>VJ27+BALANCING!VK14</f>
        <v>20464927</v>
      </c>
      <c r="VL27" s="110">
        <f>VK27+BALANCING!VL14</f>
        <v>21825277</v>
      </c>
      <c r="VM27" s="110">
        <f>VL27+BALANCING!VM14</f>
        <v>23257177</v>
      </c>
      <c r="VN27" s="110">
        <f>VM27+BALANCING!VN14</f>
        <v>25585177</v>
      </c>
      <c r="VO27" s="110">
        <f>VN27+BALANCING!VO14</f>
        <v>26279561</v>
      </c>
      <c r="VP27" s="110">
        <f>VO27+BALANCING!VP14</f>
        <v>27461051</v>
      </c>
      <c r="VQ27" s="110">
        <f>VP27+BALANCING!VQ14</f>
        <v>28241021</v>
      </c>
      <c r="VR27" s="110">
        <f>VQ27+BALANCING!VR14</f>
        <v>30294021</v>
      </c>
      <c r="VS27" s="110">
        <f>VR27+BALANCING!VS14</f>
        <v>31981021</v>
      </c>
      <c r="VT27" s="110">
        <f>VS27+BALANCING!VT14</f>
        <v>33397021</v>
      </c>
      <c r="VU27" s="110">
        <f>VT27+BALANCING!VU14</f>
        <v>34395117</v>
      </c>
      <c r="VV27" s="110">
        <f>VU27+BALANCING!VV14</f>
        <v>35374117</v>
      </c>
      <c r="VW27" s="110">
        <f>VV27+BALANCING!VW14</f>
        <v>37662317</v>
      </c>
      <c r="VX27" s="110">
        <f>VW27+BALANCING!VX14</f>
        <v>38871317</v>
      </c>
      <c r="VY27" s="110">
        <f>VX27+BALANCING!VY14</f>
        <v>40351027</v>
      </c>
      <c r="VZ27" s="110">
        <f>VY27+BALANCING!VZ14</f>
        <v>41691027</v>
      </c>
      <c r="WA27" s="133"/>
      <c r="WB27" s="110">
        <f>WA27+BALANCING!WB14</f>
        <v>1793000</v>
      </c>
      <c r="WC27" s="110">
        <f>WB27+BALANCING!WC14</f>
        <v>2560800</v>
      </c>
      <c r="WD27" s="110">
        <f>WC27+BALANCING!WD14</f>
        <v>3869217</v>
      </c>
      <c r="WE27" s="110">
        <f>WD27+BALANCING!WE14</f>
        <v>5069217</v>
      </c>
      <c r="WF27" s="110">
        <f>WE27+BALANCING!WF14</f>
        <v>6205217</v>
      </c>
      <c r="WG27" s="110">
        <f>WF27+BALANCING!WG14</f>
        <v>7084217</v>
      </c>
      <c r="WH27" s="110">
        <f>WG27+BALANCING!WH14</f>
        <v>8482217</v>
      </c>
      <c r="WI27" s="110">
        <f>WH27+BALANCING!WI14</f>
        <v>9677927</v>
      </c>
      <c r="WJ27" s="110">
        <f>WI27+BALANCING!WJ14</f>
        <v>10559927</v>
      </c>
      <c r="WK27" s="110">
        <f>WJ27+BALANCING!WK14</f>
        <v>12034927</v>
      </c>
      <c r="WL27" s="110">
        <f>WK27+BALANCING!WL14</f>
        <v>13860927</v>
      </c>
      <c r="WM27" s="110">
        <f>WL27+BALANCING!WM14</f>
        <v>14818427</v>
      </c>
      <c r="WN27" s="110">
        <f>WM27+BALANCING!WN14</f>
        <v>16473427</v>
      </c>
      <c r="WO27" s="110">
        <f>WN27+BALANCING!WO14</f>
        <v>17018427</v>
      </c>
      <c r="WP27" s="110">
        <f>WO27+BALANCING!WP14</f>
        <v>18748427</v>
      </c>
      <c r="WQ27" s="110">
        <f>WP27+BALANCING!WQ14</f>
        <v>19715127</v>
      </c>
      <c r="WR27" s="110">
        <f>WQ27+BALANCING!WR14</f>
        <v>20713127</v>
      </c>
      <c r="WS27" s="110">
        <f>WR27+BALANCING!WS14</f>
        <v>20713127</v>
      </c>
      <c r="WT27" s="110">
        <f>WS27+BALANCING!WT14</f>
        <v>21486627</v>
      </c>
      <c r="WU27" s="110">
        <f>WT27+BALANCING!WU14</f>
        <v>22601589</v>
      </c>
      <c r="WV27" s="110">
        <f>WU27+BALANCING!WV14</f>
        <v>23789589</v>
      </c>
      <c r="WW27" s="110">
        <f>WV27+BALANCING!WW14</f>
        <v>25881589</v>
      </c>
      <c r="WX27" s="110">
        <f>WW27+BALANCING!WX14</f>
        <v>27367589</v>
      </c>
      <c r="WY27" s="110">
        <f>WX27+BALANCING!WY14</f>
        <v>28914589</v>
      </c>
      <c r="WZ27" s="110">
        <f>WY27+BALANCING!WZ14</f>
        <v>31856589</v>
      </c>
      <c r="XA27" s="110">
        <f>WZ27+BALANCING!XA14</f>
        <v>32693589</v>
      </c>
      <c r="XB27" s="110">
        <f>XA27+BALANCING!XB14</f>
        <v>34795589</v>
      </c>
      <c r="XC27" s="110">
        <f>XB27+BALANCING!XC14</f>
        <v>36256589</v>
      </c>
      <c r="XD27" s="110">
        <f>XC27+BALANCING!XD14</f>
        <v>38192089</v>
      </c>
      <c r="XE27" s="110">
        <f>XD27+BALANCING!XE14</f>
        <v>39099089</v>
      </c>
      <c r="XF27" s="110">
        <f>XE27+BALANCING!XF14</f>
        <v>41555148</v>
      </c>
      <c r="XG27" s="133"/>
      <c r="XH27" s="110">
        <f>XG27+BALANCING!XH14</f>
        <v>1335500</v>
      </c>
      <c r="XI27" s="110">
        <f>XH27+BALANCING!XI14</f>
        <v>2558500</v>
      </c>
      <c r="XJ27" s="110">
        <f>XI27+BALANCING!XJ14</f>
        <v>4354900</v>
      </c>
      <c r="XK27" s="110">
        <f>XJ27+BALANCING!XK14</f>
        <v>6024520</v>
      </c>
      <c r="XL27" s="110">
        <f>XK27+BALANCING!XL14</f>
        <v>7011520</v>
      </c>
      <c r="XM27" s="110">
        <f>XL27+BALANCING!XM14</f>
        <v>9111040</v>
      </c>
      <c r="XN27" s="110">
        <f>XM27+BALANCING!XN14</f>
        <v>11033627</v>
      </c>
      <c r="XO27" s="110">
        <f>XN27+BALANCING!XO14</f>
        <v>12751827</v>
      </c>
      <c r="XP27" s="110">
        <f>XO27+BALANCING!XP14</f>
        <v>14033367</v>
      </c>
      <c r="XQ27" s="110">
        <f>XP27+BALANCING!XQ14</f>
        <v>15440167</v>
      </c>
      <c r="XR27" s="110">
        <f>XQ27+BALANCING!XR14</f>
        <v>18666901</v>
      </c>
      <c r="XS27" s="110">
        <f>XR27+BALANCING!XS14</f>
        <v>20268644</v>
      </c>
      <c r="XT27" s="110">
        <f>XS27+BALANCING!XT14</f>
        <v>21766644</v>
      </c>
      <c r="XU27" s="110">
        <f>XT27+BALANCING!XU14</f>
        <v>23488644</v>
      </c>
      <c r="XV27" s="110">
        <f>XU27+BALANCING!XV14</f>
        <v>25579470</v>
      </c>
      <c r="XW27" s="110">
        <f>XV27+BALANCING!XW14</f>
        <v>27220020</v>
      </c>
      <c r="XX27" s="110">
        <f>XW27+BALANCING!XX14</f>
        <v>28400020</v>
      </c>
      <c r="XY27" s="110">
        <f>XX27+BALANCING!XY14</f>
        <v>30619920</v>
      </c>
      <c r="XZ27" s="110">
        <f>XY27+BALANCING!XZ14</f>
        <v>32662620</v>
      </c>
      <c r="YA27" s="110">
        <f>XZ27+BALANCING!YA14</f>
        <v>34327620</v>
      </c>
      <c r="YB27" s="110">
        <f>YA27+BALANCING!YB14</f>
        <v>35978620</v>
      </c>
      <c r="YC27" s="110">
        <f>YB27+BALANCING!YC14</f>
        <v>36826120</v>
      </c>
      <c r="YD27" s="110">
        <f>YC27+BALANCING!YD14</f>
        <v>37772120</v>
      </c>
      <c r="YE27" s="110">
        <f>YD27+BALANCING!YE14</f>
        <v>39737120</v>
      </c>
      <c r="YF27" s="110">
        <f>YE27+BALANCING!YF14</f>
        <v>42895327</v>
      </c>
      <c r="YG27" s="110">
        <f>YF27+BALANCING!YG14</f>
        <v>44409327</v>
      </c>
      <c r="YH27" s="110">
        <f>YG27+BALANCING!YH14</f>
        <v>45997327</v>
      </c>
      <c r="YI27" s="110">
        <f>YH27+BALANCING!YI14</f>
        <v>47259327</v>
      </c>
      <c r="YJ27" s="110">
        <f>YI27+BALANCING!YJ14</f>
        <v>47936827</v>
      </c>
      <c r="YK27" s="110">
        <f>YJ27+BALANCING!YK14</f>
        <v>48875827</v>
      </c>
      <c r="YL27" s="130"/>
      <c r="YM27" s="110">
        <f>YL27+BALANCING!YM14</f>
        <v>1639500</v>
      </c>
      <c r="YN27" s="110">
        <f>YM27+BALANCING!YN14</f>
        <v>3849000</v>
      </c>
      <c r="YO27" s="110">
        <f>YN27+BALANCING!YO14</f>
        <v>4932000</v>
      </c>
      <c r="YP27" s="110">
        <f>YO27+BALANCING!YP14</f>
        <v>5550600</v>
      </c>
      <c r="YQ27" s="110">
        <f>YP27+BALANCING!YQ14</f>
        <v>6997600</v>
      </c>
      <c r="YR27" s="110">
        <f>YQ27+BALANCING!YR14</f>
        <v>7899600</v>
      </c>
      <c r="YS27" s="110">
        <f>YR27+BALANCING!YS14</f>
        <v>8719600</v>
      </c>
      <c r="YT27" s="110">
        <f>YS27+BALANCING!YT14</f>
        <v>9019600</v>
      </c>
      <c r="YU27" s="110">
        <f>YT27+BALANCING!YU14</f>
        <v>10341822</v>
      </c>
      <c r="YV27" s="110">
        <f>YU27+BALANCING!YV14</f>
        <v>11597822</v>
      </c>
      <c r="YW27" s="110">
        <f>YV27+BALANCING!YW14</f>
        <v>12623822</v>
      </c>
      <c r="YX27" s="110">
        <f>YW27+BALANCING!YX14</f>
        <v>13830822</v>
      </c>
      <c r="YY27" s="110">
        <f>YX27+BALANCING!YY14</f>
        <v>15464922</v>
      </c>
      <c r="YZ27" s="110">
        <f>YY27+BALANCING!YZ14</f>
        <v>16483922</v>
      </c>
      <c r="ZA27" s="110">
        <f>YZ27+BALANCING!ZA14</f>
        <v>17438922</v>
      </c>
      <c r="ZB27" s="110">
        <f>ZA27+BALANCING!ZB14</f>
        <v>18706101</v>
      </c>
      <c r="ZC27" s="110">
        <f>ZB27+BALANCING!ZC14</f>
        <v>20155101</v>
      </c>
      <c r="ZD27" s="110">
        <f>ZC27+BALANCING!ZD14</f>
        <v>21204901</v>
      </c>
      <c r="ZE27" s="110">
        <f>ZD27+BALANCING!ZE14</f>
        <v>22160901</v>
      </c>
      <c r="ZF27" s="110">
        <f>ZE27+BALANCING!ZF14</f>
        <v>24097960</v>
      </c>
      <c r="ZG27" s="110">
        <f>ZF27+BALANCING!ZG14</f>
        <v>26022960</v>
      </c>
      <c r="ZH27" s="110">
        <f>ZG27+BALANCING!ZH14</f>
        <v>27324960</v>
      </c>
      <c r="ZI27" s="110">
        <f>ZH27+BALANCING!ZI14</f>
        <v>29124960</v>
      </c>
      <c r="ZJ27" s="110">
        <f>ZI27+BALANCING!ZJ14</f>
        <v>30661960</v>
      </c>
      <c r="ZK27" s="110">
        <f>ZJ27+BALANCING!ZK14</f>
        <v>31679960</v>
      </c>
      <c r="ZL27" s="110">
        <f>ZK27+BALANCING!ZL14</f>
        <v>34199710</v>
      </c>
      <c r="ZM27" s="110">
        <f>ZL27+BALANCING!ZM14</f>
        <v>35706710</v>
      </c>
      <c r="ZN27" s="110">
        <f>ZM27+BALANCING!ZN14</f>
        <v>37069210</v>
      </c>
      <c r="ZO27" s="110">
        <f>ZN27+BALANCING!ZO14</f>
        <v>39858210</v>
      </c>
      <c r="ZP27" s="110">
        <f>ZO27+BALANCING!ZP14</f>
        <v>40949210</v>
      </c>
      <c r="ZQ27" s="110">
        <f>ZP27+BALANCING!ZQ14</f>
        <v>42792210</v>
      </c>
      <c r="ZR27" s="130"/>
      <c r="ZS27" s="110">
        <f>ZR27+BALANCING!ZS14</f>
        <v>1001000</v>
      </c>
      <c r="ZT27" s="110">
        <f>ZS27+BALANCING!ZT14</f>
        <v>3578500</v>
      </c>
      <c r="ZU27" s="110">
        <f>ZT27+BALANCING!ZU14</f>
        <v>4648500</v>
      </c>
      <c r="ZV27" s="110">
        <f>ZU27+BALANCING!ZV14</f>
        <v>6521500</v>
      </c>
      <c r="ZW27" s="110">
        <f>ZV27+BALANCING!ZW14</f>
        <v>7826500</v>
      </c>
      <c r="ZX27" s="110">
        <f>ZW27+BALANCING!ZX14</f>
        <v>8691500</v>
      </c>
      <c r="ZY27" s="110">
        <f>ZX27+BALANCING!ZY14</f>
        <v>9800626</v>
      </c>
      <c r="ZZ27" s="110">
        <f>ZY27+BALANCING!ZZ14</f>
        <v>10696626</v>
      </c>
      <c r="AAA27" s="110">
        <f>ZZ27+BALANCING!AAA14</f>
        <v>11273626</v>
      </c>
      <c r="AAB27" s="110">
        <f>AAA27+BALANCING!AAB14</f>
        <v>12033626</v>
      </c>
      <c r="AAC27" s="110">
        <f>AAB27+BALANCING!AAC14</f>
        <v>12604126</v>
      </c>
      <c r="AAD27" s="110">
        <f>AAC27+BALANCING!AAD14</f>
        <v>13590126</v>
      </c>
      <c r="AAE27" s="110">
        <f>AAD27+BALANCING!AAE14</f>
        <v>14829036</v>
      </c>
      <c r="AAF27" s="110">
        <f>AAE27+BALANCING!AAF14</f>
        <v>16632036</v>
      </c>
      <c r="AAG27" s="110">
        <f>AAF27+BALANCING!AAG14</f>
        <v>18401036</v>
      </c>
      <c r="AAH27" s="110">
        <f>AAG27+BALANCING!AAH14</f>
        <v>19567367</v>
      </c>
      <c r="AAI27" s="110">
        <f>AAH27+BALANCING!AAI14</f>
        <v>20650367</v>
      </c>
      <c r="AAJ27" s="110">
        <f>AAI27+BALANCING!AAJ14</f>
        <v>22563367</v>
      </c>
      <c r="AAK27" s="110">
        <f>AAJ27+BALANCING!AAK14</f>
        <v>23715867</v>
      </c>
      <c r="AAL27" s="110">
        <f>AAK27+BALANCING!AAL14</f>
        <v>26727491</v>
      </c>
      <c r="AAM27" s="110">
        <f>AAL27+BALANCING!AAM14</f>
        <v>28259491</v>
      </c>
      <c r="AAN27" s="110">
        <f>AAM27+BALANCING!AAN14</f>
        <v>29984691</v>
      </c>
      <c r="AAO27" s="110">
        <f>AAN27+BALANCING!AAO14</f>
        <v>31491691</v>
      </c>
      <c r="AAP27" s="110">
        <f>AAO27+BALANCING!AAP14</f>
        <v>32772691</v>
      </c>
      <c r="AAQ27" s="110">
        <f>AAP27+BALANCING!AAQ14</f>
        <v>34157141</v>
      </c>
      <c r="AAR27" s="110">
        <f>AAQ27+BALANCING!AAR14</f>
        <v>35951141</v>
      </c>
      <c r="AAS27" s="110">
        <f>AAR27+BALANCING!AAS14</f>
        <v>37025141</v>
      </c>
      <c r="AAT27" s="110">
        <f>AAS27+BALANCING!AAT14</f>
        <v>39170046</v>
      </c>
      <c r="AAU27" s="110">
        <f>AAT27+BALANCING!AAU14</f>
        <v>40393046</v>
      </c>
      <c r="AAV27" s="110">
        <f>AAU27+BALANCING!AAV14</f>
        <v>42155546</v>
      </c>
      <c r="AAW27" s="130"/>
      <c r="AAX27" s="110">
        <f>AAW27+BALANCING!AAX14</f>
        <v>2785500</v>
      </c>
      <c r="AAY27" s="110">
        <f>AAX27+BALANCING!AAY14</f>
        <v>5281000</v>
      </c>
      <c r="AAZ27" s="110">
        <f>AAY27+BALANCING!AAZ14</f>
        <v>5971000</v>
      </c>
      <c r="ABA27" s="110">
        <f>AAZ27+BALANCING!ABA14</f>
        <v>7443950</v>
      </c>
      <c r="ABB27" s="110">
        <f>ABA27+BALANCING!ABB14</f>
        <v>9080950</v>
      </c>
      <c r="ABC27" s="110">
        <f>ABB27+BALANCING!ABC14</f>
        <v>10516570</v>
      </c>
      <c r="ABD27" s="110">
        <f>ABC27+BALANCING!ABD14</f>
        <v>11038570</v>
      </c>
      <c r="ABE27" s="110">
        <f>ABD27+BALANCING!ABE14</f>
        <v>13297870</v>
      </c>
      <c r="ABF27" s="110">
        <f>ABE27+BALANCING!ABF14</f>
        <v>14547670</v>
      </c>
      <c r="ABG27" s="110">
        <f>ABF27+BALANCING!ABG14</f>
        <v>15332470</v>
      </c>
      <c r="ABH27" s="110">
        <f>ABG27+BALANCING!ABH14</f>
        <v>16875470</v>
      </c>
      <c r="ABI27" s="110">
        <f>ABH27+BALANCING!ABI14</f>
        <v>19097470</v>
      </c>
      <c r="ABJ27" s="110">
        <f>ABI27+BALANCING!ABJ14</f>
        <v>21931570</v>
      </c>
      <c r="ABK27" s="110">
        <f>ABJ27+BALANCING!ABK14</f>
        <v>24017570</v>
      </c>
      <c r="ABL27" s="110">
        <f>ABK27+BALANCING!ABL14</f>
        <v>26147570</v>
      </c>
      <c r="ABM27" s="110">
        <f>ABL27+BALANCING!ABM14</f>
        <v>27611993</v>
      </c>
      <c r="ABN27" s="110">
        <f>ABM27+BALANCING!ABN14</f>
        <v>28623993</v>
      </c>
      <c r="ABO27" s="110">
        <f>ABN27+BALANCING!ABO14</f>
        <v>30927993</v>
      </c>
      <c r="ABP27" s="110">
        <f>ABO27+BALANCING!ABP14</f>
        <v>32146993</v>
      </c>
      <c r="ABQ27" s="110">
        <f>ABP27+BALANCING!ABQ14</f>
        <v>34018993</v>
      </c>
      <c r="ABR27" s="110">
        <f>ABQ27+BALANCING!ABR14</f>
        <v>35470749</v>
      </c>
      <c r="ABS27" s="110">
        <f>ABR27+BALANCING!ABS14</f>
        <v>37173749</v>
      </c>
      <c r="ABT27" s="110">
        <f>ABS27+BALANCING!ABT14</f>
        <v>38334749</v>
      </c>
      <c r="ABU27" s="110">
        <f>ABT27+BALANCING!ABU14</f>
        <v>39711668</v>
      </c>
      <c r="ABV27" s="110">
        <f>ABU27+BALANCING!ABV14</f>
        <v>43055368</v>
      </c>
      <c r="ABW27" s="110">
        <f>ABV27+BALANCING!ABW14</f>
        <v>45603533</v>
      </c>
      <c r="ABX27" s="110">
        <f>ABW27+BALANCING!ABX14</f>
        <v>47392533</v>
      </c>
      <c r="ABY27" s="110">
        <f>ABX27+BALANCING!ABY14</f>
        <v>49560033</v>
      </c>
      <c r="ABZ27" s="110">
        <f>ABY27+BALANCING!ABZ14</f>
        <v>52480588</v>
      </c>
      <c r="ACA27" s="110">
        <f>ABZ27+BALANCING!ACA14</f>
        <v>53336588</v>
      </c>
      <c r="ACB27" s="110">
        <f>ACA27+BALANCING!ACB14</f>
        <v>54854710</v>
      </c>
      <c r="ACC27" s="130"/>
      <c r="ACD27" s="110">
        <f>ACC27+BALANCING!ACD14</f>
        <v>880000</v>
      </c>
      <c r="ACE27" s="110">
        <f>ACD27+BALANCING!ACE14</f>
        <v>3574000</v>
      </c>
      <c r="ACF27" s="110">
        <f>ACE27+BALANCING!ACF14</f>
        <v>4289000</v>
      </c>
      <c r="ACG27" s="110">
        <f>ACF27+BALANCING!ACG14</f>
        <v>6191000</v>
      </c>
      <c r="ACH27" s="110">
        <f>ACG27+BALANCING!ACH14</f>
        <v>7985000</v>
      </c>
      <c r="ACI27" s="110">
        <f>ACH27+BALANCING!ACI14</f>
        <v>10116000</v>
      </c>
      <c r="ACJ27" s="110">
        <f>ACI27+BALANCING!ACJ14</f>
        <v>11251000</v>
      </c>
      <c r="ACK27" s="110">
        <f>ACJ27+BALANCING!ACK14</f>
        <v>13093500</v>
      </c>
      <c r="ACL27" s="110">
        <f>ACK27+BALANCING!ACL14</f>
        <v>14772500</v>
      </c>
      <c r="ACM27" s="110">
        <f>ACL27+BALANCING!ACM14</f>
        <v>16604000</v>
      </c>
      <c r="ACN27" s="110">
        <f>ACM27+BALANCING!ACN14</f>
        <v>17988000</v>
      </c>
      <c r="ACO27" s="110">
        <f>ACN27+BALANCING!ACO14</f>
        <v>19018100</v>
      </c>
      <c r="ACP27" s="110">
        <f>ACO27+BALANCING!ACP14</f>
        <v>20293100</v>
      </c>
      <c r="ACQ27" s="110">
        <f>ACP27+BALANCING!ACQ14</f>
        <v>22242736</v>
      </c>
      <c r="ACR27" s="110">
        <f>ACQ27+BALANCING!ACR14</f>
        <v>24125736</v>
      </c>
      <c r="ACS27" s="110">
        <f>ACR27+BALANCING!ACS14</f>
        <v>25440736</v>
      </c>
      <c r="ACT27" s="110">
        <f>ACS27+BALANCING!ACT14</f>
        <v>27349567</v>
      </c>
      <c r="ACU27" s="110">
        <f>ACT27+BALANCING!ACU14</f>
        <v>28314567</v>
      </c>
      <c r="ACV27" s="110">
        <f>ACU27+BALANCING!ACV14</f>
        <v>29630567</v>
      </c>
      <c r="ACW27" s="110">
        <f>ACV27+BALANCING!ACW14</f>
        <v>30691567</v>
      </c>
      <c r="ACX27" s="110">
        <f>ACW27+BALANCING!ACX14</f>
        <v>31591067</v>
      </c>
      <c r="ACY27" s="110">
        <f>ACX27+BALANCING!ACY14</f>
        <v>32875567</v>
      </c>
      <c r="ACZ27" s="110">
        <f>ACY27+BALANCING!ACZ14</f>
        <v>33915408</v>
      </c>
      <c r="ADA27" s="110">
        <f>ACZ27+BALANCING!ADA14</f>
        <v>35859908</v>
      </c>
      <c r="ADB27" s="110">
        <f>ADA27+BALANCING!ADB14</f>
        <v>37063308</v>
      </c>
      <c r="ADC27" s="110">
        <f>ADB27+BALANCING!ADC14</f>
        <v>37253308</v>
      </c>
      <c r="ADD27" s="110">
        <f>ADC27+BALANCING!ADD14</f>
        <v>38567118</v>
      </c>
      <c r="ADE27" s="110">
        <f>ADD27+BALANCING!ADE14</f>
        <v>39943118</v>
      </c>
      <c r="ADF27" s="110">
        <f>ADE27+BALANCING!ADF14</f>
        <v>42661165</v>
      </c>
      <c r="ADG27" s="110">
        <f>ADF27+BALANCING!ADG14</f>
        <v>43603665</v>
      </c>
      <c r="ADH27" s="110">
        <f>ADG27+BALANCING!ADH14</f>
        <v>45091665</v>
      </c>
      <c r="ADI27" s="130"/>
      <c r="ADJ27" s="110">
        <f>ADI27+BALANCING!ADJ14</f>
        <v>1329841</v>
      </c>
      <c r="ADK27" s="110">
        <f>ADJ27+BALANCING!ADK14</f>
        <v>2636841</v>
      </c>
      <c r="ADL27" s="110">
        <f>ADK27+BALANCING!ADL14</f>
        <v>3602341</v>
      </c>
      <c r="ADM27" s="110">
        <f>ADL27+BALANCING!ADM14</f>
        <v>4720341</v>
      </c>
      <c r="ADN27" s="110">
        <f>ADM27+BALANCING!ADN14</f>
        <v>5888341</v>
      </c>
      <c r="ADO27" s="110">
        <f>ADN27+BALANCING!ADO14</f>
        <v>6919841</v>
      </c>
      <c r="ADP27" s="110">
        <f>ADO27+BALANCING!ADP14</f>
        <v>8010841</v>
      </c>
      <c r="ADQ27" s="110">
        <f>ADP27+BALANCING!ADQ14</f>
        <v>9304099</v>
      </c>
      <c r="ADR27" s="110">
        <f>ADQ27+BALANCING!ADR14</f>
        <v>11705399</v>
      </c>
      <c r="ADS27" s="110">
        <f>ADR27+BALANCING!ADS14</f>
        <v>13413399</v>
      </c>
      <c r="ADT27" s="110">
        <f>ADS27+BALANCING!ADT14</f>
        <v>15424199</v>
      </c>
      <c r="ADU27" s="110">
        <f>ADT27+BALANCING!ADU14</f>
        <v>17982699</v>
      </c>
      <c r="ADV27" s="110">
        <f>ADU27+BALANCING!ADV14</f>
        <v>19578699</v>
      </c>
      <c r="ADW27" s="110">
        <f>ADV27+BALANCING!ADW14</f>
        <v>20421794</v>
      </c>
      <c r="ADX27" s="110">
        <f>ADW27+BALANCING!ADX14</f>
        <v>22252794</v>
      </c>
      <c r="ADY27" s="110">
        <f>ADX27+BALANCING!ADY14</f>
        <v>23298794</v>
      </c>
      <c r="ADZ27" s="110">
        <f>ADY27+BALANCING!ADZ14</f>
        <v>24684794</v>
      </c>
      <c r="AEA27" s="110">
        <f>ADZ27+BALANCING!AEA14</f>
        <v>25834294</v>
      </c>
      <c r="AEB27" s="110">
        <f>AEA27+BALANCING!AEB14</f>
        <v>27196794</v>
      </c>
      <c r="AEC27" s="110">
        <f>AEB27+BALANCING!AEC14</f>
        <v>28961694</v>
      </c>
      <c r="AED27" s="110">
        <f>AEC27+BALANCING!AED14</f>
        <v>30360694</v>
      </c>
      <c r="AEE27" s="110">
        <f>AED27+BALANCING!AEE14</f>
        <v>31630194</v>
      </c>
      <c r="AEF27" s="110">
        <f>AEE27+BALANCING!AEF14</f>
        <v>32981194</v>
      </c>
      <c r="AEG27" s="110">
        <f>AEF27+BALANCING!AEG14</f>
        <v>33756194</v>
      </c>
      <c r="AEH27" s="110">
        <f>AEG27+BALANCING!AEH14</f>
        <v>34352194</v>
      </c>
      <c r="AEI27" s="110">
        <f>AEH27+BALANCING!AEI14</f>
        <v>35767194</v>
      </c>
      <c r="AEJ27" s="110">
        <f>AEI27+BALANCING!AEJ14</f>
        <v>37103194</v>
      </c>
      <c r="AEK27" s="110">
        <f>AEJ27+BALANCING!AEK14</f>
        <v>37716694</v>
      </c>
      <c r="AEL27" s="110">
        <f>AEK27+BALANCING!AEL14</f>
        <v>39143289</v>
      </c>
      <c r="AEM27" s="110">
        <f>AEL27+BALANCING!AEM14</f>
        <v>42169289</v>
      </c>
      <c r="AEN27" s="130"/>
      <c r="AEO27" s="110">
        <f>AEN27+BALANCING!AEO14</f>
        <v>1106700</v>
      </c>
      <c r="AEP27" s="110">
        <f>AEO27+BALANCING!AEP14</f>
        <v>2411700</v>
      </c>
      <c r="AEQ27" s="110">
        <f>AEP27+BALANCING!AEQ14</f>
        <v>3543700</v>
      </c>
      <c r="AER27" s="110">
        <f>AEQ27+BALANCING!AER14</f>
        <v>5360206</v>
      </c>
      <c r="AES27" s="110">
        <f>AER27+BALANCING!AES14</f>
        <v>6871801</v>
      </c>
      <c r="AET27" s="110">
        <f>AES27+BALANCING!AET14</f>
        <v>7327801</v>
      </c>
      <c r="AEU27" s="110">
        <f>AET27+BALANCING!AEU14</f>
        <v>8195801</v>
      </c>
      <c r="AEV27" s="110">
        <f>AEU27+BALANCING!AEV14</f>
        <v>9711801</v>
      </c>
      <c r="AEW27" s="110">
        <f>AEV27+BALANCING!AEW14</f>
        <v>12016801</v>
      </c>
      <c r="AEX27" s="110">
        <f>AEW27+BALANCING!AEX14</f>
        <v>13131801</v>
      </c>
      <c r="AEY27" s="110">
        <f>AEX27+BALANCING!AEY14</f>
        <v>14998410</v>
      </c>
      <c r="AEZ27" s="110">
        <f>AEY27+BALANCING!AEZ14</f>
        <v>16937042</v>
      </c>
      <c r="AFA27" s="110">
        <f>AEZ27+BALANCING!AFA14</f>
        <v>18605042</v>
      </c>
      <c r="AFB27" s="110">
        <f>AFA27+BALANCING!AFB14</f>
        <v>20894542</v>
      </c>
      <c r="AFC27" s="110">
        <f>AFB27+BALANCING!AFC14</f>
        <v>22121542</v>
      </c>
      <c r="AFD27" s="110">
        <f>AFC27+BALANCING!AFD14</f>
        <v>23200542</v>
      </c>
      <c r="AFE27" s="110">
        <f>AFD27+BALANCING!AFE14</f>
        <v>24401042</v>
      </c>
      <c r="AFF27" s="110">
        <f>AFE27+BALANCING!AFF14</f>
        <v>25599142</v>
      </c>
      <c r="AFG27" s="110">
        <f>AFF27+BALANCING!AFG14</f>
        <v>27267142</v>
      </c>
      <c r="AFH27" s="110">
        <f>AFG27+BALANCING!AFH14</f>
        <v>28448142</v>
      </c>
      <c r="AFI27" s="110">
        <f>AFH27+BALANCING!AFI14</f>
        <v>29588142</v>
      </c>
      <c r="AFJ27" s="110">
        <f>AFI27+BALANCING!AFJ14</f>
        <v>30708142</v>
      </c>
      <c r="AFK27" s="110">
        <f>AFJ27+BALANCING!AFK14</f>
        <v>32583348</v>
      </c>
      <c r="AFL27" s="110">
        <f>AFK27+BALANCING!AFL14</f>
        <v>34552196</v>
      </c>
      <c r="AFM27" s="110">
        <f>AFL27+BALANCING!AFM14</f>
        <v>36637196</v>
      </c>
      <c r="AFN27" s="110">
        <f>AFM27+BALANCING!AFN14</f>
        <v>38506796</v>
      </c>
      <c r="AFO27" s="110">
        <f>AFN27+BALANCING!AFO14</f>
        <v>39485796</v>
      </c>
      <c r="AFP27" s="110">
        <f>AFO27+BALANCING!AFP14</f>
        <v>40245796</v>
      </c>
      <c r="AFQ27" s="110">
        <f>AFP27+BALANCING!AFQ14</f>
        <v>42086296</v>
      </c>
      <c r="AFR27" s="110">
        <f>AFQ27+BALANCING!AFR14</f>
        <v>44579096</v>
      </c>
      <c r="AFS27" s="110">
        <f>AFR27+BALANCING!AFS14</f>
        <v>46051096</v>
      </c>
      <c r="AFT27" s="130"/>
      <c r="AFU27" s="110">
        <f>AFT27+BALANCING!AFU14</f>
        <v>2164800</v>
      </c>
      <c r="AFV27" s="110">
        <f>AFU27+BALANCING!AFV14</f>
        <v>4351235</v>
      </c>
      <c r="AFW27" s="110">
        <f>AFV27+BALANCING!AFW14</f>
        <v>5189835</v>
      </c>
      <c r="AFX27" s="110">
        <f>AFW27+BALANCING!AFX14</f>
        <v>7166635</v>
      </c>
      <c r="AFY27" s="110">
        <f>AFX27+BALANCING!AFY14</f>
        <v>9450435</v>
      </c>
      <c r="AFZ27" s="110">
        <f>AFY27+BALANCING!AFZ14</f>
        <v>11590690</v>
      </c>
      <c r="AGA27" s="110">
        <f>AFZ27+BALANCING!AGA14</f>
        <v>12252690</v>
      </c>
      <c r="AGB27" s="110">
        <f>AGA27+BALANCING!AGB14</f>
        <v>12282690</v>
      </c>
      <c r="AGC27" s="110">
        <f>AGB27+BALANCING!AGC14</f>
        <v>12282690</v>
      </c>
      <c r="AGD27" s="110">
        <f>AGC27+BALANCING!AGD14</f>
        <v>12282690</v>
      </c>
      <c r="AGE27" s="110">
        <f>AGD27+BALANCING!AGE14</f>
        <v>12282690</v>
      </c>
      <c r="AGF27" s="110">
        <f>AGE27+BALANCING!AGF14</f>
        <v>12282690</v>
      </c>
      <c r="AGG27" s="110">
        <f>AGF27+BALANCING!AGG14</f>
        <v>12282690</v>
      </c>
      <c r="AGH27" s="110">
        <f>AGG27+BALANCING!AGH14</f>
        <v>12282690</v>
      </c>
      <c r="AGI27" s="110">
        <f>AGH27+BALANCING!AGI14</f>
        <v>12282690</v>
      </c>
      <c r="AGJ27" s="110">
        <f>AGI27+BALANCING!AGJ14</f>
        <v>12282690</v>
      </c>
      <c r="AGK27" s="110">
        <f>AGJ27+BALANCING!AGK14</f>
        <v>12282690</v>
      </c>
      <c r="AGL27" s="110">
        <f>AGK27+BALANCING!AGL14</f>
        <v>12282690</v>
      </c>
      <c r="AGM27" s="110">
        <f>AGL27+BALANCING!AGM14</f>
        <v>12282690</v>
      </c>
      <c r="AGN27" s="110">
        <f>AGM27+BALANCING!AGN14</f>
        <v>12282690</v>
      </c>
      <c r="AGO27" s="110">
        <f>AGN27+BALANCING!AGO14</f>
        <v>12282690</v>
      </c>
      <c r="AGP27" s="110">
        <f>AGO27+BALANCING!AGP14</f>
        <v>12282690</v>
      </c>
      <c r="AGQ27" s="110">
        <f>AGP27+BALANCING!AGQ14</f>
        <v>12282690</v>
      </c>
      <c r="AGR27" s="110">
        <f>AGQ27+BALANCING!AGR14</f>
        <v>12282690</v>
      </c>
      <c r="AGS27" s="110">
        <f>AGR27+BALANCING!AGS14</f>
        <v>12282690</v>
      </c>
      <c r="AGT27" s="110">
        <f>AGS27+BALANCING!AGT14</f>
        <v>12282690</v>
      </c>
      <c r="AGU27" s="110">
        <f>AGT27+BALANCING!AGU14</f>
        <v>12282690</v>
      </c>
      <c r="AGV27" s="110">
        <f>AGU27+BALANCING!AGV14</f>
        <v>12282690</v>
      </c>
      <c r="AGW27" s="110">
        <f>AGV27+BALANCING!AGW14</f>
        <v>12282690</v>
      </c>
      <c r="AGX27" s="110">
        <f>AGW27+BALANCING!AGX14</f>
        <v>12282690</v>
      </c>
      <c r="AGY27" s="133"/>
      <c r="AGZ27" s="110">
        <f>AGY27+BALANCING!AGZ14</f>
        <v>0</v>
      </c>
      <c r="AHA27" s="110">
        <f>AGZ27+BALANCING!AHA14</f>
        <v>0</v>
      </c>
      <c r="AHB27" s="110">
        <f>AHA27+BALANCING!AHB14</f>
        <v>0</v>
      </c>
      <c r="AHC27" s="110">
        <f>AHB27+BALANCING!AHC14</f>
        <v>0</v>
      </c>
      <c r="AHD27" s="110">
        <f>AHC27+BALANCING!AHD14</f>
        <v>0</v>
      </c>
      <c r="AHE27" s="110">
        <f>AHD27+BALANCING!AHE14</f>
        <v>0</v>
      </c>
      <c r="AHF27" s="110">
        <f>AHE27+BALANCING!AHF14</f>
        <v>0</v>
      </c>
      <c r="AHG27" s="110">
        <f>AHF27+BALANCING!AHG14</f>
        <v>0</v>
      </c>
      <c r="AHH27" s="110">
        <f>AHG27+BALANCING!AHH14</f>
        <v>0</v>
      </c>
      <c r="AHI27" s="110">
        <f>AHH27+BALANCING!AHI14</f>
        <v>0</v>
      </c>
      <c r="AHJ27" s="110">
        <f>AHI27+BALANCING!AHJ14</f>
        <v>0</v>
      </c>
      <c r="AHK27" s="110">
        <f>AHJ27+BALANCING!AHK14</f>
        <v>0</v>
      </c>
      <c r="AHL27" s="110">
        <f>AHK27+BALANCING!AHL14</f>
        <v>0</v>
      </c>
      <c r="AHM27" s="110">
        <f>AHL27+BALANCING!AHM14</f>
        <v>0</v>
      </c>
      <c r="AHN27" s="110">
        <f>AHM27+BALANCING!AHN14</f>
        <v>0</v>
      </c>
      <c r="AHO27" s="110">
        <f>AHN27+BALANCING!AHO14</f>
        <v>0</v>
      </c>
      <c r="AHP27" s="110">
        <f>AHO27+BALANCING!AHP14</f>
        <v>0</v>
      </c>
      <c r="AHQ27" s="110">
        <f>AHP27+BALANCING!AHQ14</f>
        <v>0</v>
      </c>
      <c r="AHR27" s="110">
        <f>AHQ27+BALANCING!AHR14</f>
        <v>0</v>
      </c>
      <c r="AHS27" s="110">
        <f>AHR27+BALANCING!AHS14</f>
        <v>0</v>
      </c>
      <c r="AHT27" s="110">
        <f>AHS27+BALANCING!AHT14</f>
        <v>0</v>
      </c>
      <c r="AHU27" s="110">
        <f>AHT27+BALANCING!AHU14</f>
        <v>0</v>
      </c>
      <c r="AHV27" s="110">
        <f>AHU27+BALANCING!AHV14</f>
        <v>0</v>
      </c>
      <c r="AHW27" s="110">
        <f>AHV27+BALANCING!AHW14</f>
        <v>0</v>
      </c>
      <c r="AHX27" s="110">
        <f>AHW27+BALANCING!AHX14</f>
        <v>0</v>
      </c>
      <c r="AHY27" s="110">
        <f>AHX27+BALANCING!AHY14</f>
        <v>0</v>
      </c>
      <c r="AHZ27" s="110">
        <f>AHY27+BALANCING!AHZ14</f>
        <v>0</v>
      </c>
      <c r="AIA27" s="110">
        <f>AHZ27+BALANCING!AIA14</f>
        <v>0</v>
      </c>
      <c r="AIB27" s="110">
        <f>AIA27+BALANCING!AIB14</f>
        <v>0</v>
      </c>
      <c r="AIC27" s="110">
        <f>AIB27+BALANCING!AIC14</f>
        <v>0</v>
      </c>
      <c r="AID27" s="110">
        <f>AIC27+BALANCING!AID14</f>
        <v>0</v>
      </c>
      <c r="AIE27" s="130"/>
      <c r="AIF27" s="110">
        <f>AIE27+BALANCING!AIF14</f>
        <v>0</v>
      </c>
      <c r="AIG27" s="110">
        <f>AIF27+BALANCING!AIG14</f>
        <v>0</v>
      </c>
      <c r="AIH27" s="110">
        <f>AIG27+BALANCING!AIH14</f>
        <v>0</v>
      </c>
      <c r="AII27" s="110">
        <f>AIH27+BALANCING!AII14</f>
        <v>0</v>
      </c>
      <c r="AIJ27" s="110">
        <f>AII27+BALANCING!AIJ14</f>
        <v>0</v>
      </c>
      <c r="AIK27" s="110">
        <f>AIJ27+BALANCING!AIK14</f>
        <v>0</v>
      </c>
      <c r="AIL27" s="110">
        <f>AIK27+BALANCING!AIL14</f>
        <v>0</v>
      </c>
      <c r="AIM27" s="110">
        <f>AIL27+BALANCING!AIM14</f>
        <v>0</v>
      </c>
      <c r="AIN27" s="110">
        <f>AIM27+BALANCING!AIN14</f>
        <v>0</v>
      </c>
      <c r="AIO27" s="110">
        <f>AIN27+BALANCING!AIO14</f>
        <v>0</v>
      </c>
      <c r="AIP27" s="110">
        <f>AIO27+BALANCING!AIP14</f>
        <v>0</v>
      </c>
      <c r="AIQ27" s="110">
        <f>AIP27+BALANCING!AIQ14</f>
        <v>0</v>
      </c>
      <c r="AIR27" s="110">
        <f>AIQ27+BALANCING!AIR14</f>
        <v>0</v>
      </c>
      <c r="AIS27" s="110">
        <f>AIR27+BALANCING!AIS14</f>
        <v>0</v>
      </c>
      <c r="AIT27" s="110">
        <f>AIS27+BALANCING!AIT14</f>
        <v>0</v>
      </c>
      <c r="AIU27" s="110">
        <f>AIT27+BALANCING!AIU14</f>
        <v>0</v>
      </c>
      <c r="AIV27" s="110">
        <f>AIU27+BALANCING!AIV14</f>
        <v>0</v>
      </c>
      <c r="AIW27" s="110">
        <f>AIV27+BALANCING!AIW14</f>
        <v>0</v>
      </c>
      <c r="AIX27" s="110">
        <f>AIW27+BALANCING!AIX14</f>
        <v>0</v>
      </c>
      <c r="AIY27" s="110">
        <f>AIX27+BALANCING!AIY14</f>
        <v>0</v>
      </c>
      <c r="AIZ27" s="110">
        <f>AIY27+BALANCING!AIZ14</f>
        <v>0</v>
      </c>
      <c r="AJA27" s="110">
        <f>AIZ27+BALANCING!AJA14</f>
        <v>0</v>
      </c>
      <c r="AJB27" s="110">
        <f>AJA27+BALANCING!AJB14</f>
        <v>0</v>
      </c>
      <c r="AJC27" s="110">
        <f>AJB27+BALANCING!AJC14</f>
        <v>0</v>
      </c>
      <c r="AJD27" s="110">
        <f>AJC27+BALANCING!AJD14</f>
        <v>0</v>
      </c>
      <c r="AJE27" s="110">
        <f>AJD27+BALANCING!AJE14</f>
        <v>0</v>
      </c>
      <c r="AJF27" s="110">
        <f>AJE27+BALANCING!AJF14</f>
        <v>0</v>
      </c>
      <c r="AJG27" s="110">
        <f>AJF27+BALANCING!AJG14</f>
        <v>0</v>
      </c>
      <c r="AJH27" s="110">
        <f>AJG27+BALANCING!AJH14</f>
        <v>0</v>
      </c>
      <c r="AJI27" s="110">
        <f>AJH27+BALANCING!AJI14</f>
        <v>0</v>
      </c>
      <c r="AJJ27" s="110">
        <f>AJI27+BALANCING!AJJ14</f>
        <v>0</v>
      </c>
      <c r="AJK27" s="145"/>
      <c r="AJL27" s="110">
        <f>AJK27+BALANCING!AJL14</f>
        <v>0</v>
      </c>
      <c r="AJM27" s="110">
        <f>AJL27+BALANCING!AJM14</f>
        <v>0</v>
      </c>
      <c r="AJN27" s="110">
        <f>AJM27+BALANCING!AJN14</f>
        <v>0</v>
      </c>
      <c r="AJO27" s="110">
        <f>AJN27+BALANCING!AJO14</f>
        <v>0</v>
      </c>
      <c r="AJP27" s="110">
        <f>AJO27+BALANCING!AJP14</f>
        <v>0</v>
      </c>
      <c r="AJQ27" s="110">
        <f>AJP27+BALANCING!AJQ14</f>
        <v>0</v>
      </c>
      <c r="AJR27" s="110">
        <f>AJQ27+BALANCING!AJR14</f>
        <v>0</v>
      </c>
      <c r="AJS27" s="110">
        <f>AJR27+BALANCING!AJS14</f>
        <v>0</v>
      </c>
      <c r="AJT27" s="110">
        <f>AJS27+BALANCING!AJT14</f>
        <v>0</v>
      </c>
      <c r="AJU27" s="110">
        <f>AJT27+BALANCING!AJU14</f>
        <v>0</v>
      </c>
      <c r="AJV27" s="110">
        <f>AJU27+BALANCING!AJV14</f>
        <v>0</v>
      </c>
      <c r="AJW27" s="110">
        <f>AJV27+BALANCING!AJW14</f>
        <v>0</v>
      </c>
      <c r="AJX27" s="110">
        <f>AJW27+BALANCING!AJX14</f>
        <v>0</v>
      </c>
      <c r="AJY27" s="110">
        <f>AJX27+BALANCING!AJY14</f>
        <v>0</v>
      </c>
      <c r="AJZ27" s="110">
        <f>AJY27+BALANCING!AJZ14</f>
        <v>0</v>
      </c>
      <c r="AKA27" s="110">
        <f>AJZ27+BALANCING!AKA14</f>
        <v>0</v>
      </c>
      <c r="AKB27" s="110">
        <f>AKA27+BALANCING!AKB14</f>
        <v>0</v>
      </c>
      <c r="AKC27" s="110">
        <f>AKB27+BALANCING!AKC14</f>
        <v>0</v>
      </c>
      <c r="AKD27" s="110">
        <f>AKC27+BALANCING!AKD14</f>
        <v>0</v>
      </c>
      <c r="AKE27" s="110">
        <f>AKD27+BALANCING!AKE14</f>
        <v>0</v>
      </c>
      <c r="AKF27" s="110">
        <f>AKE27+BALANCING!AKF14</f>
        <v>0</v>
      </c>
      <c r="AKG27" s="110">
        <f>AKF27+BALANCING!AKG14</f>
        <v>0</v>
      </c>
      <c r="AKH27" s="110">
        <f>AKG27+BALANCING!AKH14</f>
        <v>0</v>
      </c>
      <c r="AKI27" s="110">
        <f>AKH27+BALANCING!AKI14</f>
        <v>0</v>
      </c>
      <c r="AKJ27" s="110">
        <f>AKI27+BALANCING!AKJ14</f>
        <v>0</v>
      </c>
      <c r="AKK27" s="110">
        <f>AKJ27+BALANCING!AKK14</f>
        <v>0</v>
      </c>
      <c r="AKL27" s="110">
        <f>AKK27+BALANCING!AKL14</f>
        <v>0</v>
      </c>
      <c r="AKM27" s="110">
        <f>AKL27+BALANCING!AKM14</f>
        <v>0</v>
      </c>
      <c r="AKN27" s="112"/>
      <c r="AKO27" s="110">
        <f>AKN27+BALANCING!AKO14</f>
        <v>0</v>
      </c>
      <c r="AKP27" s="110">
        <f>AKO27+BALANCING!AKP14</f>
        <v>0</v>
      </c>
      <c r="AKQ27" s="110">
        <f>AKP27+BALANCING!AKQ14</f>
        <v>0</v>
      </c>
      <c r="AKR27" s="110">
        <f>AKQ27+BALANCING!AKR14</f>
        <v>0</v>
      </c>
      <c r="AKS27" s="110">
        <f>AKR27+BALANCING!AKS14</f>
        <v>0</v>
      </c>
      <c r="AKT27" s="110">
        <f>AKS27+BALANCING!AKT14</f>
        <v>0</v>
      </c>
      <c r="AKU27" s="110">
        <f>AKT27+BALANCING!AKU14</f>
        <v>0</v>
      </c>
      <c r="AKV27" s="110">
        <f>AKU27+BALANCING!AKV14</f>
        <v>0</v>
      </c>
      <c r="AKW27" s="110">
        <f>AKV27+BALANCING!AKW14</f>
        <v>0</v>
      </c>
      <c r="AKX27" s="110">
        <f>AKW27+BALANCING!AKX14</f>
        <v>0</v>
      </c>
      <c r="AKY27" s="110">
        <f>AKX27+BALANCING!AKY14</f>
        <v>0</v>
      </c>
      <c r="AKZ27" s="110">
        <f>AKY27+BALANCING!AKZ14</f>
        <v>0</v>
      </c>
      <c r="ALA27" s="110">
        <f>AKZ27+BALANCING!ALA14</f>
        <v>0</v>
      </c>
      <c r="ALB27" s="110">
        <f>ALA27+BALANCING!ALB14</f>
        <v>0</v>
      </c>
      <c r="ALC27" s="110">
        <f>ALB27+BALANCING!ALC14</f>
        <v>0</v>
      </c>
      <c r="ALD27" s="110">
        <f>ALC27+BALANCING!ALD14</f>
        <v>0</v>
      </c>
      <c r="ALE27" s="110">
        <f>ALD27+BALANCING!ALE14</f>
        <v>0</v>
      </c>
      <c r="ALF27" s="110">
        <f>ALE27+BALANCING!ALF14</f>
        <v>0</v>
      </c>
      <c r="ALG27" s="110">
        <f>ALF27+BALANCING!ALG14</f>
        <v>0</v>
      </c>
      <c r="ALH27" s="110">
        <f>ALG27+BALANCING!ALH14</f>
        <v>0</v>
      </c>
      <c r="ALI27" s="110">
        <f>ALH27+BALANCING!ALI14</f>
        <v>0</v>
      </c>
      <c r="ALJ27" s="110">
        <f>ALI27+BALANCING!ALJ14</f>
        <v>0</v>
      </c>
      <c r="ALK27" s="110">
        <f>ALJ27+BALANCING!ALK14</f>
        <v>0</v>
      </c>
      <c r="ALL27" s="110">
        <f>ALK27+BALANCING!ALL14</f>
        <v>0</v>
      </c>
      <c r="ALM27" s="110">
        <f>ALL27+BALANCING!ALM14</f>
        <v>0</v>
      </c>
      <c r="ALN27" s="110">
        <f>ALM27+BALANCING!ALN14</f>
        <v>0</v>
      </c>
      <c r="ALO27" s="110">
        <f>ALN27+BALANCING!ALO14</f>
        <v>0</v>
      </c>
      <c r="ALP27" s="110">
        <f>ALO27+BALANCING!ALP14</f>
        <v>0</v>
      </c>
      <c r="ALQ27" s="110">
        <f>ALP27+BALANCING!ALQ14</f>
        <v>0</v>
      </c>
      <c r="ALR27" s="110">
        <f>ALQ27+BALANCING!ALR14</f>
        <v>0</v>
      </c>
      <c r="ALS27" s="110">
        <f>ALR27+BALANCING!ALS14</f>
        <v>0</v>
      </c>
      <c r="ALT27" s="130"/>
      <c r="ALU27" s="110">
        <f>ALT27+BALANCING!ALU14</f>
        <v>0</v>
      </c>
      <c r="ALV27" s="110">
        <f>ALU27+BALANCING!ALV14</f>
        <v>0</v>
      </c>
      <c r="ALW27" s="110">
        <f>ALV27+BALANCING!ALW14</f>
        <v>0</v>
      </c>
      <c r="ALX27" s="110">
        <f>ALW27+BALANCING!ALX14</f>
        <v>0</v>
      </c>
      <c r="ALY27" s="110">
        <f>ALX27+BALANCING!ALY14</f>
        <v>0</v>
      </c>
      <c r="ALZ27" s="110">
        <f>ALY27+BALANCING!ALZ14</f>
        <v>0</v>
      </c>
      <c r="AMA27" s="110">
        <f>ALZ27+BALANCING!AMA14</f>
        <v>0</v>
      </c>
      <c r="AMB27" s="110">
        <f>AMA27+BALANCING!AMB14</f>
        <v>0</v>
      </c>
      <c r="AMC27" s="110">
        <f>AMB27+BALANCING!AMC14</f>
        <v>0</v>
      </c>
      <c r="AMD27" s="110">
        <f>AMC27+BALANCING!AMD14</f>
        <v>10000</v>
      </c>
      <c r="AME27" s="110">
        <f>AMD27+BALANCING!AME14</f>
        <v>10000</v>
      </c>
      <c r="AMF27" s="110">
        <f>AME27+BALANCING!AMF14</f>
        <v>10000</v>
      </c>
      <c r="AMG27" s="110">
        <f>AMF27+BALANCING!AMG14</f>
        <v>10000</v>
      </c>
      <c r="AMH27" s="110">
        <f>AMG27+BALANCING!AMH14</f>
        <v>10000</v>
      </c>
      <c r="AMI27" s="110">
        <f>AMH27+BALANCING!AMI14</f>
        <v>10000</v>
      </c>
      <c r="AMJ27" s="110">
        <f>AMI27+BALANCING!AMJ14</f>
        <v>10000</v>
      </c>
      <c r="AMK27" s="110">
        <f>AMJ27+BALANCING!AMK14</f>
        <v>10000</v>
      </c>
      <c r="AML27" s="110">
        <f>AMK27+BALANCING!AML14</f>
        <v>10000</v>
      </c>
      <c r="AMM27" s="110">
        <f>AML27+BALANCING!AMM14</f>
        <v>10000</v>
      </c>
      <c r="AMN27" s="110">
        <f>AMM27+BALANCING!AMN14</f>
        <v>10000</v>
      </c>
      <c r="AMO27" s="110">
        <f>AMN27+BALANCING!AMO14</f>
        <v>10000</v>
      </c>
      <c r="AMP27" s="110">
        <f>AMO27+BALANCING!AMP14</f>
        <v>10000</v>
      </c>
      <c r="AMQ27" s="110">
        <f>AMP27+BALANCING!AMQ14</f>
        <v>10000</v>
      </c>
      <c r="AMR27" s="110">
        <f>AMQ27+BALANCING!AMR14</f>
        <v>10000</v>
      </c>
      <c r="AMS27" s="110">
        <f>AMR27+BALANCING!AMS14</f>
        <v>10000</v>
      </c>
      <c r="AMT27" s="110">
        <f>AMS27+BALANCING!AMT14</f>
        <v>10000</v>
      </c>
      <c r="AMU27" s="110">
        <f>AMT27+BALANCING!AMU14</f>
        <v>10000</v>
      </c>
      <c r="AMV27" s="110">
        <f>AMU27+BALANCING!AMV14</f>
        <v>10000</v>
      </c>
      <c r="AMW27" s="110">
        <f>AMV27+BALANCING!AMW14</f>
        <v>10000</v>
      </c>
      <c r="AMX27" s="110">
        <f>AMW27+BALANCING!AMX14</f>
        <v>10000</v>
      </c>
      <c r="AMY27" s="130"/>
      <c r="AMZ27" s="110">
        <f>AMY27+BALANCING!AMZ14</f>
        <v>0</v>
      </c>
      <c r="ANA27" s="110">
        <f>AMZ27+BALANCING!ANA14</f>
        <v>0</v>
      </c>
      <c r="ANB27" s="110">
        <f>ANA27+BALANCING!ANB14</f>
        <v>0</v>
      </c>
      <c r="ANC27" s="110">
        <f>ANB27+BALANCING!ANC14</f>
        <v>0</v>
      </c>
      <c r="AND27" s="110">
        <f>ANC27+BALANCING!AND14</f>
        <v>0</v>
      </c>
      <c r="ANE27" s="110">
        <f>AND27+BALANCING!ANE14</f>
        <v>0</v>
      </c>
      <c r="ANF27" s="110">
        <f>ANE27+BALANCING!ANF14</f>
        <v>0</v>
      </c>
      <c r="ANG27" s="110">
        <f>ANF27+BALANCING!ANG14</f>
        <v>0</v>
      </c>
      <c r="ANH27" s="110">
        <f>ANG27+BALANCING!ANH14</f>
        <v>0</v>
      </c>
      <c r="ANI27" s="110">
        <f>ANH27+BALANCING!ANI14</f>
        <v>0</v>
      </c>
      <c r="ANJ27" s="110">
        <f>ANI27+BALANCING!ANJ14</f>
        <v>0</v>
      </c>
      <c r="ANK27" s="110">
        <f>ANJ27+BALANCING!ANK14</f>
        <v>0</v>
      </c>
      <c r="ANL27" s="110">
        <f>ANK27+BALANCING!ANL14</f>
        <v>0</v>
      </c>
      <c r="ANM27" s="110">
        <f>ANL27+BALANCING!ANM14</f>
        <v>0</v>
      </c>
      <c r="ANN27" s="110">
        <f>ANM27+BALANCING!ANN14</f>
        <v>0</v>
      </c>
      <c r="ANO27" s="110">
        <f>ANN27+BALANCING!ANO14</f>
        <v>0</v>
      </c>
      <c r="ANP27" s="110">
        <f>ANO27+BALANCING!ANP14</f>
        <v>0</v>
      </c>
      <c r="ANQ27" s="110">
        <f>ANP27+BALANCING!ANQ14</f>
        <v>0</v>
      </c>
      <c r="ANR27" s="110">
        <f>ANQ27+BALANCING!ANR14</f>
        <v>0</v>
      </c>
      <c r="ANS27" s="110">
        <f>ANR27+BALANCING!ANS14</f>
        <v>0</v>
      </c>
      <c r="ANT27" s="110">
        <f>ANS27+BALANCING!ANT14</f>
        <v>284000</v>
      </c>
      <c r="ANU27" s="110">
        <f>ANT27+BALANCING!ANU14</f>
        <v>1037500</v>
      </c>
      <c r="ANV27" s="110">
        <f>ANU27+BALANCING!ANV14</f>
        <v>1893500</v>
      </c>
      <c r="ANW27" s="110">
        <f>ANV27+BALANCING!ANW14</f>
        <v>2635800</v>
      </c>
      <c r="ANX27" s="110">
        <f>ANW27+BALANCING!ANX14</f>
        <v>5118775</v>
      </c>
      <c r="ANY27" s="110">
        <f>ANX27+BALANCING!ANY14</f>
        <v>8325870</v>
      </c>
      <c r="ANZ27" s="110">
        <f>ANY27+BALANCING!ANZ14</f>
        <v>8800270</v>
      </c>
      <c r="AOA27" s="110">
        <f>ANZ27+BALANCING!AOA14</f>
        <v>10456520</v>
      </c>
      <c r="AOB27" s="110">
        <f>AOA27+BALANCING!AOB14</f>
        <v>12110320</v>
      </c>
      <c r="AOC27" s="110">
        <f>AOB27+BALANCING!AOC14</f>
        <v>14499353</v>
      </c>
    </row>
    <row r="28" spans="1:1069" x14ac:dyDescent="0.2">
      <c r="A28" s="160"/>
      <c r="B28" t="s">
        <v>1660</v>
      </c>
      <c r="C28" s="52">
        <f>BALANCING!C15</f>
        <v>710000</v>
      </c>
      <c r="D28" s="52">
        <f>C28+BALANCING!D15</f>
        <v>1040000</v>
      </c>
      <c r="E28" s="52">
        <f>D28+BALANCING!E15</f>
        <v>1095000</v>
      </c>
      <c r="F28" s="52">
        <f>E28+BALANCING!F15</f>
        <v>2411400</v>
      </c>
      <c r="G28" s="52">
        <f>F28+BALANCING!G15</f>
        <v>4103630</v>
      </c>
      <c r="H28" s="52">
        <f>G28+BALANCING!H15</f>
        <v>5107898</v>
      </c>
      <c r="I28" s="52">
        <f>H28+BALANCING!I15</f>
        <v>5479898</v>
      </c>
      <c r="J28" s="52">
        <f>I28+BALANCING!J15</f>
        <v>5952148</v>
      </c>
      <c r="K28" s="52">
        <f>J28+BALANCING!K15</f>
        <v>6442148</v>
      </c>
      <c r="L28" s="52">
        <f>K28+BALANCING!L15</f>
        <v>7213148</v>
      </c>
      <c r="M28" s="52">
        <f>L28+BALANCING!M15</f>
        <v>9237736</v>
      </c>
      <c r="N28" s="52">
        <f>M28+BALANCING!N15</f>
        <v>9677736</v>
      </c>
      <c r="O28" s="52">
        <f>N28+BALANCING!O15</f>
        <v>10591601</v>
      </c>
      <c r="P28" s="52">
        <f>O28+BALANCING!P15</f>
        <v>11176601</v>
      </c>
      <c r="Q28" s="52">
        <f>P28+BALANCING!Q15</f>
        <v>11346601</v>
      </c>
      <c r="R28" s="52">
        <f>Q28+BALANCING!R15</f>
        <v>12233918</v>
      </c>
      <c r="S28" s="52">
        <f>R28+BALANCING!S15</f>
        <v>12397918</v>
      </c>
      <c r="T28" s="52">
        <f>S28+BALANCING!T15</f>
        <v>13038918</v>
      </c>
      <c r="U28" s="52">
        <f>T28+BALANCING!U15</f>
        <v>14439918</v>
      </c>
      <c r="V28" s="52">
        <f>U28+BALANCING!V15</f>
        <v>14699918</v>
      </c>
      <c r="W28" s="52">
        <f>V28+BALANCING!W15</f>
        <v>15191918</v>
      </c>
      <c r="X28" s="52">
        <f>W28+BALANCING!X15</f>
        <v>15551918</v>
      </c>
      <c r="Y28" s="52">
        <f>X28+BALANCING!Y15</f>
        <v>16818239</v>
      </c>
      <c r="Z28" s="52">
        <f>Y28+BALANCING!Z15</f>
        <v>17653939</v>
      </c>
      <c r="AA28" s="52">
        <f>Z28+BALANCING!AA15</f>
        <v>18760324</v>
      </c>
      <c r="AB28" s="52">
        <f>AA28+BALANCING!AB15</f>
        <v>19248624</v>
      </c>
      <c r="AC28" s="52">
        <f>AB28+BALANCING!AC15</f>
        <v>20682481</v>
      </c>
      <c r="AD28" s="52">
        <f>AC28+BALANCING!AD15</f>
        <v>21257481</v>
      </c>
      <c r="AE28" s="52">
        <f>AD28+BALANCING!AE15</f>
        <v>21880481</v>
      </c>
      <c r="AF28" s="52">
        <f>AE28+BALANCING!AF15</f>
        <v>22966481</v>
      </c>
      <c r="AG28" s="52">
        <f>AF28+BALANCING!AG15</f>
        <v>23381481</v>
      </c>
      <c r="AH28" s="98">
        <f>AG28</f>
        <v>23381481</v>
      </c>
      <c r="AI28" s="82">
        <f>BALANCING!AI15</f>
        <v>897366</v>
      </c>
      <c r="AJ28" s="82">
        <f>AI28+BALANCING!AJ15</f>
        <v>1783394</v>
      </c>
      <c r="AK28" s="82">
        <f>AJ28+BALANCING!AK15</f>
        <v>2613894</v>
      </c>
      <c r="AL28" s="82">
        <f>AK28+BALANCING!AL15</f>
        <v>3169835</v>
      </c>
      <c r="AM28" s="82">
        <f>AL28+BALANCING!AM15</f>
        <v>3687835</v>
      </c>
      <c r="AN28" s="82">
        <f>AM28+BALANCING!AN15</f>
        <v>3999835</v>
      </c>
      <c r="AO28" s="82">
        <f>AN28+BALANCING!AO15</f>
        <v>4494338</v>
      </c>
      <c r="AP28" s="82">
        <f>AO28+BALANCING!AP15</f>
        <v>5070084</v>
      </c>
      <c r="AQ28" s="82">
        <f>AP28+BALANCING!AQ15</f>
        <v>5525084</v>
      </c>
      <c r="AR28" s="82">
        <f>AQ28+BALANCING!AR15</f>
        <v>6159084</v>
      </c>
      <c r="AS28" s="82">
        <f>AR28+BALANCING!AS15</f>
        <v>6574906</v>
      </c>
      <c r="AT28" s="82">
        <f>AS28+BALANCING!AT15</f>
        <v>6975506</v>
      </c>
      <c r="AU28" s="82">
        <f>AT28+BALANCING!AU15</f>
        <v>8027506</v>
      </c>
      <c r="AV28" s="82">
        <f>AU28+BALANCING!AV15</f>
        <v>8914006</v>
      </c>
      <c r="AW28" s="82">
        <f>AV28+BALANCING!AW15</f>
        <v>9274006</v>
      </c>
      <c r="AX28" s="82">
        <f>AW28+BALANCING!AX15</f>
        <v>9744206</v>
      </c>
      <c r="AY28" s="82">
        <f>AX28+BALANCING!AY15</f>
        <v>10264206</v>
      </c>
      <c r="AZ28" s="82">
        <f>AY28+BALANCING!AZ15</f>
        <v>10690206</v>
      </c>
      <c r="BA28" s="82">
        <f>AZ28+BALANCING!BA15</f>
        <v>10950206</v>
      </c>
      <c r="BB28" s="82">
        <f>BA28+BALANCING!BB15</f>
        <v>11207206</v>
      </c>
      <c r="BC28" s="82">
        <f>BB28+BALANCING!BC15</f>
        <v>11672206</v>
      </c>
      <c r="BD28" s="82">
        <f>BC28+BALANCING!BD15</f>
        <v>12194206</v>
      </c>
      <c r="BE28" s="82">
        <f>BD28+BALANCING!BE15</f>
        <v>12495106</v>
      </c>
      <c r="BF28" s="82">
        <f>BE28+BALANCING!BF15</f>
        <v>13044148</v>
      </c>
      <c r="BG28" s="82">
        <f>BF28+BALANCING!BG15</f>
        <v>13470106</v>
      </c>
      <c r="BH28" s="82">
        <f>BG28+BALANCING!BH15</f>
        <v>14198106</v>
      </c>
      <c r="BI28" s="82">
        <f>BH28+BALANCING!BI15</f>
        <v>15093906</v>
      </c>
      <c r="BJ28" s="82">
        <f>BI28+BALANCING!BJ15</f>
        <v>15865739</v>
      </c>
      <c r="BK28" s="82">
        <f>BJ28+BALANCING!BK15</f>
        <v>15925739</v>
      </c>
      <c r="BL28" s="82">
        <f>BK28+BALANCING!BL15</f>
        <v>16651810</v>
      </c>
      <c r="BM28" s="106">
        <v>0</v>
      </c>
      <c r="BN28" s="82">
        <f>BM28+BALANCING!BN15</f>
        <v>595500</v>
      </c>
      <c r="BO28" s="82">
        <f>BN28+BALANCING!BO15</f>
        <v>992000</v>
      </c>
      <c r="BP28" s="82">
        <f>BO28+BALANCING!BP15</f>
        <v>1694558</v>
      </c>
      <c r="BQ28" s="82">
        <f>BP28+BALANCING!BQ15</f>
        <v>2004558</v>
      </c>
      <c r="BR28" s="82">
        <f>BQ28+BALANCING!BR15</f>
        <v>2700221</v>
      </c>
      <c r="BS28" s="82">
        <f>BR28+BALANCING!BS15</f>
        <v>3594221</v>
      </c>
      <c r="BT28" s="82">
        <f>BS28+BALANCING!BT15</f>
        <v>3960221</v>
      </c>
      <c r="BU28" s="82">
        <f>BT28+BALANCING!BU15</f>
        <v>4700721</v>
      </c>
      <c r="BV28" s="82">
        <f>BU28+BALANCING!BV15</f>
        <v>5429671</v>
      </c>
      <c r="BW28" s="82">
        <f>BV28+BALANCING!BW15</f>
        <v>6070671</v>
      </c>
      <c r="BX28" s="82">
        <f>BW28+BALANCING!BX15</f>
        <v>6671271</v>
      </c>
      <c r="BY28" s="82">
        <f>BX28+BALANCING!BY15</f>
        <v>8511271</v>
      </c>
      <c r="BZ28" s="82">
        <f>BY28+BALANCING!BZ15</f>
        <v>9563845</v>
      </c>
      <c r="CA28" s="82">
        <f>BZ28+BALANCING!CA15</f>
        <v>9761645</v>
      </c>
      <c r="CB28" s="82">
        <f>CA28+BALANCING!CB15</f>
        <v>10429645</v>
      </c>
      <c r="CC28" s="82">
        <f>CB28+BALANCING!CC15</f>
        <v>10847645</v>
      </c>
      <c r="CD28" s="82">
        <f>CC28+BALANCING!CD15</f>
        <v>11306645</v>
      </c>
      <c r="CE28" s="82">
        <f>CD28+BALANCING!CE15</f>
        <v>11740645</v>
      </c>
      <c r="CF28" s="82">
        <f>CE28+BALANCING!CF15</f>
        <v>12211210</v>
      </c>
      <c r="CG28" s="82">
        <f>CF28+BALANCING!CG15</f>
        <v>13031334</v>
      </c>
      <c r="CH28" s="82">
        <f>CG28+BALANCING!CH15</f>
        <v>13453334</v>
      </c>
      <c r="CI28" s="82">
        <f>CH28+BALANCING!CI15</f>
        <v>14041334</v>
      </c>
      <c r="CJ28" s="82">
        <f>CI28+BALANCING!CJ15</f>
        <v>14244834</v>
      </c>
      <c r="CK28" s="82">
        <f>CJ28+BALANCING!CK15</f>
        <v>15143234</v>
      </c>
      <c r="CL28" s="82">
        <f>CK28+BALANCING!CL15</f>
        <v>15463234</v>
      </c>
      <c r="CM28" s="82">
        <f>CL28+BALANCING!CM15</f>
        <v>16335134</v>
      </c>
      <c r="CN28" s="82">
        <f>CM28+BALANCING!CN15</f>
        <v>16780134</v>
      </c>
      <c r="CO28" s="82">
        <f>CN28+BALANCING!CO15</f>
        <v>17357334</v>
      </c>
      <c r="CP28" s="82">
        <f>CO28+BALANCING!CP15</f>
        <v>17879334</v>
      </c>
      <c r="CQ28" s="82">
        <f>CP28+BALANCING!CQ15</f>
        <v>18406334</v>
      </c>
      <c r="CR28" s="82">
        <f>CQ28+BALANCING!CR15</f>
        <v>18946734</v>
      </c>
      <c r="CT28" s="82">
        <f>CS28+BALANCING!CT15</f>
        <v>17500</v>
      </c>
      <c r="CU28" s="82">
        <f>CT28+BALANCING!CU15</f>
        <v>454000</v>
      </c>
      <c r="CV28" s="82">
        <f>CU28+BALANCING!CV15</f>
        <v>584000</v>
      </c>
      <c r="CW28" s="82">
        <f>CV28+BALANCING!CW15</f>
        <v>899000</v>
      </c>
      <c r="CX28" s="82">
        <f>CW28+BALANCING!CX15</f>
        <v>1810800</v>
      </c>
      <c r="CY28" s="82">
        <f>CX28+BALANCING!CY15</f>
        <v>2399496</v>
      </c>
      <c r="CZ28" s="82">
        <f>CY28+BALANCING!CZ15</f>
        <v>2559996</v>
      </c>
      <c r="DA28" s="82">
        <f>CZ28+BALANCING!DA15</f>
        <v>2784496</v>
      </c>
      <c r="DB28" s="82">
        <f>DA28+BALANCING!DB15</f>
        <v>2967496</v>
      </c>
      <c r="DC28" s="82">
        <f>DB28+BALANCING!DC15</f>
        <v>3260496</v>
      </c>
      <c r="DD28" s="82">
        <f>DC28+BALANCING!DD15</f>
        <v>3495496</v>
      </c>
      <c r="DE28" s="82">
        <f>DD28+BALANCING!DE15</f>
        <v>3922496</v>
      </c>
      <c r="DF28" s="82">
        <f>DE28+BALANCING!DF15</f>
        <v>4365496</v>
      </c>
      <c r="DG28" s="82">
        <f>DF28+BALANCING!DG15</f>
        <v>5423108</v>
      </c>
      <c r="DH28" s="82">
        <f>DG28+BALANCING!DH15</f>
        <v>5543108</v>
      </c>
      <c r="DI28" s="82">
        <f>DH28+BALANCING!DI15</f>
        <v>6135908</v>
      </c>
      <c r="DJ28" s="82">
        <f>DI28+BALANCING!DJ15</f>
        <v>6328908</v>
      </c>
      <c r="DK28" s="82">
        <f>DJ28+BALANCING!DK15</f>
        <v>6591908</v>
      </c>
      <c r="DL28" s="82">
        <f>DK28+BALANCING!DL15</f>
        <v>6991408</v>
      </c>
      <c r="DM28" s="82">
        <f>DL28+BALANCING!DM15</f>
        <v>7660778</v>
      </c>
      <c r="DN28" s="82">
        <f>DM28+BALANCING!DN15</f>
        <v>7660778</v>
      </c>
      <c r="DO28" s="82">
        <f>DN28+BALANCING!DO15</f>
        <v>7840778</v>
      </c>
      <c r="DP28" s="82">
        <f>DO28+BALANCING!DP15</f>
        <v>8786778</v>
      </c>
      <c r="DQ28" s="82">
        <f>DP28+BALANCING!DQ15</f>
        <v>8926778</v>
      </c>
      <c r="DR28" s="82">
        <f>DQ28+BALANCING!DR15</f>
        <v>9576278</v>
      </c>
      <c r="DS28" s="82">
        <f>DR28+BALANCING!DS15</f>
        <v>9736278</v>
      </c>
      <c r="DT28" s="82">
        <f>DS28+BALANCING!DT15</f>
        <v>9766278</v>
      </c>
      <c r="DU28" s="82">
        <f>DT28+BALANCING!DU15</f>
        <v>9766278</v>
      </c>
      <c r="DV28" s="82">
        <f>DU28+BALANCING!DV15</f>
        <v>9866278</v>
      </c>
      <c r="DW28" s="82">
        <f>DV28+BALANCING!DW15</f>
        <v>10048278</v>
      </c>
      <c r="DX28" s="117"/>
      <c r="DY28" s="82">
        <f>DX28+BALANCING!DY15</f>
        <v>899800</v>
      </c>
      <c r="DZ28" s="82">
        <f>DY28+BALANCING!DZ15</f>
        <v>1023300</v>
      </c>
      <c r="EA28" s="82">
        <f>DZ28+BALANCING!EA15</f>
        <v>1260300</v>
      </c>
      <c r="EB28" s="82">
        <f>EA28+BALANCING!EB15</f>
        <v>1831300</v>
      </c>
      <c r="EC28" s="82">
        <f>EB28+BALANCING!EC15</f>
        <v>1877300</v>
      </c>
      <c r="ED28" s="82">
        <f>EC28+BALANCING!ED15</f>
        <v>1987300</v>
      </c>
      <c r="EE28" s="82">
        <f>ED28+BALANCING!EE15</f>
        <v>1996800</v>
      </c>
      <c r="EF28" s="82">
        <f>EE28+BALANCING!EF15</f>
        <v>2052800</v>
      </c>
      <c r="EG28" s="82">
        <f>EF28+BALANCING!EG15</f>
        <v>3052400</v>
      </c>
      <c r="EH28" s="82">
        <f>EG28+BALANCING!EH15</f>
        <v>3563300</v>
      </c>
      <c r="EI28" s="82">
        <f>EH28+BALANCING!EI15</f>
        <v>4455313</v>
      </c>
      <c r="EJ28" s="82">
        <f>EI28+BALANCING!EJ15</f>
        <v>5240313</v>
      </c>
      <c r="EK28" s="82">
        <f>EJ28+BALANCING!EK15</f>
        <v>5710313</v>
      </c>
      <c r="EL28" s="82">
        <f>EK28+BALANCING!EL15</f>
        <v>5964313</v>
      </c>
      <c r="EM28" s="82">
        <f>EL28+BALANCING!EM15</f>
        <v>7149224</v>
      </c>
      <c r="EN28" s="82">
        <f>EM28+BALANCING!EN15</f>
        <v>7579524</v>
      </c>
      <c r="EO28" s="82">
        <f>EN28+BALANCING!EO15</f>
        <v>8645024</v>
      </c>
      <c r="EP28" s="82">
        <f>EO28+BALANCING!EP15</f>
        <v>9334024</v>
      </c>
      <c r="EQ28" s="82">
        <f>EP28+BALANCING!EQ15</f>
        <v>10002873</v>
      </c>
      <c r="ER28" s="82">
        <f>EQ28+BALANCING!ER15</f>
        <v>10692673</v>
      </c>
      <c r="ES28" s="82">
        <f>ER28+BALANCING!ES15</f>
        <v>12534973</v>
      </c>
      <c r="ET28" s="82">
        <f>ES28+BALANCING!ET15</f>
        <v>13178773</v>
      </c>
      <c r="EU28" s="82">
        <f>ET28+BALANCING!EU15</f>
        <v>13489815</v>
      </c>
      <c r="EV28" s="82">
        <f>EU28+BALANCING!EV15</f>
        <v>14312815</v>
      </c>
      <c r="EW28" s="82">
        <f>EV28+BALANCING!EW15</f>
        <v>15537566</v>
      </c>
      <c r="EX28" s="82">
        <f>EW28+BALANCING!EX15</f>
        <v>15547566</v>
      </c>
      <c r="EY28" s="82">
        <f>EX28+BALANCING!EY15</f>
        <v>15738066</v>
      </c>
      <c r="EZ28" s="82">
        <f>EY28+BALANCING!EZ15</f>
        <v>16907766</v>
      </c>
      <c r="FA28" s="82">
        <f>EZ28+BALANCING!FA15</f>
        <v>17840916</v>
      </c>
      <c r="FB28" s="82">
        <f>FA28+BALANCING!FB15</f>
        <v>18291916</v>
      </c>
      <c r="FC28" s="82">
        <f>FB28+BALANCING!FC15</f>
        <v>18387916</v>
      </c>
      <c r="FD28" s="126"/>
      <c r="FE28" s="82">
        <f>FD28+BALANCING!FE15</f>
        <v>498300</v>
      </c>
      <c r="FF28" s="82">
        <f>FE28+BALANCING!FF15</f>
        <v>942900</v>
      </c>
      <c r="FG28" s="82">
        <f>FF28+BALANCING!FG15</f>
        <v>1092900</v>
      </c>
      <c r="FH28" s="82">
        <f>FG28+BALANCING!FH15</f>
        <v>1802961</v>
      </c>
      <c r="FI28" s="82">
        <f>FH28+BALANCING!FI15</f>
        <v>1932961</v>
      </c>
      <c r="FJ28" s="82">
        <f>FI28+BALANCING!FJ15</f>
        <v>2166461</v>
      </c>
      <c r="FK28" s="82">
        <f>FJ28+BALANCING!FK15</f>
        <v>2413661</v>
      </c>
      <c r="FL28" s="82">
        <f>FK28+BALANCING!FL15</f>
        <v>3151649</v>
      </c>
      <c r="FM28" s="82">
        <f>FL28+BALANCING!FM15</f>
        <v>3566649</v>
      </c>
      <c r="FN28" s="82">
        <f>FM28+BALANCING!FN15</f>
        <v>3676649</v>
      </c>
      <c r="FO28" s="82">
        <f>FN28+BALANCING!FO15</f>
        <v>3676649</v>
      </c>
      <c r="FP28" s="82">
        <f>FO28+BALANCING!FP15</f>
        <v>4212549</v>
      </c>
      <c r="FQ28" s="82">
        <f>FP28+BALANCING!FQ15</f>
        <v>5062182</v>
      </c>
      <c r="FR28" s="82">
        <f>FQ28+BALANCING!FR15</f>
        <v>5375582</v>
      </c>
      <c r="FS28" s="82">
        <f>FR28+BALANCING!FS15</f>
        <v>6187025</v>
      </c>
      <c r="FT28" s="82">
        <f>FS28+BALANCING!FT15</f>
        <v>6496525</v>
      </c>
      <c r="FU28" s="82">
        <f>FT28+BALANCING!FU15</f>
        <v>7249025</v>
      </c>
      <c r="FV28" s="82">
        <f>FU28+BALANCING!FV15</f>
        <v>7535525</v>
      </c>
      <c r="FW28" s="82">
        <f>FV28+BALANCING!FW15</f>
        <v>7740525</v>
      </c>
      <c r="FX28" s="82">
        <f>FW28+BALANCING!FX15</f>
        <v>8156525</v>
      </c>
      <c r="FY28" s="82">
        <f>FX28+BALANCING!FY15</f>
        <v>9315825</v>
      </c>
      <c r="FZ28" s="82">
        <f>FY28+BALANCING!FZ15</f>
        <v>11271325</v>
      </c>
      <c r="GA28" s="82">
        <f>FZ28+BALANCING!GA15</f>
        <v>11271325</v>
      </c>
      <c r="GB28" s="82">
        <f>GA28+BALANCING!GB15</f>
        <v>11665697</v>
      </c>
      <c r="GC28" s="82">
        <f>GB28+BALANCING!GC15</f>
        <v>12230697</v>
      </c>
      <c r="GD28" s="82">
        <f>GC28+BALANCING!GD15</f>
        <v>12947597</v>
      </c>
      <c r="GE28" s="82">
        <f>GD28+BALANCING!GE15</f>
        <v>13424097</v>
      </c>
      <c r="GF28" s="82">
        <f>GE28+BALANCING!GF15</f>
        <v>13984097</v>
      </c>
      <c r="GG28" s="82">
        <f>GF28+BALANCING!GG15</f>
        <v>14501026</v>
      </c>
      <c r="GH28" s="82">
        <f>GG28+BALANCING!GH15</f>
        <v>14911026</v>
      </c>
      <c r="GI28" s="82">
        <f>GH28+BALANCING!GI15</f>
        <v>15315526</v>
      </c>
      <c r="GJ28" s="130"/>
      <c r="GK28" s="110">
        <f>BALANCING!GK15</f>
        <v>30000</v>
      </c>
      <c r="GL28" s="110">
        <f>GK28+BALANCING!GL15</f>
        <v>451000</v>
      </c>
      <c r="GM28" s="110">
        <f>GL28+BALANCING!GM15</f>
        <v>1125553</v>
      </c>
      <c r="GN28" s="110">
        <f>GM28+BALANCING!GN15</f>
        <v>1672517</v>
      </c>
      <c r="GO28" s="110">
        <f>GN28+BALANCING!GO15</f>
        <v>2249017</v>
      </c>
      <c r="GP28" s="110">
        <f>GO28+BALANCING!GP15</f>
        <v>3808047</v>
      </c>
      <c r="GQ28" s="110">
        <f>GP28+BALANCING!GQ15</f>
        <v>3908047</v>
      </c>
      <c r="GR28" s="110">
        <f>GQ28+BALANCING!GR15</f>
        <v>4563547</v>
      </c>
      <c r="GS28" s="110">
        <f>GR28+BALANCING!GS15</f>
        <v>4792547</v>
      </c>
      <c r="GT28" s="110">
        <f>GS28+BALANCING!GT15</f>
        <v>4994547</v>
      </c>
      <c r="GU28" s="110">
        <f>GT28+BALANCING!GU15</f>
        <v>5130047</v>
      </c>
      <c r="GV28" s="110">
        <f>GU28+BALANCING!GV15</f>
        <v>5817639</v>
      </c>
      <c r="GW28" s="110">
        <f>GV28+BALANCING!GW15</f>
        <v>5817639</v>
      </c>
      <c r="GX28" s="110">
        <f>GW28+BALANCING!GX15</f>
        <v>5897639</v>
      </c>
      <c r="GY28" s="110">
        <f>GX28+BALANCING!GY15</f>
        <v>6392639</v>
      </c>
      <c r="GZ28" s="110">
        <f>GY28+BALANCING!GZ15</f>
        <v>6592639</v>
      </c>
      <c r="HA28" s="110">
        <f>GZ28+BALANCING!HA15</f>
        <v>7302639</v>
      </c>
      <c r="HB28" s="110">
        <f>HA28+BALANCING!HB15</f>
        <v>7452639</v>
      </c>
      <c r="HC28" s="110">
        <f>HB28+BALANCING!HC15</f>
        <v>7625639</v>
      </c>
      <c r="HD28" s="110">
        <f>HC28+BALANCING!HD15</f>
        <v>7685639</v>
      </c>
      <c r="HE28" s="110">
        <f>HD28+BALANCING!HE15</f>
        <v>8197639</v>
      </c>
      <c r="HF28" s="110">
        <f>HE28+BALANCING!HF15</f>
        <v>8197639</v>
      </c>
      <c r="HG28" s="110">
        <f>HF28+BALANCING!HG15</f>
        <v>9227639</v>
      </c>
      <c r="HH28" s="110">
        <f>HG28+BALANCING!HH15</f>
        <v>9927639</v>
      </c>
      <c r="HI28" s="110">
        <f>HH28+BALANCING!HI15</f>
        <v>10409639</v>
      </c>
      <c r="HJ28" s="110">
        <f>HI28+BALANCING!HJ15</f>
        <v>10815139</v>
      </c>
      <c r="HK28" s="110">
        <f>HJ28+BALANCING!HK15</f>
        <v>11160139</v>
      </c>
      <c r="HL28" s="110">
        <f>HK28+BALANCING!HL15</f>
        <v>11700639</v>
      </c>
      <c r="HM28" s="110">
        <f>HL28+BALANCING!HM15</f>
        <v>11916139</v>
      </c>
      <c r="HN28" s="130"/>
      <c r="HO28" s="110">
        <f>HN28+BALANCING!HO15</f>
        <v>595236</v>
      </c>
      <c r="HP28" s="110">
        <f>HO28+BALANCING!HP15</f>
        <v>1824731</v>
      </c>
      <c r="HQ28" s="110">
        <f>HP28+BALANCING!HQ15</f>
        <v>2065731</v>
      </c>
      <c r="HR28" s="110">
        <f>HQ28+BALANCING!HR15</f>
        <v>3000731</v>
      </c>
      <c r="HS28" s="110">
        <f>HR28+BALANCING!HS15</f>
        <v>3428231</v>
      </c>
      <c r="HT28" s="110">
        <f>HS28+BALANCING!HT15</f>
        <v>3914131</v>
      </c>
      <c r="HU28" s="110">
        <f>HT28+BALANCING!HU15</f>
        <v>4422987</v>
      </c>
      <c r="HV28" s="110">
        <f>HU28+BALANCING!HV15</f>
        <v>4692987</v>
      </c>
      <c r="HW28" s="110">
        <f>HV28+BALANCING!HW15</f>
        <v>4775487</v>
      </c>
      <c r="HX28" s="110">
        <f>HW28+BALANCING!HX15</f>
        <v>4925487</v>
      </c>
      <c r="HY28" s="110">
        <f>HX28+BALANCING!HY15</f>
        <v>4925487</v>
      </c>
      <c r="HZ28" s="110">
        <f>HY28+BALANCING!HZ15</f>
        <v>4925487</v>
      </c>
      <c r="IA28" s="110">
        <f>HZ28+BALANCING!IA15</f>
        <v>4925487</v>
      </c>
      <c r="IB28" s="110">
        <f>IA28+BALANCING!IB15</f>
        <v>4925487</v>
      </c>
      <c r="IC28" s="110">
        <f>IB28+BALANCING!IC15</f>
        <v>4925487</v>
      </c>
      <c r="ID28" s="110">
        <f>IC28+BALANCING!ID15</f>
        <v>4925487</v>
      </c>
      <c r="IE28" s="110">
        <f>ID28+BALANCING!IE15</f>
        <v>5142487</v>
      </c>
      <c r="IF28" s="110">
        <f>IE28+BALANCING!IF15</f>
        <v>5323487</v>
      </c>
      <c r="IG28" s="110">
        <f>IF28+BALANCING!IG15</f>
        <v>5470887</v>
      </c>
      <c r="IH28" s="110">
        <f>IG28+BALANCING!IH15</f>
        <v>5470887</v>
      </c>
      <c r="II28" s="110">
        <f>IH28+BALANCING!II15</f>
        <v>5970887</v>
      </c>
      <c r="IJ28" s="110">
        <f>II28+BALANCING!IJ15</f>
        <v>6150887</v>
      </c>
      <c r="IK28" s="110">
        <f>IJ28+BALANCING!IK15</f>
        <v>7165748</v>
      </c>
      <c r="IL28" s="110">
        <f>IK28+BALANCING!IL15</f>
        <v>7204748</v>
      </c>
      <c r="IM28" s="110">
        <f>IL28+BALANCING!IM15</f>
        <v>8306748</v>
      </c>
      <c r="IN28" s="110">
        <f>IM28+BALANCING!IN15</f>
        <v>8532248</v>
      </c>
      <c r="IO28" s="110">
        <f>IN28+BALANCING!IO15</f>
        <v>8821448</v>
      </c>
      <c r="IP28" s="110">
        <f>IO28+BALANCING!IP15</f>
        <v>8871448</v>
      </c>
      <c r="IQ28" s="110">
        <f>IP28+BALANCING!IQ15</f>
        <v>8871448</v>
      </c>
      <c r="IR28" s="110">
        <f>IQ28+BALANCING!IR15</f>
        <v>8871448</v>
      </c>
      <c r="IS28" s="110">
        <f>IR28+BALANCING!IS15</f>
        <v>8871448</v>
      </c>
      <c r="IT28" s="130"/>
      <c r="IU28" s="110">
        <f>IT28+BALANCING!IU15</f>
        <v>0</v>
      </c>
      <c r="IV28" s="110">
        <f>IU28+BALANCING!IV15</f>
        <v>0</v>
      </c>
      <c r="IW28" s="110">
        <f>IV28+BALANCING!IW15</f>
        <v>0</v>
      </c>
      <c r="IX28" s="110">
        <f>IW28+BALANCING!IX15</f>
        <v>0</v>
      </c>
      <c r="IY28" s="110">
        <f>IX28+BALANCING!IY15</f>
        <v>195200</v>
      </c>
      <c r="IZ28" s="110">
        <f>IY28+BALANCING!IZ15</f>
        <v>511300</v>
      </c>
      <c r="JA28" s="110">
        <f>IZ28+BALANCING!JA15</f>
        <v>1341300</v>
      </c>
      <c r="JB28" s="110">
        <f>JA28+BALANCING!JB15</f>
        <v>1553800</v>
      </c>
      <c r="JC28" s="110">
        <f>JB28+BALANCING!JC15</f>
        <v>1685600</v>
      </c>
      <c r="JD28" s="110">
        <f>JC28+BALANCING!JD15</f>
        <v>2358310</v>
      </c>
      <c r="JE28" s="110">
        <f>JD28+BALANCING!JE15</f>
        <v>2870361</v>
      </c>
      <c r="JF28" s="110">
        <f>JE28+BALANCING!JF15</f>
        <v>2870361</v>
      </c>
      <c r="JG28" s="110">
        <f>JF28+BALANCING!JG15</f>
        <v>3326361</v>
      </c>
      <c r="JH28" s="110">
        <f>JG28+BALANCING!JH15</f>
        <v>3596361</v>
      </c>
      <c r="JI28" s="110">
        <f>JH28+BALANCING!JI15</f>
        <v>3746361</v>
      </c>
      <c r="JJ28" s="110">
        <f>JI28+BALANCING!JJ15</f>
        <v>4057361</v>
      </c>
      <c r="JK28" s="110">
        <f>JJ28+BALANCING!JK15</f>
        <v>4072761</v>
      </c>
      <c r="JL28" s="110">
        <f>JK28+BALANCING!JL15</f>
        <v>4519161</v>
      </c>
      <c r="JM28" s="110">
        <f>JL28+BALANCING!JM15</f>
        <v>4549161</v>
      </c>
      <c r="JN28" s="110">
        <f>JM28+BALANCING!JN15</f>
        <v>4679161</v>
      </c>
      <c r="JO28" s="110">
        <f>JN28+BALANCING!JO15</f>
        <v>4949161</v>
      </c>
      <c r="JP28" s="110">
        <f>JO28+BALANCING!JP15</f>
        <v>5374161</v>
      </c>
      <c r="JQ28" s="110">
        <f>JP28+BALANCING!JQ15</f>
        <v>5604161</v>
      </c>
      <c r="JR28" s="110">
        <f>JQ28+BALANCING!JR15</f>
        <v>5854161</v>
      </c>
      <c r="JS28" s="110">
        <f>JR28+BALANCING!JS15</f>
        <v>6204161</v>
      </c>
      <c r="JT28" s="110">
        <f>JS28+BALANCING!JT15</f>
        <v>6309161</v>
      </c>
      <c r="JU28" s="110">
        <f>JT28+BALANCING!JU15</f>
        <v>7523952</v>
      </c>
      <c r="JV28" s="110">
        <f>JU28+BALANCING!JV15</f>
        <v>8995600</v>
      </c>
      <c r="JW28" s="110">
        <f>JV28+BALANCING!JW15</f>
        <v>9617765</v>
      </c>
      <c r="JX28" s="110">
        <f>JW28+BALANCING!JX15</f>
        <v>9747765</v>
      </c>
      <c r="JY28" s="133"/>
      <c r="JZ28" s="110">
        <f>JY28+BALANCING!JZ15</f>
        <v>755000</v>
      </c>
      <c r="KA28" s="110">
        <f>JZ28+BALANCING!KA15</f>
        <v>1128000</v>
      </c>
      <c r="KB28" s="110">
        <f>KA28+BALANCING!KB15</f>
        <v>1518000</v>
      </c>
      <c r="KC28" s="110">
        <f>KB28+BALANCING!KC15</f>
        <v>2388656</v>
      </c>
      <c r="KD28" s="110">
        <f>KC28+BALANCING!KD15</f>
        <v>2958656</v>
      </c>
      <c r="KE28" s="110">
        <f>KD28+BALANCING!KE15</f>
        <v>3028656</v>
      </c>
      <c r="KF28" s="110">
        <f>KE28+BALANCING!KF15</f>
        <v>3513656</v>
      </c>
      <c r="KG28" s="110">
        <f>KF28+BALANCING!KG15</f>
        <v>3873656</v>
      </c>
      <c r="KH28" s="110">
        <f>KG28+BALANCING!KH15</f>
        <v>4323656</v>
      </c>
      <c r="KI28" s="110">
        <f>KH28+BALANCING!KI15</f>
        <v>5122773</v>
      </c>
      <c r="KJ28" s="110">
        <f>KI28+BALANCING!KJ15</f>
        <v>6052773</v>
      </c>
      <c r="KK28" s="110">
        <f>KJ28+BALANCING!KK15</f>
        <v>6652773</v>
      </c>
      <c r="KL28" s="110">
        <f>KK28+BALANCING!KL15</f>
        <v>6742773</v>
      </c>
      <c r="KM28" s="110">
        <f>KL28+BALANCING!KM15</f>
        <v>7736573</v>
      </c>
      <c r="KN28" s="110">
        <f>KM28+BALANCING!KN15</f>
        <v>7736573</v>
      </c>
      <c r="KO28" s="110">
        <f>KN28+BALANCING!KO15</f>
        <v>8424073</v>
      </c>
      <c r="KP28" s="110">
        <f>KO28+BALANCING!KP15</f>
        <v>8813219</v>
      </c>
      <c r="KQ28" s="110">
        <f>KP28+BALANCING!KQ15</f>
        <v>9941519</v>
      </c>
      <c r="KR28" s="110">
        <f>KQ28+BALANCING!KR15</f>
        <v>11045075</v>
      </c>
      <c r="KS28" s="110">
        <f>KR28+BALANCING!KS15</f>
        <v>11345075</v>
      </c>
      <c r="KT28" s="110">
        <f>KS28+BALANCING!KT15</f>
        <v>12311075</v>
      </c>
      <c r="KU28" s="110">
        <f>KT28+BALANCING!KU15</f>
        <v>12641075</v>
      </c>
      <c r="KV28" s="110">
        <f>KU28+BALANCING!KV15</f>
        <v>13138075</v>
      </c>
      <c r="KW28" s="110">
        <f>KV28+BALANCING!KW15</f>
        <v>13358075</v>
      </c>
      <c r="KX28" s="110">
        <f>KW28+BALANCING!KX15</f>
        <v>13718075</v>
      </c>
      <c r="KY28" s="110">
        <f>KX28+BALANCING!KY15</f>
        <v>14396275</v>
      </c>
      <c r="KZ28" s="110">
        <f>KY28+BALANCING!KZ15</f>
        <v>15127275</v>
      </c>
      <c r="LA28" s="110">
        <f>KZ28+BALANCING!LA15</f>
        <v>15177275</v>
      </c>
      <c r="LB28" s="110">
        <f>LA28+BALANCING!LB15</f>
        <v>15576775</v>
      </c>
      <c r="LC28" s="110">
        <f>LB28+BALANCING!LC15</f>
        <v>15990775</v>
      </c>
      <c r="LD28" s="110">
        <f>LC28+BALANCING!LD15</f>
        <v>17080775</v>
      </c>
      <c r="LE28" s="130"/>
      <c r="LF28" s="110">
        <f>LE28+BALANCING!LF15</f>
        <v>921600</v>
      </c>
      <c r="LG28" s="110">
        <f>LF28+BALANCING!LG15</f>
        <v>1286600</v>
      </c>
      <c r="LH28" s="110">
        <f>LG28+BALANCING!LH15</f>
        <v>1840600</v>
      </c>
      <c r="LI28" s="110">
        <f>LH28+BALANCING!LI15</f>
        <v>3149065</v>
      </c>
      <c r="LJ28" s="110">
        <f>LI28+BALANCING!LJ15</f>
        <v>3434065</v>
      </c>
      <c r="LK28" s="110">
        <f>LJ28+BALANCING!LK15</f>
        <v>3556065</v>
      </c>
      <c r="LL28" s="110">
        <f>LK28+BALANCING!LL15</f>
        <v>4952193</v>
      </c>
      <c r="LM28" s="110">
        <f>LL28+BALANCING!LM15</f>
        <v>5446693</v>
      </c>
      <c r="LN28" s="110">
        <f>LM28+BALANCING!LN15</f>
        <v>5898193</v>
      </c>
      <c r="LO28" s="110">
        <f>LN28+BALANCING!LO15</f>
        <v>6638193</v>
      </c>
      <c r="LP28" s="110">
        <f>LO28+BALANCING!LP15</f>
        <v>7518193</v>
      </c>
      <c r="LQ28" s="110">
        <f>LP28+BALANCING!LQ15</f>
        <v>8370193</v>
      </c>
      <c r="LR28" s="110">
        <f>LQ28+BALANCING!LR15</f>
        <v>8510193</v>
      </c>
      <c r="LS28" s="110">
        <f>LR28+BALANCING!LS15</f>
        <v>8758193</v>
      </c>
      <c r="LT28" s="110">
        <f>LS28+BALANCING!LT15</f>
        <v>9088193</v>
      </c>
      <c r="LU28" s="110">
        <f>LT28+BALANCING!LU15</f>
        <v>9695193</v>
      </c>
      <c r="LV28" s="110">
        <f>LU28+BALANCING!LV15</f>
        <v>10195978</v>
      </c>
      <c r="LW28" s="110">
        <f>LV28+BALANCING!LW15</f>
        <v>11248978</v>
      </c>
      <c r="LX28" s="110">
        <f>LW28+BALANCING!LX15</f>
        <v>12124978</v>
      </c>
      <c r="LY28" s="110">
        <f>LX28+BALANCING!LY15</f>
        <v>12701978</v>
      </c>
      <c r="LZ28" s="110">
        <f>LY28+BALANCING!LZ15</f>
        <v>13921978</v>
      </c>
      <c r="MA28" s="110">
        <f>LZ28+BALANCING!MA15</f>
        <v>14757978</v>
      </c>
      <c r="MB28" s="110">
        <f>MA28+BALANCING!MB15</f>
        <v>15230972</v>
      </c>
      <c r="MC28" s="110">
        <f>MB28+BALANCING!MC15</f>
        <v>15801872</v>
      </c>
      <c r="MD28" s="110">
        <f>MC28+BALANCING!MD15</f>
        <v>16494572</v>
      </c>
      <c r="ME28" s="110">
        <f>MD28+BALANCING!ME15</f>
        <v>17080449</v>
      </c>
      <c r="MF28" s="110">
        <f>ME28+BALANCING!MF15</f>
        <v>17234449</v>
      </c>
      <c r="MG28" s="110">
        <f>MF28+BALANCING!MG15</f>
        <v>17484449</v>
      </c>
      <c r="MH28" s="110">
        <f>MG28+BALANCING!MH15</f>
        <v>17925849</v>
      </c>
      <c r="MI28" s="110">
        <f>MH28+BALANCING!MI15</f>
        <v>18285849</v>
      </c>
      <c r="MJ28" s="133"/>
      <c r="MK28" s="110">
        <f>MJ28+BALANCING!MK15</f>
        <v>1381874</v>
      </c>
      <c r="ML28" s="110">
        <f>MK28+BALANCING!ML15</f>
        <v>2282874</v>
      </c>
      <c r="MM28" s="110">
        <f>ML28+BALANCING!MM15</f>
        <v>2637874</v>
      </c>
      <c r="MN28" s="110">
        <f>MM28+BALANCING!MN15</f>
        <v>2882874</v>
      </c>
      <c r="MO28" s="110">
        <f>MN28+BALANCING!MO15</f>
        <v>3494874</v>
      </c>
      <c r="MP28" s="110">
        <f>MO28+BALANCING!MP15</f>
        <v>4125841</v>
      </c>
      <c r="MQ28" s="110">
        <f>MP28+BALANCING!MQ15</f>
        <v>5000841</v>
      </c>
      <c r="MR28" s="110">
        <f>MQ28+BALANCING!MR15</f>
        <v>5218841</v>
      </c>
      <c r="MS28" s="110">
        <f>MR28+BALANCING!MS15</f>
        <v>5413841</v>
      </c>
      <c r="MT28" s="110">
        <f>MS28+BALANCING!MT15</f>
        <v>5830341</v>
      </c>
      <c r="MU28" s="110">
        <f>MT28+BALANCING!MU15</f>
        <v>6490341</v>
      </c>
      <c r="MV28" s="110">
        <f>MU28+BALANCING!MV15</f>
        <v>6885341</v>
      </c>
      <c r="MW28" s="110">
        <f>MV28+BALANCING!MW15</f>
        <v>8087494</v>
      </c>
      <c r="MX28" s="110">
        <f>MW28+BALANCING!MX15</f>
        <v>8395494</v>
      </c>
      <c r="MY28" s="110">
        <f>MX28+BALANCING!MY15</f>
        <v>8640494</v>
      </c>
      <c r="MZ28" s="110">
        <f>MY28+BALANCING!MZ15</f>
        <v>9068494</v>
      </c>
      <c r="NA28" s="110">
        <f>MZ28+BALANCING!NA15</f>
        <v>9378494</v>
      </c>
      <c r="NB28" s="110">
        <f>NA28+BALANCING!NB15</f>
        <v>9753494</v>
      </c>
      <c r="NC28" s="110">
        <f>NB28+BALANCING!NC15</f>
        <v>10188994</v>
      </c>
      <c r="ND28" s="110">
        <f>NC28+BALANCING!ND15</f>
        <v>10408994</v>
      </c>
      <c r="NE28" s="110">
        <f>ND28+BALANCING!NE15</f>
        <v>11742994</v>
      </c>
      <c r="NF28" s="110">
        <f>NE28+BALANCING!NF15</f>
        <v>12192994</v>
      </c>
      <c r="NG28" s="110">
        <f>NF28+BALANCING!NG15</f>
        <v>12876150</v>
      </c>
      <c r="NH28" s="110">
        <f>NG28+BALANCING!NH15</f>
        <v>13076150</v>
      </c>
      <c r="NI28" s="110">
        <f>NH28+BALANCING!NI15</f>
        <v>13371182</v>
      </c>
      <c r="NJ28" s="110">
        <f>NI28+BALANCING!NJ15</f>
        <v>14050334</v>
      </c>
      <c r="NK28" s="110">
        <f>NJ28+BALANCING!NK15</f>
        <v>14915938</v>
      </c>
      <c r="NL28" s="110">
        <f>NK28+BALANCING!NL15</f>
        <v>15603938</v>
      </c>
      <c r="NM28" s="110">
        <f>NL28+BALANCING!NM15</f>
        <v>16314938</v>
      </c>
      <c r="NN28" s="110">
        <f>NM28+BALANCING!NN15</f>
        <v>16619938</v>
      </c>
      <c r="NO28" s="110">
        <f>NN28+BALANCING!NO15</f>
        <v>17220938</v>
      </c>
      <c r="NP28" s="133"/>
      <c r="NQ28" s="110">
        <f>NP28+BALANCING!NQ15</f>
        <v>597000</v>
      </c>
      <c r="NR28" s="110">
        <f>NQ28+BALANCING!NR15</f>
        <v>982000</v>
      </c>
      <c r="NS28" s="110">
        <f>NR28+BALANCING!NS15</f>
        <v>1854000</v>
      </c>
      <c r="NT28" s="110">
        <f>NS28+BALANCING!NT15</f>
        <v>2891332</v>
      </c>
      <c r="NU28" s="110">
        <f>NT28+BALANCING!NU15</f>
        <v>3841332</v>
      </c>
      <c r="NV28" s="110">
        <f>NU28+BALANCING!NV15</f>
        <v>4261332</v>
      </c>
      <c r="NW28" s="110">
        <f>NV28+BALANCING!NW15</f>
        <v>4368332</v>
      </c>
      <c r="NX28" s="110">
        <f>NW28+BALANCING!NX15</f>
        <v>4926332</v>
      </c>
      <c r="NY28" s="110">
        <f>NX28+BALANCING!NY15</f>
        <v>6032288</v>
      </c>
      <c r="NZ28" s="110">
        <f>NY28+BALANCING!NZ15</f>
        <v>7100288</v>
      </c>
      <c r="OA28" s="110">
        <f>NZ28+BALANCING!OA15</f>
        <v>7666904</v>
      </c>
      <c r="OB28" s="110">
        <f>OA28+BALANCING!OB15</f>
        <v>8816904</v>
      </c>
      <c r="OC28" s="110">
        <f>OB28+BALANCING!OC15</f>
        <v>8850404</v>
      </c>
      <c r="OD28" s="110">
        <f>OC28+BALANCING!OD15</f>
        <v>8920404</v>
      </c>
      <c r="OE28" s="110">
        <f>OD28+BALANCING!OE15</f>
        <v>9085904</v>
      </c>
      <c r="OF28" s="110">
        <f>OE28+BALANCING!OF15</f>
        <v>9530304</v>
      </c>
      <c r="OG28" s="110">
        <f>OF28+BALANCING!OG15</f>
        <v>10573328</v>
      </c>
      <c r="OH28" s="110">
        <f>OG28+BALANCING!OH15</f>
        <v>10769328</v>
      </c>
      <c r="OI28" s="110">
        <f>OH28+BALANCING!OI15</f>
        <v>11109328</v>
      </c>
      <c r="OJ28" s="110">
        <f>OI28+BALANCING!OJ15</f>
        <v>11209328</v>
      </c>
      <c r="OK28" s="110">
        <f>OJ28+BALANCING!OK15</f>
        <v>11649151</v>
      </c>
      <c r="OL28" s="110">
        <f>OK28+BALANCING!OL15</f>
        <v>12089151</v>
      </c>
      <c r="OM28" s="110">
        <f>OL28+BALANCING!OM15</f>
        <v>12431151</v>
      </c>
      <c r="ON28" s="110">
        <f>OM28+BALANCING!ON15</f>
        <v>12750151</v>
      </c>
      <c r="OO28" s="110">
        <f>ON28+BALANCING!OO15</f>
        <v>12855151</v>
      </c>
      <c r="OP28" s="110">
        <f>OO28+BALANCING!OP15</f>
        <v>13430151</v>
      </c>
      <c r="OQ28" s="110">
        <f>OP28+BALANCING!OQ15</f>
        <v>13670151</v>
      </c>
      <c r="OR28" s="110">
        <f>OQ28+BALANCING!OR15</f>
        <v>13742051</v>
      </c>
      <c r="OS28" s="110">
        <f>OR28+BALANCING!OS15</f>
        <v>14367051</v>
      </c>
      <c r="OT28" s="110">
        <f>OS28+BALANCING!OT15</f>
        <v>14960851</v>
      </c>
      <c r="OU28" s="110">
        <f>OT28+BALANCING!OU15</f>
        <v>15737128</v>
      </c>
      <c r="OV28" s="130"/>
      <c r="OW28" s="110">
        <f>OV28+BALANCING!OW15</f>
        <v>648791</v>
      </c>
      <c r="OX28" s="110">
        <f>OW28+BALANCING!OX15</f>
        <v>1219491</v>
      </c>
      <c r="OY28" s="110">
        <f>OX28+BALANCING!OY15</f>
        <v>1752991</v>
      </c>
      <c r="OZ28" s="110">
        <f>OY28+BALANCING!OZ15</f>
        <v>2272991</v>
      </c>
      <c r="PA28" s="110">
        <f>OZ28+BALANCING!PA15</f>
        <v>2787991</v>
      </c>
      <c r="PB28" s="110">
        <f>PA28+BALANCING!PB15</f>
        <v>3917567</v>
      </c>
      <c r="PC28" s="110">
        <f>PB28+BALANCING!PC15</f>
        <v>4087567</v>
      </c>
      <c r="PD28" s="110">
        <f>PC28+BALANCING!PD15</f>
        <v>4293567</v>
      </c>
      <c r="PE28" s="110">
        <f>PD28+BALANCING!PE15</f>
        <v>5043567</v>
      </c>
      <c r="PF28" s="110">
        <f>PE28+BALANCING!PF15</f>
        <v>5258567</v>
      </c>
      <c r="PG28" s="110">
        <f>PF28+BALANCING!PG15</f>
        <v>5510982</v>
      </c>
      <c r="PH28" s="110">
        <f>PG28+BALANCING!PH15</f>
        <v>5717882</v>
      </c>
      <c r="PI28" s="110">
        <f>PH28+BALANCING!PI15</f>
        <v>6215382</v>
      </c>
      <c r="PJ28" s="110">
        <f>PI28+BALANCING!PJ15</f>
        <v>6340382</v>
      </c>
      <c r="PK28" s="110">
        <f>PJ28+BALANCING!PK15</f>
        <v>6803382</v>
      </c>
      <c r="PL28" s="110">
        <f>PK28+BALANCING!PL15</f>
        <v>6935382</v>
      </c>
      <c r="PM28" s="110">
        <f>PL28+BALANCING!PM15</f>
        <v>7766382</v>
      </c>
      <c r="PN28" s="110">
        <f>PM28+BALANCING!PN15</f>
        <v>8239544</v>
      </c>
      <c r="PO28" s="110">
        <f>PN28+BALANCING!PO15</f>
        <v>8296544</v>
      </c>
      <c r="PP28" s="110">
        <f>PO28+BALANCING!PP15</f>
        <v>8628044</v>
      </c>
      <c r="PQ28" s="110">
        <f>PP28+BALANCING!PQ15</f>
        <v>8948044</v>
      </c>
      <c r="PR28" s="110">
        <f>PQ28+BALANCING!PR15</f>
        <v>9229794</v>
      </c>
      <c r="PS28" s="110">
        <f>PR28+BALANCING!PS15</f>
        <v>9618794</v>
      </c>
      <c r="PT28" s="110">
        <f>PS28+BALANCING!PT15</f>
        <v>10095694</v>
      </c>
      <c r="PU28" s="110">
        <f>PT28+BALANCING!PU15</f>
        <v>10145694</v>
      </c>
      <c r="PV28" s="110">
        <f>PU28+BALANCING!PV15</f>
        <v>10420694</v>
      </c>
      <c r="PW28" s="110">
        <f>PV28+BALANCING!PW15</f>
        <v>10806594</v>
      </c>
      <c r="PX28" s="110">
        <f>PW28+BALANCING!PX15</f>
        <v>11521190</v>
      </c>
      <c r="PY28" s="110">
        <f>PX28+BALANCING!PY15</f>
        <v>12259990</v>
      </c>
      <c r="PZ28" s="110">
        <f>PY28+BALANCING!PZ15</f>
        <v>12658990</v>
      </c>
      <c r="QA28" s="130"/>
      <c r="QB28" s="110">
        <f>QA28+BALANCING!QB15</f>
        <v>240000</v>
      </c>
      <c r="QC28" s="110">
        <f>QB28+BALANCING!QC15</f>
        <v>690000</v>
      </c>
      <c r="QD28" s="110">
        <f>QC28+BALANCING!QD15</f>
        <v>1040000</v>
      </c>
      <c r="QE28" s="110">
        <f>QD28+BALANCING!QE15</f>
        <v>1602950</v>
      </c>
      <c r="QF28" s="110">
        <f>QE28+BALANCING!QF15</f>
        <v>1937950</v>
      </c>
      <c r="QG28" s="110">
        <f>QF28+BALANCING!QG15</f>
        <v>2172950</v>
      </c>
      <c r="QH28" s="110">
        <f>QG28+BALANCING!QH15</f>
        <v>2932950</v>
      </c>
      <c r="QI28" s="110">
        <f>QH28+BALANCING!QI15</f>
        <v>3420950</v>
      </c>
      <c r="QJ28" s="110">
        <f>QI28+BALANCING!QJ15</f>
        <v>3620950</v>
      </c>
      <c r="QK28" s="110">
        <f>QJ28+BALANCING!QK15</f>
        <v>3920950</v>
      </c>
      <c r="QL28" s="110">
        <f>QK28+BALANCING!QL15</f>
        <v>4595859</v>
      </c>
      <c r="QM28" s="110">
        <f>QL28+BALANCING!QM15</f>
        <v>4877859</v>
      </c>
      <c r="QN28" s="110">
        <f>QM28+BALANCING!QN15</f>
        <v>5343559</v>
      </c>
      <c r="QO28" s="110">
        <f>QN28+BALANCING!QO15</f>
        <v>5813559</v>
      </c>
      <c r="QP28" s="110">
        <f>QO28+BALANCING!QP15</f>
        <v>6138559</v>
      </c>
      <c r="QQ28" s="110">
        <f>QP28+BALANCING!QQ15</f>
        <v>6468559</v>
      </c>
      <c r="QR28" s="110">
        <f>QQ28+BALANCING!QR15</f>
        <v>6739559</v>
      </c>
      <c r="QS28" s="110">
        <f>QR28+BALANCING!QS15</f>
        <v>7377109</v>
      </c>
      <c r="QT28" s="110">
        <f>QS28+BALANCING!QT15</f>
        <v>7721009</v>
      </c>
      <c r="QU28" s="110">
        <f>QT28+BALANCING!QU15</f>
        <v>8205009</v>
      </c>
      <c r="QV28" s="110">
        <f>QU28+BALANCING!QV15</f>
        <v>8561009</v>
      </c>
      <c r="QW28" s="110">
        <f>QV28+BALANCING!QW15</f>
        <v>8875009</v>
      </c>
      <c r="QX28" s="110">
        <f>QW28+BALANCING!QX15</f>
        <v>9305009</v>
      </c>
      <c r="QY28" s="110">
        <f>QX28+BALANCING!QY15</f>
        <v>9915009</v>
      </c>
      <c r="QZ28" s="110">
        <f>QY28+BALANCING!QZ15</f>
        <v>10315009</v>
      </c>
      <c r="RA28" s="110">
        <f>QZ28+BALANCING!RA15</f>
        <v>10725009</v>
      </c>
      <c r="RB28" s="110">
        <f>RA28+BALANCING!RB15</f>
        <v>10991009</v>
      </c>
      <c r="RC28" s="110">
        <f>RB28+BALANCING!RC15</f>
        <v>11471009</v>
      </c>
      <c r="RD28" s="110">
        <f>RC28+BALANCING!RD15</f>
        <v>12270509</v>
      </c>
      <c r="RE28" s="110">
        <f>RD28+BALANCING!RE15</f>
        <v>12440509</v>
      </c>
      <c r="RF28" s="110">
        <f>RE28+BALANCING!RF15</f>
        <v>12660509</v>
      </c>
      <c r="RG28" s="130"/>
      <c r="RH28" s="110">
        <f>RG28+BALANCING!RH15</f>
        <v>824890</v>
      </c>
      <c r="RI28" s="110">
        <f>RH28+BALANCING!RI15</f>
        <v>894890</v>
      </c>
      <c r="RJ28" s="110">
        <f>RI28+BALANCING!RJ15</f>
        <v>939890</v>
      </c>
      <c r="RK28" s="110">
        <f>RJ28+BALANCING!RK15</f>
        <v>1604890</v>
      </c>
      <c r="RL28" s="110">
        <f>RK28+BALANCING!RL15</f>
        <v>1604890</v>
      </c>
      <c r="RM28" s="110">
        <f>RL28+BALANCING!RM15</f>
        <v>1839890</v>
      </c>
      <c r="RN28" s="110">
        <f>RM28+BALANCING!RN15</f>
        <v>1965890</v>
      </c>
      <c r="RO28" s="110">
        <f>RN28+BALANCING!RO15</f>
        <v>2172890</v>
      </c>
      <c r="RP28" s="110">
        <f>RO28+BALANCING!RP15</f>
        <v>2197890</v>
      </c>
      <c r="RQ28" s="110">
        <f>RP28+BALANCING!RQ15</f>
        <v>2473890</v>
      </c>
      <c r="RR28" s="110">
        <f>RQ28+BALANCING!RR15</f>
        <v>3112601</v>
      </c>
      <c r="RS28" s="110">
        <f>RR28+BALANCING!RS15</f>
        <v>3262601</v>
      </c>
      <c r="RT28" s="110">
        <f>RS28+BALANCING!RT15</f>
        <v>4506067</v>
      </c>
      <c r="RU28" s="110">
        <f>RT28+BALANCING!RU15</f>
        <v>4706067</v>
      </c>
      <c r="RV28" s="110">
        <f>RU28+BALANCING!RV15</f>
        <v>5086067</v>
      </c>
      <c r="RW28" s="110">
        <f>RV28+BALANCING!RW15</f>
        <v>5396067</v>
      </c>
      <c r="RX28" s="110">
        <f>RW28+BALANCING!RX15</f>
        <v>6021809</v>
      </c>
      <c r="RY28" s="110">
        <f>RX28+BALANCING!RY15</f>
        <v>6903209</v>
      </c>
      <c r="RZ28" s="110">
        <f>RY28+BALANCING!RZ15</f>
        <v>8064209</v>
      </c>
      <c r="SA28" s="110">
        <f>RZ28+BALANCING!SA15</f>
        <v>8264209</v>
      </c>
      <c r="SB28" s="110">
        <f>SA28+BALANCING!SB15</f>
        <v>8319209</v>
      </c>
      <c r="SC28" s="110">
        <f>SB28+BALANCING!SC15</f>
        <v>9078011</v>
      </c>
      <c r="SD28" s="110">
        <f>SC28+BALANCING!SD15</f>
        <v>9157511</v>
      </c>
      <c r="SE28" s="110">
        <f>SD28+BALANCING!SE15</f>
        <v>9333511</v>
      </c>
      <c r="SF28" s="110">
        <f>SE28+BALANCING!SF15</f>
        <v>10100511</v>
      </c>
      <c r="SG28" s="110">
        <f>SF28+BALANCING!SG15</f>
        <v>10525011</v>
      </c>
      <c r="SH28" s="110">
        <f>SG28+BALANCING!SH15</f>
        <v>10800511</v>
      </c>
      <c r="SI28" s="110">
        <f>SH28+BALANCING!SI15</f>
        <v>11113511</v>
      </c>
      <c r="SJ28" s="110">
        <f>SI28+BALANCING!SJ15</f>
        <v>11473511</v>
      </c>
      <c r="SK28" s="110">
        <f>SJ28+BALANCING!SK15</f>
        <v>12026007</v>
      </c>
      <c r="SL28" s="130"/>
      <c r="SM28" s="110">
        <f>SL28+BALANCING!SM15</f>
        <v>320000</v>
      </c>
      <c r="SN28" s="110">
        <f>SM28+BALANCING!SN15</f>
        <v>830000</v>
      </c>
      <c r="SO28" s="110">
        <f>SN28+BALANCING!SO15</f>
        <v>1060000</v>
      </c>
      <c r="SP28" s="110">
        <f>SO28+BALANCING!SP15</f>
        <v>1385000</v>
      </c>
      <c r="SQ28" s="110">
        <f>SP28+BALANCING!SQ15</f>
        <v>1505000</v>
      </c>
      <c r="SR28" s="110">
        <f>SQ28+BALANCING!SR15</f>
        <v>1890000</v>
      </c>
      <c r="SS28" s="110">
        <f>SR28+BALANCING!SS15</f>
        <v>1970000</v>
      </c>
      <c r="ST28" s="110">
        <f>SS28+BALANCING!ST15</f>
        <v>2180000</v>
      </c>
      <c r="SU28" s="110">
        <f>ST28+BALANCING!SU15</f>
        <v>2877150</v>
      </c>
      <c r="SV28" s="110">
        <f>SU28+BALANCING!SV15</f>
        <v>3147150</v>
      </c>
      <c r="SW28" s="110">
        <f>SV28+BALANCING!SW15</f>
        <v>4212150</v>
      </c>
      <c r="SX28" s="110">
        <f>SW28+BALANCING!SX15</f>
        <v>4527150</v>
      </c>
      <c r="SY28" s="110">
        <f>SX28+BALANCING!SY15</f>
        <v>5250150</v>
      </c>
      <c r="SZ28" s="110">
        <f>SY28+BALANCING!SZ15</f>
        <v>5469150</v>
      </c>
      <c r="TA28" s="110">
        <f>SZ28+BALANCING!TA15</f>
        <v>5579150</v>
      </c>
      <c r="TB28" s="110">
        <f>TA28+BALANCING!TB15</f>
        <v>5751150</v>
      </c>
      <c r="TC28" s="110">
        <f>TB28+BALANCING!TC15</f>
        <v>5899150</v>
      </c>
      <c r="TD28" s="110">
        <f>TC28+BALANCING!TD15</f>
        <v>6188150</v>
      </c>
      <c r="TE28" s="110">
        <f>TD28+BALANCING!TE15</f>
        <v>6734813</v>
      </c>
      <c r="TF28" s="110">
        <f>TE28+BALANCING!TF15</f>
        <v>7004813</v>
      </c>
      <c r="TG28" s="110">
        <f>TF28+BALANCING!TG15</f>
        <v>7454813</v>
      </c>
      <c r="TH28" s="110">
        <f>TG28+BALANCING!TH15</f>
        <v>7739813</v>
      </c>
      <c r="TI28" s="110">
        <f>TH28+BALANCING!TI15</f>
        <v>8059813</v>
      </c>
      <c r="TJ28" s="110">
        <f>TI28+BALANCING!TJ15</f>
        <v>8254313</v>
      </c>
      <c r="TK28" s="110">
        <f>TJ28+BALANCING!TK15</f>
        <v>8866313</v>
      </c>
      <c r="TL28" s="110">
        <f>TK28+BALANCING!TL15</f>
        <v>9196313</v>
      </c>
      <c r="TM28" s="110">
        <f>TL28+BALANCING!TM15</f>
        <v>10157713</v>
      </c>
      <c r="TN28" s="110">
        <f>TM28+BALANCING!TN15</f>
        <v>11090213</v>
      </c>
      <c r="TO28" s="110">
        <f>TN28+BALANCING!TO15</f>
        <v>11343213</v>
      </c>
      <c r="TP28" s="110">
        <f>TO28+BALANCING!TP15</f>
        <v>11804713</v>
      </c>
      <c r="TQ28" s="110">
        <f>TP28+BALANCING!TQ15</f>
        <v>12084713</v>
      </c>
      <c r="TR28" s="130"/>
      <c r="TS28" s="110">
        <f>TR28+BALANCING!TS15</f>
        <v>1005085</v>
      </c>
      <c r="TT28" s="110">
        <f>TS28+BALANCING!TT15</f>
        <v>1196085</v>
      </c>
      <c r="TU28" s="110">
        <f>TT28+BALANCING!TU15</f>
        <v>1241585</v>
      </c>
      <c r="TV28" s="110">
        <f>TU28+BALANCING!TV15</f>
        <v>1691585</v>
      </c>
      <c r="TW28" s="110">
        <f>TV28+BALANCING!TW15</f>
        <v>2016085</v>
      </c>
      <c r="TX28" s="110">
        <f>TW28+BALANCING!TX15</f>
        <v>2206085</v>
      </c>
      <c r="TY28" s="110">
        <f>TX28+BALANCING!TY15</f>
        <v>2780456</v>
      </c>
      <c r="TZ28" s="110">
        <f>TY28+BALANCING!TZ15</f>
        <v>3451434</v>
      </c>
      <c r="UA28" s="110">
        <f>TZ28+BALANCING!UA15</f>
        <v>3781434</v>
      </c>
      <c r="UB28" s="110">
        <f>UA28+BALANCING!UB15</f>
        <v>4181434</v>
      </c>
      <c r="UC28" s="110">
        <f>UB28+BALANCING!UC15</f>
        <v>4630334</v>
      </c>
      <c r="UD28" s="110">
        <f>UC28+BALANCING!UD15</f>
        <v>4800334</v>
      </c>
      <c r="UE28" s="110">
        <f>UD28+BALANCING!UE15</f>
        <v>4920334</v>
      </c>
      <c r="UF28" s="110">
        <f>UE28+BALANCING!UF15</f>
        <v>5406345</v>
      </c>
      <c r="UG28" s="110">
        <f>UF28+BALANCING!UG15</f>
        <v>5656345</v>
      </c>
      <c r="UH28" s="110">
        <f>UG28+BALANCING!UH15</f>
        <v>6105209</v>
      </c>
      <c r="UI28" s="110">
        <f>UH28+BALANCING!UI15</f>
        <v>6730209</v>
      </c>
      <c r="UJ28" s="110">
        <f>UI28+BALANCING!UJ15</f>
        <v>7473523</v>
      </c>
      <c r="UK28" s="110">
        <f>UJ28+BALANCING!UK15</f>
        <v>7823523</v>
      </c>
      <c r="UL28" s="110">
        <f>UK28+BALANCING!UL15</f>
        <v>8548523</v>
      </c>
      <c r="UM28" s="110">
        <f>UL28+BALANCING!UM15</f>
        <v>8864047</v>
      </c>
      <c r="UN28" s="110">
        <f>UM28+BALANCING!UN15</f>
        <v>9564047</v>
      </c>
      <c r="UO28" s="110">
        <f>UN28+BALANCING!UO15</f>
        <v>10114047</v>
      </c>
      <c r="UP28" s="110">
        <f>UO28+BALANCING!UP15</f>
        <v>10725047</v>
      </c>
      <c r="UQ28" s="110">
        <f>UP28+BALANCING!UQ15</f>
        <v>11250047</v>
      </c>
      <c r="UR28" s="110">
        <f>UQ28+BALANCING!UR15</f>
        <v>12290047</v>
      </c>
      <c r="US28" s="110">
        <f>UR28+BALANCING!US15</f>
        <v>12670047</v>
      </c>
      <c r="UT28" s="110">
        <f>US28+BALANCING!UT15</f>
        <v>12857047</v>
      </c>
      <c r="UU28" s="110">
        <f>UT28+BALANCING!UU15</f>
        <v>12969047</v>
      </c>
      <c r="UV28" s="110">
        <f>UU28+BALANCING!UV15</f>
        <v>13089047</v>
      </c>
      <c r="UW28" s="110">
        <f>UV28+BALANCING!UW15</f>
        <v>13499047</v>
      </c>
      <c r="UX28" s="130"/>
      <c r="UY28" s="110">
        <f>UX28+BALANCING!UY15</f>
        <v>228000</v>
      </c>
      <c r="UZ28" s="110">
        <f>UY28+BALANCING!UZ15</f>
        <v>748000</v>
      </c>
      <c r="VA28" s="110">
        <f>UZ28+BALANCING!VA15</f>
        <v>1058000</v>
      </c>
      <c r="VB28" s="110">
        <f>VA28+BALANCING!VB15</f>
        <v>1225000</v>
      </c>
      <c r="VC28" s="110">
        <f>VB28+BALANCING!VC15</f>
        <v>1488766</v>
      </c>
      <c r="VD28" s="110">
        <f>VC28+BALANCING!VD15</f>
        <v>2091766</v>
      </c>
      <c r="VE28" s="110">
        <f>VD28+BALANCING!VE15</f>
        <v>2561766</v>
      </c>
      <c r="VF28" s="110">
        <f>VE28+BALANCING!VF15</f>
        <v>2952266</v>
      </c>
      <c r="VG28" s="110">
        <f>VF28+BALANCING!VG15</f>
        <v>3240766</v>
      </c>
      <c r="VH28" s="110">
        <f>VG28+BALANCING!VH15</f>
        <v>3451766</v>
      </c>
      <c r="VI28" s="110">
        <f>VH28+BALANCING!VI15</f>
        <v>4310266</v>
      </c>
      <c r="VJ28" s="110">
        <f>VI28+BALANCING!VJ15</f>
        <v>4740266</v>
      </c>
      <c r="VK28" s="110">
        <f>VJ28+BALANCING!VK15</f>
        <v>4749766</v>
      </c>
      <c r="VL28" s="110">
        <f>VK28+BALANCING!VL15</f>
        <v>5183266</v>
      </c>
      <c r="VM28" s="110">
        <f>VL28+BALANCING!VM15</f>
        <v>5378266</v>
      </c>
      <c r="VN28" s="110">
        <f>VM28+BALANCING!VN15</f>
        <v>5555266</v>
      </c>
      <c r="VO28" s="110">
        <f>VN28+BALANCING!VO15</f>
        <v>6334466</v>
      </c>
      <c r="VP28" s="110">
        <f>VO28+BALANCING!VP15</f>
        <v>6635966</v>
      </c>
      <c r="VQ28" s="110">
        <f>VP28+BALANCING!VQ15</f>
        <v>6755966</v>
      </c>
      <c r="VR28" s="110">
        <f>VQ28+BALANCING!VR15</f>
        <v>6775966</v>
      </c>
      <c r="VS28" s="110">
        <f>VR28+BALANCING!VS15</f>
        <v>7154466</v>
      </c>
      <c r="VT28" s="110">
        <f>VS28+BALANCING!VT15</f>
        <v>7329766</v>
      </c>
      <c r="VU28" s="110">
        <f>VT28+BALANCING!VU15</f>
        <v>7574766</v>
      </c>
      <c r="VV28" s="110">
        <f>VU28+BALANCING!VV15</f>
        <v>7795766</v>
      </c>
      <c r="VW28" s="110">
        <f>VV28+BALANCING!VW15</f>
        <v>7954867</v>
      </c>
      <c r="VX28" s="110">
        <f>VW28+BALANCING!VX15</f>
        <v>8293367</v>
      </c>
      <c r="VY28" s="110">
        <f>VX28+BALANCING!VY15</f>
        <v>8647367</v>
      </c>
      <c r="VZ28" s="110">
        <f>VY28+BALANCING!VZ15</f>
        <v>9001367</v>
      </c>
      <c r="WA28" s="133"/>
      <c r="WB28" s="110">
        <f>WA28+BALANCING!WB15</f>
        <v>143000</v>
      </c>
      <c r="WC28" s="110">
        <f>WB28+BALANCING!WC15</f>
        <v>706955</v>
      </c>
      <c r="WD28" s="110">
        <f>WC28+BALANCING!WD15</f>
        <v>1006955</v>
      </c>
      <c r="WE28" s="110">
        <f>WD28+BALANCING!WE15</f>
        <v>2459411</v>
      </c>
      <c r="WF28" s="110">
        <f>WE28+BALANCING!WF15</f>
        <v>2632411</v>
      </c>
      <c r="WG28" s="110">
        <f>WF28+BALANCING!WG15</f>
        <v>2846411</v>
      </c>
      <c r="WH28" s="110">
        <f>WG28+BALANCING!WH15</f>
        <v>3407411</v>
      </c>
      <c r="WI28" s="110">
        <f>WH28+BALANCING!WI15</f>
        <v>3807411</v>
      </c>
      <c r="WJ28" s="110">
        <f>WI28+BALANCING!WJ15</f>
        <v>4191411</v>
      </c>
      <c r="WK28" s="110">
        <f>WJ28+BALANCING!WK15</f>
        <v>4451411</v>
      </c>
      <c r="WL28" s="110">
        <f>WK28+BALANCING!WL15</f>
        <v>4601411</v>
      </c>
      <c r="WM28" s="110">
        <f>WL28+BALANCING!WM15</f>
        <v>5127411</v>
      </c>
      <c r="WN28" s="110">
        <f>WM28+BALANCING!WN15</f>
        <v>5367411</v>
      </c>
      <c r="WO28" s="110">
        <f>WN28+BALANCING!WO15</f>
        <v>5982411</v>
      </c>
      <c r="WP28" s="110">
        <f>WO28+BALANCING!WP15</f>
        <v>6482411</v>
      </c>
      <c r="WQ28" s="110">
        <f>WP28+BALANCING!WQ15</f>
        <v>6721411</v>
      </c>
      <c r="WR28" s="110">
        <f>WQ28+BALANCING!WR15</f>
        <v>6731411</v>
      </c>
      <c r="WS28" s="110">
        <f>WR28+BALANCING!WS15</f>
        <v>7810206</v>
      </c>
      <c r="WT28" s="110">
        <f>WS28+BALANCING!WT15</f>
        <v>8060206</v>
      </c>
      <c r="WU28" s="110">
        <f>WT28+BALANCING!WU15</f>
        <v>8110206</v>
      </c>
      <c r="WV28" s="110">
        <f>WU28+BALANCING!WV15</f>
        <v>8315206</v>
      </c>
      <c r="WW28" s="110">
        <f>WV28+BALANCING!WW15</f>
        <v>8837242</v>
      </c>
      <c r="WX28" s="110">
        <f>WW28+BALANCING!WX15</f>
        <v>9287242</v>
      </c>
      <c r="WY28" s="110">
        <f>WX28+BALANCING!WY15</f>
        <v>9603242</v>
      </c>
      <c r="WZ28" s="110">
        <f>WY28+BALANCING!WZ15</f>
        <v>10008242</v>
      </c>
      <c r="XA28" s="110">
        <f>WZ28+BALANCING!XA15</f>
        <v>10238242</v>
      </c>
      <c r="XB28" s="110">
        <f>XA28+BALANCING!XB15</f>
        <v>11558242</v>
      </c>
      <c r="XC28" s="110">
        <f>XB28+BALANCING!XC15</f>
        <v>12217105</v>
      </c>
      <c r="XD28" s="110">
        <f>XC28+BALANCING!XD15</f>
        <v>12693546</v>
      </c>
      <c r="XE28" s="110">
        <f>XD28+BALANCING!XE15</f>
        <v>12875546</v>
      </c>
      <c r="XF28" s="110">
        <f>XE28+BALANCING!XF15</f>
        <v>13015546</v>
      </c>
      <c r="XG28" s="133"/>
      <c r="XH28" s="110">
        <f>XG28+BALANCING!XH15</f>
        <v>395000</v>
      </c>
      <c r="XI28" s="110">
        <f>XH28+BALANCING!XI15</f>
        <v>517000</v>
      </c>
      <c r="XJ28" s="110">
        <f>XI28+BALANCING!XJ15</f>
        <v>1017000</v>
      </c>
      <c r="XK28" s="110">
        <f>XJ28+BALANCING!XK15</f>
        <v>1249000</v>
      </c>
      <c r="XL28" s="110">
        <f>XK28+BALANCING!XL15</f>
        <v>1409000</v>
      </c>
      <c r="XM28" s="110">
        <f>XL28+BALANCING!XM15</f>
        <v>2249424</v>
      </c>
      <c r="XN28" s="110">
        <f>XM28+BALANCING!XN15</f>
        <v>2710886</v>
      </c>
      <c r="XO28" s="110">
        <f>XN28+BALANCING!XO15</f>
        <v>2710886</v>
      </c>
      <c r="XP28" s="110">
        <f>XO28+BALANCING!XP15</f>
        <v>2798886</v>
      </c>
      <c r="XQ28" s="110">
        <f>XP28+BALANCING!XQ15</f>
        <v>2943886</v>
      </c>
      <c r="XR28" s="110">
        <f>XQ28+BALANCING!XR15</f>
        <v>3353886</v>
      </c>
      <c r="XS28" s="110">
        <f>XR28+BALANCING!XS15</f>
        <v>3950196</v>
      </c>
      <c r="XT28" s="110">
        <f>XS28+BALANCING!XT15</f>
        <v>4257774</v>
      </c>
      <c r="XU28" s="110">
        <f>XT28+BALANCING!XU15</f>
        <v>4337774</v>
      </c>
      <c r="XV28" s="110">
        <f>XU28+BALANCING!XV15</f>
        <v>4833774</v>
      </c>
      <c r="XW28" s="110">
        <f>XV28+BALANCING!XW15</f>
        <v>4983774</v>
      </c>
      <c r="XX28" s="110">
        <f>XW28+BALANCING!XX15</f>
        <v>5453774</v>
      </c>
      <c r="XY28" s="110">
        <f>XX28+BALANCING!XY15</f>
        <v>5708774</v>
      </c>
      <c r="XZ28" s="110">
        <f>XY28+BALANCING!XZ15</f>
        <v>6108774</v>
      </c>
      <c r="YA28" s="110">
        <f>XZ28+BALANCING!YA15</f>
        <v>6412560</v>
      </c>
      <c r="YB28" s="110">
        <f>YA28+BALANCING!YB15</f>
        <v>7027560</v>
      </c>
      <c r="YC28" s="110">
        <f>YB28+BALANCING!YC15</f>
        <v>7077560</v>
      </c>
      <c r="YD28" s="110">
        <f>YC28+BALANCING!YD15</f>
        <v>7237560</v>
      </c>
      <c r="YE28" s="110">
        <f>YD28+BALANCING!YE15</f>
        <v>7951288</v>
      </c>
      <c r="YF28" s="110">
        <f>YE28+BALANCING!YF15</f>
        <v>8396288</v>
      </c>
      <c r="YG28" s="110">
        <f>YF28+BALANCING!YG15</f>
        <v>9705324</v>
      </c>
      <c r="YH28" s="110">
        <f>YG28+BALANCING!YH15</f>
        <v>10323324</v>
      </c>
      <c r="YI28" s="110">
        <f>YH28+BALANCING!YI15</f>
        <v>10343324</v>
      </c>
      <c r="YJ28" s="110">
        <f>YI28+BALANCING!YJ15</f>
        <v>10383324</v>
      </c>
      <c r="YK28" s="110">
        <f>YJ28+BALANCING!YK15</f>
        <v>10933324</v>
      </c>
      <c r="YL28" s="130"/>
      <c r="YM28" s="110">
        <f>YL28+BALANCING!YM15</f>
        <v>477000</v>
      </c>
      <c r="YN28" s="110">
        <f>YM28+BALANCING!YN15</f>
        <v>1061320</v>
      </c>
      <c r="YO28" s="110">
        <f>YN28+BALANCING!YO15</f>
        <v>1404320</v>
      </c>
      <c r="YP28" s="110">
        <f>YO28+BALANCING!YP15</f>
        <v>1679320</v>
      </c>
      <c r="YQ28" s="110">
        <f>YP28+BALANCING!YQ15</f>
        <v>1799320</v>
      </c>
      <c r="YR28" s="110">
        <f>YQ28+BALANCING!YR15</f>
        <v>2216320</v>
      </c>
      <c r="YS28" s="110">
        <f>YR28+BALANCING!YS15</f>
        <v>2626320</v>
      </c>
      <c r="YT28" s="110">
        <f>YS28+BALANCING!YT15</f>
        <v>3061320</v>
      </c>
      <c r="YU28" s="110">
        <f>YT28+BALANCING!YU15</f>
        <v>3211320</v>
      </c>
      <c r="YV28" s="110">
        <f>YU28+BALANCING!YV15</f>
        <v>3776320</v>
      </c>
      <c r="YW28" s="110">
        <f>YV28+BALANCING!YW15</f>
        <v>3809320</v>
      </c>
      <c r="YX28" s="110">
        <f>YW28+BALANCING!YX15</f>
        <v>4021320</v>
      </c>
      <c r="YY28" s="110">
        <f>YX28+BALANCING!YY15</f>
        <v>4541320</v>
      </c>
      <c r="YZ28" s="110">
        <f>YY28+BALANCING!YZ15</f>
        <v>5121170</v>
      </c>
      <c r="ZA28" s="110">
        <f>YZ28+BALANCING!ZA15</f>
        <v>5343670</v>
      </c>
      <c r="ZB28" s="110">
        <f>ZA28+BALANCING!ZB15</f>
        <v>5443670</v>
      </c>
      <c r="ZC28" s="110">
        <f>ZB28+BALANCING!ZC15</f>
        <v>5987660</v>
      </c>
      <c r="ZD28" s="110">
        <f>ZC28+BALANCING!ZD15</f>
        <v>6037660</v>
      </c>
      <c r="ZE28" s="110">
        <f>ZD28+BALANCING!ZE15</f>
        <v>6217660</v>
      </c>
      <c r="ZF28" s="110">
        <f>ZE28+BALANCING!ZF15</f>
        <v>6267660</v>
      </c>
      <c r="ZG28" s="110">
        <f>ZF28+BALANCING!ZG15</f>
        <v>6467660</v>
      </c>
      <c r="ZH28" s="110">
        <f>ZG28+BALANCING!ZH15</f>
        <v>6947160</v>
      </c>
      <c r="ZI28" s="110">
        <f>ZH28+BALANCING!ZI15</f>
        <v>7167160</v>
      </c>
      <c r="ZJ28" s="110">
        <f>ZI28+BALANCING!ZJ15</f>
        <v>7681346</v>
      </c>
      <c r="ZK28" s="110">
        <f>ZJ28+BALANCING!ZK15</f>
        <v>7882846</v>
      </c>
      <c r="ZL28" s="110">
        <f>ZK28+BALANCING!ZL15</f>
        <v>8147846</v>
      </c>
      <c r="ZM28" s="110">
        <f>ZL28+BALANCING!ZM15</f>
        <v>8557846</v>
      </c>
      <c r="ZN28" s="110">
        <f>ZM28+BALANCING!ZN15</f>
        <v>8667846</v>
      </c>
      <c r="ZO28" s="110">
        <f>ZN28+BALANCING!ZO15</f>
        <v>9027846</v>
      </c>
      <c r="ZP28" s="110">
        <f>ZO28+BALANCING!ZP15</f>
        <v>9200846</v>
      </c>
      <c r="ZQ28" s="110">
        <f>ZP28+BALANCING!ZQ15</f>
        <v>9280846</v>
      </c>
      <c r="ZR28" s="130"/>
      <c r="ZS28" s="110">
        <f>ZR28+BALANCING!ZS15</f>
        <v>230000</v>
      </c>
      <c r="ZT28" s="110">
        <f>ZS28+BALANCING!ZT15</f>
        <v>425000</v>
      </c>
      <c r="ZU28" s="110">
        <f>ZT28+BALANCING!ZU15</f>
        <v>610000</v>
      </c>
      <c r="ZV28" s="110">
        <f>ZU28+BALANCING!ZV15</f>
        <v>745000</v>
      </c>
      <c r="ZW28" s="110">
        <f>ZV28+BALANCING!ZW15</f>
        <v>1053449</v>
      </c>
      <c r="ZX28" s="110">
        <f>ZW28+BALANCING!ZX15</f>
        <v>2255399</v>
      </c>
      <c r="ZY28" s="110">
        <f>ZX28+BALANCING!ZY15</f>
        <v>2375399</v>
      </c>
      <c r="ZZ28" s="110">
        <f>ZY28+BALANCING!ZZ15</f>
        <v>2780899</v>
      </c>
      <c r="AAA28" s="110">
        <f>ZZ28+BALANCING!AAA15</f>
        <v>2820899</v>
      </c>
      <c r="AAB28" s="110">
        <f>AAA28+BALANCING!AAB15</f>
        <v>2900899</v>
      </c>
      <c r="AAC28" s="110">
        <f>AAB28+BALANCING!AAC15</f>
        <v>3120899</v>
      </c>
      <c r="AAD28" s="110">
        <f>AAC28+BALANCING!AAD15</f>
        <v>3525899</v>
      </c>
      <c r="AAE28" s="110">
        <f>AAD28+BALANCING!AAE15</f>
        <v>3920899</v>
      </c>
      <c r="AAF28" s="110">
        <f>AAE28+BALANCING!AAF15</f>
        <v>5603399</v>
      </c>
      <c r="AAG28" s="110">
        <f>AAF28+BALANCING!AAG15</f>
        <v>6241545</v>
      </c>
      <c r="AAH28" s="110">
        <f>AAG28+BALANCING!AAH15</f>
        <v>6663367</v>
      </c>
      <c r="AAI28" s="110">
        <f>AAH28+BALANCING!AAI15</f>
        <v>7011367</v>
      </c>
      <c r="AAJ28" s="110">
        <f>AAI28+BALANCING!AAJ15</f>
        <v>7228367</v>
      </c>
      <c r="AAK28" s="110">
        <f>AAJ28+BALANCING!AAK15</f>
        <v>7428367</v>
      </c>
      <c r="AAL28" s="110">
        <f>AAK28+BALANCING!AAL15</f>
        <v>7648367</v>
      </c>
      <c r="AAM28" s="110">
        <f>AAL28+BALANCING!AAM15</f>
        <v>8486867</v>
      </c>
      <c r="AAN28" s="110">
        <f>AAM28+BALANCING!AAN15</f>
        <v>9000367</v>
      </c>
      <c r="AAO28" s="110">
        <f>AAN28+BALANCING!AAO15</f>
        <v>9260367</v>
      </c>
      <c r="AAP28" s="110">
        <f>AAO28+BALANCING!AAP15</f>
        <v>9260367</v>
      </c>
      <c r="AAQ28" s="110">
        <f>AAP28+BALANCING!AAQ15</f>
        <v>10431367</v>
      </c>
      <c r="AAR28" s="110">
        <f>AAQ28+BALANCING!AAR15</f>
        <v>11278367</v>
      </c>
      <c r="AAS28" s="110">
        <f>AAR28+BALANCING!AAS15</f>
        <v>12007627</v>
      </c>
      <c r="AAT28" s="110">
        <f>AAS28+BALANCING!AAT15</f>
        <v>12831364</v>
      </c>
      <c r="AAU28" s="110">
        <f>AAT28+BALANCING!AAU15</f>
        <v>13319959</v>
      </c>
      <c r="AAV28" s="110">
        <f>AAU28+BALANCING!AAV15</f>
        <v>13439959</v>
      </c>
      <c r="AAW28" s="130"/>
      <c r="AAX28" s="110">
        <f>AAW28+BALANCING!AAX15</f>
        <v>791000</v>
      </c>
      <c r="AAY28" s="110">
        <f>AAX28+BALANCING!AAY15</f>
        <v>1211500</v>
      </c>
      <c r="AAZ28" s="110">
        <f>AAY28+BALANCING!AAZ15</f>
        <v>1293500</v>
      </c>
      <c r="ABA28" s="110">
        <f>AAZ28+BALANCING!ABA15</f>
        <v>1925742</v>
      </c>
      <c r="ABB28" s="110">
        <f>ABA28+BALANCING!ABB15</f>
        <v>2342742</v>
      </c>
      <c r="ABC28" s="110">
        <f>ABB28+BALANCING!ABC15</f>
        <v>2560242</v>
      </c>
      <c r="ABD28" s="110">
        <f>ABC28+BALANCING!ABD15</f>
        <v>2846242</v>
      </c>
      <c r="ABE28" s="110">
        <f>ABD28+BALANCING!ABE15</f>
        <v>3323242</v>
      </c>
      <c r="ABF28" s="110">
        <f>ABE28+BALANCING!ABF15</f>
        <v>3383242</v>
      </c>
      <c r="ABG28" s="110">
        <f>ABF28+BALANCING!ABG15</f>
        <v>3645842</v>
      </c>
      <c r="ABH28" s="110">
        <f>ABG28+BALANCING!ABH15</f>
        <v>3795842</v>
      </c>
      <c r="ABI28" s="110">
        <f>ABH28+BALANCING!ABI15</f>
        <v>3922842</v>
      </c>
      <c r="ABJ28" s="110">
        <f>ABI28+BALANCING!ABJ15</f>
        <v>4197242</v>
      </c>
      <c r="ABK28" s="110">
        <f>ABJ28+BALANCING!ABK15</f>
        <v>4326242</v>
      </c>
      <c r="ABL28" s="110">
        <f>ABK28+BALANCING!ABL15</f>
        <v>4346242</v>
      </c>
      <c r="ABM28" s="110">
        <f>ABL28+BALANCING!ABM15</f>
        <v>4681371</v>
      </c>
      <c r="ABN28" s="110">
        <f>ABM28+BALANCING!ABN15</f>
        <v>4779871</v>
      </c>
      <c r="ABO28" s="110">
        <f>ABN28+BALANCING!ABO15</f>
        <v>4815871</v>
      </c>
      <c r="ABP28" s="110">
        <f>ABO28+BALANCING!ABP15</f>
        <v>5306871</v>
      </c>
      <c r="ABQ28" s="110">
        <f>ABP28+BALANCING!ABQ15</f>
        <v>5694871</v>
      </c>
      <c r="ABR28" s="110">
        <f>ABQ28+BALANCING!ABR15</f>
        <v>6059871</v>
      </c>
      <c r="ABS28" s="110">
        <f>ABR28+BALANCING!ABS15</f>
        <v>6059871</v>
      </c>
      <c r="ABT28" s="110">
        <f>ABS28+BALANCING!ABT15</f>
        <v>6319871</v>
      </c>
      <c r="ABU28" s="110">
        <f>ABT28+BALANCING!ABU15</f>
        <v>6419871</v>
      </c>
      <c r="ABV28" s="110">
        <f>ABU28+BALANCING!ABV15</f>
        <v>6917871</v>
      </c>
      <c r="ABW28" s="110">
        <f>ABV28+BALANCING!ABW15</f>
        <v>7017871</v>
      </c>
      <c r="ABX28" s="110">
        <f>ABW28+BALANCING!ABX15</f>
        <v>8134871</v>
      </c>
      <c r="ABY28" s="110">
        <f>ABX28+BALANCING!ABY15</f>
        <v>10384871</v>
      </c>
      <c r="ABZ28" s="110">
        <f>ABY28+BALANCING!ABZ15</f>
        <v>10394871</v>
      </c>
      <c r="ACA28" s="110">
        <f>ABZ28+BALANCING!ACA15</f>
        <v>10494871</v>
      </c>
      <c r="ACB28" s="110">
        <f>ACA28+BALANCING!ACB15</f>
        <v>10621871</v>
      </c>
      <c r="ACC28" s="130"/>
      <c r="ACD28" s="110">
        <f>ACC28+BALANCING!ACD15</f>
        <v>277500</v>
      </c>
      <c r="ACE28" s="110">
        <f>ACD28+BALANCING!ACE15</f>
        <v>597500</v>
      </c>
      <c r="ACF28" s="110">
        <f>ACE28+BALANCING!ACF15</f>
        <v>1407500</v>
      </c>
      <c r="ACG28" s="110">
        <f>ACF28+BALANCING!ACG15</f>
        <v>2052500</v>
      </c>
      <c r="ACH28" s="110">
        <f>ACG28+BALANCING!ACH15</f>
        <v>2232500</v>
      </c>
      <c r="ACI28" s="110">
        <f>ACH28+BALANCING!ACI15</f>
        <v>2503500</v>
      </c>
      <c r="ACJ28" s="110">
        <f>ACI28+BALANCING!ACJ15</f>
        <v>2503500</v>
      </c>
      <c r="ACK28" s="110">
        <f>ACJ28+BALANCING!ACK15</f>
        <v>3148142</v>
      </c>
      <c r="ACL28" s="110">
        <f>ACK28+BALANCING!ACL15</f>
        <v>3274142</v>
      </c>
      <c r="ACM28" s="110">
        <f>ACL28+BALANCING!ACM15</f>
        <v>3589311</v>
      </c>
      <c r="ACN28" s="110">
        <f>ACM28+BALANCING!ACN15</f>
        <v>4539311</v>
      </c>
      <c r="ACO28" s="110">
        <f>ACN28+BALANCING!ACO15</f>
        <v>5009311</v>
      </c>
      <c r="ACP28" s="110">
        <f>ACO28+BALANCING!ACP15</f>
        <v>5633689</v>
      </c>
      <c r="ACQ28" s="110">
        <f>ACP28+BALANCING!ACQ15</f>
        <v>5903689</v>
      </c>
      <c r="ACR28" s="110">
        <f>ACQ28+BALANCING!ACR15</f>
        <v>6394892</v>
      </c>
      <c r="ACS28" s="110">
        <f>ACR28+BALANCING!ACS15</f>
        <v>7038014</v>
      </c>
      <c r="ACT28" s="110">
        <f>ACS28+BALANCING!ACT15</f>
        <v>7383926</v>
      </c>
      <c r="ACU28" s="110">
        <f>ACT28+BALANCING!ACU15</f>
        <v>8312926</v>
      </c>
      <c r="ACV28" s="110">
        <f>ACU28+BALANCING!ACV15</f>
        <v>8340926</v>
      </c>
      <c r="ACW28" s="110">
        <f>ACV28+BALANCING!ACW15</f>
        <v>8503926</v>
      </c>
      <c r="ACX28" s="110">
        <f>ACW28+BALANCING!ACX15</f>
        <v>9353926</v>
      </c>
      <c r="ACY28" s="110">
        <f>ACX28+BALANCING!ACY15</f>
        <v>9564426</v>
      </c>
      <c r="ACZ28" s="110">
        <f>ACY28+BALANCING!ACZ15</f>
        <v>10150925</v>
      </c>
      <c r="ADA28" s="110">
        <f>ACZ28+BALANCING!ADA15</f>
        <v>10350925</v>
      </c>
      <c r="ADB28" s="110">
        <f>ADA28+BALANCING!ADB15</f>
        <v>10350925</v>
      </c>
      <c r="ADC28" s="110">
        <f>ADB28+BALANCING!ADC15</f>
        <v>11838975</v>
      </c>
      <c r="ADD28" s="110">
        <f>ADC28+BALANCING!ADD15</f>
        <v>11931975</v>
      </c>
      <c r="ADE28" s="110">
        <f>ADD28+BALANCING!ADE15</f>
        <v>12436803</v>
      </c>
      <c r="ADF28" s="110">
        <f>ADE28+BALANCING!ADF15</f>
        <v>12826803</v>
      </c>
      <c r="ADG28" s="110">
        <f>ADF28+BALANCING!ADG15</f>
        <v>13586803</v>
      </c>
      <c r="ADH28" s="110">
        <f>ADG28+BALANCING!ADH15</f>
        <v>14096073</v>
      </c>
      <c r="ADI28" s="130"/>
      <c r="ADJ28" s="110">
        <f>ADI28+BALANCING!ADJ15</f>
        <v>60000</v>
      </c>
      <c r="ADK28" s="110">
        <f>ADJ28+BALANCING!ADK15</f>
        <v>487501</v>
      </c>
      <c r="ADL28" s="110">
        <f>ADK28+BALANCING!ADL15</f>
        <v>1100501</v>
      </c>
      <c r="ADM28" s="110">
        <f>ADL28+BALANCING!ADM15</f>
        <v>1320596</v>
      </c>
      <c r="ADN28" s="110">
        <f>ADM28+BALANCING!ADN15</f>
        <v>1524596</v>
      </c>
      <c r="ADO28" s="110">
        <f>ADN28+BALANCING!ADO15</f>
        <v>1974596</v>
      </c>
      <c r="ADP28" s="110">
        <f>ADO28+BALANCING!ADP15</f>
        <v>2209596</v>
      </c>
      <c r="ADQ28" s="110">
        <f>ADP28+BALANCING!ADQ15</f>
        <v>2419596</v>
      </c>
      <c r="ADR28" s="110">
        <f>ADQ28+BALANCING!ADR15</f>
        <v>2585596</v>
      </c>
      <c r="ADS28" s="110">
        <f>ADR28+BALANCING!ADS15</f>
        <v>3433596</v>
      </c>
      <c r="ADT28" s="110">
        <f>ADS28+BALANCING!ADT15</f>
        <v>3793596</v>
      </c>
      <c r="ADU28" s="110">
        <f>ADT28+BALANCING!ADU15</f>
        <v>4249596</v>
      </c>
      <c r="ADV28" s="110">
        <f>ADU28+BALANCING!ADV15</f>
        <v>4660596</v>
      </c>
      <c r="ADW28" s="110">
        <f>ADV28+BALANCING!ADW15</f>
        <v>4730596</v>
      </c>
      <c r="ADX28" s="110">
        <f>ADW28+BALANCING!ADX15</f>
        <v>5133137</v>
      </c>
      <c r="ADY28" s="110">
        <f>ADX28+BALANCING!ADY15</f>
        <v>5764418</v>
      </c>
      <c r="ADZ28" s="110">
        <f>ADY28+BALANCING!ADZ15</f>
        <v>6114418</v>
      </c>
      <c r="AEA28" s="110">
        <f>ADZ28+BALANCING!AEA15</f>
        <v>6364418</v>
      </c>
      <c r="AEB28" s="110">
        <f>AEA28+BALANCING!AEB15</f>
        <v>6424418</v>
      </c>
      <c r="AEC28" s="110">
        <f>AEB28+BALANCING!AEC15</f>
        <v>6694418</v>
      </c>
      <c r="AED28" s="110">
        <f>AEC28+BALANCING!AED15</f>
        <v>6984418</v>
      </c>
      <c r="AEE28" s="110">
        <f>AED28+BALANCING!AEE15</f>
        <v>7254418</v>
      </c>
      <c r="AEF28" s="110">
        <f>AEE28+BALANCING!AEF15</f>
        <v>7354418</v>
      </c>
      <c r="AEG28" s="110">
        <f>AEF28+BALANCING!AEG15</f>
        <v>7404418</v>
      </c>
      <c r="AEH28" s="110">
        <f>AEG28+BALANCING!AEH15</f>
        <v>7554418</v>
      </c>
      <c r="AEI28" s="110">
        <f>AEH28+BALANCING!AEI15</f>
        <v>8009418</v>
      </c>
      <c r="AEJ28" s="110">
        <f>AEI28+BALANCING!AEJ15</f>
        <v>8457834</v>
      </c>
      <c r="AEK28" s="110">
        <f>AEJ28+BALANCING!AEK15</f>
        <v>8907834</v>
      </c>
      <c r="AEL28" s="110">
        <f>AEK28+BALANCING!AEL15</f>
        <v>9520882</v>
      </c>
      <c r="AEM28" s="110">
        <f>AEL28+BALANCING!AEM15</f>
        <v>9755882</v>
      </c>
      <c r="AEN28" s="130"/>
      <c r="AEO28" s="110">
        <f>AEN28+BALANCING!AEO15</f>
        <v>90000</v>
      </c>
      <c r="AEP28" s="110">
        <f>AEO28+BALANCING!AEP15</f>
        <v>90000</v>
      </c>
      <c r="AEQ28" s="110">
        <f>AEP28+BALANCING!AEQ15</f>
        <v>140000</v>
      </c>
      <c r="AER28" s="110">
        <f>AEQ28+BALANCING!AER15</f>
        <v>370000</v>
      </c>
      <c r="AES28" s="110">
        <f>AER28+BALANCING!AES15</f>
        <v>520000</v>
      </c>
      <c r="AET28" s="110">
        <f>AES28+BALANCING!AET15</f>
        <v>1070000</v>
      </c>
      <c r="AEU28" s="110">
        <f>AET28+BALANCING!AEU15</f>
        <v>1170000</v>
      </c>
      <c r="AEV28" s="110">
        <f>AEU28+BALANCING!AEV15</f>
        <v>1327000</v>
      </c>
      <c r="AEW28" s="110">
        <f>AEV28+BALANCING!AEW15</f>
        <v>2499538</v>
      </c>
      <c r="AEX28" s="110">
        <f>AEW28+BALANCING!AEX15</f>
        <v>2519538</v>
      </c>
      <c r="AEY28" s="110">
        <f>AEX28+BALANCING!AEY15</f>
        <v>2684538</v>
      </c>
      <c r="AEZ28" s="110">
        <f>AEY28+BALANCING!AEZ15</f>
        <v>2684538</v>
      </c>
      <c r="AFA28" s="110">
        <f>AEZ28+BALANCING!AFA15</f>
        <v>2814538</v>
      </c>
      <c r="AFB28" s="110">
        <f>AFA28+BALANCING!AFB15</f>
        <v>3142048</v>
      </c>
      <c r="AFC28" s="110">
        <f>AFB28+BALANCING!AFC15</f>
        <v>3552048</v>
      </c>
      <c r="AFD28" s="110">
        <f>AFC28+BALANCING!AFD15</f>
        <v>3732048</v>
      </c>
      <c r="AFE28" s="110">
        <f>AFD28+BALANCING!AFE15</f>
        <v>3942048</v>
      </c>
      <c r="AFF28" s="110">
        <f>AFE28+BALANCING!AFF15</f>
        <v>4636835</v>
      </c>
      <c r="AFG28" s="110">
        <f>AFF28+BALANCING!AFG15</f>
        <v>4756835</v>
      </c>
      <c r="AFH28" s="110">
        <f>AFG28+BALANCING!AFH15</f>
        <v>5146835</v>
      </c>
      <c r="AFI28" s="110">
        <f>AFH28+BALANCING!AFI15</f>
        <v>5366835</v>
      </c>
      <c r="AFJ28" s="110">
        <f>AFI28+BALANCING!AFJ15</f>
        <v>5902727</v>
      </c>
      <c r="AFK28" s="110">
        <f>AFJ28+BALANCING!AFK15</f>
        <v>5922727</v>
      </c>
      <c r="AFL28" s="110">
        <f>AFK28+BALANCING!AFL15</f>
        <v>6536285</v>
      </c>
      <c r="AFM28" s="110">
        <f>AFL28+BALANCING!AFM15</f>
        <v>7001285</v>
      </c>
      <c r="AFN28" s="110">
        <f>AFM28+BALANCING!AFN15</f>
        <v>8143260</v>
      </c>
      <c r="AFO28" s="110">
        <f>AFN28+BALANCING!AFO15</f>
        <v>8395260</v>
      </c>
      <c r="AFP28" s="110">
        <f>AFO28+BALANCING!AFP15</f>
        <v>8695260</v>
      </c>
      <c r="AFQ28" s="110">
        <f>AFP28+BALANCING!AFQ15</f>
        <v>9245260</v>
      </c>
      <c r="AFR28" s="110">
        <f>AFQ28+BALANCING!AFR15</f>
        <v>9567260</v>
      </c>
      <c r="AFS28" s="110">
        <f>AFR28+BALANCING!AFS15</f>
        <v>10312260</v>
      </c>
      <c r="AFT28" s="130"/>
      <c r="AFU28" s="110">
        <f>AFT28+BALANCING!AFU15</f>
        <v>30000</v>
      </c>
      <c r="AFV28" s="110">
        <f>AFU28+BALANCING!AFV15</f>
        <v>465000</v>
      </c>
      <c r="AFW28" s="110">
        <f>AFV28+BALANCING!AFW15</f>
        <v>607000</v>
      </c>
      <c r="AFX28" s="110">
        <f>AFW28+BALANCING!AFX15</f>
        <v>847000</v>
      </c>
      <c r="AFY28" s="110">
        <f>AFX28+BALANCING!AFY15</f>
        <v>1599000</v>
      </c>
      <c r="AFZ28" s="110">
        <f>AFY28+BALANCING!AFZ15</f>
        <v>1919000</v>
      </c>
      <c r="AGA28" s="110">
        <f>AFZ28+BALANCING!AGA15</f>
        <v>1969000</v>
      </c>
      <c r="AGB28" s="110">
        <f>AGA28+BALANCING!AGB15</f>
        <v>2114000</v>
      </c>
      <c r="AGC28" s="110">
        <f>AGB28+BALANCING!AGC15</f>
        <v>2367700</v>
      </c>
      <c r="AGD28" s="110">
        <f>AGC28+BALANCING!AGD15</f>
        <v>2852190</v>
      </c>
      <c r="AGE28" s="110">
        <f>AGD28+BALANCING!AGE15</f>
        <v>3482190</v>
      </c>
      <c r="AGF28" s="110">
        <f>AGE28+BALANCING!AGF15</f>
        <v>3907190</v>
      </c>
      <c r="AGG28" s="110">
        <f>AGF28+BALANCING!AGG15</f>
        <v>4407190</v>
      </c>
      <c r="AGH28" s="110">
        <f>AGG28+BALANCING!AGH15</f>
        <v>4764417</v>
      </c>
      <c r="AGI28" s="110">
        <f>AGH28+BALANCING!AGI15</f>
        <v>5274417</v>
      </c>
      <c r="AGJ28" s="110">
        <f>AGI28+BALANCING!AGJ15</f>
        <v>5409907</v>
      </c>
      <c r="AGK28" s="110">
        <f>AGJ28+BALANCING!AGK15</f>
        <v>6274815</v>
      </c>
      <c r="AGL28" s="110">
        <f>AGK28+BALANCING!AGL15</f>
        <v>6405815</v>
      </c>
      <c r="AGM28" s="110">
        <f>AGL28+BALANCING!AGM15</f>
        <v>6435815</v>
      </c>
      <c r="AGN28" s="110">
        <f>AGM28+BALANCING!AGN15</f>
        <v>6545815</v>
      </c>
      <c r="AGO28" s="110">
        <f>AGN28+BALANCING!AGO15</f>
        <v>7298815</v>
      </c>
      <c r="AGP28" s="110">
        <f>AGO28+BALANCING!AGP15</f>
        <v>7508815</v>
      </c>
      <c r="AGQ28" s="110">
        <f>AGP28+BALANCING!AGQ15</f>
        <v>7887815</v>
      </c>
      <c r="AGR28" s="110">
        <f>AGQ28+BALANCING!AGR15</f>
        <v>8197815</v>
      </c>
      <c r="AGS28" s="110">
        <f>AGR28+BALANCING!AGS15</f>
        <v>9022315</v>
      </c>
      <c r="AGT28" s="110">
        <f>AGS28+BALANCING!AGT15</f>
        <v>9122315</v>
      </c>
      <c r="AGU28" s="110">
        <f>AGT28+BALANCING!AGU15</f>
        <v>9326105</v>
      </c>
      <c r="AGV28" s="110">
        <f>AGU28+BALANCING!AGV15</f>
        <v>9738105</v>
      </c>
      <c r="AGW28" s="110">
        <f>AGV28+BALANCING!AGW15</f>
        <v>10283105</v>
      </c>
      <c r="AGX28" s="110">
        <f>AGW28+BALANCING!AGX15</f>
        <v>10833105</v>
      </c>
      <c r="AGY28" s="133"/>
      <c r="AGZ28" s="110">
        <f>AGY28+BALANCING!AGZ15</f>
        <v>630000</v>
      </c>
      <c r="AHA28" s="110">
        <f>AGZ28+BALANCING!AHA15</f>
        <v>630000</v>
      </c>
      <c r="AHB28" s="110">
        <f>AHA28+BALANCING!AHB15</f>
        <v>780000</v>
      </c>
      <c r="AHC28" s="110">
        <f>AHB28+BALANCING!AHC15</f>
        <v>780000</v>
      </c>
      <c r="AHD28" s="110">
        <f>AHC28+BALANCING!AHD15</f>
        <v>1170000</v>
      </c>
      <c r="AHE28" s="110">
        <f>AHD28+BALANCING!AHE15</f>
        <v>1804976</v>
      </c>
      <c r="AHF28" s="110">
        <f>AHE28+BALANCING!AHF15</f>
        <v>2157976</v>
      </c>
      <c r="AHG28" s="110">
        <f>AHF28+BALANCING!AHG15</f>
        <v>2157976</v>
      </c>
      <c r="AHH28" s="110">
        <f>AHG28+BALANCING!AHH15</f>
        <v>2382976</v>
      </c>
      <c r="AHI28" s="110">
        <f>AHH28+BALANCING!AHI15</f>
        <v>3774976</v>
      </c>
      <c r="AHJ28" s="110">
        <f>AHI28+BALANCING!AHJ15</f>
        <v>4330676</v>
      </c>
      <c r="AHK28" s="110">
        <f>AHJ28+BALANCING!AHK15</f>
        <v>4480676</v>
      </c>
      <c r="AHL28" s="110">
        <f>AHK28+BALANCING!AHL15</f>
        <v>4715676</v>
      </c>
      <c r="AHM28" s="110">
        <f>AHL28+BALANCING!AHM15</f>
        <v>5645676</v>
      </c>
      <c r="AHN28" s="110">
        <f>AHM28+BALANCING!AHN15</f>
        <v>6045676</v>
      </c>
      <c r="AHO28" s="110">
        <f>AHN28+BALANCING!AHO15</f>
        <v>6145676</v>
      </c>
      <c r="AHP28" s="110">
        <f>AHO28+BALANCING!AHP15</f>
        <v>6395676</v>
      </c>
      <c r="AHQ28" s="110">
        <f>AHP28+BALANCING!AHQ15</f>
        <v>6548621</v>
      </c>
      <c r="AHR28" s="110">
        <f>AHQ28+BALANCING!AHR15</f>
        <v>7323621</v>
      </c>
      <c r="AHS28" s="110">
        <f>AHR28+BALANCING!AHS15</f>
        <v>7878621</v>
      </c>
      <c r="AHT28" s="110">
        <f>AHS28+BALANCING!AHT15</f>
        <v>8707856</v>
      </c>
      <c r="AHU28" s="110">
        <f>AHT28+BALANCING!AHU15</f>
        <v>9207856</v>
      </c>
      <c r="AHV28" s="110">
        <f>AHU28+BALANCING!AHV15</f>
        <v>9327856</v>
      </c>
      <c r="AHW28" s="110">
        <f>AHV28+BALANCING!AHW15</f>
        <v>9627346</v>
      </c>
      <c r="AHX28" s="110">
        <f>AHW28+BALANCING!AHX15</f>
        <v>10292015</v>
      </c>
      <c r="AHY28" s="110">
        <f>AHX28+BALANCING!AHY15</f>
        <v>11053812</v>
      </c>
      <c r="AHZ28" s="110">
        <f>AHY28+BALANCING!AHZ15</f>
        <v>11298812</v>
      </c>
      <c r="AIA28" s="110">
        <f>AHZ28+BALANCING!AIA15</f>
        <v>11619921</v>
      </c>
      <c r="AIB28" s="110">
        <f>AIA28+BALANCING!AIB15</f>
        <v>11854921</v>
      </c>
      <c r="AIC28" s="110">
        <f>AIB28+BALANCING!AIC15</f>
        <v>12284921</v>
      </c>
      <c r="AID28" s="110">
        <f>AIC28+BALANCING!AID15</f>
        <v>12454921</v>
      </c>
      <c r="AIE28" s="130"/>
      <c r="AIF28" s="110">
        <f>AIE28+BALANCING!AIF15</f>
        <v>350000</v>
      </c>
      <c r="AIG28" s="110">
        <f>AIF28+BALANCING!AIG15</f>
        <v>1000000</v>
      </c>
      <c r="AIH28" s="110">
        <f>AIG28+BALANCING!AIH15</f>
        <v>1270000</v>
      </c>
      <c r="AII28" s="110">
        <f>AIH28+BALANCING!AII15</f>
        <v>1729490</v>
      </c>
      <c r="AIJ28" s="110">
        <f>AII28+BALANCING!AIJ15</f>
        <v>2594490</v>
      </c>
      <c r="AIK28" s="110">
        <f>AIJ28+BALANCING!AIK15</f>
        <v>3035479</v>
      </c>
      <c r="AIL28" s="110">
        <f>AIK28+BALANCING!AIL15</f>
        <v>3266479</v>
      </c>
      <c r="AIM28" s="110">
        <f>AIL28+BALANCING!AIM15</f>
        <v>3436479</v>
      </c>
      <c r="AIN28" s="110">
        <f>AIM28+BALANCING!AIN15</f>
        <v>4316479</v>
      </c>
      <c r="AIO28" s="110">
        <f>AIN28+BALANCING!AIO15</f>
        <v>5202984</v>
      </c>
      <c r="AIP28" s="110">
        <f>AIO28+BALANCING!AIP15</f>
        <v>5609077</v>
      </c>
      <c r="AIQ28" s="110">
        <f>AIP28+BALANCING!AIQ15</f>
        <v>6011089</v>
      </c>
      <c r="AIR28" s="110">
        <f>AIQ28+BALANCING!AIR15</f>
        <v>6171089</v>
      </c>
      <c r="AIS28" s="110">
        <f>AIR28+BALANCING!AIS15</f>
        <v>6321089</v>
      </c>
      <c r="AIT28" s="110">
        <f>AIS28+BALANCING!AIT15</f>
        <v>6376089</v>
      </c>
      <c r="AIU28" s="110">
        <f>AIT28+BALANCING!AIU15</f>
        <v>6641089</v>
      </c>
      <c r="AIV28" s="110">
        <f>AIU28+BALANCING!AIV15</f>
        <v>6771089</v>
      </c>
      <c r="AIW28" s="110">
        <f>AIV28+BALANCING!AIW15</f>
        <v>6960089</v>
      </c>
      <c r="AIX28" s="110">
        <f>AIW28+BALANCING!AIX15</f>
        <v>7355089</v>
      </c>
      <c r="AIY28" s="110">
        <f>AIX28+BALANCING!AIY15</f>
        <v>7355089</v>
      </c>
      <c r="AIZ28" s="110">
        <f>AIY28+BALANCING!AIZ15</f>
        <v>7505089</v>
      </c>
      <c r="AJA28" s="110">
        <f>AIZ28+BALANCING!AJA15</f>
        <v>8060589</v>
      </c>
      <c r="AJB28" s="110">
        <f>AJA28+BALANCING!AJB15</f>
        <v>8270589</v>
      </c>
      <c r="AJC28" s="110">
        <f>AJB28+BALANCING!AJC15</f>
        <v>8778589</v>
      </c>
      <c r="AJD28" s="110">
        <f>AJC28+BALANCING!AJD15</f>
        <v>9108589</v>
      </c>
      <c r="AJE28" s="110">
        <f>AJD28+BALANCING!AJE15</f>
        <v>9278589</v>
      </c>
      <c r="AJF28" s="110">
        <f>AJE28+BALANCING!AJF15</f>
        <v>9708589</v>
      </c>
      <c r="AJG28" s="110">
        <f>AJF28+BALANCING!AJG15</f>
        <v>9908589</v>
      </c>
      <c r="AJH28" s="110">
        <f>AJG28+BALANCING!AJH15</f>
        <v>10318589</v>
      </c>
      <c r="AJI28" s="110">
        <f>AJH28+BALANCING!AJI15</f>
        <v>11118589</v>
      </c>
      <c r="AJJ28" s="110">
        <f>AJI28+BALANCING!AJJ15</f>
        <v>11391589</v>
      </c>
      <c r="AJK28" s="145"/>
      <c r="AJL28" s="110">
        <f>AJK28+BALANCING!AJL15</f>
        <v>369400</v>
      </c>
      <c r="AJM28" s="110">
        <f>AJL28+BALANCING!AJM15</f>
        <v>449400</v>
      </c>
      <c r="AJN28" s="110">
        <f>AJM28+BALANCING!AJN15</f>
        <v>735400</v>
      </c>
      <c r="AJO28" s="110">
        <f>AJN28+BALANCING!AJO15</f>
        <v>2039477</v>
      </c>
      <c r="AJP28" s="110">
        <f>AJO28+BALANCING!AJP15</f>
        <v>2397193</v>
      </c>
      <c r="AJQ28" s="110">
        <f>AJP28+BALANCING!AJQ15</f>
        <v>3052193</v>
      </c>
      <c r="AJR28" s="110">
        <f>AJQ28+BALANCING!AJR15</f>
        <v>3399116</v>
      </c>
      <c r="AJS28" s="110">
        <f>AJR28+BALANCING!AJS15</f>
        <v>3599116</v>
      </c>
      <c r="AJT28" s="110">
        <f>AJS28+BALANCING!AJT15</f>
        <v>3954076</v>
      </c>
      <c r="AJU28" s="110">
        <f>AJT28+BALANCING!AJU15</f>
        <v>4034076</v>
      </c>
      <c r="AJV28" s="110">
        <f>AJU28+BALANCING!AJV15</f>
        <v>4309465</v>
      </c>
      <c r="AJW28" s="110">
        <f>AJV28+BALANCING!AJW15</f>
        <v>4389465</v>
      </c>
      <c r="AJX28" s="110">
        <f>AJW28+BALANCING!AJX15</f>
        <v>4539465</v>
      </c>
      <c r="AJY28" s="110">
        <f>AJX28+BALANCING!AJY15</f>
        <v>5054781</v>
      </c>
      <c r="AJZ28" s="110">
        <f>AJY28+BALANCING!AJZ15</f>
        <v>5492781</v>
      </c>
      <c r="AKA28" s="110">
        <f>AJZ28+BALANCING!AKA15</f>
        <v>5862781</v>
      </c>
      <c r="AKB28" s="110">
        <f>AKA28+BALANCING!AKB15</f>
        <v>5992781</v>
      </c>
      <c r="AKC28" s="110">
        <f>AKB28+BALANCING!AKC15</f>
        <v>6317717</v>
      </c>
      <c r="AKD28" s="110">
        <f>AKC28+BALANCING!AKD15</f>
        <v>6869677</v>
      </c>
      <c r="AKE28" s="110">
        <f>AKD28+BALANCING!AKE15</f>
        <v>6959677</v>
      </c>
      <c r="AKF28" s="110">
        <f>AKE28+BALANCING!AKF15</f>
        <v>7314677</v>
      </c>
      <c r="AKG28" s="110">
        <f>AKF28+BALANCING!AKG15</f>
        <v>7917910</v>
      </c>
      <c r="AKH28" s="110">
        <f>AKG28+BALANCING!AKH15</f>
        <v>8787910</v>
      </c>
      <c r="AKI28" s="110">
        <f>AKH28+BALANCING!AKI15</f>
        <v>9674108</v>
      </c>
      <c r="AKJ28" s="110">
        <f>AKI28+BALANCING!AKJ15</f>
        <v>9924108</v>
      </c>
      <c r="AKK28" s="110">
        <f>AKJ28+BALANCING!AKK15</f>
        <v>10596108</v>
      </c>
      <c r="AKL28" s="110">
        <f>AKK28+BALANCING!AKL15</f>
        <v>10896108</v>
      </c>
      <c r="AKM28" s="110">
        <f>AKL28+BALANCING!AKM15</f>
        <v>11069108</v>
      </c>
      <c r="AKN28" s="112"/>
      <c r="AKO28" s="110">
        <f>AKN28+BALANCING!AKO15</f>
        <v>1014000</v>
      </c>
      <c r="AKP28" s="110">
        <f>AKO28+BALANCING!AKP15</f>
        <v>1104000</v>
      </c>
      <c r="AKQ28" s="110">
        <f>AKP28+BALANCING!AKQ15</f>
        <v>1454000</v>
      </c>
      <c r="AKR28" s="110">
        <f>AKQ28+BALANCING!AKR15</f>
        <v>1724000</v>
      </c>
      <c r="AKS28" s="110">
        <f>AKR28+BALANCING!AKS15</f>
        <v>1824000</v>
      </c>
      <c r="AKT28" s="110">
        <f>AKS28+BALANCING!AKT15</f>
        <v>2214000</v>
      </c>
      <c r="AKU28" s="110">
        <f>AKT28+BALANCING!AKU15</f>
        <v>2814000</v>
      </c>
      <c r="AKV28" s="110">
        <f>AKU28+BALANCING!AKV15</f>
        <v>2919000</v>
      </c>
      <c r="AKW28" s="110">
        <f>AKV28+BALANCING!AKW15</f>
        <v>3414000</v>
      </c>
      <c r="AKX28" s="110">
        <f>AKW28+BALANCING!AKX15</f>
        <v>4108109</v>
      </c>
      <c r="AKY28" s="110">
        <f>AKX28+BALANCING!AKY15</f>
        <v>4428109</v>
      </c>
      <c r="AKZ28" s="110">
        <f>AKY28+BALANCING!AKZ15</f>
        <v>5089109</v>
      </c>
      <c r="ALA28" s="110">
        <f>AKZ28+BALANCING!ALA15</f>
        <v>5459109</v>
      </c>
      <c r="ALB28" s="110">
        <f>ALA28+BALANCING!ALB15</f>
        <v>6256089</v>
      </c>
      <c r="ALC28" s="110">
        <f>ALB28+BALANCING!ALC15</f>
        <v>6636089</v>
      </c>
      <c r="ALD28" s="110">
        <f>ALC28+BALANCING!ALD15</f>
        <v>8090403</v>
      </c>
      <c r="ALE28" s="110">
        <f>ALD28+BALANCING!ALE15</f>
        <v>8291403</v>
      </c>
      <c r="ALF28" s="110">
        <f>ALE28+BALANCING!ALF15</f>
        <v>8291403</v>
      </c>
      <c r="ALG28" s="110">
        <f>ALF28+BALANCING!ALG15</f>
        <v>9691403</v>
      </c>
      <c r="ALH28" s="110">
        <f>ALG28+BALANCING!ALH15</f>
        <v>10301403</v>
      </c>
      <c r="ALI28" s="110">
        <f>ALH28+BALANCING!ALI15</f>
        <v>10521403</v>
      </c>
      <c r="ALJ28" s="110">
        <f>ALI28+BALANCING!ALJ15</f>
        <v>10721403</v>
      </c>
      <c r="ALK28" s="110">
        <f>ALJ28+BALANCING!ALK15</f>
        <v>11077893</v>
      </c>
      <c r="ALL28" s="110">
        <f>ALK28+BALANCING!ALL15</f>
        <v>11829893</v>
      </c>
      <c r="ALM28" s="110">
        <f>ALL28+BALANCING!ALM15</f>
        <v>12404893</v>
      </c>
      <c r="ALN28" s="110">
        <f>ALM28+BALANCING!ALN15</f>
        <v>12854893</v>
      </c>
      <c r="ALO28" s="110">
        <f>ALN28+BALANCING!ALO15</f>
        <v>12984893</v>
      </c>
      <c r="ALP28" s="110">
        <f>ALO28+BALANCING!ALP15</f>
        <v>13839379</v>
      </c>
      <c r="ALQ28" s="110">
        <f>ALP28+BALANCING!ALQ15</f>
        <v>14588460</v>
      </c>
      <c r="ALR28" s="110">
        <f>ALQ28+BALANCING!ALR15</f>
        <v>14738460</v>
      </c>
      <c r="ALS28" s="110">
        <f>ALR28+BALANCING!ALS15</f>
        <v>14838460</v>
      </c>
      <c r="ALT28" s="130"/>
      <c r="ALU28" s="110">
        <f>ALT28+BALANCING!ALU15</f>
        <v>880000</v>
      </c>
      <c r="ALV28" s="110">
        <f>ALU28+BALANCING!ALV15</f>
        <v>1170000</v>
      </c>
      <c r="ALW28" s="110">
        <f>ALV28+BALANCING!ALW15</f>
        <v>1796351</v>
      </c>
      <c r="ALX28" s="110">
        <f>ALW28+BALANCING!ALX15</f>
        <v>2001351</v>
      </c>
      <c r="ALY28" s="110">
        <f>ALX28+BALANCING!ALY15</f>
        <v>2289351</v>
      </c>
      <c r="ALZ28" s="110">
        <f>ALY28+BALANCING!ALZ15</f>
        <v>3102351</v>
      </c>
      <c r="AMA28" s="110">
        <f>ALZ28+BALANCING!AMA15</f>
        <v>3403866</v>
      </c>
      <c r="AMB28" s="110">
        <f>AMA28+BALANCING!AMB15</f>
        <v>3522866</v>
      </c>
      <c r="AMC28" s="110">
        <f>AMB28+BALANCING!AMC15</f>
        <v>4067866</v>
      </c>
      <c r="AMD28" s="110">
        <f>AMC28+BALANCING!AMD15</f>
        <v>4879066</v>
      </c>
      <c r="AME28" s="110">
        <f>AMD28+BALANCING!AME15</f>
        <v>5009066</v>
      </c>
      <c r="AMF28" s="110">
        <f>AME28+BALANCING!AMF15</f>
        <v>5059066</v>
      </c>
      <c r="AMG28" s="110">
        <f>AMF28+BALANCING!AMG15</f>
        <v>5409066</v>
      </c>
      <c r="AMH28" s="110">
        <f>AMG28+BALANCING!AMH15</f>
        <v>5883066</v>
      </c>
      <c r="AMI28" s="110">
        <f>AMH28+BALANCING!AMI15</f>
        <v>6363066</v>
      </c>
      <c r="AMJ28" s="110">
        <f>AMI28+BALANCING!AMJ15</f>
        <v>6623066</v>
      </c>
      <c r="AMK28" s="110">
        <f>AMJ28+BALANCING!AMK15</f>
        <v>6718066</v>
      </c>
      <c r="AML28" s="110">
        <f>AMK28+BALANCING!AML15</f>
        <v>7228066</v>
      </c>
      <c r="AMM28" s="110">
        <f>AML28+BALANCING!AMM15</f>
        <v>7773066</v>
      </c>
      <c r="AMN28" s="110">
        <f>AMM28+BALANCING!AMN15</f>
        <v>8163066</v>
      </c>
      <c r="AMO28" s="110">
        <f>AMN28+BALANCING!AMO15</f>
        <v>9223066</v>
      </c>
      <c r="AMP28" s="110">
        <f>AMO28+BALANCING!AMP15</f>
        <v>11396766</v>
      </c>
      <c r="AMQ28" s="110">
        <f>AMP28+BALANCING!AMQ15</f>
        <v>12200300</v>
      </c>
      <c r="AMR28" s="110">
        <f>AMQ28+BALANCING!AMR15</f>
        <v>13582199</v>
      </c>
      <c r="AMS28" s="110">
        <f>AMR28+BALANCING!AMS15</f>
        <v>14207199</v>
      </c>
      <c r="AMT28" s="110">
        <f>AMS28+BALANCING!AMT15</f>
        <v>14782199</v>
      </c>
      <c r="AMU28" s="110">
        <f>AMT28+BALANCING!AMU15</f>
        <v>15609182</v>
      </c>
      <c r="AMV28" s="110">
        <f>AMU28+BALANCING!AMV15</f>
        <v>15886682</v>
      </c>
      <c r="AMW28" s="110">
        <f>AMV28+BALANCING!AMW15</f>
        <v>16759682</v>
      </c>
      <c r="AMX28" s="110">
        <f>AMW28+BALANCING!AMX15</f>
        <v>16973855</v>
      </c>
      <c r="AMY28" s="130"/>
      <c r="AMZ28" s="110">
        <f>AMY28+BALANCING!AMZ15</f>
        <v>600000</v>
      </c>
      <c r="ANA28" s="110">
        <f>AMZ28+BALANCING!ANA15</f>
        <v>1329850</v>
      </c>
      <c r="ANB28" s="110">
        <f>ANA28+BALANCING!ANB15</f>
        <v>1409850</v>
      </c>
      <c r="ANC28" s="110">
        <f>ANB28+BALANCING!ANC15</f>
        <v>1573850</v>
      </c>
      <c r="AND28" s="110">
        <f>ANC28+BALANCING!AND15</f>
        <v>2548709</v>
      </c>
      <c r="ANE28" s="110">
        <f>AND28+BALANCING!ANE15</f>
        <v>2808709</v>
      </c>
      <c r="ANF28" s="110">
        <f>ANE28+BALANCING!ANF15</f>
        <v>4800709</v>
      </c>
      <c r="ANG28" s="110">
        <f>ANF28+BALANCING!ANG15</f>
        <v>5300709</v>
      </c>
      <c r="ANH28" s="110">
        <f>ANG28+BALANCING!ANH15</f>
        <v>6132525</v>
      </c>
      <c r="ANI28" s="110">
        <f>ANH28+BALANCING!ANI15</f>
        <v>6432525</v>
      </c>
      <c r="ANJ28" s="110">
        <f>ANI28+BALANCING!ANJ15</f>
        <v>6542525</v>
      </c>
      <c r="ANK28" s="110">
        <f>ANJ28+BALANCING!ANK15</f>
        <v>7522373</v>
      </c>
      <c r="ANL28" s="110">
        <f>ANK28+BALANCING!ANL15</f>
        <v>8122373</v>
      </c>
      <c r="ANM28" s="110">
        <f>ANL28+BALANCING!ANM15</f>
        <v>8480959</v>
      </c>
      <c r="ANN28" s="110">
        <f>ANM28+BALANCING!ANN15</f>
        <v>9322959</v>
      </c>
      <c r="ANO28" s="110">
        <f>ANN28+BALANCING!ANO15</f>
        <v>9855459</v>
      </c>
      <c r="ANP28" s="110">
        <f>ANO28+BALANCING!ANP15</f>
        <v>10385459</v>
      </c>
      <c r="ANQ28" s="110">
        <f>ANP28+BALANCING!ANQ15</f>
        <v>10685459</v>
      </c>
      <c r="ANR28" s="110">
        <f>ANQ28+BALANCING!ANR15</f>
        <v>10805459</v>
      </c>
      <c r="ANS28" s="110">
        <f>ANR28+BALANCING!ANS15</f>
        <v>11325459</v>
      </c>
      <c r="ANT28" s="110">
        <f>ANS28+BALANCING!ANT15</f>
        <v>11575459</v>
      </c>
      <c r="ANU28" s="110">
        <f>ANT28+BALANCING!ANU15</f>
        <v>12180459</v>
      </c>
      <c r="ANV28" s="110">
        <f>ANU28+BALANCING!ANV15</f>
        <v>13449148</v>
      </c>
      <c r="ANW28" s="110">
        <f>ANV28+BALANCING!ANW15</f>
        <v>13810796</v>
      </c>
      <c r="ANX28" s="110">
        <f>ANW28+BALANCING!ANX15</f>
        <v>14788796</v>
      </c>
      <c r="ANY28" s="110">
        <f>ANX28+BALANCING!ANY15</f>
        <v>15268796</v>
      </c>
      <c r="ANZ28" s="110">
        <f>ANY28+BALANCING!ANZ15</f>
        <v>15358796</v>
      </c>
      <c r="AOA28" s="110">
        <f>ANZ28+BALANCING!AOA15</f>
        <v>15788796</v>
      </c>
      <c r="AOB28" s="110">
        <f>AOA28+BALANCING!AOB15</f>
        <v>16748683</v>
      </c>
      <c r="AOC28" s="110">
        <f>AOB28+BALANCING!AOC15</f>
        <v>17247573</v>
      </c>
    </row>
    <row r="29" spans="1:1069" x14ac:dyDescent="0.2">
      <c r="A29" s="160"/>
      <c r="B29" t="s">
        <v>1661</v>
      </c>
      <c r="C29" s="52">
        <f>BALANCING!C16</f>
        <v>1430350</v>
      </c>
      <c r="D29" s="52">
        <f>C29+BALANCING!D16</f>
        <v>2637700</v>
      </c>
      <c r="E29" s="52">
        <f>D29+BALANCING!E16</f>
        <v>2718450</v>
      </c>
      <c r="F29" s="52">
        <f>E29+BALANCING!F16</f>
        <v>3369201</v>
      </c>
      <c r="G29" s="52">
        <f>F29+BALANCING!G16</f>
        <v>3670711</v>
      </c>
      <c r="H29" s="52">
        <f>G29+BALANCING!H16</f>
        <v>4056211</v>
      </c>
      <c r="I29" s="52">
        <f>H29+BALANCING!I16</f>
        <v>4674991</v>
      </c>
      <c r="J29" s="52">
        <f>I29+BALANCING!J16</f>
        <v>4774991</v>
      </c>
      <c r="K29" s="52">
        <f>J29+BALANCING!K16</f>
        <v>5351491</v>
      </c>
      <c r="L29" s="52">
        <f>K29+BALANCING!L16</f>
        <v>5451491</v>
      </c>
      <c r="M29" s="52">
        <f>L29+BALANCING!M16</f>
        <v>6708941</v>
      </c>
      <c r="N29" s="52">
        <f>M29+BALANCING!N16</f>
        <v>6955641</v>
      </c>
      <c r="O29" s="52">
        <f>N29+BALANCING!O16</f>
        <v>7273671</v>
      </c>
      <c r="P29" s="52">
        <f>O29+BALANCING!P16</f>
        <v>7916041</v>
      </c>
      <c r="Q29" s="52">
        <f>P29+BALANCING!Q16</f>
        <v>9209541</v>
      </c>
      <c r="R29" s="52">
        <f>Q29+BALANCING!R16</f>
        <v>9268221</v>
      </c>
      <c r="S29" s="52">
        <f>R29+BALANCING!S16</f>
        <v>11578921</v>
      </c>
      <c r="T29" s="52">
        <f>S29+BALANCING!T16</f>
        <v>11915481</v>
      </c>
      <c r="U29" s="52">
        <f>T29+BALANCING!U16</f>
        <v>12124731</v>
      </c>
      <c r="V29" s="52">
        <f>U29+BALANCING!V16</f>
        <v>12124731</v>
      </c>
      <c r="W29" s="52">
        <f>V29+BALANCING!W16</f>
        <v>12638371</v>
      </c>
      <c r="X29" s="52">
        <f>W29+BALANCING!X16</f>
        <v>12768371</v>
      </c>
      <c r="Y29" s="52">
        <f>X29+BALANCING!Y16</f>
        <v>13828131</v>
      </c>
      <c r="Z29" s="52">
        <f>Y29+BALANCING!Z16</f>
        <v>13828131</v>
      </c>
      <c r="AA29" s="52">
        <f>Z29+BALANCING!AA16</f>
        <v>14416381</v>
      </c>
      <c r="AB29" s="52">
        <f>AA29+BALANCING!AB16</f>
        <v>14702681</v>
      </c>
      <c r="AC29" s="52">
        <f>AB29+BALANCING!AC16</f>
        <v>14917141</v>
      </c>
      <c r="AD29" s="52">
        <f>AC29+BALANCING!AD16</f>
        <v>15820591</v>
      </c>
      <c r="AE29" s="52">
        <f>AD29+BALANCING!AE16</f>
        <v>16204111</v>
      </c>
      <c r="AF29" s="52">
        <f>AE29+BALANCING!AF16</f>
        <v>16236941</v>
      </c>
      <c r="AG29" s="52">
        <f>AF29+BALANCING!AG16</f>
        <v>17227928</v>
      </c>
      <c r="AH29" s="98">
        <f>AG29</f>
        <v>17227928</v>
      </c>
      <c r="AI29" s="82">
        <f>BALANCING!AI16</f>
        <v>305658</v>
      </c>
      <c r="AJ29" s="82">
        <f>AI29+BALANCING!AJ16</f>
        <v>501158</v>
      </c>
      <c r="AK29" s="82">
        <f>AJ29+BALANCING!AK16</f>
        <v>1406808</v>
      </c>
      <c r="AL29" s="82">
        <f>AK29+BALANCING!AL16</f>
        <v>1774408</v>
      </c>
      <c r="AM29" s="82">
        <f>AL29+BALANCING!AM16</f>
        <v>1952628</v>
      </c>
      <c r="AN29" s="82">
        <f>AM29+BALANCING!AN16</f>
        <v>2264678</v>
      </c>
      <c r="AO29" s="82">
        <f>AN29+BALANCING!AO16</f>
        <v>2825528</v>
      </c>
      <c r="AP29" s="82">
        <f>AO29+BALANCING!AP16</f>
        <v>3060028</v>
      </c>
      <c r="AQ29" s="82">
        <f>AP29+BALANCING!AQ16</f>
        <v>3883528</v>
      </c>
      <c r="AR29" s="82">
        <f>AQ29+BALANCING!AR16</f>
        <v>4970578</v>
      </c>
      <c r="AS29" s="82">
        <f>AR29+BALANCING!AS16</f>
        <v>4970578</v>
      </c>
      <c r="AT29" s="82">
        <f>AS29+BALANCING!AT16</f>
        <v>4970578</v>
      </c>
      <c r="AU29" s="82">
        <f>AT29+BALANCING!AU16</f>
        <v>4970578</v>
      </c>
      <c r="AV29" s="82">
        <f>AU29+BALANCING!AV16</f>
        <v>5763078</v>
      </c>
      <c r="AW29" s="82">
        <f>AV29+BALANCING!AW16</f>
        <v>6106078</v>
      </c>
      <c r="AX29" s="82">
        <f>AW29+BALANCING!AX16</f>
        <v>6473278</v>
      </c>
      <c r="AY29" s="82">
        <f>AX29+BALANCING!AY16</f>
        <v>6672278</v>
      </c>
      <c r="AZ29" s="82">
        <f>AY29+BALANCING!AZ16</f>
        <v>7218608</v>
      </c>
      <c r="BA29" s="82">
        <f>AZ29+BALANCING!BA16</f>
        <v>7562208</v>
      </c>
      <c r="BB29" s="82">
        <f>BA29+BALANCING!BB16</f>
        <v>7562208</v>
      </c>
      <c r="BC29" s="82">
        <f>BB29+BALANCING!BC16</f>
        <v>8098958</v>
      </c>
      <c r="BD29" s="82">
        <f>BC29+BALANCING!BD16</f>
        <v>8637958</v>
      </c>
      <c r="BE29" s="82">
        <f>BD29+BALANCING!BE16</f>
        <v>8717958</v>
      </c>
      <c r="BF29" s="82">
        <f>BE29+BALANCING!BF16</f>
        <v>9006458</v>
      </c>
      <c r="BG29" s="82">
        <f>BF29+BALANCING!BG16</f>
        <v>9056458</v>
      </c>
      <c r="BH29" s="82">
        <f>BG29+BALANCING!BH16</f>
        <v>9252458</v>
      </c>
      <c r="BI29" s="82">
        <f>BH29+BALANCING!BI16</f>
        <v>9476358</v>
      </c>
      <c r="BJ29" s="82">
        <f>BI29+BALANCING!BJ16</f>
        <v>10561858</v>
      </c>
      <c r="BK29" s="82">
        <f>BJ29+BALANCING!BK16</f>
        <v>11452858</v>
      </c>
      <c r="BL29" s="82">
        <f>BK29+BALANCING!BL16</f>
        <v>11626108</v>
      </c>
      <c r="BM29" s="106">
        <v>0</v>
      </c>
      <c r="BN29" s="82">
        <f>BM29+BALANCING!BN16</f>
        <v>237000</v>
      </c>
      <c r="BO29" s="82">
        <f>BN29+BALANCING!BO16</f>
        <v>484500</v>
      </c>
      <c r="BP29" s="82">
        <f>BO29+BALANCING!BP16</f>
        <v>1095970</v>
      </c>
      <c r="BQ29" s="82">
        <f>BP29+BALANCING!BQ16</f>
        <v>1095970</v>
      </c>
      <c r="BR29" s="82">
        <f>BQ29+BALANCING!BR16</f>
        <v>3571970</v>
      </c>
      <c r="BS29" s="82">
        <f>BR29+BALANCING!BS16</f>
        <v>3760390</v>
      </c>
      <c r="BT29" s="82">
        <f>BS29+BALANCING!BT16</f>
        <v>4738580</v>
      </c>
      <c r="BU29" s="82">
        <f>BT29+BALANCING!BU16</f>
        <v>5153670</v>
      </c>
      <c r="BV29" s="82">
        <f>BU29+BALANCING!BV16</f>
        <v>7059420</v>
      </c>
      <c r="BW29" s="82">
        <f>BV29+BALANCING!BW16</f>
        <v>7754920</v>
      </c>
      <c r="BX29" s="82">
        <f>BW29+BALANCING!BX16</f>
        <v>8574200</v>
      </c>
      <c r="BY29" s="82">
        <f>BX29+BALANCING!BY16</f>
        <v>8574200</v>
      </c>
      <c r="BZ29" s="82">
        <f>BY29+BALANCING!BZ16</f>
        <v>9265067</v>
      </c>
      <c r="CA29" s="82">
        <f>BZ29+BALANCING!CA16</f>
        <v>10134119</v>
      </c>
      <c r="CB29" s="82">
        <f>CA29+BALANCING!CB16</f>
        <v>10762119</v>
      </c>
      <c r="CC29" s="82">
        <f>CB29+BALANCING!CC16</f>
        <v>11029619</v>
      </c>
      <c r="CD29" s="82">
        <f>CC29+BALANCING!CD16</f>
        <v>11416219</v>
      </c>
      <c r="CE29" s="82">
        <f>CD29+BALANCING!CE16</f>
        <v>13630124</v>
      </c>
      <c r="CF29" s="82">
        <f>CE29+BALANCING!CF16</f>
        <v>13630124</v>
      </c>
      <c r="CG29" s="82">
        <f>CF29+BALANCING!CG16</f>
        <v>14127824</v>
      </c>
      <c r="CH29" s="82">
        <f>CG29+BALANCING!CH16</f>
        <v>14187824</v>
      </c>
      <c r="CI29" s="82">
        <f>CH29+BALANCING!CI16</f>
        <v>14297824</v>
      </c>
      <c r="CJ29" s="82">
        <f>CI29+BALANCING!CJ16</f>
        <v>14327824</v>
      </c>
      <c r="CK29" s="82">
        <f>CJ29+BALANCING!CK16</f>
        <v>14327824</v>
      </c>
      <c r="CL29" s="82">
        <f>CK29+BALANCING!CL16</f>
        <v>14966974</v>
      </c>
      <c r="CM29" s="82">
        <f>CL29+BALANCING!CM16</f>
        <v>15116974</v>
      </c>
      <c r="CN29" s="82">
        <f>CM29+BALANCING!CN16</f>
        <v>15488224</v>
      </c>
      <c r="CO29" s="82">
        <f>CN29+BALANCING!CO16</f>
        <v>15488224</v>
      </c>
      <c r="CP29" s="82">
        <f>CO29+BALANCING!CP16</f>
        <v>15508224</v>
      </c>
      <c r="CQ29" s="82">
        <f>CP29+BALANCING!CQ16</f>
        <v>15538224</v>
      </c>
      <c r="CR29" s="82">
        <f>CQ29+BALANCING!CR16</f>
        <v>15835724</v>
      </c>
      <c r="CT29" s="82">
        <f>CS29+BALANCING!CT16</f>
        <v>207800</v>
      </c>
      <c r="CU29" s="82">
        <f>CT29+BALANCING!CU16</f>
        <v>1305690</v>
      </c>
      <c r="CV29" s="82">
        <f>CU29+BALANCING!CV16</f>
        <v>1545190</v>
      </c>
      <c r="CW29" s="82">
        <f>CV29+BALANCING!CW16</f>
        <v>1854190</v>
      </c>
      <c r="CX29" s="82">
        <f>CW29+BALANCING!CX16</f>
        <v>2175940</v>
      </c>
      <c r="CY29" s="82">
        <f>CX29+BALANCING!CY16</f>
        <v>2750940</v>
      </c>
      <c r="CZ29" s="82">
        <f>CY29+BALANCING!CZ16</f>
        <v>4716219</v>
      </c>
      <c r="DA29" s="82">
        <f>CZ29+BALANCING!DA16</f>
        <v>5048662</v>
      </c>
      <c r="DB29" s="82">
        <f>DA29+BALANCING!DB16</f>
        <v>6637107</v>
      </c>
      <c r="DC29" s="82">
        <f>DB29+BALANCING!DC16</f>
        <v>7048607</v>
      </c>
      <c r="DD29" s="82">
        <f>DC29+BALANCING!DD16</f>
        <v>8320777</v>
      </c>
      <c r="DE29" s="82">
        <f>DD29+BALANCING!DE16</f>
        <v>8523777</v>
      </c>
      <c r="DF29" s="82">
        <f>DE29+BALANCING!DF16</f>
        <v>9023020</v>
      </c>
      <c r="DG29" s="82">
        <f>DF29+BALANCING!DG16</f>
        <v>9610099</v>
      </c>
      <c r="DH29" s="82">
        <f>DG29+BALANCING!DH16</f>
        <v>10718399</v>
      </c>
      <c r="DI29" s="82">
        <f>DH29+BALANCING!DI16</f>
        <v>10718399</v>
      </c>
      <c r="DJ29" s="82">
        <f>DI29+BALANCING!DJ16</f>
        <v>13055899</v>
      </c>
      <c r="DK29" s="82">
        <f>DJ29+BALANCING!DK16</f>
        <v>13714352</v>
      </c>
      <c r="DL29" s="82">
        <f>DK29+BALANCING!DL16</f>
        <v>14281352</v>
      </c>
      <c r="DM29" s="82">
        <f>DL29+BALANCING!DM16</f>
        <v>15260552</v>
      </c>
      <c r="DN29" s="82">
        <f>DM29+BALANCING!DN16</f>
        <v>15684902</v>
      </c>
      <c r="DO29" s="82">
        <f>DN29+BALANCING!DO16</f>
        <v>17810602</v>
      </c>
      <c r="DP29" s="82">
        <f>DO29+BALANCING!DP16</f>
        <v>18100852</v>
      </c>
      <c r="DQ29" s="82">
        <f>DP29+BALANCING!DQ16</f>
        <v>18100852</v>
      </c>
      <c r="DR29" s="82">
        <f>DQ29+BALANCING!DR16</f>
        <v>18100852</v>
      </c>
      <c r="DS29" s="82">
        <f>DR29+BALANCING!DS16</f>
        <v>18100852</v>
      </c>
      <c r="DT29" s="82">
        <f>DS29+BALANCING!DT16</f>
        <v>21745652</v>
      </c>
      <c r="DU29" s="82">
        <f>DT29+BALANCING!DU16</f>
        <v>22182152</v>
      </c>
      <c r="DV29" s="82">
        <f>DU29+BALANCING!DV16</f>
        <v>22182152</v>
      </c>
      <c r="DW29" s="82">
        <f>DV29+BALANCING!DW16</f>
        <v>22691552</v>
      </c>
      <c r="DX29" s="117"/>
      <c r="DY29" s="82">
        <f>DX29+BALANCING!DY16</f>
        <v>1108003</v>
      </c>
      <c r="DZ29" s="82">
        <f>DY29+BALANCING!DZ16</f>
        <v>2804003</v>
      </c>
      <c r="EA29" s="82">
        <f>DZ29+BALANCING!EA16</f>
        <v>3224003</v>
      </c>
      <c r="EB29" s="82">
        <f>EA29+BALANCING!EB16</f>
        <v>3324003</v>
      </c>
      <c r="EC29" s="82">
        <f>EB29+BALANCING!EC16</f>
        <v>3324003</v>
      </c>
      <c r="ED29" s="82">
        <f>EC29+BALANCING!ED16</f>
        <v>3974003</v>
      </c>
      <c r="EE29" s="82">
        <f>ED29+BALANCING!EE16</f>
        <v>4862903</v>
      </c>
      <c r="EF29" s="82">
        <f>EE29+BALANCING!EF16</f>
        <v>4862903</v>
      </c>
      <c r="EG29" s="82">
        <f>EF29+BALANCING!EG16</f>
        <v>5178153</v>
      </c>
      <c r="EH29" s="82">
        <f>EG29+BALANCING!EH16</f>
        <v>5281653</v>
      </c>
      <c r="EI29" s="82">
        <f>EH29+BALANCING!EI16</f>
        <v>6316653</v>
      </c>
      <c r="EJ29" s="82">
        <f>EI29+BALANCING!EJ16</f>
        <v>7865262</v>
      </c>
      <c r="EK29" s="82">
        <f>EJ29+BALANCING!EK16</f>
        <v>8513012</v>
      </c>
      <c r="EL29" s="82">
        <f>EK29+BALANCING!EL16</f>
        <v>8804012</v>
      </c>
      <c r="EM29" s="82">
        <f>EL29+BALANCING!EM16</f>
        <v>10647012</v>
      </c>
      <c r="EN29" s="82">
        <f>EM29+BALANCING!EN16</f>
        <v>11328012</v>
      </c>
      <c r="EO29" s="82">
        <f>EN29+BALANCING!EO16</f>
        <v>11529012</v>
      </c>
      <c r="EP29" s="82">
        <f>EO29+BALANCING!EP16</f>
        <v>11689012</v>
      </c>
      <c r="EQ29" s="82">
        <f>EP29+BALANCING!EQ16</f>
        <v>11931512</v>
      </c>
      <c r="ER29" s="82">
        <f>EQ29+BALANCING!ER16</f>
        <v>12513512</v>
      </c>
      <c r="ES29" s="82">
        <f>ER29+BALANCING!ES16</f>
        <v>14453512</v>
      </c>
      <c r="ET29" s="82">
        <f>ES29+BALANCING!ET16</f>
        <v>14553512</v>
      </c>
      <c r="EU29" s="82">
        <f>ET29+BALANCING!EU16</f>
        <v>14553512</v>
      </c>
      <c r="EV29" s="82">
        <f>EU29+BALANCING!EV16</f>
        <v>14553512</v>
      </c>
      <c r="EW29" s="82">
        <f>EV29+BALANCING!EW16</f>
        <v>14656472</v>
      </c>
      <c r="EX29" s="82">
        <f>EW29+BALANCING!EX16</f>
        <v>14688472</v>
      </c>
      <c r="EY29" s="82">
        <f>EX29+BALANCING!EY16</f>
        <v>14688472</v>
      </c>
      <c r="EZ29" s="82">
        <f>EY29+BALANCING!EZ16</f>
        <v>14688472</v>
      </c>
      <c r="FA29" s="82">
        <f>EZ29+BALANCING!FA16</f>
        <v>14688472</v>
      </c>
      <c r="FB29" s="82">
        <f>FA29+BALANCING!FB16</f>
        <v>15230972</v>
      </c>
      <c r="FC29" s="82">
        <f>FB29+BALANCING!FC16</f>
        <v>15570472</v>
      </c>
      <c r="FD29" s="126"/>
      <c r="FE29" s="82">
        <f>FD29+BALANCING!FE16</f>
        <v>339400</v>
      </c>
      <c r="FF29" s="82">
        <f>FE29+BALANCING!FF16</f>
        <v>2001300</v>
      </c>
      <c r="FG29" s="82">
        <f>FF29+BALANCING!FG16</f>
        <v>3813800</v>
      </c>
      <c r="FH29" s="82">
        <f>FG29+BALANCING!FH16</f>
        <v>4090800</v>
      </c>
      <c r="FI29" s="82">
        <f>FH29+BALANCING!FI16</f>
        <v>4090800</v>
      </c>
      <c r="FJ29" s="82">
        <f>FI29+BALANCING!FJ16</f>
        <v>5619700</v>
      </c>
      <c r="FK29" s="82">
        <f>FJ29+BALANCING!FK16</f>
        <v>5813700</v>
      </c>
      <c r="FL29" s="82">
        <f>FK29+BALANCING!FL16</f>
        <v>6007700</v>
      </c>
      <c r="FM29" s="82">
        <f>FL29+BALANCING!FM16</f>
        <v>6553062</v>
      </c>
      <c r="FN29" s="82">
        <f>FM29+BALANCING!FN16</f>
        <v>6553062</v>
      </c>
      <c r="FO29" s="82">
        <f>FN29+BALANCING!FO16</f>
        <v>6553062</v>
      </c>
      <c r="FP29" s="82">
        <f>FO29+BALANCING!FP16</f>
        <v>9002312</v>
      </c>
      <c r="FQ29" s="82">
        <f>FP29+BALANCING!FQ16</f>
        <v>9002312</v>
      </c>
      <c r="FR29" s="82">
        <f>FQ29+BALANCING!FR16</f>
        <v>9196312</v>
      </c>
      <c r="FS29" s="82">
        <f>FR29+BALANCING!FS16</f>
        <v>11104562</v>
      </c>
      <c r="FT29" s="82">
        <f>FS29+BALANCING!FT16</f>
        <v>11104562</v>
      </c>
      <c r="FU29" s="82">
        <f>FT29+BALANCING!FU16</f>
        <v>11279562</v>
      </c>
      <c r="FV29" s="82">
        <f>FU29+BALANCING!FV16</f>
        <v>11724812</v>
      </c>
      <c r="FW29" s="82">
        <f>FV29+BALANCING!FW16</f>
        <v>11724812</v>
      </c>
      <c r="FX29" s="82">
        <f>FW29+BALANCING!FX16</f>
        <v>11824812</v>
      </c>
      <c r="FY29" s="82">
        <f>FX29+BALANCING!FY16</f>
        <v>12039562</v>
      </c>
      <c r="FZ29" s="82">
        <f>FY29+BALANCING!FZ16</f>
        <v>12039562</v>
      </c>
      <c r="GA29" s="82">
        <f>FZ29+BALANCING!GA16</f>
        <v>14717429</v>
      </c>
      <c r="GB29" s="82">
        <f>GA29+BALANCING!GB16</f>
        <v>14717429</v>
      </c>
      <c r="GC29" s="82">
        <f>GB29+BALANCING!GC16</f>
        <v>14844429</v>
      </c>
      <c r="GD29" s="82">
        <f>GC29+BALANCING!GD16</f>
        <v>15049429</v>
      </c>
      <c r="GE29" s="82">
        <f>GD29+BALANCING!GE16</f>
        <v>16776809</v>
      </c>
      <c r="GF29" s="82">
        <f>GE29+BALANCING!GF16</f>
        <v>16776809</v>
      </c>
      <c r="GG29" s="82">
        <f>GF29+BALANCING!GG16</f>
        <v>17095059</v>
      </c>
      <c r="GH29" s="82">
        <f>GG29+BALANCING!GH16</f>
        <v>18695059</v>
      </c>
      <c r="GI29" s="82">
        <f>GH29+BALANCING!GI16</f>
        <v>19034559</v>
      </c>
      <c r="GJ29" s="130"/>
      <c r="GK29" s="110">
        <f>BALANCING!GK16</f>
        <v>1635200</v>
      </c>
      <c r="GL29" s="110">
        <f>GK29+BALANCING!GL16</f>
        <v>3258730</v>
      </c>
      <c r="GM29" s="110">
        <f>GL29+BALANCING!GM16</f>
        <v>3264020</v>
      </c>
      <c r="GN29" s="110">
        <f>GM29+BALANCING!GN16</f>
        <v>4155002</v>
      </c>
      <c r="GO29" s="110">
        <f>GN29+BALANCING!GO16</f>
        <v>5205902</v>
      </c>
      <c r="GP29" s="110">
        <f>GO29+BALANCING!GP16</f>
        <v>5788402</v>
      </c>
      <c r="GQ29" s="110">
        <f>GP29+BALANCING!GQ16</f>
        <v>7785102</v>
      </c>
      <c r="GR29" s="110">
        <f>GQ29+BALANCING!GR16</f>
        <v>8314071</v>
      </c>
      <c r="GS29" s="110">
        <f>GR29+BALANCING!GS16</f>
        <v>8656378</v>
      </c>
      <c r="GT29" s="110">
        <f>GS29+BALANCING!GT16</f>
        <v>10658878</v>
      </c>
      <c r="GU29" s="110">
        <f>GT29+BALANCING!GU16</f>
        <v>10921378</v>
      </c>
      <c r="GV29" s="110">
        <f>GU29+BALANCING!GV16</f>
        <v>11246328</v>
      </c>
      <c r="GW29" s="110">
        <f>GV29+BALANCING!GW16</f>
        <v>11346328</v>
      </c>
      <c r="GX29" s="110">
        <f>GW29+BALANCING!GX16</f>
        <v>13328728</v>
      </c>
      <c r="GY29" s="110">
        <f>GX29+BALANCING!GY16</f>
        <v>13677928</v>
      </c>
      <c r="GZ29" s="110">
        <f>GY29+BALANCING!GZ16</f>
        <v>13968928</v>
      </c>
      <c r="HA29" s="110">
        <f>GZ29+BALANCING!HA16</f>
        <v>14688928</v>
      </c>
      <c r="HB29" s="110">
        <f>HA29+BALANCING!HB16</f>
        <v>14788928</v>
      </c>
      <c r="HC29" s="110">
        <f>HB29+BALANCING!HC16</f>
        <v>16489428</v>
      </c>
      <c r="HD29" s="110">
        <f>HC29+BALANCING!HD16</f>
        <v>17131778</v>
      </c>
      <c r="HE29" s="110">
        <f>HD29+BALANCING!HE16</f>
        <v>17390328</v>
      </c>
      <c r="HF29" s="110">
        <f>HE29+BALANCING!HF16</f>
        <v>17590328</v>
      </c>
      <c r="HG29" s="110">
        <f>HF29+BALANCING!HG16</f>
        <v>17787328</v>
      </c>
      <c r="HH29" s="110">
        <f>HG29+BALANCING!HH16</f>
        <v>20069828</v>
      </c>
      <c r="HI29" s="110">
        <f>HH29+BALANCING!HI16</f>
        <v>20069828</v>
      </c>
      <c r="HJ29" s="110">
        <f>HI29+BALANCING!HJ16</f>
        <v>21025343</v>
      </c>
      <c r="HK29" s="110">
        <f>HJ29+BALANCING!HK16</f>
        <v>21025343</v>
      </c>
      <c r="HL29" s="110">
        <f>HK29+BALANCING!HL16</f>
        <v>21445843</v>
      </c>
      <c r="HM29" s="110">
        <f>HL29+BALANCING!HM16</f>
        <v>22372843</v>
      </c>
      <c r="HN29" s="130"/>
      <c r="HO29" s="110">
        <f>HN29+BALANCING!HO16</f>
        <v>1939453</v>
      </c>
      <c r="HP29" s="110">
        <f>HO29+BALANCING!HP16</f>
        <v>2327453</v>
      </c>
      <c r="HQ29" s="110">
        <f>HP29+BALANCING!HQ16</f>
        <v>3327453</v>
      </c>
      <c r="HR29" s="110">
        <f>HQ29+BALANCING!HR16</f>
        <v>5916779</v>
      </c>
      <c r="HS29" s="110">
        <f>HR29+BALANCING!HS16</f>
        <v>7080929</v>
      </c>
      <c r="HT29" s="110">
        <f>HS29+BALANCING!HT16</f>
        <v>7130929</v>
      </c>
      <c r="HU29" s="110">
        <f>HT29+BALANCING!HU16</f>
        <v>7497679</v>
      </c>
      <c r="HV29" s="110">
        <f>HU29+BALANCING!HV16</f>
        <v>8275543</v>
      </c>
      <c r="HW29" s="110">
        <f>HV29+BALANCING!HW16</f>
        <v>10789193</v>
      </c>
      <c r="HX29" s="110">
        <f>HW29+BALANCING!HX16</f>
        <v>10789193</v>
      </c>
      <c r="HY29" s="110">
        <f>HX29+BALANCING!HY16</f>
        <v>12079193</v>
      </c>
      <c r="HZ29" s="110">
        <f>HY29+BALANCING!HZ16</f>
        <v>12079193</v>
      </c>
      <c r="IA29" s="110">
        <f>HZ29+BALANCING!IA16</f>
        <v>12329193</v>
      </c>
      <c r="IB29" s="110">
        <f>IA29+BALANCING!IB16</f>
        <v>13616530</v>
      </c>
      <c r="IC29" s="110">
        <f>IB29+BALANCING!IC16</f>
        <v>14068780</v>
      </c>
      <c r="ID29" s="110">
        <f>IC29+BALANCING!ID16</f>
        <v>14367780</v>
      </c>
      <c r="IE29" s="110">
        <f>ID29+BALANCING!IE16</f>
        <v>14766280</v>
      </c>
      <c r="IF29" s="110">
        <f>IE29+BALANCING!IF16</f>
        <v>16244280</v>
      </c>
      <c r="IG29" s="110">
        <f>IF29+BALANCING!IG16</f>
        <v>17476280</v>
      </c>
      <c r="IH29" s="110">
        <f>IG29+BALANCING!IH16</f>
        <v>17875810</v>
      </c>
      <c r="II29" s="110">
        <f>IH29+BALANCING!II16</f>
        <v>20111260</v>
      </c>
      <c r="IJ29" s="110">
        <f>II29+BALANCING!IJ16</f>
        <v>20432260</v>
      </c>
      <c r="IK29" s="110">
        <f>IJ29+BALANCING!IK16</f>
        <v>20529260</v>
      </c>
      <c r="IL29" s="110">
        <f>IK29+BALANCING!IL16</f>
        <v>20529260</v>
      </c>
      <c r="IM29" s="110">
        <f>IL29+BALANCING!IM16</f>
        <v>21995260</v>
      </c>
      <c r="IN29" s="110">
        <f>IM29+BALANCING!IN16</f>
        <v>22436260</v>
      </c>
      <c r="IO29" s="110">
        <f>IN29+BALANCING!IO16</f>
        <v>22660477</v>
      </c>
      <c r="IP29" s="110">
        <f>IO29+BALANCING!IP16</f>
        <v>22910477</v>
      </c>
      <c r="IQ29" s="110">
        <f>IP29+BALANCING!IQ16</f>
        <v>24610477</v>
      </c>
      <c r="IR29" s="110">
        <f>IQ29+BALANCING!IR16</f>
        <v>25350477</v>
      </c>
      <c r="IS29" s="110">
        <f>IR29+BALANCING!IS16</f>
        <v>25450477</v>
      </c>
      <c r="IT29" s="130"/>
      <c r="IU29" s="110">
        <f>IT29+BALANCING!IU16</f>
        <v>1370750</v>
      </c>
      <c r="IV29" s="110">
        <f>IU29+BALANCING!IV16</f>
        <v>3969558</v>
      </c>
      <c r="IW29" s="110">
        <f>IV29+BALANCING!IW16</f>
        <v>4249558</v>
      </c>
      <c r="IX29" s="110">
        <f>IW29+BALANCING!IX16</f>
        <v>5978522</v>
      </c>
      <c r="IY29" s="110">
        <f>IX29+BALANCING!IY16</f>
        <v>8043664</v>
      </c>
      <c r="IZ29" s="110">
        <f>IY29+BALANCING!IZ16</f>
        <v>8662471</v>
      </c>
      <c r="JA29" s="110">
        <f>IZ29+BALANCING!JA16</f>
        <v>8692471</v>
      </c>
      <c r="JB29" s="110">
        <f>JA29+BALANCING!JB16</f>
        <v>11312221</v>
      </c>
      <c r="JC29" s="110">
        <f>JB29+BALANCING!JC16</f>
        <v>11616921</v>
      </c>
      <c r="JD29" s="110">
        <f>JC29+BALANCING!JD16</f>
        <v>11816921</v>
      </c>
      <c r="JE29" s="110">
        <f>JD29+BALANCING!JE16</f>
        <v>11886921</v>
      </c>
      <c r="JF29" s="110">
        <f>JE29+BALANCING!JF16</f>
        <v>12281371</v>
      </c>
      <c r="JG29" s="110">
        <f>JF29+BALANCING!JG16</f>
        <v>15661336</v>
      </c>
      <c r="JH29" s="110">
        <f>JG29+BALANCING!JH16</f>
        <v>15975336</v>
      </c>
      <c r="JI29" s="110">
        <f>JH29+BALANCING!JI16</f>
        <v>16375336</v>
      </c>
      <c r="JJ29" s="110">
        <f>JI29+BALANCING!JJ16</f>
        <v>16375336</v>
      </c>
      <c r="JK29" s="110">
        <f>JJ29+BALANCING!JK16</f>
        <v>18663178</v>
      </c>
      <c r="JL29" s="110">
        <f>JK29+BALANCING!JL16</f>
        <v>18913178</v>
      </c>
      <c r="JM29" s="110">
        <f>JL29+BALANCING!JM16</f>
        <v>19453078</v>
      </c>
      <c r="JN29" s="110">
        <f>JM29+BALANCING!JN16</f>
        <v>19453078</v>
      </c>
      <c r="JO29" s="110">
        <f>JN29+BALANCING!JO16</f>
        <v>19453078</v>
      </c>
      <c r="JP29" s="110">
        <f>JO29+BALANCING!JP16</f>
        <v>22896378</v>
      </c>
      <c r="JQ29" s="110">
        <f>JP29+BALANCING!JQ16</f>
        <v>23170828</v>
      </c>
      <c r="JR29" s="110">
        <f>JQ29+BALANCING!JR16</f>
        <v>23308828</v>
      </c>
      <c r="JS29" s="110">
        <f>JR29+BALANCING!JS16</f>
        <v>23752828</v>
      </c>
      <c r="JT29" s="110">
        <f>JS29+BALANCING!JT16</f>
        <v>24537190</v>
      </c>
      <c r="JU29" s="110">
        <f>JT29+BALANCING!JU16</f>
        <v>24537190</v>
      </c>
      <c r="JV29" s="110">
        <f>JU29+BALANCING!JV16</f>
        <v>24537190</v>
      </c>
      <c r="JW29" s="110">
        <f>JV29+BALANCING!JW16</f>
        <v>25587190</v>
      </c>
      <c r="JX29" s="110">
        <f>JW29+BALANCING!JX16</f>
        <v>25881590</v>
      </c>
      <c r="JY29" s="133"/>
      <c r="JZ29" s="110">
        <f>JY29+BALANCING!JZ16</f>
        <v>284720</v>
      </c>
      <c r="KA29" s="110">
        <f>JZ29+BALANCING!KA16</f>
        <v>1779720</v>
      </c>
      <c r="KB29" s="110">
        <f>KA29+BALANCING!KB16</f>
        <v>3075026</v>
      </c>
      <c r="KC29" s="110">
        <f>KB29+BALANCING!KC16</f>
        <v>3120026</v>
      </c>
      <c r="KD29" s="110">
        <f>KC29+BALANCING!KD16</f>
        <v>3170026</v>
      </c>
      <c r="KE29" s="110">
        <f>KD29+BALANCING!KE16</f>
        <v>3599995</v>
      </c>
      <c r="KF29" s="110">
        <f>KE29+BALANCING!KF16</f>
        <v>4255657</v>
      </c>
      <c r="KG29" s="110">
        <f>KF29+BALANCING!KG16</f>
        <v>4255657</v>
      </c>
      <c r="KH29" s="110">
        <f>KG29+BALANCING!KH16</f>
        <v>5043001</v>
      </c>
      <c r="KI29" s="110">
        <f>KH29+BALANCING!KI16</f>
        <v>5338992</v>
      </c>
      <c r="KJ29" s="110">
        <f>KI29+BALANCING!KJ16</f>
        <v>5583492</v>
      </c>
      <c r="KK29" s="110">
        <f>KJ29+BALANCING!KK16</f>
        <v>5583492</v>
      </c>
      <c r="KL29" s="110">
        <f>KK29+BALANCING!KL16</f>
        <v>11381142</v>
      </c>
      <c r="KM29" s="110">
        <f>KL29+BALANCING!KM16</f>
        <v>11467192</v>
      </c>
      <c r="KN29" s="110">
        <f>KM29+BALANCING!KN16</f>
        <v>12181999</v>
      </c>
      <c r="KO29" s="110">
        <f>KN29+BALANCING!KO16</f>
        <v>12590768</v>
      </c>
      <c r="KP29" s="110">
        <f>KO29+BALANCING!KP16</f>
        <v>12913508</v>
      </c>
      <c r="KQ29" s="110">
        <f>KP29+BALANCING!KQ16</f>
        <v>12924508</v>
      </c>
      <c r="KR29" s="110">
        <f>KQ29+BALANCING!KR16</f>
        <v>12924508</v>
      </c>
      <c r="KS29" s="110">
        <f>KR29+BALANCING!KS16</f>
        <v>13875865</v>
      </c>
      <c r="KT29" s="110">
        <f>KS29+BALANCING!KT16</f>
        <v>13914985</v>
      </c>
      <c r="KU29" s="110">
        <f>KT29+BALANCING!KU16</f>
        <v>15498155</v>
      </c>
      <c r="KV29" s="110">
        <f>KU29+BALANCING!KV16</f>
        <v>16398339</v>
      </c>
      <c r="KW29" s="110">
        <f>KV29+BALANCING!KW16</f>
        <v>16815309</v>
      </c>
      <c r="KX29" s="110">
        <f>KW29+BALANCING!KX16</f>
        <v>17415309</v>
      </c>
      <c r="KY29" s="110">
        <f>KX29+BALANCING!KY16</f>
        <v>17480429</v>
      </c>
      <c r="KZ29" s="110">
        <f>KY29+BALANCING!KZ16</f>
        <v>17778669</v>
      </c>
      <c r="LA29" s="110">
        <f>KZ29+BALANCING!LA16</f>
        <v>18421935</v>
      </c>
      <c r="LB29" s="110">
        <f>LA29+BALANCING!LB16</f>
        <v>19336474</v>
      </c>
      <c r="LC29" s="110">
        <f>LB29+BALANCING!LC16</f>
        <v>19841474</v>
      </c>
      <c r="LD29" s="110">
        <f>LC29+BALANCING!LD16</f>
        <v>20285824</v>
      </c>
      <c r="LE29" s="130"/>
      <c r="LF29" s="110">
        <f>LE29+BALANCING!LF16</f>
        <v>1045950</v>
      </c>
      <c r="LG29" s="110">
        <f>LF29+BALANCING!LG16</f>
        <v>1249650</v>
      </c>
      <c r="LH29" s="110">
        <f>LG29+BALANCING!LH16</f>
        <v>2002714</v>
      </c>
      <c r="LI29" s="110">
        <f>LH29+BALANCING!LI16</f>
        <v>3220174</v>
      </c>
      <c r="LJ29" s="110">
        <f>LI29+BALANCING!LJ16</f>
        <v>3501794</v>
      </c>
      <c r="LK29" s="110">
        <f>LJ29+BALANCING!LK16</f>
        <v>3540594</v>
      </c>
      <c r="LL29" s="110">
        <f>LK29+BALANCING!LL16</f>
        <v>4097344</v>
      </c>
      <c r="LM29" s="110">
        <f>LL29+BALANCING!LM16</f>
        <v>4638736</v>
      </c>
      <c r="LN29" s="110">
        <f>LM29+BALANCING!LN16</f>
        <v>4677536</v>
      </c>
      <c r="LO29" s="110">
        <f>LN29+BALANCING!LO16</f>
        <v>4837586</v>
      </c>
      <c r="LP29" s="110">
        <f>LO29+BALANCING!LP16</f>
        <v>5580439</v>
      </c>
      <c r="LQ29" s="110">
        <f>LP29+BALANCING!LQ16</f>
        <v>6372489</v>
      </c>
      <c r="LR29" s="110">
        <f>LQ29+BALANCING!LR16</f>
        <v>6617486</v>
      </c>
      <c r="LS29" s="110">
        <f>LR29+BALANCING!LS16</f>
        <v>6695086</v>
      </c>
      <c r="LT29" s="110">
        <f>LS29+BALANCING!LT16</f>
        <v>7276836</v>
      </c>
      <c r="LU29" s="110">
        <f>LT29+BALANCING!LU16</f>
        <v>7276836</v>
      </c>
      <c r="LV29" s="110">
        <f>LU29+BALANCING!LV16</f>
        <v>7844098</v>
      </c>
      <c r="LW29" s="110">
        <f>LV29+BALANCING!LW16</f>
        <v>8611962</v>
      </c>
      <c r="LX29" s="110">
        <f>LW29+BALANCING!LX16</f>
        <v>8650762</v>
      </c>
      <c r="LY29" s="110">
        <f>LX29+BALANCING!LY16</f>
        <v>9281887</v>
      </c>
      <c r="LZ29" s="110">
        <f>LY29+BALANCING!LZ16</f>
        <v>9942707</v>
      </c>
      <c r="MA29" s="110">
        <f>LZ29+BALANCING!MA16</f>
        <v>10081507</v>
      </c>
      <c r="MB29" s="110">
        <f>MA29+BALANCING!MB16</f>
        <v>10171507</v>
      </c>
      <c r="MC29" s="110">
        <f>MB29+BALANCING!MC16</f>
        <v>10171507</v>
      </c>
      <c r="MD29" s="110">
        <f>MC29+BALANCING!MD16</f>
        <v>10171507</v>
      </c>
      <c r="ME29" s="110">
        <f>MD29+BALANCING!ME16</f>
        <v>10750369</v>
      </c>
      <c r="MF29" s="110">
        <f>ME29+BALANCING!MF16</f>
        <v>10790369</v>
      </c>
      <c r="MG29" s="110">
        <f>MF29+BALANCING!MG16</f>
        <v>11244869</v>
      </c>
      <c r="MH29" s="110">
        <f>MG29+BALANCING!MH16</f>
        <v>11311369</v>
      </c>
      <c r="MI29" s="110">
        <f>MH29+BALANCING!MI16</f>
        <v>11977029</v>
      </c>
      <c r="MJ29" s="133"/>
      <c r="MK29" s="110">
        <f>MJ29+BALANCING!MK16</f>
        <v>720950</v>
      </c>
      <c r="ML29" s="110">
        <f>MK29+BALANCING!ML16</f>
        <v>1254500</v>
      </c>
      <c r="MM29" s="110">
        <f>ML29+BALANCING!MM16</f>
        <v>1347400</v>
      </c>
      <c r="MN29" s="110">
        <f>MM29+BALANCING!MN16</f>
        <v>1347400</v>
      </c>
      <c r="MO29" s="110">
        <f>MN29+BALANCING!MO16</f>
        <v>1717850</v>
      </c>
      <c r="MP29" s="110">
        <f>MO29+BALANCING!MP16</f>
        <v>1757850</v>
      </c>
      <c r="MQ29" s="110">
        <f>MP29+BALANCING!MQ16</f>
        <v>2384532</v>
      </c>
      <c r="MR29" s="110">
        <f>MQ29+BALANCING!MR16</f>
        <v>2675482</v>
      </c>
      <c r="MS29" s="110">
        <f>MR29+BALANCING!MS16</f>
        <v>2985482</v>
      </c>
      <c r="MT29" s="110">
        <f>MS29+BALANCING!MT16</f>
        <v>3258912</v>
      </c>
      <c r="MU29" s="110">
        <f>MT29+BALANCING!MU16</f>
        <v>3736912</v>
      </c>
      <c r="MV29" s="110">
        <f>MU29+BALANCING!MV16</f>
        <v>3776912</v>
      </c>
      <c r="MW29" s="110">
        <f>MV29+BALANCING!MW16</f>
        <v>4335912</v>
      </c>
      <c r="MX29" s="110">
        <f>MW29+BALANCING!MX16</f>
        <v>4461912</v>
      </c>
      <c r="MY29" s="110">
        <f>MX29+BALANCING!MY16</f>
        <v>4571912</v>
      </c>
      <c r="MZ29" s="110">
        <f>MY29+BALANCING!MZ16</f>
        <v>4902862</v>
      </c>
      <c r="NA29" s="110">
        <f>MZ29+BALANCING!NA16</f>
        <v>4992862</v>
      </c>
      <c r="NB29" s="110">
        <f>NA29+BALANCING!NB16</f>
        <v>5353587</v>
      </c>
      <c r="NC29" s="110">
        <f>NB29+BALANCING!NC16</f>
        <v>6095849</v>
      </c>
      <c r="ND29" s="110">
        <f>NC29+BALANCING!ND16</f>
        <v>6095849</v>
      </c>
      <c r="NE29" s="110">
        <f>ND29+BALANCING!NE16</f>
        <v>6535849</v>
      </c>
      <c r="NF29" s="110">
        <f>NE29+BALANCING!NF16</f>
        <v>7029599</v>
      </c>
      <c r="NG29" s="110">
        <f>NF29+BALANCING!NG16</f>
        <v>7069599</v>
      </c>
      <c r="NH29" s="110">
        <f>NG29+BALANCING!NH16</f>
        <v>7069599</v>
      </c>
      <c r="NI29" s="110">
        <f>NH29+BALANCING!NI16</f>
        <v>7089599</v>
      </c>
      <c r="NJ29" s="110">
        <f>NI29+BALANCING!NJ16</f>
        <v>7621101</v>
      </c>
      <c r="NK29" s="110">
        <f>NJ29+BALANCING!NK16</f>
        <v>8021101</v>
      </c>
      <c r="NL29" s="110">
        <f>NK29+BALANCING!NL16</f>
        <v>8021101</v>
      </c>
      <c r="NM29" s="110">
        <f>NL29+BALANCING!NM16</f>
        <v>8320943</v>
      </c>
      <c r="NN29" s="110">
        <f>NM29+BALANCING!NN16</f>
        <v>8340943</v>
      </c>
      <c r="NO29" s="110">
        <f>NN29+BALANCING!NO16</f>
        <v>8663281</v>
      </c>
      <c r="NP29" s="133"/>
      <c r="NQ29" s="110">
        <f>NP29+BALANCING!NQ16</f>
        <v>0</v>
      </c>
      <c r="NR29" s="110">
        <f>NQ29+BALANCING!NR16</f>
        <v>686000</v>
      </c>
      <c r="NS29" s="110">
        <f>NR29+BALANCING!NS16</f>
        <v>876000</v>
      </c>
      <c r="NT29" s="110">
        <f>NS29+BALANCING!NT16</f>
        <v>941000</v>
      </c>
      <c r="NU29" s="110">
        <f>NT29+BALANCING!NU16</f>
        <v>941000</v>
      </c>
      <c r="NV29" s="110">
        <f>NU29+BALANCING!NV16</f>
        <v>1281042</v>
      </c>
      <c r="NW29" s="110">
        <f>NV29+BALANCING!NW16</f>
        <v>1654292</v>
      </c>
      <c r="NX29" s="110">
        <f>NW29+BALANCING!NX16</f>
        <v>2624708</v>
      </c>
      <c r="NY29" s="110">
        <f>NX29+BALANCING!NY16</f>
        <v>3161734</v>
      </c>
      <c r="NZ29" s="110">
        <f>NY29+BALANCING!NZ16</f>
        <v>3161734</v>
      </c>
      <c r="OA29" s="110">
        <f>NZ29+BALANCING!OA16</f>
        <v>3371442</v>
      </c>
      <c r="OB29" s="110">
        <f>OA29+BALANCING!OB16</f>
        <v>3701442</v>
      </c>
      <c r="OC29" s="110">
        <f>OB29+BALANCING!OC16</f>
        <v>4113804</v>
      </c>
      <c r="OD29" s="110">
        <f>OC29+BALANCING!OD16</f>
        <v>4219804</v>
      </c>
      <c r="OE29" s="110">
        <f>OD29+BALANCING!OE16</f>
        <v>4249804</v>
      </c>
      <c r="OF29" s="110">
        <f>OE29+BALANCING!OF16</f>
        <v>4509804</v>
      </c>
      <c r="OG29" s="110">
        <f>OF29+BALANCING!OG16</f>
        <v>4609804</v>
      </c>
      <c r="OH29" s="110">
        <f>OG29+BALANCING!OH16</f>
        <v>5022126</v>
      </c>
      <c r="OI29" s="110">
        <f>OH29+BALANCING!OI16</f>
        <v>5022126</v>
      </c>
      <c r="OJ29" s="110">
        <f>OI29+BALANCING!OJ16</f>
        <v>5550702</v>
      </c>
      <c r="OK29" s="110">
        <f>OJ29+BALANCING!OK16</f>
        <v>5894340</v>
      </c>
      <c r="OL29" s="110">
        <f>OK29+BALANCING!OL16</f>
        <v>6374340</v>
      </c>
      <c r="OM29" s="110">
        <f>OL29+BALANCING!OM16</f>
        <v>6735623</v>
      </c>
      <c r="ON29" s="110">
        <f>OM29+BALANCING!ON16</f>
        <v>6735623</v>
      </c>
      <c r="OO29" s="110">
        <f>ON29+BALANCING!OO16</f>
        <v>6775623</v>
      </c>
      <c r="OP29" s="110">
        <f>OO29+BALANCING!OP16</f>
        <v>8102873</v>
      </c>
      <c r="OQ29" s="110">
        <f>OP29+BALANCING!OQ16</f>
        <v>8181346</v>
      </c>
      <c r="OR29" s="110">
        <f>OQ29+BALANCING!OR16</f>
        <v>8987943</v>
      </c>
      <c r="OS29" s="110">
        <f>OR29+BALANCING!OS16</f>
        <v>9197943</v>
      </c>
      <c r="OT29" s="110">
        <f>OS29+BALANCING!OT16</f>
        <v>9297943</v>
      </c>
      <c r="OU29" s="110">
        <f>OT29+BALANCING!OU16</f>
        <v>12931342</v>
      </c>
      <c r="OV29" s="130"/>
      <c r="OW29" s="110">
        <f>OV29+BALANCING!OW16</f>
        <v>0</v>
      </c>
      <c r="OX29" s="110">
        <f>OW29+BALANCING!OX16</f>
        <v>2543563</v>
      </c>
      <c r="OY29" s="110">
        <f>OX29+BALANCING!OY16</f>
        <v>2791053</v>
      </c>
      <c r="OZ29" s="110">
        <f>OY29+BALANCING!OZ16</f>
        <v>2949053</v>
      </c>
      <c r="PA29" s="110">
        <f>OZ29+BALANCING!PA16</f>
        <v>3467552</v>
      </c>
      <c r="PB29" s="110">
        <f>PA29+BALANCING!PB16</f>
        <v>4967670</v>
      </c>
      <c r="PC29" s="110">
        <f>PB29+BALANCING!PC16</f>
        <v>6449920</v>
      </c>
      <c r="PD29" s="110">
        <f>PC29+BALANCING!PD16</f>
        <v>7079800</v>
      </c>
      <c r="PE29" s="110">
        <f>PD29+BALANCING!PE16</f>
        <v>7902199</v>
      </c>
      <c r="PF29" s="110">
        <f>PE29+BALANCING!PF16</f>
        <v>8425099</v>
      </c>
      <c r="PG29" s="110">
        <f>PF29+BALANCING!PG16</f>
        <v>9324939</v>
      </c>
      <c r="PH29" s="110">
        <f>PG29+BALANCING!PH16</f>
        <v>10449693</v>
      </c>
      <c r="PI29" s="110">
        <f>PH29+BALANCING!PI16</f>
        <v>11104673</v>
      </c>
      <c r="PJ29" s="110">
        <f>PI29+BALANCING!PJ16</f>
        <v>11184673</v>
      </c>
      <c r="PK29" s="110">
        <f>PJ29+BALANCING!PK16</f>
        <v>11224673</v>
      </c>
      <c r="PL29" s="110">
        <f>PK29+BALANCING!PL16</f>
        <v>12151438</v>
      </c>
      <c r="PM29" s="110">
        <f>PL29+BALANCING!PM16</f>
        <v>13292964</v>
      </c>
      <c r="PN29" s="110">
        <f>PM29+BALANCING!PN16</f>
        <v>13332964</v>
      </c>
      <c r="PO29" s="110">
        <f>PN29+BALANCING!PO16</f>
        <v>14818664</v>
      </c>
      <c r="PP29" s="110">
        <f>PO29+BALANCING!PP16</f>
        <v>16025110</v>
      </c>
      <c r="PQ29" s="110">
        <f>PP29+BALANCING!PQ16</f>
        <v>16500560</v>
      </c>
      <c r="PR29" s="110">
        <f>PQ29+BALANCING!PR16</f>
        <v>16900560</v>
      </c>
      <c r="PS29" s="110">
        <f>PR29+BALANCING!PS16</f>
        <v>17200560</v>
      </c>
      <c r="PT29" s="110">
        <f>PS29+BALANCING!PT16</f>
        <v>17601755</v>
      </c>
      <c r="PU29" s="110">
        <f>PT29+BALANCING!PU16</f>
        <v>18051755</v>
      </c>
      <c r="PV29" s="110">
        <f>PU29+BALANCING!PV16</f>
        <v>18171755</v>
      </c>
      <c r="PW29" s="110">
        <f>PV29+BALANCING!PW16</f>
        <v>18705033</v>
      </c>
      <c r="PX29" s="110">
        <f>PW29+BALANCING!PX16</f>
        <v>20701008</v>
      </c>
      <c r="PY29" s="110">
        <f>PX29+BALANCING!PY16</f>
        <v>20761008</v>
      </c>
      <c r="PZ29" s="110">
        <f>PY29+BALANCING!PZ16</f>
        <v>22065639</v>
      </c>
      <c r="QA29" s="130"/>
      <c r="QB29" s="110">
        <f>QA29+BALANCING!QB16</f>
        <v>410000</v>
      </c>
      <c r="QC29" s="110">
        <f>QB29+BALANCING!QC16</f>
        <v>1125450</v>
      </c>
      <c r="QD29" s="110">
        <f>QC29+BALANCING!QD16</f>
        <v>1575410</v>
      </c>
      <c r="QE29" s="110">
        <f>QD29+BALANCING!QE16</f>
        <v>3507520</v>
      </c>
      <c r="QF29" s="110">
        <f>QE29+BALANCING!QF16</f>
        <v>3967520</v>
      </c>
      <c r="QG29" s="110">
        <f>QF29+BALANCING!QG16</f>
        <v>4027520</v>
      </c>
      <c r="QH29" s="110">
        <f>QG29+BALANCING!QH16</f>
        <v>4752970</v>
      </c>
      <c r="QI29" s="110">
        <f>QH29+BALANCING!QI16</f>
        <v>4842970</v>
      </c>
      <c r="QJ29" s="110">
        <f>QI29+BALANCING!QJ16</f>
        <v>5276343</v>
      </c>
      <c r="QK29" s="110">
        <f>QJ29+BALANCING!QK16</f>
        <v>5814263</v>
      </c>
      <c r="QL29" s="110">
        <f>QK29+BALANCING!QL16</f>
        <v>6250263</v>
      </c>
      <c r="QM29" s="110">
        <f>QL29+BALANCING!QM16</f>
        <v>7780940</v>
      </c>
      <c r="QN29" s="110">
        <f>QM29+BALANCING!QN16</f>
        <v>8833827</v>
      </c>
      <c r="QO29" s="110">
        <f>QN29+BALANCING!QO16</f>
        <v>11401366</v>
      </c>
      <c r="QP29" s="110">
        <f>QO29+BALANCING!QP16</f>
        <v>11511366</v>
      </c>
      <c r="QQ29" s="110">
        <f>QP29+BALANCING!QQ16</f>
        <v>13698052</v>
      </c>
      <c r="QR29" s="110">
        <f>QQ29+BALANCING!QR16</f>
        <v>14267289</v>
      </c>
      <c r="QS29" s="110">
        <f>QR29+BALANCING!QS16</f>
        <v>15684179</v>
      </c>
      <c r="QT29" s="110">
        <f>QS29+BALANCING!QT16</f>
        <v>16673979</v>
      </c>
      <c r="QU29" s="110">
        <f>QT29+BALANCING!QU16</f>
        <v>17515791</v>
      </c>
      <c r="QV29" s="110">
        <f>QU29+BALANCING!QV16</f>
        <v>17754939</v>
      </c>
      <c r="QW29" s="110">
        <f>QV29+BALANCING!QW16</f>
        <v>18117939</v>
      </c>
      <c r="QX29" s="110">
        <f>QW29+BALANCING!QX16</f>
        <v>18349919</v>
      </c>
      <c r="QY29" s="110">
        <f>QX29+BALANCING!QY16</f>
        <v>23101463</v>
      </c>
      <c r="QZ29" s="110">
        <f>QY29+BALANCING!QZ16</f>
        <v>23785512</v>
      </c>
      <c r="RA29" s="110">
        <f>QZ29+BALANCING!RA16</f>
        <v>24620512</v>
      </c>
      <c r="RB29" s="110">
        <f>RA29+BALANCING!RB16</f>
        <v>24928858</v>
      </c>
      <c r="RC29" s="110">
        <f>RB29+BALANCING!RC16</f>
        <v>26173627</v>
      </c>
      <c r="RD29" s="110">
        <f>RC29+BALANCING!RD16</f>
        <v>27716627</v>
      </c>
      <c r="RE29" s="110">
        <f>RD29+BALANCING!RE16</f>
        <v>28244973</v>
      </c>
      <c r="RF29" s="110">
        <f>RE29+BALANCING!RF16</f>
        <v>29104676</v>
      </c>
      <c r="RG29" s="130"/>
      <c r="RH29" s="110">
        <f>RG29+BALANCING!RH16</f>
        <v>140000</v>
      </c>
      <c r="RI29" s="110">
        <f>RH29+BALANCING!RI16</f>
        <v>250000</v>
      </c>
      <c r="RJ29" s="110">
        <f>RI29+BALANCING!RJ16</f>
        <v>712945</v>
      </c>
      <c r="RK29" s="110">
        <f>RJ29+BALANCING!RK16</f>
        <v>3776242</v>
      </c>
      <c r="RL29" s="110">
        <f>RK29+BALANCING!RL16</f>
        <v>3941242</v>
      </c>
      <c r="RM29" s="110">
        <f>RL29+BALANCING!RM16</f>
        <v>4198222</v>
      </c>
      <c r="RN29" s="110">
        <f>RM29+BALANCING!RN16</f>
        <v>5052370</v>
      </c>
      <c r="RO29" s="110">
        <f>RN29+BALANCING!RO16</f>
        <v>5619213</v>
      </c>
      <c r="RP29" s="110">
        <f>RO29+BALANCING!RP16</f>
        <v>6413508</v>
      </c>
      <c r="RQ29" s="110">
        <f>RP29+BALANCING!RQ16</f>
        <v>6764888</v>
      </c>
      <c r="RR29" s="110">
        <f>RQ29+BALANCING!RR16</f>
        <v>7989388</v>
      </c>
      <c r="RS29" s="110">
        <f>RR29+BALANCING!RS16</f>
        <v>8824688</v>
      </c>
      <c r="RT29" s="110">
        <f>RS29+BALANCING!RT16</f>
        <v>9579083</v>
      </c>
      <c r="RU29" s="110">
        <f>RT29+BALANCING!RU16</f>
        <v>11295473</v>
      </c>
      <c r="RV29" s="110">
        <f>RU29+BALANCING!RV16</f>
        <v>12390493</v>
      </c>
      <c r="RW29" s="110">
        <f>RV29+BALANCING!RW16</f>
        <v>14233460</v>
      </c>
      <c r="RX29" s="110">
        <f>RW29+BALANCING!RX16</f>
        <v>15520825</v>
      </c>
      <c r="RY29" s="110">
        <f>RX29+BALANCING!RY16</f>
        <v>16166685</v>
      </c>
      <c r="RZ29" s="110">
        <f>RY29+BALANCING!RZ16</f>
        <v>16667913</v>
      </c>
      <c r="SA29" s="110">
        <f>RZ29+BALANCING!SA16</f>
        <v>17257913</v>
      </c>
      <c r="SB29" s="110">
        <f>SA29+BALANCING!SB16</f>
        <v>18214573</v>
      </c>
      <c r="SC29" s="110">
        <f>SB29+BALANCING!SC16</f>
        <v>18412373</v>
      </c>
      <c r="SD29" s="110">
        <f>SC29+BALANCING!SD16</f>
        <v>18606473</v>
      </c>
      <c r="SE29" s="110">
        <f>SD29+BALANCING!SE16</f>
        <v>18979143</v>
      </c>
      <c r="SF29" s="110">
        <f>SE29+BALANCING!SF16</f>
        <v>19436743</v>
      </c>
      <c r="SG29" s="110">
        <f>SF29+BALANCING!SG16</f>
        <v>20499522</v>
      </c>
      <c r="SH29" s="110">
        <f>SG29+BALANCING!SH16</f>
        <v>20837522</v>
      </c>
      <c r="SI29" s="110">
        <f>SH29+BALANCING!SI16</f>
        <v>22818422</v>
      </c>
      <c r="SJ29" s="110">
        <f>SI29+BALANCING!SJ16</f>
        <v>22818422</v>
      </c>
      <c r="SK29" s="110">
        <f>SJ29+BALANCING!SK16</f>
        <v>23193186</v>
      </c>
      <c r="SL29" s="130"/>
      <c r="SM29" s="110">
        <f>SL29+BALANCING!SM16</f>
        <v>827000</v>
      </c>
      <c r="SN29" s="110">
        <f>SM29+BALANCING!SN16</f>
        <v>2974199</v>
      </c>
      <c r="SO29" s="110">
        <f>SN29+BALANCING!SO16</f>
        <v>3391767</v>
      </c>
      <c r="SP29" s="110">
        <f>SO29+BALANCING!SP16</f>
        <v>5359767</v>
      </c>
      <c r="SQ29" s="110">
        <f>SP29+BALANCING!SQ16</f>
        <v>5609767</v>
      </c>
      <c r="SR29" s="110">
        <f>SQ29+BALANCING!SR16</f>
        <v>5669767</v>
      </c>
      <c r="SS29" s="110">
        <f>SR29+BALANCING!SS16</f>
        <v>6577367</v>
      </c>
      <c r="ST29" s="110">
        <f>SS29+BALANCING!ST16</f>
        <v>7096317</v>
      </c>
      <c r="SU29" s="110">
        <f>ST29+BALANCING!SU16</f>
        <v>8984317</v>
      </c>
      <c r="SV29" s="110">
        <f>SU29+BALANCING!SV16</f>
        <v>9044317</v>
      </c>
      <c r="SW29" s="110">
        <f>SV29+BALANCING!SW16</f>
        <v>9412827</v>
      </c>
      <c r="SX29" s="110">
        <f>SW29+BALANCING!SX16</f>
        <v>10368827</v>
      </c>
      <c r="SY29" s="110">
        <f>SX29+BALANCING!SY16</f>
        <v>10778811</v>
      </c>
      <c r="SZ29" s="110">
        <f>SY29+BALANCING!SZ16</f>
        <v>11507861</v>
      </c>
      <c r="TA29" s="110">
        <f>SZ29+BALANCING!TA16</f>
        <v>12616761</v>
      </c>
      <c r="TB29" s="110">
        <f>TA29+BALANCING!TB16</f>
        <v>15027201</v>
      </c>
      <c r="TC29" s="110">
        <f>TB29+BALANCING!TC16</f>
        <v>15227201</v>
      </c>
      <c r="TD29" s="110">
        <f>TC29+BALANCING!TD16</f>
        <v>15553701</v>
      </c>
      <c r="TE29" s="110">
        <f>TD29+BALANCING!TE16</f>
        <v>16740611</v>
      </c>
      <c r="TF29" s="110">
        <f>TE29+BALANCING!TF16</f>
        <v>16800611</v>
      </c>
      <c r="TG29" s="110">
        <f>TF29+BALANCING!TG16</f>
        <v>17517611</v>
      </c>
      <c r="TH29" s="110">
        <f>TG29+BALANCING!TH16</f>
        <v>18076011</v>
      </c>
      <c r="TI29" s="110">
        <f>TH29+BALANCING!TI16</f>
        <v>18836011</v>
      </c>
      <c r="TJ29" s="110">
        <f>TI29+BALANCING!TJ16</f>
        <v>19613951</v>
      </c>
      <c r="TK29" s="110">
        <f>TJ29+BALANCING!TK16</f>
        <v>19613951</v>
      </c>
      <c r="TL29" s="110">
        <f>TK29+BALANCING!TL16</f>
        <v>19613951</v>
      </c>
      <c r="TM29" s="110">
        <f>TL29+BALANCING!TM16</f>
        <v>19773951</v>
      </c>
      <c r="TN29" s="110">
        <f>TM29+BALANCING!TN16</f>
        <v>19973851</v>
      </c>
      <c r="TO29" s="110">
        <f>TN29+BALANCING!TO16</f>
        <v>20278351</v>
      </c>
      <c r="TP29" s="110">
        <f>TO29+BALANCING!TP16</f>
        <v>20358351</v>
      </c>
      <c r="TQ29" s="110">
        <f>TP29+BALANCING!TQ16</f>
        <v>20358351</v>
      </c>
      <c r="TR29" s="130"/>
      <c r="TS29" s="110">
        <f>TR29+BALANCING!TS16</f>
        <v>468950</v>
      </c>
      <c r="TT29" s="110">
        <f>TS29+BALANCING!TT16</f>
        <v>528950</v>
      </c>
      <c r="TU29" s="110">
        <f>TT29+BALANCING!TU16</f>
        <v>828950</v>
      </c>
      <c r="TV29" s="110">
        <f>TU29+BALANCING!TV16</f>
        <v>868950</v>
      </c>
      <c r="TW29" s="110">
        <f>TV29+BALANCING!TW16</f>
        <v>1644900</v>
      </c>
      <c r="TX29" s="110">
        <f>TW29+BALANCING!TX16</f>
        <v>2168300</v>
      </c>
      <c r="TY29" s="110">
        <f>TX29+BALANCING!TY16</f>
        <v>3122300</v>
      </c>
      <c r="TZ29" s="110">
        <f>TY29+BALANCING!TZ16</f>
        <v>4955250</v>
      </c>
      <c r="UA29" s="110">
        <f>TZ29+BALANCING!UA16</f>
        <v>5105250</v>
      </c>
      <c r="UB29" s="110">
        <f>UA29+BALANCING!UB16</f>
        <v>5292450</v>
      </c>
      <c r="UC29" s="110">
        <f>UB29+BALANCING!UC16</f>
        <v>5382450</v>
      </c>
      <c r="UD29" s="110">
        <f>UC29+BALANCING!UD16</f>
        <v>6000970</v>
      </c>
      <c r="UE29" s="110">
        <f>UD29+BALANCING!UE16</f>
        <v>8268920</v>
      </c>
      <c r="UF29" s="110">
        <f>UE29+BALANCING!UF16</f>
        <v>8837870</v>
      </c>
      <c r="UG29" s="110">
        <f>UF29+BALANCING!UG16</f>
        <v>8937870</v>
      </c>
      <c r="UH29" s="110">
        <f>UG29+BALANCING!UH16</f>
        <v>9475840</v>
      </c>
      <c r="UI29" s="110">
        <f>UH29+BALANCING!UI16</f>
        <v>10156270</v>
      </c>
      <c r="UJ29" s="110">
        <f>UI29+BALANCING!UJ16</f>
        <v>10331270</v>
      </c>
      <c r="UK29" s="110">
        <f>UJ29+BALANCING!UK16</f>
        <v>10660220</v>
      </c>
      <c r="UL29" s="110">
        <f>UK29+BALANCING!UL16</f>
        <v>10740220</v>
      </c>
      <c r="UM29" s="110">
        <f>UL29+BALANCING!UM16</f>
        <v>11850220</v>
      </c>
      <c r="UN29" s="110">
        <f>UM29+BALANCING!UN16</f>
        <v>12651993</v>
      </c>
      <c r="UO29" s="110">
        <f>UN29+BALANCING!UO16</f>
        <v>13169393</v>
      </c>
      <c r="UP29" s="110">
        <f>UO29+BALANCING!UP16</f>
        <v>13764393</v>
      </c>
      <c r="UQ29" s="110">
        <f>UP29+BALANCING!UQ16</f>
        <v>14714393</v>
      </c>
      <c r="UR29" s="110">
        <f>UQ29+BALANCING!UR16</f>
        <v>15414393</v>
      </c>
      <c r="US29" s="110">
        <f>UR29+BALANCING!US16</f>
        <v>17607113</v>
      </c>
      <c r="UT29" s="110">
        <f>US29+BALANCING!UT16</f>
        <v>18417113</v>
      </c>
      <c r="UU29" s="110">
        <f>UT29+BALANCING!UU16</f>
        <v>18457113</v>
      </c>
      <c r="UV29" s="110">
        <f>UU29+BALANCING!UV16</f>
        <v>19610415</v>
      </c>
      <c r="UW29" s="110">
        <f>UV29+BALANCING!UW16</f>
        <v>19670415</v>
      </c>
      <c r="UX29" s="130"/>
      <c r="UY29" s="110">
        <f>UX29+BALANCING!UY16</f>
        <v>868950</v>
      </c>
      <c r="UZ29" s="110">
        <f>UY29+BALANCING!UZ16</f>
        <v>1438928</v>
      </c>
      <c r="VA29" s="110">
        <f>UZ29+BALANCING!VA16</f>
        <v>4388131</v>
      </c>
      <c r="VB29" s="110">
        <f>VA29+BALANCING!VB16</f>
        <v>4837566</v>
      </c>
      <c r="VC29" s="110">
        <f>VB29+BALANCING!VC16</f>
        <v>5651406</v>
      </c>
      <c r="VD29" s="110">
        <f>VC29+BALANCING!VD16</f>
        <v>5846406</v>
      </c>
      <c r="VE29" s="110">
        <f>VD29+BALANCING!VE16</f>
        <v>7258168</v>
      </c>
      <c r="VF29" s="110">
        <f>VE29+BALANCING!VF16</f>
        <v>8611168</v>
      </c>
      <c r="VG29" s="110">
        <f>VF29+BALANCING!VG16</f>
        <v>9441231</v>
      </c>
      <c r="VH29" s="110">
        <f>VG29+BALANCING!VH16</f>
        <v>10301676</v>
      </c>
      <c r="VI29" s="110">
        <f>VH29+BALANCING!VI16</f>
        <v>13551786</v>
      </c>
      <c r="VJ29" s="110">
        <f>VI29+BALANCING!VJ16</f>
        <v>13901906</v>
      </c>
      <c r="VK29" s="110">
        <f>VJ29+BALANCING!VK16</f>
        <v>14676250</v>
      </c>
      <c r="VL29" s="110">
        <f>VK29+BALANCING!VL16</f>
        <v>15127310</v>
      </c>
      <c r="VM29" s="110">
        <f>VL29+BALANCING!VM16</f>
        <v>15582310</v>
      </c>
      <c r="VN29" s="110">
        <f>VM29+BALANCING!VN16</f>
        <v>16359310</v>
      </c>
      <c r="VO29" s="110">
        <f>VN29+BALANCING!VO16</f>
        <v>16709310</v>
      </c>
      <c r="VP29" s="110">
        <f>VO29+BALANCING!VP16</f>
        <v>16978755</v>
      </c>
      <c r="VQ29" s="110">
        <f>VP29+BALANCING!VQ16</f>
        <v>18754755</v>
      </c>
      <c r="VR29" s="110">
        <f>VQ29+BALANCING!VR16</f>
        <v>19122765</v>
      </c>
      <c r="VS29" s="110">
        <f>VR29+BALANCING!VS16</f>
        <v>19672765</v>
      </c>
      <c r="VT29" s="110">
        <f>VS29+BALANCING!VT16</f>
        <v>20437765</v>
      </c>
      <c r="VU29" s="110">
        <f>VT29+BALANCING!VU16</f>
        <v>21233465</v>
      </c>
      <c r="VV29" s="110">
        <f>VU29+BALANCING!VV16</f>
        <v>21260525</v>
      </c>
      <c r="VW29" s="110">
        <f>VV29+BALANCING!VW16</f>
        <v>24136130</v>
      </c>
      <c r="VX29" s="110">
        <f>VW29+BALANCING!VX16</f>
        <v>24261130</v>
      </c>
      <c r="VY29" s="110">
        <f>VX29+BALANCING!VY16</f>
        <v>26431130</v>
      </c>
      <c r="VZ29" s="110">
        <f>VY29+BALANCING!VZ16</f>
        <v>26501130</v>
      </c>
      <c r="WA29" s="133"/>
      <c r="WB29" s="110">
        <f>WA29+BALANCING!WB16</f>
        <v>632000</v>
      </c>
      <c r="WC29" s="110">
        <f>WB29+BALANCING!WC16</f>
        <v>1592250</v>
      </c>
      <c r="WD29" s="110">
        <f>WC29+BALANCING!WD16</f>
        <v>5037662</v>
      </c>
      <c r="WE29" s="110">
        <f>WD29+BALANCING!WE16</f>
        <v>6324954</v>
      </c>
      <c r="WF29" s="110">
        <f>WE29+BALANCING!WF16</f>
        <v>7460914</v>
      </c>
      <c r="WG29" s="110">
        <f>WF29+BALANCING!WG16</f>
        <v>7587914</v>
      </c>
      <c r="WH29" s="110">
        <f>WG29+BALANCING!WH16</f>
        <v>8343406</v>
      </c>
      <c r="WI29" s="110">
        <f>WH29+BALANCING!WI16</f>
        <v>10525406</v>
      </c>
      <c r="WJ29" s="110">
        <f>WI29+BALANCING!WJ16</f>
        <v>11143184</v>
      </c>
      <c r="WK29" s="110">
        <f>WJ29+BALANCING!WK16</f>
        <v>12443184</v>
      </c>
      <c r="WL29" s="110">
        <f>WK29+BALANCING!WL16</f>
        <v>14651644</v>
      </c>
      <c r="WM29" s="110">
        <f>WL29+BALANCING!WM16</f>
        <v>15209144</v>
      </c>
      <c r="WN29" s="110">
        <f>WM29+BALANCING!WN16</f>
        <v>16752027</v>
      </c>
      <c r="WO29" s="110">
        <f>WN29+BALANCING!WO16</f>
        <v>18380027</v>
      </c>
      <c r="WP29" s="110">
        <f>WO29+BALANCING!WP16</f>
        <v>19347027</v>
      </c>
      <c r="WQ29" s="110">
        <f>WP29+BALANCING!WQ16</f>
        <v>20148677</v>
      </c>
      <c r="WR29" s="110">
        <f>WQ29+BALANCING!WR16</f>
        <v>21607377</v>
      </c>
      <c r="WS29" s="110">
        <f>WR29+BALANCING!WS16</f>
        <v>21697377</v>
      </c>
      <c r="WT29" s="110">
        <f>WS29+BALANCING!WT16</f>
        <v>22629347</v>
      </c>
      <c r="WU29" s="110">
        <f>WT29+BALANCING!WU16</f>
        <v>22739347</v>
      </c>
      <c r="WV29" s="110">
        <f>WU29+BALANCING!WV16</f>
        <v>25205917</v>
      </c>
      <c r="WW29" s="110">
        <f>WV29+BALANCING!WW16</f>
        <v>25560917</v>
      </c>
      <c r="WX29" s="110">
        <f>WW29+BALANCING!WX16</f>
        <v>26749165</v>
      </c>
      <c r="WY29" s="110">
        <f>WX29+BALANCING!WY16</f>
        <v>27794165</v>
      </c>
      <c r="WZ29" s="110">
        <f>WY29+BALANCING!WZ16</f>
        <v>27794165</v>
      </c>
      <c r="XA29" s="110">
        <f>WZ29+BALANCING!XA16</f>
        <v>27794165</v>
      </c>
      <c r="XB29" s="110">
        <f>XA29+BALANCING!XB16</f>
        <v>27794165</v>
      </c>
      <c r="XC29" s="110">
        <f>XB29+BALANCING!XC16</f>
        <v>28044165</v>
      </c>
      <c r="XD29" s="110">
        <f>XC29+BALANCING!XD16</f>
        <v>28044165</v>
      </c>
      <c r="XE29" s="110">
        <f>XD29+BALANCING!XE16</f>
        <v>28044165</v>
      </c>
      <c r="XF29" s="110">
        <f>XE29+BALANCING!XF16</f>
        <v>28044165</v>
      </c>
      <c r="XG29" s="133"/>
      <c r="XH29" s="110">
        <f>XG29+BALANCING!XH16</f>
        <v>0</v>
      </c>
      <c r="XI29" s="110">
        <f>XH29+BALANCING!XI16</f>
        <v>0</v>
      </c>
      <c r="XJ29" s="110">
        <f>XI29+BALANCING!XJ16</f>
        <v>0</v>
      </c>
      <c r="XK29" s="110">
        <f>XJ29+BALANCING!XK16</f>
        <v>0</v>
      </c>
      <c r="XL29" s="110">
        <f>XK29+BALANCING!XL16</f>
        <v>0</v>
      </c>
      <c r="XM29" s="110">
        <f>XL29+BALANCING!XM16</f>
        <v>0</v>
      </c>
      <c r="XN29" s="110">
        <f>XM29+BALANCING!XN16</f>
        <v>0</v>
      </c>
      <c r="XO29" s="110">
        <f>XN29+BALANCING!XO16</f>
        <v>0</v>
      </c>
      <c r="XP29" s="110">
        <f>XO29+BALANCING!XP16</f>
        <v>0</v>
      </c>
      <c r="XQ29" s="110">
        <f>XP29+BALANCING!XQ16</f>
        <v>0</v>
      </c>
      <c r="XR29" s="110">
        <f>XQ29+BALANCING!XR16</f>
        <v>0</v>
      </c>
      <c r="XS29" s="110">
        <f>XR29+BALANCING!XS16</f>
        <v>0</v>
      </c>
      <c r="XT29" s="110">
        <f>XS29+BALANCING!XT16</f>
        <v>0</v>
      </c>
      <c r="XU29" s="110">
        <f>XT29+BALANCING!XU16</f>
        <v>0</v>
      </c>
      <c r="XV29" s="110">
        <f>XU29+BALANCING!XV16</f>
        <v>0</v>
      </c>
      <c r="XW29" s="110">
        <f>XV29+BALANCING!XW16</f>
        <v>56000</v>
      </c>
      <c r="XX29" s="110">
        <f>XW29+BALANCING!XX16</f>
        <v>256000</v>
      </c>
      <c r="XY29" s="110">
        <f>XX29+BALANCING!XY16</f>
        <v>556000</v>
      </c>
      <c r="XZ29" s="110">
        <f>XY29+BALANCING!XZ16</f>
        <v>811750</v>
      </c>
      <c r="YA29" s="110">
        <f>XZ29+BALANCING!YA16</f>
        <v>1276750</v>
      </c>
      <c r="YB29" s="110">
        <f>YA29+BALANCING!YB16</f>
        <v>1466750</v>
      </c>
      <c r="YC29" s="110">
        <f>YB29+BALANCING!YC16</f>
        <v>1957722</v>
      </c>
      <c r="YD29" s="110">
        <f>YC29+BALANCING!YD16</f>
        <v>2516144</v>
      </c>
      <c r="YE29" s="110">
        <f>YD29+BALANCING!YE16</f>
        <v>2914389</v>
      </c>
      <c r="YF29" s="110">
        <f>YE29+BALANCING!YF16</f>
        <v>3297389</v>
      </c>
      <c r="YG29" s="110">
        <f>YF29+BALANCING!YG16</f>
        <v>3337389</v>
      </c>
      <c r="YH29" s="110">
        <f>YG29+BALANCING!YH16</f>
        <v>3337389</v>
      </c>
      <c r="YI29" s="110">
        <f>YH29+BALANCING!YI16</f>
        <v>3816389</v>
      </c>
      <c r="YJ29" s="110">
        <f>YI29+BALANCING!YJ16</f>
        <v>3816389</v>
      </c>
      <c r="YK29" s="110">
        <f>YJ29+BALANCING!YK16</f>
        <v>4382389</v>
      </c>
      <c r="YL29" s="130"/>
      <c r="YM29" s="110">
        <f>YL29+BALANCING!YM16</f>
        <v>1935000</v>
      </c>
      <c r="YN29" s="110">
        <f>YM29+BALANCING!YN16</f>
        <v>2261555</v>
      </c>
      <c r="YO29" s="110">
        <f>YN29+BALANCING!YO16</f>
        <v>2461555</v>
      </c>
      <c r="YP29" s="110">
        <f>YO29+BALANCING!YP16</f>
        <v>3638555</v>
      </c>
      <c r="YQ29" s="110">
        <f>YP29+BALANCING!YQ16</f>
        <v>5179555</v>
      </c>
      <c r="YR29" s="110">
        <f>YQ29+BALANCING!YR16</f>
        <v>5971967</v>
      </c>
      <c r="YS29" s="110">
        <f>YR29+BALANCING!YS16</f>
        <v>7273027</v>
      </c>
      <c r="YT29" s="110">
        <f>YS29+BALANCING!YT16</f>
        <v>7273027</v>
      </c>
      <c r="YU29" s="110">
        <f>YT29+BALANCING!YU16</f>
        <v>8768027</v>
      </c>
      <c r="YV29" s="110">
        <f>YU29+BALANCING!YV16</f>
        <v>9805227</v>
      </c>
      <c r="YW29" s="110">
        <f>YV29+BALANCING!YW16</f>
        <v>10450427</v>
      </c>
      <c r="YX29" s="110">
        <f>YW29+BALANCING!YX16</f>
        <v>11981415</v>
      </c>
      <c r="YY29" s="110">
        <f>YX29+BALANCING!YY16</f>
        <v>11981415</v>
      </c>
      <c r="YZ29" s="110">
        <f>YY29+BALANCING!YZ16</f>
        <v>12011415</v>
      </c>
      <c r="ZA29" s="110">
        <f>YZ29+BALANCING!ZA16</f>
        <v>12011415</v>
      </c>
      <c r="ZB29" s="110">
        <f>ZA29+BALANCING!ZB16</f>
        <v>12933915</v>
      </c>
      <c r="ZC29" s="110">
        <f>ZB29+BALANCING!ZC16</f>
        <v>13243915</v>
      </c>
      <c r="ZD29" s="110">
        <f>ZC29+BALANCING!ZD16</f>
        <v>14158915</v>
      </c>
      <c r="ZE29" s="110">
        <f>ZD29+BALANCING!ZE16</f>
        <v>15082529</v>
      </c>
      <c r="ZF29" s="110">
        <f>ZE29+BALANCING!ZF16</f>
        <v>15416429</v>
      </c>
      <c r="ZG29" s="110">
        <f>ZF29+BALANCING!ZG16</f>
        <v>16469429</v>
      </c>
      <c r="ZH29" s="110">
        <f>ZG29+BALANCING!ZH16</f>
        <v>16469429</v>
      </c>
      <c r="ZI29" s="110">
        <f>ZH29+BALANCING!ZI16</f>
        <v>16469429</v>
      </c>
      <c r="ZJ29" s="110">
        <f>ZI29+BALANCING!ZJ16</f>
        <v>17632329</v>
      </c>
      <c r="ZK29" s="110">
        <f>ZJ29+BALANCING!ZK16</f>
        <v>17632329</v>
      </c>
      <c r="ZL29" s="110">
        <f>ZK29+BALANCING!ZL16</f>
        <v>17732329</v>
      </c>
      <c r="ZM29" s="110">
        <f>ZL29+BALANCING!ZM16</f>
        <v>17792329</v>
      </c>
      <c r="ZN29" s="110">
        <f>ZM29+BALANCING!ZN16</f>
        <v>18042329</v>
      </c>
      <c r="ZO29" s="110">
        <f>ZN29+BALANCING!ZO16</f>
        <v>18872425</v>
      </c>
      <c r="ZP29" s="110">
        <f>ZO29+BALANCING!ZP16</f>
        <v>19813693</v>
      </c>
      <c r="ZQ29" s="110">
        <f>ZP29+BALANCING!ZQ16</f>
        <v>19813693</v>
      </c>
      <c r="ZR29" s="130"/>
      <c r="ZS29" s="110">
        <f>ZR29+BALANCING!ZS16</f>
        <v>3040750</v>
      </c>
      <c r="ZT29" s="110">
        <f>ZS29+BALANCING!ZT16</f>
        <v>3970750</v>
      </c>
      <c r="ZU29" s="110">
        <f>ZT29+BALANCING!ZU16</f>
        <v>4396807</v>
      </c>
      <c r="ZV29" s="110">
        <f>ZU29+BALANCING!ZV16</f>
        <v>4661807</v>
      </c>
      <c r="ZW29" s="110">
        <f>ZV29+BALANCING!ZW16</f>
        <v>5741567</v>
      </c>
      <c r="ZX29" s="110">
        <f>ZW29+BALANCING!ZX16</f>
        <v>5821567</v>
      </c>
      <c r="ZY29" s="110">
        <f>ZX29+BALANCING!ZY16</f>
        <v>6242417</v>
      </c>
      <c r="ZZ29" s="110">
        <f>ZY29+BALANCING!ZZ16</f>
        <v>6312417</v>
      </c>
      <c r="AAA29" s="110">
        <f>ZZ29+BALANCING!AAA16</f>
        <v>6982417</v>
      </c>
      <c r="AAB29" s="110">
        <f>AAA29+BALANCING!AAB16</f>
        <v>11283667</v>
      </c>
      <c r="AAC29" s="110">
        <f>AAB29+BALANCING!AAC16</f>
        <v>13810381</v>
      </c>
      <c r="AAD29" s="110">
        <f>AAC29+BALANCING!AAD16</f>
        <v>14103381</v>
      </c>
      <c r="AAE29" s="110">
        <f>AAD29+BALANCING!AAE16</f>
        <v>14470945</v>
      </c>
      <c r="AAF29" s="110">
        <f>AAE29+BALANCING!AAF16</f>
        <v>14830945</v>
      </c>
      <c r="AAG29" s="110">
        <f>AAF29+BALANCING!AAG16</f>
        <v>15855945</v>
      </c>
      <c r="AAH29" s="110">
        <f>AAG29+BALANCING!AAH16</f>
        <v>15935945</v>
      </c>
      <c r="AAI29" s="110">
        <f>AAH29+BALANCING!AAI16</f>
        <v>16135945</v>
      </c>
      <c r="AAJ29" s="110">
        <f>AAI29+BALANCING!AAJ16</f>
        <v>16535945</v>
      </c>
      <c r="AAK29" s="110">
        <f>AAJ29+BALANCING!AAK16</f>
        <v>17946345</v>
      </c>
      <c r="AAL29" s="110">
        <f>AAK29+BALANCING!AAL16</f>
        <v>19212245</v>
      </c>
      <c r="AAM29" s="110">
        <f>AAL29+BALANCING!AAM16</f>
        <v>21016245</v>
      </c>
      <c r="AAN29" s="110">
        <f>AAM29+BALANCING!AAN16</f>
        <v>21422362</v>
      </c>
      <c r="AAO29" s="110">
        <f>AAN29+BALANCING!AAO16</f>
        <v>21709362</v>
      </c>
      <c r="AAP29" s="110">
        <f>AAO29+BALANCING!AAP16</f>
        <v>21959362</v>
      </c>
      <c r="AAQ29" s="110">
        <f>AAP29+BALANCING!AAQ16</f>
        <v>22069362</v>
      </c>
      <c r="AAR29" s="110">
        <f>AAQ29+BALANCING!AAR16</f>
        <v>22069362</v>
      </c>
      <c r="AAS29" s="110">
        <f>AAR29+BALANCING!AAS16</f>
        <v>22069362</v>
      </c>
      <c r="AAT29" s="110">
        <f>AAS29+BALANCING!AAT16</f>
        <v>22942362</v>
      </c>
      <c r="AAU29" s="110">
        <f>AAT29+BALANCING!AAU16</f>
        <v>22942362</v>
      </c>
      <c r="AAV29" s="110">
        <f>AAU29+BALANCING!AAV16</f>
        <v>22942362</v>
      </c>
      <c r="AAW29" s="130"/>
      <c r="AAX29" s="110">
        <f>AAW29+BALANCING!AAX16</f>
        <v>68000</v>
      </c>
      <c r="AAY29" s="110">
        <f>AAX29+BALANCING!AAY16</f>
        <v>228000</v>
      </c>
      <c r="AAZ29" s="110">
        <f>AAY29+BALANCING!AAZ16</f>
        <v>1095800</v>
      </c>
      <c r="ABA29" s="110">
        <f>AAZ29+BALANCING!ABA16</f>
        <v>1095800</v>
      </c>
      <c r="ABB29" s="110">
        <f>ABA29+BALANCING!ABB16</f>
        <v>3121677</v>
      </c>
      <c r="ABC29" s="110">
        <f>ABB29+BALANCING!ABC16</f>
        <v>3664682</v>
      </c>
      <c r="ABD29" s="110">
        <f>ABC29+BALANCING!ABD16</f>
        <v>3664682</v>
      </c>
      <c r="ABE29" s="110">
        <f>ABD29+BALANCING!ABE16</f>
        <v>3964682</v>
      </c>
      <c r="ABF29" s="110">
        <f>ABE29+BALANCING!ABF16</f>
        <v>4388343</v>
      </c>
      <c r="ABG29" s="110">
        <f>ABF29+BALANCING!ABG16</f>
        <v>4388343</v>
      </c>
      <c r="ABH29" s="110">
        <f>ABG29+BALANCING!ABH16</f>
        <v>5160343</v>
      </c>
      <c r="ABI29" s="110">
        <f>ABH29+BALANCING!ABI16</f>
        <v>6493343</v>
      </c>
      <c r="ABJ29" s="110">
        <f>ABI29+BALANCING!ABJ16</f>
        <v>6633343</v>
      </c>
      <c r="ABK29" s="110">
        <f>ABJ29+BALANCING!ABK16</f>
        <v>6633343</v>
      </c>
      <c r="ABL29" s="110">
        <f>ABK29+BALANCING!ABL16</f>
        <v>6942394</v>
      </c>
      <c r="ABM29" s="110">
        <f>ABL29+BALANCING!ABM16</f>
        <v>6942394</v>
      </c>
      <c r="ABN29" s="110">
        <f>ABM29+BALANCING!ABN16</f>
        <v>6942394</v>
      </c>
      <c r="ABO29" s="110">
        <f>ABN29+BALANCING!ABO16</f>
        <v>7513796</v>
      </c>
      <c r="ABP29" s="110">
        <f>ABO29+BALANCING!ABP16</f>
        <v>8784773</v>
      </c>
      <c r="ABQ29" s="110">
        <f>ABP29+BALANCING!ABQ16</f>
        <v>8943773</v>
      </c>
      <c r="ABR29" s="110">
        <f>ABQ29+BALANCING!ABR16</f>
        <v>8963773</v>
      </c>
      <c r="ABS29" s="110">
        <f>ABR29+BALANCING!ABS16</f>
        <v>9036473</v>
      </c>
      <c r="ABT29" s="110">
        <f>ABS29+BALANCING!ABT16</f>
        <v>9709377</v>
      </c>
      <c r="ABU29" s="110">
        <f>ABT29+BALANCING!ABU16</f>
        <v>9709377</v>
      </c>
      <c r="ABV29" s="110">
        <f>ABU29+BALANCING!ABV16</f>
        <v>10088377</v>
      </c>
      <c r="ABW29" s="110">
        <f>ABV29+BALANCING!ABW16</f>
        <v>11240877</v>
      </c>
      <c r="ABX29" s="110">
        <f>ABW29+BALANCING!ABX16</f>
        <v>11240877</v>
      </c>
      <c r="ABY29" s="110">
        <f>ABX29+BALANCING!ABY16</f>
        <v>11240877</v>
      </c>
      <c r="ABZ29" s="110">
        <f>ABY29+BALANCING!ABZ16</f>
        <v>11240877</v>
      </c>
      <c r="ACA29" s="110">
        <f>ABZ29+BALANCING!ACA16</f>
        <v>11352304</v>
      </c>
      <c r="ACB29" s="110">
        <f>ACA29+BALANCING!ACB16</f>
        <v>11352304</v>
      </c>
      <c r="ACC29" s="130"/>
      <c r="ACD29" s="110">
        <f>ACC29+BALANCING!ACD16</f>
        <v>314450</v>
      </c>
      <c r="ACE29" s="110">
        <f>ACD29+BALANCING!ACE16</f>
        <v>1361250</v>
      </c>
      <c r="ACF29" s="110">
        <f>ACE29+BALANCING!ACF16</f>
        <v>1461250</v>
      </c>
      <c r="ACG29" s="110">
        <f>ACF29+BALANCING!ACG16</f>
        <v>2333250</v>
      </c>
      <c r="ACH29" s="110">
        <f>ACG29+BALANCING!ACH16</f>
        <v>2867990</v>
      </c>
      <c r="ACI29" s="110">
        <f>ACH29+BALANCING!ACI16</f>
        <v>3067990</v>
      </c>
      <c r="ACJ29" s="110">
        <f>ACI29+BALANCING!ACJ16</f>
        <v>3766750</v>
      </c>
      <c r="ACK29" s="110">
        <f>ACJ29+BALANCING!ACK16</f>
        <v>4042343</v>
      </c>
      <c r="ACL29" s="110">
        <f>ACK29+BALANCING!ACL16</f>
        <v>4527343</v>
      </c>
      <c r="ACM29" s="110">
        <f>ACL29+BALANCING!ACM16</f>
        <v>4527343</v>
      </c>
      <c r="ACN29" s="110">
        <f>ACM29+BALANCING!ACN16</f>
        <v>5448853</v>
      </c>
      <c r="ACO29" s="110">
        <f>ACN29+BALANCING!ACO16</f>
        <v>5948853</v>
      </c>
      <c r="ACP29" s="110">
        <f>ACO29+BALANCING!ACP16</f>
        <v>6767303</v>
      </c>
      <c r="ACQ29" s="110">
        <f>ACP29+BALANCING!ACQ16</f>
        <v>7136053</v>
      </c>
      <c r="ACR29" s="110">
        <f>ACQ29+BALANCING!ACR16</f>
        <v>7206053</v>
      </c>
      <c r="ACS29" s="110">
        <f>ACR29+BALANCING!ACS16</f>
        <v>8043053</v>
      </c>
      <c r="ACT29" s="110">
        <f>ACS29+BALANCING!ACT16</f>
        <v>9262121</v>
      </c>
      <c r="ACU29" s="110">
        <f>ACT29+BALANCING!ACU16</f>
        <v>9795402</v>
      </c>
      <c r="ACV29" s="110">
        <f>ACU29+BALANCING!ACV16</f>
        <v>9915402</v>
      </c>
      <c r="ACW29" s="110">
        <f>ACV29+BALANCING!ACW16</f>
        <v>9915402</v>
      </c>
      <c r="ACX29" s="110">
        <f>ACW29+BALANCING!ACX16</f>
        <v>10239162</v>
      </c>
      <c r="ACY29" s="110">
        <f>ACX29+BALANCING!ACY16</f>
        <v>10682710</v>
      </c>
      <c r="ACZ29" s="110">
        <f>ACY29+BALANCING!ACZ16</f>
        <v>11519710</v>
      </c>
      <c r="ADA29" s="110">
        <f>ACZ29+BALANCING!ADA16</f>
        <v>11519710</v>
      </c>
      <c r="ADB29" s="110">
        <f>ADA29+BALANCING!ADB16</f>
        <v>12191710</v>
      </c>
      <c r="ADC29" s="110">
        <f>ADB29+BALANCING!ADC16</f>
        <v>12391710</v>
      </c>
      <c r="ADD29" s="110">
        <f>ADC29+BALANCING!ADD16</f>
        <v>12786839</v>
      </c>
      <c r="ADE29" s="110">
        <f>ADD29+BALANCING!ADE16</f>
        <v>12786839</v>
      </c>
      <c r="ADF29" s="110">
        <f>ADE29+BALANCING!ADF16</f>
        <v>12786839</v>
      </c>
      <c r="ADG29" s="110">
        <f>ADF29+BALANCING!ADG16</f>
        <v>13340339</v>
      </c>
      <c r="ADH29" s="110">
        <f>ADG29+BALANCING!ADH16</f>
        <v>14125063</v>
      </c>
      <c r="ADI29" s="130"/>
      <c r="ADJ29" s="110">
        <f>ADI29+BALANCING!ADJ16</f>
        <v>901989</v>
      </c>
      <c r="ADK29" s="110">
        <f>ADJ29+BALANCING!ADK16</f>
        <v>1244989</v>
      </c>
      <c r="ADL29" s="110">
        <f>ADK29+BALANCING!ADL16</f>
        <v>1593739</v>
      </c>
      <c r="ADM29" s="110">
        <f>ADL29+BALANCING!ADM16</f>
        <v>1693739</v>
      </c>
      <c r="ADN29" s="110">
        <f>ADM29+BALANCING!ADN16</f>
        <v>2144499</v>
      </c>
      <c r="ADO29" s="110">
        <f>ADN29+BALANCING!ADO16</f>
        <v>3155114</v>
      </c>
      <c r="ADP29" s="110">
        <f>ADO29+BALANCING!ADP16</f>
        <v>3717614</v>
      </c>
      <c r="ADQ29" s="110">
        <f>ADP29+BALANCING!ADQ16</f>
        <v>4519107</v>
      </c>
      <c r="ADR29" s="110">
        <f>ADQ29+BALANCING!ADR16</f>
        <v>4871665</v>
      </c>
      <c r="ADS29" s="110">
        <f>ADR29+BALANCING!ADS16</f>
        <v>5266915</v>
      </c>
      <c r="ADT29" s="110">
        <f>ADS29+BALANCING!ADT16</f>
        <v>5436915</v>
      </c>
      <c r="ADU29" s="110">
        <f>ADT29+BALANCING!ADU16</f>
        <v>5690876</v>
      </c>
      <c r="ADV29" s="110">
        <f>ADU29+BALANCING!ADV16</f>
        <v>6528876</v>
      </c>
      <c r="ADW29" s="110">
        <f>ADV29+BALANCING!ADW16</f>
        <v>7196876</v>
      </c>
      <c r="ADX29" s="110">
        <f>ADW29+BALANCING!ADX16</f>
        <v>8056376</v>
      </c>
      <c r="ADY29" s="110">
        <f>ADX29+BALANCING!ADY16</f>
        <v>8056376</v>
      </c>
      <c r="ADZ29" s="110">
        <f>ADY29+BALANCING!ADZ16</f>
        <v>8206376</v>
      </c>
      <c r="AEA29" s="110">
        <f>ADZ29+BALANCING!AEA16</f>
        <v>8688200</v>
      </c>
      <c r="AEB29" s="110">
        <f>AEA29+BALANCING!AEB16</f>
        <v>8688200</v>
      </c>
      <c r="AEC29" s="110">
        <f>AEB29+BALANCING!AEC16</f>
        <v>8920700</v>
      </c>
      <c r="AED29" s="110">
        <f>AEC29+BALANCING!AED16</f>
        <v>9166000</v>
      </c>
      <c r="AEE29" s="110">
        <f>AED29+BALANCING!AEE16</f>
        <v>9732328</v>
      </c>
      <c r="AEF29" s="110">
        <f>AEE29+BALANCING!AEF16</f>
        <v>10043626</v>
      </c>
      <c r="AEG29" s="110">
        <f>AEF29+BALANCING!AEG16</f>
        <v>10093626</v>
      </c>
      <c r="AEH29" s="110">
        <f>AEG29+BALANCING!AEH16</f>
        <v>10738626</v>
      </c>
      <c r="AEI29" s="110">
        <f>AEH29+BALANCING!AEI16</f>
        <v>10831626</v>
      </c>
      <c r="AEJ29" s="110">
        <f>AEI29+BALANCING!AEJ16</f>
        <v>10839626</v>
      </c>
      <c r="AEK29" s="110">
        <f>AEJ29+BALANCING!AEK16</f>
        <v>10839626</v>
      </c>
      <c r="AEL29" s="110">
        <f>AEK29+BALANCING!AEL16</f>
        <v>10989626</v>
      </c>
      <c r="AEM29" s="110">
        <f>AEL29+BALANCING!AEM16</f>
        <v>11245376</v>
      </c>
      <c r="AEN29" s="130"/>
      <c r="AEO29" s="110">
        <f>AEN29+BALANCING!AEO16</f>
        <v>789945</v>
      </c>
      <c r="AEP29" s="110">
        <f>AEO29+BALANCING!AEP16</f>
        <v>949945</v>
      </c>
      <c r="AEQ29" s="110">
        <f>AEP29+BALANCING!AEQ16</f>
        <v>949945</v>
      </c>
      <c r="AER29" s="110">
        <f>AEQ29+BALANCING!AER16</f>
        <v>949945</v>
      </c>
      <c r="AES29" s="110">
        <f>AER29+BALANCING!AES16</f>
        <v>1543883</v>
      </c>
      <c r="AET29" s="110">
        <f>AES29+BALANCING!AET16</f>
        <v>1852633</v>
      </c>
      <c r="AEU29" s="110">
        <f>AET29+BALANCING!AEU16</f>
        <v>1852633</v>
      </c>
      <c r="AEV29" s="110">
        <f>AEU29+BALANCING!AEV16</f>
        <v>2577133</v>
      </c>
      <c r="AEW29" s="110">
        <f>AEV29+BALANCING!AEW16</f>
        <v>2832883</v>
      </c>
      <c r="AEX29" s="110">
        <f>AEW29+BALANCING!AEX16</f>
        <v>3699750</v>
      </c>
      <c r="AEY29" s="110">
        <f>AEX29+BALANCING!AEY16</f>
        <v>3699750</v>
      </c>
      <c r="AEZ29" s="110">
        <f>AEY29+BALANCING!AEZ16</f>
        <v>3699750</v>
      </c>
      <c r="AFA29" s="110">
        <f>AEZ29+BALANCING!AFA16</f>
        <v>4315750</v>
      </c>
      <c r="AFB29" s="110">
        <f>AFA29+BALANCING!AFB16</f>
        <v>4315750</v>
      </c>
      <c r="AFC29" s="110">
        <f>AFB29+BALANCING!AFC16</f>
        <v>4755230</v>
      </c>
      <c r="AFD29" s="110">
        <f>AFC29+BALANCING!AFD16</f>
        <v>5005230</v>
      </c>
      <c r="AFE29" s="110">
        <f>AFD29+BALANCING!AFE16</f>
        <v>5005230</v>
      </c>
      <c r="AFF29" s="110">
        <f>AFE29+BALANCING!AFF16</f>
        <v>5377230</v>
      </c>
      <c r="AFG29" s="110">
        <f>AFF29+BALANCING!AFG16</f>
        <v>5377230</v>
      </c>
      <c r="AFH29" s="110">
        <f>AFG29+BALANCING!AFH16</f>
        <v>5377230</v>
      </c>
      <c r="AFI29" s="110">
        <f>AFH29+BALANCING!AFI16</f>
        <v>5377230</v>
      </c>
      <c r="AFJ29" s="110">
        <f>AFI29+BALANCING!AFJ16</f>
        <v>5516730</v>
      </c>
      <c r="AFK29" s="110">
        <f>AFJ29+BALANCING!AFK16</f>
        <v>5609730</v>
      </c>
      <c r="AFL29" s="110">
        <f>AFK29+BALANCING!AFL16</f>
        <v>5789730</v>
      </c>
      <c r="AFM29" s="110">
        <f>AFL29+BALANCING!AFM16</f>
        <v>5939730</v>
      </c>
      <c r="AFN29" s="110">
        <f>AFM29+BALANCING!AFN16</f>
        <v>5939730</v>
      </c>
      <c r="AFO29" s="110">
        <f>AFN29+BALANCING!AFO16</f>
        <v>6079230</v>
      </c>
      <c r="AFP29" s="110">
        <f>AFO29+BALANCING!AFP16</f>
        <v>6079230</v>
      </c>
      <c r="AFQ29" s="110">
        <f>AFP29+BALANCING!AFQ16</f>
        <v>6079230</v>
      </c>
      <c r="AFR29" s="110">
        <f>AFQ29+BALANCING!AFR16</f>
        <v>6200230</v>
      </c>
      <c r="AFS29" s="110">
        <f>AFR29+BALANCING!AFS16</f>
        <v>6208230</v>
      </c>
      <c r="AFT29" s="130"/>
      <c r="AFU29" s="110">
        <f>AFT29+BALANCING!AFU16</f>
        <v>693998</v>
      </c>
      <c r="AFV29" s="110">
        <f>AFU29+BALANCING!AFV16</f>
        <v>743998</v>
      </c>
      <c r="AFW29" s="110">
        <f>AFV29+BALANCING!AFW16</f>
        <v>743998</v>
      </c>
      <c r="AFX29" s="110">
        <f>AFW29+BALANCING!AFX16</f>
        <v>999748</v>
      </c>
      <c r="AFY29" s="110">
        <f>AFX29+BALANCING!AFY16</f>
        <v>1149748</v>
      </c>
      <c r="AFZ29" s="110">
        <f>AFY29+BALANCING!AFZ16</f>
        <v>1399748</v>
      </c>
      <c r="AGA29" s="110">
        <f>AFZ29+BALANCING!AGA16</f>
        <v>1655498</v>
      </c>
      <c r="AGB29" s="110">
        <f>AGA29+BALANCING!AGB16</f>
        <v>1655498</v>
      </c>
      <c r="AGC29" s="110">
        <f>AGB29+BALANCING!AGC16</f>
        <v>2014697</v>
      </c>
      <c r="AGD29" s="110">
        <f>AGC29+BALANCING!AGD16</f>
        <v>2014697</v>
      </c>
      <c r="AGE29" s="110">
        <f>AGD29+BALANCING!AGE16</f>
        <v>2014697</v>
      </c>
      <c r="AGF29" s="110">
        <f>AGE29+BALANCING!AGF16</f>
        <v>2114697</v>
      </c>
      <c r="AGG29" s="110">
        <f>AGF29+BALANCING!AGG16</f>
        <v>2264697</v>
      </c>
      <c r="AGH29" s="110">
        <f>AGG29+BALANCING!AGH16</f>
        <v>2414697</v>
      </c>
      <c r="AGI29" s="110">
        <f>AGH29+BALANCING!AGI16</f>
        <v>2566235</v>
      </c>
      <c r="AGJ29" s="110">
        <f>AGI29+BALANCING!AGJ16</f>
        <v>3915583</v>
      </c>
      <c r="AGK29" s="110">
        <f>AGJ29+BALANCING!AGK16</f>
        <v>4115583</v>
      </c>
      <c r="AGL29" s="110">
        <f>AGK29+BALANCING!AGL16</f>
        <v>4615583</v>
      </c>
      <c r="AGM29" s="110">
        <f>AGL29+BALANCING!AGM16</f>
        <v>4826608</v>
      </c>
      <c r="AGN29" s="110">
        <f>AGM29+BALANCING!AGN16</f>
        <v>4826608</v>
      </c>
      <c r="AGO29" s="110">
        <f>AGN29+BALANCING!AGO16</f>
        <v>5086608</v>
      </c>
      <c r="AGP29" s="110">
        <f>AGO29+BALANCING!AGP16</f>
        <v>5788842</v>
      </c>
      <c r="AGQ29" s="110">
        <f>AGP29+BALANCING!AGQ16</f>
        <v>6195832</v>
      </c>
      <c r="AGR29" s="110">
        <f>AGQ29+BALANCING!AGR16</f>
        <v>6346749</v>
      </c>
      <c r="AGS29" s="110">
        <f>AGR29+BALANCING!AGS16</f>
        <v>6346749</v>
      </c>
      <c r="AGT29" s="110">
        <f>AGS29+BALANCING!AGT16</f>
        <v>6346749</v>
      </c>
      <c r="AGU29" s="110">
        <f>AGT29+BALANCING!AGU16</f>
        <v>6346749</v>
      </c>
      <c r="AGV29" s="110">
        <f>AGU29+BALANCING!AGV16</f>
        <v>6376749</v>
      </c>
      <c r="AGW29" s="110">
        <f>AGV29+BALANCING!AGW16</f>
        <v>6577749</v>
      </c>
      <c r="AGX29" s="110">
        <f>AGW29+BALANCING!AGX16</f>
        <v>6627749</v>
      </c>
      <c r="AGY29" s="133"/>
      <c r="AGZ29" s="110">
        <f>AGY29+BALANCING!AGZ16</f>
        <v>0</v>
      </c>
      <c r="AHA29" s="110">
        <f>AGZ29+BALANCING!AHA16</f>
        <v>634000</v>
      </c>
      <c r="AHB29" s="110">
        <f>AHA29+BALANCING!AHB16</f>
        <v>854033</v>
      </c>
      <c r="AHC29" s="110">
        <f>AHB29+BALANCING!AHC16</f>
        <v>1299437</v>
      </c>
      <c r="AHD29" s="110">
        <f>AHC29+BALANCING!AHD16</f>
        <v>1971832</v>
      </c>
      <c r="AHE29" s="110">
        <f>AHD29+BALANCING!AHE16</f>
        <v>1971832</v>
      </c>
      <c r="AHF29" s="110">
        <f>AHE29+BALANCING!AHF16</f>
        <v>2818952</v>
      </c>
      <c r="AHG29" s="110">
        <f>AHF29+BALANCING!AHG16</f>
        <v>2818952</v>
      </c>
      <c r="AHH29" s="110">
        <f>AHG29+BALANCING!AHH16</f>
        <v>2818952</v>
      </c>
      <c r="AHI29" s="110">
        <f>AHH29+BALANCING!AHI16</f>
        <v>3068952</v>
      </c>
      <c r="AHJ29" s="110">
        <f>AHI29+BALANCING!AHJ16</f>
        <v>3068952</v>
      </c>
      <c r="AHK29" s="110">
        <f>AHJ29+BALANCING!AHK16</f>
        <v>3197430</v>
      </c>
      <c r="AHL29" s="110">
        <f>AHK29+BALANCING!AHL16</f>
        <v>3377430</v>
      </c>
      <c r="AHM29" s="110">
        <f>AHL29+BALANCING!AHM16</f>
        <v>3790440</v>
      </c>
      <c r="AHN29" s="110">
        <f>AHM29+BALANCING!AHN16</f>
        <v>3890440</v>
      </c>
      <c r="AHO29" s="110">
        <f>AHN29+BALANCING!AHO16</f>
        <v>3890440</v>
      </c>
      <c r="AHP29" s="110">
        <f>AHO29+BALANCING!AHP16</f>
        <v>4160549</v>
      </c>
      <c r="AHQ29" s="110">
        <f>AHP29+BALANCING!AHQ16</f>
        <v>4380549</v>
      </c>
      <c r="AHR29" s="110">
        <f>AHQ29+BALANCING!AHR16</f>
        <v>4495274</v>
      </c>
      <c r="AHS29" s="110">
        <f>AHR29+BALANCING!AHS16</f>
        <v>4495274</v>
      </c>
      <c r="AHT29" s="110">
        <f>AHS29+BALANCING!AHT16</f>
        <v>4595274</v>
      </c>
      <c r="AHU29" s="110">
        <f>AHT29+BALANCING!AHU16</f>
        <v>4595274</v>
      </c>
      <c r="AHV29" s="110">
        <f>AHU29+BALANCING!AHV16</f>
        <v>4595274</v>
      </c>
      <c r="AHW29" s="110">
        <f>AHV29+BALANCING!AHW16</f>
        <v>4595274</v>
      </c>
      <c r="AHX29" s="110">
        <f>AHW29+BALANCING!AHX16</f>
        <v>4595274</v>
      </c>
      <c r="AHY29" s="110">
        <f>AHX29+BALANCING!AHY16</f>
        <v>4695274</v>
      </c>
      <c r="AHZ29" s="110">
        <f>AHY29+BALANCING!AHZ16</f>
        <v>4835274</v>
      </c>
      <c r="AIA29" s="110">
        <f>AHZ29+BALANCING!AIA16</f>
        <v>5061839</v>
      </c>
      <c r="AIB29" s="110">
        <f>AIA29+BALANCING!AIB16</f>
        <v>5061839</v>
      </c>
      <c r="AIC29" s="110">
        <f>AIB29+BALANCING!AIC16</f>
        <v>5263839</v>
      </c>
      <c r="AID29" s="110">
        <f>AIC29+BALANCING!AID16</f>
        <v>5263839</v>
      </c>
      <c r="AIE29" s="130"/>
      <c r="AIF29" s="110">
        <f>AIE29+BALANCING!AIF16</f>
        <v>0</v>
      </c>
      <c r="AIG29" s="110">
        <f>AIF29+BALANCING!AIG16</f>
        <v>155646</v>
      </c>
      <c r="AIH29" s="110">
        <f>AIG29+BALANCING!AIH16</f>
        <v>155646</v>
      </c>
      <c r="AII29" s="110">
        <f>AIH29+BALANCING!AII16</f>
        <v>519695</v>
      </c>
      <c r="AIJ29" s="110">
        <f>AII29+BALANCING!AIJ16</f>
        <v>1067695</v>
      </c>
      <c r="AIK29" s="110">
        <f>AIJ29+BALANCING!AIK16</f>
        <v>1067695</v>
      </c>
      <c r="AIL29" s="110">
        <f>AIK29+BALANCING!AIL16</f>
        <v>2550361</v>
      </c>
      <c r="AIM29" s="110">
        <f>AIL29+BALANCING!AIM16</f>
        <v>3385361</v>
      </c>
      <c r="AIN29" s="110">
        <f>AIM29+BALANCING!AIN16</f>
        <v>3543135</v>
      </c>
      <c r="AIO29" s="110">
        <f>AIN29+BALANCING!AIO16</f>
        <v>5209285</v>
      </c>
      <c r="AIP29" s="110">
        <f>AIO29+BALANCING!AIP16</f>
        <v>5279285</v>
      </c>
      <c r="AIQ29" s="110">
        <f>AIP29+BALANCING!AIQ16</f>
        <v>6279385</v>
      </c>
      <c r="AIR29" s="110">
        <f>AIQ29+BALANCING!AIR16</f>
        <v>6279385</v>
      </c>
      <c r="AIS29" s="110">
        <f>AIR29+BALANCING!AIS16</f>
        <v>6279385</v>
      </c>
      <c r="AIT29" s="110">
        <f>AIS29+BALANCING!AIT16</f>
        <v>6279385</v>
      </c>
      <c r="AIU29" s="110">
        <f>AIT29+BALANCING!AIU16</f>
        <v>6279385</v>
      </c>
      <c r="AIV29" s="110">
        <f>AIU29+BALANCING!AIV16</f>
        <v>6279385</v>
      </c>
      <c r="AIW29" s="110">
        <f>AIV29+BALANCING!AIW16</f>
        <v>6279385</v>
      </c>
      <c r="AIX29" s="110">
        <f>AIW29+BALANCING!AIX16</f>
        <v>6679385</v>
      </c>
      <c r="AIY29" s="110">
        <f>AIX29+BALANCING!AIY16</f>
        <v>6829385</v>
      </c>
      <c r="AIZ29" s="110">
        <f>AIY29+BALANCING!AIZ16</f>
        <v>7273532</v>
      </c>
      <c r="AJA29" s="110">
        <f>AIZ29+BALANCING!AJA16</f>
        <v>7473512</v>
      </c>
      <c r="AJB29" s="110">
        <f>AJA29+BALANCING!AJB16</f>
        <v>7473512</v>
      </c>
      <c r="AJC29" s="110">
        <f>AJB29+BALANCING!AJC16</f>
        <v>7489512</v>
      </c>
      <c r="AJD29" s="110">
        <f>AJC29+BALANCING!AJD16</f>
        <v>7489512</v>
      </c>
      <c r="AJE29" s="110">
        <f>AJD29+BALANCING!AJE16</f>
        <v>7489512</v>
      </c>
      <c r="AJF29" s="110">
        <f>AJE29+BALANCING!AJF16</f>
        <v>7573512</v>
      </c>
      <c r="AJG29" s="110">
        <f>AJF29+BALANCING!AJG16</f>
        <v>9213162</v>
      </c>
      <c r="AJH29" s="110">
        <f>AJG29+BALANCING!AJH16</f>
        <v>9213162</v>
      </c>
      <c r="AJI29" s="110">
        <f>AJH29+BALANCING!AJI16</f>
        <v>9589131</v>
      </c>
      <c r="AJJ29" s="110">
        <f>AJI29+BALANCING!AJJ16</f>
        <v>9780589</v>
      </c>
      <c r="AJK29" s="145"/>
      <c r="AJL29" s="110">
        <f>AJK29+BALANCING!AJL16</f>
        <v>0</v>
      </c>
      <c r="AJM29" s="110">
        <f>AJL29+BALANCING!AJM16</f>
        <v>541930</v>
      </c>
      <c r="AJN29" s="110">
        <f>AJM29+BALANCING!AJN16</f>
        <v>1566101</v>
      </c>
      <c r="AJO29" s="110">
        <f>AJN29+BALANCING!AJO16</f>
        <v>1819046</v>
      </c>
      <c r="AJP29" s="110">
        <f>AJO29+BALANCING!AJP16</f>
        <v>1918946</v>
      </c>
      <c r="AJQ29" s="110">
        <f>AJP29+BALANCING!AJQ16</f>
        <v>1918946</v>
      </c>
      <c r="AJR29" s="110">
        <f>AJQ29+BALANCING!AJR16</f>
        <v>2228946</v>
      </c>
      <c r="AJS29" s="110">
        <f>AJR29+BALANCING!AJS16</f>
        <v>3534431</v>
      </c>
      <c r="AJT29" s="110">
        <f>AJS29+BALANCING!AJT16</f>
        <v>3764381</v>
      </c>
      <c r="AJU29" s="110">
        <f>AJT29+BALANCING!AJU16</f>
        <v>3864361</v>
      </c>
      <c r="AJV29" s="110">
        <f>AJU29+BALANCING!AJV16</f>
        <v>3864361</v>
      </c>
      <c r="AJW29" s="110">
        <f>AJV29+BALANCING!AJW16</f>
        <v>4064361</v>
      </c>
      <c r="AJX29" s="110">
        <f>AJW29+BALANCING!AJX16</f>
        <v>4344361</v>
      </c>
      <c r="AJY29" s="110">
        <f>AJX29+BALANCING!AJY16</f>
        <v>4344361</v>
      </c>
      <c r="AJZ29" s="110">
        <f>AJY29+BALANCING!AJZ16</f>
        <v>4394361</v>
      </c>
      <c r="AKA29" s="110">
        <f>AJZ29+BALANCING!AKA16</f>
        <v>4721314</v>
      </c>
      <c r="AKB29" s="110">
        <f>AKA29+BALANCING!AKB16</f>
        <v>4781347</v>
      </c>
      <c r="AKC29" s="110">
        <f>AKB29+BALANCING!AKC16</f>
        <v>4881327</v>
      </c>
      <c r="AKD29" s="110">
        <f>AKC29+BALANCING!AKD16</f>
        <v>4881327</v>
      </c>
      <c r="AKE29" s="110">
        <f>AKD29+BALANCING!AKE16</f>
        <v>5977395</v>
      </c>
      <c r="AKF29" s="110">
        <f>AKE29+BALANCING!AKF16</f>
        <v>6173966</v>
      </c>
      <c r="AKG29" s="110">
        <f>AKF29+BALANCING!AKG16</f>
        <v>6273966</v>
      </c>
      <c r="AKH29" s="110">
        <f>AKG29+BALANCING!AKH16</f>
        <v>6273966</v>
      </c>
      <c r="AKI29" s="110">
        <f>AKH29+BALANCING!AKI16</f>
        <v>6373946</v>
      </c>
      <c r="AKJ29" s="110">
        <f>AKI29+BALANCING!AKJ16</f>
        <v>6889871</v>
      </c>
      <c r="AKK29" s="110">
        <f>AKJ29+BALANCING!AKK16</f>
        <v>6913871</v>
      </c>
      <c r="AKL29" s="110">
        <f>AKK29+BALANCING!AKL16</f>
        <v>7443871</v>
      </c>
      <c r="AKM29" s="110">
        <f>AKL29+BALANCING!AKM16</f>
        <v>8043871</v>
      </c>
      <c r="AKN29" s="112"/>
      <c r="AKO29" s="110">
        <f>AKN29+BALANCING!AKO16</f>
        <v>501971</v>
      </c>
      <c r="AKP29" s="110">
        <f>AKO29+BALANCING!AKP16</f>
        <v>800839</v>
      </c>
      <c r="AKQ29" s="110">
        <f>AKP29+BALANCING!AKQ16</f>
        <v>1528594</v>
      </c>
      <c r="AKR29" s="110">
        <f>AKQ29+BALANCING!AKR16</f>
        <v>1747794</v>
      </c>
      <c r="AKS29" s="110">
        <f>AKR29+BALANCING!AKS16</f>
        <v>1943948</v>
      </c>
      <c r="AKT29" s="110">
        <f>AKS29+BALANCING!AKT16</f>
        <v>2492948</v>
      </c>
      <c r="AKU29" s="110">
        <f>AKT29+BALANCING!AKU16</f>
        <v>4901652</v>
      </c>
      <c r="AKV29" s="110">
        <f>AKU29+BALANCING!AKV16</f>
        <v>5051652</v>
      </c>
      <c r="AKW29" s="110">
        <f>AKV29+BALANCING!AKW16</f>
        <v>6492726</v>
      </c>
      <c r="AKX29" s="110">
        <f>AKW29+BALANCING!AKX16</f>
        <v>6934931</v>
      </c>
      <c r="AKY29" s="110">
        <f>AKX29+BALANCING!AKY16</f>
        <v>7434034</v>
      </c>
      <c r="AKZ29" s="110">
        <f>AKY29+BALANCING!AKZ16</f>
        <v>7484034</v>
      </c>
      <c r="ALA29" s="110">
        <f>AKZ29+BALANCING!ALA16</f>
        <v>7484034</v>
      </c>
      <c r="ALB29" s="110">
        <f>ALA29+BALANCING!ALB16</f>
        <v>7484034</v>
      </c>
      <c r="ALC29" s="110">
        <f>ALB29+BALANCING!ALC16</f>
        <v>7484034</v>
      </c>
      <c r="ALD29" s="110">
        <f>ALC29+BALANCING!ALD16</f>
        <v>7827781</v>
      </c>
      <c r="ALE29" s="110">
        <f>ALD29+BALANCING!ALE16</f>
        <v>8159775</v>
      </c>
      <c r="ALF29" s="110">
        <f>ALE29+BALANCING!ALF16</f>
        <v>8209775</v>
      </c>
      <c r="ALG29" s="110">
        <f>ALF29+BALANCING!ALG16</f>
        <v>8209775</v>
      </c>
      <c r="ALH29" s="110">
        <f>ALG29+BALANCING!ALH16</f>
        <v>8464775</v>
      </c>
      <c r="ALI29" s="110">
        <f>ALH29+BALANCING!ALI16</f>
        <v>8474775</v>
      </c>
      <c r="ALJ29" s="110">
        <f>ALI29+BALANCING!ALJ16</f>
        <v>8474775</v>
      </c>
      <c r="ALK29" s="110">
        <f>ALJ29+BALANCING!ALK16</f>
        <v>8474775</v>
      </c>
      <c r="ALL29" s="110">
        <f>ALK29+BALANCING!ALL16</f>
        <v>8634775</v>
      </c>
      <c r="ALM29" s="110">
        <f>ALL29+BALANCING!ALM16</f>
        <v>8694775</v>
      </c>
      <c r="ALN29" s="110">
        <f>ALM29+BALANCING!ALN16</f>
        <v>8744775</v>
      </c>
      <c r="ALO29" s="110">
        <f>ALN29+BALANCING!ALO16</f>
        <v>9147775</v>
      </c>
      <c r="ALP29" s="110">
        <f>ALO29+BALANCING!ALP16</f>
        <v>9302775</v>
      </c>
      <c r="ALQ29" s="110">
        <f>ALP29+BALANCING!ALQ16</f>
        <v>9859780</v>
      </c>
      <c r="ALR29" s="110">
        <f>ALQ29+BALANCING!ALR16</f>
        <v>10641780</v>
      </c>
      <c r="ALS29" s="110">
        <f>ALR29+BALANCING!ALS16</f>
        <v>11196685</v>
      </c>
      <c r="ALT29" s="130"/>
      <c r="ALU29" s="110">
        <f>ALT29+BALANCING!ALU16</f>
        <v>342000</v>
      </c>
      <c r="ALV29" s="110">
        <f>ALU29+BALANCING!ALV16</f>
        <v>392000</v>
      </c>
      <c r="ALW29" s="110">
        <f>ALV29+BALANCING!ALW16</f>
        <v>392000</v>
      </c>
      <c r="ALX29" s="110">
        <f>ALW29+BALANCING!ALX16</f>
        <v>473768</v>
      </c>
      <c r="ALY29" s="110">
        <f>ALX29+BALANCING!ALY16</f>
        <v>473768</v>
      </c>
      <c r="ALZ29" s="110">
        <f>ALY29+BALANCING!ALZ16</f>
        <v>751516</v>
      </c>
      <c r="AMA29" s="110">
        <f>ALZ29+BALANCING!AMA16</f>
        <v>1252516</v>
      </c>
      <c r="AMB29" s="110">
        <f>AMA29+BALANCING!AMB16</f>
        <v>2473794</v>
      </c>
      <c r="AMC29" s="110">
        <f>AMB29+BALANCING!AMC16</f>
        <v>3698156</v>
      </c>
      <c r="AMD29" s="110">
        <f>AMC29+BALANCING!AMD16</f>
        <v>4048156</v>
      </c>
      <c r="AME29" s="110">
        <f>AMD29+BALANCING!AME16</f>
        <v>4598156</v>
      </c>
      <c r="AMF29" s="110">
        <f>AME29+BALANCING!AMF16</f>
        <v>4987344</v>
      </c>
      <c r="AMG29" s="110">
        <f>AMF29+BALANCING!AMG16</f>
        <v>6146084</v>
      </c>
      <c r="AMH29" s="110">
        <f>AMG29+BALANCING!AMH16</f>
        <v>6251084</v>
      </c>
      <c r="AMI29" s="110">
        <f>AMH29+BALANCING!AMI16</f>
        <v>6929975</v>
      </c>
      <c r="AMJ29" s="110">
        <f>AMI29+BALANCING!AMJ16</f>
        <v>7250025</v>
      </c>
      <c r="AMK29" s="110">
        <f>AMJ29+BALANCING!AMK16</f>
        <v>7650025</v>
      </c>
      <c r="AML29" s="110">
        <f>AMK29+BALANCING!AML16</f>
        <v>7740025</v>
      </c>
      <c r="AMM29" s="110">
        <f>AML29+BALANCING!AMM16</f>
        <v>7900025</v>
      </c>
      <c r="AMN29" s="110">
        <f>AMM29+BALANCING!AMN16</f>
        <v>8196970</v>
      </c>
      <c r="AMO29" s="110">
        <f>AMN29+BALANCING!AMO16</f>
        <v>8196970</v>
      </c>
      <c r="AMP29" s="110">
        <f>AMO29+BALANCING!AMP16</f>
        <v>8262970</v>
      </c>
      <c r="AMQ29" s="110">
        <f>AMP29+BALANCING!AMQ16</f>
        <v>8262970</v>
      </c>
      <c r="AMR29" s="110">
        <f>AMQ29+BALANCING!AMR16</f>
        <v>8552970</v>
      </c>
      <c r="AMS29" s="110">
        <f>AMR29+BALANCING!AMS16</f>
        <v>8552970</v>
      </c>
      <c r="AMT29" s="110">
        <f>AMS29+BALANCING!AMT16</f>
        <v>9052970</v>
      </c>
      <c r="AMU29" s="110">
        <f>AMT29+BALANCING!AMU16</f>
        <v>9252970</v>
      </c>
      <c r="AMV29" s="110">
        <f>AMU29+BALANCING!AMV16</f>
        <v>9435970</v>
      </c>
      <c r="AMW29" s="110">
        <f>AMV29+BALANCING!AMW16</f>
        <v>9435970</v>
      </c>
      <c r="AMX29" s="110">
        <f>AMW29+BALANCING!AMX16</f>
        <v>9535970</v>
      </c>
      <c r="AMY29" s="130"/>
      <c r="AMZ29" s="110">
        <f>AMY29+BALANCING!AMZ16</f>
        <v>368818</v>
      </c>
      <c r="ANA29" s="110">
        <f>AMZ29+BALANCING!ANA16</f>
        <v>1519697</v>
      </c>
      <c r="ANB29" s="110">
        <f>ANA29+BALANCING!ANB16</f>
        <v>1754724</v>
      </c>
      <c r="ANC29" s="110">
        <f>ANB29+BALANCING!ANC16</f>
        <v>2477860</v>
      </c>
      <c r="AND29" s="110">
        <f>ANC29+BALANCING!AND16</f>
        <v>2747860</v>
      </c>
      <c r="ANE29" s="110">
        <f>AND29+BALANCING!ANE16</f>
        <v>4125880</v>
      </c>
      <c r="ANF29" s="110">
        <f>ANE29+BALANCING!ANF16</f>
        <v>4889870</v>
      </c>
      <c r="ANG29" s="110">
        <f>ANF29+BALANCING!ANG16</f>
        <v>4989870</v>
      </c>
      <c r="ANH29" s="110">
        <f>ANG29+BALANCING!ANH16</f>
        <v>5249870</v>
      </c>
      <c r="ANI29" s="110">
        <f>ANH29+BALANCING!ANI16</f>
        <v>6223700</v>
      </c>
      <c r="ANJ29" s="110">
        <f>ANI29+BALANCING!ANJ16</f>
        <v>7456010</v>
      </c>
      <c r="ANK29" s="110">
        <f>ANJ29+BALANCING!ANK16</f>
        <v>7496010</v>
      </c>
      <c r="ANL29" s="110">
        <f>ANK29+BALANCING!ANL16</f>
        <v>7546010</v>
      </c>
      <c r="ANM29" s="110">
        <f>ANL29+BALANCING!ANM16</f>
        <v>7915838</v>
      </c>
      <c r="ANN29" s="110">
        <f>ANM29+BALANCING!ANN16</f>
        <v>8095838</v>
      </c>
      <c r="ANO29" s="110">
        <f>ANN29+BALANCING!ANO16</f>
        <v>8095838</v>
      </c>
      <c r="ANP29" s="110">
        <f>ANO29+BALANCING!ANP16</f>
        <v>8224838</v>
      </c>
      <c r="ANQ29" s="110">
        <f>ANP29+BALANCING!ANQ16</f>
        <v>8224838</v>
      </c>
      <c r="ANR29" s="110">
        <f>ANQ29+BALANCING!ANR16</f>
        <v>9181838</v>
      </c>
      <c r="ANS29" s="110">
        <f>ANR29+BALANCING!ANS16</f>
        <v>9904045</v>
      </c>
      <c r="ANT29" s="110">
        <f>ANS29+BALANCING!ANT16</f>
        <v>9904045</v>
      </c>
      <c r="ANU29" s="110">
        <f>ANT29+BALANCING!ANU16</f>
        <v>10536692</v>
      </c>
      <c r="ANV29" s="110">
        <f>ANU29+BALANCING!ANV16</f>
        <v>10671692</v>
      </c>
      <c r="ANW29" s="110">
        <f>ANV29+BALANCING!ANW16</f>
        <v>10851692</v>
      </c>
      <c r="ANX29" s="110">
        <f>ANW29+BALANCING!ANX16</f>
        <v>11367692</v>
      </c>
      <c r="ANY29" s="110">
        <f>ANX29+BALANCING!ANY16</f>
        <v>11614692</v>
      </c>
      <c r="ANZ29" s="110">
        <f>ANY29+BALANCING!ANZ16</f>
        <v>12482714</v>
      </c>
      <c r="AOA29" s="110">
        <f>ANZ29+BALANCING!AOA16</f>
        <v>12482714</v>
      </c>
      <c r="AOB29" s="110">
        <f>AOA29+BALANCING!AOB16</f>
        <v>12482714</v>
      </c>
      <c r="AOC29" s="110">
        <f>AOB29+BALANCING!AOC16</f>
        <v>12582875</v>
      </c>
    </row>
    <row r="30" spans="1:1069" x14ac:dyDescent="0.2">
      <c r="A30" s="160"/>
      <c r="B30" t="s">
        <v>1662</v>
      </c>
      <c r="C30" s="52">
        <f>BALANCING!C17</f>
        <v>0</v>
      </c>
      <c r="D30" s="52">
        <f>BALANCING!D17</f>
        <v>30000</v>
      </c>
      <c r="E30" s="52">
        <f>D30+BALANCING!E17</f>
        <v>30000</v>
      </c>
      <c r="F30" s="52">
        <f>E30+BALANCING!F17</f>
        <v>30000</v>
      </c>
      <c r="G30" s="52">
        <f>F30+BALANCING!G17</f>
        <v>30000</v>
      </c>
      <c r="H30" s="52">
        <f>G30+BALANCING!H17</f>
        <v>30000</v>
      </c>
      <c r="I30" s="52">
        <f>H30+BALANCING!I17</f>
        <v>30000</v>
      </c>
      <c r="J30" s="52">
        <f>I30+BALANCING!J17</f>
        <v>80000</v>
      </c>
      <c r="K30" s="52">
        <f>J30+BALANCING!K17</f>
        <v>80000</v>
      </c>
      <c r="L30" s="52">
        <f>K30+BALANCING!L17</f>
        <v>80000</v>
      </c>
      <c r="M30" s="52">
        <f>L30+BALANCING!M17</f>
        <v>80000</v>
      </c>
      <c r="N30" s="52">
        <f>M30+BALANCING!N17</f>
        <v>80000</v>
      </c>
      <c r="O30" s="52">
        <f>N30+BALANCING!O17</f>
        <v>80000</v>
      </c>
      <c r="P30" s="52">
        <f>O30+BALANCING!P17</f>
        <v>80000</v>
      </c>
      <c r="Q30" s="52">
        <f>P30+BALANCING!Q17</f>
        <v>80000</v>
      </c>
      <c r="R30" s="52">
        <f>Q30+BALANCING!R17</f>
        <v>80000</v>
      </c>
      <c r="S30" s="52">
        <f>R30+BALANCING!S17</f>
        <v>142000</v>
      </c>
      <c r="T30" s="52">
        <f>S30+BALANCING!T17</f>
        <v>142000</v>
      </c>
      <c r="U30" s="52">
        <f>T30+BALANCING!U17</f>
        <v>142000</v>
      </c>
      <c r="V30" s="52">
        <f>U30+BALANCING!V17</f>
        <v>142000</v>
      </c>
      <c r="W30" s="52">
        <f>V30+BALANCING!W17</f>
        <v>142000</v>
      </c>
      <c r="X30" s="52">
        <f>W30+BALANCING!X17</f>
        <v>232000</v>
      </c>
      <c r="Y30" s="52">
        <f>X30+BALANCING!Y17</f>
        <v>232000</v>
      </c>
      <c r="Z30" s="52">
        <f>Y30+BALANCING!Z17</f>
        <v>232000</v>
      </c>
      <c r="AA30" s="52">
        <f>Z30+BALANCING!AA17</f>
        <v>232000</v>
      </c>
      <c r="AB30" s="52">
        <f>AA30+BALANCING!AB17</f>
        <v>232000</v>
      </c>
      <c r="AC30" s="52">
        <f>AB30+BALANCING!AC17</f>
        <v>232000</v>
      </c>
      <c r="AD30" s="52">
        <f>AC30+BALANCING!AD17</f>
        <v>232000</v>
      </c>
      <c r="AE30" s="52">
        <f>AD30+BALANCING!AE17</f>
        <v>232000</v>
      </c>
      <c r="AF30" s="52">
        <f>AE30+BALANCING!AF17</f>
        <v>232000</v>
      </c>
      <c r="AG30" s="52">
        <f>AF30+BALANCING!AG17</f>
        <v>232000</v>
      </c>
      <c r="AH30" s="98">
        <f>AG30</f>
        <v>232000</v>
      </c>
      <c r="AI30" s="82">
        <f>BALANCING!AI17</f>
        <v>0</v>
      </c>
      <c r="AJ30" s="82">
        <f>AI30+BALANCING!AJ17</f>
        <v>0</v>
      </c>
      <c r="AK30" s="82">
        <f>AJ30+BALANCING!AK17</f>
        <v>0</v>
      </c>
      <c r="AL30" s="82">
        <f>AK30+BALANCING!AL17</f>
        <v>0</v>
      </c>
      <c r="AM30" s="82">
        <f>AL30+BALANCING!AM17</f>
        <v>0</v>
      </c>
      <c r="AN30" s="82">
        <f>AM30+BALANCING!AN17</f>
        <v>200000</v>
      </c>
      <c r="AO30" s="82">
        <f>AN30+BALANCING!AO17</f>
        <v>200000</v>
      </c>
      <c r="AP30" s="82">
        <f>AO30+BALANCING!AP17</f>
        <v>200000</v>
      </c>
      <c r="AQ30" s="82">
        <f>AP30+BALANCING!AQ17</f>
        <v>200000</v>
      </c>
      <c r="AR30" s="82">
        <f>AQ30+BALANCING!AR17</f>
        <v>200000</v>
      </c>
      <c r="AS30" s="82">
        <f>AR30+BALANCING!AS17</f>
        <v>200000</v>
      </c>
      <c r="AT30" s="82">
        <f>AS30+BALANCING!AT17</f>
        <v>200000</v>
      </c>
      <c r="AU30" s="82">
        <f>AT30+BALANCING!AU17</f>
        <v>200000</v>
      </c>
      <c r="AV30" s="82">
        <f>AU30+BALANCING!AV17</f>
        <v>200000</v>
      </c>
      <c r="AW30" s="82">
        <f>AV30+BALANCING!AW17</f>
        <v>200000</v>
      </c>
      <c r="AX30" s="82">
        <f>AW30+BALANCING!AX17</f>
        <v>200000</v>
      </c>
      <c r="AY30" s="82">
        <f>AX30+BALANCING!AY17</f>
        <v>200000</v>
      </c>
      <c r="AZ30" s="82">
        <f>AY30+BALANCING!AZ17</f>
        <v>200000</v>
      </c>
      <c r="BA30" s="82">
        <f>AZ30+BALANCING!BA17</f>
        <v>200000</v>
      </c>
      <c r="BB30" s="82">
        <f>BA30+BALANCING!BB17</f>
        <v>200000</v>
      </c>
      <c r="BC30" s="82">
        <f>BB30+BALANCING!BC17</f>
        <v>200000</v>
      </c>
      <c r="BD30" s="82">
        <f>BC30+BALANCING!BD17</f>
        <v>200000</v>
      </c>
      <c r="BE30" s="82">
        <f>BD30+BALANCING!BE17</f>
        <v>200000</v>
      </c>
      <c r="BF30" s="82">
        <f>BE30+BALANCING!BF17</f>
        <v>200000</v>
      </c>
      <c r="BG30" s="82">
        <f>BF30+BALANCING!BG17</f>
        <v>200000</v>
      </c>
      <c r="BH30" s="82">
        <f>BG30+BALANCING!BH17</f>
        <v>200000</v>
      </c>
      <c r="BI30" s="82">
        <f>BH30+BALANCING!BI17</f>
        <v>200000</v>
      </c>
      <c r="BJ30" s="82">
        <f>BI30+BALANCING!BJ17</f>
        <v>200000</v>
      </c>
      <c r="BK30" s="82">
        <f>BJ30+BALANCING!BK17</f>
        <v>200000</v>
      </c>
      <c r="BL30" s="82">
        <f>BK30+BALANCING!BL17</f>
        <v>200000</v>
      </c>
      <c r="BM30" s="106">
        <v>0</v>
      </c>
      <c r="BN30" s="82">
        <f>BM30+BALANCING!BN17</f>
        <v>0</v>
      </c>
      <c r="BO30" s="82">
        <f>BN30+BALANCING!BO17</f>
        <v>0</v>
      </c>
      <c r="BP30" s="82">
        <f>BO30+BALANCING!BP17</f>
        <v>0</v>
      </c>
      <c r="BQ30" s="82">
        <f>BP30+BALANCING!BQ17</f>
        <v>0</v>
      </c>
      <c r="BR30" s="82">
        <f>BQ30+BALANCING!BR17</f>
        <v>0</v>
      </c>
      <c r="BS30" s="82">
        <f>BR30+BALANCING!BS17</f>
        <v>0</v>
      </c>
      <c r="BT30" s="82">
        <f>BS30+BALANCING!BT17</f>
        <v>0</v>
      </c>
      <c r="BU30" s="82">
        <f>BT30+BALANCING!BU17</f>
        <v>0</v>
      </c>
      <c r="BV30" s="82">
        <f>BU30+BALANCING!BV17</f>
        <v>0</v>
      </c>
      <c r="BW30" s="82">
        <f>BV30+BALANCING!BW17</f>
        <v>0</v>
      </c>
      <c r="BX30" s="82">
        <f>BW30+BALANCING!BX17</f>
        <v>0</v>
      </c>
      <c r="BY30" s="82">
        <f>BX30+BALANCING!BY17</f>
        <v>0</v>
      </c>
      <c r="BZ30" s="82">
        <f>BY30+BALANCING!BZ17</f>
        <v>0</v>
      </c>
      <c r="CA30" s="82">
        <f>BZ30+BALANCING!CA17</f>
        <v>0</v>
      </c>
      <c r="CB30" s="82">
        <f>CA30+BALANCING!CB17</f>
        <v>0</v>
      </c>
      <c r="CC30" s="82">
        <f>CB30+BALANCING!CC17</f>
        <v>0</v>
      </c>
      <c r="CD30" s="82">
        <f>CC30+BALANCING!CD17</f>
        <v>0</v>
      </c>
      <c r="CE30" s="82">
        <f>CD30+BALANCING!CE17</f>
        <v>0</v>
      </c>
      <c r="CF30" s="82">
        <f>CE30+BALANCING!CF17</f>
        <v>0</v>
      </c>
      <c r="CG30" s="82">
        <f>CF30+BALANCING!CG17</f>
        <v>0</v>
      </c>
      <c r="CH30" s="82">
        <f>CG30+BALANCING!CH17</f>
        <v>0</v>
      </c>
      <c r="CI30" s="82">
        <f>CH30+BALANCING!CI17</f>
        <v>0</v>
      </c>
      <c r="CJ30" s="82">
        <f>CI30+BALANCING!CJ17</f>
        <v>0</v>
      </c>
      <c r="CK30" s="82">
        <f>CJ30+BALANCING!CK17</f>
        <v>0</v>
      </c>
      <c r="CL30" s="82">
        <f>CK30+BALANCING!CL17</f>
        <v>0</v>
      </c>
      <c r="CM30" s="82">
        <f>CL30+BALANCING!CM17</f>
        <v>0</v>
      </c>
      <c r="CN30" s="82">
        <f>CM30+BALANCING!CN17</f>
        <v>130000</v>
      </c>
      <c r="CO30" s="82">
        <f>CN30+BALANCING!CO17</f>
        <v>130000</v>
      </c>
      <c r="CP30" s="82">
        <f>CO30+BALANCING!CP17</f>
        <v>130000</v>
      </c>
      <c r="CQ30" s="82">
        <f>CP30+BALANCING!CQ17</f>
        <v>130000</v>
      </c>
      <c r="CR30" s="82">
        <f>CQ30+BALANCING!CR17</f>
        <v>130000</v>
      </c>
      <c r="CT30" s="82">
        <f>CS30+BALANCING!CT17</f>
        <v>0</v>
      </c>
      <c r="CU30" s="82">
        <f>CT30+BALANCING!CU17</f>
        <v>0</v>
      </c>
      <c r="CV30" s="82">
        <f>CU30+BALANCING!CV17</f>
        <v>0</v>
      </c>
      <c r="CW30" s="82">
        <f>CV30+BALANCING!CW17</f>
        <v>0</v>
      </c>
      <c r="CX30" s="82">
        <f>CW30</f>
        <v>0</v>
      </c>
      <c r="CY30" s="82">
        <f>CX30+BALANCING!CY17</f>
        <v>0</v>
      </c>
      <c r="CZ30" s="82">
        <f>CY30+BALANCING!CZ17</f>
        <v>100000</v>
      </c>
      <c r="DA30" s="82">
        <f>CZ30+BALANCING!DA17</f>
        <v>100000</v>
      </c>
      <c r="DB30" s="82">
        <f>DA30+BALANCING!DB17</f>
        <v>305000</v>
      </c>
      <c r="DC30" s="82">
        <f>DB30+BALANCING!DC17</f>
        <v>305000</v>
      </c>
      <c r="DD30" s="82">
        <f>DC30+BALANCING!DD17</f>
        <v>305000</v>
      </c>
      <c r="DE30" s="82">
        <f>DD30+BALANCING!DE17</f>
        <v>305000</v>
      </c>
      <c r="DF30" s="82">
        <f>DE30+BALANCING!DF17</f>
        <v>305000</v>
      </c>
      <c r="DG30" s="82">
        <f>DF30+BALANCING!DG17</f>
        <v>305000</v>
      </c>
      <c r="DH30" s="82">
        <f>DG30+BALANCING!DH17</f>
        <v>305000</v>
      </c>
      <c r="DI30" s="82">
        <f>DH30+BALANCING!DI17</f>
        <v>305000</v>
      </c>
      <c r="DJ30" s="82">
        <f>DI30+BALANCING!DJ17</f>
        <v>305000</v>
      </c>
      <c r="DK30" s="82">
        <f>DJ30+BALANCING!DK17</f>
        <v>305000</v>
      </c>
      <c r="DL30" s="82">
        <f>DK30+BALANCING!DL17</f>
        <v>585000</v>
      </c>
      <c r="DM30" s="82">
        <f>DL30+BALANCING!DM17</f>
        <v>585000</v>
      </c>
      <c r="DN30" s="82">
        <f>DM30+BALANCING!DN17</f>
        <v>887000</v>
      </c>
      <c r="DO30" s="82">
        <f>DN30+BALANCING!DO17</f>
        <v>887000</v>
      </c>
      <c r="DP30" s="82">
        <f>DO30+BALANCING!DP17</f>
        <v>1013000</v>
      </c>
      <c r="DQ30" s="82">
        <f>DP30+BALANCING!DQ17</f>
        <v>1013000</v>
      </c>
      <c r="DR30" s="82">
        <f>DQ30+BALANCING!DR17</f>
        <v>1013000</v>
      </c>
      <c r="DS30" s="82">
        <f>DR30+BALANCING!DS17</f>
        <v>1013000</v>
      </c>
      <c r="DT30" s="82">
        <f>DS30+BALANCING!DT17</f>
        <v>1013000</v>
      </c>
      <c r="DU30" s="82">
        <f>DT30+BALANCING!DU17</f>
        <v>1013000</v>
      </c>
      <c r="DV30" s="82">
        <f>DU30+BALANCING!DV17</f>
        <v>1013000</v>
      </c>
      <c r="DW30" s="82">
        <f>DV30+BALANCING!DW17</f>
        <v>1013000</v>
      </c>
      <c r="DX30" s="117"/>
      <c r="DY30" s="82">
        <f>DX30+BALANCING!DY17</f>
        <v>0</v>
      </c>
      <c r="DZ30" s="82">
        <f>DY30+BALANCING!DZ17</f>
        <v>0</v>
      </c>
      <c r="EA30" s="82">
        <f>DZ30+BALANCING!EA17</f>
        <v>0</v>
      </c>
      <c r="EB30" s="82">
        <f>EA30+BALANCING!EB17</f>
        <v>0</v>
      </c>
      <c r="EC30" s="82">
        <f>EB30+BALANCING!EC17</f>
        <v>0</v>
      </c>
      <c r="ED30" s="82">
        <f>EC30+BALANCING!ED17</f>
        <v>0</v>
      </c>
      <c r="EE30" s="82">
        <f>ED30+BALANCING!EE17</f>
        <v>0</v>
      </c>
      <c r="EF30" s="82">
        <f>EE30+BALANCING!EF17</f>
        <v>0</v>
      </c>
      <c r="EG30" s="82">
        <f>EF30+BALANCING!EG17</f>
        <v>0</v>
      </c>
      <c r="EH30" s="82">
        <f>EG30+BALANCING!EH17</f>
        <v>0</v>
      </c>
      <c r="EI30" s="82">
        <f>EH30+BALANCING!EI17</f>
        <v>0</v>
      </c>
      <c r="EJ30" s="82">
        <f>EI30+BALANCING!EJ17</f>
        <v>0</v>
      </c>
      <c r="EK30" s="82">
        <f>EJ30+BALANCING!EK17</f>
        <v>0</v>
      </c>
      <c r="EL30" s="82">
        <f>EK30+BALANCING!EL17</f>
        <v>0</v>
      </c>
      <c r="EM30" s="82">
        <f>EL30+BALANCING!EM17</f>
        <v>0</v>
      </c>
      <c r="EN30" s="82">
        <f>EM30+BALANCING!EN17</f>
        <v>0</v>
      </c>
      <c r="EO30" s="82">
        <f>EN30+BALANCING!EO17</f>
        <v>0</v>
      </c>
      <c r="EP30" s="82">
        <f>EO30+BALANCING!EP17</f>
        <v>0</v>
      </c>
      <c r="EQ30" s="82">
        <f>EP30+BALANCING!EQ17</f>
        <v>0</v>
      </c>
      <c r="ER30" s="82">
        <f>EQ30+BALANCING!ER17</f>
        <v>0</v>
      </c>
      <c r="ES30" s="82">
        <f>ER30+BALANCING!ES17</f>
        <v>0</v>
      </c>
      <c r="ET30" s="82">
        <f>ES30+BALANCING!ET17</f>
        <v>0</v>
      </c>
      <c r="EU30" s="82">
        <f>ET30+BALANCING!EU17</f>
        <v>0</v>
      </c>
      <c r="EV30" s="82">
        <f>EU30+BALANCING!EV17</f>
        <v>0</v>
      </c>
      <c r="EW30" s="82">
        <f>EV30+BALANCING!EW17</f>
        <v>0</v>
      </c>
      <c r="EX30" s="82">
        <f>EW30+BALANCING!EX17</f>
        <v>0</v>
      </c>
      <c r="EY30" s="82">
        <f>EX30+BALANCING!EY17</f>
        <v>0</v>
      </c>
      <c r="EZ30" s="82">
        <f>EY30+BALANCING!EZ17</f>
        <v>0</v>
      </c>
      <c r="FA30" s="82">
        <f>EZ30+BALANCING!FA17</f>
        <v>0</v>
      </c>
      <c r="FB30" s="82">
        <f>FA30+BALANCING!FB17</f>
        <v>0</v>
      </c>
      <c r="FC30" s="82">
        <f>FB30+BALANCING!FC17</f>
        <v>0</v>
      </c>
      <c r="FD30" s="126"/>
      <c r="FE30" s="82">
        <f>FD30+BALANCING!FE17</f>
        <v>0</v>
      </c>
      <c r="FF30" s="82">
        <f>FE30+BALANCING!FF17</f>
        <v>0</v>
      </c>
      <c r="FG30" s="82">
        <f>FF30+BALANCING!FG17</f>
        <v>0</v>
      </c>
      <c r="FH30" s="82">
        <f>FG30+BALANCING!FH17</f>
        <v>0</v>
      </c>
      <c r="FI30" s="82">
        <f>FH30+BALANCING!FI17</f>
        <v>0</v>
      </c>
      <c r="FJ30" s="82">
        <f>FI30+BALANCING!FJ17</f>
        <v>0</v>
      </c>
      <c r="FK30" s="82">
        <f>FJ30+BALANCING!FK17</f>
        <v>0</v>
      </c>
      <c r="FL30" s="82">
        <f>FK30+BALANCING!FL17</f>
        <v>0</v>
      </c>
      <c r="FM30" s="82">
        <f>FL30+BALANCING!FM17</f>
        <v>0</v>
      </c>
      <c r="FN30" s="82">
        <f>FM30+BALANCING!FN17</f>
        <v>0</v>
      </c>
      <c r="FO30" s="82">
        <f>FN30+BALANCING!FO17</f>
        <v>0</v>
      </c>
      <c r="FP30" s="82">
        <f>FO30+BALANCING!FP17</f>
        <v>0</v>
      </c>
      <c r="FQ30" s="82">
        <f>FP30+BALANCING!FQ17</f>
        <v>0</v>
      </c>
      <c r="FR30" s="82">
        <f>FQ30+BALANCING!FR17</f>
        <v>0</v>
      </c>
      <c r="FS30" s="82">
        <f>FR30+BALANCING!FS17</f>
        <v>0</v>
      </c>
      <c r="FT30" s="82">
        <f>FS30+BALANCING!FT17</f>
        <v>0</v>
      </c>
      <c r="FU30" s="82">
        <f>FT30+BALANCING!FU17</f>
        <v>0</v>
      </c>
      <c r="FV30" s="82">
        <f>FU30+BALANCING!FV17</f>
        <v>0</v>
      </c>
      <c r="FW30" s="82">
        <f>FV30+BALANCING!FW17</f>
        <v>0</v>
      </c>
      <c r="FX30" s="82">
        <f>FW30+BALANCING!FX17</f>
        <v>0</v>
      </c>
      <c r="FY30" s="82">
        <f>FX30+BALANCING!FY17</f>
        <v>0</v>
      </c>
      <c r="FZ30" s="82">
        <f>FY30+BALANCING!FZ17</f>
        <v>0</v>
      </c>
      <c r="GA30" s="82">
        <f>FZ30+BALANCING!GA17</f>
        <v>0</v>
      </c>
      <c r="GB30" s="82">
        <f>GA30+BALANCING!GB17</f>
        <v>0</v>
      </c>
      <c r="GC30" s="82">
        <f>GB30+BALANCING!GC17</f>
        <v>0</v>
      </c>
      <c r="GD30" s="82">
        <f>GC30+BALANCING!GD17</f>
        <v>0</v>
      </c>
      <c r="GE30" s="82">
        <f>GD30+BALANCING!GE17</f>
        <v>0</v>
      </c>
      <c r="GF30" s="82">
        <f>GE30+BALANCING!GF17</f>
        <v>0</v>
      </c>
      <c r="GG30" s="82">
        <f>GF30+BALANCING!GG17</f>
        <v>0</v>
      </c>
      <c r="GH30" s="82">
        <f>GG30+BALANCING!GH17</f>
        <v>0</v>
      </c>
      <c r="GI30" s="82">
        <f>GH30+BALANCING!GI17</f>
        <v>0</v>
      </c>
      <c r="GJ30" s="130"/>
      <c r="HF30" s="110">
        <f>HE30+BALANCING!HF17</f>
        <v>24000</v>
      </c>
      <c r="HG30" s="110">
        <f>HF30+BALANCING!HG17</f>
        <v>334000</v>
      </c>
      <c r="HH30" s="110">
        <f>HG30+BALANCING!HH17</f>
        <v>334000</v>
      </c>
      <c r="HI30" s="110">
        <f>HH30+BALANCING!HI17</f>
        <v>334000</v>
      </c>
      <c r="HJ30" s="110">
        <f>HI30+BALANCING!HJ17</f>
        <v>646000</v>
      </c>
      <c r="HK30" s="110">
        <f>HJ30+BALANCING!HK17</f>
        <v>646000</v>
      </c>
      <c r="HL30" s="110">
        <f>HK30+BALANCING!HL17</f>
        <v>646000</v>
      </c>
      <c r="HM30" s="110">
        <f>HL30+BALANCING!HM17</f>
        <v>1030000</v>
      </c>
      <c r="HN30" s="130"/>
      <c r="HO30" s="110">
        <f>HN30+BALANCING!HO17</f>
        <v>0</v>
      </c>
      <c r="HP30" s="110">
        <f>HO30+BALANCING!HP17</f>
        <v>0</v>
      </c>
      <c r="HQ30" s="110">
        <f>HP30+BALANCING!HQ17</f>
        <v>0</v>
      </c>
      <c r="HR30" s="110">
        <f>HQ30+BALANCING!HR17</f>
        <v>0</v>
      </c>
      <c r="HS30" s="110">
        <f>HR30+BALANCING!HS17</f>
        <v>0</v>
      </c>
      <c r="HT30" s="110">
        <f>HS30+BALANCING!HT17</f>
        <v>312000</v>
      </c>
      <c r="HU30" s="110">
        <f>HT30+BALANCING!HU17</f>
        <v>312000</v>
      </c>
      <c r="HV30" s="110">
        <f>HU30+BALANCING!HV17</f>
        <v>312000</v>
      </c>
      <c r="HW30" s="110">
        <f>HV30+BALANCING!HW17</f>
        <v>312000</v>
      </c>
      <c r="HX30" s="110">
        <f>HW30+BALANCING!HX17</f>
        <v>312000</v>
      </c>
      <c r="HY30" s="110">
        <f>HX30+BALANCING!HY17</f>
        <v>312000</v>
      </c>
      <c r="HZ30" s="110">
        <f>HY30+BALANCING!HZ17</f>
        <v>312000</v>
      </c>
      <c r="IA30" s="110">
        <f>HZ30+BALANCING!IA17</f>
        <v>624000</v>
      </c>
      <c r="IB30" s="110">
        <f>IA30+BALANCING!IB17</f>
        <v>624000</v>
      </c>
      <c r="IC30" s="110">
        <f>IB30+BALANCING!IC17</f>
        <v>624000</v>
      </c>
      <c r="ID30" s="110">
        <f>IC30+BALANCING!ID17</f>
        <v>624000</v>
      </c>
      <c r="IE30" s="110">
        <f>ID30+BALANCING!IE17</f>
        <v>624000</v>
      </c>
      <c r="IF30" s="110">
        <f>IE30+BALANCING!IF17</f>
        <v>1009000</v>
      </c>
      <c r="IG30" s="110">
        <f>IF30+BALANCING!IG17</f>
        <v>1009000</v>
      </c>
      <c r="IH30" s="110">
        <f>IG30+BALANCING!IH17</f>
        <v>1009000</v>
      </c>
      <c r="II30" s="110">
        <f>IH30+BALANCING!II17</f>
        <v>1009000</v>
      </c>
      <c r="IJ30" s="110">
        <f>II30+BALANCING!IJ17</f>
        <v>1009000</v>
      </c>
      <c r="IK30" s="110">
        <f>IJ30+BALANCING!IK17</f>
        <v>1009000</v>
      </c>
      <c r="IL30" s="110">
        <f>IK30+BALANCING!IL17</f>
        <v>1009000</v>
      </c>
      <c r="IM30" s="110">
        <f>IL30+BALANCING!IM17</f>
        <v>1321000</v>
      </c>
      <c r="IN30" s="110">
        <f>IM30+BALANCING!IN17</f>
        <v>1321000</v>
      </c>
      <c r="IO30" s="110">
        <f>IN30+BALANCING!IO17</f>
        <v>1321000</v>
      </c>
      <c r="IP30" s="110">
        <f>IO30+BALANCING!IP17</f>
        <v>1321000</v>
      </c>
      <c r="IQ30" s="110">
        <f>IP30+BALANCING!IQ17</f>
        <v>1321000</v>
      </c>
      <c r="IR30" s="110">
        <f>IQ30+BALANCING!IR17</f>
        <v>1703000</v>
      </c>
      <c r="IS30" s="110">
        <f>IR30+BALANCING!IS17</f>
        <v>1703000</v>
      </c>
      <c r="IT30" s="130"/>
      <c r="IU30" s="110">
        <f>IT30+BALANCING!IU17</f>
        <v>0</v>
      </c>
      <c r="IV30" s="110">
        <f>IU30+BALANCING!IV17</f>
        <v>313000</v>
      </c>
      <c r="IW30" s="110">
        <f>IV30+BALANCING!IW17</f>
        <v>313000</v>
      </c>
      <c r="IX30" s="110">
        <f>IW30+BALANCING!IX17</f>
        <v>313000</v>
      </c>
      <c r="IY30" s="110">
        <f>IX30+BALANCING!IY17</f>
        <v>313000</v>
      </c>
      <c r="IZ30" s="110">
        <f>IY30+BALANCING!IZ17</f>
        <v>625000</v>
      </c>
      <c r="JA30" s="110">
        <f>IZ30+BALANCING!JA17</f>
        <v>625000</v>
      </c>
      <c r="JB30" s="110">
        <f>JA30+BALANCING!JB17</f>
        <v>625000</v>
      </c>
      <c r="JC30" s="110">
        <f>JB30+BALANCING!JC17</f>
        <v>625000</v>
      </c>
      <c r="JD30" s="110">
        <f>JC30+BALANCING!JD17</f>
        <v>625000</v>
      </c>
      <c r="JE30" s="110">
        <f>JD30+BALANCING!JE17</f>
        <v>943000</v>
      </c>
      <c r="JF30" s="110">
        <f>JE30+BALANCING!JF17</f>
        <v>943000</v>
      </c>
      <c r="JG30" s="110">
        <f>JF30+BALANCING!JG17</f>
        <v>943000</v>
      </c>
      <c r="JH30" s="110">
        <f>JG30+BALANCING!JH17</f>
        <v>943000</v>
      </c>
      <c r="JI30" s="110">
        <f>JH30+BALANCING!JI17</f>
        <v>1327000</v>
      </c>
      <c r="JJ30" s="110">
        <f>JI30+BALANCING!JJ17</f>
        <v>1327000</v>
      </c>
      <c r="JK30" s="110">
        <f>JJ30+BALANCING!JK17</f>
        <v>1327000</v>
      </c>
      <c r="JL30" s="110">
        <f>JK30+BALANCING!JL17</f>
        <v>1327000</v>
      </c>
      <c r="JM30" s="110">
        <f>JL30+BALANCING!JM17</f>
        <v>1639000</v>
      </c>
      <c r="JN30" s="110">
        <f>JM30+BALANCING!JN17</f>
        <v>1639000</v>
      </c>
      <c r="JO30" s="110">
        <f>JN30+BALANCING!JO17</f>
        <v>1639000</v>
      </c>
      <c r="JP30" s="110">
        <f>JO30+BALANCING!JP17</f>
        <v>1951000</v>
      </c>
      <c r="JQ30" s="110">
        <f>JP30+BALANCING!JQ17</f>
        <v>1951000</v>
      </c>
      <c r="JR30" s="110">
        <f>JQ30+BALANCING!JR17</f>
        <v>1951000</v>
      </c>
      <c r="JS30" s="110">
        <f>JR30+BALANCING!JS17</f>
        <v>2334000</v>
      </c>
      <c r="JT30" s="110">
        <f>JS30+BALANCING!JT17</f>
        <v>2334000</v>
      </c>
      <c r="JU30" s="110">
        <f>JT30+BALANCING!JU17</f>
        <v>2334000</v>
      </c>
      <c r="JV30" s="110">
        <f>JU30+BALANCING!JV17</f>
        <v>2334000</v>
      </c>
      <c r="JW30" s="110">
        <f>JV30+BALANCING!JW17</f>
        <v>2647000</v>
      </c>
      <c r="JX30" s="110">
        <f>JW30+BALANCING!JX17</f>
        <v>2647000</v>
      </c>
      <c r="JY30" s="133"/>
      <c r="JZ30" s="110">
        <f>JY30+BALANCING!JZ17</f>
        <v>0</v>
      </c>
      <c r="KA30" s="110">
        <f>JZ30+BALANCING!KA17</f>
        <v>0</v>
      </c>
      <c r="KB30" s="110">
        <f>KA30+BALANCING!KB17</f>
        <v>312000</v>
      </c>
      <c r="KC30" s="110">
        <f>KB30+BALANCING!KC17</f>
        <v>312000</v>
      </c>
      <c r="KD30" s="110">
        <f>KC30+BALANCING!KD17</f>
        <v>312000</v>
      </c>
      <c r="KE30" s="110">
        <f>KD30+BALANCING!KE17</f>
        <v>312000</v>
      </c>
      <c r="KF30" s="110">
        <f>KE30+BALANCING!KF17</f>
        <v>695000</v>
      </c>
      <c r="KG30" s="110">
        <f>KF30+BALANCING!KG17</f>
        <v>695000</v>
      </c>
      <c r="KH30" s="110">
        <f>KG30+BALANCING!KH17</f>
        <v>695000</v>
      </c>
      <c r="KI30" s="110">
        <f>KH30+BALANCING!KI17</f>
        <v>695000</v>
      </c>
      <c r="KJ30" s="110">
        <f>KI30+BALANCING!KJ17</f>
        <v>695000</v>
      </c>
      <c r="KK30" s="110">
        <f>KJ30+BALANCING!KK17</f>
        <v>695000</v>
      </c>
      <c r="KL30" s="110">
        <f>KK30+BALANCING!KL17</f>
        <v>695000</v>
      </c>
      <c r="KM30" s="110">
        <f>KL30+BALANCING!KM17</f>
        <v>1007000</v>
      </c>
      <c r="KN30" s="110">
        <f>KM30+BALANCING!KN17</f>
        <v>1007000</v>
      </c>
      <c r="KO30" s="110">
        <f>KN30+BALANCING!KO17</f>
        <v>1007000</v>
      </c>
      <c r="KP30" s="110">
        <f>KO30+BALANCING!KP17</f>
        <v>1389000</v>
      </c>
      <c r="KQ30" s="110">
        <f>KP30+BALANCING!KQ17</f>
        <v>1389000</v>
      </c>
      <c r="KR30" s="110">
        <f>KQ30+BALANCING!KR17</f>
        <v>1389000</v>
      </c>
      <c r="KS30" s="110">
        <f>KR30+BALANCING!KS17</f>
        <v>1701000</v>
      </c>
      <c r="KT30" s="110">
        <f>KS30+BALANCING!KT17</f>
        <v>1701000</v>
      </c>
      <c r="KU30" s="110">
        <f>KT30+BALANCING!KU17</f>
        <v>1701000</v>
      </c>
      <c r="KV30" s="110">
        <f>KU30+BALANCING!KV17</f>
        <v>1718000</v>
      </c>
      <c r="KW30" s="110">
        <f>KV30+BALANCING!KW17</f>
        <v>2100000</v>
      </c>
      <c r="KX30" s="110">
        <f>KW30+BALANCING!KX17</f>
        <v>2100000</v>
      </c>
      <c r="KY30" s="110">
        <f>KX30+BALANCING!KY17</f>
        <v>2100000</v>
      </c>
      <c r="KZ30" s="110">
        <f>KY30+BALANCING!KZ17</f>
        <v>2407000</v>
      </c>
      <c r="LA30" s="110">
        <f>KZ30+BALANCING!LA17</f>
        <v>2427000</v>
      </c>
      <c r="LB30" s="110">
        <f>LA30+BALANCING!LB17</f>
        <v>2427000</v>
      </c>
      <c r="LC30" s="110">
        <f>LB30+BALANCING!LC17</f>
        <v>2759200</v>
      </c>
      <c r="LD30" s="110">
        <f>LC30+BALANCING!LD17</f>
        <v>2759200</v>
      </c>
      <c r="LE30" s="130"/>
      <c r="LF30" s="110">
        <f>LE30+BALANCING!LF17</f>
        <v>0</v>
      </c>
      <c r="LG30" s="110">
        <f>LF30+BALANCING!LG17</f>
        <v>0</v>
      </c>
      <c r="LH30" s="110">
        <f>LG30+BALANCING!LH17</f>
        <v>0</v>
      </c>
      <c r="LI30" s="110">
        <f>LH30+BALANCING!LI17</f>
        <v>0</v>
      </c>
      <c r="LJ30" s="110">
        <f>LI30+BALANCING!LJ17</f>
        <v>0</v>
      </c>
      <c r="LK30" s="110">
        <f>LJ30+BALANCING!LK17</f>
        <v>0</v>
      </c>
      <c r="LL30" s="110">
        <f>LK30+BALANCING!LL17</f>
        <v>0</v>
      </c>
      <c r="LM30" s="110">
        <f>LL30+BALANCING!LM17</f>
        <v>0</v>
      </c>
      <c r="LN30" s="110">
        <f>LM30+BALANCING!LN17</f>
        <v>0</v>
      </c>
      <c r="LO30" s="110">
        <f>LN30+BALANCING!LO17</f>
        <v>0</v>
      </c>
      <c r="LP30" s="110">
        <f>LO30+BALANCING!LP17</f>
        <v>0</v>
      </c>
      <c r="LQ30" s="110">
        <f>LP30+BALANCING!LQ17</f>
        <v>0</v>
      </c>
      <c r="LR30" s="110">
        <f>LQ30+BALANCING!LR17</f>
        <v>0</v>
      </c>
      <c r="LS30" s="110">
        <f>LR30+BALANCING!LS17</f>
        <v>0</v>
      </c>
      <c r="LT30" s="110">
        <f>LS30+BALANCING!LT17</f>
        <v>0</v>
      </c>
      <c r="LU30" s="110">
        <f>LT30+BALANCING!LU17</f>
        <v>0</v>
      </c>
      <c r="LV30" s="110">
        <f>LU30+BALANCING!LV17</f>
        <v>0</v>
      </c>
      <c r="LW30" s="110">
        <f>LV30+BALANCING!LW17</f>
        <v>0</v>
      </c>
      <c r="LX30" s="110">
        <f>LW30+BALANCING!LX17</f>
        <v>0</v>
      </c>
      <c r="LY30" s="110">
        <f>LX30+BALANCING!LY17</f>
        <v>0</v>
      </c>
      <c r="LZ30" s="110">
        <f>LY30+BALANCING!LZ17</f>
        <v>0</v>
      </c>
      <c r="MA30" s="110">
        <f>LZ30+BALANCING!MA17</f>
        <v>0</v>
      </c>
      <c r="MB30" s="110">
        <f>MA30+BALANCING!MB17</f>
        <v>0</v>
      </c>
      <c r="MC30" s="110">
        <f>MB30+BALANCING!MC17</f>
        <v>40000</v>
      </c>
      <c r="MD30" s="110">
        <f>MC30+BALANCING!MD17</f>
        <v>40000</v>
      </c>
      <c r="ME30" s="110">
        <f>MD30+BALANCING!ME17</f>
        <v>40000</v>
      </c>
      <c r="MF30" s="110">
        <f>ME30+BALANCING!MF17</f>
        <v>40000</v>
      </c>
      <c r="MG30" s="110">
        <f>MF30+BALANCING!MG17</f>
        <v>40000</v>
      </c>
      <c r="MH30" s="110">
        <f>MG30+BALANCING!MH17</f>
        <v>40000</v>
      </c>
      <c r="MI30" s="110">
        <f>MH30+BALANCING!MI17</f>
        <v>40000</v>
      </c>
      <c r="MJ30" s="133"/>
      <c r="MK30" s="110">
        <f>MJ30+BALANCING!MK17</f>
        <v>0</v>
      </c>
      <c r="ML30" s="110">
        <f>MK30+BALANCING!ML17</f>
        <v>0</v>
      </c>
      <c r="MM30" s="110">
        <f>ML30+BALANCING!MM17</f>
        <v>0</v>
      </c>
      <c r="MN30" s="110">
        <f>MM30+BALANCING!MN17</f>
        <v>0</v>
      </c>
      <c r="MO30" s="110">
        <f>MN30+BALANCING!MO17</f>
        <v>0</v>
      </c>
      <c r="MP30" s="110">
        <f>MO30+BALANCING!MP17</f>
        <v>0</v>
      </c>
      <c r="MQ30" s="110">
        <f>MP30+BALANCING!MQ17</f>
        <v>0</v>
      </c>
      <c r="MR30" s="110">
        <f>MQ30+BALANCING!MR17</f>
        <v>0</v>
      </c>
      <c r="MS30" s="110">
        <f>MR30+BALANCING!MS17</f>
        <v>0</v>
      </c>
      <c r="MT30" s="110">
        <f>MS30+BALANCING!MT17</f>
        <v>0</v>
      </c>
      <c r="MU30" s="110">
        <f>MT30+BALANCING!MU17</f>
        <v>0</v>
      </c>
      <c r="MV30" s="110">
        <f>MU30+BALANCING!MV17</f>
        <v>0</v>
      </c>
      <c r="MW30" s="110">
        <f>MV30+BALANCING!MW17</f>
        <v>0</v>
      </c>
      <c r="MX30" s="110">
        <f>MW30+BALANCING!MX17</f>
        <v>0</v>
      </c>
      <c r="MY30" s="110">
        <f>MX30+BALANCING!MY17</f>
        <v>0</v>
      </c>
      <c r="MZ30" s="110">
        <f>MY30+BALANCING!MZ17</f>
        <v>0</v>
      </c>
      <c r="NA30" s="110">
        <f>MZ30+BALANCING!NA17</f>
        <v>0</v>
      </c>
      <c r="NB30" s="110">
        <f>NA30+BALANCING!NB17</f>
        <v>0</v>
      </c>
      <c r="NC30" s="110">
        <f>NB30+BALANCING!NC17</f>
        <v>0</v>
      </c>
      <c r="ND30" s="110">
        <f>NC30+BALANCING!ND17</f>
        <v>0</v>
      </c>
      <c r="NE30" s="110">
        <f>ND30+BALANCING!NE17</f>
        <v>0</v>
      </c>
      <c r="NF30" s="110">
        <f>NE30+BALANCING!NF17</f>
        <v>0</v>
      </c>
      <c r="NG30" s="110">
        <f>NF30+BALANCING!NG17</f>
        <v>0</v>
      </c>
      <c r="NH30" s="110">
        <f>NG30+BALANCING!NH17</f>
        <v>0</v>
      </c>
      <c r="NI30" s="110">
        <f>NH30+BALANCING!NI17</f>
        <v>0</v>
      </c>
      <c r="NJ30" s="110">
        <f>NI30+BALANCING!NJ17</f>
        <v>0</v>
      </c>
      <c r="NK30" s="110">
        <f>NJ30+BALANCING!NK17</f>
        <v>0</v>
      </c>
      <c r="NL30" s="110">
        <f>NK30+BALANCING!NL17</f>
        <v>0</v>
      </c>
      <c r="NM30" s="110">
        <f>NL30+BALANCING!NM17</f>
        <v>0</v>
      </c>
      <c r="NN30" s="110">
        <f>NM30+BALANCING!NN17</f>
        <v>0</v>
      </c>
      <c r="NO30" s="110">
        <f>NN30+BALANCING!NO17</f>
        <v>0</v>
      </c>
      <c r="NP30" s="133"/>
      <c r="NQ30" s="110">
        <f>NP30+BALANCING!NQ17</f>
        <v>0</v>
      </c>
      <c r="NR30" s="110">
        <f>NQ30+BALANCING!NR17</f>
        <v>0</v>
      </c>
      <c r="NS30" s="110">
        <f>NR30+BALANCING!NS17</f>
        <v>0</v>
      </c>
      <c r="NT30" s="110">
        <f>NS30+BALANCING!NT17</f>
        <v>0</v>
      </c>
      <c r="NU30" s="110">
        <f>NT30+BALANCING!NU17</f>
        <v>0</v>
      </c>
      <c r="NV30" s="110">
        <f>NU30+BALANCING!NV17</f>
        <v>0</v>
      </c>
      <c r="NW30" s="110">
        <f>NV30+BALANCING!NW17</f>
        <v>0</v>
      </c>
      <c r="NX30" s="110">
        <f>NW30+BALANCING!NX17</f>
        <v>0</v>
      </c>
      <c r="NY30" s="110">
        <f>NX30+BALANCING!NY17</f>
        <v>0</v>
      </c>
      <c r="NZ30" s="110">
        <f>NY30+BALANCING!NZ17</f>
        <v>0</v>
      </c>
      <c r="OA30" s="110">
        <f>NZ30+BALANCING!OA17</f>
        <v>0</v>
      </c>
      <c r="OB30" s="110">
        <f>OA30+BALANCING!OB17</f>
        <v>0</v>
      </c>
      <c r="OC30" s="110">
        <f>OB30+BALANCING!OC17</f>
        <v>0</v>
      </c>
      <c r="OD30" s="110">
        <f>OC30+BALANCING!OD17</f>
        <v>0</v>
      </c>
      <c r="OE30" s="110">
        <f>OD30+BALANCING!OE17</f>
        <v>0</v>
      </c>
      <c r="OF30" s="110">
        <f>OE30+BALANCING!OF17</f>
        <v>0</v>
      </c>
      <c r="OG30" s="110">
        <f>OF30+BALANCING!OG17</f>
        <v>0</v>
      </c>
      <c r="OH30" s="110">
        <f>OG30+BALANCING!OH17</f>
        <v>0</v>
      </c>
      <c r="OI30" s="110">
        <f>OH30+BALANCING!OI17</f>
        <v>0</v>
      </c>
      <c r="OJ30" s="110">
        <f>OI30+BALANCING!OJ17</f>
        <v>0</v>
      </c>
      <c r="OK30" s="110">
        <f>OJ30+BALANCING!OK17</f>
        <v>0</v>
      </c>
      <c r="OL30" s="110">
        <f>OK30+BALANCING!OL17</f>
        <v>0</v>
      </c>
      <c r="OM30" s="110">
        <f>OL30+BALANCING!OM17</f>
        <v>0</v>
      </c>
      <c r="ON30" s="110">
        <f>OM30+BALANCING!ON17</f>
        <v>0</v>
      </c>
      <c r="OO30" s="110">
        <f>ON30+BALANCING!OO17</f>
        <v>0</v>
      </c>
      <c r="OP30" s="110">
        <f>OO30+BALANCING!OP17</f>
        <v>0</v>
      </c>
      <c r="OQ30" s="110">
        <f>OP30+BALANCING!OQ17</f>
        <v>0</v>
      </c>
      <c r="OR30" s="110">
        <f>OQ30+BALANCING!OR17</f>
        <v>0</v>
      </c>
      <c r="OS30" s="110">
        <f>OR30+BALANCING!OS17</f>
        <v>0</v>
      </c>
      <c r="OT30" s="110">
        <f>OS30+BALANCING!OT17</f>
        <v>0</v>
      </c>
      <c r="OU30" s="110">
        <f>OT30+BALANCING!OU17</f>
        <v>0</v>
      </c>
      <c r="OV30" s="130"/>
      <c r="OW30" s="110">
        <f>OV30+BALANCING!OW17</f>
        <v>0</v>
      </c>
      <c r="OX30" s="110">
        <f>OW30+BALANCING!OX17</f>
        <v>0</v>
      </c>
      <c r="OY30" s="110">
        <f>OX30+BALANCING!OY17</f>
        <v>0</v>
      </c>
      <c r="OZ30" s="110">
        <f>OY30+BALANCING!OZ17</f>
        <v>0</v>
      </c>
      <c r="PA30" s="110">
        <f>OZ30+BALANCING!PA17</f>
        <v>0</v>
      </c>
      <c r="PB30" s="110">
        <f>PA30+BALANCING!PB17</f>
        <v>0</v>
      </c>
      <c r="PC30" s="110">
        <f>PB30+BALANCING!PC17</f>
        <v>0</v>
      </c>
      <c r="PD30" s="110">
        <f>PC30+BALANCING!PD17</f>
        <v>0</v>
      </c>
      <c r="PE30" s="110">
        <f>PD30+BALANCING!PE17</f>
        <v>0</v>
      </c>
      <c r="PF30" s="110">
        <f>PE30+BALANCING!PF17</f>
        <v>0</v>
      </c>
      <c r="PG30" s="110">
        <f>PF30+BALANCING!PG17</f>
        <v>0</v>
      </c>
      <c r="PH30" s="110">
        <f>PG30+BALANCING!PH17</f>
        <v>0</v>
      </c>
      <c r="PI30" s="110">
        <f>PH30+BALANCING!PI17</f>
        <v>0</v>
      </c>
      <c r="PJ30" s="110">
        <f>PI30+BALANCING!PJ17</f>
        <v>0</v>
      </c>
      <c r="PK30" s="110">
        <f>PJ30+BALANCING!PK17</f>
        <v>0</v>
      </c>
      <c r="PL30" s="110">
        <f>PK30+BALANCING!PL17</f>
        <v>0</v>
      </c>
      <c r="PM30" s="110">
        <f>PL30+BALANCING!PM17</f>
        <v>0</v>
      </c>
      <c r="PN30" s="110">
        <f>PM30+BALANCING!PN17</f>
        <v>0</v>
      </c>
      <c r="PO30" s="110">
        <f>PN30+BALANCING!PO17</f>
        <v>0</v>
      </c>
      <c r="PP30" s="110">
        <f>PO30+BALANCING!PP17</f>
        <v>0</v>
      </c>
      <c r="PQ30" s="110">
        <f>PP30+BALANCING!PQ17</f>
        <v>0</v>
      </c>
      <c r="PR30" s="110">
        <f>PQ30+BALANCING!PR17</f>
        <v>0</v>
      </c>
      <c r="PS30" s="110">
        <f>PR30+BALANCING!PS17</f>
        <v>0</v>
      </c>
      <c r="PT30" s="110">
        <f>PS30+BALANCING!PT17</f>
        <v>0</v>
      </c>
      <c r="PU30" s="110">
        <f>PT30+BALANCING!PU17</f>
        <v>0</v>
      </c>
      <c r="PV30" s="110">
        <f>PU30+BALANCING!PV17</f>
        <v>0</v>
      </c>
      <c r="PW30" s="110">
        <f>PV30+BALANCING!PW17</f>
        <v>0</v>
      </c>
      <c r="PX30" s="110">
        <f>PW30+BALANCING!PX17</f>
        <v>0</v>
      </c>
      <c r="PY30" s="110">
        <f>PX30+BALANCING!PY17</f>
        <v>0</v>
      </c>
      <c r="PZ30" s="110">
        <f>PY30+BALANCING!PZ17</f>
        <v>0</v>
      </c>
      <c r="QA30" s="130"/>
      <c r="QB30" s="110">
        <f>QA30+BALANCING!QB17</f>
        <v>0</v>
      </c>
      <c r="QC30" s="110">
        <f>QB30+BALANCING!QC17</f>
        <v>0</v>
      </c>
      <c r="QD30" s="110">
        <f>QC30+BALANCING!QD17</f>
        <v>0</v>
      </c>
      <c r="QE30" s="110">
        <f>QD30+BALANCING!QE17</f>
        <v>0</v>
      </c>
      <c r="QF30" s="110">
        <f>QE30+BALANCING!QF17</f>
        <v>0</v>
      </c>
      <c r="QG30" s="110">
        <f>QF30+BALANCING!QG17</f>
        <v>0</v>
      </c>
      <c r="QH30" s="110">
        <f>QG30+BALANCING!QH17</f>
        <v>0</v>
      </c>
      <c r="QI30" s="110">
        <f>QH30+BALANCING!QI17</f>
        <v>0</v>
      </c>
      <c r="QJ30" s="110">
        <f>QI30+BALANCING!QJ17</f>
        <v>0</v>
      </c>
      <c r="QK30" s="110">
        <f>QJ30+BALANCING!QK17</f>
        <v>0</v>
      </c>
      <c r="QL30" s="110">
        <f>QK30+BALANCING!QL17</f>
        <v>0</v>
      </c>
      <c r="QM30" s="110">
        <f>QL30+BALANCING!QM17</f>
        <v>0</v>
      </c>
      <c r="QN30" s="110">
        <f>QM30+BALANCING!QN17</f>
        <v>0</v>
      </c>
      <c r="QO30" s="110">
        <f>QN30+BALANCING!QO17</f>
        <v>0</v>
      </c>
      <c r="QP30" s="110">
        <f>QO30+BALANCING!QP17</f>
        <v>0</v>
      </c>
      <c r="QQ30" s="110">
        <f>QP30+BALANCING!QQ17</f>
        <v>0</v>
      </c>
      <c r="QR30" s="110">
        <f>QQ30+BALANCING!QR17</f>
        <v>0</v>
      </c>
      <c r="QS30" s="110">
        <f>QR30+BALANCING!QS17</f>
        <v>0</v>
      </c>
      <c r="QT30" s="110">
        <f>QS30+BALANCING!QT17</f>
        <v>0</v>
      </c>
      <c r="QU30" s="110">
        <f>QT30+BALANCING!QU17</f>
        <v>0</v>
      </c>
      <c r="QV30" s="110">
        <f>QU30+BALANCING!QV17</f>
        <v>0</v>
      </c>
      <c r="QW30" s="110">
        <f>QV30+BALANCING!QW17</f>
        <v>0</v>
      </c>
      <c r="QX30" s="110">
        <f>QW30+BALANCING!QX17</f>
        <v>0</v>
      </c>
      <c r="QY30" s="110">
        <f>QX30+BALANCING!QY17</f>
        <v>0</v>
      </c>
      <c r="QZ30" s="110">
        <f>QY30+BALANCING!QZ17</f>
        <v>0</v>
      </c>
      <c r="RA30" s="110">
        <f>QZ30+BALANCING!RA17</f>
        <v>0</v>
      </c>
      <c r="RB30" s="110">
        <f>RA30+BALANCING!RB17</f>
        <v>0</v>
      </c>
      <c r="RC30" s="110">
        <f>RB30+BALANCING!RC17</f>
        <v>0</v>
      </c>
      <c r="RD30" s="110">
        <f>RC30+BALANCING!RD17</f>
        <v>0</v>
      </c>
      <c r="RE30" s="110">
        <f>RD30+BALANCING!RE17</f>
        <v>0</v>
      </c>
      <c r="RF30" s="110">
        <f>RE30+BALANCING!RF17</f>
        <v>0</v>
      </c>
      <c r="RG30" s="130"/>
      <c r="RH30" s="110">
        <f>RG30+BALANCING!RH17</f>
        <v>0</v>
      </c>
      <c r="RI30" s="110">
        <f>RH30+BALANCING!RI17</f>
        <v>0</v>
      </c>
      <c r="RJ30" s="110">
        <f>RI30+BALANCING!RJ17</f>
        <v>0</v>
      </c>
      <c r="RK30" s="110">
        <f>RJ30+BALANCING!RK17</f>
        <v>0</v>
      </c>
      <c r="RL30" s="110">
        <f>RK30+BALANCING!RL17</f>
        <v>0</v>
      </c>
      <c r="RM30" s="110">
        <f>RL30+BALANCING!RM17</f>
        <v>0</v>
      </c>
      <c r="RN30" s="110">
        <f>RM30+BALANCING!RN17</f>
        <v>0</v>
      </c>
      <c r="RO30" s="110">
        <f>RN30+BALANCING!RO17</f>
        <v>0</v>
      </c>
      <c r="RP30" s="110">
        <f>RO30+BALANCING!RP17</f>
        <v>0</v>
      </c>
      <c r="RQ30" s="110">
        <f>RP30+BALANCING!RQ17</f>
        <v>0</v>
      </c>
      <c r="RR30" s="110">
        <f>RQ30+BALANCING!RR17</f>
        <v>0</v>
      </c>
      <c r="RS30" s="110">
        <f>RR30+BALANCING!RS17</f>
        <v>0</v>
      </c>
      <c r="RT30" s="110">
        <f>RS30+BALANCING!RT17</f>
        <v>0</v>
      </c>
      <c r="RU30" s="110">
        <f>RT30+BALANCING!RU17</f>
        <v>0</v>
      </c>
      <c r="RV30" s="110">
        <f>RU30+BALANCING!RV17</f>
        <v>0</v>
      </c>
      <c r="RW30" s="110">
        <f>RV30+BALANCING!RW17</f>
        <v>0</v>
      </c>
      <c r="RX30" s="110">
        <f>RW30+BALANCING!RX17</f>
        <v>0</v>
      </c>
      <c r="RY30" s="110">
        <f>RX30+BALANCING!RY17</f>
        <v>0</v>
      </c>
      <c r="RZ30" s="110">
        <f>RY30+BALANCING!RZ17</f>
        <v>0</v>
      </c>
      <c r="SA30" s="110">
        <f>RZ30+BALANCING!SA17</f>
        <v>0</v>
      </c>
      <c r="SB30" s="110">
        <f>SA30+BALANCING!SB17</f>
        <v>0</v>
      </c>
      <c r="SC30" s="110">
        <f>SB30+BALANCING!SC17</f>
        <v>0</v>
      </c>
      <c r="SD30" s="110">
        <f>SC30+BALANCING!SD17</f>
        <v>0</v>
      </c>
      <c r="SE30" s="110">
        <f>SD30+BALANCING!SE17</f>
        <v>0</v>
      </c>
      <c r="SF30" s="110">
        <f>SE30+BALANCING!SF17</f>
        <v>0</v>
      </c>
      <c r="SG30" s="110">
        <f>SF30+BALANCING!SG17</f>
        <v>0</v>
      </c>
      <c r="SH30" s="110">
        <f>SG30+BALANCING!SH17</f>
        <v>0</v>
      </c>
      <c r="SI30" s="110">
        <f>SH30+BALANCING!SI17</f>
        <v>0</v>
      </c>
      <c r="SJ30" s="110">
        <f>SI30+BALANCING!SJ17</f>
        <v>0</v>
      </c>
      <c r="SK30" s="110">
        <f>SJ30+BALANCING!SK17</f>
        <v>0</v>
      </c>
      <c r="SL30" s="130"/>
      <c r="SM30" s="110">
        <f>SL30+BALANCING!SM17</f>
        <v>0</v>
      </c>
      <c r="SN30" s="110">
        <f>SM30+BALANCING!SN17</f>
        <v>0</v>
      </c>
      <c r="SO30" s="110">
        <f>SN30+BALANCING!SO17</f>
        <v>0</v>
      </c>
      <c r="SP30" s="110">
        <f>SO30+BALANCING!SP17</f>
        <v>0</v>
      </c>
      <c r="SQ30" s="110">
        <f>SP30+BALANCING!SQ17</f>
        <v>0</v>
      </c>
      <c r="SR30" s="110">
        <f>SQ30+BALANCING!SR17</f>
        <v>0</v>
      </c>
      <c r="SS30" s="110">
        <f>SR30+BALANCING!SS17</f>
        <v>0</v>
      </c>
      <c r="ST30" s="110">
        <f>SS30+BALANCING!ST17</f>
        <v>0</v>
      </c>
      <c r="SU30" s="110">
        <f>ST30+BALANCING!SU17</f>
        <v>0</v>
      </c>
      <c r="SV30" s="110">
        <f>SU30+BALANCING!SV17</f>
        <v>0</v>
      </c>
      <c r="SW30" s="110">
        <f>SV30+BALANCING!SW17</f>
        <v>0</v>
      </c>
      <c r="SX30" s="110">
        <f>SW30+BALANCING!SX17</f>
        <v>0</v>
      </c>
      <c r="SY30" s="110">
        <f>SX30+BALANCING!SY17</f>
        <v>0</v>
      </c>
      <c r="SZ30" s="110">
        <f>SY30+BALANCING!SZ17</f>
        <v>0</v>
      </c>
      <c r="TA30" s="110">
        <f>SZ30+BALANCING!TA17</f>
        <v>0</v>
      </c>
      <c r="TB30" s="110">
        <f>TA30+BALANCING!TB17</f>
        <v>0</v>
      </c>
      <c r="TC30" s="110">
        <f>TB30+BALANCING!TC17</f>
        <v>0</v>
      </c>
      <c r="TD30" s="110">
        <f>TC30+BALANCING!TD17</f>
        <v>0</v>
      </c>
      <c r="TE30" s="110">
        <f>TD30+BALANCING!TE17</f>
        <v>0</v>
      </c>
      <c r="TF30" s="110">
        <f>TE30+BALANCING!TF17</f>
        <v>0</v>
      </c>
      <c r="TG30" s="110">
        <f>TF30+BALANCING!TG17</f>
        <v>0</v>
      </c>
      <c r="TH30" s="110">
        <f>TG30+BALANCING!TH17</f>
        <v>0</v>
      </c>
      <c r="TI30" s="110">
        <f>TH30+BALANCING!TI17</f>
        <v>0</v>
      </c>
      <c r="TJ30" s="110">
        <f>TI30+BALANCING!TJ17</f>
        <v>0</v>
      </c>
      <c r="TK30" s="110">
        <f>TJ30+BALANCING!TK17</f>
        <v>0</v>
      </c>
      <c r="TL30" s="110">
        <f>TK30+BALANCING!TL17</f>
        <v>0</v>
      </c>
      <c r="TM30" s="110">
        <f>TL30+BALANCING!TM17</f>
        <v>0</v>
      </c>
      <c r="TN30" s="110">
        <f>TM30+BALANCING!TN17</f>
        <v>0</v>
      </c>
      <c r="TO30" s="110">
        <f>TN30+BALANCING!TO17</f>
        <v>0</v>
      </c>
      <c r="TP30" s="110">
        <f>TO30+BALANCING!TP17</f>
        <v>0</v>
      </c>
      <c r="TQ30" s="110">
        <f>TP30+BALANCING!TQ17</f>
        <v>0</v>
      </c>
      <c r="TR30" s="130"/>
      <c r="TS30" s="110">
        <f>TR30+BALANCING!TS17</f>
        <v>0</v>
      </c>
      <c r="TT30" s="110">
        <f>TS30+BALANCING!TT17</f>
        <v>0</v>
      </c>
      <c r="TU30" s="110">
        <f>TT30+BALANCING!TU17</f>
        <v>0</v>
      </c>
      <c r="TV30" s="110">
        <f>TU30+BALANCING!TV17</f>
        <v>0</v>
      </c>
      <c r="TW30" s="110">
        <f t="shared" ref="TW30:TW36" si="652">TV30</f>
        <v>0</v>
      </c>
      <c r="TX30" s="110">
        <f>TW30+BALANCING!TX17</f>
        <v>0</v>
      </c>
      <c r="TY30" s="110">
        <f>TX30+BALANCING!TY17</f>
        <v>0</v>
      </c>
      <c r="TZ30" s="110">
        <f>TY30+BALANCING!TZ17</f>
        <v>0</v>
      </c>
      <c r="UA30" s="110">
        <f>TZ30+BALANCING!UA17</f>
        <v>0</v>
      </c>
      <c r="UB30" s="110">
        <f>UA30+BALANCING!UB17</f>
        <v>0</v>
      </c>
      <c r="UC30" s="110">
        <f>UB30+BALANCING!UC17</f>
        <v>0</v>
      </c>
      <c r="UD30" s="110">
        <f>UC30+BALANCING!UD17</f>
        <v>0</v>
      </c>
      <c r="UE30" s="110">
        <f>UD30+BALANCING!UE17</f>
        <v>0</v>
      </c>
      <c r="UF30" s="110">
        <f>UE30+BALANCING!UF17</f>
        <v>0</v>
      </c>
      <c r="UG30" s="110">
        <f>UF30+BALANCING!UG17</f>
        <v>0</v>
      </c>
      <c r="UH30" s="110">
        <f>UG30+BALANCING!UH17</f>
        <v>0</v>
      </c>
      <c r="UI30" s="110">
        <f>UH30+BALANCING!UI17</f>
        <v>0</v>
      </c>
      <c r="UJ30" s="110">
        <f>UI30+BALANCING!UJ17</f>
        <v>0</v>
      </c>
      <c r="UK30" s="110">
        <f>UJ30+BALANCING!UK17</f>
        <v>0</v>
      </c>
      <c r="UL30" s="110">
        <f>UK30+BALANCING!UL17</f>
        <v>0</v>
      </c>
      <c r="UM30" s="110">
        <f>UL30+BALANCING!UM17</f>
        <v>0</v>
      </c>
      <c r="UN30" s="110">
        <f>UM30+BALANCING!UN17</f>
        <v>0</v>
      </c>
      <c r="UO30" s="110">
        <f>UN30+BALANCING!UO17</f>
        <v>0</v>
      </c>
      <c r="UP30" s="110">
        <f>UO30+BALANCING!UP17</f>
        <v>0</v>
      </c>
      <c r="UQ30" s="110">
        <f>UP30+BALANCING!UQ17</f>
        <v>0</v>
      </c>
      <c r="UR30" s="110">
        <f>UQ30+BALANCING!UR17</f>
        <v>0</v>
      </c>
      <c r="US30" s="110">
        <f>UR30+BALANCING!US17</f>
        <v>0</v>
      </c>
      <c r="UT30" s="110">
        <f>US30+BALANCING!UT17</f>
        <v>0</v>
      </c>
      <c r="UU30" s="110">
        <f>UT30+BALANCING!UU17</f>
        <v>0</v>
      </c>
      <c r="UV30" s="110">
        <f>UU30+BALANCING!UV17</f>
        <v>0</v>
      </c>
      <c r="UW30" s="110">
        <f>UV30+BALANCING!UW17</f>
        <v>0</v>
      </c>
      <c r="UX30" s="130"/>
      <c r="UY30" s="110">
        <f>UX30+BALANCING!UY17</f>
        <v>0</v>
      </c>
      <c r="UZ30" s="110">
        <f>UY30+BALANCING!UZ17</f>
        <v>0</v>
      </c>
      <c r="VA30" s="110">
        <f>UZ30+BALANCING!VA17</f>
        <v>0</v>
      </c>
      <c r="VB30" s="110">
        <f>VA30+BALANCING!VB17</f>
        <v>0</v>
      </c>
      <c r="VC30" s="110">
        <f>VB30+BALANCING!VC17</f>
        <v>0</v>
      </c>
      <c r="VD30" s="110">
        <f>VC30+BALANCING!VD17</f>
        <v>0</v>
      </c>
      <c r="VE30" s="110">
        <f>VD30+BALANCING!VE17</f>
        <v>0</v>
      </c>
      <c r="VF30" s="110">
        <f>VE30+BALANCING!VF17</f>
        <v>0</v>
      </c>
      <c r="VG30" s="110">
        <f>VF30+BALANCING!VG17</f>
        <v>0</v>
      </c>
      <c r="VH30" s="110">
        <f>VG30+BALANCING!VH17</f>
        <v>0</v>
      </c>
      <c r="VI30" s="110">
        <f>VH30+BALANCING!VI17</f>
        <v>0</v>
      </c>
      <c r="VJ30" s="110">
        <f>VI30+BALANCING!VJ17</f>
        <v>0</v>
      </c>
      <c r="VK30" s="110">
        <f>VJ30+BALANCING!VK17</f>
        <v>0</v>
      </c>
      <c r="VL30" s="110">
        <f>VK30+BALANCING!VL17</f>
        <v>0</v>
      </c>
      <c r="VM30" s="110">
        <f>VL30+BALANCING!VM17</f>
        <v>0</v>
      </c>
      <c r="VN30" s="110">
        <f>VM30+BALANCING!VN17</f>
        <v>0</v>
      </c>
      <c r="VO30" s="110">
        <f>VN30+BALANCING!VO17</f>
        <v>0</v>
      </c>
      <c r="VP30" s="110">
        <f>VO30+BALANCING!VP17</f>
        <v>0</v>
      </c>
      <c r="VQ30" s="110">
        <f>VP30+BALANCING!VQ17</f>
        <v>0</v>
      </c>
      <c r="VR30" s="110">
        <f>VQ30+BALANCING!VR17</f>
        <v>0</v>
      </c>
      <c r="VS30" s="110">
        <f>VR30+BALANCING!VS17</f>
        <v>0</v>
      </c>
      <c r="VT30" s="110">
        <f>VS30+BALANCING!VT17</f>
        <v>0</v>
      </c>
      <c r="VU30" s="110">
        <f>VT30+BALANCING!VU17</f>
        <v>0</v>
      </c>
      <c r="VV30" s="110">
        <f>VU30+BALANCING!VV17</f>
        <v>0</v>
      </c>
      <c r="VW30" s="110">
        <f>VV30+BALANCING!VW17</f>
        <v>0</v>
      </c>
      <c r="VX30" s="110">
        <f>VW30+BALANCING!VX17</f>
        <v>0</v>
      </c>
      <c r="VY30" s="110">
        <f>VX30+BALANCING!VY17</f>
        <v>0</v>
      </c>
      <c r="VZ30" s="110">
        <f>VY30+BALANCING!VZ17</f>
        <v>0</v>
      </c>
      <c r="WA30" s="133"/>
      <c r="WB30" s="110">
        <f>WA30+BALANCING!WB17</f>
        <v>0</v>
      </c>
      <c r="WC30" s="110">
        <f>WB30+BALANCING!WC17</f>
        <v>0</v>
      </c>
      <c r="WD30" s="110">
        <f>WC30+BALANCING!WD17</f>
        <v>0</v>
      </c>
      <c r="WE30" s="110">
        <f>WD30+BALANCING!WE17</f>
        <v>0</v>
      </c>
      <c r="WF30" s="110">
        <f>WE30+BALANCING!WF17</f>
        <v>0</v>
      </c>
      <c r="WG30" s="110">
        <f>WF30+BALANCING!WG17</f>
        <v>0</v>
      </c>
      <c r="WH30" s="110">
        <f>WG30+BALANCING!WH17</f>
        <v>0</v>
      </c>
      <c r="WI30" s="110">
        <f>WH30+BALANCING!WI17</f>
        <v>0</v>
      </c>
      <c r="WJ30" s="110">
        <f>WI30+BALANCING!WJ17</f>
        <v>0</v>
      </c>
      <c r="WK30" s="110">
        <f>WJ30+BALANCING!WK17</f>
        <v>0</v>
      </c>
      <c r="WL30" s="110">
        <f>WK30+BALANCING!WL17</f>
        <v>0</v>
      </c>
      <c r="WM30" s="110">
        <f>WL30+BALANCING!WM17</f>
        <v>0</v>
      </c>
      <c r="WN30" s="110">
        <f>WM30+BALANCING!WN17</f>
        <v>0</v>
      </c>
      <c r="WO30" s="110">
        <f>WN30+BALANCING!WO17</f>
        <v>0</v>
      </c>
      <c r="WP30" s="110">
        <f>WO30+BALANCING!WP17</f>
        <v>0</v>
      </c>
      <c r="WQ30" s="110">
        <f>WP30+BALANCING!WQ17</f>
        <v>0</v>
      </c>
      <c r="WR30" s="110">
        <f>WQ30+BALANCING!WR17</f>
        <v>0</v>
      </c>
      <c r="WS30" s="110">
        <f>WR30+BALANCING!WS17</f>
        <v>0</v>
      </c>
      <c r="WT30" s="110">
        <f>WS30+BALANCING!WT17</f>
        <v>0</v>
      </c>
      <c r="WU30" s="110">
        <f>WT30+BALANCING!WU17</f>
        <v>0</v>
      </c>
      <c r="WV30" s="110">
        <f>WU30+BALANCING!WV17</f>
        <v>0</v>
      </c>
      <c r="WW30" s="110">
        <f>WV30+BALANCING!WW17</f>
        <v>170000</v>
      </c>
      <c r="WX30" s="110">
        <f>WW30+BALANCING!WX17</f>
        <v>170000</v>
      </c>
      <c r="WY30" s="110">
        <f>WX30+BALANCING!WY17</f>
        <v>170000</v>
      </c>
      <c r="WZ30" s="110">
        <f>WY30+BALANCING!WZ17</f>
        <v>170000</v>
      </c>
      <c r="XA30" s="110">
        <f>WZ30+BALANCING!XA17</f>
        <v>170000</v>
      </c>
      <c r="XB30" s="110">
        <f>XA30+BALANCING!XB17</f>
        <v>170000</v>
      </c>
      <c r="XC30" s="110">
        <f>XB30+BALANCING!XC17</f>
        <v>170000</v>
      </c>
      <c r="XD30" s="110">
        <f>XC30+BALANCING!XD17</f>
        <v>170000</v>
      </c>
      <c r="XE30" s="110">
        <f>XD30+BALANCING!XE17</f>
        <v>170000</v>
      </c>
      <c r="XF30" s="110">
        <f>XE30+BALANCING!XF17</f>
        <v>170000</v>
      </c>
      <c r="XG30" s="133"/>
      <c r="XH30" s="110">
        <f>XG30+BALANCING!XH17</f>
        <v>0</v>
      </c>
      <c r="XI30" s="110">
        <f>XH30+BALANCING!XI17</f>
        <v>0</v>
      </c>
      <c r="XJ30" s="110">
        <f>XI30+BALANCING!XJ17</f>
        <v>0</v>
      </c>
      <c r="XK30" s="110">
        <f>XJ30+BALANCING!XK17</f>
        <v>0</v>
      </c>
      <c r="XL30" s="110">
        <f>XK30+BALANCING!XL17</f>
        <v>6000</v>
      </c>
      <c r="XM30" s="110">
        <f>XL30+BALANCING!XM17</f>
        <v>785000</v>
      </c>
      <c r="XN30" s="110">
        <f>XM30+BALANCING!XN17</f>
        <v>785000</v>
      </c>
      <c r="XO30" s="110">
        <f>XN30+BALANCING!XO17</f>
        <v>1465000</v>
      </c>
      <c r="XP30" s="110">
        <f>XO30+BALANCING!XP17</f>
        <v>2134000</v>
      </c>
      <c r="XQ30" s="110">
        <f>XP30+BALANCING!XQ17</f>
        <v>2134000</v>
      </c>
      <c r="XR30" s="110">
        <f>XQ30+BALANCING!XR17</f>
        <v>2374000</v>
      </c>
      <c r="XS30" s="110">
        <f>XR30+BALANCING!XS17</f>
        <v>2374000</v>
      </c>
      <c r="XT30" s="110">
        <f>XS30+BALANCING!XT17</f>
        <v>2374000</v>
      </c>
      <c r="XU30" s="110">
        <f>XT30+BALANCING!XU17</f>
        <v>2374000</v>
      </c>
      <c r="XV30" s="110">
        <f>XU30+BALANCING!XV17</f>
        <v>2374000</v>
      </c>
      <c r="XW30" s="110">
        <f>XV30+BALANCING!XW17</f>
        <v>2374000</v>
      </c>
      <c r="XX30" s="110">
        <f>XW30+BALANCING!XX17</f>
        <v>2374000</v>
      </c>
      <c r="XY30" s="110">
        <f>XX30+BALANCING!XY17</f>
        <v>2374000</v>
      </c>
      <c r="XZ30" s="110">
        <f>XY30+BALANCING!XZ17</f>
        <v>2374000</v>
      </c>
      <c r="YA30" s="110">
        <f>XZ30+BALANCING!YA17</f>
        <v>2374000</v>
      </c>
      <c r="YB30" s="110">
        <f>YA30+BALANCING!YB17</f>
        <v>2374000</v>
      </c>
      <c r="YC30" s="110">
        <f>YB30+BALANCING!YC17</f>
        <v>2374000</v>
      </c>
      <c r="YD30" s="110">
        <f>YC30+BALANCING!YD17</f>
        <v>2374000</v>
      </c>
      <c r="YE30" s="110">
        <f>YD30+BALANCING!YE17</f>
        <v>2374000</v>
      </c>
      <c r="YF30" s="110">
        <f>YE30+BALANCING!YF17</f>
        <v>2374000</v>
      </c>
      <c r="YG30" s="110">
        <f>YF30+BALANCING!YG17</f>
        <v>2374000</v>
      </c>
      <c r="YH30" s="110">
        <f>YG30+BALANCING!YH17</f>
        <v>2374000</v>
      </c>
      <c r="YI30" s="110">
        <f>YH30+BALANCING!YI17</f>
        <v>2374000</v>
      </c>
      <c r="YJ30" s="110">
        <f>YI30+BALANCING!YJ17</f>
        <v>2374000</v>
      </c>
      <c r="YK30" s="110">
        <f>YJ30+BALANCING!YK17</f>
        <v>2374000</v>
      </c>
      <c r="YL30" s="130"/>
      <c r="YM30" s="110">
        <f>YL30+BALANCING!YM17</f>
        <v>0</v>
      </c>
      <c r="YN30" s="110">
        <f>YM30+BALANCING!YN17</f>
        <v>0</v>
      </c>
      <c r="YO30" s="110">
        <f>YN30+BALANCING!YO17</f>
        <v>1410000</v>
      </c>
      <c r="YP30" s="110">
        <f>YO30+BALANCING!YP17</f>
        <v>1410000</v>
      </c>
      <c r="YQ30" s="110">
        <f>YP30+BALANCING!YQ17</f>
        <v>1410000</v>
      </c>
      <c r="YR30" s="110">
        <f>YQ30+BALANCING!YR17</f>
        <v>1410000</v>
      </c>
      <c r="YS30" s="110">
        <f>YR30+BALANCING!YS17</f>
        <v>1410000</v>
      </c>
      <c r="YT30" s="110">
        <f>YS30+BALANCING!YT17</f>
        <v>1410000</v>
      </c>
      <c r="YU30" s="110">
        <f>YT30+BALANCING!YU17</f>
        <v>1410000</v>
      </c>
      <c r="YV30" s="110">
        <f>YU30+BALANCING!YV17</f>
        <v>1410000</v>
      </c>
      <c r="YW30" s="110">
        <f>YV30+BALANCING!YW17</f>
        <v>1410000</v>
      </c>
      <c r="YX30" s="110">
        <f>YW30+BALANCING!YX17</f>
        <v>1410000</v>
      </c>
      <c r="YY30" s="110">
        <f>YX30+BALANCING!YY17</f>
        <v>1410000</v>
      </c>
      <c r="YZ30" s="110">
        <f>YY30+BALANCING!YZ17</f>
        <v>1410000</v>
      </c>
      <c r="ZA30" s="110">
        <f>YZ30+BALANCING!ZA17</f>
        <v>1810000</v>
      </c>
      <c r="ZB30" s="110">
        <f>ZA30+BALANCING!ZB17</f>
        <v>1810000</v>
      </c>
      <c r="ZC30" s="110">
        <f>ZB30+BALANCING!ZC17</f>
        <v>1810000</v>
      </c>
      <c r="ZD30" s="110">
        <f>ZC30+BALANCING!ZD17</f>
        <v>1810000</v>
      </c>
      <c r="ZE30" s="110">
        <f>ZD30+BALANCING!ZE17</f>
        <v>1810000</v>
      </c>
      <c r="ZF30" s="110">
        <f>ZE30+BALANCING!ZF17</f>
        <v>1810000</v>
      </c>
      <c r="ZG30" s="110">
        <f>ZF30+BALANCING!ZG17</f>
        <v>1810000</v>
      </c>
      <c r="ZH30" s="110">
        <f>ZG30+BALANCING!ZH17</f>
        <v>1810000</v>
      </c>
      <c r="ZI30" s="110">
        <f>ZH30+BALANCING!ZI17</f>
        <v>1810000</v>
      </c>
      <c r="ZJ30" s="110">
        <f>ZI30+BALANCING!ZJ17</f>
        <v>1810000</v>
      </c>
      <c r="ZK30" s="110">
        <f>ZJ30+BALANCING!ZK17</f>
        <v>1810000</v>
      </c>
      <c r="ZL30" s="110">
        <f>ZK30+BALANCING!ZL17</f>
        <v>1810000</v>
      </c>
      <c r="ZM30" s="110">
        <f>ZL30+BALANCING!ZM17</f>
        <v>1810000</v>
      </c>
      <c r="ZN30" s="110">
        <f>ZM30+BALANCING!ZN17</f>
        <v>1810000</v>
      </c>
      <c r="ZO30" s="110">
        <f>ZN30+BALANCING!ZO17</f>
        <v>1810000</v>
      </c>
      <c r="ZP30" s="110">
        <f>ZO30+BALANCING!ZP17</f>
        <v>1810000</v>
      </c>
      <c r="ZQ30" s="110">
        <f>ZP30+BALANCING!ZQ17</f>
        <v>1810000</v>
      </c>
      <c r="ZR30" s="130"/>
      <c r="ZS30" s="110">
        <f>ZR30+BALANCING!ZS17</f>
        <v>0</v>
      </c>
      <c r="ZT30" s="110">
        <f>ZS30+BALANCING!ZT17</f>
        <v>0</v>
      </c>
      <c r="ZU30" s="110">
        <f>ZT30+BALANCING!ZU17</f>
        <v>0</v>
      </c>
      <c r="ZV30" s="110">
        <f>ZU30+BALANCING!ZV17</f>
        <v>0</v>
      </c>
      <c r="ZW30" s="110">
        <f>ZV30+BALANCING!ZW17</f>
        <v>0</v>
      </c>
      <c r="ZX30" s="110">
        <f>ZW30+BALANCING!ZX17</f>
        <v>0</v>
      </c>
      <c r="ZY30" s="110">
        <f>ZX30+BALANCING!ZY17</f>
        <v>0</v>
      </c>
      <c r="ZZ30" s="110">
        <f>ZY30+BALANCING!ZZ17</f>
        <v>0</v>
      </c>
      <c r="AAA30" s="110">
        <f>ZZ30+BALANCING!AAA17</f>
        <v>0</v>
      </c>
      <c r="AAB30" s="110">
        <f>AAA30+BALANCING!AAB17</f>
        <v>0</v>
      </c>
      <c r="AAC30" s="110">
        <f>AAB30+BALANCING!AAC17</f>
        <v>0</v>
      </c>
      <c r="AAD30" s="110">
        <f>AAC30+BALANCING!AAD17</f>
        <v>0</v>
      </c>
      <c r="AAE30" s="110">
        <f>AAD30+BALANCING!AAE17</f>
        <v>0</v>
      </c>
      <c r="AAF30" s="110">
        <f>AAE30+BALANCING!AAF17</f>
        <v>0</v>
      </c>
      <c r="AAG30" s="110">
        <f>AAF30+BALANCING!AAG17</f>
        <v>0</v>
      </c>
      <c r="AAH30" s="110">
        <f>AAG30+BALANCING!AAH17</f>
        <v>0</v>
      </c>
      <c r="AAI30" s="110">
        <f>AAH30+BALANCING!AAI17</f>
        <v>0</v>
      </c>
      <c r="AAJ30" s="110">
        <f>AAI30+BALANCING!AAJ17</f>
        <v>0</v>
      </c>
      <c r="AAK30" s="110">
        <f>AAJ30+BALANCING!AAK17</f>
        <v>0</v>
      </c>
      <c r="AAL30" s="110">
        <f>AAK30+BALANCING!AAL17</f>
        <v>0</v>
      </c>
      <c r="AAM30" s="110">
        <f>AAL30+BALANCING!AAM17</f>
        <v>0</v>
      </c>
      <c r="AAN30" s="110">
        <f>AAM30+BALANCING!AAN17</f>
        <v>0</v>
      </c>
      <c r="AAO30" s="110">
        <f>AAN30+BALANCING!AAO17</f>
        <v>0</v>
      </c>
      <c r="AAP30" s="110">
        <f>AAO30+BALANCING!AAP17</f>
        <v>0</v>
      </c>
      <c r="AAQ30" s="110">
        <f>AAP30+BALANCING!AAQ17</f>
        <v>0</v>
      </c>
      <c r="AAR30" s="110">
        <f>AAQ30+BALANCING!AAR17</f>
        <v>0</v>
      </c>
      <c r="AAS30" s="110">
        <f>AAR30+BALANCING!AAS17</f>
        <v>0</v>
      </c>
      <c r="AAT30" s="110">
        <f>AAS30+BALANCING!AAT17</f>
        <v>0</v>
      </c>
      <c r="AAU30" s="110">
        <f>AAT30+BALANCING!AAU17</f>
        <v>0</v>
      </c>
      <c r="AAV30" s="110">
        <f>AAU30+BALANCING!AAV17</f>
        <v>0</v>
      </c>
      <c r="AAW30" s="130"/>
      <c r="AAX30" s="110">
        <f>AAW30+BALANCING!AAX17</f>
        <v>0</v>
      </c>
      <c r="AAY30" s="110">
        <f>AAX30+BALANCING!AAY17</f>
        <v>0</v>
      </c>
      <c r="AAZ30" s="110">
        <f>AAY30+BALANCING!AAZ17</f>
        <v>0</v>
      </c>
      <c r="ABA30" s="110">
        <f>AAZ30+BALANCING!ABA17</f>
        <v>0</v>
      </c>
      <c r="ABB30" s="110">
        <f>ABA30+BALANCING!ABB17</f>
        <v>0</v>
      </c>
      <c r="ABC30" s="110">
        <f>ABB30+BALANCING!ABC17</f>
        <v>0</v>
      </c>
      <c r="ABD30" s="110">
        <f>ABC30+BALANCING!ABD17</f>
        <v>0</v>
      </c>
      <c r="ABE30" s="110">
        <f>ABD30+BALANCING!ABE17</f>
        <v>0</v>
      </c>
      <c r="ABF30" s="110">
        <f>ABE30+BALANCING!ABF17</f>
        <v>0</v>
      </c>
      <c r="ABG30" s="110">
        <f>ABF30+BALANCING!ABG17</f>
        <v>0</v>
      </c>
      <c r="ABH30" s="110">
        <f>ABG30+BALANCING!ABH17</f>
        <v>0</v>
      </c>
      <c r="ABI30" s="110">
        <f>ABH30+BALANCING!ABI17</f>
        <v>0</v>
      </c>
      <c r="ABJ30" s="110">
        <f>ABI30+BALANCING!ABJ17</f>
        <v>0</v>
      </c>
      <c r="ABK30" s="110">
        <f>ABJ30+BALANCING!ABK17</f>
        <v>0</v>
      </c>
      <c r="ABL30" s="110">
        <f>ABK30+BALANCING!ABL17</f>
        <v>0</v>
      </c>
      <c r="ABM30" s="110">
        <f>ABL30+BALANCING!ABM17</f>
        <v>0</v>
      </c>
      <c r="ABN30" s="110">
        <f>ABM30+BALANCING!ABN17</f>
        <v>0</v>
      </c>
      <c r="ABO30" s="110">
        <f>ABN30+BALANCING!ABO17</f>
        <v>0</v>
      </c>
      <c r="ABP30" s="110">
        <f>ABO30+BALANCING!ABP17</f>
        <v>0</v>
      </c>
      <c r="ABQ30" s="110">
        <f>ABP30+BALANCING!ABQ17</f>
        <v>0</v>
      </c>
      <c r="ABR30" s="110">
        <f>ABQ30+BALANCING!ABR17</f>
        <v>0</v>
      </c>
      <c r="ABS30" s="110">
        <f>ABR30+BALANCING!ABS17</f>
        <v>0</v>
      </c>
      <c r="ABT30" s="110">
        <f>ABS30+BALANCING!ABT17</f>
        <v>0</v>
      </c>
      <c r="ABU30" s="110">
        <f>ABT30+BALANCING!ABU17</f>
        <v>0</v>
      </c>
      <c r="ABV30" s="110">
        <f>ABU30+BALANCING!ABV17</f>
        <v>0</v>
      </c>
      <c r="ABW30" s="110">
        <f>ABV30+BALANCING!ABW17</f>
        <v>0</v>
      </c>
      <c r="ABX30" s="110">
        <f>ABW30+BALANCING!ABX17</f>
        <v>0</v>
      </c>
      <c r="ABY30" s="110">
        <f>ABX30+BALANCING!ABY17</f>
        <v>0</v>
      </c>
      <c r="ABZ30" s="110">
        <f>ABY30+BALANCING!ABZ17</f>
        <v>0</v>
      </c>
      <c r="ACA30" s="110">
        <f>ABZ30+BALANCING!ACA17</f>
        <v>0</v>
      </c>
      <c r="ACB30" s="110">
        <f>ACA30+BALANCING!ACB17</f>
        <v>0</v>
      </c>
      <c r="ACC30" s="130"/>
      <c r="ACD30" s="110">
        <f>ACC30+BALANCING!ACD17</f>
        <v>0</v>
      </c>
      <c r="ACE30" s="110">
        <f>ACD30+BALANCING!ACE17</f>
        <v>0</v>
      </c>
      <c r="ACF30" s="110">
        <f>ACE30+BALANCING!ACF17</f>
        <v>0</v>
      </c>
      <c r="ACG30" s="110">
        <f>ACF30+BALANCING!ACG17</f>
        <v>0</v>
      </c>
      <c r="ACH30" s="110">
        <f>ACG30+BALANCING!ACH17</f>
        <v>0</v>
      </c>
      <c r="ACI30" s="110">
        <f>ACH30+BALANCING!ACI17</f>
        <v>0</v>
      </c>
      <c r="ACJ30" s="110">
        <f>ACI30+BALANCING!ACJ17</f>
        <v>0</v>
      </c>
      <c r="ACK30" s="110">
        <f>ACJ30+BALANCING!ACK17</f>
        <v>0</v>
      </c>
      <c r="ACL30" s="110">
        <f>ACK30+BALANCING!ACL17</f>
        <v>0</v>
      </c>
      <c r="ACM30" s="110">
        <f>ACL30+BALANCING!ACM17</f>
        <v>0</v>
      </c>
      <c r="ACN30" s="110">
        <f>ACM30+BALANCING!ACN17</f>
        <v>0</v>
      </c>
      <c r="ACO30" s="110">
        <f>ACN30+BALANCING!ACO17</f>
        <v>0</v>
      </c>
      <c r="ACP30" s="110">
        <f>ACO30+BALANCING!ACP17</f>
        <v>0</v>
      </c>
      <c r="ACQ30" s="110">
        <f>ACP30+BALANCING!ACQ17</f>
        <v>0</v>
      </c>
      <c r="ACR30" s="110">
        <f>ACQ30+BALANCING!ACR17</f>
        <v>0</v>
      </c>
      <c r="ACS30" s="110">
        <f>ACR30+BALANCING!ACS17</f>
        <v>0</v>
      </c>
      <c r="ACT30" s="110">
        <f>ACS30+BALANCING!ACT17</f>
        <v>0</v>
      </c>
      <c r="ACU30" s="110">
        <f>ACT30+BALANCING!ACU17</f>
        <v>0</v>
      </c>
      <c r="ACV30" s="110">
        <f>ACU30+BALANCING!ACV17</f>
        <v>0</v>
      </c>
      <c r="ACW30" s="110">
        <f>ACV30+BALANCING!ACW17</f>
        <v>0</v>
      </c>
      <c r="ACX30" s="110">
        <f>ACW30+BALANCING!ACX17</f>
        <v>0</v>
      </c>
      <c r="ACY30" s="110">
        <f>ACX30+BALANCING!ACY17</f>
        <v>0</v>
      </c>
      <c r="ACZ30" s="110">
        <f>ACY30+BALANCING!ACZ17</f>
        <v>0</v>
      </c>
      <c r="ADA30" s="110">
        <f>ACZ30+BALANCING!ADA17</f>
        <v>0</v>
      </c>
      <c r="ADB30" s="110">
        <f>ADA30+BALANCING!ADB17</f>
        <v>0</v>
      </c>
      <c r="ADC30" s="110">
        <f>ADB30+BALANCING!ADC17</f>
        <v>0</v>
      </c>
      <c r="ADD30" s="110">
        <f>ADC30+BALANCING!ADD17</f>
        <v>0</v>
      </c>
      <c r="ADE30" s="110">
        <f>ADD30+BALANCING!ADE17</f>
        <v>0</v>
      </c>
      <c r="ADF30" s="110">
        <f>ADE30+BALANCING!ADF17</f>
        <v>0</v>
      </c>
      <c r="ADG30" s="110">
        <f>ADF30+BALANCING!ADG17</f>
        <v>0</v>
      </c>
      <c r="ADH30" s="110">
        <f>ADG30+BALANCING!ADH17</f>
        <v>0</v>
      </c>
      <c r="ADI30" s="130"/>
      <c r="ADJ30" s="110">
        <f>ADI30+BALANCING!ADJ17</f>
        <v>0</v>
      </c>
      <c r="ADK30" s="110">
        <f>ADJ30+BALANCING!ADK17</f>
        <v>0</v>
      </c>
      <c r="ADL30" s="110">
        <f>ADK30+BALANCING!ADL17</f>
        <v>0</v>
      </c>
      <c r="ADM30" s="110">
        <f>ADL30+BALANCING!ADM17</f>
        <v>0</v>
      </c>
      <c r="ADN30" s="110">
        <f>ADM30+BALANCING!ADN17</f>
        <v>0</v>
      </c>
      <c r="ADO30" s="110">
        <f>ADN30+BALANCING!ADO17</f>
        <v>0</v>
      </c>
      <c r="ADP30" s="110">
        <f>ADO30+BALANCING!ADP17</f>
        <v>0</v>
      </c>
      <c r="ADQ30" s="110">
        <f>ADP30+BALANCING!ADQ17</f>
        <v>0</v>
      </c>
      <c r="ADR30" s="110">
        <f>ADQ30+BALANCING!ADR17</f>
        <v>0</v>
      </c>
      <c r="ADS30" s="110">
        <f>ADR30+BALANCING!ADS17</f>
        <v>0</v>
      </c>
      <c r="ADT30" s="110">
        <f>ADS30+BALANCING!ADT17</f>
        <v>0</v>
      </c>
      <c r="ADU30" s="110">
        <f>ADT30+BALANCING!ADU17</f>
        <v>0</v>
      </c>
      <c r="ADV30" s="110">
        <f>ADU30+BALANCING!ADV17</f>
        <v>0</v>
      </c>
      <c r="ADW30" s="110">
        <f>ADV30+BALANCING!ADW17</f>
        <v>0</v>
      </c>
      <c r="ADX30" s="110">
        <f>ADW30+BALANCING!ADX17</f>
        <v>0</v>
      </c>
      <c r="ADY30" s="110">
        <f>ADX30+BALANCING!ADY17</f>
        <v>0</v>
      </c>
      <c r="ADZ30" s="110">
        <f>ADY30+BALANCING!ADZ17</f>
        <v>0</v>
      </c>
      <c r="AEA30" s="110">
        <f>ADZ30+BALANCING!AEA17</f>
        <v>0</v>
      </c>
      <c r="AEB30" s="110">
        <f>AEA30+BALANCING!AEB17</f>
        <v>0</v>
      </c>
      <c r="AEC30" s="110">
        <f>AEB30+BALANCING!AEC17</f>
        <v>0</v>
      </c>
      <c r="AED30" s="110">
        <f>AEC30+BALANCING!AED17</f>
        <v>0</v>
      </c>
      <c r="AEE30" s="110">
        <f>AED30+BALANCING!AEE17</f>
        <v>0</v>
      </c>
      <c r="AEF30" s="110">
        <f>AEE30+BALANCING!AEF17</f>
        <v>0</v>
      </c>
      <c r="AEG30" s="110">
        <f>AEF30+BALANCING!AEG17</f>
        <v>0</v>
      </c>
      <c r="AEH30" s="110">
        <f>AEG30+BALANCING!AEH17</f>
        <v>0</v>
      </c>
      <c r="AEI30" s="110">
        <f>AEH30+BALANCING!AEI17</f>
        <v>0</v>
      </c>
      <c r="AEJ30" s="110">
        <f>AEI30+BALANCING!AEJ17</f>
        <v>0</v>
      </c>
      <c r="AEK30" s="110">
        <f>AEJ30+BALANCING!AEK17</f>
        <v>0</v>
      </c>
      <c r="AEL30" s="110">
        <f>AEK30+BALANCING!AEL17</f>
        <v>0</v>
      </c>
      <c r="AEM30" s="110">
        <f>AEL30+BALANCING!AEM17</f>
        <v>0</v>
      </c>
      <c r="AEN30" s="130"/>
      <c r="AEO30" s="110">
        <f>AEN30+BALANCING!AEO17</f>
        <v>0</v>
      </c>
      <c r="AEP30" s="110">
        <f>AEO30+BALANCING!AEP17</f>
        <v>0</v>
      </c>
      <c r="AEQ30" s="110">
        <f>AEP30+BALANCING!AEQ17</f>
        <v>0</v>
      </c>
      <c r="AER30" s="110">
        <f>AEQ30+BALANCING!AER17</f>
        <v>0</v>
      </c>
      <c r="AES30" s="110">
        <f>AER30+BALANCING!AES17</f>
        <v>0</v>
      </c>
      <c r="AET30" s="110">
        <f>AES30+BALANCING!AET17</f>
        <v>0</v>
      </c>
      <c r="AEU30" s="110">
        <f>AET30+BALANCING!AEU17</f>
        <v>0</v>
      </c>
      <c r="AEV30" s="110">
        <f>AEU30+BALANCING!AEV17</f>
        <v>0</v>
      </c>
      <c r="AEW30" s="110">
        <f>AEV30+BALANCING!AEW17</f>
        <v>0</v>
      </c>
      <c r="AEX30" s="110">
        <f>AEW30+BALANCING!AEX17</f>
        <v>0</v>
      </c>
      <c r="AEY30" s="110">
        <f>AEX30+BALANCING!AEY17</f>
        <v>0</v>
      </c>
      <c r="AEZ30" s="110">
        <f>AEY30+BALANCING!AEZ17</f>
        <v>0</v>
      </c>
      <c r="AFA30" s="110">
        <f>AEZ30+BALANCING!AFA17</f>
        <v>0</v>
      </c>
      <c r="AFB30" s="110">
        <f>AFA30+BALANCING!AFB17</f>
        <v>0</v>
      </c>
      <c r="AFC30" s="110">
        <f>AFB30+BALANCING!AFC17</f>
        <v>0</v>
      </c>
      <c r="AFD30" s="110">
        <f>AFC30+BALANCING!AFD17</f>
        <v>0</v>
      </c>
      <c r="AFE30" s="110">
        <f>AFD30+BALANCING!AFE17</f>
        <v>0</v>
      </c>
      <c r="AFF30" s="110">
        <f>AFE30+BALANCING!AFF17</f>
        <v>0</v>
      </c>
      <c r="AFG30" s="110">
        <f>AFF30+BALANCING!AFG17</f>
        <v>0</v>
      </c>
      <c r="AFH30" s="110">
        <f>AFG30+BALANCING!AFH17</f>
        <v>0</v>
      </c>
      <c r="AFI30" s="110">
        <f>AFH30+BALANCING!AFI17</f>
        <v>0</v>
      </c>
      <c r="AFJ30" s="110">
        <f>AFI30+BALANCING!AFJ17</f>
        <v>0</v>
      </c>
      <c r="AFK30" s="110">
        <f>AFJ30+BALANCING!AFK17</f>
        <v>0</v>
      </c>
      <c r="AFL30" s="110">
        <f>AFK30+BALANCING!AFL17</f>
        <v>0</v>
      </c>
      <c r="AFM30" s="110">
        <f>AFL30+BALANCING!AFM17</f>
        <v>0</v>
      </c>
      <c r="AFN30" s="110">
        <f>AFM30+BALANCING!AFN17</f>
        <v>0</v>
      </c>
      <c r="AFO30" s="110">
        <f>AFN30+BALANCING!AFO17</f>
        <v>0</v>
      </c>
      <c r="AFP30" s="110">
        <f>AFO30+BALANCING!AFP17</f>
        <v>0</v>
      </c>
      <c r="AFQ30" s="110">
        <f>AFP30+BALANCING!AFQ17</f>
        <v>0</v>
      </c>
      <c r="AFR30" s="110">
        <f>AFQ30+BALANCING!AFR17</f>
        <v>0</v>
      </c>
      <c r="AFS30" s="110">
        <f>AFR30+BALANCING!AFS17</f>
        <v>0</v>
      </c>
      <c r="AFT30" s="130"/>
      <c r="AFU30" s="110">
        <f>AFT30+BALANCING!AFU17</f>
        <v>0</v>
      </c>
      <c r="AFV30" s="110">
        <f>AFU30+BALANCING!AFV17</f>
        <v>0</v>
      </c>
      <c r="AFW30" s="110">
        <f>AFV30+BALANCING!AFW17</f>
        <v>0</v>
      </c>
      <c r="AFX30" s="110">
        <f>AFW30+BALANCING!AFX17</f>
        <v>0</v>
      </c>
      <c r="AFY30" s="110">
        <f>AFX30+BALANCING!AFY17</f>
        <v>0</v>
      </c>
      <c r="AFZ30" s="110">
        <f>AFY30+BALANCING!AFZ17</f>
        <v>0</v>
      </c>
      <c r="AGA30" s="110">
        <f>AFZ30+BALANCING!AGA17</f>
        <v>0</v>
      </c>
      <c r="AGB30" s="110">
        <f>AGA30+BALANCING!AGB17</f>
        <v>0</v>
      </c>
      <c r="AGC30" s="110">
        <f>AGB30+BALANCING!AGC17</f>
        <v>0</v>
      </c>
      <c r="AGD30" s="110">
        <f>AGC30+BALANCING!AGD17</f>
        <v>0</v>
      </c>
      <c r="AGE30" s="110">
        <f>AGD30+BALANCING!AGE17</f>
        <v>0</v>
      </c>
      <c r="AGF30" s="110">
        <f>AGE30+BALANCING!AGF17</f>
        <v>0</v>
      </c>
      <c r="AGG30" s="110">
        <f>AGF30+BALANCING!AGG17</f>
        <v>0</v>
      </c>
      <c r="AGH30" s="110">
        <f>AGG30+BALANCING!AGH17</f>
        <v>0</v>
      </c>
      <c r="AGI30" s="110">
        <f>AGH30+BALANCING!AGI17</f>
        <v>0</v>
      </c>
      <c r="AGJ30" s="110">
        <f>AGI30+BALANCING!AGJ17</f>
        <v>0</v>
      </c>
      <c r="AGK30" s="110">
        <f>AGJ30+BALANCING!AGK17</f>
        <v>0</v>
      </c>
      <c r="AGL30" s="110">
        <f>AGK30+BALANCING!AGL17</f>
        <v>0</v>
      </c>
      <c r="AGM30" s="110">
        <f>AGL30+BALANCING!AGM17</f>
        <v>0</v>
      </c>
      <c r="AGN30" s="110">
        <f>AGM30+BALANCING!AGN17</f>
        <v>0</v>
      </c>
      <c r="AGO30" s="110">
        <f>AGN30+BALANCING!AGO17</f>
        <v>0</v>
      </c>
      <c r="AGP30" s="110">
        <f>AGO30+BALANCING!AGP17</f>
        <v>0</v>
      </c>
      <c r="AGQ30" s="110">
        <f>AGP30+BALANCING!AGQ17</f>
        <v>0</v>
      </c>
      <c r="AGR30" s="110">
        <f>AGQ30+BALANCING!AGR17</f>
        <v>0</v>
      </c>
      <c r="AGS30" s="110">
        <f>AGR30+BALANCING!AGS17</f>
        <v>0</v>
      </c>
      <c r="AGT30" s="110">
        <f>AGS30+BALANCING!AGT17</f>
        <v>0</v>
      </c>
      <c r="AGU30" s="110">
        <f>AGT30+BALANCING!AGU17</f>
        <v>0</v>
      </c>
      <c r="AGV30" s="110">
        <f>AGU30+BALANCING!AGV17</f>
        <v>0</v>
      </c>
      <c r="AGW30" s="110">
        <f>AGV30+BALANCING!AGW17</f>
        <v>0</v>
      </c>
      <c r="AGX30" s="110">
        <f>AGW30+BALANCING!AGX17</f>
        <v>0</v>
      </c>
      <c r="AGY30" s="133"/>
      <c r="AGZ30" s="110">
        <f>AGY30+BALANCING!AGZ17</f>
        <v>0</v>
      </c>
      <c r="AHA30" s="110">
        <f>AGZ30+BALANCING!AHA17</f>
        <v>0</v>
      </c>
      <c r="AHB30" s="110">
        <f>AHA30+BALANCING!AHB17</f>
        <v>0</v>
      </c>
      <c r="AHC30" s="110">
        <f>AHB30+BALANCING!AHC17</f>
        <v>0</v>
      </c>
      <c r="AHD30" s="110">
        <f>AHC30+BALANCING!AHD17</f>
        <v>0</v>
      </c>
      <c r="AHE30" s="110">
        <f>AHD30+BALANCING!AHE17</f>
        <v>0</v>
      </c>
      <c r="AHF30" s="110">
        <f>AHE30+BALANCING!AHF17</f>
        <v>0</v>
      </c>
      <c r="AHG30" s="110">
        <f>AHF30+BALANCING!AHG17</f>
        <v>0</v>
      </c>
      <c r="AHH30" s="110">
        <f>AHG30+BALANCING!AHH17</f>
        <v>0</v>
      </c>
      <c r="AHI30" s="110">
        <f>AHH30+BALANCING!AHI17</f>
        <v>0</v>
      </c>
      <c r="AHJ30" s="110">
        <f>AHI30+BALANCING!AHJ17</f>
        <v>0</v>
      </c>
      <c r="AHK30" s="110">
        <f>AHJ30+BALANCING!AHK17</f>
        <v>0</v>
      </c>
      <c r="AHL30" s="110">
        <f>AHK30+BALANCING!AHL17</f>
        <v>0</v>
      </c>
      <c r="AHM30" s="110">
        <f>AHL30+BALANCING!AHM17</f>
        <v>0</v>
      </c>
      <c r="AHN30" s="110">
        <f>AHM30+BALANCING!AHN17</f>
        <v>0</v>
      </c>
      <c r="AHO30" s="110">
        <f>AHN30+BALANCING!AHO17</f>
        <v>0</v>
      </c>
      <c r="AHP30" s="110">
        <f>AHO30+BALANCING!AHP17</f>
        <v>0</v>
      </c>
      <c r="AHQ30" s="110">
        <f>AHP30+BALANCING!AHQ17</f>
        <v>0</v>
      </c>
      <c r="AHR30" s="110">
        <f>AHQ30+BALANCING!AHR17</f>
        <v>0</v>
      </c>
      <c r="AHS30" s="110">
        <f>AHR30+BALANCING!AHS17</f>
        <v>0</v>
      </c>
      <c r="AHT30" s="110">
        <f>AHS30+BALANCING!AHT17</f>
        <v>0</v>
      </c>
      <c r="AHU30" s="110">
        <f>AHT30+BALANCING!AHU17</f>
        <v>0</v>
      </c>
      <c r="AHV30" s="110">
        <f>AHU30+BALANCING!AHV17</f>
        <v>0</v>
      </c>
      <c r="AHW30" s="110">
        <f>AHV30+BALANCING!AHW17</f>
        <v>0</v>
      </c>
      <c r="AHX30" s="110">
        <f>AHW30+BALANCING!AHX17</f>
        <v>0</v>
      </c>
      <c r="AHY30" s="110">
        <f>AHX30+BALANCING!AHY17</f>
        <v>0</v>
      </c>
      <c r="AHZ30" s="110">
        <f>AHY30+BALANCING!AHZ17</f>
        <v>0</v>
      </c>
      <c r="AIA30" s="110">
        <f>AHZ30+BALANCING!AIA17</f>
        <v>0</v>
      </c>
      <c r="AIB30" s="110">
        <f>AIA30+BALANCING!AIB17</f>
        <v>0</v>
      </c>
      <c r="AIC30" s="110">
        <f>AIB30+BALANCING!AIC17</f>
        <v>0</v>
      </c>
      <c r="AID30" s="110">
        <f>AIC30+BALANCING!AID17</f>
        <v>0</v>
      </c>
      <c r="AIE30" s="130"/>
      <c r="AIF30" s="110">
        <f>AIE30+BALANCING!AIF17</f>
        <v>0</v>
      </c>
      <c r="AIG30" s="110">
        <f>AIF30+BALANCING!AIG17</f>
        <v>0</v>
      </c>
      <c r="AIH30" s="110">
        <f>AIG30+BALANCING!AIH17</f>
        <v>0</v>
      </c>
      <c r="AII30" s="110">
        <f>AIH30+BALANCING!AII17</f>
        <v>0</v>
      </c>
      <c r="AIJ30" s="110">
        <f>AII30+BALANCING!AIJ17</f>
        <v>0</v>
      </c>
      <c r="AIK30" s="110">
        <f>AIJ30+BALANCING!AIK17</f>
        <v>0</v>
      </c>
      <c r="AIL30" s="110">
        <f>AIK30+BALANCING!AIL17</f>
        <v>0</v>
      </c>
      <c r="AIM30" s="110">
        <f>AIL30+BALANCING!AIM17</f>
        <v>0</v>
      </c>
      <c r="AIN30" s="110">
        <f>AIM30+BALANCING!AIN17</f>
        <v>0</v>
      </c>
      <c r="AIO30" s="110">
        <f>AIN30+BALANCING!AIO17</f>
        <v>0</v>
      </c>
      <c r="AIP30" s="110">
        <f>AIO30+BALANCING!AIP17</f>
        <v>0</v>
      </c>
      <c r="AIQ30" s="110">
        <f>AIP30+BALANCING!AIQ17</f>
        <v>0</v>
      </c>
      <c r="AIR30" s="110">
        <f>AIQ30+BALANCING!AIR17</f>
        <v>0</v>
      </c>
      <c r="AIS30" s="110">
        <f>AIR30+BALANCING!AIS17</f>
        <v>0</v>
      </c>
      <c r="AIT30" s="110">
        <f>AIS30+BALANCING!AIT17</f>
        <v>0</v>
      </c>
      <c r="AIU30" s="110">
        <f>AIT30+BALANCING!AIU17</f>
        <v>0</v>
      </c>
      <c r="AIV30" s="110">
        <f>AIU30+BALANCING!AIV17</f>
        <v>0</v>
      </c>
      <c r="AIW30" s="110">
        <f>AIV30+BALANCING!AIW17</f>
        <v>0</v>
      </c>
      <c r="AIX30" s="110">
        <f>AIW30+BALANCING!AIX17</f>
        <v>0</v>
      </c>
      <c r="AIY30" s="110">
        <f>AIX30+BALANCING!AIY17</f>
        <v>0</v>
      </c>
      <c r="AIZ30" s="110">
        <f>AIY30+BALANCING!AIZ17</f>
        <v>0</v>
      </c>
      <c r="AJA30" s="110">
        <f>AIZ30+BALANCING!AJA17</f>
        <v>0</v>
      </c>
      <c r="AJB30" s="110">
        <f>AJA30+BALANCING!AJB17</f>
        <v>0</v>
      </c>
      <c r="AJC30" s="110">
        <f>AJB30+BALANCING!AJC17</f>
        <v>0</v>
      </c>
      <c r="AJD30" s="110">
        <f>AJC30+BALANCING!AJD17</f>
        <v>0</v>
      </c>
      <c r="AJE30" s="110">
        <f>AJD30+BALANCING!AJE17</f>
        <v>0</v>
      </c>
      <c r="AJF30" s="110">
        <f>AJE30+BALANCING!AJF17</f>
        <v>0</v>
      </c>
      <c r="AJG30" s="110">
        <f>AJF30+BALANCING!AJG17</f>
        <v>0</v>
      </c>
      <c r="AJH30" s="110">
        <f>AJG30+BALANCING!AJH17</f>
        <v>0</v>
      </c>
      <c r="AJI30" s="110">
        <f>AJH30+BALANCING!AJI17</f>
        <v>0</v>
      </c>
      <c r="AJJ30" s="110">
        <f>AJI30+BALANCING!AJJ17</f>
        <v>0</v>
      </c>
      <c r="AJK30" s="145"/>
      <c r="AJL30" s="110">
        <f>AJK30+BALANCING!AJL17</f>
        <v>0</v>
      </c>
      <c r="AJM30" s="110">
        <f>AJL30+BALANCING!AJM17</f>
        <v>0</v>
      </c>
      <c r="AJN30" s="110">
        <f>AJM30+BALANCING!AJN17</f>
        <v>0</v>
      </c>
      <c r="AJO30" s="110">
        <f>AJN30+BALANCING!AJO17</f>
        <v>0</v>
      </c>
      <c r="AJP30" s="110">
        <f>AJO30+BALANCING!AJP17</f>
        <v>0</v>
      </c>
      <c r="AJQ30" s="110">
        <f>AJP30+BALANCING!AJQ17</f>
        <v>0</v>
      </c>
      <c r="AJR30" s="110">
        <f>AJQ30+BALANCING!AJR17</f>
        <v>0</v>
      </c>
      <c r="AJS30" s="110">
        <f>AJR30+BALANCING!AJS17</f>
        <v>0</v>
      </c>
      <c r="AJT30" s="110">
        <f>AJS30+BALANCING!AJT17</f>
        <v>0</v>
      </c>
      <c r="AJU30" s="110">
        <f>AJT30+BALANCING!AJU17</f>
        <v>0</v>
      </c>
      <c r="AJV30" s="110">
        <f>AJU30+BALANCING!AJV17</f>
        <v>0</v>
      </c>
      <c r="AJW30" s="110">
        <f>AJV30+BALANCING!AJW17</f>
        <v>0</v>
      </c>
      <c r="AJX30" s="110">
        <f>AJW30+BALANCING!AJX17</f>
        <v>0</v>
      </c>
      <c r="AJY30" s="110">
        <f>AJX30+BALANCING!AJY17</f>
        <v>0</v>
      </c>
      <c r="AJZ30" s="110">
        <f>AJY30+BALANCING!AJZ17</f>
        <v>0</v>
      </c>
      <c r="AKA30" s="110">
        <f>AJZ30+BALANCING!AKA17</f>
        <v>0</v>
      </c>
      <c r="AKB30" s="110">
        <f>AKA30+BALANCING!AKB17</f>
        <v>0</v>
      </c>
      <c r="AKC30" s="110">
        <f>AKB30+BALANCING!AKC17</f>
        <v>0</v>
      </c>
      <c r="AKD30" s="110">
        <f>AKC30+BALANCING!AKD17</f>
        <v>0</v>
      </c>
      <c r="AKE30" s="110">
        <f>AKD30+BALANCING!AKE17</f>
        <v>0</v>
      </c>
      <c r="AKF30" s="110">
        <f>AKE30+BALANCING!AKF17</f>
        <v>0</v>
      </c>
      <c r="AKG30" s="110">
        <f>AKF30+BALANCING!AKG17</f>
        <v>0</v>
      </c>
      <c r="AKH30" s="110">
        <f>AKG30+BALANCING!AKH17</f>
        <v>0</v>
      </c>
      <c r="AKI30" s="110">
        <f>AKH30+BALANCING!AKI17</f>
        <v>0</v>
      </c>
      <c r="AKJ30" s="110">
        <f>AKI30+BALANCING!AKJ17</f>
        <v>0</v>
      </c>
      <c r="AKK30" s="110">
        <f>AKJ30+BALANCING!AKK17</f>
        <v>0</v>
      </c>
      <c r="AKL30" s="110">
        <f>AKK30+BALANCING!AKL17</f>
        <v>0</v>
      </c>
      <c r="AKM30" s="110">
        <f>AKL30+BALANCING!AKM17</f>
        <v>0</v>
      </c>
      <c r="AKN30" s="112"/>
      <c r="AKO30" s="110">
        <f>AKN30+BALANCING!AKO17</f>
        <v>0</v>
      </c>
      <c r="AKP30" s="110">
        <f>AKO30+BALANCING!AKP17</f>
        <v>0</v>
      </c>
      <c r="AKQ30" s="110">
        <f>AKP30+BALANCING!AKQ17</f>
        <v>0</v>
      </c>
      <c r="AKR30" s="110">
        <f>AKQ30+BALANCING!AKR17</f>
        <v>0</v>
      </c>
      <c r="AKS30" s="110">
        <f>AKR30+BALANCING!AKS17</f>
        <v>0</v>
      </c>
      <c r="AKT30" s="110">
        <f>AKS30+BALANCING!AKT17</f>
        <v>0</v>
      </c>
      <c r="AKU30" s="110">
        <f>AKT30+BALANCING!AKU17</f>
        <v>0</v>
      </c>
      <c r="AKV30" s="110">
        <f>AKU30+BALANCING!AKV17</f>
        <v>0</v>
      </c>
      <c r="AKW30" s="110">
        <f>AKV30+BALANCING!AKW17</f>
        <v>0</v>
      </c>
      <c r="AKX30" s="110">
        <f>AKW30+BALANCING!AKX17</f>
        <v>0</v>
      </c>
      <c r="AKY30" s="110">
        <f>AKX30+BALANCING!AKY17</f>
        <v>0</v>
      </c>
      <c r="AKZ30" s="110">
        <f>AKY30+BALANCING!AKZ17</f>
        <v>0</v>
      </c>
      <c r="ALA30" s="110">
        <f>AKZ30+BALANCING!ALA17</f>
        <v>0</v>
      </c>
      <c r="ALB30" s="110">
        <f>ALA30+BALANCING!ALB17</f>
        <v>0</v>
      </c>
      <c r="ALC30" s="110">
        <f>ALB30+BALANCING!ALC17</f>
        <v>0</v>
      </c>
      <c r="ALD30" s="110">
        <f>ALC30+BALANCING!ALD17</f>
        <v>0</v>
      </c>
      <c r="ALE30" s="110">
        <f>ALD30+BALANCING!ALE17</f>
        <v>0</v>
      </c>
      <c r="ALF30" s="110">
        <f>ALE30+BALANCING!ALF17</f>
        <v>0</v>
      </c>
      <c r="ALG30" s="110">
        <f>ALF30+BALANCING!ALG17</f>
        <v>0</v>
      </c>
      <c r="ALH30" s="110">
        <f>ALG30+BALANCING!ALH17</f>
        <v>0</v>
      </c>
      <c r="ALI30" s="110">
        <f>ALH30+BALANCING!ALI17</f>
        <v>0</v>
      </c>
      <c r="ALJ30" s="110">
        <f>ALI30+BALANCING!ALJ17</f>
        <v>0</v>
      </c>
      <c r="ALK30" s="110">
        <f>ALJ30+BALANCING!ALK17</f>
        <v>0</v>
      </c>
      <c r="ALL30" s="110">
        <f>ALK30+BALANCING!ALL17</f>
        <v>0</v>
      </c>
      <c r="ALM30" s="110">
        <f>ALL30+BALANCING!ALM17</f>
        <v>0</v>
      </c>
      <c r="ALN30" s="110">
        <f>ALM30+BALANCING!ALN17</f>
        <v>0</v>
      </c>
      <c r="ALO30" s="110">
        <f>ALN30+BALANCING!ALO17</f>
        <v>0</v>
      </c>
      <c r="ALP30" s="110">
        <f>ALO30+BALANCING!ALP17</f>
        <v>0</v>
      </c>
      <c r="ALQ30" s="110">
        <f>ALP30+BALANCING!ALQ17</f>
        <v>0</v>
      </c>
      <c r="ALR30" s="110">
        <f>ALQ30+BALANCING!ALR17</f>
        <v>0</v>
      </c>
      <c r="ALS30" s="110">
        <f>ALR30+BALANCING!ALS17</f>
        <v>0</v>
      </c>
      <c r="ALT30" s="130"/>
      <c r="ALU30" s="110">
        <f>ALT30+BALANCING!ALU17</f>
        <v>0</v>
      </c>
      <c r="ALV30" s="110">
        <f>ALU30+BALANCING!ALV17</f>
        <v>0</v>
      </c>
      <c r="ALW30" s="110">
        <f>ALV30+BALANCING!ALW17</f>
        <v>0</v>
      </c>
      <c r="ALX30" s="110">
        <f>ALW30+BALANCING!ALX17</f>
        <v>0</v>
      </c>
      <c r="ALY30" s="110">
        <f>ALX30+BALANCING!ALY17</f>
        <v>0</v>
      </c>
      <c r="ALZ30" s="110">
        <f>ALY30+BALANCING!ALZ17</f>
        <v>0</v>
      </c>
      <c r="AMA30" s="110">
        <f>ALZ30+BALANCING!AMA17</f>
        <v>0</v>
      </c>
      <c r="AMB30" s="110">
        <f>AMA30+BALANCING!AMB17</f>
        <v>0</v>
      </c>
      <c r="AMC30" s="110">
        <f>AMB30+BALANCING!AMC17</f>
        <v>0</v>
      </c>
      <c r="AMD30" s="110">
        <f>AMC30+BALANCING!AMD17</f>
        <v>0</v>
      </c>
      <c r="AME30" s="110">
        <f>AMD30+BALANCING!AME17</f>
        <v>0</v>
      </c>
      <c r="AMF30" s="110">
        <f>AME30+BALANCING!AMF17</f>
        <v>0</v>
      </c>
      <c r="AMG30" s="110">
        <f>AMF30+BALANCING!AMG17</f>
        <v>0</v>
      </c>
      <c r="AMH30" s="110">
        <f>AMG30+BALANCING!AMH17</f>
        <v>0</v>
      </c>
      <c r="AMI30" s="110">
        <f>AMH30+BALANCING!AMI17</f>
        <v>0</v>
      </c>
      <c r="AMJ30" s="110">
        <f>AMI30+BALANCING!AMJ17</f>
        <v>0</v>
      </c>
      <c r="AMK30" s="110">
        <f>AMJ30+BALANCING!AMK17</f>
        <v>0</v>
      </c>
      <c r="AML30" s="110">
        <f>AMK30+BALANCING!AML17</f>
        <v>0</v>
      </c>
      <c r="AMM30" s="110">
        <f>AML30+BALANCING!AMM17</f>
        <v>0</v>
      </c>
      <c r="AMN30" s="110">
        <f>AMM30+BALANCING!AMN17</f>
        <v>0</v>
      </c>
      <c r="AMO30" s="110">
        <f>AMN30+BALANCING!AMO17</f>
        <v>0</v>
      </c>
      <c r="AMP30" s="110">
        <f>AMO30+BALANCING!AMP17</f>
        <v>0</v>
      </c>
      <c r="AMQ30" s="110">
        <f>AMP30+BALANCING!AMQ17</f>
        <v>0</v>
      </c>
      <c r="AMR30" s="110">
        <f>AMQ30+BALANCING!AMR17</f>
        <v>0</v>
      </c>
      <c r="AMS30" s="110">
        <f>AMR30+BALANCING!AMS17</f>
        <v>0</v>
      </c>
      <c r="AMT30" s="110">
        <f>AMS30+BALANCING!AMT17</f>
        <v>0</v>
      </c>
      <c r="AMU30" s="110">
        <f>AMT30+BALANCING!AMU17</f>
        <v>0</v>
      </c>
      <c r="AMV30" s="110">
        <f>AMU30+BALANCING!AMV17</f>
        <v>0</v>
      </c>
      <c r="AMW30" s="110">
        <f>AMV30+BALANCING!AMW17</f>
        <v>0</v>
      </c>
      <c r="AMX30" s="110">
        <f>AMW30+BALANCING!AMX17</f>
        <v>0</v>
      </c>
      <c r="AMY30" s="130"/>
      <c r="AMZ30" s="110">
        <f>AMY30+BALANCING!AMZ17</f>
        <v>0</v>
      </c>
      <c r="ANA30" s="110">
        <f>AMZ30+BALANCING!ANA17</f>
        <v>0</v>
      </c>
      <c r="ANB30" s="110">
        <f>ANA30+BALANCING!ANB17</f>
        <v>0</v>
      </c>
      <c r="ANC30" s="110">
        <f>ANB30+BALANCING!ANC17</f>
        <v>0</v>
      </c>
      <c r="AND30" s="110">
        <f>ANC30+BALANCING!AND17</f>
        <v>0</v>
      </c>
      <c r="ANE30" s="110">
        <f>AND30+BALANCING!ANE17</f>
        <v>0</v>
      </c>
      <c r="ANF30" s="110">
        <f>ANE30+BALANCING!ANF17</f>
        <v>0</v>
      </c>
      <c r="ANG30" s="110">
        <f>ANF30+BALANCING!ANG17</f>
        <v>0</v>
      </c>
      <c r="ANH30" s="110">
        <f>ANG30+BALANCING!ANH17</f>
        <v>0</v>
      </c>
      <c r="ANI30" s="110">
        <f>ANH30+BALANCING!ANI17</f>
        <v>0</v>
      </c>
      <c r="ANJ30" s="110">
        <f>ANI30+BALANCING!ANJ17</f>
        <v>0</v>
      </c>
      <c r="ANK30" s="110">
        <f>ANJ30+BALANCING!ANK17</f>
        <v>0</v>
      </c>
      <c r="ANL30" s="110">
        <f>ANK30+BALANCING!ANL17</f>
        <v>0</v>
      </c>
      <c r="ANM30" s="110">
        <f>ANL30+BALANCING!ANM17</f>
        <v>0</v>
      </c>
      <c r="ANN30" s="110">
        <f>ANM30+BALANCING!ANN17</f>
        <v>0</v>
      </c>
      <c r="ANO30" s="110">
        <f>ANN30+BALANCING!ANO17</f>
        <v>0</v>
      </c>
      <c r="ANP30" s="110">
        <f>ANO30+BALANCING!ANP17</f>
        <v>0</v>
      </c>
      <c r="ANQ30" s="110">
        <f>ANP30+BALANCING!ANQ17</f>
        <v>0</v>
      </c>
      <c r="ANR30" s="110">
        <f>ANQ30+BALANCING!ANR17</f>
        <v>0</v>
      </c>
      <c r="ANS30" s="110">
        <f>ANR30+BALANCING!ANS17</f>
        <v>0</v>
      </c>
      <c r="ANT30" s="110">
        <f>ANS30+BALANCING!ANT17</f>
        <v>0</v>
      </c>
      <c r="ANU30" s="110">
        <f>ANT30+BALANCING!ANU17</f>
        <v>0</v>
      </c>
      <c r="ANV30" s="110">
        <f>ANU30+BALANCING!ANV17</f>
        <v>0</v>
      </c>
      <c r="ANW30" s="110">
        <f>ANV30+BALANCING!ANW17</f>
        <v>0</v>
      </c>
      <c r="ANX30" s="110">
        <f>ANW30+BALANCING!ANX17</f>
        <v>0</v>
      </c>
      <c r="ANY30" s="110">
        <f>ANX30+BALANCING!ANY17</f>
        <v>0</v>
      </c>
      <c r="ANZ30" s="110">
        <f>ANY30+BALANCING!ANZ17</f>
        <v>0</v>
      </c>
      <c r="AOA30" s="110">
        <f>ANZ30+BALANCING!AOA17</f>
        <v>0</v>
      </c>
      <c r="AOB30" s="110">
        <f>AOA30+BALANCING!AOB17</f>
        <v>0</v>
      </c>
      <c r="AOC30" s="110">
        <f>AOB30+BALANCING!AOC17</f>
        <v>0</v>
      </c>
    </row>
    <row r="31" spans="1:1069" x14ac:dyDescent="0.2">
      <c r="A31" s="160"/>
      <c r="B31" t="s">
        <v>1663</v>
      </c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98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2"/>
      <c r="BF31" s="82"/>
      <c r="BG31" s="82"/>
      <c r="BH31" s="82"/>
      <c r="BI31" s="82"/>
      <c r="BJ31" s="82"/>
      <c r="BK31" s="82"/>
      <c r="BL31" s="82"/>
      <c r="BM31" s="106"/>
      <c r="BN31" s="82"/>
      <c r="BO31" s="82"/>
      <c r="BP31" s="82"/>
      <c r="BQ31" s="82"/>
      <c r="BR31" s="82"/>
      <c r="BS31" s="82"/>
      <c r="BT31" s="82"/>
      <c r="BU31" s="82"/>
      <c r="BV31" s="82"/>
      <c r="BW31" s="82"/>
      <c r="BX31" s="82"/>
      <c r="BY31" s="82"/>
      <c r="BZ31" s="82"/>
      <c r="CA31" s="82"/>
      <c r="CB31" s="82"/>
      <c r="CC31" s="82"/>
      <c r="CD31" s="82"/>
      <c r="CE31" s="82"/>
      <c r="CF31" s="82"/>
      <c r="CG31" s="82"/>
      <c r="CH31" s="82"/>
      <c r="CI31" s="82"/>
      <c r="CJ31" s="82"/>
      <c r="CK31" s="82"/>
      <c r="CL31" s="82"/>
      <c r="CM31" s="82"/>
      <c r="CN31" s="82"/>
      <c r="CO31" s="82"/>
      <c r="CP31" s="82"/>
      <c r="CQ31" s="82"/>
      <c r="CR31" s="82"/>
      <c r="CT31" s="82"/>
      <c r="CU31" s="82"/>
      <c r="CV31" s="82"/>
      <c r="CW31" s="82"/>
      <c r="CX31" s="82"/>
      <c r="CY31" s="82"/>
      <c r="CZ31" s="82"/>
      <c r="DA31" s="82"/>
      <c r="DB31" s="82"/>
      <c r="DC31" s="82"/>
      <c r="DD31" s="82"/>
      <c r="DE31" s="82"/>
      <c r="DF31" s="82"/>
      <c r="DG31" s="82"/>
      <c r="DH31" s="82"/>
      <c r="DI31" s="82"/>
      <c r="DJ31" s="82"/>
      <c r="DK31" s="82"/>
      <c r="DL31" s="82"/>
      <c r="DM31" s="82"/>
      <c r="DN31" s="82"/>
      <c r="DO31" s="82"/>
      <c r="DP31" s="82"/>
      <c r="DQ31" s="82"/>
      <c r="DR31" s="82"/>
      <c r="DS31" s="82"/>
      <c r="DT31" s="82"/>
      <c r="DU31" s="82"/>
      <c r="DV31" s="82"/>
      <c r="DW31" s="82"/>
      <c r="DX31" s="117"/>
      <c r="DY31" s="82"/>
      <c r="DZ31" s="82"/>
      <c r="EA31" s="82"/>
      <c r="EB31" s="82"/>
      <c r="EC31" s="82"/>
      <c r="ED31" s="82"/>
      <c r="EE31" s="82"/>
      <c r="EF31" s="82"/>
      <c r="EG31" s="82">
        <v>372334</v>
      </c>
      <c r="EH31" s="82">
        <f>EG31</f>
        <v>372334</v>
      </c>
      <c r="EI31" s="82">
        <f>EH31+224000</f>
        <v>596334</v>
      </c>
      <c r="EJ31" s="82">
        <f>EI31</f>
        <v>596334</v>
      </c>
      <c r="EK31" s="82">
        <f>EJ31</f>
        <v>596334</v>
      </c>
      <c r="EL31" s="82">
        <f>EK31-372350+267235</f>
        <v>491219</v>
      </c>
      <c r="EM31" s="82">
        <f>EL31</f>
        <v>491219</v>
      </c>
      <c r="EN31" s="82">
        <f>EM31</f>
        <v>491219</v>
      </c>
      <c r="EO31" s="82">
        <f>EN31</f>
        <v>491219</v>
      </c>
      <c r="EP31" s="82">
        <f>EO31+182942</f>
        <v>674161</v>
      </c>
      <c r="EQ31" s="82">
        <f>EP31</f>
        <v>674161</v>
      </c>
      <c r="ER31" s="82">
        <f>EQ31</f>
        <v>674161</v>
      </c>
      <c r="ES31" s="82">
        <f>ER31</f>
        <v>674161</v>
      </c>
      <c r="ET31" s="82">
        <f>ES31</f>
        <v>674161</v>
      </c>
      <c r="EU31" s="82">
        <f>ET31-450000+397021</f>
        <v>621182</v>
      </c>
      <c r="EV31" s="82">
        <f t="shared" ref="EV31:FA31" si="653">EU31</f>
        <v>621182</v>
      </c>
      <c r="EW31" s="82">
        <f t="shared" si="653"/>
        <v>621182</v>
      </c>
      <c r="EX31" s="82">
        <f t="shared" si="653"/>
        <v>621182</v>
      </c>
      <c r="EY31" s="82">
        <f t="shared" si="653"/>
        <v>621182</v>
      </c>
      <c r="EZ31" s="82">
        <f t="shared" si="653"/>
        <v>621182</v>
      </c>
      <c r="FA31" s="82">
        <f t="shared" si="653"/>
        <v>621182</v>
      </c>
      <c r="FB31" s="82">
        <f>FA31-397000</f>
        <v>224182</v>
      </c>
      <c r="FC31" s="82">
        <f>FB31+238572</f>
        <v>462754</v>
      </c>
      <c r="FD31" s="126"/>
      <c r="FE31" s="82">
        <f>FD31+238572</f>
        <v>238572</v>
      </c>
      <c r="FF31" s="82">
        <f>FE31</f>
        <v>238572</v>
      </c>
      <c r="FG31" s="82">
        <f>FF31</f>
        <v>238572</v>
      </c>
      <c r="FH31" s="82">
        <f>FG31</f>
        <v>238572</v>
      </c>
      <c r="FI31" s="82">
        <f>FH31-238000</f>
        <v>572</v>
      </c>
      <c r="FJ31" s="82">
        <f>FI31+112000+363265</f>
        <v>475837</v>
      </c>
      <c r="FK31" s="82">
        <f t="shared" ref="FK31:FU31" si="654">FJ31</f>
        <v>475837</v>
      </c>
      <c r="FL31" s="82">
        <f t="shared" si="654"/>
        <v>475837</v>
      </c>
      <c r="FM31" s="82">
        <f t="shared" si="654"/>
        <v>475837</v>
      </c>
      <c r="FN31" s="82">
        <f t="shared" si="654"/>
        <v>475837</v>
      </c>
      <c r="FO31" s="82">
        <f t="shared" si="654"/>
        <v>475837</v>
      </c>
      <c r="FP31" s="82">
        <f t="shared" si="654"/>
        <v>475837</v>
      </c>
      <c r="FQ31" s="82">
        <f t="shared" si="654"/>
        <v>475837</v>
      </c>
      <c r="FR31" s="82">
        <f t="shared" si="654"/>
        <v>475837</v>
      </c>
      <c r="FS31" s="82">
        <f t="shared" si="654"/>
        <v>475837</v>
      </c>
      <c r="FT31" s="82">
        <f t="shared" si="654"/>
        <v>475837</v>
      </c>
      <c r="FU31" s="82">
        <f t="shared" si="654"/>
        <v>475837</v>
      </c>
      <c r="FV31" s="82">
        <f>FU31+314474</f>
        <v>790311</v>
      </c>
      <c r="FW31" s="82">
        <f>FV31-789739</f>
        <v>572</v>
      </c>
      <c r="FX31" s="82">
        <f>FW31</f>
        <v>572</v>
      </c>
      <c r="FY31" s="82">
        <f>FX31+151000</f>
        <v>151572</v>
      </c>
      <c r="FZ31" s="82">
        <f>FY31</f>
        <v>151572</v>
      </c>
      <c r="GA31" s="82">
        <f>FZ31+232000</f>
        <v>383572</v>
      </c>
      <c r="GB31" s="82">
        <f>GA31</f>
        <v>383572</v>
      </c>
      <c r="GC31" s="82">
        <f>GB31</f>
        <v>383572</v>
      </c>
      <c r="GD31" s="82">
        <f>GC31+250000</f>
        <v>633572</v>
      </c>
      <c r="GE31" s="82">
        <f>GD31+22000</f>
        <v>655572</v>
      </c>
      <c r="GF31" s="82">
        <f>GE31</f>
        <v>655572</v>
      </c>
      <c r="GG31" s="82">
        <f>GF31</f>
        <v>655572</v>
      </c>
      <c r="GH31" s="82">
        <f>GG31</f>
        <v>655572</v>
      </c>
      <c r="GI31" s="82">
        <f>GH31</f>
        <v>655572</v>
      </c>
      <c r="GJ31" s="130"/>
      <c r="GK31" s="82">
        <f>GI31</f>
        <v>655572</v>
      </c>
      <c r="GL31" s="82">
        <f>GK31</f>
        <v>655572</v>
      </c>
      <c r="GM31" s="82">
        <f t="shared" ref="GM31:GY31" si="655">GK31</f>
        <v>655572</v>
      </c>
      <c r="GN31" s="82">
        <f t="shared" si="655"/>
        <v>655572</v>
      </c>
      <c r="GO31" s="82">
        <f t="shared" si="655"/>
        <v>655572</v>
      </c>
      <c r="GP31" s="82">
        <f t="shared" si="655"/>
        <v>655572</v>
      </c>
      <c r="GQ31" s="82">
        <f t="shared" si="655"/>
        <v>655572</v>
      </c>
      <c r="GR31" s="82">
        <f t="shared" si="655"/>
        <v>655572</v>
      </c>
      <c r="GS31" s="82">
        <f t="shared" si="655"/>
        <v>655572</v>
      </c>
      <c r="GT31" s="82">
        <f t="shared" si="655"/>
        <v>655572</v>
      </c>
      <c r="GU31" s="82">
        <f t="shared" si="655"/>
        <v>655572</v>
      </c>
      <c r="GV31" s="82">
        <f t="shared" si="655"/>
        <v>655572</v>
      </c>
      <c r="GW31" s="82">
        <f t="shared" si="655"/>
        <v>655572</v>
      </c>
      <c r="GX31" s="82">
        <f t="shared" si="655"/>
        <v>655572</v>
      </c>
      <c r="GY31" s="82">
        <f t="shared" si="655"/>
        <v>655572</v>
      </c>
      <c r="GZ31" s="82">
        <f>GX31-600000</f>
        <v>55572</v>
      </c>
      <c r="HA31" s="82">
        <f>GZ31</f>
        <v>55572</v>
      </c>
      <c r="HB31" s="82">
        <f>GZ31-55000</f>
        <v>572</v>
      </c>
      <c r="HC31" s="82">
        <f>HB31</f>
        <v>572</v>
      </c>
      <c r="HD31" s="82">
        <f>HB31+392026</f>
        <v>392598</v>
      </c>
      <c r="HE31" s="82">
        <f>HD31</f>
        <v>392598</v>
      </c>
      <c r="HF31" s="82">
        <f>HD31</f>
        <v>392598</v>
      </c>
      <c r="HG31" s="82">
        <f>HE31+50000+388291-440000</f>
        <v>390889</v>
      </c>
      <c r="HH31" s="82">
        <f t="shared" ref="HH31:HM31" si="656">HF31</f>
        <v>392598</v>
      </c>
      <c r="HI31" s="82">
        <f t="shared" si="656"/>
        <v>390889</v>
      </c>
      <c r="HJ31" s="82">
        <f t="shared" si="656"/>
        <v>392598</v>
      </c>
      <c r="HK31" s="82">
        <f t="shared" si="656"/>
        <v>390889</v>
      </c>
      <c r="HL31" s="82">
        <f t="shared" si="656"/>
        <v>392598</v>
      </c>
      <c r="HM31" s="82">
        <f t="shared" si="656"/>
        <v>390889</v>
      </c>
      <c r="HN31" s="130"/>
      <c r="HO31" s="82">
        <f>HM31+50000</f>
        <v>440889</v>
      </c>
      <c r="HP31" s="82">
        <f>HO31</f>
        <v>440889</v>
      </c>
      <c r="HQ31" s="82">
        <f>HP31-183000+224000+69000</f>
        <v>550889</v>
      </c>
      <c r="HR31" s="82">
        <f>HQ31-500300+630000</f>
        <v>680589</v>
      </c>
      <c r="HS31" s="82">
        <f t="shared" ref="HS31:II31" si="657">HR31</f>
        <v>680589</v>
      </c>
      <c r="HT31" s="82">
        <f t="shared" si="657"/>
        <v>680589</v>
      </c>
      <c r="HU31" s="82">
        <f t="shared" si="657"/>
        <v>680589</v>
      </c>
      <c r="HV31" s="82">
        <f t="shared" si="657"/>
        <v>680589</v>
      </c>
      <c r="HW31" s="82">
        <f t="shared" si="657"/>
        <v>680589</v>
      </c>
      <c r="HX31" s="82">
        <f t="shared" si="657"/>
        <v>680589</v>
      </c>
      <c r="HY31" s="82">
        <f t="shared" si="657"/>
        <v>680589</v>
      </c>
      <c r="HZ31" s="82">
        <f t="shared" si="657"/>
        <v>680589</v>
      </c>
      <c r="IA31" s="82">
        <f t="shared" si="657"/>
        <v>680589</v>
      </c>
      <c r="IB31" s="82">
        <f t="shared" si="657"/>
        <v>680589</v>
      </c>
      <c r="IC31" s="82">
        <f t="shared" si="657"/>
        <v>680589</v>
      </c>
      <c r="ID31" s="82">
        <f t="shared" si="657"/>
        <v>680589</v>
      </c>
      <c r="IE31" s="82">
        <f t="shared" si="657"/>
        <v>680589</v>
      </c>
      <c r="IF31" s="82">
        <f t="shared" si="657"/>
        <v>680589</v>
      </c>
      <c r="IG31" s="82">
        <f t="shared" si="657"/>
        <v>680589</v>
      </c>
      <c r="IH31" s="82">
        <f t="shared" si="657"/>
        <v>680589</v>
      </c>
      <c r="II31" s="82">
        <f t="shared" si="657"/>
        <v>680589</v>
      </c>
      <c r="IJ31" s="82">
        <f>II31-250000+200000</f>
        <v>630589</v>
      </c>
      <c r="IK31" s="82">
        <f>IJ31</f>
        <v>630589</v>
      </c>
      <c r="IL31" s="82">
        <f>IK31</f>
        <v>630589</v>
      </c>
      <c r="IM31" s="82">
        <f>IL31-150000</f>
        <v>480589</v>
      </c>
      <c r="IN31" s="82">
        <f t="shared" ref="IN31:IS31" si="658">IM31</f>
        <v>480589</v>
      </c>
      <c r="IO31" s="82">
        <f t="shared" si="658"/>
        <v>480589</v>
      </c>
      <c r="IP31" s="82">
        <f t="shared" si="658"/>
        <v>480589</v>
      </c>
      <c r="IQ31" s="82">
        <f t="shared" si="658"/>
        <v>480589</v>
      </c>
      <c r="IR31" s="82">
        <f t="shared" si="658"/>
        <v>480589</v>
      </c>
      <c r="IS31" s="82">
        <f t="shared" si="658"/>
        <v>480589</v>
      </c>
      <c r="IT31" s="130"/>
      <c r="IU31" s="82">
        <f>IS31+40000+95000</f>
        <v>615589</v>
      </c>
      <c r="IV31" s="82">
        <f>IU31+20000+398051-500000</f>
        <v>533640</v>
      </c>
      <c r="IW31" s="82">
        <f t="shared" ref="IW31:IY34" si="659">IV31</f>
        <v>533640</v>
      </c>
      <c r="IX31" s="82">
        <f t="shared" si="659"/>
        <v>533640</v>
      </c>
      <c r="IY31" s="82">
        <f t="shared" si="659"/>
        <v>533640</v>
      </c>
      <c r="IZ31" s="82">
        <f>IY31-60880</f>
        <v>472760</v>
      </c>
      <c r="JA31" s="82">
        <f>IZ31+140000+22000</f>
        <v>634760</v>
      </c>
      <c r="JB31" s="82">
        <f t="shared" ref="JB31:JF36" si="660">JA31</f>
        <v>634760</v>
      </c>
      <c r="JC31" s="82">
        <f t="shared" si="660"/>
        <v>634760</v>
      </c>
      <c r="JD31" s="82">
        <f t="shared" si="660"/>
        <v>634760</v>
      </c>
      <c r="JE31" s="82">
        <f t="shared" si="660"/>
        <v>634760</v>
      </c>
      <c r="JF31" s="82">
        <f t="shared" si="660"/>
        <v>634760</v>
      </c>
      <c r="JG31" s="82">
        <f>JF31+300000-450000</f>
        <v>484760</v>
      </c>
      <c r="JH31" s="82">
        <f t="shared" ref="JH31:JN36" si="661">JG31</f>
        <v>484760</v>
      </c>
      <c r="JI31" s="82">
        <f t="shared" si="661"/>
        <v>484760</v>
      </c>
      <c r="JJ31" s="82">
        <f t="shared" si="661"/>
        <v>484760</v>
      </c>
      <c r="JK31" s="82">
        <f t="shared" si="661"/>
        <v>484760</v>
      </c>
      <c r="JL31" s="82">
        <f t="shared" si="661"/>
        <v>484760</v>
      </c>
      <c r="JM31" s="82">
        <f t="shared" si="661"/>
        <v>484760</v>
      </c>
      <c r="JN31" s="82">
        <f t="shared" si="661"/>
        <v>484760</v>
      </c>
      <c r="JO31" s="82">
        <f>JN31+385000</f>
        <v>869760</v>
      </c>
      <c r="JP31" s="82">
        <f t="shared" ref="JP31:JX31" si="662">JO31</f>
        <v>869760</v>
      </c>
      <c r="JQ31" s="82">
        <f t="shared" si="662"/>
        <v>869760</v>
      </c>
      <c r="JR31" s="82">
        <f t="shared" si="662"/>
        <v>869760</v>
      </c>
      <c r="JS31" s="82">
        <f t="shared" si="662"/>
        <v>869760</v>
      </c>
      <c r="JT31" s="82">
        <f t="shared" si="662"/>
        <v>869760</v>
      </c>
      <c r="JU31" s="82">
        <f t="shared" si="662"/>
        <v>869760</v>
      </c>
      <c r="JV31" s="82">
        <f t="shared" si="662"/>
        <v>869760</v>
      </c>
      <c r="JW31" s="82">
        <f t="shared" si="662"/>
        <v>869760</v>
      </c>
      <c r="JX31" s="82">
        <f t="shared" si="662"/>
        <v>869760</v>
      </c>
      <c r="JY31" s="133"/>
      <c r="JZ31" s="82">
        <f>JX31</f>
        <v>869760</v>
      </c>
      <c r="KA31" s="82">
        <f>JZ31</f>
        <v>869760</v>
      </c>
      <c r="KB31" s="82">
        <f>JZ31</f>
        <v>869760</v>
      </c>
      <c r="KC31" s="82">
        <f>KA31</f>
        <v>869760</v>
      </c>
      <c r="KD31" s="82">
        <f>KB31</f>
        <v>869760</v>
      </c>
      <c r="KE31" s="82">
        <f>KC31</f>
        <v>869760</v>
      </c>
      <c r="KF31" s="82">
        <f>KD31-600000+365136</f>
        <v>634896</v>
      </c>
      <c r="KG31" s="82">
        <f>KF31</f>
        <v>634896</v>
      </c>
      <c r="KH31" s="82">
        <f>KF31</f>
        <v>634896</v>
      </c>
      <c r="KI31" s="82">
        <f>KG31+106000</f>
        <v>740896</v>
      </c>
      <c r="KJ31" s="82">
        <f>KI31</f>
        <v>740896</v>
      </c>
      <c r="KK31" s="82">
        <f>KI31</f>
        <v>740896</v>
      </c>
      <c r="KL31" s="82">
        <f>KJ31-350000</f>
        <v>390896</v>
      </c>
      <c r="KM31" s="82">
        <f>KL31+337654</f>
        <v>728550</v>
      </c>
      <c r="KN31" s="82">
        <f>KM31+181000</f>
        <v>909550</v>
      </c>
      <c r="KO31" s="82">
        <f>KN31</f>
        <v>909550</v>
      </c>
      <c r="KP31" s="82">
        <f>KN31</f>
        <v>909550</v>
      </c>
      <c r="KQ31" s="82">
        <f>KO31</f>
        <v>909550</v>
      </c>
      <c r="KR31" s="82">
        <f>KP31</f>
        <v>909550</v>
      </c>
      <c r="KS31" s="82">
        <f>KQ31</f>
        <v>909550</v>
      </c>
      <c r="KT31" s="82">
        <f>KR31-695000</f>
        <v>214550</v>
      </c>
      <c r="KU31" s="82">
        <f>KT31+274818</f>
        <v>489368</v>
      </c>
      <c r="KV31" s="82">
        <f>KU31</f>
        <v>489368</v>
      </c>
      <c r="KW31" s="82">
        <f>KU31</f>
        <v>489368</v>
      </c>
      <c r="KX31" s="82">
        <f>KV31+293000</f>
        <v>782368</v>
      </c>
      <c r="KY31" s="82">
        <f>KX31</f>
        <v>782368</v>
      </c>
      <c r="KZ31" s="82">
        <f>KX31</f>
        <v>782368</v>
      </c>
      <c r="LA31" s="82">
        <f>KY31</f>
        <v>782368</v>
      </c>
      <c r="LB31" s="82">
        <f>KZ31</f>
        <v>782368</v>
      </c>
      <c r="LC31" s="82">
        <f>LA31</f>
        <v>782368</v>
      </c>
      <c r="LD31" s="82">
        <f>LB31</f>
        <v>782368</v>
      </c>
      <c r="LE31" s="130"/>
      <c r="LF31" s="82">
        <f t="shared" ref="LF31:LF36" si="663">LD31</f>
        <v>782368</v>
      </c>
      <c r="LG31" s="82">
        <f t="shared" ref="LG31:LI33" si="664">LF31</f>
        <v>782368</v>
      </c>
      <c r="LH31" s="82">
        <f t="shared" si="664"/>
        <v>782368</v>
      </c>
      <c r="LI31" s="82">
        <f t="shared" si="664"/>
        <v>782368</v>
      </c>
      <c r="LJ31" s="82">
        <f>LI31+107000+44000</f>
        <v>933368</v>
      </c>
      <c r="LK31" s="82">
        <f>LJ31+44000</f>
        <v>977368</v>
      </c>
      <c r="LL31" s="82">
        <f t="shared" ref="LL31:LR32" si="665">LK31</f>
        <v>977368</v>
      </c>
      <c r="LM31" s="82">
        <f t="shared" si="665"/>
        <v>977368</v>
      </c>
      <c r="LN31" s="82">
        <f t="shared" si="665"/>
        <v>977368</v>
      </c>
      <c r="LO31" s="82">
        <f t="shared" si="665"/>
        <v>977368</v>
      </c>
      <c r="LP31" s="82">
        <f t="shared" si="665"/>
        <v>977368</v>
      </c>
      <c r="LQ31" s="82">
        <f t="shared" si="665"/>
        <v>977368</v>
      </c>
      <c r="LR31" s="82">
        <f t="shared" si="665"/>
        <v>977368</v>
      </c>
      <c r="LS31" s="82">
        <f>LR31-700000+410000</f>
        <v>687368</v>
      </c>
      <c r="LT31" s="82">
        <f t="shared" ref="LT31:LU33" si="666">LS31</f>
        <v>687368</v>
      </c>
      <c r="LU31" s="82">
        <f t="shared" si="666"/>
        <v>687368</v>
      </c>
      <c r="LV31" s="82">
        <f>LU31+336000+179014-400000</f>
        <v>802382</v>
      </c>
      <c r="LW31" s="82">
        <f t="shared" ref="LW31:LX33" si="667">LV31</f>
        <v>802382</v>
      </c>
      <c r="LX31" s="82">
        <f t="shared" si="667"/>
        <v>802382</v>
      </c>
      <c r="LY31" s="82">
        <f>LX31-350000+181000</f>
        <v>633382</v>
      </c>
      <c r="LZ31" s="82">
        <f>LY31</f>
        <v>633382</v>
      </c>
      <c r="MA31" s="82">
        <f>LZ31</f>
        <v>633382</v>
      </c>
      <c r="MB31" s="82">
        <f>MA31</f>
        <v>633382</v>
      </c>
      <c r="MC31" s="82">
        <f>MB31</f>
        <v>633382</v>
      </c>
      <c r="MD31" s="82">
        <f>MC31-350000</f>
        <v>283382</v>
      </c>
      <c r="ME31" s="82">
        <f>MD31+397793</f>
        <v>681175</v>
      </c>
      <c r="MF31" s="82">
        <f>ME31</f>
        <v>681175</v>
      </c>
      <c r="MG31" s="82">
        <f>MF31+215000-400000</f>
        <v>496175</v>
      </c>
      <c r="MH31" s="82">
        <f>MG31+151000</f>
        <v>647175</v>
      </c>
      <c r="MI31" s="82">
        <f>MH31</f>
        <v>647175</v>
      </c>
      <c r="MJ31" s="133"/>
      <c r="MK31" s="82">
        <f>MI31</f>
        <v>647175</v>
      </c>
      <c r="ML31" s="82">
        <f>MK31</f>
        <v>647175</v>
      </c>
      <c r="MM31" s="82">
        <f t="shared" ref="MM31:MT31" si="668">MK31</f>
        <v>647175</v>
      </c>
      <c r="MN31" s="82">
        <f t="shared" si="668"/>
        <v>647175</v>
      </c>
      <c r="MO31" s="82">
        <f t="shared" si="668"/>
        <v>647175</v>
      </c>
      <c r="MP31" s="82">
        <f t="shared" si="668"/>
        <v>647175</v>
      </c>
      <c r="MQ31" s="82">
        <f t="shared" si="668"/>
        <v>647175</v>
      </c>
      <c r="MR31" s="82">
        <f t="shared" si="668"/>
        <v>647175</v>
      </c>
      <c r="MS31" s="82">
        <f t="shared" si="668"/>
        <v>647175</v>
      </c>
      <c r="MT31" s="82">
        <f t="shared" si="668"/>
        <v>647175</v>
      </c>
      <c r="MU31" s="82">
        <f>MS31+296626-400000</f>
        <v>543801</v>
      </c>
      <c r="MV31" s="82">
        <f>MU31</f>
        <v>543801</v>
      </c>
      <c r="MW31" s="82">
        <f>MU31+50000</f>
        <v>593801</v>
      </c>
      <c r="MX31" s="82">
        <f>MW31</f>
        <v>593801</v>
      </c>
      <c r="MY31" s="82">
        <f>MW31</f>
        <v>593801</v>
      </c>
      <c r="MZ31" s="82">
        <f>MX31+100000</f>
        <v>693801</v>
      </c>
      <c r="NA31" s="82">
        <f>MZ31</f>
        <v>693801</v>
      </c>
      <c r="NB31" s="82">
        <f>MZ31-400000+305504</f>
        <v>599305</v>
      </c>
      <c r="NC31" s="82">
        <f>NB31</f>
        <v>599305</v>
      </c>
      <c r="ND31" s="82">
        <f>NB31</f>
        <v>599305</v>
      </c>
      <c r="NE31" s="82">
        <f>NC31</f>
        <v>599305</v>
      </c>
      <c r="NF31" s="82">
        <f>ND31</f>
        <v>599305</v>
      </c>
      <c r="NG31" s="82">
        <f>NE31+22000</f>
        <v>621305</v>
      </c>
      <c r="NH31" s="82">
        <f>NG31</f>
        <v>621305</v>
      </c>
      <c r="NI31" s="82">
        <f>NG31</f>
        <v>621305</v>
      </c>
      <c r="NJ31" s="82">
        <f>NH31</f>
        <v>621305</v>
      </c>
      <c r="NK31" s="82">
        <f>NI31</f>
        <v>621305</v>
      </c>
      <c r="NL31" s="82">
        <f>NJ31+151000</f>
        <v>772305</v>
      </c>
      <c r="NM31" s="82">
        <f>NL31</f>
        <v>772305</v>
      </c>
      <c r="NN31" s="82">
        <f>NL31</f>
        <v>772305</v>
      </c>
      <c r="NO31" s="82">
        <f>NM31</f>
        <v>772305</v>
      </c>
      <c r="NP31" s="133"/>
      <c r="NQ31" s="82">
        <f>NO31</f>
        <v>772305</v>
      </c>
      <c r="NR31" s="82">
        <f>NQ31</f>
        <v>772305</v>
      </c>
      <c r="NS31" s="82">
        <f>NQ31</f>
        <v>772305</v>
      </c>
      <c r="NT31" s="82">
        <f>NR31</f>
        <v>772305</v>
      </c>
      <c r="NU31" s="82">
        <f>NS31+200000</f>
        <v>972305</v>
      </c>
      <c r="NV31" s="82">
        <f>NU31</f>
        <v>972305</v>
      </c>
      <c r="NW31" s="82">
        <f>NU31</f>
        <v>972305</v>
      </c>
      <c r="NX31" s="82">
        <f>NV31-500000</f>
        <v>472305</v>
      </c>
      <c r="NY31" s="82">
        <f>NX31</f>
        <v>472305</v>
      </c>
      <c r="NZ31" s="82">
        <f>NX31</f>
        <v>472305</v>
      </c>
      <c r="OA31" s="82">
        <f>NY31+376263</f>
        <v>848568</v>
      </c>
      <c r="OB31" s="82">
        <f>OA31</f>
        <v>848568</v>
      </c>
      <c r="OC31" s="82">
        <f t="shared" ref="OC31:OG32" si="669">OA31</f>
        <v>848568</v>
      </c>
      <c r="OD31" s="82">
        <f t="shared" si="669"/>
        <v>848568</v>
      </c>
      <c r="OE31" s="82">
        <f t="shared" si="669"/>
        <v>848568</v>
      </c>
      <c r="OF31" s="82">
        <f t="shared" si="669"/>
        <v>848568</v>
      </c>
      <c r="OG31" s="82">
        <f t="shared" si="669"/>
        <v>848568</v>
      </c>
      <c r="OH31" s="82">
        <f>OF31-500000</f>
        <v>348568</v>
      </c>
      <c r="OI31" s="82">
        <f>OH31+112000+69000+388516</f>
        <v>918084</v>
      </c>
      <c r="OJ31" s="82">
        <f>OI31</f>
        <v>918084</v>
      </c>
      <c r="OK31" s="82">
        <f t="shared" ref="OK31:OU31" si="670">OI31</f>
        <v>918084</v>
      </c>
      <c r="OL31" s="82">
        <f t="shared" si="670"/>
        <v>918084</v>
      </c>
      <c r="OM31" s="82">
        <f t="shared" si="670"/>
        <v>918084</v>
      </c>
      <c r="ON31" s="82">
        <f t="shared" si="670"/>
        <v>918084</v>
      </c>
      <c r="OO31" s="82">
        <f t="shared" si="670"/>
        <v>918084</v>
      </c>
      <c r="OP31" s="82">
        <f t="shared" si="670"/>
        <v>918084</v>
      </c>
      <c r="OQ31" s="82">
        <f t="shared" si="670"/>
        <v>918084</v>
      </c>
      <c r="OR31" s="82">
        <f t="shared" si="670"/>
        <v>918084</v>
      </c>
      <c r="OS31" s="82">
        <f t="shared" si="670"/>
        <v>918084</v>
      </c>
      <c r="OT31" s="82">
        <f t="shared" si="670"/>
        <v>918084</v>
      </c>
      <c r="OU31" s="82">
        <f t="shared" si="670"/>
        <v>918084</v>
      </c>
      <c r="OV31" s="130"/>
      <c r="OW31" s="82">
        <f>OU31</f>
        <v>918084</v>
      </c>
      <c r="OX31" s="82">
        <f>OW31-506495+448000</f>
        <v>859589</v>
      </c>
      <c r="OY31" s="82">
        <f>OX31-430000+400000</f>
        <v>829589</v>
      </c>
      <c r="OZ31" s="82">
        <f>OY31</f>
        <v>829589</v>
      </c>
      <c r="PA31" s="82">
        <f>OY31</f>
        <v>829589</v>
      </c>
      <c r="PB31" s="82">
        <f>OZ31</f>
        <v>829589</v>
      </c>
      <c r="PC31" s="82">
        <f>PA31+100000</f>
        <v>929589</v>
      </c>
      <c r="PD31" s="82">
        <f>PC31+107000+44000</f>
        <v>1080589</v>
      </c>
      <c r="PE31" s="82">
        <f>PD31</f>
        <v>1080589</v>
      </c>
      <c r="PF31" s="82">
        <f t="shared" ref="PF31:PP31" si="671">PD31</f>
        <v>1080589</v>
      </c>
      <c r="PG31" s="82">
        <f t="shared" si="671"/>
        <v>1080589</v>
      </c>
      <c r="PH31" s="82">
        <f t="shared" si="671"/>
        <v>1080589</v>
      </c>
      <c r="PI31" s="82">
        <f t="shared" si="671"/>
        <v>1080589</v>
      </c>
      <c r="PJ31" s="82">
        <f t="shared" si="671"/>
        <v>1080589</v>
      </c>
      <c r="PK31" s="82">
        <f t="shared" si="671"/>
        <v>1080589</v>
      </c>
      <c r="PL31" s="82">
        <f t="shared" si="671"/>
        <v>1080589</v>
      </c>
      <c r="PM31" s="82">
        <f t="shared" si="671"/>
        <v>1080589</v>
      </c>
      <c r="PN31" s="82">
        <f t="shared" si="671"/>
        <v>1080589</v>
      </c>
      <c r="PO31" s="82">
        <f t="shared" si="671"/>
        <v>1080589</v>
      </c>
      <c r="PP31" s="82">
        <f t="shared" si="671"/>
        <v>1080589</v>
      </c>
      <c r="PQ31" s="82">
        <f>PO31+112000</f>
        <v>1192589</v>
      </c>
      <c r="PR31" s="82">
        <f>PQ31</f>
        <v>1192589</v>
      </c>
      <c r="PS31" s="82">
        <f>PQ31-900000</f>
        <v>292589</v>
      </c>
      <c r="PT31" s="82">
        <f>PS31+374400</f>
        <v>666989</v>
      </c>
      <c r="PU31" s="82">
        <f>PT31</f>
        <v>666989</v>
      </c>
      <c r="PV31" s="82">
        <f>PT31+107000+44000</f>
        <v>817989</v>
      </c>
      <c r="PW31" s="82">
        <f>PV31</f>
        <v>817989</v>
      </c>
      <c r="PX31" s="82">
        <f>PV31+199648</f>
        <v>1017637</v>
      </c>
      <c r="PY31" s="82">
        <f>PX31</f>
        <v>1017637</v>
      </c>
      <c r="PZ31" s="82">
        <f>PX31</f>
        <v>1017637</v>
      </c>
      <c r="QA31" s="130"/>
      <c r="QB31" s="82">
        <f>PZ31</f>
        <v>1017637</v>
      </c>
      <c r="QC31" s="82">
        <f t="shared" ref="QC31:QN31" si="672">QB31</f>
        <v>1017637</v>
      </c>
      <c r="QD31" s="82">
        <f t="shared" si="672"/>
        <v>1017637</v>
      </c>
      <c r="QE31" s="82">
        <f t="shared" si="672"/>
        <v>1017637</v>
      </c>
      <c r="QF31" s="82">
        <f t="shared" si="672"/>
        <v>1017637</v>
      </c>
      <c r="QG31" s="82">
        <f t="shared" si="672"/>
        <v>1017637</v>
      </c>
      <c r="QH31" s="82">
        <f t="shared" si="672"/>
        <v>1017637</v>
      </c>
      <c r="QI31" s="82">
        <f t="shared" si="672"/>
        <v>1017637</v>
      </c>
      <c r="QJ31" s="82">
        <f t="shared" si="672"/>
        <v>1017637</v>
      </c>
      <c r="QK31" s="82">
        <f t="shared" si="672"/>
        <v>1017637</v>
      </c>
      <c r="QL31" s="82">
        <f t="shared" si="672"/>
        <v>1017637</v>
      </c>
      <c r="QM31" s="82">
        <f t="shared" si="672"/>
        <v>1017637</v>
      </c>
      <c r="QN31" s="82">
        <f t="shared" si="672"/>
        <v>1017637</v>
      </c>
      <c r="QO31" s="82">
        <f>QN31-500000+100000</f>
        <v>617637</v>
      </c>
      <c r="QP31" s="82">
        <f t="shared" ref="QP31:RA31" si="673">QO31</f>
        <v>617637</v>
      </c>
      <c r="QQ31" s="82">
        <f t="shared" si="673"/>
        <v>617637</v>
      </c>
      <c r="QR31" s="82">
        <f t="shared" si="673"/>
        <v>617637</v>
      </c>
      <c r="QS31" s="82">
        <f t="shared" si="673"/>
        <v>617637</v>
      </c>
      <c r="QT31" s="82">
        <f t="shared" si="673"/>
        <v>617637</v>
      </c>
      <c r="QU31" s="82">
        <f t="shared" si="673"/>
        <v>617637</v>
      </c>
      <c r="QV31" s="82">
        <f t="shared" si="673"/>
        <v>617637</v>
      </c>
      <c r="QW31" s="82">
        <f t="shared" si="673"/>
        <v>617637</v>
      </c>
      <c r="QX31" s="82">
        <f t="shared" si="673"/>
        <v>617637</v>
      </c>
      <c r="QY31" s="82">
        <f t="shared" si="673"/>
        <v>617637</v>
      </c>
      <c r="QZ31" s="82">
        <f t="shared" si="673"/>
        <v>617637</v>
      </c>
      <c r="RA31" s="82">
        <f t="shared" si="673"/>
        <v>617637</v>
      </c>
      <c r="RB31" s="82">
        <f>RA31+200000</f>
        <v>817637</v>
      </c>
      <c r="RC31" s="82">
        <f>RB31</f>
        <v>817637</v>
      </c>
      <c r="RD31" s="82">
        <f>RC31</f>
        <v>817637</v>
      </c>
      <c r="RE31" s="82">
        <f>RD31-450000</f>
        <v>367637</v>
      </c>
      <c r="RF31" s="82">
        <f>RE31</f>
        <v>367637</v>
      </c>
      <c r="RG31" s="130"/>
      <c r="RH31" s="82">
        <f>RF31+18000</f>
        <v>385637</v>
      </c>
      <c r="RI31" s="82">
        <f>RH31+110000+23000</f>
        <v>518637</v>
      </c>
      <c r="RJ31" s="82">
        <f>RI31+44000+107000</f>
        <v>669637</v>
      </c>
      <c r="RK31" s="82">
        <f>RJ31</f>
        <v>669637</v>
      </c>
      <c r="RL31" s="82">
        <f>RK31+336141</f>
        <v>1005778</v>
      </c>
      <c r="RM31" s="82">
        <f t="shared" ref="RM31:SK31" si="674">RL31</f>
        <v>1005778</v>
      </c>
      <c r="RN31" s="82">
        <f t="shared" si="674"/>
        <v>1005778</v>
      </c>
      <c r="RO31" s="82">
        <f t="shared" si="674"/>
        <v>1005778</v>
      </c>
      <c r="RP31" s="82">
        <f t="shared" si="674"/>
        <v>1005778</v>
      </c>
      <c r="RQ31" s="82">
        <f t="shared" si="674"/>
        <v>1005778</v>
      </c>
      <c r="RR31" s="82">
        <f t="shared" si="674"/>
        <v>1005778</v>
      </c>
      <c r="RS31" s="82">
        <f t="shared" si="674"/>
        <v>1005778</v>
      </c>
      <c r="RT31" s="82">
        <f t="shared" si="674"/>
        <v>1005778</v>
      </c>
      <c r="RU31" s="82">
        <f t="shared" si="674"/>
        <v>1005778</v>
      </c>
      <c r="RV31" s="82">
        <f t="shared" si="674"/>
        <v>1005778</v>
      </c>
      <c r="RW31" s="82">
        <f t="shared" si="674"/>
        <v>1005778</v>
      </c>
      <c r="RX31" s="82">
        <f t="shared" si="674"/>
        <v>1005778</v>
      </c>
      <c r="RY31" s="82">
        <f t="shared" si="674"/>
        <v>1005778</v>
      </c>
      <c r="RZ31" s="82">
        <f t="shared" si="674"/>
        <v>1005778</v>
      </c>
      <c r="SA31" s="82">
        <f t="shared" si="674"/>
        <v>1005778</v>
      </c>
      <c r="SB31" s="82">
        <f t="shared" si="674"/>
        <v>1005778</v>
      </c>
      <c r="SC31" s="82">
        <f t="shared" si="674"/>
        <v>1005778</v>
      </c>
      <c r="SD31" s="82">
        <f t="shared" si="674"/>
        <v>1005778</v>
      </c>
      <c r="SE31" s="82">
        <f t="shared" si="674"/>
        <v>1005778</v>
      </c>
      <c r="SF31" s="82">
        <f t="shared" si="674"/>
        <v>1005778</v>
      </c>
      <c r="SG31" s="82">
        <f t="shared" si="674"/>
        <v>1005778</v>
      </c>
      <c r="SH31" s="82">
        <f t="shared" si="674"/>
        <v>1005778</v>
      </c>
      <c r="SI31" s="82">
        <f t="shared" si="674"/>
        <v>1005778</v>
      </c>
      <c r="SJ31" s="82">
        <f t="shared" si="674"/>
        <v>1005778</v>
      </c>
      <c r="SK31" s="82">
        <f t="shared" si="674"/>
        <v>1005778</v>
      </c>
      <c r="SL31" s="130"/>
      <c r="SM31" s="82">
        <f>SK31</f>
        <v>1005778</v>
      </c>
      <c r="SN31" s="82">
        <f t="shared" ref="SN31:TQ31" si="675">SM31</f>
        <v>1005778</v>
      </c>
      <c r="SO31" s="82">
        <f t="shared" si="675"/>
        <v>1005778</v>
      </c>
      <c r="SP31" s="82">
        <f t="shared" si="675"/>
        <v>1005778</v>
      </c>
      <c r="SQ31" s="82">
        <f t="shared" si="675"/>
        <v>1005778</v>
      </c>
      <c r="SR31" s="82">
        <f t="shared" si="675"/>
        <v>1005778</v>
      </c>
      <c r="SS31" s="82">
        <f t="shared" si="675"/>
        <v>1005778</v>
      </c>
      <c r="ST31" s="82">
        <f t="shared" si="675"/>
        <v>1005778</v>
      </c>
      <c r="SU31" s="82">
        <f t="shared" si="675"/>
        <v>1005778</v>
      </c>
      <c r="SV31" s="82">
        <f t="shared" si="675"/>
        <v>1005778</v>
      </c>
      <c r="SW31" s="82">
        <f t="shared" si="675"/>
        <v>1005778</v>
      </c>
      <c r="SX31" s="82">
        <f t="shared" si="675"/>
        <v>1005778</v>
      </c>
      <c r="SY31" s="82">
        <f t="shared" si="675"/>
        <v>1005778</v>
      </c>
      <c r="SZ31" s="82">
        <f t="shared" si="675"/>
        <v>1005778</v>
      </c>
      <c r="TA31" s="82">
        <f t="shared" si="675"/>
        <v>1005778</v>
      </c>
      <c r="TB31" s="82">
        <f t="shared" si="675"/>
        <v>1005778</v>
      </c>
      <c r="TC31" s="82">
        <f t="shared" si="675"/>
        <v>1005778</v>
      </c>
      <c r="TD31" s="82">
        <f t="shared" si="675"/>
        <v>1005778</v>
      </c>
      <c r="TE31" s="82">
        <f t="shared" si="675"/>
        <v>1005778</v>
      </c>
      <c r="TF31" s="82">
        <f t="shared" si="675"/>
        <v>1005778</v>
      </c>
      <c r="TG31" s="82">
        <f t="shared" si="675"/>
        <v>1005778</v>
      </c>
      <c r="TH31" s="82">
        <f t="shared" si="675"/>
        <v>1005778</v>
      </c>
      <c r="TI31" s="82">
        <f t="shared" si="675"/>
        <v>1005778</v>
      </c>
      <c r="TJ31" s="82">
        <f t="shared" si="675"/>
        <v>1005778</v>
      </c>
      <c r="TK31" s="82">
        <f t="shared" si="675"/>
        <v>1005778</v>
      </c>
      <c r="TL31" s="82">
        <f t="shared" si="675"/>
        <v>1005778</v>
      </c>
      <c r="TM31" s="82">
        <f t="shared" si="675"/>
        <v>1005778</v>
      </c>
      <c r="TN31" s="82">
        <f t="shared" si="675"/>
        <v>1005778</v>
      </c>
      <c r="TO31" s="82">
        <f t="shared" si="675"/>
        <v>1005778</v>
      </c>
      <c r="TP31" s="82">
        <f t="shared" si="675"/>
        <v>1005778</v>
      </c>
      <c r="TQ31" s="82">
        <f t="shared" si="675"/>
        <v>1005778</v>
      </c>
      <c r="TR31" s="130"/>
      <c r="TS31" s="82">
        <f>TQ31</f>
        <v>1005778</v>
      </c>
      <c r="TT31" s="82">
        <f t="shared" ref="TT31:TV36" si="676">TS31</f>
        <v>1005778</v>
      </c>
      <c r="TU31" s="82">
        <f t="shared" si="676"/>
        <v>1005778</v>
      </c>
      <c r="TV31" s="82">
        <f t="shared" si="676"/>
        <v>1005778</v>
      </c>
      <c r="TW31" s="82">
        <f t="shared" si="652"/>
        <v>1005778</v>
      </c>
      <c r="TX31" s="82">
        <f t="shared" ref="TX31:UW31" si="677">TW31</f>
        <v>1005778</v>
      </c>
      <c r="TY31" s="82">
        <f t="shared" si="677"/>
        <v>1005778</v>
      </c>
      <c r="TZ31" s="82">
        <f t="shared" si="677"/>
        <v>1005778</v>
      </c>
      <c r="UA31" s="82">
        <f t="shared" si="677"/>
        <v>1005778</v>
      </c>
      <c r="UB31" s="82">
        <f t="shared" si="677"/>
        <v>1005778</v>
      </c>
      <c r="UC31" s="82">
        <f t="shared" si="677"/>
        <v>1005778</v>
      </c>
      <c r="UD31" s="82">
        <f t="shared" si="677"/>
        <v>1005778</v>
      </c>
      <c r="UE31" s="82">
        <f t="shared" si="677"/>
        <v>1005778</v>
      </c>
      <c r="UF31" s="82">
        <f t="shared" si="677"/>
        <v>1005778</v>
      </c>
      <c r="UG31" s="82">
        <f t="shared" si="677"/>
        <v>1005778</v>
      </c>
      <c r="UH31" s="82">
        <f t="shared" si="677"/>
        <v>1005778</v>
      </c>
      <c r="UI31" s="82">
        <f t="shared" si="677"/>
        <v>1005778</v>
      </c>
      <c r="UJ31" s="82">
        <f t="shared" si="677"/>
        <v>1005778</v>
      </c>
      <c r="UK31" s="82">
        <f t="shared" si="677"/>
        <v>1005778</v>
      </c>
      <c r="UL31" s="82">
        <f t="shared" si="677"/>
        <v>1005778</v>
      </c>
      <c r="UM31" s="82">
        <f t="shared" si="677"/>
        <v>1005778</v>
      </c>
      <c r="UN31" s="82">
        <f t="shared" si="677"/>
        <v>1005778</v>
      </c>
      <c r="UO31" s="82">
        <f t="shared" si="677"/>
        <v>1005778</v>
      </c>
      <c r="UP31" s="82">
        <f t="shared" si="677"/>
        <v>1005778</v>
      </c>
      <c r="UQ31" s="82">
        <f t="shared" si="677"/>
        <v>1005778</v>
      </c>
      <c r="UR31" s="82">
        <f t="shared" si="677"/>
        <v>1005778</v>
      </c>
      <c r="US31" s="82">
        <f t="shared" si="677"/>
        <v>1005778</v>
      </c>
      <c r="UT31" s="82">
        <f t="shared" si="677"/>
        <v>1005778</v>
      </c>
      <c r="UU31" s="82">
        <f t="shared" si="677"/>
        <v>1005778</v>
      </c>
      <c r="UV31" s="82">
        <f t="shared" si="677"/>
        <v>1005778</v>
      </c>
      <c r="UW31" s="82">
        <f t="shared" si="677"/>
        <v>1005778</v>
      </c>
      <c r="UX31" s="130"/>
      <c r="UY31" s="82">
        <f>UW31</f>
        <v>1005778</v>
      </c>
      <c r="UZ31" s="82">
        <f t="shared" ref="UZ31:UZ36" si="678">UY31</f>
        <v>1005778</v>
      </c>
      <c r="VA31" s="82">
        <f t="shared" ref="VA31:VJ32" si="679">UY31</f>
        <v>1005778</v>
      </c>
      <c r="VB31" s="82">
        <f t="shared" si="679"/>
        <v>1005778</v>
      </c>
      <c r="VC31" s="82">
        <f t="shared" si="679"/>
        <v>1005778</v>
      </c>
      <c r="VD31" s="82">
        <f t="shared" si="679"/>
        <v>1005778</v>
      </c>
      <c r="VE31" s="82">
        <f t="shared" si="679"/>
        <v>1005778</v>
      </c>
      <c r="VF31" s="82">
        <f t="shared" si="679"/>
        <v>1005778</v>
      </c>
      <c r="VG31" s="82">
        <f t="shared" si="679"/>
        <v>1005778</v>
      </c>
      <c r="VH31" s="82">
        <f t="shared" si="679"/>
        <v>1005778</v>
      </c>
      <c r="VI31" s="82">
        <f t="shared" si="679"/>
        <v>1005778</v>
      </c>
      <c r="VJ31" s="82">
        <f t="shared" si="679"/>
        <v>1005778</v>
      </c>
      <c r="VK31" s="82">
        <f t="shared" ref="VK31:VT32" si="680">VI31</f>
        <v>1005778</v>
      </c>
      <c r="VL31" s="82">
        <f t="shared" si="680"/>
        <v>1005778</v>
      </c>
      <c r="VM31" s="82">
        <f t="shared" si="680"/>
        <v>1005778</v>
      </c>
      <c r="VN31" s="82">
        <f t="shared" si="680"/>
        <v>1005778</v>
      </c>
      <c r="VO31" s="82">
        <f t="shared" si="680"/>
        <v>1005778</v>
      </c>
      <c r="VP31" s="82">
        <f t="shared" si="680"/>
        <v>1005778</v>
      </c>
      <c r="VQ31" s="82">
        <f t="shared" si="680"/>
        <v>1005778</v>
      </c>
      <c r="VR31" s="82">
        <f t="shared" si="680"/>
        <v>1005778</v>
      </c>
      <c r="VS31" s="82">
        <f t="shared" si="680"/>
        <v>1005778</v>
      </c>
      <c r="VT31" s="82">
        <f t="shared" si="680"/>
        <v>1005778</v>
      </c>
      <c r="VU31" s="82">
        <f t="shared" ref="VU31:WD32" si="681">VS31</f>
        <v>1005778</v>
      </c>
      <c r="VV31" s="82">
        <f t="shared" si="681"/>
        <v>1005778</v>
      </c>
      <c r="VW31" s="82">
        <f t="shared" si="681"/>
        <v>1005778</v>
      </c>
      <c r="VX31" s="82">
        <f t="shared" si="681"/>
        <v>1005778</v>
      </c>
      <c r="VY31" s="82">
        <f t="shared" si="681"/>
        <v>1005778</v>
      </c>
      <c r="VZ31" s="82">
        <f t="shared" si="681"/>
        <v>1005778</v>
      </c>
      <c r="WA31" s="133"/>
      <c r="WB31" s="82">
        <f>VZ31</f>
        <v>1005778</v>
      </c>
      <c r="WC31" s="82">
        <f>WB31</f>
        <v>1005778</v>
      </c>
      <c r="WD31" s="82">
        <f t="shared" ref="WD31:WM32" si="682">WB31</f>
        <v>1005778</v>
      </c>
      <c r="WE31" s="82">
        <f t="shared" si="682"/>
        <v>1005778</v>
      </c>
      <c r="WF31" s="82">
        <f t="shared" si="682"/>
        <v>1005778</v>
      </c>
      <c r="WG31" s="82">
        <f t="shared" si="682"/>
        <v>1005778</v>
      </c>
      <c r="WH31" s="82">
        <f t="shared" si="682"/>
        <v>1005778</v>
      </c>
      <c r="WI31" s="82">
        <f t="shared" si="682"/>
        <v>1005778</v>
      </c>
      <c r="WJ31" s="82">
        <f t="shared" si="682"/>
        <v>1005778</v>
      </c>
      <c r="WK31" s="82">
        <f t="shared" si="682"/>
        <v>1005778</v>
      </c>
      <c r="WL31" s="82">
        <f t="shared" si="682"/>
        <v>1005778</v>
      </c>
      <c r="WM31" s="82">
        <f t="shared" si="682"/>
        <v>1005778</v>
      </c>
      <c r="WN31" s="82">
        <f t="shared" ref="WN31:WW32" si="683">WL31</f>
        <v>1005778</v>
      </c>
      <c r="WO31" s="82">
        <f t="shared" si="683"/>
        <v>1005778</v>
      </c>
      <c r="WP31" s="82">
        <f t="shared" si="683"/>
        <v>1005778</v>
      </c>
      <c r="WQ31" s="82">
        <f t="shared" si="683"/>
        <v>1005778</v>
      </c>
      <c r="WR31" s="82">
        <f t="shared" si="683"/>
        <v>1005778</v>
      </c>
      <c r="WS31" s="82">
        <f t="shared" si="683"/>
        <v>1005778</v>
      </c>
      <c r="WT31" s="82">
        <f t="shared" si="683"/>
        <v>1005778</v>
      </c>
      <c r="WU31" s="82">
        <f t="shared" si="683"/>
        <v>1005778</v>
      </c>
      <c r="WV31" s="82">
        <f t="shared" si="683"/>
        <v>1005778</v>
      </c>
      <c r="WW31" s="82">
        <f t="shared" si="683"/>
        <v>1005778</v>
      </c>
      <c r="WX31" s="82">
        <f t="shared" ref="WX31:XG32" si="684">WV31</f>
        <v>1005778</v>
      </c>
      <c r="WY31" s="82">
        <f t="shared" si="684"/>
        <v>1005778</v>
      </c>
      <c r="WZ31" s="82">
        <f t="shared" si="684"/>
        <v>1005778</v>
      </c>
      <c r="XA31" s="82">
        <f t="shared" si="684"/>
        <v>1005778</v>
      </c>
      <c r="XB31" s="82">
        <f>WZ31-600000</f>
        <v>405778</v>
      </c>
      <c r="XC31" s="82">
        <f>XB31</f>
        <v>405778</v>
      </c>
      <c r="XD31" s="82">
        <f t="shared" ref="XD31:XF32" si="685">XB31</f>
        <v>405778</v>
      </c>
      <c r="XE31" s="82">
        <f t="shared" si="685"/>
        <v>405778</v>
      </c>
      <c r="XF31" s="82">
        <f t="shared" si="685"/>
        <v>405778</v>
      </c>
      <c r="XG31" s="133"/>
      <c r="XH31" s="82">
        <f>XF31</f>
        <v>405778</v>
      </c>
      <c r="XI31" s="82">
        <f t="shared" ref="XI31:YK31" si="686">XH31</f>
        <v>405778</v>
      </c>
      <c r="XJ31" s="82">
        <f t="shared" si="686"/>
        <v>405778</v>
      </c>
      <c r="XK31" s="82">
        <f t="shared" si="686"/>
        <v>405778</v>
      </c>
      <c r="XL31" s="82">
        <f t="shared" si="686"/>
        <v>405778</v>
      </c>
      <c r="XM31" s="82">
        <f t="shared" si="686"/>
        <v>405778</v>
      </c>
      <c r="XN31" s="82">
        <f t="shared" si="686"/>
        <v>405778</v>
      </c>
      <c r="XO31" s="82">
        <f t="shared" si="686"/>
        <v>405778</v>
      </c>
      <c r="XP31" s="82">
        <f t="shared" si="686"/>
        <v>405778</v>
      </c>
      <c r="XQ31" s="82">
        <f t="shared" si="686"/>
        <v>405778</v>
      </c>
      <c r="XR31" s="82">
        <f t="shared" si="686"/>
        <v>405778</v>
      </c>
      <c r="XS31" s="82">
        <f t="shared" si="686"/>
        <v>405778</v>
      </c>
      <c r="XT31" s="82">
        <f t="shared" si="686"/>
        <v>405778</v>
      </c>
      <c r="XU31" s="82">
        <f t="shared" si="686"/>
        <v>405778</v>
      </c>
      <c r="XV31" s="82">
        <f t="shared" si="686"/>
        <v>405778</v>
      </c>
      <c r="XW31" s="82">
        <f t="shared" si="686"/>
        <v>405778</v>
      </c>
      <c r="XX31" s="82">
        <f t="shared" si="686"/>
        <v>405778</v>
      </c>
      <c r="XY31" s="82">
        <f t="shared" si="686"/>
        <v>405778</v>
      </c>
      <c r="XZ31" s="82">
        <f t="shared" si="686"/>
        <v>405778</v>
      </c>
      <c r="YA31" s="82">
        <f t="shared" si="686"/>
        <v>405778</v>
      </c>
      <c r="YB31" s="82">
        <f t="shared" si="686"/>
        <v>405778</v>
      </c>
      <c r="YC31" s="82">
        <f t="shared" si="686"/>
        <v>405778</v>
      </c>
      <c r="YD31" s="82">
        <f t="shared" si="686"/>
        <v>405778</v>
      </c>
      <c r="YE31" s="82">
        <f t="shared" si="686"/>
        <v>405778</v>
      </c>
      <c r="YF31" s="82">
        <f t="shared" si="686"/>
        <v>405778</v>
      </c>
      <c r="YG31" s="82">
        <f t="shared" si="686"/>
        <v>405778</v>
      </c>
      <c r="YH31" s="82">
        <f t="shared" si="686"/>
        <v>405778</v>
      </c>
      <c r="YI31" s="82">
        <f t="shared" si="686"/>
        <v>405778</v>
      </c>
      <c r="YJ31" s="82">
        <f t="shared" si="686"/>
        <v>405778</v>
      </c>
      <c r="YK31" s="82">
        <f t="shared" si="686"/>
        <v>405778</v>
      </c>
      <c r="YL31" s="130"/>
      <c r="YM31" s="82">
        <f>YK31</f>
        <v>405778</v>
      </c>
      <c r="YN31" s="82">
        <f t="shared" ref="YN31:ZQ31" si="687">YM31</f>
        <v>405778</v>
      </c>
      <c r="YO31" s="82">
        <f t="shared" si="687"/>
        <v>405778</v>
      </c>
      <c r="YP31" s="82">
        <f t="shared" si="687"/>
        <v>405778</v>
      </c>
      <c r="YQ31" s="82">
        <f t="shared" si="687"/>
        <v>405778</v>
      </c>
      <c r="YR31" s="82">
        <f t="shared" si="687"/>
        <v>405778</v>
      </c>
      <c r="YS31" s="82">
        <f t="shared" si="687"/>
        <v>405778</v>
      </c>
      <c r="YT31" s="82">
        <f t="shared" si="687"/>
        <v>405778</v>
      </c>
      <c r="YU31" s="82">
        <f t="shared" si="687"/>
        <v>405778</v>
      </c>
      <c r="YV31" s="82">
        <f t="shared" si="687"/>
        <v>405778</v>
      </c>
      <c r="YW31" s="82">
        <f t="shared" si="687"/>
        <v>405778</v>
      </c>
      <c r="YX31" s="82">
        <f t="shared" si="687"/>
        <v>405778</v>
      </c>
      <c r="YY31" s="82">
        <f t="shared" si="687"/>
        <v>405778</v>
      </c>
      <c r="YZ31" s="82">
        <f t="shared" si="687"/>
        <v>405778</v>
      </c>
      <c r="ZA31" s="82">
        <f t="shared" si="687"/>
        <v>405778</v>
      </c>
      <c r="ZB31" s="82">
        <f t="shared" si="687"/>
        <v>405778</v>
      </c>
      <c r="ZC31" s="82">
        <f t="shared" si="687"/>
        <v>405778</v>
      </c>
      <c r="ZD31" s="82">
        <f t="shared" si="687"/>
        <v>405778</v>
      </c>
      <c r="ZE31" s="82">
        <f t="shared" si="687"/>
        <v>405778</v>
      </c>
      <c r="ZF31" s="82">
        <f t="shared" si="687"/>
        <v>405778</v>
      </c>
      <c r="ZG31" s="82">
        <f t="shared" si="687"/>
        <v>405778</v>
      </c>
      <c r="ZH31" s="82">
        <f t="shared" si="687"/>
        <v>405778</v>
      </c>
      <c r="ZI31" s="82">
        <f t="shared" si="687"/>
        <v>405778</v>
      </c>
      <c r="ZJ31" s="82">
        <f t="shared" si="687"/>
        <v>405778</v>
      </c>
      <c r="ZK31" s="82">
        <f t="shared" si="687"/>
        <v>405778</v>
      </c>
      <c r="ZL31" s="82">
        <f t="shared" si="687"/>
        <v>405778</v>
      </c>
      <c r="ZM31" s="82">
        <f t="shared" si="687"/>
        <v>405778</v>
      </c>
      <c r="ZN31" s="82">
        <f t="shared" si="687"/>
        <v>405778</v>
      </c>
      <c r="ZO31" s="82">
        <f t="shared" si="687"/>
        <v>405778</v>
      </c>
      <c r="ZP31" s="82">
        <f t="shared" si="687"/>
        <v>405778</v>
      </c>
      <c r="ZQ31" s="82">
        <f t="shared" si="687"/>
        <v>405778</v>
      </c>
      <c r="ZR31" s="130"/>
      <c r="ZS31" s="82">
        <f>ZQ31</f>
        <v>405778</v>
      </c>
      <c r="ZT31" s="82">
        <f t="shared" ref="ZT31:AAO31" si="688">ZS31</f>
        <v>405778</v>
      </c>
      <c r="ZU31" s="82">
        <f t="shared" si="688"/>
        <v>405778</v>
      </c>
      <c r="ZV31" s="82">
        <f t="shared" si="688"/>
        <v>405778</v>
      </c>
      <c r="ZW31" s="82">
        <f t="shared" si="688"/>
        <v>405778</v>
      </c>
      <c r="ZX31" s="82">
        <f t="shared" si="688"/>
        <v>405778</v>
      </c>
      <c r="ZY31" s="82">
        <f t="shared" si="688"/>
        <v>405778</v>
      </c>
      <c r="ZZ31" s="82">
        <f t="shared" si="688"/>
        <v>405778</v>
      </c>
      <c r="AAA31" s="82">
        <f t="shared" si="688"/>
        <v>405778</v>
      </c>
      <c r="AAB31" s="82">
        <f t="shared" si="688"/>
        <v>405778</v>
      </c>
      <c r="AAC31" s="82">
        <f t="shared" si="688"/>
        <v>405778</v>
      </c>
      <c r="AAD31" s="82">
        <f t="shared" si="688"/>
        <v>405778</v>
      </c>
      <c r="AAE31" s="82">
        <f t="shared" si="688"/>
        <v>405778</v>
      </c>
      <c r="AAF31" s="82">
        <f t="shared" si="688"/>
        <v>405778</v>
      </c>
      <c r="AAG31" s="82">
        <f t="shared" si="688"/>
        <v>405778</v>
      </c>
      <c r="AAH31" s="82">
        <f t="shared" si="688"/>
        <v>405778</v>
      </c>
      <c r="AAI31" s="82">
        <f t="shared" si="688"/>
        <v>405778</v>
      </c>
      <c r="AAJ31" s="82">
        <f t="shared" si="688"/>
        <v>405778</v>
      </c>
      <c r="AAK31" s="82">
        <f t="shared" si="688"/>
        <v>405778</v>
      </c>
      <c r="AAL31" s="82">
        <f t="shared" si="688"/>
        <v>405778</v>
      </c>
      <c r="AAM31" s="82">
        <f t="shared" si="688"/>
        <v>405778</v>
      </c>
      <c r="AAN31" s="82">
        <f t="shared" si="688"/>
        <v>405778</v>
      </c>
      <c r="AAO31" s="82">
        <f t="shared" si="688"/>
        <v>405778</v>
      </c>
      <c r="AAP31" s="82">
        <v>0</v>
      </c>
      <c r="AAQ31" s="82">
        <f t="shared" ref="AAQ31:AAV34" si="689">AAP31</f>
        <v>0</v>
      </c>
      <c r="AAR31" s="82">
        <f t="shared" si="689"/>
        <v>0</v>
      </c>
      <c r="AAS31" s="82">
        <f t="shared" si="689"/>
        <v>0</v>
      </c>
      <c r="AAT31" s="82">
        <f t="shared" si="689"/>
        <v>0</v>
      </c>
      <c r="AAU31" s="82">
        <f t="shared" si="689"/>
        <v>0</v>
      </c>
      <c r="AAV31" s="82">
        <f t="shared" si="689"/>
        <v>0</v>
      </c>
      <c r="AAW31" s="130"/>
      <c r="AAX31" s="82">
        <f t="shared" ref="AAX31:ACB31" si="690">AAW31</f>
        <v>0</v>
      </c>
      <c r="AAY31" s="82">
        <f t="shared" si="690"/>
        <v>0</v>
      </c>
      <c r="AAZ31" s="82">
        <f t="shared" si="690"/>
        <v>0</v>
      </c>
      <c r="ABA31" s="82">
        <f t="shared" si="690"/>
        <v>0</v>
      </c>
      <c r="ABB31" s="82">
        <f t="shared" si="690"/>
        <v>0</v>
      </c>
      <c r="ABC31" s="82">
        <f t="shared" si="690"/>
        <v>0</v>
      </c>
      <c r="ABD31" s="82">
        <f t="shared" si="690"/>
        <v>0</v>
      </c>
      <c r="ABE31" s="82">
        <f t="shared" si="690"/>
        <v>0</v>
      </c>
      <c r="ABF31" s="82">
        <f t="shared" si="690"/>
        <v>0</v>
      </c>
      <c r="ABG31" s="82">
        <f t="shared" si="690"/>
        <v>0</v>
      </c>
      <c r="ABH31" s="82">
        <f t="shared" si="690"/>
        <v>0</v>
      </c>
      <c r="ABI31" s="82">
        <f t="shared" si="690"/>
        <v>0</v>
      </c>
      <c r="ABJ31" s="82">
        <f t="shared" si="690"/>
        <v>0</v>
      </c>
      <c r="ABK31" s="82">
        <f t="shared" si="690"/>
        <v>0</v>
      </c>
      <c r="ABL31" s="82">
        <f t="shared" si="690"/>
        <v>0</v>
      </c>
      <c r="ABM31" s="82">
        <f t="shared" si="690"/>
        <v>0</v>
      </c>
      <c r="ABN31" s="82">
        <f t="shared" si="690"/>
        <v>0</v>
      </c>
      <c r="ABO31" s="82">
        <f t="shared" si="690"/>
        <v>0</v>
      </c>
      <c r="ABP31" s="82">
        <f t="shared" si="690"/>
        <v>0</v>
      </c>
      <c r="ABQ31" s="82">
        <f t="shared" si="690"/>
        <v>0</v>
      </c>
      <c r="ABR31" s="82">
        <f t="shared" si="690"/>
        <v>0</v>
      </c>
      <c r="ABS31" s="82">
        <f t="shared" si="690"/>
        <v>0</v>
      </c>
      <c r="ABT31" s="82">
        <f t="shared" si="690"/>
        <v>0</v>
      </c>
      <c r="ABU31" s="82">
        <f t="shared" si="690"/>
        <v>0</v>
      </c>
      <c r="ABV31" s="82">
        <f t="shared" si="690"/>
        <v>0</v>
      </c>
      <c r="ABW31" s="82">
        <f t="shared" si="690"/>
        <v>0</v>
      </c>
      <c r="ABX31" s="82">
        <f t="shared" si="690"/>
        <v>0</v>
      </c>
      <c r="ABY31" s="82">
        <f t="shared" si="690"/>
        <v>0</v>
      </c>
      <c r="ABZ31" s="82">
        <f t="shared" si="690"/>
        <v>0</v>
      </c>
      <c r="ACA31" s="82">
        <f t="shared" si="690"/>
        <v>0</v>
      </c>
      <c r="ACB31" s="82">
        <f t="shared" si="690"/>
        <v>0</v>
      </c>
      <c r="ACC31" s="130"/>
      <c r="ACD31" s="82">
        <f t="shared" ref="ACD31:ADH31" si="691">ACC31</f>
        <v>0</v>
      </c>
      <c r="ACE31" s="82">
        <f t="shared" si="691"/>
        <v>0</v>
      </c>
      <c r="ACF31" s="82">
        <f t="shared" si="691"/>
        <v>0</v>
      </c>
      <c r="ACG31" s="82">
        <f t="shared" si="691"/>
        <v>0</v>
      </c>
      <c r="ACH31" s="82">
        <f t="shared" si="691"/>
        <v>0</v>
      </c>
      <c r="ACI31" s="82">
        <f t="shared" si="691"/>
        <v>0</v>
      </c>
      <c r="ACJ31" s="82">
        <f t="shared" si="691"/>
        <v>0</v>
      </c>
      <c r="ACK31" s="82">
        <f t="shared" si="691"/>
        <v>0</v>
      </c>
      <c r="ACL31" s="82">
        <f t="shared" si="691"/>
        <v>0</v>
      </c>
      <c r="ACM31" s="82">
        <f t="shared" si="691"/>
        <v>0</v>
      </c>
      <c r="ACN31" s="82">
        <f t="shared" si="691"/>
        <v>0</v>
      </c>
      <c r="ACO31" s="82">
        <f t="shared" si="691"/>
        <v>0</v>
      </c>
      <c r="ACP31" s="82">
        <f t="shared" si="691"/>
        <v>0</v>
      </c>
      <c r="ACQ31" s="82">
        <f t="shared" si="691"/>
        <v>0</v>
      </c>
      <c r="ACR31" s="82">
        <f t="shared" si="691"/>
        <v>0</v>
      </c>
      <c r="ACS31" s="82">
        <f t="shared" si="691"/>
        <v>0</v>
      </c>
      <c r="ACT31" s="82">
        <f t="shared" si="691"/>
        <v>0</v>
      </c>
      <c r="ACU31" s="82">
        <f t="shared" si="691"/>
        <v>0</v>
      </c>
      <c r="ACV31" s="82">
        <f t="shared" si="691"/>
        <v>0</v>
      </c>
      <c r="ACW31" s="82">
        <f t="shared" si="691"/>
        <v>0</v>
      </c>
      <c r="ACX31" s="82">
        <f t="shared" si="691"/>
        <v>0</v>
      </c>
      <c r="ACY31" s="82">
        <f t="shared" si="691"/>
        <v>0</v>
      </c>
      <c r="ACZ31" s="82">
        <f t="shared" si="691"/>
        <v>0</v>
      </c>
      <c r="ADA31" s="82">
        <f t="shared" si="691"/>
        <v>0</v>
      </c>
      <c r="ADB31" s="82">
        <f t="shared" si="691"/>
        <v>0</v>
      </c>
      <c r="ADC31" s="82">
        <f t="shared" si="691"/>
        <v>0</v>
      </c>
      <c r="ADD31" s="82">
        <f t="shared" si="691"/>
        <v>0</v>
      </c>
      <c r="ADE31" s="82">
        <f t="shared" si="691"/>
        <v>0</v>
      </c>
      <c r="ADF31" s="82">
        <f t="shared" si="691"/>
        <v>0</v>
      </c>
      <c r="ADG31" s="82">
        <f t="shared" si="691"/>
        <v>0</v>
      </c>
      <c r="ADH31" s="82">
        <f t="shared" si="691"/>
        <v>0</v>
      </c>
      <c r="ADI31" s="130"/>
      <c r="ADJ31" s="82">
        <f t="shared" ref="ADJ31:AEM31" si="692">ADI31</f>
        <v>0</v>
      </c>
      <c r="ADK31" s="82">
        <f t="shared" si="692"/>
        <v>0</v>
      </c>
      <c r="ADL31" s="82">
        <f t="shared" si="692"/>
        <v>0</v>
      </c>
      <c r="ADM31" s="82">
        <f t="shared" si="692"/>
        <v>0</v>
      </c>
      <c r="ADN31" s="82">
        <f t="shared" si="692"/>
        <v>0</v>
      </c>
      <c r="ADO31" s="82">
        <f t="shared" si="692"/>
        <v>0</v>
      </c>
      <c r="ADP31" s="82">
        <f t="shared" si="692"/>
        <v>0</v>
      </c>
      <c r="ADQ31" s="82">
        <f t="shared" si="692"/>
        <v>0</v>
      </c>
      <c r="ADR31" s="82">
        <f t="shared" si="692"/>
        <v>0</v>
      </c>
      <c r="ADS31" s="82">
        <f t="shared" si="692"/>
        <v>0</v>
      </c>
      <c r="ADT31" s="82">
        <f t="shared" si="692"/>
        <v>0</v>
      </c>
      <c r="ADU31" s="82">
        <f t="shared" si="692"/>
        <v>0</v>
      </c>
      <c r="ADV31" s="82">
        <f t="shared" si="692"/>
        <v>0</v>
      </c>
      <c r="ADW31" s="82">
        <f t="shared" si="692"/>
        <v>0</v>
      </c>
      <c r="ADX31" s="82">
        <f t="shared" si="692"/>
        <v>0</v>
      </c>
      <c r="ADY31" s="82">
        <f t="shared" si="692"/>
        <v>0</v>
      </c>
      <c r="ADZ31" s="82">
        <f t="shared" si="692"/>
        <v>0</v>
      </c>
      <c r="AEA31" s="82">
        <f t="shared" si="692"/>
        <v>0</v>
      </c>
      <c r="AEB31" s="82">
        <f t="shared" si="692"/>
        <v>0</v>
      </c>
      <c r="AEC31" s="82">
        <f t="shared" si="692"/>
        <v>0</v>
      </c>
      <c r="AED31" s="82">
        <f t="shared" si="692"/>
        <v>0</v>
      </c>
      <c r="AEE31" s="82">
        <f t="shared" si="692"/>
        <v>0</v>
      </c>
      <c r="AEF31" s="82">
        <f t="shared" si="692"/>
        <v>0</v>
      </c>
      <c r="AEG31" s="82">
        <f t="shared" si="692"/>
        <v>0</v>
      </c>
      <c r="AEH31" s="82">
        <f t="shared" si="692"/>
        <v>0</v>
      </c>
      <c r="AEI31" s="82">
        <f t="shared" si="692"/>
        <v>0</v>
      </c>
      <c r="AEJ31" s="82">
        <f t="shared" si="692"/>
        <v>0</v>
      </c>
      <c r="AEK31" s="82">
        <f t="shared" si="692"/>
        <v>0</v>
      </c>
      <c r="AEL31" s="82">
        <f t="shared" si="692"/>
        <v>0</v>
      </c>
      <c r="AEM31" s="82">
        <f t="shared" si="692"/>
        <v>0</v>
      </c>
      <c r="AEN31" s="130"/>
      <c r="AEO31" s="82">
        <f t="shared" ref="AEO31:AFS31" si="693">AEN31</f>
        <v>0</v>
      </c>
      <c r="AEP31" s="82">
        <f t="shared" si="693"/>
        <v>0</v>
      </c>
      <c r="AEQ31" s="82">
        <f t="shared" si="693"/>
        <v>0</v>
      </c>
      <c r="AER31" s="82">
        <f t="shared" si="693"/>
        <v>0</v>
      </c>
      <c r="AES31" s="82">
        <f t="shared" si="693"/>
        <v>0</v>
      </c>
      <c r="AET31" s="82">
        <f t="shared" si="693"/>
        <v>0</v>
      </c>
      <c r="AEU31" s="82">
        <f t="shared" si="693"/>
        <v>0</v>
      </c>
      <c r="AEV31" s="82">
        <f t="shared" si="693"/>
        <v>0</v>
      </c>
      <c r="AEW31" s="82">
        <f t="shared" si="693"/>
        <v>0</v>
      </c>
      <c r="AEX31" s="82">
        <f t="shared" si="693"/>
        <v>0</v>
      </c>
      <c r="AEY31" s="82">
        <f t="shared" si="693"/>
        <v>0</v>
      </c>
      <c r="AEZ31" s="82">
        <f t="shared" si="693"/>
        <v>0</v>
      </c>
      <c r="AFA31" s="82">
        <f t="shared" si="693"/>
        <v>0</v>
      </c>
      <c r="AFB31" s="82">
        <f t="shared" si="693"/>
        <v>0</v>
      </c>
      <c r="AFC31" s="82">
        <f t="shared" si="693"/>
        <v>0</v>
      </c>
      <c r="AFD31" s="82">
        <f t="shared" si="693"/>
        <v>0</v>
      </c>
      <c r="AFE31" s="82">
        <f t="shared" si="693"/>
        <v>0</v>
      </c>
      <c r="AFF31" s="82">
        <f t="shared" si="693"/>
        <v>0</v>
      </c>
      <c r="AFG31" s="82">
        <f t="shared" si="693"/>
        <v>0</v>
      </c>
      <c r="AFH31" s="82">
        <f t="shared" si="693"/>
        <v>0</v>
      </c>
      <c r="AFI31" s="82">
        <f t="shared" si="693"/>
        <v>0</v>
      </c>
      <c r="AFJ31" s="82">
        <f t="shared" si="693"/>
        <v>0</v>
      </c>
      <c r="AFK31" s="82">
        <f t="shared" si="693"/>
        <v>0</v>
      </c>
      <c r="AFL31" s="82">
        <f t="shared" si="693"/>
        <v>0</v>
      </c>
      <c r="AFM31" s="82">
        <f t="shared" si="693"/>
        <v>0</v>
      </c>
      <c r="AFN31" s="82">
        <f t="shared" si="693"/>
        <v>0</v>
      </c>
      <c r="AFO31" s="82">
        <f t="shared" si="693"/>
        <v>0</v>
      </c>
      <c r="AFP31" s="82">
        <f t="shared" si="693"/>
        <v>0</v>
      </c>
      <c r="AFQ31" s="82">
        <f t="shared" si="693"/>
        <v>0</v>
      </c>
      <c r="AFR31" s="82">
        <f t="shared" si="693"/>
        <v>0</v>
      </c>
      <c r="AFS31" s="82">
        <f t="shared" si="693"/>
        <v>0</v>
      </c>
      <c r="AFT31" s="130"/>
      <c r="AFU31" s="82">
        <f t="shared" ref="AFU31:AGX31" si="694">AFT31</f>
        <v>0</v>
      </c>
      <c r="AFV31" s="82">
        <f t="shared" si="694"/>
        <v>0</v>
      </c>
      <c r="AFW31" s="82">
        <f t="shared" si="694"/>
        <v>0</v>
      </c>
      <c r="AFX31" s="82">
        <f t="shared" si="694"/>
        <v>0</v>
      </c>
      <c r="AFY31" s="82">
        <f t="shared" si="694"/>
        <v>0</v>
      </c>
      <c r="AFZ31" s="82">
        <f t="shared" si="694"/>
        <v>0</v>
      </c>
      <c r="AGA31" s="82">
        <f t="shared" si="694"/>
        <v>0</v>
      </c>
      <c r="AGB31" s="82">
        <f t="shared" si="694"/>
        <v>0</v>
      </c>
      <c r="AGC31" s="82">
        <f t="shared" si="694"/>
        <v>0</v>
      </c>
      <c r="AGD31" s="82">
        <f t="shared" si="694"/>
        <v>0</v>
      </c>
      <c r="AGE31" s="82">
        <f t="shared" si="694"/>
        <v>0</v>
      </c>
      <c r="AGF31" s="82">
        <f t="shared" si="694"/>
        <v>0</v>
      </c>
      <c r="AGG31" s="82">
        <f t="shared" si="694"/>
        <v>0</v>
      </c>
      <c r="AGH31" s="82">
        <f t="shared" si="694"/>
        <v>0</v>
      </c>
      <c r="AGI31" s="82">
        <f t="shared" si="694"/>
        <v>0</v>
      </c>
      <c r="AGJ31" s="82">
        <f t="shared" si="694"/>
        <v>0</v>
      </c>
      <c r="AGK31" s="82">
        <f t="shared" si="694"/>
        <v>0</v>
      </c>
      <c r="AGL31" s="82">
        <f t="shared" si="694"/>
        <v>0</v>
      </c>
      <c r="AGM31" s="82">
        <f t="shared" si="694"/>
        <v>0</v>
      </c>
      <c r="AGN31" s="82">
        <f t="shared" si="694"/>
        <v>0</v>
      </c>
      <c r="AGO31" s="82">
        <f t="shared" si="694"/>
        <v>0</v>
      </c>
      <c r="AGP31" s="82">
        <f t="shared" si="694"/>
        <v>0</v>
      </c>
      <c r="AGQ31" s="82">
        <f t="shared" si="694"/>
        <v>0</v>
      </c>
      <c r="AGR31" s="82">
        <f t="shared" si="694"/>
        <v>0</v>
      </c>
      <c r="AGS31" s="82">
        <f t="shared" si="694"/>
        <v>0</v>
      </c>
      <c r="AGT31" s="82">
        <f t="shared" si="694"/>
        <v>0</v>
      </c>
      <c r="AGU31" s="82">
        <f t="shared" si="694"/>
        <v>0</v>
      </c>
      <c r="AGV31" s="82">
        <f t="shared" si="694"/>
        <v>0</v>
      </c>
      <c r="AGW31" s="82">
        <f t="shared" si="694"/>
        <v>0</v>
      </c>
      <c r="AGX31" s="82">
        <f t="shared" si="694"/>
        <v>0</v>
      </c>
      <c r="AGY31" s="133"/>
      <c r="AGZ31" s="82">
        <f t="shared" ref="AGZ31:AID31" si="695">AGY31</f>
        <v>0</v>
      </c>
      <c r="AHA31" s="82">
        <f t="shared" si="695"/>
        <v>0</v>
      </c>
      <c r="AHB31" s="82">
        <f t="shared" si="695"/>
        <v>0</v>
      </c>
      <c r="AHC31" s="82">
        <f t="shared" si="695"/>
        <v>0</v>
      </c>
      <c r="AHD31" s="82">
        <f t="shared" si="695"/>
        <v>0</v>
      </c>
      <c r="AHE31" s="82">
        <f t="shared" si="695"/>
        <v>0</v>
      </c>
      <c r="AHF31" s="82">
        <f t="shared" si="695"/>
        <v>0</v>
      </c>
      <c r="AHG31" s="82">
        <f t="shared" si="695"/>
        <v>0</v>
      </c>
      <c r="AHH31" s="82">
        <f t="shared" si="695"/>
        <v>0</v>
      </c>
      <c r="AHI31" s="82">
        <f t="shared" si="695"/>
        <v>0</v>
      </c>
      <c r="AHJ31" s="82">
        <f t="shared" si="695"/>
        <v>0</v>
      </c>
      <c r="AHK31" s="82">
        <f t="shared" si="695"/>
        <v>0</v>
      </c>
      <c r="AHL31" s="82">
        <f t="shared" si="695"/>
        <v>0</v>
      </c>
      <c r="AHM31" s="82">
        <f t="shared" si="695"/>
        <v>0</v>
      </c>
      <c r="AHN31" s="82">
        <f t="shared" si="695"/>
        <v>0</v>
      </c>
      <c r="AHO31" s="82">
        <f t="shared" si="695"/>
        <v>0</v>
      </c>
      <c r="AHP31" s="82">
        <f t="shared" si="695"/>
        <v>0</v>
      </c>
      <c r="AHQ31" s="82">
        <f t="shared" si="695"/>
        <v>0</v>
      </c>
      <c r="AHR31" s="82">
        <f t="shared" si="695"/>
        <v>0</v>
      </c>
      <c r="AHS31" s="82">
        <f t="shared" si="695"/>
        <v>0</v>
      </c>
      <c r="AHT31" s="82">
        <f t="shared" si="695"/>
        <v>0</v>
      </c>
      <c r="AHU31" s="82">
        <f t="shared" si="695"/>
        <v>0</v>
      </c>
      <c r="AHV31" s="82">
        <f t="shared" si="695"/>
        <v>0</v>
      </c>
      <c r="AHW31" s="82">
        <f t="shared" si="695"/>
        <v>0</v>
      </c>
      <c r="AHX31" s="82">
        <f t="shared" si="695"/>
        <v>0</v>
      </c>
      <c r="AHY31" s="82">
        <f t="shared" si="695"/>
        <v>0</v>
      </c>
      <c r="AHZ31" s="82">
        <f t="shared" si="695"/>
        <v>0</v>
      </c>
      <c r="AIA31" s="82">
        <f t="shared" si="695"/>
        <v>0</v>
      </c>
      <c r="AIB31" s="82">
        <f t="shared" si="695"/>
        <v>0</v>
      </c>
      <c r="AIC31" s="82">
        <f t="shared" si="695"/>
        <v>0</v>
      </c>
      <c r="AID31" s="82">
        <f t="shared" si="695"/>
        <v>0</v>
      </c>
      <c r="AIE31" s="130"/>
      <c r="AIF31" s="82">
        <f t="shared" ref="AIF31:AJJ31" si="696">AIE31</f>
        <v>0</v>
      </c>
      <c r="AIG31" s="82">
        <f t="shared" si="696"/>
        <v>0</v>
      </c>
      <c r="AIH31" s="82">
        <f t="shared" si="696"/>
        <v>0</v>
      </c>
      <c r="AII31" s="82">
        <f t="shared" si="696"/>
        <v>0</v>
      </c>
      <c r="AIJ31" s="82">
        <f t="shared" si="696"/>
        <v>0</v>
      </c>
      <c r="AIK31" s="82">
        <f t="shared" si="696"/>
        <v>0</v>
      </c>
      <c r="AIL31" s="82">
        <f t="shared" si="696"/>
        <v>0</v>
      </c>
      <c r="AIM31" s="82">
        <f t="shared" si="696"/>
        <v>0</v>
      </c>
      <c r="AIN31" s="82">
        <f t="shared" si="696"/>
        <v>0</v>
      </c>
      <c r="AIO31" s="82">
        <f t="shared" si="696"/>
        <v>0</v>
      </c>
      <c r="AIP31" s="82">
        <f t="shared" si="696"/>
        <v>0</v>
      </c>
      <c r="AIQ31" s="82">
        <f t="shared" si="696"/>
        <v>0</v>
      </c>
      <c r="AIR31" s="82">
        <f t="shared" si="696"/>
        <v>0</v>
      </c>
      <c r="AIS31" s="82">
        <f t="shared" si="696"/>
        <v>0</v>
      </c>
      <c r="AIT31" s="82">
        <f t="shared" si="696"/>
        <v>0</v>
      </c>
      <c r="AIU31" s="82">
        <f t="shared" si="696"/>
        <v>0</v>
      </c>
      <c r="AIV31" s="82">
        <f t="shared" si="696"/>
        <v>0</v>
      </c>
      <c r="AIW31" s="82">
        <f t="shared" si="696"/>
        <v>0</v>
      </c>
      <c r="AIX31" s="82">
        <f t="shared" si="696"/>
        <v>0</v>
      </c>
      <c r="AIY31" s="82">
        <f t="shared" si="696"/>
        <v>0</v>
      </c>
      <c r="AIZ31" s="82">
        <f t="shared" si="696"/>
        <v>0</v>
      </c>
      <c r="AJA31" s="82">
        <f t="shared" si="696"/>
        <v>0</v>
      </c>
      <c r="AJB31" s="82">
        <f t="shared" si="696"/>
        <v>0</v>
      </c>
      <c r="AJC31" s="82">
        <f t="shared" si="696"/>
        <v>0</v>
      </c>
      <c r="AJD31" s="82">
        <f t="shared" si="696"/>
        <v>0</v>
      </c>
      <c r="AJE31" s="82">
        <f t="shared" si="696"/>
        <v>0</v>
      </c>
      <c r="AJF31" s="82">
        <f t="shared" si="696"/>
        <v>0</v>
      </c>
      <c r="AJG31" s="82">
        <f t="shared" si="696"/>
        <v>0</v>
      </c>
      <c r="AJH31" s="82">
        <f t="shared" si="696"/>
        <v>0</v>
      </c>
      <c r="AJI31" s="82">
        <f t="shared" si="696"/>
        <v>0</v>
      </c>
      <c r="AJJ31" s="82">
        <f t="shared" si="696"/>
        <v>0</v>
      </c>
      <c r="AJK31" s="145"/>
      <c r="AJL31" s="82">
        <f t="shared" ref="AJL31:AKM31" si="697">AJK31</f>
        <v>0</v>
      </c>
      <c r="AJM31" s="82">
        <f t="shared" si="697"/>
        <v>0</v>
      </c>
      <c r="AJN31" s="82">
        <f t="shared" si="697"/>
        <v>0</v>
      </c>
      <c r="AJO31" s="82">
        <f t="shared" si="697"/>
        <v>0</v>
      </c>
      <c r="AJP31" s="82">
        <f t="shared" si="697"/>
        <v>0</v>
      </c>
      <c r="AJQ31" s="82">
        <f t="shared" si="697"/>
        <v>0</v>
      </c>
      <c r="AJR31" s="82">
        <f t="shared" si="697"/>
        <v>0</v>
      </c>
      <c r="AJS31" s="82">
        <f t="shared" si="697"/>
        <v>0</v>
      </c>
      <c r="AJT31" s="82">
        <f t="shared" si="697"/>
        <v>0</v>
      </c>
      <c r="AJU31" s="82">
        <f t="shared" si="697"/>
        <v>0</v>
      </c>
      <c r="AJV31" s="82">
        <f t="shared" si="697"/>
        <v>0</v>
      </c>
      <c r="AJW31" s="82">
        <f t="shared" si="697"/>
        <v>0</v>
      </c>
      <c r="AJX31" s="82">
        <f t="shared" si="697"/>
        <v>0</v>
      </c>
      <c r="AJY31" s="82">
        <f t="shared" si="697"/>
        <v>0</v>
      </c>
      <c r="AJZ31" s="82">
        <f t="shared" si="697"/>
        <v>0</v>
      </c>
      <c r="AKA31" s="82">
        <f t="shared" si="697"/>
        <v>0</v>
      </c>
      <c r="AKB31" s="82">
        <f t="shared" si="697"/>
        <v>0</v>
      </c>
      <c r="AKC31" s="82">
        <f t="shared" si="697"/>
        <v>0</v>
      </c>
      <c r="AKD31" s="82">
        <f t="shared" si="697"/>
        <v>0</v>
      </c>
      <c r="AKE31" s="82">
        <f t="shared" si="697"/>
        <v>0</v>
      </c>
      <c r="AKF31" s="82">
        <f t="shared" si="697"/>
        <v>0</v>
      </c>
      <c r="AKG31" s="82">
        <f t="shared" si="697"/>
        <v>0</v>
      </c>
      <c r="AKH31" s="82">
        <f t="shared" si="697"/>
        <v>0</v>
      </c>
      <c r="AKI31" s="82">
        <f t="shared" si="697"/>
        <v>0</v>
      </c>
      <c r="AKJ31" s="82">
        <f t="shared" si="697"/>
        <v>0</v>
      </c>
      <c r="AKK31" s="82">
        <f t="shared" si="697"/>
        <v>0</v>
      </c>
      <c r="AKL31" s="82">
        <f t="shared" si="697"/>
        <v>0</v>
      </c>
      <c r="AKM31" s="82">
        <f t="shared" si="697"/>
        <v>0</v>
      </c>
      <c r="AKN31" s="112"/>
      <c r="AKO31" s="82">
        <f t="shared" ref="AKO31:ALS31" si="698">AKN31</f>
        <v>0</v>
      </c>
      <c r="AKP31" s="82">
        <f t="shared" si="698"/>
        <v>0</v>
      </c>
      <c r="AKQ31" s="82">
        <f t="shared" si="698"/>
        <v>0</v>
      </c>
      <c r="AKR31" s="82">
        <f t="shared" si="698"/>
        <v>0</v>
      </c>
      <c r="AKS31" s="82">
        <f t="shared" si="698"/>
        <v>0</v>
      </c>
      <c r="AKT31" s="82">
        <f t="shared" si="698"/>
        <v>0</v>
      </c>
      <c r="AKU31" s="82">
        <f t="shared" si="698"/>
        <v>0</v>
      </c>
      <c r="AKV31" s="82">
        <f t="shared" si="698"/>
        <v>0</v>
      </c>
      <c r="AKW31" s="82">
        <f t="shared" si="698"/>
        <v>0</v>
      </c>
      <c r="AKX31" s="82">
        <f t="shared" si="698"/>
        <v>0</v>
      </c>
      <c r="AKY31" s="82">
        <f t="shared" si="698"/>
        <v>0</v>
      </c>
      <c r="AKZ31" s="82">
        <f t="shared" si="698"/>
        <v>0</v>
      </c>
      <c r="ALA31" s="82">
        <f t="shared" si="698"/>
        <v>0</v>
      </c>
      <c r="ALB31" s="82">
        <f t="shared" si="698"/>
        <v>0</v>
      </c>
      <c r="ALC31" s="82">
        <f t="shared" si="698"/>
        <v>0</v>
      </c>
      <c r="ALD31" s="82">
        <f t="shared" si="698"/>
        <v>0</v>
      </c>
      <c r="ALE31" s="82">
        <f t="shared" si="698"/>
        <v>0</v>
      </c>
      <c r="ALF31" s="82">
        <f t="shared" si="698"/>
        <v>0</v>
      </c>
      <c r="ALG31" s="82">
        <f t="shared" si="698"/>
        <v>0</v>
      </c>
      <c r="ALH31" s="82">
        <f t="shared" si="698"/>
        <v>0</v>
      </c>
      <c r="ALI31" s="82">
        <f t="shared" si="698"/>
        <v>0</v>
      </c>
      <c r="ALJ31" s="82">
        <f t="shared" si="698"/>
        <v>0</v>
      </c>
      <c r="ALK31" s="82">
        <f t="shared" si="698"/>
        <v>0</v>
      </c>
      <c r="ALL31" s="82">
        <f t="shared" si="698"/>
        <v>0</v>
      </c>
      <c r="ALM31" s="82">
        <f t="shared" si="698"/>
        <v>0</v>
      </c>
      <c r="ALN31" s="82">
        <f t="shared" si="698"/>
        <v>0</v>
      </c>
      <c r="ALO31" s="82">
        <f t="shared" si="698"/>
        <v>0</v>
      </c>
      <c r="ALP31" s="82">
        <f t="shared" si="698"/>
        <v>0</v>
      </c>
      <c r="ALQ31" s="82">
        <f t="shared" si="698"/>
        <v>0</v>
      </c>
      <c r="ALR31" s="82">
        <f t="shared" si="698"/>
        <v>0</v>
      </c>
      <c r="ALS31" s="82">
        <f t="shared" si="698"/>
        <v>0</v>
      </c>
      <c r="ALT31" s="130"/>
      <c r="ALU31" s="82">
        <f t="shared" ref="ALU31:AMX31" si="699">ALT31</f>
        <v>0</v>
      </c>
      <c r="ALV31" s="82">
        <f t="shared" si="699"/>
        <v>0</v>
      </c>
      <c r="ALW31" s="82">
        <f t="shared" si="699"/>
        <v>0</v>
      </c>
      <c r="ALX31" s="82">
        <f t="shared" si="699"/>
        <v>0</v>
      </c>
      <c r="ALY31" s="82">
        <f t="shared" si="699"/>
        <v>0</v>
      </c>
      <c r="ALZ31" s="82">
        <f t="shared" si="699"/>
        <v>0</v>
      </c>
      <c r="AMA31" s="82">
        <f t="shared" si="699"/>
        <v>0</v>
      </c>
      <c r="AMB31" s="82">
        <f t="shared" si="699"/>
        <v>0</v>
      </c>
      <c r="AMC31" s="82">
        <f t="shared" si="699"/>
        <v>0</v>
      </c>
      <c r="AMD31" s="82">
        <f t="shared" si="699"/>
        <v>0</v>
      </c>
      <c r="AME31" s="82">
        <f t="shared" si="699"/>
        <v>0</v>
      </c>
      <c r="AMF31" s="82">
        <f t="shared" si="699"/>
        <v>0</v>
      </c>
      <c r="AMG31" s="82">
        <f t="shared" si="699"/>
        <v>0</v>
      </c>
      <c r="AMH31" s="82">
        <f t="shared" si="699"/>
        <v>0</v>
      </c>
      <c r="AMI31" s="82">
        <f t="shared" si="699"/>
        <v>0</v>
      </c>
      <c r="AMJ31" s="82">
        <f t="shared" si="699"/>
        <v>0</v>
      </c>
      <c r="AMK31" s="82">
        <f t="shared" si="699"/>
        <v>0</v>
      </c>
      <c r="AML31" s="82">
        <f t="shared" si="699"/>
        <v>0</v>
      </c>
      <c r="AMM31" s="82">
        <f t="shared" si="699"/>
        <v>0</v>
      </c>
      <c r="AMN31" s="82">
        <f t="shared" si="699"/>
        <v>0</v>
      </c>
      <c r="AMO31" s="82">
        <f t="shared" si="699"/>
        <v>0</v>
      </c>
      <c r="AMP31" s="82">
        <f t="shared" si="699"/>
        <v>0</v>
      </c>
      <c r="AMQ31" s="82">
        <f t="shared" si="699"/>
        <v>0</v>
      </c>
      <c r="AMR31" s="82">
        <f t="shared" si="699"/>
        <v>0</v>
      </c>
      <c r="AMS31" s="82">
        <f t="shared" si="699"/>
        <v>0</v>
      </c>
      <c r="AMT31" s="82">
        <f t="shared" si="699"/>
        <v>0</v>
      </c>
      <c r="AMU31" s="82">
        <f t="shared" si="699"/>
        <v>0</v>
      </c>
      <c r="AMV31" s="82">
        <f t="shared" si="699"/>
        <v>0</v>
      </c>
      <c r="AMW31" s="82">
        <f t="shared" si="699"/>
        <v>0</v>
      </c>
      <c r="AMX31" s="82">
        <f t="shared" si="699"/>
        <v>0</v>
      </c>
      <c r="AMY31" s="130"/>
      <c r="AMZ31" s="82">
        <f t="shared" ref="AMZ31:AOC31" si="700">AMY31</f>
        <v>0</v>
      </c>
      <c r="ANA31" s="82">
        <f t="shared" si="700"/>
        <v>0</v>
      </c>
      <c r="ANB31" s="82">
        <f t="shared" si="700"/>
        <v>0</v>
      </c>
      <c r="ANC31" s="82">
        <f t="shared" si="700"/>
        <v>0</v>
      </c>
      <c r="AND31" s="82">
        <f t="shared" si="700"/>
        <v>0</v>
      </c>
      <c r="ANE31" s="82">
        <f t="shared" si="700"/>
        <v>0</v>
      </c>
      <c r="ANF31" s="82">
        <f t="shared" si="700"/>
        <v>0</v>
      </c>
      <c r="ANG31" s="82">
        <f t="shared" si="700"/>
        <v>0</v>
      </c>
      <c r="ANH31" s="82">
        <f t="shared" si="700"/>
        <v>0</v>
      </c>
      <c r="ANI31" s="82">
        <f t="shared" si="700"/>
        <v>0</v>
      </c>
      <c r="ANJ31" s="82">
        <f t="shared" si="700"/>
        <v>0</v>
      </c>
      <c r="ANK31" s="82">
        <f t="shared" si="700"/>
        <v>0</v>
      </c>
      <c r="ANL31" s="82">
        <f t="shared" si="700"/>
        <v>0</v>
      </c>
      <c r="ANM31" s="82">
        <f t="shared" si="700"/>
        <v>0</v>
      </c>
      <c r="ANN31" s="82">
        <f t="shared" si="700"/>
        <v>0</v>
      </c>
      <c r="ANO31" s="82">
        <f t="shared" si="700"/>
        <v>0</v>
      </c>
      <c r="ANP31" s="82">
        <f t="shared" si="700"/>
        <v>0</v>
      </c>
      <c r="ANQ31" s="82">
        <f t="shared" si="700"/>
        <v>0</v>
      </c>
      <c r="ANR31" s="82">
        <f t="shared" si="700"/>
        <v>0</v>
      </c>
      <c r="ANS31" s="82">
        <f t="shared" si="700"/>
        <v>0</v>
      </c>
      <c r="ANT31" s="82">
        <f t="shared" si="700"/>
        <v>0</v>
      </c>
      <c r="ANU31" s="82">
        <f t="shared" si="700"/>
        <v>0</v>
      </c>
      <c r="ANV31" s="82">
        <f t="shared" si="700"/>
        <v>0</v>
      </c>
      <c r="ANW31" s="82">
        <f t="shared" si="700"/>
        <v>0</v>
      </c>
      <c r="ANX31" s="82">
        <f t="shared" si="700"/>
        <v>0</v>
      </c>
      <c r="ANY31" s="82">
        <f t="shared" si="700"/>
        <v>0</v>
      </c>
      <c r="ANZ31" s="82">
        <f t="shared" si="700"/>
        <v>0</v>
      </c>
      <c r="AOA31" s="82">
        <f t="shared" si="700"/>
        <v>0</v>
      </c>
      <c r="AOB31" s="82">
        <f t="shared" si="700"/>
        <v>0</v>
      </c>
      <c r="AOC31" s="82">
        <f t="shared" si="700"/>
        <v>0</v>
      </c>
    </row>
    <row r="32" spans="1:1069" x14ac:dyDescent="0.2">
      <c r="A32" s="160"/>
      <c r="B32" t="s">
        <v>1664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98"/>
      <c r="AI32" s="82"/>
      <c r="AJ32" s="82"/>
      <c r="AK32" s="82"/>
      <c r="AL32" s="82"/>
      <c r="AM32" s="82"/>
      <c r="AN32" s="82"/>
      <c r="AO32" s="82"/>
      <c r="AP32" s="82"/>
      <c r="AQ32" s="82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2"/>
      <c r="BF32" s="82"/>
      <c r="BG32" s="82"/>
      <c r="BH32" s="82"/>
      <c r="BI32" s="82"/>
      <c r="BJ32" s="82"/>
      <c r="BK32" s="82"/>
      <c r="BL32" s="82"/>
      <c r="BM32" s="106"/>
      <c r="BN32" s="82"/>
      <c r="BO32" s="82"/>
      <c r="BP32" s="82"/>
      <c r="BQ32" s="82"/>
      <c r="BR32" s="82"/>
      <c r="BS32" s="82"/>
      <c r="BT32" s="82"/>
      <c r="BU32" s="82"/>
      <c r="BV32" s="82"/>
      <c r="BW32" s="82"/>
      <c r="BX32" s="82"/>
      <c r="BY32" s="82"/>
      <c r="BZ32" s="82"/>
      <c r="CA32" s="82"/>
      <c r="CB32" s="82"/>
      <c r="CC32" s="82"/>
      <c r="CD32" s="82"/>
      <c r="CE32" s="82"/>
      <c r="CF32" s="82"/>
      <c r="CG32" s="82"/>
      <c r="CH32" s="82"/>
      <c r="CI32" s="82"/>
      <c r="CJ32" s="82"/>
      <c r="CK32" s="82"/>
      <c r="CL32" s="82"/>
      <c r="CM32" s="82"/>
      <c r="CN32" s="82"/>
      <c r="CO32" s="82"/>
      <c r="CP32" s="82"/>
      <c r="CQ32" s="82"/>
      <c r="CR32" s="82"/>
      <c r="CT32" s="82"/>
      <c r="CU32" s="82"/>
      <c r="CV32" s="82"/>
      <c r="CW32" s="82"/>
      <c r="CX32" s="82"/>
      <c r="CY32" s="82"/>
      <c r="CZ32" s="82"/>
      <c r="DA32" s="82"/>
      <c r="DB32" s="82"/>
      <c r="DC32" s="82"/>
      <c r="DD32" s="82"/>
      <c r="DE32" s="82"/>
      <c r="DF32" s="82"/>
      <c r="DG32" s="82"/>
      <c r="DH32" s="82"/>
      <c r="DI32" s="82"/>
      <c r="DJ32" s="82"/>
      <c r="DK32" s="82"/>
      <c r="DL32" s="82"/>
      <c r="DM32" s="82"/>
      <c r="DN32" s="82"/>
      <c r="DO32" s="82"/>
      <c r="DP32" s="82"/>
      <c r="DQ32" s="82"/>
      <c r="DR32" s="82"/>
      <c r="DS32" s="82"/>
      <c r="DT32" s="82"/>
      <c r="DU32" s="82"/>
      <c r="DV32" s="82"/>
      <c r="DW32" s="82"/>
      <c r="DX32" s="117"/>
      <c r="DY32" s="82"/>
      <c r="DZ32" s="82"/>
      <c r="EA32" s="82"/>
      <c r="EB32" s="82"/>
      <c r="EC32" s="82"/>
      <c r="ED32" s="82"/>
      <c r="EE32" s="82"/>
      <c r="EF32" s="82"/>
      <c r="EG32" s="82"/>
      <c r="EH32" s="82"/>
      <c r="EI32" s="82"/>
      <c r="EJ32" s="82"/>
      <c r="EK32" s="82"/>
      <c r="EL32" s="82"/>
      <c r="EM32" s="82"/>
      <c r="EN32" s="82"/>
      <c r="EO32" s="82"/>
      <c r="EP32" s="82"/>
      <c r="EQ32" s="82"/>
      <c r="ER32" s="82"/>
      <c r="ES32" s="82"/>
      <c r="ET32" s="82"/>
      <c r="EU32" s="82"/>
      <c r="EV32" s="82"/>
      <c r="EW32" s="82"/>
      <c r="EX32" s="82"/>
      <c r="EY32" s="82"/>
      <c r="EZ32" s="82"/>
      <c r="FA32" s="82"/>
      <c r="FB32" s="82"/>
      <c r="FC32" s="82"/>
      <c r="FD32" s="126"/>
      <c r="FE32" s="82">
        <v>224000</v>
      </c>
      <c r="FF32" s="82">
        <v>224000</v>
      </c>
      <c r="FG32" s="82">
        <v>224000</v>
      </c>
      <c r="FH32" s="82">
        <v>224000</v>
      </c>
      <c r="FI32" s="82">
        <v>224000</v>
      </c>
      <c r="FJ32" s="82">
        <v>224000</v>
      </c>
      <c r="FK32" s="82">
        <v>224000</v>
      </c>
      <c r="FL32" s="82">
        <v>224000</v>
      </c>
      <c r="FM32" s="82">
        <v>224000</v>
      </c>
      <c r="FN32" s="82">
        <v>224000</v>
      </c>
      <c r="FO32" s="82">
        <v>224000</v>
      </c>
      <c r="FP32" s="82">
        <v>224000</v>
      </c>
      <c r="FQ32" s="82">
        <v>0</v>
      </c>
      <c r="FR32" s="82">
        <v>0</v>
      </c>
      <c r="FS32" s="82">
        <v>0</v>
      </c>
      <c r="FT32" s="82">
        <v>0</v>
      </c>
      <c r="FU32" s="82">
        <v>0</v>
      </c>
      <c r="FV32" s="82">
        <v>0</v>
      </c>
      <c r="FW32" s="82">
        <v>0</v>
      </c>
      <c r="FX32" s="82">
        <v>0</v>
      </c>
      <c r="FY32" s="82">
        <v>0</v>
      </c>
      <c r="FZ32" s="82">
        <v>0</v>
      </c>
      <c r="GA32" s="82">
        <v>0</v>
      </c>
      <c r="GB32" s="82">
        <v>0</v>
      </c>
      <c r="GC32" s="82">
        <v>0</v>
      </c>
      <c r="GD32" s="82">
        <v>0</v>
      </c>
      <c r="GE32" s="82">
        <v>0</v>
      </c>
      <c r="GF32" s="82">
        <v>0</v>
      </c>
      <c r="GG32" s="82">
        <v>600000</v>
      </c>
      <c r="GH32" s="82">
        <v>0</v>
      </c>
      <c r="GI32" s="82">
        <v>0</v>
      </c>
      <c r="GJ32" s="130"/>
      <c r="HL32">
        <v>52900</v>
      </c>
      <c r="HM32">
        <f>HL32+100000</f>
        <v>152900</v>
      </c>
      <c r="HN32" s="130"/>
      <c r="HO32">
        <f>HM32</f>
        <v>152900</v>
      </c>
      <c r="HP32">
        <f>HO32</f>
        <v>152900</v>
      </c>
      <c r="HQ32">
        <f>HO32</f>
        <v>152900</v>
      </c>
      <c r="HR32">
        <f>HQ32-152900</f>
        <v>0</v>
      </c>
      <c r="HS32">
        <v>0</v>
      </c>
      <c r="HT32">
        <f t="shared" ref="HT32:IS32" si="701">HR32</f>
        <v>0</v>
      </c>
      <c r="HU32">
        <f t="shared" si="701"/>
        <v>0</v>
      </c>
      <c r="HV32">
        <f t="shared" si="701"/>
        <v>0</v>
      </c>
      <c r="HW32">
        <f t="shared" si="701"/>
        <v>0</v>
      </c>
      <c r="HX32">
        <f t="shared" si="701"/>
        <v>0</v>
      </c>
      <c r="HY32">
        <f t="shared" si="701"/>
        <v>0</v>
      </c>
      <c r="HZ32">
        <f t="shared" si="701"/>
        <v>0</v>
      </c>
      <c r="IA32">
        <f t="shared" si="701"/>
        <v>0</v>
      </c>
      <c r="IB32">
        <f t="shared" si="701"/>
        <v>0</v>
      </c>
      <c r="IC32">
        <f t="shared" si="701"/>
        <v>0</v>
      </c>
      <c r="ID32">
        <f t="shared" si="701"/>
        <v>0</v>
      </c>
      <c r="IE32">
        <f t="shared" si="701"/>
        <v>0</v>
      </c>
      <c r="IF32">
        <f t="shared" si="701"/>
        <v>0</v>
      </c>
      <c r="IG32">
        <f t="shared" si="701"/>
        <v>0</v>
      </c>
      <c r="IH32">
        <f t="shared" si="701"/>
        <v>0</v>
      </c>
      <c r="II32">
        <f t="shared" si="701"/>
        <v>0</v>
      </c>
      <c r="IJ32">
        <f t="shared" si="701"/>
        <v>0</v>
      </c>
      <c r="IK32">
        <f t="shared" si="701"/>
        <v>0</v>
      </c>
      <c r="IL32">
        <f t="shared" si="701"/>
        <v>0</v>
      </c>
      <c r="IM32">
        <f t="shared" si="701"/>
        <v>0</v>
      </c>
      <c r="IN32">
        <f t="shared" si="701"/>
        <v>0</v>
      </c>
      <c r="IO32">
        <f t="shared" si="701"/>
        <v>0</v>
      </c>
      <c r="IP32">
        <f t="shared" si="701"/>
        <v>0</v>
      </c>
      <c r="IQ32">
        <f t="shared" si="701"/>
        <v>0</v>
      </c>
      <c r="IR32">
        <f t="shared" si="701"/>
        <v>0</v>
      </c>
      <c r="IS32">
        <f t="shared" si="701"/>
        <v>0</v>
      </c>
      <c r="IT32" s="130"/>
      <c r="IU32">
        <f>IS32</f>
        <v>0</v>
      </c>
      <c r="IV32">
        <f>IU32</f>
        <v>0</v>
      </c>
      <c r="IW32">
        <f t="shared" si="659"/>
        <v>0</v>
      </c>
      <c r="IX32">
        <f t="shared" si="659"/>
        <v>0</v>
      </c>
      <c r="IY32">
        <f t="shared" si="659"/>
        <v>0</v>
      </c>
      <c r="IZ32">
        <f t="shared" ref="IZ32:JA36" si="702">IY32</f>
        <v>0</v>
      </c>
      <c r="JA32">
        <f t="shared" si="702"/>
        <v>0</v>
      </c>
      <c r="JB32">
        <f t="shared" si="660"/>
        <v>0</v>
      </c>
      <c r="JC32">
        <f t="shared" si="660"/>
        <v>0</v>
      </c>
      <c r="JD32">
        <f t="shared" si="660"/>
        <v>0</v>
      </c>
      <c r="JE32">
        <f t="shared" si="660"/>
        <v>0</v>
      </c>
      <c r="JF32">
        <f t="shared" si="660"/>
        <v>0</v>
      </c>
      <c r="JG32">
        <f>JF32</f>
        <v>0</v>
      </c>
      <c r="JH32">
        <f t="shared" si="661"/>
        <v>0</v>
      </c>
      <c r="JI32">
        <f t="shared" si="661"/>
        <v>0</v>
      </c>
      <c r="JJ32">
        <f t="shared" si="661"/>
        <v>0</v>
      </c>
      <c r="JK32">
        <f t="shared" si="661"/>
        <v>0</v>
      </c>
      <c r="JL32">
        <f t="shared" si="661"/>
        <v>0</v>
      </c>
      <c r="JM32">
        <f t="shared" si="661"/>
        <v>0</v>
      </c>
      <c r="JN32">
        <f t="shared" si="661"/>
        <v>0</v>
      </c>
      <c r="JO32">
        <f t="shared" ref="JO32:JW32" si="703">JN32</f>
        <v>0</v>
      </c>
      <c r="JP32">
        <f t="shared" si="703"/>
        <v>0</v>
      </c>
      <c r="JQ32">
        <f t="shared" si="703"/>
        <v>0</v>
      </c>
      <c r="JR32">
        <f t="shared" si="703"/>
        <v>0</v>
      </c>
      <c r="JS32">
        <f t="shared" si="703"/>
        <v>0</v>
      </c>
      <c r="JT32">
        <f t="shared" si="703"/>
        <v>0</v>
      </c>
      <c r="JU32">
        <f t="shared" si="703"/>
        <v>0</v>
      </c>
      <c r="JV32">
        <f t="shared" si="703"/>
        <v>0</v>
      </c>
      <c r="JW32">
        <f t="shared" si="703"/>
        <v>0</v>
      </c>
      <c r="JX32">
        <v>26750</v>
      </c>
      <c r="JY32" s="130"/>
      <c r="JZ32">
        <v>26750</v>
      </c>
      <c r="KA32">
        <v>26750</v>
      </c>
      <c r="KB32">
        <v>0</v>
      </c>
      <c r="KC32">
        <v>0</v>
      </c>
      <c r="KD32">
        <v>0</v>
      </c>
      <c r="KE32">
        <v>760000</v>
      </c>
      <c r="KF32">
        <f>KE32</f>
        <v>760000</v>
      </c>
      <c r="KG32">
        <f>KF32+760000+530000</f>
        <v>2050000</v>
      </c>
      <c r="KH32">
        <f>KG32</f>
        <v>2050000</v>
      </c>
      <c r="KI32">
        <f>KH32-2050000+1086000</f>
        <v>1086000</v>
      </c>
      <c r="KJ32">
        <f>KI32</f>
        <v>1086000</v>
      </c>
      <c r="KK32">
        <f>KJ32</f>
        <v>1086000</v>
      </c>
      <c r="KL32">
        <f>KK32</f>
        <v>1086000</v>
      </c>
      <c r="KM32">
        <f>KL32+106000</f>
        <v>1192000</v>
      </c>
      <c r="KN32">
        <f>KM32</f>
        <v>1192000</v>
      </c>
      <c r="KO32">
        <f>KN32</f>
        <v>1192000</v>
      </c>
      <c r="KP32">
        <f>KO32+807000+6000</f>
        <v>2005000</v>
      </c>
      <c r="KQ32">
        <f t="shared" ref="KQ32:KS33" si="704">KP32</f>
        <v>2005000</v>
      </c>
      <c r="KR32">
        <f t="shared" si="704"/>
        <v>2005000</v>
      </c>
      <c r="KS32">
        <f t="shared" si="704"/>
        <v>2005000</v>
      </c>
      <c r="KT32">
        <f>KS32-96000</f>
        <v>1909000</v>
      </c>
      <c r="KU32">
        <f>KT32</f>
        <v>1909000</v>
      </c>
      <c r="KV32">
        <f>KU32</f>
        <v>1909000</v>
      </c>
      <c r="KW32">
        <f>KV32+485000</f>
        <v>2394000</v>
      </c>
      <c r="KX32">
        <f>KW32</f>
        <v>2394000</v>
      </c>
      <c r="KY32">
        <f>KX32</f>
        <v>2394000</v>
      </c>
      <c r="KZ32">
        <f t="shared" ref="KZ32:LB33" si="705">KY32</f>
        <v>2394000</v>
      </c>
      <c r="LA32">
        <f t="shared" si="705"/>
        <v>2394000</v>
      </c>
      <c r="LB32">
        <f t="shared" si="705"/>
        <v>2394000</v>
      </c>
      <c r="LC32">
        <v>492000</v>
      </c>
      <c r="LD32">
        <f>LC32</f>
        <v>492000</v>
      </c>
      <c r="LE32" s="130"/>
      <c r="LF32">
        <f t="shared" si="663"/>
        <v>492000</v>
      </c>
      <c r="LG32">
        <f t="shared" si="664"/>
        <v>492000</v>
      </c>
      <c r="LH32">
        <f t="shared" si="664"/>
        <v>492000</v>
      </c>
      <c r="LI32">
        <f t="shared" si="664"/>
        <v>492000</v>
      </c>
      <c r="LJ32">
        <f>LI32</f>
        <v>492000</v>
      </c>
      <c r="LK32">
        <f>LJ32</f>
        <v>492000</v>
      </c>
      <c r="LL32">
        <f t="shared" si="665"/>
        <v>492000</v>
      </c>
      <c r="LM32">
        <f t="shared" si="665"/>
        <v>492000</v>
      </c>
      <c r="LN32">
        <f t="shared" si="665"/>
        <v>492000</v>
      </c>
      <c r="LO32">
        <f t="shared" si="665"/>
        <v>492000</v>
      </c>
      <c r="LP32">
        <f t="shared" si="665"/>
        <v>492000</v>
      </c>
      <c r="LQ32">
        <f t="shared" si="665"/>
        <v>492000</v>
      </c>
      <c r="LR32">
        <f t="shared" si="665"/>
        <v>492000</v>
      </c>
      <c r="LS32">
        <f>LR32+1083000</f>
        <v>1575000</v>
      </c>
      <c r="LT32">
        <f t="shared" si="666"/>
        <v>1575000</v>
      </c>
      <c r="LU32">
        <f t="shared" si="666"/>
        <v>1575000</v>
      </c>
      <c r="LV32">
        <f>LU32</f>
        <v>1575000</v>
      </c>
      <c r="LW32">
        <f t="shared" si="667"/>
        <v>1575000</v>
      </c>
      <c r="LX32">
        <f t="shared" si="667"/>
        <v>1575000</v>
      </c>
      <c r="LY32">
        <f t="shared" ref="LY32:MB33" si="706">LX32</f>
        <v>1575000</v>
      </c>
      <c r="LZ32">
        <f t="shared" si="706"/>
        <v>1575000</v>
      </c>
      <c r="MA32">
        <f t="shared" si="706"/>
        <v>1575000</v>
      </c>
      <c r="MB32">
        <f t="shared" si="706"/>
        <v>1575000</v>
      </c>
      <c r="MC32">
        <f>MB32-1815000</f>
        <v>-240000</v>
      </c>
      <c r="MD32">
        <f>MC32</f>
        <v>-240000</v>
      </c>
      <c r="ME32">
        <v>0</v>
      </c>
      <c r="MF32">
        <f>ME32</f>
        <v>0</v>
      </c>
      <c r="MG32">
        <f>MF32</f>
        <v>0</v>
      </c>
      <c r="MH32">
        <f>MG32</f>
        <v>0</v>
      </c>
      <c r="MI32">
        <f>MH32</f>
        <v>0</v>
      </c>
      <c r="MJ32" s="130"/>
      <c r="MK32">
        <f t="shared" ref="MK32:MQ32" si="707">856000+210000+6000</f>
        <v>1072000</v>
      </c>
      <c r="ML32">
        <f t="shared" si="707"/>
        <v>1072000</v>
      </c>
      <c r="MM32">
        <f t="shared" si="707"/>
        <v>1072000</v>
      </c>
      <c r="MN32">
        <f t="shared" si="707"/>
        <v>1072000</v>
      </c>
      <c r="MO32">
        <f t="shared" si="707"/>
        <v>1072000</v>
      </c>
      <c r="MP32">
        <f t="shared" si="707"/>
        <v>1072000</v>
      </c>
      <c r="MQ32">
        <f t="shared" si="707"/>
        <v>1072000</v>
      </c>
      <c r="MR32">
        <f>856000+210000+6000+1112000</f>
        <v>2184000</v>
      </c>
      <c r="MS32">
        <f t="shared" ref="MS32:MU33" si="708">MR32</f>
        <v>2184000</v>
      </c>
      <c r="MT32">
        <f t="shared" si="708"/>
        <v>2184000</v>
      </c>
      <c r="MU32">
        <f t="shared" si="708"/>
        <v>2184000</v>
      </c>
      <c r="MV32">
        <f>MU32</f>
        <v>2184000</v>
      </c>
      <c r="MW32">
        <f>MV32</f>
        <v>2184000</v>
      </c>
      <c r="MX32">
        <f>MW32</f>
        <v>2184000</v>
      </c>
      <c r="MY32">
        <f>MX32</f>
        <v>2184000</v>
      </c>
      <c r="MZ32">
        <f>MY32</f>
        <v>2184000</v>
      </c>
      <c r="NA32">
        <f>MZ32+1276000</f>
        <v>3460000</v>
      </c>
      <c r="NB32">
        <f>NA32</f>
        <v>3460000</v>
      </c>
      <c r="NC32">
        <f>NB32</f>
        <v>3460000</v>
      </c>
      <c r="ND32">
        <f t="shared" ref="ND32:NG33" si="709">NC32</f>
        <v>3460000</v>
      </c>
      <c r="NE32">
        <f t="shared" si="709"/>
        <v>3460000</v>
      </c>
      <c r="NF32">
        <f t="shared" si="709"/>
        <v>3460000</v>
      </c>
      <c r="NG32">
        <f t="shared" si="709"/>
        <v>3460000</v>
      </c>
      <c r="NH32">
        <f>NG32+26000</f>
        <v>3486000</v>
      </c>
      <c r="NI32">
        <f t="shared" ref="NI32:NL33" si="710">NH32</f>
        <v>3486000</v>
      </c>
      <c r="NJ32">
        <f t="shared" si="710"/>
        <v>3486000</v>
      </c>
      <c r="NK32">
        <f t="shared" si="710"/>
        <v>3486000</v>
      </c>
      <c r="NL32">
        <f t="shared" si="710"/>
        <v>3486000</v>
      </c>
      <c r="NM32">
        <f>NL32</f>
        <v>3486000</v>
      </c>
      <c r="NN32">
        <f>NM32+1101000</f>
        <v>4587000</v>
      </c>
      <c r="NO32">
        <f>NN32</f>
        <v>4587000</v>
      </c>
      <c r="NP32" s="130"/>
      <c r="NQ32">
        <f>NO32</f>
        <v>4587000</v>
      </c>
      <c r="NR32">
        <f>NQ32</f>
        <v>4587000</v>
      </c>
      <c r="NS32">
        <f>NQ32</f>
        <v>4587000</v>
      </c>
      <c r="NT32">
        <f>NR32-3460000-773000</f>
        <v>354000</v>
      </c>
      <c r="NU32">
        <f>NT32</f>
        <v>354000</v>
      </c>
      <c r="NV32">
        <f>NT32</f>
        <v>354000</v>
      </c>
      <c r="NW32">
        <f>NU32</f>
        <v>354000</v>
      </c>
      <c r="NX32">
        <f>NV32</f>
        <v>354000</v>
      </c>
      <c r="NY32">
        <f>NW32+773000</f>
        <v>1127000</v>
      </c>
      <c r="NZ32">
        <f>NY32</f>
        <v>1127000</v>
      </c>
      <c r="OA32">
        <f>NY32</f>
        <v>1127000</v>
      </c>
      <c r="OB32">
        <f>NZ32</f>
        <v>1127000</v>
      </c>
      <c r="OC32">
        <f t="shared" si="669"/>
        <v>1127000</v>
      </c>
      <c r="OD32">
        <f t="shared" si="669"/>
        <v>1127000</v>
      </c>
      <c r="OE32">
        <f t="shared" si="669"/>
        <v>1127000</v>
      </c>
      <c r="OF32">
        <f t="shared" si="669"/>
        <v>1127000</v>
      </c>
      <c r="OG32">
        <f t="shared" si="669"/>
        <v>1127000</v>
      </c>
      <c r="OH32">
        <f>OF32</f>
        <v>1127000</v>
      </c>
      <c r="OI32">
        <f>OG32</f>
        <v>1127000</v>
      </c>
      <c r="OJ32">
        <f>OH32</f>
        <v>1127000</v>
      </c>
      <c r="OK32">
        <f>OI32</f>
        <v>1127000</v>
      </c>
      <c r="OL32">
        <f>OJ32</f>
        <v>1127000</v>
      </c>
      <c r="OM32">
        <f>OK32+385000</f>
        <v>1512000</v>
      </c>
      <c r="ON32">
        <f>OM32</f>
        <v>1512000</v>
      </c>
      <c r="OO32">
        <f>OM32</f>
        <v>1512000</v>
      </c>
      <c r="OP32">
        <f>ON32</f>
        <v>1512000</v>
      </c>
      <c r="OQ32">
        <f>OO32+862000</f>
        <v>2374000</v>
      </c>
      <c r="OR32">
        <f>OQ32</f>
        <v>2374000</v>
      </c>
      <c r="OS32">
        <f>OQ32</f>
        <v>2374000</v>
      </c>
      <c r="OT32">
        <f>OR32+868000</f>
        <v>3242000</v>
      </c>
      <c r="OU32">
        <f>OT32</f>
        <v>3242000</v>
      </c>
      <c r="OV32" s="130"/>
      <c r="OW32">
        <f>OU32</f>
        <v>3242000</v>
      </c>
      <c r="OX32">
        <f>OW32</f>
        <v>3242000</v>
      </c>
      <c r="OY32">
        <f>OW32</f>
        <v>3242000</v>
      </c>
      <c r="OZ32">
        <f>OX32</f>
        <v>3242000</v>
      </c>
      <c r="PA32">
        <f>OY32</f>
        <v>3242000</v>
      </c>
      <c r="PB32">
        <f>OZ32+1189000</f>
        <v>4431000</v>
      </c>
      <c r="PC32">
        <f>PB32</f>
        <v>4431000</v>
      </c>
      <c r="PD32">
        <f>PC32</f>
        <v>4431000</v>
      </c>
      <c r="PE32">
        <f>PC32+324500</f>
        <v>4755500</v>
      </c>
      <c r="PF32">
        <f>PE32+856000</f>
        <v>5611500</v>
      </c>
      <c r="PG32">
        <f>PF32</f>
        <v>5611500</v>
      </c>
      <c r="PH32">
        <f t="shared" ref="PH32:PN32" si="711">PF32</f>
        <v>5611500</v>
      </c>
      <c r="PI32">
        <f t="shared" si="711"/>
        <v>5611500</v>
      </c>
      <c r="PJ32">
        <f t="shared" si="711"/>
        <v>5611500</v>
      </c>
      <c r="PK32">
        <f t="shared" si="711"/>
        <v>5611500</v>
      </c>
      <c r="PL32">
        <f t="shared" si="711"/>
        <v>5611500</v>
      </c>
      <c r="PM32">
        <f t="shared" si="711"/>
        <v>5611500</v>
      </c>
      <c r="PN32">
        <f t="shared" si="711"/>
        <v>5611500</v>
      </c>
      <c r="PO32">
        <f>PM32-3242000</f>
        <v>2369500</v>
      </c>
      <c r="PP32">
        <f>PO32</f>
        <v>2369500</v>
      </c>
      <c r="PQ32">
        <f t="shared" ref="PQ32:PY32" si="712">PO32</f>
        <v>2369500</v>
      </c>
      <c r="PR32">
        <f t="shared" si="712"/>
        <v>2369500</v>
      </c>
      <c r="PS32">
        <f t="shared" si="712"/>
        <v>2369500</v>
      </c>
      <c r="PT32">
        <f t="shared" si="712"/>
        <v>2369500</v>
      </c>
      <c r="PU32">
        <f t="shared" si="712"/>
        <v>2369500</v>
      </c>
      <c r="PV32">
        <f t="shared" si="712"/>
        <v>2369500</v>
      </c>
      <c r="PW32">
        <f t="shared" si="712"/>
        <v>2369500</v>
      </c>
      <c r="PX32">
        <f t="shared" si="712"/>
        <v>2369500</v>
      </c>
      <c r="PY32">
        <f t="shared" si="712"/>
        <v>2369500</v>
      </c>
      <c r="PZ32">
        <f>PX32</f>
        <v>2369500</v>
      </c>
      <c r="QA32" s="130"/>
      <c r="QB32">
        <f>PZ32</f>
        <v>2369500</v>
      </c>
      <c r="QC32">
        <f t="shared" ref="QC32:QN32" si="713">QB32</f>
        <v>2369500</v>
      </c>
      <c r="QD32">
        <f t="shared" si="713"/>
        <v>2369500</v>
      </c>
      <c r="QE32">
        <f t="shared" si="713"/>
        <v>2369500</v>
      </c>
      <c r="QF32">
        <f t="shared" si="713"/>
        <v>2369500</v>
      </c>
      <c r="QG32">
        <f t="shared" si="713"/>
        <v>2369500</v>
      </c>
      <c r="QH32">
        <f t="shared" si="713"/>
        <v>2369500</v>
      </c>
      <c r="QI32">
        <f t="shared" si="713"/>
        <v>2369500</v>
      </c>
      <c r="QJ32">
        <f t="shared" si="713"/>
        <v>2369500</v>
      </c>
      <c r="QK32">
        <f t="shared" si="713"/>
        <v>2369500</v>
      </c>
      <c r="QL32">
        <f t="shared" si="713"/>
        <v>2369500</v>
      </c>
      <c r="QM32">
        <f t="shared" si="713"/>
        <v>2369500</v>
      </c>
      <c r="QN32">
        <f t="shared" si="713"/>
        <v>2369500</v>
      </c>
      <c r="QO32">
        <f t="shared" ref="QO32:QR33" si="714">QN32</f>
        <v>2369500</v>
      </c>
      <c r="QP32">
        <f t="shared" si="714"/>
        <v>2369500</v>
      </c>
      <c r="QQ32">
        <f t="shared" si="714"/>
        <v>2369500</v>
      </c>
      <c r="QR32">
        <f t="shared" si="714"/>
        <v>2369500</v>
      </c>
      <c r="QS32">
        <f>QR32-2000000</f>
        <v>369500</v>
      </c>
      <c r="QT32">
        <f t="shared" ref="QT32:RC32" si="715">QS32</f>
        <v>369500</v>
      </c>
      <c r="QU32">
        <f t="shared" si="715"/>
        <v>369500</v>
      </c>
      <c r="QV32">
        <f t="shared" si="715"/>
        <v>369500</v>
      </c>
      <c r="QW32">
        <f t="shared" si="715"/>
        <v>369500</v>
      </c>
      <c r="QX32">
        <f t="shared" si="715"/>
        <v>369500</v>
      </c>
      <c r="QY32">
        <f t="shared" si="715"/>
        <v>369500</v>
      </c>
      <c r="QZ32">
        <f t="shared" si="715"/>
        <v>369500</v>
      </c>
      <c r="RA32">
        <f t="shared" si="715"/>
        <v>369500</v>
      </c>
      <c r="RB32">
        <f t="shared" si="715"/>
        <v>369500</v>
      </c>
      <c r="RC32">
        <f t="shared" si="715"/>
        <v>369500</v>
      </c>
      <c r="RD32">
        <f>RC32-300000</f>
        <v>69500</v>
      </c>
      <c r="RE32">
        <f>RD32</f>
        <v>69500</v>
      </c>
      <c r="RF32">
        <f>RE32</f>
        <v>69500</v>
      </c>
      <c r="RG32" s="130"/>
      <c r="RH32">
        <f>RF32</f>
        <v>69500</v>
      </c>
      <c r="RI32">
        <f>RH32</f>
        <v>69500</v>
      </c>
      <c r="RJ32">
        <f>RI32</f>
        <v>69500</v>
      </c>
      <c r="RK32">
        <f>RJ32</f>
        <v>69500</v>
      </c>
      <c r="RL32">
        <f>RK32</f>
        <v>69500</v>
      </c>
      <c r="RM32">
        <f t="shared" ref="RM32:SK32" si="716">RL32</f>
        <v>69500</v>
      </c>
      <c r="RN32">
        <f t="shared" si="716"/>
        <v>69500</v>
      </c>
      <c r="RO32">
        <f t="shared" si="716"/>
        <v>69500</v>
      </c>
      <c r="RP32">
        <f t="shared" si="716"/>
        <v>69500</v>
      </c>
      <c r="RQ32">
        <f t="shared" si="716"/>
        <v>69500</v>
      </c>
      <c r="RR32">
        <f t="shared" si="716"/>
        <v>69500</v>
      </c>
      <c r="RS32">
        <f t="shared" si="716"/>
        <v>69500</v>
      </c>
      <c r="RT32">
        <f t="shared" si="716"/>
        <v>69500</v>
      </c>
      <c r="RU32">
        <f t="shared" si="716"/>
        <v>69500</v>
      </c>
      <c r="RV32">
        <f t="shared" si="716"/>
        <v>69500</v>
      </c>
      <c r="RW32">
        <f t="shared" si="716"/>
        <v>69500</v>
      </c>
      <c r="RX32">
        <f t="shared" si="716"/>
        <v>69500</v>
      </c>
      <c r="RY32">
        <f t="shared" si="716"/>
        <v>69500</v>
      </c>
      <c r="RZ32">
        <f t="shared" si="716"/>
        <v>69500</v>
      </c>
      <c r="SA32">
        <f t="shared" si="716"/>
        <v>69500</v>
      </c>
      <c r="SB32">
        <f t="shared" si="716"/>
        <v>69500</v>
      </c>
      <c r="SC32">
        <f t="shared" si="716"/>
        <v>69500</v>
      </c>
      <c r="SD32">
        <f t="shared" si="716"/>
        <v>69500</v>
      </c>
      <c r="SE32">
        <f t="shared" si="716"/>
        <v>69500</v>
      </c>
      <c r="SF32">
        <f t="shared" si="716"/>
        <v>69500</v>
      </c>
      <c r="SG32">
        <f t="shared" si="716"/>
        <v>69500</v>
      </c>
      <c r="SH32">
        <f t="shared" si="716"/>
        <v>69500</v>
      </c>
      <c r="SI32">
        <f t="shared" si="716"/>
        <v>69500</v>
      </c>
      <c r="SJ32">
        <f t="shared" si="716"/>
        <v>69500</v>
      </c>
      <c r="SK32">
        <f t="shared" si="716"/>
        <v>69500</v>
      </c>
      <c r="SL32" s="130"/>
      <c r="SM32">
        <f>SK32</f>
        <v>69500</v>
      </c>
      <c r="SN32">
        <f t="shared" ref="SN32:TQ32" si="717">SM32</f>
        <v>69500</v>
      </c>
      <c r="SO32">
        <f t="shared" si="717"/>
        <v>69500</v>
      </c>
      <c r="SP32">
        <f t="shared" si="717"/>
        <v>69500</v>
      </c>
      <c r="SQ32">
        <f t="shared" si="717"/>
        <v>69500</v>
      </c>
      <c r="SR32">
        <f t="shared" si="717"/>
        <v>69500</v>
      </c>
      <c r="SS32">
        <f t="shared" si="717"/>
        <v>69500</v>
      </c>
      <c r="ST32">
        <f t="shared" si="717"/>
        <v>69500</v>
      </c>
      <c r="SU32">
        <f t="shared" si="717"/>
        <v>69500</v>
      </c>
      <c r="SV32">
        <f t="shared" si="717"/>
        <v>69500</v>
      </c>
      <c r="SW32">
        <f t="shared" si="717"/>
        <v>69500</v>
      </c>
      <c r="SX32">
        <f t="shared" si="717"/>
        <v>69500</v>
      </c>
      <c r="SY32">
        <f t="shared" si="717"/>
        <v>69500</v>
      </c>
      <c r="SZ32">
        <f t="shared" si="717"/>
        <v>69500</v>
      </c>
      <c r="TA32">
        <f t="shared" si="717"/>
        <v>69500</v>
      </c>
      <c r="TB32">
        <f t="shared" si="717"/>
        <v>69500</v>
      </c>
      <c r="TC32">
        <f t="shared" si="717"/>
        <v>69500</v>
      </c>
      <c r="TD32">
        <f t="shared" si="717"/>
        <v>69500</v>
      </c>
      <c r="TE32">
        <f t="shared" si="717"/>
        <v>69500</v>
      </c>
      <c r="TF32">
        <f t="shared" si="717"/>
        <v>69500</v>
      </c>
      <c r="TG32">
        <f t="shared" si="717"/>
        <v>69500</v>
      </c>
      <c r="TH32">
        <f t="shared" si="717"/>
        <v>69500</v>
      </c>
      <c r="TI32">
        <f t="shared" si="717"/>
        <v>69500</v>
      </c>
      <c r="TJ32">
        <f t="shared" si="717"/>
        <v>69500</v>
      </c>
      <c r="TK32">
        <f t="shared" si="717"/>
        <v>69500</v>
      </c>
      <c r="TL32">
        <f t="shared" si="717"/>
        <v>69500</v>
      </c>
      <c r="TM32">
        <f t="shared" si="717"/>
        <v>69500</v>
      </c>
      <c r="TN32">
        <f t="shared" si="717"/>
        <v>69500</v>
      </c>
      <c r="TO32">
        <f t="shared" si="717"/>
        <v>69500</v>
      </c>
      <c r="TP32">
        <f t="shared" si="717"/>
        <v>69500</v>
      </c>
      <c r="TQ32">
        <f t="shared" si="717"/>
        <v>69500</v>
      </c>
      <c r="TR32" s="130"/>
      <c r="TS32">
        <f>TQ32</f>
        <v>69500</v>
      </c>
      <c r="TT32">
        <f t="shared" si="676"/>
        <v>69500</v>
      </c>
      <c r="TU32">
        <f t="shared" si="676"/>
        <v>69500</v>
      </c>
      <c r="TV32">
        <f t="shared" si="676"/>
        <v>69500</v>
      </c>
      <c r="TW32">
        <f t="shared" si="652"/>
        <v>69500</v>
      </c>
      <c r="TX32">
        <f t="shared" ref="TX32:UW32" si="718">TW32</f>
        <v>69500</v>
      </c>
      <c r="TY32">
        <f t="shared" si="718"/>
        <v>69500</v>
      </c>
      <c r="TZ32">
        <f t="shared" si="718"/>
        <v>69500</v>
      </c>
      <c r="UA32">
        <f t="shared" si="718"/>
        <v>69500</v>
      </c>
      <c r="UB32">
        <f t="shared" si="718"/>
        <v>69500</v>
      </c>
      <c r="UC32">
        <f t="shared" si="718"/>
        <v>69500</v>
      </c>
      <c r="UD32">
        <f t="shared" si="718"/>
        <v>69500</v>
      </c>
      <c r="UE32">
        <f t="shared" si="718"/>
        <v>69500</v>
      </c>
      <c r="UF32">
        <f t="shared" si="718"/>
        <v>69500</v>
      </c>
      <c r="UG32">
        <f t="shared" si="718"/>
        <v>69500</v>
      </c>
      <c r="UH32">
        <f t="shared" si="718"/>
        <v>69500</v>
      </c>
      <c r="UI32">
        <f t="shared" si="718"/>
        <v>69500</v>
      </c>
      <c r="UJ32">
        <f t="shared" si="718"/>
        <v>69500</v>
      </c>
      <c r="UK32">
        <f t="shared" si="718"/>
        <v>69500</v>
      </c>
      <c r="UL32">
        <f t="shared" si="718"/>
        <v>69500</v>
      </c>
      <c r="UM32">
        <f t="shared" si="718"/>
        <v>69500</v>
      </c>
      <c r="UN32">
        <f t="shared" si="718"/>
        <v>69500</v>
      </c>
      <c r="UO32">
        <f t="shared" si="718"/>
        <v>69500</v>
      </c>
      <c r="UP32">
        <f t="shared" si="718"/>
        <v>69500</v>
      </c>
      <c r="UQ32">
        <f t="shared" si="718"/>
        <v>69500</v>
      </c>
      <c r="UR32">
        <f t="shared" si="718"/>
        <v>69500</v>
      </c>
      <c r="US32">
        <f t="shared" si="718"/>
        <v>69500</v>
      </c>
      <c r="UT32">
        <f t="shared" si="718"/>
        <v>69500</v>
      </c>
      <c r="UU32">
        <f t="shared" si="718"/>
        <v>69500</v>
      </c>
      <c r="UV32">
        <f t="shared" si="718"/>
        <v>69500</v>
      </c>
      <c r="UW32">
        <f t="shared" si="718"/>
        <v>69500</v>
      </c>
      <c r="UX32" s="130"/>
      <c r="UY32">
        <f>UW32</f>
        <v>69500</v>
      </c>
      <c r="UZ32">
        <f t="shared" si="678"/>
        <v>69500</v>
      </c>
      <c r="VA32">
        <f t="shared" si="679"/>
        <v>69500</v>
      </c>
      <c r="VB32">
        <f t="shared" si="679"/>
        <v>69500</v>
      </c>
      <c r="VC32">
        <f t="shared" si="679"/>
        <v>69500</v>
      </c>
      <c r="VD32">
        <f t="shared" si="679"/>
        <v>69500</v>
      </c>
      <c r="VE32">
        <f t="shared" si="679"/>
        <v>69500</v>
      </c>
      <c r="VF32">
        <f t="shared" si="679"/>
        <v>69500</v>
      </c>
      <c r="VG32">
        <f t="shared" si="679"/>
        <v>69500</v>
      </c>
      <c r="VH32">
        <f t="shared" si="679"/>
        <v>69500</v>
      </c>
      <c r="VI32">
        <f t="shared" si="679"/>
        <v>69500</v>
      </c>
      <c r="VJ32">
        <f t="shared" si="679"/>
        <v>69500</v>
      </c>
      <c r="VK32">
        <f t="shared" si="680"/>
        <v>69500</v>
      </c>
      <c r="VL32">
        <f t="shared" si="680"/>
        <v>69500</v>
      </c>
      <c r="VM32">
        <f t="shared" si="680"/>
        <v>69500</v>
      </c>
      <c r="VN32">
        <f t="shared" si="680"/>
        <v>69500</v>
      </c>
      <c r="VO32">
        <f t="shared" si="680"/>
        <v>69500</v>
      </c>
      <c r="VP32">
        <f t="shared" si="680"/>
        <v>69500</v>
      </c>
      <c r="VQ32">
        <f t="shared" si="680"/>
        <v>69500</v>
      </c>
      <c r="VR32">
        <f t="shared" si="680"/>
        <v>69500</v>
      </c>
      <c r="VS32">
        <f t="shared" si="680"/>
        <v>69500</v>
      </c>
      <c r="VT32">
        <f t="shared" si="680"/>
        <v>69500</v>
      </c>
      <c r="VU32">
        <f t="shared" si="681"/>
        <v>69500</v>
      </c>
      <c r="VV32">
        <f t="shared" si="681"/>
        <v>69500</v>
      </c>
      <c r="VW32">
        <f t="shared" si="681"/>
        <v>69500</v>
      </c>
      <c r="VX32">
        <f t="shared" si="681"/>
        <v>69500</v>
      </c>
      <c r="VY32">
        <f t="shared" si="681"/>
        <v>69500</v>
      </c>
      <c r="VZ32">
        <f t="shared" si="681"/>
        <v>69500</v>
      </c>
      <c r="WA32" s="130"/>
      <c r="WB32">
        <f>VZ32</f>
        <v>69500</v>
      </c>
      <c r="WC32">
        <f>WB32</f>
        <v>69500</v>
      </c>
      <c r="WD32">
        <f t="shared" si="682"/>
        <v>69500</v>
      </c>
      <c r="WE32">
        <f t="shared" si="682"/>
        <v>69500</v>
      </c>
      <c r="WF32">
        <f t="shared" si="682"/>
        <v>69500</v>
      </c>
      <c r="WG32">
        <f t="shared" si="682"/>
        <v>69500</v>
      </c>
      <c r="WH32">
        <f t="shared" si="682"/>
        <v>69500</v>
      </c>
      <c r="WI32">
        <f t="shared" si="682"/>
        <v>69500</v>
      </c>
      <c r="WJ32">
        <f t="shared" si="682"/>
        <v>69500</v>
      </c>
      <c r="WK32">
        <f t="shared" si="682"/>
        <v>69500</v>
      </c>
      <c r="WL32">
        <f t="shared" si="682"/>
        <v>69500</v>
      </c>
      <c r="WM32">
        <f t="shared" si="682"/>
        <v>69500</v>
      </c>
      <c r="WN32">
        <f t="shared" si="683"/>
        <v>69500</v>
      </c>
      <c r="WO32">
        <f t="shared" si="683"/>
        <v>69500</v>
      </c>
      <c r="WP32">
        <f t="shared" si="683"/>
        <v>69500</v>
      </c>
      <c r="WQ32">
        <f t="shared" si="683"/>
        <v>69500</v>
      </c>
      <c r="WR32">
        <f t="shared" si="683"/>
        <v>69500</v>
      </c>
      <c r="WS32">
        <f t="shared" si="683"/>
        <v>69500</v>
      </c>
      <c r="WT32">
        <f t="shared" si="683"/>
        <v>69500</v>
      </c>
      <c r="WU32">
        <f t="shared" si="683"/>
        <v>69500</v>
      </c>
      <c r="WV32">
        <f t="shared" si="683"/>
        <v>69500</v>
      </c>
      <c r="WW32">
        <f t="shared" si="683"/>
        <v>69500</v>
      </c>
      <c r="WX32">
        <f t="shared" si="684"/>
        <v>69500</v>
      </c>
      <c r="WY32">
        <f t="shared" si="684"/>
        <v>69500</v>
      </c>
      <c r="WZ32">
        <f t="shared" si="684"/>
        <v>69500</v>
      </c>
      <c r="XA32">
        <f t="shared" si="684"/>
        <v>69500</v>
      </c>
      <c r="XB32">
        <f>WZ32</f>
        <v>69500</v>
      </c>
      <c r="XC32">
        <f>XA32</f>
        <v>69500</v>
      </c>
      <c r="XD32">
        <f t="shared" si="685"/>
        <v>69500</v>
      </c>
      <c r="XE32">
        <f t="shared" si="685"/>
        <v>69500</v>
      </c>
      <c r="XF32">
        <f t="shared" si="685"/>
        <v>69500</v>
      </c>
      <c r="XG32" s="130"/>
      <c r="XH32">
        <f>XF32</f>
        <v>69500</v>
      </c>
      <c r="XI32">
        <f t="shared" ref="XI32:YK32" si="719">XH32</f>
        <v>69500</v>
      </c>
      <c r="XJ32">
        <f t="shared" si="719"/>
        <v>69500</v>
      </c>
      <c r="XK32">
        <f t="shared" si="719"/>
        <v>69500</v>
      </c>
      <c r="XL32">
        <f t="shared" si="719"/>
        <v>69500</v>
      </c>
      <c r="XM32">
        <f t="shared" si="719"/>
        <v>69500</v>
      </c>
      <c r="XN32">
        <f t="shared" si="719"/>
        <v>69500</v>
      </c>
      <c r="XO32">
        <f t="shared" si="719"/>
        <v>69500</v>
      </c>
      <c r="XP32">
        <f t="shared" si="719"/>
        <v>69500</v>
      </c>
      <c r="XQ32">
        <f t="shared" si="719"/>
        <v>69500</v>
      </c>
      <c r="XR32">
        <f t="shared" si="719"/>
        <v>69500</v>
      </c>
      <c r="XS32">
        <f t="shared" si="719"/>
        <v>69500</v>
      </c>
      <c r="XT32">
        <f t="shared" si="719"/>
        <v>69500</v>
      </c>
      <c r="XU32">
        <f t="shared" si="719"/>
        <v>69500</v>
      </c>
      <c r="XV32">
        <f t="shared" si="719"/>
        <v>69500</v>
      </c>
      <c r="XW32">
        <f t="shared" si="719"/>
        <v>69500</v>
      </c>
      <c r="XX32">
        <f t="shared" si="719"/>
        <v>69500</v>
      </c>
      <c r="XY32">
        <f t="shared" si="719"/>
        <v>69500</v>
      </c>
      <c r="XZ32">
        <f t="shared" si="719"/>
        <v>69500</v>
      </c>
      <c r="YA32">
        <f t="shared" si="719"/>
        <v>69500</v>
      </c>
      <c r="YB32">
        <f t="shared" si="719"/>
        <v>69500</v>
      </c>
      <c r="YC32">
        <f t="shared" si="719"/>
        <v>69500</v>
      </c>
      <c r="YD32">
        <f t="shared" si="719"/>
        <v>69500</v>
      </c>
      <c r="YE32">
        <f t="shared" si="719"/>
        <v>69500</v>
      </c>
      <c r="YF32">
        <f t="shared" si="719"/>
        <v>69500</v>
      </c>
      <c r="YG32">
        <f t="shared" si="719"/>
        <v>69500</v>
      </c>
      <c r="YH32">
        <f t="shared" si="719"/>
        <v>69500</v>
      </c>
      <c r="YI32">
        <f t="shared" si="719"/>
        <v>69500</v>
      </c>
      <c r="YJ32">
        <f t="shared" si="719"/>
        <v>69500</v>
      </c>
      <c r="YK32">
        <f t="shared" si="719"/>
        <v>69500</v>
      </c>
      <c r="YL32" s="130"/>
      <c r="YM32">
        <f>YK32</f>
        <v>69500</v>
      </c>
      <c r="YN32">
        <f t="shared" ref="YN32:ZQ32" si="720">YM32</f>
        <v>69500</v>
      </c>
      <c r="YO32">
        <f t="shared" si="720"/>
        <v>69500</v>
      </c>
      <c r="YP32">
        <f t="shared" si="720"/>
        <v>69500</v>
      </c>
      <c r="YQ32">
        <f t="shared" si="720"/>
        <v>69500</v>
      </c>
      <c r="YR32">
        <f t="shared" si="720"/>
        <v>69500</v>
      </c>
      <c r="YS32">
        <f t="shared" si="720"/>
        <v>69500</v>
      </c>
      <c r="YT32">
        <f t="shared" si="720"/>
        <v>69500</v>
      </c>
      <c r="YU32">
        <f t="shared" si="720"/>
        <v>69500</v>
      </c>
      <c r="YV32">
        <f t="shared" si="720"/>
        <v>69500</v>
      </c>
      <c r="YW32">
        <f t="shared" si="720"/>
        <v>69500</v>
      </c>
      <c r="YX32">
        <f t="shared" si="720"/>
        <v>69500</v>
      </c>
      <c r="YY32">
        <f t="shared" si="720"/>
        <v>69500</v>
      </c>
      <c r="YZ32">
        <f t="shared" si="720"/>
        <v>69500</v>
      </c>
      <c r="ZA32">
        <f t="shared" si="720"/>
        <v>69500</v>
      </c>
      <c r="ZB32">
        <f t="shared" si="720"/>
        <v>69500</v>
      </c>
      <c r="ZC32">
        <f t="shared" si="720"/>
        <v>69500</v>
      </c>
      <c r="ZD32">
        <f t="shared" si="720"/>
        <v>69500</v>
      </c>
      <c r="ZE32">
        <f t="shared" si="720"/>
        <v>69500</v>
      </c>
      <c r="ZF32">
        <f t="shared" si="720"/>
        <v>69500</v>
      </c>
      <c r="ZG32">
        <f t="shared" si="720"/>
        <v>69500</v>
      </c>
      <c r="ZH32">
        <f t="shared" si="720"/>
        <v>69500</v>
      </c>
      <c r="ZI32">
        <f t="shared" si="720"/>
        <v>69500</v>
      </c>
      <c r="ZJ32">
        <f t="shared" si="720"/>
        <v>69500</v>
      </c>
      <c r="ZK32">
        <f t="shared" si="720"/>
        <v>69500</v>
      </c>
      <c r="ZL32">
        <f t="shared" si="720"/>
        <v>69500</v>
      </c>
      <c r="ZM32">
        <f t="shared" si="720"/>
        <v>69500</v>
      </c>
      <c r="ZN32">
        <f t="shared" si="720"/>
        <v>69500</v>
      </c>
      <c r="ZO32">
        <f t="shared" si="720"/>
        <v>69500</v>
      </c>
      <c r="ZP32">
        <f t="shared" si="720"/>
        <v>69500</v>
      </c>
      <c r="ZQ32">
        <f t="shared" si="720"/>
        <v>69500</v>
      </c>
      <c r="ZR32" s="130"/>
      <c r="ZS32">
        <f>ZQ32</f>
        <v>69500</v>
      </c>
      <c r="ZT32">
        <f t="shared" ref="ZT32:AAO32" si="721">ZS32</f>
        <v>69500</v>
      </c>
      <c r="ZU32">
        <f t="shared" si="721"/>
        <v>69500</v>
      </c>
      <c r="ZV32">
        <f t="shared" si="721"/>
        <v>69500</v>
      </c>
      <c r="ZW32">
        <f t="shared" si="721"/>
        <v>69500</v>
      </c>
      <c r="ZX32">
        <f t="shared" si="721"/>
        <v>69500</v>
      </c>
      <c r="ZY32">
        <f t="shared" si="721"/>
        <v>69500</v>
      </c>
      <c r="ZZ32">
        <f t="shared" si="721"/>
        <v>69500</v>
      </c>
      <c r="AAA32">
        <f t="shared" si="721"/>
        <v>69500</v>
      </c>
      <c r="AAB32">
        <f t="shared" si="721"/>
        <v>69500</v>
      </c>
      <c r="AAC32">
        <f t="shared" si="721"/>
        <v>69500</v>
      </c>
      <c r="AAD32">
        <f t="shared" si="721"/>
        <v>69500</v>
      </c>
      <c r="AAE32">
        <f t="shared" si="721"/>
        <v>69500</v>
      </c>
      <c r="AAF32">
        <f t="shared" si="721"/>
        <v>69500</v>
      </c>
      <c r="AAG32">
        <f t="shared" si="721"/>
        <v>69500</v>
      </c>
      <c r="AAH32">
        <f t="shared" si="721"/>
        <v>69500</v>
      </c>
      <c r="AAI32">
        <f t="shared" si="721"/>
        <v>69500</v>
      </c>
      <c r="AAJ32">
        <f t="shared" si="721"/>
        <v>69500</v>
      </c>
      <c r="AAK32">
        <f t="shared" si="721"/>
        <v>69500</v>
      </c>
      <c r="AAL32">
        <f t="shared" si="721"/>
        <v>69500</v>
      </c>
      <c r="AAM32">
        <f t="shared" si="721"/>
        <v>69500</v>
      </c>
      <c r="AAN32">
        <f t="shared" si="721"/>
        <v>69500</v>
      </c>
      <c r="AAO32">
        <f t="shared" si="721"/>
        <v>69500</v>
      </c>
      <c r="AAP32">
        <f>AAO32</f>
        <v>69500</v>
      </c>
      <c r="AAQ32">
        <f t="shared" si="689"/>
        <v>69500</v>
      </c>
      <c r="AAR32">
        <f t="shared" si="689"/>
        <v>69500</v>
      </c>
      <c r="AAS32">
        <f t="shared" si="689"/>
        <v>69500</v>
      </c>
      <c r="AAT32">
        <f t="shared" si="689"/>
        <v>69500</v>
      </c>
      <c r="AAU32">
        <f t="shared" si="689"/>
        <v>69500</v>
      </c>
      <c r="AAV32">
        <f t="shared" si="689"/>
        <v>69500</v>
      </c>
      <c r="AAW32" s="130"/>
      <c r="AAX32">
        <f>AAV32</f>
        <v>69500</v>
      </c>
      <c r="AAY32">
        <f t="shared" ref="AAY32:ACB32" si="722">AAX32</f>
        <v>69500</v>
      </c>
      <c r="AAZ32">
        <f t="shared" si="722"/>
        <v>69500</v>
      </c>
      <c r="ABA32">
        <f t="shared" si="722"/>
        <v>69500</v>
      </c>
      <c r="ABB32">
        <f t="shared" si="722"/>
        <v>69500</v>
      </c>
      <c r="ABC32">
        <f t="shared" si="722"/>
        <v>69500</v>
      </c>
      <c r="ABD32">
        <f t="shared" si="722"/>
        <v>69500</v>
      </c>
      <c r="ABE32">
        <f t="shared" si="722"/>
        <v>69500</v>
      </c>
      <c r="ABF32">
        <f t="shared" si="722"/>
        <v>69500</v>
      </c>
      <c r="ABG32">
        <f t="shared" si="722"/>
        <v>69500</v>
      </c>
      <c r="ABH32">
        <f t="shared" si="722"/>
        <v>69500</v>
      </c>
      <c r="ABI32">
        <f t="shared" si="722"/>
        <v>69500</v>
      </c>
      <c r="ABJ32">
        <f t="shared" si="722"/>
        <v>69500</v>
      </c>
      <c r="ABK32">
        <f t="shared" si="722"/>
        <v>69500</v>
      </c>
      <c r="ABL32">
        <f t="shared" si="722"/>
        <v>69500</v>
      </c>
      <c r="ABM32">
        <f t="shared" si="722"/>
        <v>69500</v>
      </c>
      <c r="ABN32">
        <f t="shared" si="722"/>
        <v>69500</v>
      </c>
      <c r="ABO32">
        <f t="shared" si="722"/>
        <v>69500</v>
      </c>
      <c r="ABP32">
        <f t="shared" si="722"/>
        <v>69500</v>
      </c>
      <c r="ABQ32">
        <f t="shared" si="722"/>
        <v>69500</v>
      </c>
      <c r="ABR32">
        <f t="shared" si="722"/>
        <v>69500</v>
      </c>
      <c r="ABS32">
        <f t="shared" si="722"/>
        <v>69500</v>
      </c>
      <c r="ABT32">
        <f t="shared" si="722"/>
        <v>69500</v>
      </c>
      <c r="ABU32">
        <f t="shared" si="722"/>
        <v>69500</v>
      </c>
      <c r="ABV32">
        <f t="shared" si="722"/>
        <v>69500</v>
      </c>
      <c r="ABW32">
        <f t="shared" si="722"/>
        <v>69500</v>
      </c>
      <c r="ABX32">
        <f t="shared" si="722"/>
        <v>69500</v>
      </c>
      <c r="ABY32">
        <f t="shared" si="722"/>
        <v>69500</v>
      </c>
      <c r="ABZ32">
        <f t="shared" si="722"/>
        <v>69500</v>
      </c>
      <c r="ACA32">
        <f t="shared" si="722"/>
        <v>69500</v>
      </c>
      <c r="ACB32">
        <f t="shared" si="722"/>
        <v>69500</v>
      </c>
      <c r="ACC32" s="130"/>
      <c r="ACD32">
        <f>ACB32</f>
        <v>69500</v>
      </c>
      <c r="ACE32">
        <f t="shared" ref="ACE32:ADH32" si="723">ACD32</f>
        <v>69500</v>
      </c>
      <c r="ACF32">
        <f t="shared" si="723"/>
        <v>69500</v>
      </c>
      <c r="ACG32">
        <f t="shared" si="723"/>
        <v>69500</v>
      </c>
      <c r="ACH32">
        <f t="shared" si="723"/>
        <v>69500</v>
      </c>
      <c r="ACI32">
        <f t="shared" si="723"/>
        <v>69500</v>
      </c>
      <c r="ACJ32">
        <f t="shared" si="723"/>
        <v>69500</v>
      </c>
      <c r="ACK32">
        <f t="shared" si="723"/>
        <v>69500</v>
      </c>
      <c r="ACL32">
        <f t="shared" si="723"/>
        <v>69500</v>
      </c>
      <c r="ACM32">
        <f t="shared" si="723"/>
        <v>69500</v>
      </c>
      <c r="ACN32">
        <f t="shared" si="723"/>
        <v>69500</v>
      </c>
      <c r="ACO32">
        <f t="shared" si="723"/>
        <v>69500</v>
      </c>
      <c r="ACP32">
        <f t="shared" si="723"/>
        <v>69500</v>
      </c>
      <c r="ACQ32">
        <f t="shared" si="723"/>
        <v>69500</v>
      </c>
      <c r="ACR32">
        <f t="shared" si="723"/>
        <v>69500</v>
      </c>
      <c r="ACS32">
        <f t="shared" si="723"/>
        <v>69500</v>
      </c>
      <c r="ACT32">
        <f t="shared" si="723"/>
        <v>69500</v>
      </c>
      <c r="ACU32">
        <f t="shared" si="723"/>
        <v>69500</v>
      </c>
      <c r="ACV32">
        <f t="shared" si="723"/>
        <v>69500</v>
      </c>
      <c r="ACW32">
        <f t="shared" si="723"/>
        <v>69500</v>
      </c>
      <c r="ACX32">
        <f t="shared" si="723"/>
        <v>69500</v>
      </c>
      <c r="ACY32">
        <f t="shared" si="723"/>
        <v>69500</v>
      </c>
      <c r="ACZ32">
        <f t="shared" si="723"/>
        <v>69500</v>
      </c>
      <c r="ADA32">
        <f t="shared" si="723"/>
        <v>69500</v>
      </c>
      <c r="ADB32">
        <f t="shared" si="723"/>
        <v>69500</v>
      </c>
      <c r="ADC32">
        <f t="shared" si="723"/>
        <v>69500</v>
      </c>
      <c r="ADD32">
        <f t="shared" si="723"/>
        <v>69500</v>
      </c>
      <c r="ADE32">
        <f t="shared" si="723"/>
        <v>69500</v>
      </c>
      <c r="ADF32">
        <f t="shared" si="723"/>
        <v>69500</v>
      </c>
      <c r="ADG32">
        <f t="shared" si="723"/>
        <v>69500</v>
      </c>
      <c r="ADH32">
        <f t="shared" si="723"/>
        <v>69500</v>
      </c>
      <c r="ADI32" s="130"/>
      <c r="ADJ32">
        <f>ADH32</f>
        <v>69500</v>
      </c>
      <c r="ADK32">
        <f t="shared" ref="ADK32:AEM32" si="724">ADJ32</f>
        <v>69500</v>
      </c>
      <c r="ADL32">
        <f t="shared" si="724"/>
        <v>69500</v>
      </c>
      <c r="ADM32">
        <f t="shared" si="724"/>
        <v>69500</v>
      </c>
      <c r="ADN32">
        <f t="shared" si="724"/>
        <v>69500</v>
      </c>
      <c r="ADO32">
        <f t="shared" si="724"/>
        <v>69500</v>
      </c>
      <c r="ADP32">
        <f t="shared" si="724"/>
        <v>69500</v>
      </c>
      <c r="ADQ32">
        <f t="shared" si="724"/>
        <v>69500</v>
      </c>
      <c r="ADR32">
        <f t="shared" si="724"/>
        <v>69500</v>
      </c>
      <c r="ADS32">
        <f t="shared" si="724"/>
        <v>69500</v>
      </c>
      <c r="ADT32">
        <f t="shared" si="724"/>
        <v>69500</v>
      </c>
      <c r="ADU32">
        <f t="shared" si="724"/>
        <v>69500</v>
      </c>
      <c r="ADV32">
        <f t="shared" si="724"/>
        <v>69500</v>
      </c>
      <c r="ADW32">
        <f t="shared" si="724"/>
        <v>69500</v>
      </c>
      <c r="ADX32">
        <f t="shared" si="724"/>
        <v>69500</v>
      </c>
      <c r="ADY32">
        <f t="shared" si="724"/>
        <v>69500</v>
      </c>
      <c r="ADZ32">
        <f t="shared" si="724"/>
        <v>69500</v>
      </c>
      <c r="AEA32">
        <f t="shared" si="724"/>
        <v>69500</v>
      </c>
      <c r="AEB32">
        <f t="shared" si="724"/>
        <v>69500</v>
      </c>
      <c r="AEC32">
        <f t="shared" si="724"/>
        <v>69500</v>
      </c>
      <c r="AED32">
        <f t="shared" si="724"/>
        <v>69500</v>
      </c>
      <c r="AEE32">
        <f t="shared" si="724"/>
        <v>69500</v>
      </c>
      <c r="AEF32">
        <f t="shared" si="724"/>
        <v>69500</v>
      </c>
      <c r="AEG32">
        <f t="shared" si="724"/>
        <v>69500</v>
      </c>
      <c r="AEH32">
        <f t="shared" si="724"/>
        <v>69500</v>
      </c>
      <c r="AEI32">
        <f t="shared" si="724"/>
        <v>69500</v>
      </c>
      <c r="AEJ32">
        <f t="shared" si="724"/>
        <v>69500</v>
      </c>
      <c r="AEK32">
        <f t="shared" si="724"/>
        <v>69500</v>
      </c>
      <c r="AEL32">
        <f t="shared" si="724"/>
        <v>69500</v>
      </c>
      <c r="AEM32">
        <f t="shared" si="724"/>
        <v>69500</v>
      </c>
      <c r="AEN32" s="130"/>
      <c r="AEO32">
        <f>AEM32</f>
        <v>69500</v>
      </c>
      <c r="AEP32">
        <f t="shared" ref="AEP32:AFS32" si="725">AEO32</f>
        <v>69500</v>
      </c>
      <c r="AEQ32">
        <f t="shared" si="725"/>
        <v>69500</v>
      </c>
      <c r="AER32">
        <f t="shared" si="725"/>
        <v>69500</v>
      </c>
      <c r="AES32">
        <f t="shared" si="725"/>
        <v>69500</v>
      </c>
      <c r="AET32">
        <f t="shared" si="725"/>
        <v>69500</v>
      </c>
      <c r="AEU32">
        <f t="shared" si="725"/>
        <v>69500</v>
      </c>
      <c r="AEV32">
        <f t="shared" si="725"/>
        <v>69500</v>
      </c>
      <c r="AEW32">
        <f t="shared" si="725"/>
        <v>69500</v>
      </c>
      <c r="AEX32">
        <f t="shared" si="725"/>
        <v>69500</v>
      </c>
      <c r="AEY32">
        <f t="shared" si="725"/>
        <v>69500</v>
      </c>
      <c r="AEZ32">
        <f t="shared" si="725"/>
        <v>69500</v>
      </c>
      <c r="AFA32">
        <f t="shared" si="725"/>
        <v>69500</v>
      </c>
      <c r="AFB32">
        <f t="shared" si="725"/>
        <v>69500</v>
      </c>
      <c r="AFC32">
        <f t="shared" si="725"/>
        <v>69500</v>
      </c>
      <c r="AFD32">
        <f t="shared" si="725"/>
        <v>69500</v>
      </c>
      <c r="AFE32">
        <f t="shared" si="725"/>
        <v>69500</v>
      </c>
      <c r="AFF32">
        <f t="shared" si="725"/>
        <v>69500</v>
      </c>
      <c r="AFG32">
        <f t="shared" si="725"/>
        <v>69500</v>
      </c>
      <c r="AFH32">
        <f t="shared" si="725"/>
        <v>69500</v>
      </c>
      <c r="AFI32">
        <f t="shared" si="725"/>
        <v>69500</v>
      </c>
      <c r="AFJ32">
        <f t="shared" si="725"/>
        <v>69500</v>
      </c>
      <c r="AFK32">
        <f t="shared" si="725"/>
        <v>69500</v>
      </c>
      <c r="AFL32">
        <f t="shared" si="725"/>
        <v>69500</v>
      </c>
      <c r="AFM32">
        <f t="shared" si="725"/>
        <v>69500</v>
      </c>
      <c r="AFN32">
        <f t="shared" si="725"/>
        <v>69500</v>
      </c>
      <c r="AFO32">
        <f t="shared" si="725"/>
        <v>69500</v>
      </c>
      <c r="AFP32">
        <f t="shared" si="725"/>
        <v>69500</v>
      </c>
      <c r="AFQ32">
        <f t="shared" si="725"/>
        <v>69500</v>
      </c>
      <c r="AFR32">
        <f t="shared" si="725"/>
        <v>69500</v>
      </c>
      <c r="AFS32">
        <f t="shared" si="725"/>
        <v>69500</v>
      </c>
      <c r="AFT32" s="130"/>
      <c r="AFU32">
        <f>AFS32</f>
        <v>69500</v>
      </c>
      <c r="AFV32">
        <f t="shared" ref="AFV32:AGX32" si="726">AFU32</f>
        <v>69500</v>
      </c>
      <c r="AFW32">
        <f t="shared" si="726"/>
        <v>69500</v>
      </c>
      <c r="AFX32">
        <f t="shared" si="726"/>
        <v>69500</v>
      </c>
      <c r="AFY32">
        <f t="shared" si="726"/>
        <v>69500</v>
      </c>
      <c r="AFZ32">
        <f t="shared" si="726"/>
        <v>69500</v>
      </c>
      <c r="AGA32">
        <f t="shared" si="726"/>
        <v>69500</v>
      </c>
      <c r="AGB32">
        <f t="shared" si="726"/>
        <v>69500</v>
      </c>
      <c r="AGC32">
        <f t="shared" si="726"/>
        <v>69500</v>
      </c>
      <c r="AGD32">
        <f t="shared" si="726"/>
        <v>69500</v>
      </c>
      <c r="AGE32">
        <f t="shared" si="726"/>
        <v>69500</v>
      </c>
      <c r="AGF32">
        <f t="shared" si="726"/>
        <v>69500</v>
      </c>
      <c r="AGG32">
        <f t="shared" si="726"/>
        <v>69500</v>
      </c>
      <c r="AGH32">
        <f t="shared" si="726"/>
        <v>69500</v>
      </c>
      <c r="AGI32">
        <f t="shared" si="726"/>
        <v>69500</v>
      </c>
      <c r="AGJ32">
        <f t="shared" si="726"/>
        <v>69500</v>
      </c>
      <c r="AGK32">
        <f t="shared" si="726"/>
        <v>69500</v>
      </c>
      <c r="AGL32">
        <f t="shared" si="726"/>
        <v>69500</v>
      </c>
      <c r="AGM32">
        <f t="shared" si="726"/>
        <v>69500</v>
      </c>
      <c r="AGN32">
        <f t="shared" si="726"/>
        <v>69500</v>
      </c>
      <c r="AGO32">
        <f t="shared" si="726"/>
        <v>69500</v>
      </c>
      <c r="AGP32">
        <f t="shared" si="726"/>
        <v>69500</v>
      </c>
      <c r="AGQ32">
        <f t="shared" si="726"/>
        <v>69500</v>
      </c>
      <c r="AGR32">
        <f t="shared" si="726"/>
        <v>69500</v>
      </c>
      <c r="AGS32">
        <f t="shared" si="726"/>
        <v>69500</v>
      </c>
      <c r="AGT32">
        <f t="shared" si="726"/>
        <v>69500</v>
      </c>
      <c r="AGU32">
        <f t="shared" si="726"/>
        <v>69500</v>
      </c>
      <c r="AGV32">
        <f t="shared" si="726"/>
        <v>69500</v>
      </c>
      <c r="AGW32">
        <f t="shared" si="726"/>
        <v>69500</v>
      </c>
      <c r="AGX32">
        <f t="shared" si="726"/>
        <v>69500</v>
      </c>
      <c r="AGY32" s="130"/>
      <c r="AGZ32">
        <f>AGX32</f>
        <v>69500</v>
      </c>
      <c r="AHA32">
        <f t="shared" ref="AHA32:AID32" si="727">AGZ32</f>
        <v>69500</v>
      </c>
      <c r="AHB32">
        <f t="shared" si="727"/>
        <v>69500</v>
      </c>
      <c r="AHC32">
        <f t="shared" si="727"/>
        <v>69500</v>
      </c>
      <c r="AHD32">
        <f t="shared" si="727"/>
        <v>69500</v>
      </c>
      <c r="AHE32">
        <f t="shared" si="727"/>
        <v>69500</v>
      </c>
      <c r="AHF32">
        <f t="shared" si="727"/>
        <v>69500</v>
      </c>
      <c r="AHG32">
        <f t="shared" si="727"/>
        <v>69500</v>
      </c>
      <c r="AHH32">
        <f t="shared" si="727"/>
        <v>69500</v>
      </c>
      <c r="AHI32">
        <f t="shared" si="727"/>
        <v>69500</v>
      </c>
      <c r="AHJ32">
        <f t="shared" si="727"/>
        <v>69500</v>
      </c>
      <c r="AHK32">
        <f t="shared" si="727"/>
        <v>69500</v>
      </c>
      <c r="AHL32">
        <f t="shared" si="727"/>
        <v>69500</v>
      </c>
      <c r="AHM32">
        <f t="shared" si="727"/>
        <v>69500</v>
      </c>
      <c r="AHN32">
        <f t="shared" si="727"/>
        <v>69500</v>
      </c>
      <c r="AHO32">
        <f t="shared" si="727"/>
        <v>69500</v>
      </c>
      <c r="AHP32">
        <f t="shared" si="727"/>
        <v>69500</v>
      </c>
      <c r="AHQ32">
        <f t="shared" si="727"/>
        <v>69500</v>
      </c>
      <c r="AHR32">
        <f t="shared" si="727"/>
        <v>69500</v>
      </c>
      <c r="AHS32">
        <f t="shared" si="727"/>
        <v>69500</v>
      </c>
      <c r="AHT32">
        <f t="shared" si="727"/>
        <v>69500</v>
      </c>
      <c r="AHU32">
        <f t="shared" si="727"/>
        <v>69500</v>
      </c>
      <c r="AHV32">
        <f t="shared" si="727"/>
        <v>69500</v>
      </c>
      <c r="AHW32">
        <f t="shared" si="727"/>
        <v>69500</v>
      </c>
      <c r="AHX32">
        <f t="shared" si="727"/>
        <v>69500</v>
      </c>
      <c r="AHY32">
        <f t="shared" si="727"/>
        <v>69500</v>
      </c>
      <c r="AHZ32">
        <f t="shared" si="727"/>
        <v>69500</v>
      </c>
      <c r="AIA32">
        <f t="shared" si="727"/>
        <v>69500</v>
      </c>
      <c r="AIB32">
        <f t="shared" si="727"/>
        <v>69500</v>
      </c>
      <c r="AIC32">
        <f t="shared" si="727"/>
        <v>69500</v>
      </c>
      <c r="AID32">
        <f t="shared" si="727"/>
        <v>69500</v>
      </c>
      <c r="AIE32" s="130"/>
      <c r="AIF32">
        <f>AID32</f>
        <v>69500</v>
      </c>
      <c r="AIG32">
        <f t="shared" ref="AIG32:AJJ32" si="728">AIF32</f>
        <v>69500</v>
      </c>
      <c r="AIH32">
        <f t="shared" si="728"/>
        <v>69500</v>
      </c>
      <c r="AII32">
        <f t="shared" si="728"/>
        <v>69500</v>
      </c>
      <c r="AIJ32">
        <f t="shared" si="728"/>
        <v>69500</v>
      </c>
      <c r="AIK32">
        <f t="shared" si="728"/>
        <v>69500</v>
      </c>
      <c r="AIL32">
        <f t="shared" si="728"/>
        <v>69500</v>
      </c>
      <c r="AIM32">
        <f t="shared" si="728"/>
        <v>69500</v>
      </c>
      <c r="AIN32">
        <f t="shared" si="728"/>
        <v>69500</v>
      </c>
      <c r="AIO32">
        <f t="shared" si="728"/>
        <v>69500</v>
      </c>
      <c r="AIP32">
        <f t="shared" si="728"/>
        <v>69500</v>
      </c>
      <c r="AIQ32">
        <f t="shared" si="728"/>
        <v>69500</v>
      </c>
      <c r="AIR32">
        <f t="shared" si="728"/>
        <v>69500</v>
      </c>
      <c r="AIS32">
        <f t="shared" si="728"/>
        <v>69500</v>
      </c>
      <c r="AIT32">
        <f t="shared" si="728"/>
        <v>69500</v>
      </c>
      <c r="AIU32">
        <f t="shared" si="728"/>
        <v>69500</v>
      </c>
      <c r="AIV32">
        <f t="shared" si="728"/>
        <v>69500</v>
      </c>
      <c r="AIW32">
        <f t="shared" si="728"/>
        <v>69500</v>
      </c>
      <c r="AIX32">
        <f t="shared" si="728"/>
        <v>69500</v>
      </c>
      <c r="AIY32">
        <f t="shared" si="728"/>
        <v>69500</v>
      </c>
      <c r="AIZ32">
        <f t="shared" si="728"/>
        <v>69500</v>
      </c>
      <c r="AJA32">
        <f t="shared" si="728"/>
        <v>69500</v>
      </c>
      <c r="AJB32">
        <f t="shared" si="728"/>
        <v>69500</v>
      </c>
      <c r="AJC32">
        <f t="shared" si="728"/>
        <v>69500</v>
      </c>
      <c r="AJD32">
        <f t="shared" si="728"/>
        <v>69500</v>
      </c>
      <c r="AJE32">
        <f t="shared" si="728"/>
        <v>69500</v>
      </c>
      <c r="AJF32">
        <f t="shared" si="728"/>
        <v>69500</v>
      </c>
      <c r="AJG32">
        <f t="shared" si="728"/>
        <v>69500</v>
      </c>
      <c r="AJH32">
        <f t="shared" si="728"/>
        <v>69500</v>
      </c>
      <c r="AJI32">
        <f t="shared" si="728"/>
        <v>69500</v>
      </c>
      <c r="AJJ32">
        <f t="shared" si="728"/>
        <v>69500</v>
      </c>
      <c r="AJK32" s="145"/>
      <c r="AJL32">
        <f>AJJ32</f>
        <v>69500</v>
      </c>
      <c r="AJM32">
        <f t="shared" ref="AJM32:AKM32" si="729">AJL32</f>
        <v>69500</v>
      </c>
      <c r="AJN32">
        <f t="shared" si="729"/>
        <v>69500</v>
      </c>
      <c r="AJO32">
        <f t="shared" si="729"/>
        <v>69500</v>
      </c>
      <c r="AJP32">
        <f t="shared" si="729"/>
        <v>69500</v>
      </c>
      <c r="AJQ32">
        <f t="shared" si="729"/>
        <v>69500</v>
      </c>
      <c r="AJR32">
        <f t="shared" si="729"/>
        <v>69500</v>
      </c>
      <c r="AJS32">
        <f t="shared" si="729"/>
        <v>69500</v>
      </c>
      <c r="AJT32">
        <f t="shared" si="729"/>
        <v>69500</v>
      </c>
      <c r="AJU32">
        <f t="shared" si="729"/>
        <v>69500</v>
      </c>
      <c r="AJV32">
        <f t="shared" si="729"/>
        <v>69500</v>
      </c>
      <c r="AJW32">
        <f t="shared" si="729"/>
        <v>69500</v>
      </c>
      <c r="AJX32">
        <f t="shared" si="729"/>
        <v>69500</v>
      </c>
      <c r="AJY32">
        <f t="shared" si="729"/>
        <v>69500</v>
      </c>
      <c r="AJZ32">
        <f t="shared" si="729"/>
        <v>69500</v>
      </c>
      <c r="AKA32">
        <f t="shared" si="729"/>
        <v>69500</v>
      </c>
      <c r="AKB32">
        <f t="shared" si="729"/>
        <v>69500</v>
      </c>
      <c r="AKC32">
        <f t="shared" si="729"/>
        <v>69500</v>
      </c>
      <c r="AKD32">
        <f t="shared" si="729"/>
        <v>69500</v>
      </c>
      <c r="AKE32">
        <f t="shared" si="729"/>
        <v>69500</v>
      </c>
      <c r="AKF32">
        <f t="shared" si="729"/>
        <v>69500</v>
      </c>
      <c r="AKG32">
        <f t="shared" si="729"/>
        <v>69500</v>
      </c>
      <c r="AKH32">
        <f t="shared" si="729"/>
        <v>69500</v>
      </c>
      <c r="AKI32">
        <f t="shared" si="729"/>
        <v>69500</v>
      </c>
      <c r="AKJ32">
        <f t="shared" si="729"/>
        <v>69500</v>
      </c>
      <c r="AKK32">
        <f t="shared" si="729"/>
        <v>69500</v>
      </c>
      <c r="AKL32">
        <f t="shared" si="729"/>
        <v>69500</v>
      </c>
      <c r="AKM32">
        <f t="shared" si="729"/>
        <v>69500</v>
      </c>
      <c r="AKN32" s="145"/>
      <c r="AKO32">
        <f>AKM32</f>
        <v>69500</v>
      </c>
      <c r="AKP32">
        <f t="shared" ref="AKP32:ALS32" si="730">AKO32</f>
        <v>69500</v>
      </c>
      <c r="AKQ32">
        <f t="shared" si="730"/>
        <v>69500</v>
      </c>
      <c r="AKR32">
        <f t="shared" si="730"/>
        <v>69500</v>
      </c>
      <c r="AKS32">
        <f t="shared" si="730"/>
        <v>69500</v>
      </c>
      <c r="AKT32">
        <f t="shared" si="730"/>
        <v>69500</v>
      </c>
      <c r="AKU32">
        <f t="shared" si="730"/>
        <v>69500</v>
      </c>
      <c r="AKV32">
        <f t="shared" si="730"/>
        <v>69500</v>
      </c>
      <c r="AKW32">
        <f t="shared" si="730"/>
        <v>69500</v>
      </c>
      <c r="AKX32">
        <f t="shared" si="730"/>
        <v>69500</v>
      </c>
      <c r="AKY32">
        <f t="shared" si="730"/>
        <v>69500</v>
      </c>
      <c r="AKZ32">
        <f t="shared" si="730"/>
        <v>69500</v>
      </c>
      <c r="ALA32">
        <f t="shared" si="730"/>
        <v>69500</v>
      </c>
      <c r="ALB32">
        <f t="shared" si="730"/>
        <v>69500</v>
      </c>
      <c r="ALC32">
        <f t="shared" si="730"/>
        <v>69500</v>
      </c>
      <c r="ALD32">
        <f t="shared" si="730"/>
        <v>69500</v>
      </c>
      <c r="ALE32">
        <f t="shared" si="730"/>
        <v>69500</v>
      </c>
      <c r="ALF32">
        <f t="shared" si="730"/>
        <v>69500</v>
      </c>
      <c r="ALG32">
        <f t="shared" si="730"/>
        <v>69500</v>
      </c>
      <c r="ALH32">
        <f t="shared" si="730"/>
        <v>69500</v>
      </c>
      <c r="ALI32">
        <f t="shared" si="730"/>
        <v>69500</v>
      </c>
      <c r="ALJ32">
        <f t="shared" si="730"/>
        <v>69500</v>
      </c>
      <c r="ALK32">
        <f t="shared" si="730"/>
        <v>69500</v>
      </c>
      <c r="ALL32">
        <f t="shared" si="730"/>
        <v>69500</v>
      </c>
      <c r="ALM32">
        <f t="shared" si="730"/>
        <v>69500</v>
      </c>
      <c r="ALN32">
        <f t="shared" si="730"/>
        <v>69500</v>
      </c>
      <c r="ALO32">
        <f t="shared" si="730"/>
        <v>69500</v>
      </c>
      <c r="ALP32">
        <f t="shared" si="730"/>
        <v>69500</v>
      </c>
      <c r="ALQ32">
        <f t="shared" si="730"/>
        <v>69500</v>
      </c>
      <c r="ALR32">
        <f t="shared" si="730"/>
        <v>69500</v>
      </c>
      <c r="ALS32">
        <f t="shared" si="730"/>
        <v>69500</v>
      </c>
      <c r="ALT32" s="130"/>
      <c r="ALU32">
        <f>ALS32</f>
        <v>69500</v>
      </c>
      <c r="ALV32">
        <f t="shared" ref="ALV32:AMX32" si="731">ALU32</f>
        <v>69500</v>
      </c>
      <c r="ALW32">
        <f t="shared" si="731"/>
        <v>69500</v>
      </c>
      <c r="ALX32">
        <f t="shared" si="731"/>
        <v>69500</v>
      </c>
      <c r="ALY32">
        <f t="shared" si="731"/>
        <v>69500</v>
      </c>
      <c r="ALZ32">
        <f t="shared" si="731"/>
        <v>69500</v>
      </c>
      <c r="AMA32">
        <f t="shared" si="731"/>
        <v>69500</v>
      </c>
      <c r="AMB32">
        <f t="shared" si="731"/>
        <v>69500</v>
      </c>
      <c r="AMC32">
        <f t="shared" si="731"/>
        <v>69500</v>
      </c>
      <c r="AMD32">
        <f t="shared" si="731"/>
        <v>69500</v>
      </c>
      <c r="AME32">
        <f t="shared" si="731"/>
        <v>69500</v>
      </c>
      <c r="AMF32">
        <f t="shared" si="731"/>
        <v>69500</v>
      </c>
      <c r="AMG32">
        <f t="shared" si="731"/>
        <v>69500</v>
      </c>
      <c r="AMH32">
        <f t="shared" si="731"/>
        <v>69500</v>
      </c>
      <c r="AMI32">
        <f t="shared" si="731"/>
        <v>69500</v>
      </c>
      <c r="AMJ32">
        <f t="shared" si="731"/>
        <v>69500</v>
      </c>
      <c r="AMK32">
        <f t="shared" si="731"/>
        <v>69500</v>
      </c>
      <c r="AML32">
        <f t="shared" si="731"/>
        <v>69500</v>
      </c>
      <c r="AMM32">
        <f t="shared" si="731"/>
        <v>69500</v>
      </c>
      <c r="AMN32">
        <f t="shared" si="731"/>
        <v>69500</v>
      </c>
      <c r="AMO32">
        <f t="shared" si="731"/>
        <v>69500</v>
      </c>
      <c r="AMP32">
        <f t="shared" si="731"/>
        <v>69500</v>
      </c>
      <c r="AMQ32">
        <f t="shared" si="731"/>
        <v>69500</v>
      </c>
      <c r="AMR32">
        <f t="shared" si="731"/>
        <v>69500</v>
      </c>
      <c r="AMS32">
        <f t="shared" si="731"/>
        <v>69500</v>
      </c>
      <c r="AMT32">
        <f t="shared" si="731"/>
        <v>69500</v>
      </c>
      <c r="AMU32">
        <f t="shared" si="731"/>
        <v>69500</v>
      </c>
      <c r="AMV32">
        <f t="shared" si="731"/>
        <v>69500</v>
      </c>
      <c r="AMW32">
        <f t="shared" si="731"/>
        <v>69500</v>
      </c>
      <c r="AMX32">
        <f t="shared" si="731"/>
        <v>69500</v>
      </c>
      <c r="AMY32" s="130"/>
      <c r="AMZ32">
        <f>AMX32</f>
        <v>69500</v>
      </c>
      <c r="ANA32">
        <f t="shared" ref="ANA32:AOC32" si="732">AMZ32</f>
        <v>69500</v>
      </c>
      <c r="ANB32">
        <f t="shared" si="732"/>
        <v>69500</v>
      </c>
      <c r="ANC32">
        <f t="shared" si="732"/>
        <v>69500</v>
      </c>
      <c r="AND32">
        <f t="shared" si="732"/>
        <v>69500</v>
      </c>
      <c r="ANE32">
        <f t="shared" si="732"/>
        <v>69500</v>
      </c>
      <c r="ANF32">
        <f t="shared" si="732"/>
        <v>69500</v>
      </c>
      <c r="ANG32">
        <f t="shared" si="732"/>
        <v>69500</v>
      </c>
      <c r="ANH32">
        <f t="shared" si="732"/>
        <v>69500</v>
      </c>
      <c r="ANI32">
        <f t="shared" si="732"/>
        <v>69500</v>
      </c>
      <c r="ANJ32">
        <f t="shared" si="732"/>
        <v>69500</v>
      </c>
      <c r="ANK32">
        <f t="shared" si="732"/>
        <v>69500</v>
      </c>
      <c r="ANL32">
        <f t="shared" si="732"/>
        <v>69500</v>
      </c>
      <c r="ANM32">
        <f t="shared" si="732"/>
        <v>69500</v>
      </c>
      <c r="ANN32">
        <f t="shared" si="732"/>
        <v>69500</v>
      </c>
      <c r="ANO32">
        <f t="shared" si="732"/>
        <v>69500</v>
      </c>
      <c r="ANP32">
        <f t="shared" si="732"/>
        <v>69500</v>
      </c>
      <c r="ANQ32">
        <f t="shared" si="732"/>
        <v>69500</v>
      </c>
      <c r="ANR32">
        <f t="shared" si="732"/>
        <v>69500</v>
      </c>
      <c r="ANS32">
        <f t="shared" si="732"/>
        <v>69500</v>
      </c>
      <c r="ANT32">
        <f t="shared" si="732"/>
        <v>69500</v>
      </c>
      <c r="ANU32">
        <f t="shared" si="732"/>
        <v>69500</v>
      </c>
      <c r="ANV32">
        <f t="shared" si="732"/>
        <v>69500</v>
      </c>
      <c r="ANW32">
        <f t="shared" si="732"/>
        <v>69500</v>
      </c>
      <c r="ANX32">
        <f t="shared" si="732"/>
        <v>69500</v>
      </c>
      <c r="ANY32">
        <f t="shared" si="732"/>
        <v>69500</v>
      </c>
      <c r="ANZ32">
        <f t="shared" si="732"/>
        <v>69500</v>
      </c>
      <c r="AOA32">
        <f t="shared" si="732"/>
        <v>69500</v>
      </c>
      <c r="AOB32">
        <f t="shared" si="732"/>
        <v>69500</v>
      </c>
      <c r="AOC32">
        <f t="shared" si="732"/>
        <v>69500</v>
      </c>
    </row>
    <row r="33" spans="1:1069" x14ac:dyDescent="0.2">
      <c r="A33" s="160"/>
      <c r="B33" t="s">
        <v>1665</v>
      </c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98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2"/>
      <c r="BF33" s="82"/>
      <c r="BG33" s="82"/>
      <c r="BH33" s="82"/>
      <c r="BI33" s="82"/>
      <c r="BJ33" s="82"/>
      <c r="BK33" s="82"/>
      <c r="BL33" s="82"/>
      <c r="BM33" s="106"/>
      <c r="BN33" s="82"/>
      <c r="BO33" s="82"/>
      <c r="BP33" s="82"/>
      <c r="BQ33" s="82"/>
      <c r="BR33" s="82"/>
      <c r="BS33" s="82"/>
      <c r="BT33" s="82"/>
      <c r="BU33" s="82"/>
      <c r="BV33" s="82"/>
      <c r="BW33" s="82"/>
      <c r="BX33" s="82"/>
      <c r="BY33" s="82"/>
      <c r="BZ33" s="82"/>
      <c r="CA33" s="82"/>
      <c r="CB33" s="82"/>
      <c r="CC33" s="82"/>
      <c r="CD33" s="82"/>
      <c r="CE33" s="82"/>
      <c r="CF33" s="82"/>
      <c r="CG33" s="82"/>
      <c r="CH33" s="82"/>
      <c r="CI33" s="82"/>
      <c r="CJ33" s="82"/>
      <c r="CK33" s="82"/>
      <c r="CL33" s="82"/>
      <c r="CM33" s="82"/>
      <c r="CN33" s="82"/>
      <c r="CO33" s="82"/>
      <c r="CP33" s="82"/>
      <c r="CQ33" s="82"/>
      <c r="CR33" s="82"/>
      <c r="CT33" s="82"/>
      <c r="CU33" s="82"/>
      <c r="CV33" s="82"/>
      <c r="CW33" s="82"/>
      <c r="CX33" s="82"/>
      <c r="CY33" s="82"/>
      <c r="CZ33" s="82"/>
      <c r="DA33" s="82"/>
      <c r="DB33" s="82"/>
      <c r="DC33" s="82"/>
      <c r="DD33" s="82"/>
      <c r="DE33" s="82"/>
      <c r="DF33" s="82"/>
      <c r="DG33" s="82"/>
      <c r="DH33" s="82"/>
      <c r="DI33" s="82"/>
      <c r="DJ33" s="82"/>
      <c r="DK33" s="82"/>
      <c r="DL33" s="82"/>
      <c r="DM33" s="82"/>
      <c r="DN33" s="82"/>
      <c r="DO33" s="82"/>
      <c r="DP33" s="82"/>
      <c r="DQ33" s="82"/>
      <c r="DR33" s="82"/>
      <c r="DS33" s="82"/>
      <c r="DT33" s="82"/>
      <c r="DU33" s="82"/>
      <c r="DV33" s="82"/>
      <c r="DW33" s="82"/>
      <c r="DX33" s="117"/>
      <c r="DY33" s="82"/>
      <c r="DZ33" s="82"/>
      <c r="EA33" s="82"/>
      <c r="EB33" s="82"/>
      <c r="EC33" s="82"/>
      <c r="ED33" s="82"/>
      <c r="EE33" s="82"/>
      <c r="EF33" s="82"/>
      <c r="EG33" s="82"/>
      <c r="EH33" s="82"/>
      <c r="EI33" s="82"/>
      <c r="EJ33" s="82"/>
      <c r="EK33" s="82"/>
      <c r="EL33" s="82"/>
      <c r="EM33" s="82"/>
      <c r="EN33" s="82"/>
      <c r="EO33" s="82"/>
      <c r="EP33" s="82"/>
      <c r="EQ33" s="82"/>
      <c r="ER33" s="82"/>
      <c r="ES33" s="82"/>
      <c r="ET33" s="82"/>
      <c r="EU33" s="82"/>
      <c r="EV33" s="82"/>
      <c r="EW33" s="82"/>
      <c r="EX33" s="82"/>
      <c r="EY33" s="82"/>
      <c r="EZ33" s="82"/>
      <c r="FA33" s="82"/>
      <c r="FB33" s="82"/>
      <c r="FC33" s="82"/>
      <c r="FD33" s="126"/>
      <c r="FE33" s="82"/>
      <c r="FF33" s="82"/>
      <c r="FG33" s="82"/>
      <c r="FH33" s="82"/>
      <c r="FI33" s="82"/>
      <c r="FJ33" s="82"/>
      <c r="FK33" s="82"/>
      <c r="FL33" s="82"/>
      <c r="FM33" s="82"/>
      <c r="FN33" s="82"/>
      <c r="FO33" s="82"/>
      <c r="FP33" s="82"/>
      <c r="FQ33" s="82"/>
      <c r="FR33" s="82"/>
      <c r="FS33" s="82"/>
      <c r="FT33" s="82"/>
      <c r="FU33" s="82"/>
      <c r="FV33" s="82"/>
      <c r="FW33" s="82"/>
      <c r="FX33" s="82"/>
      <c r="FY33" s="82"/>
      <c r="FZ33" s="82"/>
      <c r="GA33" s="82"/>
      <c r="GB33" s="82"/>
      <c r="GC33" s="82"/>
      <c r="GD33" s="82"/>
      <c r="GE33" s="82"/>
      <c r="GF33" s="82"/>
      <c r="GG33" s="82"/>
      <c r="GH33" s="82"/>
      <c r="GI33" s="82"/>
      <c r="GJ33" s="130"/>
      <c r="GU33">
        <v>2206191</v>
      </c>
      <c r="GV33">
        <f t="shared" ref="GV33:HM33" si="733">GU33</f>
        <v>2206191</v>
      </c>
      <c r="GW33">
        <f t="shared" si="733"/>
        <v>2206191</v>
      </c>
      <c r="GX33">
        <f t="shared" si="733"/>
        <v>2206191</v>
      </c>
      <c r="GY33">
        <f t="shared" si="733"/>
        <v>2206191</v>
      </c>
      <c r="GZ33">
        <f t="shared" si="733"/>
        <v>2206191</v>
      </c>
      <c r="HA33">
        <f t="shared" si="733"/>
        <v>2206191</v>
      </c>
      <c r="HB33">
        <f t="shared" si="733"/>
        <v>2206191</v>
      </c>
      <c r="HC33">
        <f t="shared" si="733"/>
        <v>2206191</v>
      </c>
      <c r="HD33">
        <f t="shared" si="733"/>
        <v>2206191</v>
      </c>
      <c r="HE33">
        <f t="shared" si="733"/>
        <v>2206191</v>
      </c>
      <c r="HF33">
        <f t="shared" si="733"/>
        <v>2206191</v>
      </c>
      <c r="HG33">
        <f t="shared" si="733"/>
        <v>2206191</v>
      </c>
      <c r="HH33">
        <f t="shared" si="733"/>
        <v>2206191</v>
      </c>
      <c r="HI33">
        <f t="shared" si="733"/>
        <v>2206191</v>
      </c>
      <c r="HJ33">
        <f t="shared" si="733"/>
        <v>2206191</v>
      </c>
      <c r="HK33">
        <f t="shared" si="733"/>
        <v>2206191</v>
      </c>
      <c r="HL33">
        <f t="shared" si="733"/>
        <v>2206191</v>
      </c>
      <c r="HM33">
        <f t="shared" si="733"/>
        <v>2206191</v>
      </c>
      <c r="HN33" s="130"/>
      <c r="HO33">
        <f>HM33</f>
        <v>2206191</v>
      </c>
      <c r="HP33">
        <f>HO33</f>
        <v>2206191</v>
      </c>
      <c r="HQ33">
        <f>HO33</f>
        <v>2206191</v>
      </c>
      <c r="HR33">
        <f t="shared" ref="HR33:HT34" si="734">HP33</f>
        <v>2206191</v>
      </c>
      <c r="HS33">
        <f t="shared" si="734"/>
        <v>2206191</v>
      </c>
      <c r="HT33">
        <f t="shared" si="734"/>
        <v>2206191</v>
      </c>
      <c r="HU33">
        <v>0</v>
      </c>
      <c r="HV33">
        <v>0</v>
      </c>
      <c r="HW33">
        <f t="shared" ref="HW33:IS33" si="735">HU33</f>
        <v>0</v>
      </c>
      <c r="HX33">
        <f t="shared" si="735"/>
        <v>0</v>
      </c>
      <c r="HY33">
        <f t="shared" si="735"/>
        <v>0</v>
      </c>
      <c r="HZ33">
        <f t="shared" si="735"/>
        <v>0</v>
      </c>
      <c r="IA33">
        <f t="shared" si="735"/>
        <v>0</v>
      </c>
      <c r="IB33">
        <f t="shared" si="735"/>
        <v>0</v>
      </c>
      <c r="IC33">
        <f t="shared" si="735"/>
        <v>0</v>
      </c>
      <c r="ID33">
        <f t="shared" si="735"/>
        <v>0</v>
      </c>
      <c r="IE33">
        <f t="shared" si="735"/>
        <v>0</v>
      </c>
      <c r="IF33">
        <f t="shared" si="735"/>
        <v>0</v>
      </c>
      <c r="IG33">
        <f t="shared" si="735"/>
        <v>0</v>
      </c>
      <c r="IH33">
        <f t="shared" si="735"/>
        <v>0</v>
      </c>
      <c r="II33">
        <f t="shared" si="735"/>
        <v>0</v>
      </c>
      <c r="IJ33">
        <f t="shared" si="735"/>
        <v>0</v>
      </c>
      <c r="IK33">
        <f t="shared" si="735"/>
        <v>0</v>
      </c>
      <c r="IL33">
        <f t="shared" si="735"/>
        <v>0</v>
      </c>
      <c r="IM33">
        <f t="shared" si="735"/>
        <v>0</v>
      </c>
      <c r="IN33">
        <f t="shared" si="735"/>
        <v>0</v>
      </c>
      <c r="IO33">
        <f t="shared" si="735"/>
        <v>0</v>
      </c>
      <c r="IP33">
        <f t="shared" si="735"/>
        <v>0</v>
      </c>
      <c r="IQ33">
        <f t="shared" si="735"/>
        <v>0</v>
      </c>
      <c r="IR33">
        <f t="shared" si="735"/>
        <v>0</v>
      </c>
      <c r="IS33">
        <f t="shared" si="735"/>
        <v>0</v>
      </c>
      <c r="IT33" s="130"/>
      <c r="IU33">
        <f>IS33</f>
        <v>0</v>
      </c>
      <c r="IV33">
        <f>IU33</f>
        <v>0</v>
      </c>
      <c r="IW33">
        <f t="shared" si="659"/>
        <v>0</v>
      </c>
      <c r="IX33">
        <f t="shared" si="659"/>
        <v>0</v>
      </c>
      <c r="IY33">
        <f t="shared" si="659"/>
        <v>0</v>
      </c>
      <c r="IZ33">
        <f t="shared" si="702"/>
        <v>0</v>
      </c>
      <c r="JA33">
        <f t="shared" si="702"/>
        <v>0</v>
      </c>
      <c r="JB33">
        <f t="shared" si="660"/>
        <v>0</v>
      </c>
      <c r="JC33">
        <f t="shared" si="660"/>
        <v>0</v>
      </c>
      <c r="JD33">
        <f t="shared" si="660"/>
        <v>0</v>
      </c>
      <c r="JE33">
        <f t="shared" si="660"/>
        <v>0</v>
      </c>
      <c r="JF33">
        <f t="shared" si="660"/>
        <v>0</v>
      </c>
      <c r="JG33">
        <f>JF33</f>
        <v>0</v>
      </c>
      <c r="JH33">
        <f t="shared" si="661"/>
        <v>0</v>
      </c>
      <c r="JI33">
        <f t="shared" si="661"/>
        <v>0</v>
      </c>
      <c r="JJ33">
        <f t="shared" si="661"/>
        <v>0</v>
      </c>
      <c r="JK33">
        <f t="shared" si="661"/>
        <v>0</v>
      </c>
      <c r="JL33">
        <f t="shared" si="661"/>
        <v>0</v>
      </c>
      <c r="JM33">
        <f t="shared" si="661"/>
        <v>0</v>
      </c>
      <c r="JN33">
        <f t="shared" si="661"/>
        <v>0</v>
      </c>
      <c r="JO33">
        <f t="shared" ref="JO33:JW33" si="736">JN33</f>
        <v>0</v>
      </c>
      <c r="JP33">
        <f t="shared" si="736"/>
        <v>0</v>
      </c>
      <c r="JQ33">
        <f t="shared" si="736"/>
        <v>0</v>
      </c>
      <c r="JR33">
        <f t="shared" si="736"/>
        <v>0</v>
      </c>
      <c r="JS33">
        <f t="shared" si="736"/>
        <v>0</v>
      </c>
      <c r="JT33">
        <f t="shared" si="736"/>
        <v>0</v>
      </c>
      <c r="JU33">
        <f t="shared" si="736"/>
        <v>0</v>
      </c>
      <c r="JV33">
        <f t="shared" si="736"/>
        <v>0</v>
      </c>
      <c r="JW33">
        <f t="shared" si="736"/>
        <v>0</v>
      </c>
      <c r="JX33">
        <f>JW33</f>
        <v>0</v>
      </c>
      <c r="JY33" s="130"/>
      <c r="JZ33">
        <f t="shared" ref="JZ33:KE33" si="737">JY33</f>
        <v>0</v>
      </c>
      <c r="KA33">
        <f t="shared" si="737"/>
        <v>0</v>
      </c>
      <c r="KB33">
        <f t="shared" si="737"/>
        <v>0</v>
      </c>
      <c r="KC33">
        <f t="shared" si="737"/>
        <v>0</v>
      </c>
      <c r="KD33">
        <f t="shared" si="737"/>
        <v>0</v>
      </c>
      <c r="KE33">
        <f t="shared" si="737"/>
        <v>0</v>
      </c>
      <c r="KF33">
        <f>KE33</f>
        <v>0</v>
      </c>
      <c r="KG33">
        <f>KF33</f>
        <v>0</v>
      </c>
      <c r="KI33">
        <f>KH33</f>
        <v>0</v>
      </c>
      <c r="KJ33">
        <f>KI33</f>
        <v>0</v>
      </c>
      <c r="KK33">
        <f>KJ33</f>
        <v>0</v>
      </c>
      <c r="KL33">
        <f>KK33</f>
        <v>0</v>
      </c>
      <c r="KM33">
        <f>KL33</f>
        <v>0</v>
      </c>
      <c r="KN33">
        <f>KM33</f>
        <v>0</v>
      </c>
      <c r="KO33">
        <f>KN33</f>
        <v>0</v>
      </c>
      <c r="KP33">
        <f>KO33</f>
        <v>0</v>
      </c>
      <c r="KQ33">
        <f t="shared" si="704"/>
        <v>0</v>
      </c>
      <c r="KR33">
        <f t="shared" si="704"/>
        <v>0</v>
      </c>
      <c r="KS33">
        <f t="shared" si="704"/>
        <v>0</v>
      </c>
      <c r="KT33">
        <f>KS33</f>
        <v>0</v>
      </c>
      <c r="KU33" s="105">
        <v>1760400</v>
      </c>
      <c r="KV33" s="105">
        <f>KU33+1000*4890</f>
        <v>6650400</v>
      </c>
      <c r="KW33">
        <f>KV33</f>
        <v>6650400</v>
      </c>
      <c r="KX33">
        <f>KW33</f>
        <v>6650400</v>
      </c>
      <c r="KY33">
        <f>KX33</f>
        <v>6650400</v>
      </c>
      <c r="KZ33">
        <f t="shared" si="705"/>
        <v>6650400</v>
      </c>
      <c r="LA33">
        <f t="shared" si="705"/>
        <v>6650400</v>
      </c>
      <c r="LB33">
        <f t="shared" si="705"/>
        <v>6650400</v>
      </c>
      <c r="LC33">
        <f>LB33</f>
        <v>6650400</v>
      </c>
      <c r="LD33">
        <f>LC33</f>
        <v>6650400</v>
      </c>
      <c r="LE33" s="130"/>
      <c r="LF33">
        <f t="shared" si="663"/>
        <v>6650400</v>
      </c>
      <c r="LG33">
        <f t="shared" si="664"/>
        <v>6650400</v>
      </c>
      <c r="LH33">
        <f t="shared" si="664"/>
        <v>6650400</v>
      </c>
      <c r="LI33">
        <f t="shared" si="664"/>
        <v>6650400</v>
      </c>
      <c r="LJ33">
        <f>LI33</f>
        <v>6650400</v>
      </c>
      <c r="LK33">
        <f>LJ33</f>
        <v>6650400</v>
      </c>
      <c r="LL33">
        <v>0</v>
      </c>
      <c r="LM33">
        <f t="shared" ref="LM33:LS33" si="738">LL33</f>
        <v>0</v>
      </c>
      <c r="LN33">
        <f t="shared" si="738"/>
        <v>0</v>
      </c>
      <c r="LO33">
        <f t="shared" si="738"/>
        <v>0</v>
      </c>
      <c r="LP33">
        <f t="shared" si="738"/>
        <v>0</v>
      </c>
      <c r="LQ33">
        <f t="shared" si="738"/>
        <v>0</v>
      </c>
      <c r="LR33">
        <f t="shared" si="738"/>
        <v>0</v>
      </c>
      <c r="LS33">
        <f t="shared" si="738"/>
        <v>0</v>
      </c>
      <c r="LT33">
        <f t="shared" si="666"/>
        <v>0</v>
      </c>
      <c r="LU33">
        <f t="shared" si="666"/>
        <v>0</v>
      </c>
      <c r="LV33">
        <f>LU33</f>
        <v>0</v>
      </c>
      <c r="LW33">
        <f t="shared" si="667"/>
        <v>0</v>
      </c>
      <c r="LX33">
        <f t="shared" si="667"/>
        <v>0</v>
      </c>
      <c r="LY33">
        <f t="shared" si="706"/>
        <v>0</v>
      </c>
      <c r="LZ33">
        <f t="shared" si="706"/>
        <v>0</v>
      </c>
      <c r="MA33">
        <f t="shared" si="706"/>
        <v>0</v>
      </c>
      <c r="MB33">
        <f t="shared" si="706"/>
        <v>0</v>
      </c>
      <c r="MC33">
        <f>MB33</f>
        <v>0</v>
      </c>
      <c r="MD33">
        <f>MC33</f>
        <v>0</v>
      </c>
      <c r="ME33">
        <f>MD33</f>
        <v>0</v>
      </c>
      <c r="MF33">
        <f>ME33</f>
        <v>0</v>
      </c>
      <c r="MG33">
        <f>MF33</f>
        <v>0</v>
      </c>
      <c r="MH33">
        <f>MG33</f>
        <v>0</v>
      </c>
      <c r="MI33">
        <f>MH33</f>
        <v>0</v>
      </c>
      <c r="MJ33" s="130"/>
      <c r="MK33">
        <f t="shared" ref="MK33:MR33" si="739">MJ33</f>
        <v>0</v>
      </c>
      <c r="ML33">
        <f t="shared" si="739"/>
        <v>0</v>
      </c>
      <c r="MM33">
        <f t="shared" si="739"/>
        <v>0</v>
      </c>
      <c r="MN33">
        <f t="shared" si="739"/>
        <v>0</v>
      </c>
      <c r="MO33">
        <f t="shared" si="739"/>
        <v>0</v>
      </c>
      <c r="MP33">
        <f t="shared" si="739"/>
        <v>0</v>
      </c>
      <c r="MQ33">
        <f t="shared" si="739"/>
        <v>0</v>
      </c>
      <c r="MR33">
        <f t="shared" si="739"/>
        <v>0</v>
      </c>
      <c r="MS33">
        <f t="shared" si="708"/>
        <v>0</v>
      </c>
      <c r="MT33">
        <f t="shared" si="708"/>
        <v>0</v>
      </c>
      <c r="MU33">
        <f t="shared" si="708"/>
        <v>0</v>
      </c>
      <c r="MV33">
        <f>MU33</f>
        <v>0</v>
      </c>
      <c r="MW33">
        <f>MV33</f>
        <v>0</v>
      </c>
      <c r="MX33">
        <f>MW33</f>
        <v>0</v>
      </c>
      <c r="MY33">
        <f>MX33</f>
        <v>0</v>
      </c>
      <c r="MZ33">
        <f>MY33</f>
        <v>0</v>
      </c>
      <c r="NA33">
        <f>MZ33</f>
        <v>0</v>
      </c>
      <c r="NB33">
        <f>NA33</f>
        <v>0</v>
      </c>
      <c r="NC33">
        <f>NB33</f>
        <v>0</v>
      </c>
      <c r="ND33">
        <f t="shared" si="709"/>
        <v>0</v>
      </c>
      <c r="NE33">
        <f t="shared" si="709"/>
        <v>0</v>
      </c>
      <c r="NF33">
        <f t="shared" si="709"/>
        <v>0</v>
      </c>
      <c r="NG33">
        <f t="shared" si="709"/>
        <v>0</v>
      </c>
      <c r="NH33">
        <f>NG33</f>
        <v>0</v>
      </c>
      <c r="NI33">
        <f t="shared" si="710"/>
        <v>0</v>
      </c>
      <c r="NJ33">
        <f t="shared" si="710"/>
        <v>0</v>
      </c>
      <c r="NK33">
        <f t="shared" si="710"/>
        <v>0</v>
      </c>
      <c r="NL33">
        <f t="shared" si="710"/>
        <v>0</v>
      </c>
      <c r="NM33">
        <f>NL33</f>
        <v>0</v>
      </c>
      <c r="NN33">
        <f>NM33</f>
        <v>0</v>
      </c>
      <c r="NO33">
        <f>NN33</f>
        <v>0</v>
      </c>
      <c r="NP33" s="130"/>
      <c r="NQ33">
        <f>NP33</f>
        <v>0</v>
      </c>
      <c r="NR33">
        <f>NQ33</f>
        <v>0</v>
      </c>
      <c r="NS33">
        <f>NR33</f>
        <v>0</v>
      </c>
      <c r="NT33">
        <f>NS33</f>
        <v>0</v>
      </c>
      <c r="NU33">
        <f>NT33</f>
        <v>0</v>
      </c>
      <c r="NV33">
        <f>NU33</f>
        <v>0</v>
      </c>
      <c r="NW33">
        <f>NV33</f>
        <v>0</v>
      </c>
      <c r="NX33">
        <f>NW33</f>
        <v>0</v>
      </c>
      <c r="NY33">
        <f>NX33</f>
        <v>0</v>
      </c>
      <c r="NZ33">
        <f>NY33</f>
        <v>0</v>
      </c>
      <c r="OA33">
        <f t="shared" ref="OA33:OM33" si="740">NZ33</f>
        <v>0</v>
      </c>
      <c r="OB33">
        <f t="shared" si="740"/>
        <v>0</v>
      </c>
      <c r="OC33">
        <f t="shared" si="740"/>
        <v>0</v>
      </c>
      <c r="OD33">
        <f t="shared" si="740"/>
        <v>0</v>
      </c>
      <c r="OE33">
        <f t="shared" si="740"/>
        <v>0</v>
      </c>
      <c r="OF33">
        <f t="shared" si="740"/>
        <v>0</v>
      </c>
      <c r="OG33">
        <f t="shared" si="740"/>
        <v>0</v>
      </c>
      <c r="OH33">
        <f t="shared" si="740"/>
        <v>0</v>
      </c>
      <c r="OI33">
        <f t="shared" si="740"/>
        <v>0</v>
      </c>
      <c r="OJ33">
        <f t="shared" si="740"/>
        <v>0</v>
      </c>
      <c r="OK33">
        <f t="shared" si="740"/>
        <v>0</v>
      </c>
      <c r="OL33">
        <f t="shared" si="740"/>
        <v>0</v>
      </c>
      <c r="OM33">
        <f t="shared" si="740"/>
        <v>0</v>
      </c>
      <c r="ON33">
        <f>OM33</f>
        <v>0</v>
      </c>
      <c r="OO33">
        <f>ON33</f>
        <v>0</v>
      </c>
      <c r="OP33">
        <f>OO33</f>
        <v>0</v>
      </c>
      <c r="OQ33">
        <f>OP33</f>
        <v>0</v>
      </c>
      <c r="OR33">
        <f>OQ33</f>
        <v>0</v>
      </c>
      <c r="OS33">
        <f>OR33</f>
        <v>0</v>
      </c>
      <c r="OT33">
        <f>OS33</f>
        <v>0</v>
      </c>
      <c r="OU33">
        <f>OT33</f>
        <v>0</v>
      </c>
      <c r="OV33" s="130"/>
      <c r="OW33">
        <f>OV33</f>
        <v>0</v>
      </c>
      <c r="OX33">
        <f>OW33</f>
        <v>0</v>
      </c>
      <c r="OY33">
        <f>OX33</f>
        <v>0</v>
      </c>
      <c r="OZ33">
        <f>OY33</f>
        <v>0</v>
      </c>
      <c r="PA33">
        <f>OZ33</f>
        <v>0</v>
      </c>
      <c r="PB33">
        <f>PA33</f>
        <v>0</v>
      </c>
      <c r="PC33">
        <f>PB33</f>
        <v>0</v>
      </c>
      <c r="PD33">
        <f>PC33</f>
        <v>0</v>
      </c>
      <c r="PE33">
        <f>PD33</f>
        <v>0</v>
      </c>
      <c r="PF33">
        <f>PE33</f>
        <v>0</v>
      </c>
      <c r="PG33">
        <f>PF33</f>
        <v>0</v>
      </c>
      <c r="PH33">
        <f t="shared" ref="PH33:PO33" si="741">PG33</f>
        <v>0</v>
      </c>
      <c r="PI33">
        <f t="shared" si="741"/>
        <v>0</v>
      </c>
      <c r="PJ33">
        <f t="shared" si="741"/>
        <v>0</v>
      </c>
      <c r="PK33">
        <f t="shared" si="741"/>
        <v>0</v>
      </c>
      <c r="PL33">
        <f t="shared" si="741"/>
        <v>0</v>
      </c>
      <c r="PM33">
        <f t="shared" si="741"/>
        <v>0</v>
      </c>
      <c r="PN33">
        <f t="shared" si="741"/>
        <v>0</v>
      </c>
      <c r="PO33">
        <f t="shared" si="741"/>
        <v>0</v>
      </c>
      <c r="PP33">
        <f>PO33</f>
        <v>0</v>
      </c>
      <c r="PQ33">
        <f t="shared" ref="PQ33:PZ33" si="742">PP33</f>
        <v>0</v>
      </c>
      <c r="PR33">
        <f t="shared" si="742"/>
        <v>0</v>
      </c>
      <c r="PS33">
        <f t="shared" si="742"/>
        <v>0</v>
      </c>
      <c r="PT33">
        <f t="shared" si="742"/>
        <v>0</v>
      </c>
      <c r="PU33">
        <f t="shared" si="742"/>
        <v>0</v>
      </c>
      <c r="PV33">
        <f t="shared" si="742"/>
        <v>0</v>
      </c>
      <c r="PW33">
        <f t="shared" si="742"/>
        <v>0</v>
      </c>
      <c r="PX33">
        <f t="shared" si="742"/>
        <v>0</v>
      </c>
      <c r="PY33">
        <f t="shared" si="742"/>
        <v>0</v>
      </c>
      <c r="PZ33">
        <f t="shared" si="742"/>
        <v>0</v>
      </c>
      <c r="QA33" s="130"/>
      <c r="QB33">
        <f>QA33</f>
        <v>0</v>
      </c>
      <c r="QC33">
        <f t="shared" ref="QC33:QN33" si="743">QB33</f>
        <v>0</v>
      </c>
      <c r="QD33">
        <f t="shared" si="743"/>
        <v>0</v>
      </c>
      <c r="QE33">
        <f t="shared" si="743"/>
        <v>0</v>
      </c>
      <c r="QF33">
        <f t="shared" si="743"/>
        <v>0</v>
      </c>
      <c r="QG33">
        <f t="shared" si="743"/>
        <v>0</v>
      </c>
      <c r="QH33">
        <f t="shared" si="743"/>
        <v>0</v>
      </c>
      <c r="QI33">
        <f t="shared" si="743"/>
        <v>0</v>
      </c>
      <c r="QJ33">
        <f t="shared" si="743"/>
        <v>0</v>
      </c>
      <c r="QK33">
        <f t="shared" si="743"/>
        <v>0</v>
      </c>
      <c r="QL33">
        <f t="shared" si="743"/>
        <v>0</v>
      </c>
      <c r="QM33">
        <f t="shared" si="743"/>
        <v>0</v>
      </c>
      <c r="QN33">
        <f t="shared" si="743"/>
        <v>0</v>
      </c>
      <c r="QO33">
        <f t="shared" si="714"/>
        <v>0</v>
      </c>
      <c r="QP33">
        <f t="shared" si="714"/>
        <v>0</v>
      </c>
      <c r="QQ33">
        <f t="shared" si="714"/>
        <v>0</v>
      </c>
      <c r="QR33">
        <f t="shared" si="714"/>
        <v>0</v>
      </c>
      <c r="QS33">
        <f>QR33</f>
        <v>0</v>
      </c>
      <c r="QT33">
        <f t="shared" ref="QT33:RC33" si="744">QS33</f>
        <v>0</v>
      </c>
      <c r="QU33">
        <f t="shared" si="744"/>
        <v>0</v>
      </c>
      <c r="QV33">
        <f t="shared" si="744"/>
        <v>0</v>
      </c>
      <c r="QW33">
        <f t="shared" si="744"/>
        <v>0</v>
      </c>
      <c r="QX33">
        <f t="shared" si="744"/>
        <v>0</v>
      </c>
      <c r="QY33">
        <f t="shared" si="744"/>
        <v>0</v>
      </c>
      <c r="QZ33">
        <f t="shared" si="744"/>
        <v>0</v>
      </c>
      <c r="RA33">
        <f t="shared" si="744"/>
        <v>0</v>
      </c>
      <c r="RB33">
        <f t="shared" si="744"/>
        <v>0</v>
      </c>
      <c r="RC33">
        <f t="shared" si="744"/>
        <v>0</v>
      </c>
      <c r="RD33">
        <f>RC33</f>
        <v>0</v>
      </c>
      <c r="RE33">
        <f>RD33</f>
        <v>0</v>
      </c>
      <c r="RF33">
        <f>RE33</f>
        <v>0</v>
      </c>
      <c r="RG33" s="130"/>
      <c r="RH33">
        <f>RG33</f>
        <v>0</v>
      </c>
      <c r="RI33">
        <f>RH33</f>
        <v>0</v>
      </c>
      <c r="RJ33">
        <f>RI33</f>
        <v>0</v>
      </c>
      <c r="RK33">
        <f>RJ33</f>
        <v>0</v>
      </c>
      <c r="RL33">
        <f>RK33</f>
        <v>0</v>
      </c>
      <c r="RM33">
        <f t="shared" ref="RM33:SK33" si="745">RL33</f>
        <v>0</v>
      </c>
      <c r="RN33">
        <f t="shared" si="745"/>
        <v>0</v>
      </c>
      <c r="RO33">
        <f t="shared" si="745"/>
        <v>0</v>
      </c>
      <c r="RP33">
        <f t="shared" si="745"/>
        <v>0</v>
      </c>
      <c r="RQ33">
        <f t="shared" si="745"/>
        <v>0</v>
      </c>
      <c r="RR33">
        <f t="shared" si="745"/>
        <v>0</v>
      </c>
      <c r="RS33">
        <f t="shared" si="745"/>
        <v>0</v>
      </c>
      <c r="RT33">
        <f t="shared" si="745"/>
        <v>0</v>
      </c>
      <c r="RU33">
        <f t="shared" si="745"/>
        <v>0</v>
      </c>
      <c r="RV33">
        <f t="shared" si="745"/>
        <v>0</v>
      </c>
      <c r="RW33">
        <f t="shared" si="745"/>
        <v>0</v>
      </c>
      <c r="RX33">
        <f t="shared" si="745"/>
        <v>0</v>
      </c>
      <c r="RY33">
        <f t="shared" si="745"/>
        <v>0</v>
      </c>
      <c r="RZ33">
        <f t="shared" si="745"/>
        <v>0</v>
      </c>
      <c r="SA33">
        <f t="shared" si="745"/>
        <v>0</v>
      </c>
      <c r="SB33">
        <f t="shared" si="745"/>
        <v>0</v>
      </c>
      <c r="SC33">
        <f t="shared" si="745"/>
        <v>0</v>
      </c>
      <c r="SD33">
        <f t="shared" si="745"/>
        <v>0</v>
      </c>
      <c r="SE33">
        <f t="shared" si="745"/>
        <v>0</v>
      </c>
      <c r="SF33">
        <f t="shared" si="745"/>
        <v>0</v>
      </c>
      <c r="SG33">
        <f t="shared" si="745"/>
        <v>0</v>
      </c>
      <c r="SH33">
        <f t="shared" si="745"/>
        <v>0</v>
      </c>
      <c r="SI33">
        <f t="shared" si="745"/>
        <v>0</v>
      </c>
      <c r="SJ33">
        <f t="shared" si="745"/>
        <v>0</v>
      </c>
      <c r="SK33">
        <f t="shared" si="745"/>
        <v>0</v>
      </c>
      <c r="SL33" s="130"/>
      <c r="SM33">
        <f>SL33</f>
        <v>0</v>
      </c>
      <c r="SN33">
        <f t="shared" ref="SN33:TQ33" si="746">SM33</f>
        <v>0</v>
      </c>
      <c r="SO33">
        <f t="shared" si="746"/>
        <v>0</v>
      </c>
      <c r="SP33">
        <f t="shared" si="746"/>
        <v>0</v>
      </c>
      <c r="SQ33">
        <f t="shared" si="746"/>
        <v>0</v>
      </c>
      <c r="SR33">
        <f t="shared" si="746"/>
        <v>0</v>
      </c>
      <c r="SS33">
        <f t="shared" si="746"/>
        <v>0</v>
      </c>
      <c r="ST33">
        <f t="shared" si="746"/>
        <v>0</v>
      </c>
      <c r="SU33">
        <f t="shared" si="746"/>
        <v>0</v>
      </c>
      <c r="SV33">
        <f t="shared" si="746"/>
        <v>0</v>
      </c>
      <c r="SW33">
        <f t="shared" si="746"/>
        <v>0</v>
      </c>
      <c r="SX33">
        <f t="shared" si="746"/>
        <v>0</v>
      </c>
      <c r="SY33">
        <f t="shared" si="746"/>
        <v>0</v>
      </c>
      <c r="SZ33">
        <f t="shared" si="746"/>
        <v>0</v>
      </c>
      <c r="TA33">
        <f t="shared" si="746"/>
        <v>0</v>
      </c>
      <c r="TB33">
        <f t="shared" si="746"/>
        <v>0</v>
      </c>
      <c r="TC33">
        <f t="shared" si="746"/>
        <v>0</v>
      </c>
      <c r="TD33">
        <f t="shared" si="746"/>
        <v>0</v>
      </c>
      <c r="TE33">
        <f t="shared" si="746"/>
        <v>0</v>
      </c>
      <c r="TF33">
        <f t="shared" si="746"/>
        <v>0</v>
      </c>
      <c r="TG33">
        <f t="shared" si="746"/>
        <v>0</v>
      </c>
      <c r="TH33">
        <f t="shared" si="746"/>
        <v>0</v>
      </c>
      <c r="TI33">
        <f t="shared" si="746"/>
        <v>0</v>
      </c>
      <c r="TJ33">
        <f t="shared" si="746"/>
        <v>0</v>
      </c>
      <c r="TK33">
        <f t="shared" si="746"/>
        <v>0</v>
      </c>
      <c r="TL33">
        <f t="shared" si="746"/>
        <v>0</v>
      </c>
      <c r="TM33">
        <f t="shared" si="746"/>
        <v>0</v>
      </c>
      <c r="TN33">
        <f t="shared" si="746"/>
        <v>0</v>
      </c>
      <c r="TO33">
        <f t="shared" si="746"/>
        <v>0</v>
      </c>
      <c r="TP33">
        <f t="shared" si="746"/>
        <v>0</v>
      </c>
      <c r="TQ33">
        <f t="shared" si="746"/>
        <v>0</v>
      </c>
      <c r="TR33" s="130"/>
      <c r="TS33">
        <f>TR33</f>
        <v>0</v>
      </c>
      <c r="TT33">
        <f t="shared" si="676"/>
        <v>0</v>
      </c>
      <c r="TU33">
        <f t="shared" si="676"/>
        <v>0</v>
      </c>
      <c r="TV33">
        <f t="shared" si="676"/>
        <v>0</v>
      </c>
      <c r="TW33">
        <f t="shared" si="652"/>
        <v>0</v>
      </c>
      <c r="TX33">
        <f t="shared" ref="TX33:UW33" si="747">TW33</f>
        <v>0</v>
      </c>
      <c r="TY33">
        <f t="shared" si="747"/>
        <v>0</v>
      </c>
      <c r="TZ33">
        <f t="shared" si="747"/>
        <v>0</v>
      </c>
      <c r="UA33">
        <f t="shared" si="747"/>
        <v>0</v>
      </c>
      <c r="UB33">
        <f t="shared" si="747"/>
        <v>0</v>
      </c>
      <c r="UC33">
        <f t="shared" si="747"/>
        <v>0</v>
      </c>
      <c r="UD33">
        <f t="shared" si="747"/>
        <v>0</v>
      </c>
      <c r="UE33">
        <f t="shared" si="747"/>
        <v>0</v>
      </c>
      <c r="UF33">
        <f t="shared" si="747"/>
        <v>0</v>
      </c>
      <c r="UG33">
        <f t="shared" si="747"/>
        <v>0</v>
      </c>
      <c r="UH33">
        <f t="shared" si="747"/>
        <v>0</v>
      </c>
      <c r="UI33">
        <f t="shared" si="747"/>
        <v>0</v>
      </c>
      <c r="UJ33">
        <f t="shared" si="747"/>
        <v>0</v>
      </c>
      <c r="UK33">
        <f t="shared" si="747"/>
        <v>0</v>
      </c>
      <c r="UL33">
        <f t="shared" si="747"/>
        <v>0</v>
      </c>
      <c r="UM33">
        <f t="shared" si="747"/>
        <v>0</v>
      </c>
      <c r="UN33">
        <f t="shared" si="747"/>
        <v>0</v>
      </c>
      <c r="UO33">
        <f t="shared" si="747"/>
        <v>0</v>
      </c>
      <c r="UP33">
        <f t="shared" si="747"/>
        <v>0</v>
      </c>
      <c r="UQ33">
        <f t="shared" si="747"/>
        <v>0</v>
      </c>
      <c r="UR33">
        <f t="shared" si="747"/>
        <v>0</v>
      </c>
      <c r="US33">
        <f t="shared" si="747"/>
        <v>0</v>
      </c>
      <c r="UT33">
        <f t="shared" si="747"/>
        <v>0</v>
      </c>
      <c r="UU33">
        <f t="shared" si="747"/>
        <v>0</v>
      </c>
      <c r="UV33">
        <f t="shared" si="747"/>
        <v>0</v>
      </c>
      <c r="UW33">
        <f t="shared" si="747"/>
        <v>0</v>
      </c>
      <c r="UX33" s="130"/>
      <c r="UY33">
        <f>UX33</f>
        <v>0</v>
      </c>
      <c r="UZ33">
        <f t="shared" si="678"/>
        <v>0</v>
      </c>
      <c r="VA33">
        <f t="shared" ref="VA33:VZ33" si="748">UZ33</f>
        <v>0</v>
      </c>
      <c r="VB33">
        <f t="shared" si="748"/>
        <v>0</v>
      </c>
      <c r="VC33">
        <f t="shared" si="748"/>
        <v>0</v>
      </c>
      <c r="VD33">
        <f t="shared" si="748"/>
        <v>0</v>
      </c>
      <c r="VE33">
        <f t="shared" si="748"/>
        <v>0</v>
      </c>
      <c r="VF33">
        <f t="shared" si="748"/>
        <v>0</v>
      </c>
      <c r="VG33">
        <f t="shared" si="748"/>
        <v>0</v>
      </c>
      <c r="VH33">
        <f t="shared" si="748"/>
        <v>0</v>
      </c>
      <c r="VI33">
        <f t="shared" si="748"/>
        <v>0</v>
      </c>
      <c r="VJ33">
        <f t="shared" si="748"/>
        <v>0</v>
      </c>
      <c r="VK33">
        <f t="shared" si="748"/>
        <v>0</v>
      </c>
      <c r="VL33">
        <f t="shared" si="748"/>
        <v>0</v>
      </c>
      <c r="VM33">
        <f t="shared" si="748"/>
        <v>0</v>
      </c>
      <c r="VN33">
        <f t="shared" si="748"/>
        <v>0</v>
      </c>
      <c r="VO33">
        <f t="shared" si="748"/>
        <v>0</v>
      </c>
      <c r="VP33">
        <f t="shared" si="748"/>
        <v>0</v>
      </c>
      <c r="VQ33">
        <f t="shared" si="748"/>
        <v>0</v>
      </c>
      <c r="VR33">
        <f t="shared" si="748"/>
        <v>0</v>
      </c>
      <c r="VS33">
        <f t="shared" si="748"/>
        <v>0</v>
      </c>
      <c r="VT33">
        <f t="shared" si="748"/>
        <v>0</v>
      </c>
      <c r="VU33">
        <f t="shared" si="748"/>
        <v>0</v>
      </c>
      <c r="VV33">
        <f t="shared" si="748"/>
        <v>0</v>
      </c>
      <c r="VW33">
        <f t="shared" si="748"/>
        <v>0</v>
      </c>
      <c r="VX33">
        <f t="shared" si="748"/>
        <v>0</v>
      </c>
      <c r="VY33">
        <f t="shared" si="748"/>
        <v>0</v>
      </c>
      <c r="VZ33">
        <f t="shared" si="748"/>
        <v>0</v>
      </c>
      <c r="WA33" s="130"/>
      <c r="WB33">
        <f>WA33</f>
        <v>0</v>
      </c>
      <c r="WC33">
        <f>WB33</f>
        <v>0</v>
      </c>
      <c r="WD33">
        <f t="shared" ref="WD33:XF33" si="749">WC33</f>
        <v>0</v>
      </c>
      <c r="WE33">
        <f t="shared" si="749"/>
        <v>0</v>
      </c>
      <c r="WF33">
        <f t="shared" si="749"/>
        <v>0</v>
      </c>
      <c r="WG33">
        <f t="shared" si="749"/>
        <v>0</v>
      </c>
      <c r="WH33">
        <f t="shared" si="749"/>
        <v>0</v>
      </c>
      <c r="WI33">
        <f t="shared" si="749"/>
        <v>0</v>
      </c>
      <c r="WJ33">
        <f t="shared" si="749"/>
        <v>0</v>
      </c>
      <c r="WK33">
        <f t="shared" si="749"/>
        <v>0</v>
      </c>
      <c r="WL33">
        <f t="shared" si="749"/>
        <v>0</v>
      </c>
      <c r="WM33">
        <f t="shared" si="749"/>
        <v>0</v>
      </c>
      <c r="WN33">
        <f t="shared" si="749"/>
        <v>0</v>
      </c>
      <c r="WO33">
        <f t="shared" si="749"/>
        <v>0</v>
      </c>
      <c r="WP33">
        <f t="shared" si="749"/>
        <v>0</v>
      </c>
      <c r="WQ33">
        <f t="shared" si="749"/>
        <v>0</v>
      </c>
      <c r="WR33">
        <f t="shared" si="749"/>
        <v>0</v>
      </c>
      <c r="WS33">
        <f t="shared" si="749"/>
        <v>0</v>
      </c>
      <c r="WT33">
        <f t="shared" si="749"/>
        <v>0</v>
      </c>
      <c r="WU33">
        <f t="shared" si="749"/>
        <v>0</v>
      </c>
      <c r="WV33">
        <f t="shared" si="749"/>
        <v>0</v>
      </c>
      <c r="WW33">
        <f t="shared" si="749"/>
        <v>0</v>
      </c>
      <c r="WX33">
        <f t="shared" si="749"/>
        <v>0</v>
      </c>
      <c r="WY33">
        <f t="shared" si="749"/>
        <v>0</v>
      </c>
      <c r="WZ33">
        <f t="shared" si="749"/>
        <v>0</v>
      </c>
      <c r="XA33">
        <f t="shared" si="749"/>
        <v>0</v>
      </c>
      <c r="XB33">
        <f t="shared" si="749"/>
        <v>0</v>
      </c>
      <c r="XC33">
        <f t="shared" si="749"/>
        <v>0</v>
      </c>
      <c r="XD33">
        <f t="shared" si="749"/>
        <v>0</v>
      </c>
      <c r="XE33">
        <f t="shared" si="749"/>
        <v>0</v>
      </c>
      <c r="XF33">
        <f t="shared" si="749"/>
        <v>0</v>
      </c>
      <c r="XG33" s="130"/>
      <c r="XH33">
        <f>XG33</f>
        <v>0</v>
      </c>
      <c r="XI33">
        <f t="shared" ref="XI33:YK33" si="750">XH33</f>
        <v>0</v>
      </c>
      <c r="XJ33">
        <f t="shared" si="750"/>
        <v>0</v>
      </c>
      <c r="XK33">
        <f t="shared" si="750"/>
        <v>0</v>
      </c>
      <c r="XL33">
        <f t="shared" si="750"/>
        <v>0</v>
      </c>
      <c r="XM33">
        <f t="shared" si="750"/>
        <v>0</v>
      </c>
      <c r="XN33">
        <f t="shared" si="750"/>
        <v>0</v>
      </c>
      <c r="XO33">
        <f t="shared" si="750"/>
        <v>0</v>
      </c>
      <c r="XP33">
        <f t="shared" si="750"/>
        <v>0</v>
      </c>
      <c r="XQ33">
        <f t="shared" si="750"/>
        <v>0</v>
      </c>
      <c r="XR33">
        <f t="shared" si="750"/>
        <v>0</v>
      </c>
      <c r="XS33">
        <f t="shared" si="750"/>
        <v>0</v>
      </c>
      <c r="XT33">
        <f t="shared" si="750"/>
        <v>0</v>
      </c>
      <c r="XU33">
        <f t="shared" si="750"/>
        <v>0</v>
      </c>
      <c r="XV33">
        <f t="shared" si="750"/>
        <v>0</v>
      </c>
      <c r="XW33">
        <f t="shared" si="750"/>
        <v>0</v>
      </c>
      <c r="XX33">
        <f t="shared" si="750"/>
        <v>0</v>
      </c>
      <c r="XY33">
        <f t="shared" si="750"/>
        <v>0</v>
      </c>
      <c r="XZ33">
        <f t="shared" si="750"/>
        <v>0</v>
      </c>
      <c r="YA33">
        <f t="shared" si="750"/>
        <v>0</v>
      </c>
      <c r="YB33">
        <f t="shared" si="750"/>
        <v>0</v>
      </c>
      <c r="YC33">
        <f t="shared" si="750"/>
        <v>0</v>
      </c>
      <c r="YD33">
        <f t="shared" si="750"/>
        <v>0</v>
      </c>
      <c r="YE33">
        <f t="shared" si="750"/>
        <v>0</v>
      </c>
      <c r="YF33">
        <f t="shared" si="750"/>
        <v>0</v>
      </c>
      <c r="YG33">
        <f t="shared" si="750"/>
        <v>0</v>
      </c>
      <c r="YH33">
        <f t="shared" si="750"/>
        <v>0</v>
      </c>
      <c r="YI33">
        <f t="shared" si="750"/>
        <v>0</v>
      </c>
      <c r="YJ33">
        <f t="shared" si="750"/>
        <v>0</v>
      </c>
      <c r="YK33">
        <f t="shared" si="750"/>
        <v>0</v>
      </c>
      <c r="YL33" s="130"/>
      <c r="YM33">
        <f>YL33</f>
        <v>0</v>
      </c>
      <c r="YN33">
        <f t="shared" ref="YN33:ZQ33" si="751">YM33</f>
        <v>0</v>
      </c>
      <c r="YO33">
        <f t="shared" si="751"/>
        <v>0</v>
      </c>
      <c r="YP33">
        <f t="shared" si="751"/>
        <v>0</v>
      </c>
      <c r="YQ33">
        <f t="shared" si="751"/>
        <v>0</v>
      </c>
      <c r="YR33">
        <f t="shared" si="751"/>
        <v>0</v>
      </c>
      <c r="YS33">
        <f t="shared" si="751"/>
        <v>0</v>
      </c>
      <c r="YT33">
        <f t="shared" si="751"/>
        <v>0</v>
      </c>
      <c r="YU33">
        <f t="shared" si="751"/>
        <v>0</v>
      </c>
      <c r="YV33">
        <f t="shared" si="751"/>
        <v>0</v>
      </c>
      <c r="YW33">
        <f t="shared" si="751"/>
        <v>0</v>
      </c>
      <c r="YX33">
        <f t="shared" si="751"/>
        <v>0</v>
      </c>
      <c r="YY33">
        <f t="shared" si="751"/>
        <v>0</v>
      </c>
      <c r="YZ33">
        <f t="shared" si="751"/>
        <v>0</v>
      </c>
      <c r="ZA33">
        <f t="shared" si="751"/>
        <v>0</v>
      </c>
      <c r="ZB33">
        <f t="shared" si="751"/>
        <v>0</v>
      </c>
      <c r="ZC33">
        <f t="shared" si="751"/>
        <v>0</v>
      </c>
      <c r="ZD33">
        <f t="shared" si="751"/>
        <v>0</v>
      </c>
      <c r="ZE33">
        <f t="shared" si="751"/>
        <v>0</v>
      </c>
      <c r="ZF33">
        <f t="shared" si="751"/>
        <v>0</v>
      </c>
      <c r="ZG33">
        <f t="shared" si="751"/>
        <v>0</v>
      </c>
      <c r="ZH33">
        <f t="shared" si="751"/>
        <v>0</v>
      </c>
      <c r="ZI33">
        <f t="shared" si="751"/>
        <v>0</v>
      </c>
      <c r="ZJ33">
        <f t="shared" si="751"/>
        <v>0</v>
      </c>
      <c r="ZK33">
        <f t="shared" si="751"/>
        <v>0</v>
      </c>
      <c r="ZL33">
        <f t="shared" si="751"/>
        <v>0</v>
      </c>
      <c r="ZM33">
        <f t="shared" si="751"/>
        <v>0</v>
      </c>
      <c r="ZN33">
        <f t="shared" si="751"/>
        <v>0</v>
      </c>
      <c r="ZO33">
        <f t="shared" si="751"/>
        <v>0</v>
      </c>
      <c r="ZP33">
        <f t="shared" si="751"/>
        <v>0</v>
      </c>
      <c r="ZQ33">
        <f t="shared" si="751"/>
        <v>0</v>
      </c>
      <c r="ZR33" s="130"/>
      <c r="ZS33">
        <f>ZR33</f>
        <v>0</v>
      </c>
      <c r="ZT33">
        <f t="shared" ref="ZT33:AAO33" si="752">ZS33</f>
        <v>0</v>
      </c>
      <c r="ZU33">
        <f t="shared" si="752"/>
        <v>0</v>
      </c>
      <c r="ZV33">
        <f t="shared" si="752"/>
        <v>0</v>
      </c>
      <c r="ZW33">
        <f t="shared" si="752"/>
        <v>0</v>
      </c>
      <c r="ZX33">
        <f t="shared" si="752"/>
        <v>0</v>
      </c>
      <c r="ZY33">
        <f t="shared" si="752"/>
        <v>0</v>
      </c>
      <c r="ZZ33">
        <f t="shared" si="752"/>
        <v>0</v>
      </c>
      <c r="AAA33">
        <f t="shared" si="752"/>
        <v>0</v>
      </c>
      <c r="AAB33">
        <f t="shared" si="752"/>
        <v>0</v>
      </c>
      <c r="AAC33">
        <f t="shared" si="752"/>
        <v>0</v>
      </c>
      <c r="AAD33">
        <f t="shared" si="752"/>
        <v>0</v>
      </c>
      <c r="AAE33">
        <f t="shared" si="752"/>
        <v>0</v>
      </c>
      <c r="AAF33">
        <f t="shared" si="752"/>
        <v>0</v>
      </c>
      <c r="AAG33">
        <f t="shared" si="752"/>
        <v>0</v>
      </c>
      <c r="AAH33">
        <f t="shared" si="752"/>
        <v>0</v>
      </c>
      <c r="AAI33">
        <f t="shared" si="752"/>
        <v>0</v>
      </c>
      <c r="AAJ33">
        <f t="shared" si="752"/>
        <v>0</v>
      </c>
      <c r="AAK33">
        <f t="shared" si="752"/>
        <v>0</v>
      </c>
      <c r="AAL33">
        <f t="shared" si="752"/>
        <v>0</v>
      </c>
      <c r="AAM33">
        <f t="shared" si="752"/>
        <v>0</v>
      </c>
      <c r="AAN33">
        <f t="shared" si="752"/>
        <v>0</v>
      </c>
      <c r="AAO33">
        <f t="shared" si="752"/>
        <v>0</v>
      </c>
      <c r="AAP33">
        <f>AAO33</f>
        <v>0</v>
      </c>
      <c r="AAQ33">
        <f t="shared" si="689"/>
        <v>0</v>
      </c>
      <c r="AAR33">
        <f t="shared" si="689"/>
        <v>0</v>
      </c>
      <c r="AAS33">
        <f t="shared" si="689"/>
        <v>0</v>
      </c>
      <c r="AAT33">
        <f t="shared" si="689"/>
        <v>0</v>
      </c>
      <c r="AAU33">
        <f t="shared" si="689"/>
        <v>0</v>
      </c>
      <c r="AAV33">
        <f t="shared" si="689"/>
        <v>0</v>
      </c>
      <c r="AAW33" s="130"/>
      <c r="AAX33">
        <f>AAW33</f>
        <v>0</v>
      </c>
      <c r="AAY33">
        <f t="shared" ref="AAY33:ACB33" si="753">AAX33</f>
        <v>0</v>
      </c>
      <c r="AAZ33">
        <f t="shared" si="753"/>
        <v>0</v>
      </c>
      <c r="ABA33">
        <f t="shared" si="753"/>
        <v>0</v>
      </c>
      <c r="ABB33">
        <f t="shared" si="753"/>
        <v>0</v>
      </c>
      <c r="ABC33">
        <f t="shared" si="753"/>
        <v>0</v>
      </c>
      <c r="ABD33">
        <f t="shared" si="753"/>
        <v>0</v>
      </c>
      <c r="ABE33">
        <f t="shared" si="753"/>
        <v>0</v>
      </c>
      <c r="ABF33">
        <f t="shared" si="753"/>
        <v>0</v>
      </c>
      <c r="ABG33">
        <f t="shared" si="753"/>
        <v>0</v>
      </c>
      <c r="ABH33">
        <f t="shared" si="753"/>
        <v>0</v>
      </c>
      <c r="ABI33">
        <f t="shared" si="753"/>
        <v>0</v>
      </c>
      <c r="ABJ33">
        <f t="shared" si="753"/>
        <v>0</v>
      </c>
      <c r="ABK33">
        <f t="shared" si="753"/>
        <v>0</v>
      </c>
      <c r="ABL33">
        <f t="shared" si="753"/>
        <v>0</v>
      </c>
      <c r="ABM33">
        <f t="shared" si="753"/>
        <v>0</v>
      </c>
      <c r="ABN33">
        <f t="shared" si="753"/>
        <v>0</v>
      </c>
      <c r="ABO33">
        <f t="shared" si="753"/>
        <v>0</v>
      </c>
      <c r="ABP33">
        <f t="shared" si="753"/>
        <v>0</v>
      </c>
      <c r="ABQ33">
        <f t="shared" si="753"/>
        <v>0</v>
      </c>
      <c r="ABR33">
        <f t="shared" si="753"/>
        <v>0</v>
      </c>
      <c r="ABS33">
        <f t="shared" si="753"/>
        <v>0</v>
      </c>
      <c r="ABT33">
        <f t="shared" si="753"/>
        <v>0</v>
      </c>
      <c r="ABU33">
        <f t="shared" si="753"/>
        <v>0</v>
      </c>
      <c r="ABV33">
        <f t="shared" si="753"/>
        <v>0</v>
      </c>
      <c r="ABW33">
        <f t="shared" si="753"/>
        <v>0</v>
      </c>
      <c r="ABX33">
        <f t="shared" si="753"/>
        <v>0</v>
      </c>
      <c r="ABY33">
        <f t="shared" si="753"/>
        <v>0</v>
      </c>
      <c r="ABZ33">
        <f t="shared" si="753"/>
        <v>0</v>
      </c>
      <c r="ACA33">
        <f t="shared" si="753"/>
        <v>0</v>
      </c>
      <c r="ACB33">
        <f t="shared" si="753"/>
        <v>0</v>
      </c>
      <c r="ACC33" s="130"/>
      <c r="ACD33">
        <f>ACC33</f>
        <v>0</v>
      </c>
      <c r="ACE33">
        <f t="shared" ref="ACE33:ADH33" si="754">ACD33</f>
        <v>0</v>
      </c>
      <c r="ACF33">
        <f t="shared" si="754"/>
        <v>0</v>
      </c>
      <c r="ACG33">
        <f t="shared" si="754"/>
        <v>0</v>
      </c>
      <c r="ACH33">
        <f t="shared" si="754"/>
        <v>0</v>
      </c>
      <c r="ACI33">
        <f t="shared" si="754"/>
        <v>0</v>
      </c>
      <c r="ACJ33">
        <f t="shared" si="754"/>
        <v>0</v>
      </c>
      <c r="ACK33">
        <f t="shared" si="754"/>
        <v>0</v>
      </c>
      <c r="ACL33">
        <f t="shared" si="754"/>
        <v>0</v>
      </c>
      <c r="ACM33">
        <f t="shared" si="754"/>
        <v>0</v>
      </c>
      <c r="ACN33">
        <f t="shared" si="754"/>
        <v>0</v>
      </c>
      <c r="ACO33">
        <f t="shared" si="754"/>
        <v>0</v>
      </c>
      <c r="ACP33">
        <f t="shared" si="754"/>
        <v>0</v>
      </c>
      <c r="ACQ33">
        <f t="shared" si="754"/>
        <v>0</v>
      </c>
      <c r="ACR33">
        <f t="shared" si="754"/>
        <v>0</v>
      </c>
      <c r="ACS33">
        <f t="shared" si="754"/>
        <v>0</v>
      </c>
      <c r="ACT33">
        <f t="shared" si="754"/>
        <v>0</v>
      </c>
      <c r="ACU33">
        <f t="shared" si="754"/>
        <v>0</v>
      </c>
      <c r="ACV33">
        <f t="shared" si="754"/>
        <v>0</v>
      </c>
      <c r="ACW33">
        <f t="shared" si="754"/>
        <v>0</v>
      </c>
      <c r="ACX33">
        <f t="shared" si="754"/>
        <v>0</v>
      </c>
      <c r="ACY33">
        <f t="shared" si="754"/>
        <v>0</v>
      </c>
      <c r="ACZ33">
        <f t="shared" si="754"/>
        <v>0</v>
      </c>
      <c r="ADA33">
        <f t="shared" si="754"/>
        <v>0</v>
      </c>
      <c r="ADB33">
        <f t="shared" si="754"/>
        <v>0</v>
      </c>
      <c r="ADC33">
        <f t="shared" si="754"/>
        <v>0</v>
      </c>
      <c r="ADD33">
        <f t="shared" si="754"/>
        <v>0</v>
      </c>
      <c r="ADE33">
        <f t="shared" si="754"/>
        <v>0</v>
      </c>
      <c r="ADF33">
        <f t="shared" si="754"/>
        <v>0</v>
      </c>
      <c r="ADG33">
        <f t="shared" si="754"/>
        <v>0</v>
      </c>
      <c r="ADH33">
        <f t="shared" si="754"/>
        <v>0</v>
      </c>
      <c r="ADI33" s="130"/>
      <c r="ADJ33">
        <f>ADI33</f>
        <v>0</v>
      </c>
      <c r="ADK33">
        <f t="shared" ref="ADK33:AEM33" si="755">ADJ33</f>
        <v>0</v>
      </c>
      <c r="ADL33">
        <f t="shared" si="755"/>
        <v>0</v>
      </c>
      <c r="ADM33">
        <f t="shared" si="755"/>
        <v>0</v>
      </c>
      <c r="ADN33">
        <f t="shared" si="755"/>
        <v>0</v>
      </c>
      <c r="ADO33">
        <f t="shared" si="755"/>
        <v>0</v>
      </c>
      <c r="ADP33">
        <f t="shared" si="755"/>
        <v>0</v>
      </c>
      <c r="ADQ33">
        <f t="shared" si="755"/>
        <v>0</v>
      </c>
      <c r="ADR33">
        <f t="shared" si="755"/>
        <v>0</v>
      </c>
      <c r="ADS33">
        <f t="shared" si="755"/>
        <v>0</v>
      </c>
      <c r="ADT33">
        <f t="shared" si="755"/>
        <v>0</v>
      </c>
      <c r="ADU33">
        <f t="shared" si="755"/>
        <v>0</v>
      </c>
      <c r="ADV33">
        <f t="shared" si="755"/>
        <v>0</v>
      </c>
      <c r="ADW33">
        <f t="shared" si="755"/>
        <v>0</v>
      </c>
      <c r="ADX33">
        <f t="shared" si="755"/>
        <v>0</v>
      </c>
      <c r="ADY33">
        <f t="shared" si="755"/>
        <v>0</v>
      </c>
      <c r="ADZ33">
        <f t="shared" si="755"/>
        <v>0</v>
      </c>
      <c r="AEA33">
        <f t="shared" si="755"/>
        <v>0</v>
      </c>
      <c r="AEB33">
        <f t="shared" si="755"/>
        <v>0</v>
      </c>
      <c r="AEC33">
        <f t="shared" si="755"/>
        <v>0</v>
      </c>
      <c r="AED33">
        <f t="shared" si="755"/>
        <v>0</v>
      </c>
      <c r="AEE33">
        <f t="shared" si="755"/>
        <v>0</v>
      </c>
      <c r="AEF33">
        <f t="shared" si="755"/>
        <v>0</v>
      </c>
      <c r="AEG33">
        <f t="shared" si="755"/>
        <v>0</v>
      </c>
      <c r="AEH33">
        <f t="shared" si="755"/>
        <v>0</v>
      </c>
      <c r="AEI33">
        <f t="shared" si="755"/>
        <v>0</v>
      </c>
      <c r="AEJ33">
        <f t="shared" si="755"/>
        <v>0</v>
      </c>
      <c r="AEK33">
        <f t="shared" si="755"/>
        <v>0</v>
      </c>
      <c r="AEL33">
        <f t="shared" si="755"/>
        <v>0</v>
      </c>
      <c r="AEM33">
        <f t="shared" si="755"/>
        <v>0</v>
      </c>
      <c r="AEN33" s="130"/>
      <c r="AEO33">
        <f>AEN33</f>
        <v>0</v>
      </c>
      <c r="AEP33">
        <f t="shared" ref="AEP33:AFS33" si="756">AEO33</f>
        <v>0</v>
      </c>
      <c r="AEQ33">
        <f t="shared" si="756"/>
        <v>0</v>
      </c>
      <c r="AER33">
        <f t="shared" si="756"/>
        <v>0</v>
      </c>
      <c r="AES33">
        <f t="shared" si="756"/>
        <v>0</v>
      </c>
      <c r="AET33">
        <f t="shared" si="756"/>
        <v>0</v>
      </c>
      <c r="AEU33">
        <f t="shared" si="756"/>
        <v>0</v>
      </c>
      <c r="AEV33">
        <f t="shared" si="756"/>
        <v>0</v>
      </c>
      <c r="AEW33">
        <f t="shared" si="756"/>
        <v>0</v>
      </c>
      <c r="AEX33">
        <f t="shared" si="756"/>
        <v>0</v>
      </c>
      <c r="AEY33">
        <f t="shared" si="756"/>
        <v>0</v>
      </c>
      <c r="AEZ33">
        <f t="shared" si="756"/>
        <v>0</v>
      </c>
      <c r="AFA33">
        <f t="shared" si="756"/>
        <v>0</v>
      </c>
      <c r="AFB33">
        <f t="shared" si="756"/>
        <v>0</v>
      </c>
      <c r="AFC33">
        <f t="shared" si="756"/>
        <v>0</v>
      </c>
      <c r="AFD33">
        <f t="shared" si="756"/>
        <v>0</v>
      </c>
      <c r="AFE33">
        <f t="shared" si="756"/>
        <v>0</v>
      </c>
      <c r="AFF33">
        <f t="shared" si="756"/>
        <v>0</v>
      </c>
      <c r="AFG33">
        <f t="shared" si="756"/>
        <v>0</v>
      </c>
      <c r="AFH33">
        <f t="shared" si="756"/>
        <v>0</v>
      </c>
      <c r="AFI33">
        <f t="shared" si="756"/>
        <v>0</v>
      </c>
      <c r="AFJ33">
        <f t="shared" si="756"/>
        <v>0</v>
      </c>
      <c r="AFK33">
        <f t="shared" si="756"/>
        <v>0</v>
      </c>
      <c r="AFL33">
        <f t="shared" si="756"/>
        <v>0</v>
      </c>
      <c r="AFM33">
        <f t="shared" si="756"/>
        <v>0</v>
      </c>
      <c r="AFN33">
        <f t="shared" si="756"/>
        <v>0</v>
      </c>
      <c r="AFO33">
        <f t="shared" si="756"/>
        <v>0</v>
      </c>
      <c r="AFP33">
        <f t="shared" si="756"/>
        <v>0</v>
      </c>
      <c r="AFQ33">
        <f t="shared" si="756"/>
        <v>0</v>
      </c>
      <c r="AFR33">
        <f t="shared" si="756"/>
        <v>0</v>
      </c>
      <c r="AFS33">
        <f t="shared" si="756"/>
        <v>0</v>
      </c>
      <c r="AFT33" s="130"/>
      <c r="AFU33">
        <f>AFT33</f>
        <v>0</v>
      </c>
      <c r="AFV33">
        <f t="shared" ref="AFV33:AGX33" si="757">AFU33</f>
        <v>0</v>
      </c>
      <c r="AFW33">
        <f t="shared" si="757"/>
        <v>0</v>
      </c>
      <c r="AFX33">
        <f t="shared" si="757"/>
        <v>0</v>
      </c>
      <c r="AFY33">
        <f t="shared" si="757"/>
        <v>0</v>
      </c>
      <c r="AFZ33">
        <f t="shared" si="757"/>
        <v>0</v>
      </c>
      <c r="AGA33">
        <f t="shared" si="757"/>
        <v>0</v>
      </c>
      <c r="AGB33">
        <f t="shared" si="757"/>
        <v>0</v>
      </c>
      <c r="AGC33">
        <f t="shared" si="757"/>
        <v>0</v>
      </c>
      <c r="AGD33">
        <f t="shared" si="757"/>
        <v>0</v>
      </c>
      <c r="AGE33">
        <f t="shared" si="757"/>
        <v>0</v>
      </c>
      <c r="AGF33">
        <f t="shared" si="757"/>
        <v>0</v>
      </c>
      <c r="AGG33">
        <f t="shared" si="757"/>
        <v>0</v>
      </c>
      <c r="AGH33">
        <f t="shared" si="757"/>
        <v>0</v>
      </c>
      <c r="AGI33">
        <f t="shared" si="757"/>
        <v>0</v>
      </c>
      <c r="AGJ33">
        <f t="shared" si="757"/>
        <v>0</v>
      </c>
      <c r="AGK33">
        <f t="shared" si="757"/>
        <v>0</v>
      </c>
      <c r="AGL33">
        <f t="shared" si="757"/>
        <v>0</v>
      </c>
      <c r="AGM33">
        <f t="shared" si="757"/>
        <v>0</v>
      </c>
      <c r="AGN33">
        <f t="shared" si="757"/>
        <v>0</v>
      </c>
      <c r="AGO33">
        <f t="shared" si="757"/>
        <v>0</v>
      </c>
      <c r="AGP33">
        <f t="shared" si="757"/>
        <v>0</v>
      </c>
      <c r="AGQ33">
        <f t="shared" si="757"/>
        <v>0</v>
      </c>
      <c r="AGR33">
        <f t="shared" si="757"/>
        <v>0</v>
      </c>
      <c r="AGS33">
        <f t="shared" si="757"/>
        <v>0</v>
      </c>
      <c r="AGT33">
        <f t="shared" si="757"/>
        <v>0</v>
      </c>
      <c r="AGU33">
        <f t="shared" si="757"/>
        <v>0</v>
      </c>
      <c r="AGV33">
        <f t="shared" si="757"/>
        <v>0</v>
      </c>
      <c r="AGW33">
        <f t="shared" si="757"/>
        <v>0</v>
      </c>
      <c r="AGX33">
        <f t="shared" si="757"/>
        <v>0</v>
      </c>
      <c r="AGY33" s="130"/>
      <c r="AGZ33">
        <f>AGY33</f>
        <v>0</v>
      </c>
      <c r="AHA33">
        <f t="shared" ref="AHA33:AID33" si="758">AGZ33</f>
        <v>0</v>
      </c>
      <c r="AHB33">
        <f t="shared" si="758"/>
        <v>0</v>
      </c>
      <c r="AHC33">
        <f t="shared" si="758"/>
        <v>0</v>
      </c>
      <c r="AHD33">
        <f t="shared" si="758"/>
        <v>0</v>
      </c>
      <c r="AHE33">
        <f t="shared" si="758"/>
        <v>0</v>
      </c>
      <c r="AHF33">
        <f t="shared" si="758"/>
        <v>0</v>
      </c>
      <c r="AHG33">
        <f t="shared" si="758"/>
        <v>0</v>
      </c>
      <c r="AHH33">
        <f t="shared" si="758"/>
        <v>0</v>
      </c>
      <c r="AHI33">
        <f t="shared" si="758"/>
        <v>0</v>
      </c>
      <c r="AHJ33">
        <f t="shared" si="758"/>
        <v>0</v>
      </c>
      <c r="AHK33">
        <f t="shared" si="758"/>
        <v>0</v>
      </c>
      <c r="AHL33">
        <f t="shared" si="758"/>
        <v>0</v>
      </c>
      <c r="AHM33">
        <f t="shared" si="758"/>
        <v>0</v>
      </c>
      <c r="AHN33">
        <f t="shared" si="758"/>
        <v>0</v>
      </c>
      <c r="AHO33">
        <f t="shared" si="758"/>
        <v>0</v>
      </c>
      <c r="AHP33">
        <f t="shared" si="758"/>
        <v>0</v>
      </c>
      <c r="AHQ33">
        <f t="shared" si="758"/>
        <v>0</v>
      </c>
      <c r="AHR33">
        <f t="shared" si="758"/>
        <v>0</v>
      </c>
      <c r="AHS33">
        <f t="shared" si="758"/>
        <v>0</v>
      </c>
      <c r="AHT33">
        <f t="shared" si="758"/>
        <v>0</v>
      </c>
      <c r="AHU33">
        <f t="shared" si="758"/>
        <v>0</v>
      </c>
      <c r="AHV33">
        <f t="shared" si="758"/>
        <v>0</v>
      </c>
      <c r="AHW33">
        <f t="shared" si="758"/>
        <v>0</v>
      </c>
      <c r="AHX33">
        <f t="shared" si="758"/>
        <v>0</v>
      </c>
      <c r="AHY33">
        <f t="shared" si="758"/>
        <v>0</v>
      </c>
      <c r="AHZ33">
        <f t="shared" si="758"/>
        <v>0</v>
      </c>
      <c r="AIA33">
        <f t="shared" si="758"/>
        <v>0</v>
      </c>
      <c r="AIB33">
        <f t="shared" si="758"/>
        <v>0</v>
      </c>
      <c r="AIC33">
        <f t="shared" si="758"/>
        <v>0</v>
      </c>
      <c r="AID33">
        <f t="shared" si="758"/>
        <v>0</v>
      </c>
      <c r="AIE33" s="130"/>
      <c r="AIF33">
        <f>AIE33</f>
        <v>0</v>
      </c>
      <c r="AIG33">
        <f t="shared" ref="AIG33:AJJ33" si="759">AIF33</f>
        <v>0</v>
      </c>
      <c r="AIH33">
        <f t="shared" si="759"/>
        <v>0</v>
      </c>
      <c r="AII33">
        <f t="shared" si="759"/>
        <v>0</v>
      </c>
      <c r="AIJ33">
        <f t="shared" si="759"/>
        <v>0</v>
      </c>
      <c r="AIK33">
        <f t="shared" si="759"/>
        <v>0</v>
      </c>
      <c r="AIL33">
        <f t="shared" si="759"/>
        <v>0</v>
      </c>
      <c r="AIM33">
        <f t="shared" si="759"/>
        <v>0</v>
      </c>
      <c r="AIN33">
        <f t="shared" si="759"/>
        <v>0</v>
      </c>
      <c r="AIO33">
        <f t="shared" si="759"/>
        <v>0</v>
      </c>
      <c r="AIP33">
        <f t="shared" si="759"/>
        <v>0</v>
      </c>
      <c r="AIQ33">
        <f t="shared" si="759"/>
        <v>0</v>
      </c>
      <c r="AIR33">
        <f t="shared" si="759"/>
        <v>0</v>
      </c>
      <c r="AIS33">
        <f t="shared" si="759"/>
        <v>0</v>
      </c>
      <c r="AIT33">
        <f t="shared" si="759"/>
        <v>0</v>
      </c>
      <c r="AIU33">
        <f t="shared" si="759"/>
        <v>0</v>
      </c>
      <c r="AIV33">
        <f t="shared" si="759"/>
        <v>0</v>
      </c>
      <c r="AIW33">
        <f t="shared" si="759"/>
        <v>0</v>
      </c>
      <c r="AIX33">
        <f t="shared" si="759"/>
        <v>0</v>
      </c>
      <c r="AIY33">
        <f t="shared" si="759"/>
        <v>0</v>
      </c>
      <c r="AIZ33">
        <f t="shared" si="759"/>
        <v>0</v>
      </c>
      <c r="AJA33">
        <f t="shared" si="759"/>
        <v>0</v>
      </c>
      <c r="AJB33">
        <f t="shared" si="759"/>
        <v>0</v>
      </c>
      <c r="AJC33">
        <f t="shared" si="759"/>
        <v>0</v>
      </c>
      <c r="AJD33">
        <f t="shared" si="759"/>
        <v>0</v>
      </c>
      <c r="AJE33">
        <f t="shared" si="759"/>
        <v>0</v>
      </c>
      <c r="AJF33">
        <f t="shared" si="759"/>
        <v>0</v>
      </c>
      <c r="AJG33">
        <f t="shared" si="759"/>
        <v>0</v>
      </c>
      <c r="AJH33">
        <f t="shared" si="759"/>
        <v>0</v>
      </c>
      <c r="AJI33">
        <f t="shared" si="759"/>
        <v>0</v>
      </c>
      <c r="AJJ33">
        <f t="shared" si="759"/>
        <v>0</v>
      </c>
      <c r="AJK33" s="145"/>
      <c r="AJL33">
        <f>AJK33</f>
        <v>0</v>
      </c>
      <c r="AJM33">
        <f t="shared" ref="AJM33:AKM33" si="760">AJL33</f>
        <v>0</v>
      </c>
      <c r="AJN33">
        <f t="shared" si="760"/>
        <v>0</v>
      </c>
      <c r="AJO33">
        <f t="shared" si="760"/>
        <v>0</v>
      </c>
      <c r="AJP33">
        <f t="shared" si="760"/>
        <v>0</v>
      </c>
      <c r="AJQ33">
        <f t="shared" si="760"/>
        <v>0</v>
      </c>
      <c r="AJR33">
        <f t="shared" si="760"/>
        <v>0</v>
      </c>
      <c r="AJS33">
        <f t="shared" si="760"/>
        <v>0</v>
      </c>
      <c r="AJT33">
        <f t="shared" si="760"/>
        <v>0</v>
      </c>
      <c r="AJU33">
        <f t="shared" si="760"/>
        <v>0</v>
      </c>
      <c r="AJV33">
        <f t="shared" si="760"/>
        <v>0</v>
      </c>
      <c r="AJW33">
        <f t="shared" si="760"/>
        <v>0</v>
      </c>
      <c r="AJX33">
        <f t="shared" si="760"/>
        <v>0</v>
      </c>
      <c r="AJY33">
        <f t="shared" si="760"/>
        <v>0</v>
      </c>
      <c r="AJZ33">
        <f t="shared" si="760"/>
        <v>0</v>
      </c>
      <c r="AKA33">
        <f t="shared" si="760"/>
        <v>0</v>
      </c>
      <c r="AKB33">
        <f t="shared" si="760"/>
        <v>0</v>
      </c>
      <c r="AKC33">
        <f t="shared" si="760"/>
        <v>0</v>
      </c>
      <c r="AKD33">
        <f t="shared" si="760"/>
        <v>0</v>
      </c>
      <c r="AKE33">
        <f t="shared" si="760"/>
        <v>0</v>
      </c>
      <c r="AKF33">
        <f t="shared" si="760"/>
        <v>0</v>
      </c>
      <c r="AKG33">
        <f t="shared" si="760"/>
        <v>0</v>
      </c>
      <c r="AKH33">
        <f t="shared" si="760"/>
        <v>0</v>
      </c>
      <c r="AKI33">
        <f t="shared" si="760"/>
        <v>0</v>
      </c>
      <c r="AKJ33">
        <f t="shared" si="760"/>
        <v>0</v>
      </c>
      <c r="AKK33">
        <f t="shared" si="760"/>
        <v>0</v>
      </c>
      <c r="AKL33">
        <f t="shared" si="760"/>
        <v>0</v>
      </c>
      <c r="AKM33">
        <f t="shared" si="760"/>
        <v>0</v>
      </c>
      <c r="AKN33" s="145"/>
      <c r="AKO33">
        <f>AKN33</f>
        <v>0</v>
      </c>
      <c r="AKP33">
        <f t="shared" ref="AKP33:ALS33" si="761">AKO33</f>
        <v>0</v>
      </c>
      <c r="AKQ33">
        <f t="shared" si="761"/>
        <v>0</v>
      </c>
      <c r="AKR33">
        <f t="shared" si="761"/>
        <v>0</v>
      </c>
      <c r="AKS33">
        <f t="shared" si="761"/>
        <v>0</v>
      </c>
      <c r="AKT33">
        <f t="shared" si="761"/>
        <v>0</v>
      </c>
      <c r="AKU33">
        <f t="shared" si="761"/>
        <v>0</v>
      </c>
      <c r="AKV33">
        <f t="shared" si="761"/>
        <v>0</v>
      </c>
      <c r="AKW33">
        <f t="shared" si="761"/>
        <v>0</v>
      </c>
      <c r="AKX33">
        <f t="shared" si="761"/>
        <v>0</v>
      </c>
      <c r="AKY33">
        <f t="shared" si="761"/>
        <v>0</v>
      </c>
      <c r="AKZ33">
        <f t="shared" si="761"/>
        <v>0</v>
      </c>
      <c r="ALA33">
        <f t="shared" si="761"/>
        <v>0</v>
      </c>
      <c r="ALB33">
        <f t="shared" si="761"/>
        <v>0</v>
      </c>
      <c r="ALC33">
        <f t="shared" si="761"/>
        <v>0</v>
      </c>
      <c r="ALD33">
        <f t="shared" si="761"/>
        <v>0</v>
      </c>
      <c r="ALE33">
        <f t="shared" si="761"/>
        <v>0</v>
      </c>
      <c r="ALF33">
        <f t="shared" si="761"/>
        <v>0</v>
      </c>
      <c r="ALG33">
        <f t="shared" si="761"/>
        <v>0</v>
      </c>
      <c r="ALH33">
        <f t="shared" si="761"/>
        <v>0</v>
      </c>
      <c r="ALI33">
        <f t="shared" si="761"/>
        <v>0</v>
      </c>
      <c r="ALJ33">
        <f t="shared" si="761"/>
        <v>0</v>
      </c>
      <c r="ALK33">
        <f t="shared" si="761"/>
        <v>0</v>
      </c>
      <c r="ALL33">
        <f t="shared" si="761"/>
        <v>0</v>
      </c>
      <c r="ALM33">
        <f t="shared" si="761"/>
        <v>0</v>
      </c>
      <c r="ALN33">
        <f t="shared" si="761"/>
        <v>0</v>
      </c>
      <c r="ALO33">
        <f t="shared" si="761"/>
        <v>0</v>
      </c>
      <c r="ALP33">
        <f t="shared" si="761"/>
        <v>0</v>
      </c>
      <c r="ALQ33">
        <f t="shared" si="761"/>
        <v>0</v>
      </c>
      <c r="ALR33">
        <f t="shared" si="761"/>
        <v>0</v>
      </c>
      <c r="ALS33">
        <f t="shared" si="761"/>
        <v>0</v>
      </c>
      <c r="ALT33" s="130"/>
      <c r="ALU33">
        <f>ALT33</f>
        <v>0</v>
      </c>
      <c r="ALV33">
        <f t="shared" ref="ALV33:AMX33" si="762">ALU33</f>
        <v>0</v>
      </c>
      <c r="ALW33">
        <f t="shared" si="762"/>
        <v>0</v>
      </c>
      <c r="ALX33">
        <f t="shared" si="762"/>
        <v>0</v>
      </c>
      <c r="ALY33">
        <f t="shared" si="762"/>
        <v>0</v>
      </c>
      <c r="ALZ33">
        <f t="shared" si="762"/>
        <v>0</v>
      </c>
      <c r="AMA33">
        <f t="shared" si="762"/>
        <v>0</v>
      </c>
      <c r="AMB33">
        <f t="shared" si="762"/>
        <v>0</v>
      </c>
      <c r="AMC33">
        <f t="shared" si="762"/>
        <v>0</v>
      </c>
      <c r="AMD33">
        <f t="shared" si="762"/>
        <v>0</v>
      </c>
      <c r="AME33">
        <f t="shared" si="762"/>
        <v>0</v>
      </c>
      <c r="AMF33">
        <f t="shared" si="762"/>
        <v>0</v>
      </c>
      <c r="AMG33">
        <f t="shared" si="762"/>
        <v>0</v>
      </c>
      <c r="AMH33">
        <f t="shared" si="762"/>
        <v>0</v>
      </c>
      <c r="AMI33">
        <f t="shared" si="762"/>
        <v>0</v>
      </c>
      <c r="AMJ33">
        <f t="shared" si="762"/>
        <v>0</v>
      </c>
      <c r="AMK33">
        <f t="shared" si="762"/>
        <v>0</v>
      </c>
      <c r="AML33">
        <f t="shared" si="762"/>
        <v>0</v>
      </c>
      <c r="AMM33">
        <f t="shared" si="762"/>
        <v>0</v>
      </c>
      <c r="AMN33">
        <f t="shared" si="762"/>
        <v>0</v>
      </c>
      <c r="AMO33">
        <f t="shared" si="762"/>
        <v>0</v>
      </c>
      <c r="AMP33">
        <f t="shared" si="762"/>
        <v>0</v>
      </c>
      <c r="AMQ33">
        <f t="shared" si="762"/>
        <v>0</v>
      </c>
      <c r="AMR33">
        <f t="shared" si="762"/>
        <v>0</v>
      </c>
      <c r="AMS33">
        <f t="shared" si="762"/>
        <v>0</v>
      </c>
      <c r="AMT33">
        <f t="shared" si="762"/>
        <v>0</v>
      </c>
      <c r="AMU33">
        <f t="shared" si="762"/>
        <v>0</v>
      </c>
      <c r="AMV33">
        <f t="shared" si="762"/>
        <v>0</v>
      </c>
      <c r="AMW33">
        <f t="shared" si="762"/>
        <v>0</v>
      </c>
      <c r="AMX33">
        <f t="shared" si="762"/>
        <v>0</v>
      </c>
      <c r="AMY33" s="130"/>
      <c r="AMZ33">
        <f>AMY33</f>
        <v>0</v>
      </c>
      <c r="ANA33">
        <f t="shared" ref="ANA33:AOC33" si="763">AMZ33</f>
        <v>0</v>
      </c>
      <c r="ANB33">
        <f t="shared" si="763"/>
        <v>0</v>
      </c>
      <c r="ANC33">
        <f t="shared" si="763"/>
        <v>0</v>
      </c>
      <c r="AND33">
        <f t="shared" si="763"/>
        <v>0</v>
      </c>
      <c r="ANE33">
        <f t="shared" si="763"/>
        <v>0</v>
      </c>
      <c r="ANF33">
        <f t="shared" si="763"/>
        <v>0</v>
      </c>
      <c r="ANG33">
        <f t="shared" si="763"/>
        <v>0</v>
      </c>
      <c r="ANH33">
        <f t="shared" si="763"/>
        <v>0</v>
      </c>
      <c r="ANI33">
        <f t="shared" si="763"/>
        <v>0</v>
      </c>
      <c r="ANJ33">
        <f t="shared" si="763"/>
        <v>0</v>
      </c>
      <c r="ANK33">
        <f t="shared" si="763"/>
        <v>0</v>
      </c>
      <c r="ANL33">
        <f t="shared" si="763"/>
        <v>0</v>
      </c>
      <c r="ANM33">
        <f t="shared" si="763"/>
        <v>0</v>
      </c>
      <c r="ANN33">
        <f t="shared" si="763"/>
        <v>0</v>
      </c>
      <c r="ANO33">
        <f t="shared" si="763"/>
        <v>0</v>
      </c>
      <c r="ANP33">
        <f t="shared" si="763"/>
        <v>0</v>
      </c>
      <c r="ANQ33">
        <f t="shared" si="763"/>
        <v>0</v>
      </c>
      <c r="ANR33">
        <f t="shared" si="763"/>
        <v>0</v>
      </c>
      <c r="ANS33">
        <f t="shared" si="763"/>
        <v>0</v>
      </c>
      <c r="ANT33">
        <f t="shared" si="763"/>
        <v>0</v>
      </c>
      <c r="ANU33">
        <f t="shared" si="763"/>
        <v>0</v>
      </c>
      <c r="ANV33">
        <f t="shared" si="763"/>
        <v>0</v>
      </c>
      <c r="ANW33">
        <f t="shared" si="763"/>
        <v>0</v>
      </c>
      <c r="ANX33">
        <f t="shared" si="763"/>
        <v>0</v>
      </c>
      <c r="ANY33">
        <f t="shared" si="763"/>
        <v>0</v>
      </c>
      <c r="ANZ33">
        <f t="shared" si="763"/>
        <v>0</v>
      </c>
      <c r="AOA33">
        <f t="shared" si="763"/>
        <v>0</v>
      </c>
      <c r="AOB33">
        <f t="shared" si="763"/>
        <v>0</v>
      </c>
      <c r="AOC33">
        <f t="shared" si="763"/>
        <v>0</v>
      </c>
    </row>
    <row r="34" spans="1:1069" x14ac:dyDescent="0.2">
      <c r="A34" s="160"/>
      <c r="B34" t="s">
        <v>1666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98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2"/>
      <c r="BF34" s="82"/>
      <c r="BG34" s="82"/>
      <c r="BH34" s="82"/>
      <c r="BI34" s="82"/>
      <c r="BJ34" s="82"/>
      <c r="BK34" s="82"/>
      <c r="BL34" s="82"/>
      <c r="BM34" s="106"/>
      <c r="BN34" s="82"/>
      <c r="BO34" s="82"/>
      <c r="BP34" s="82"/>
      <c r="BQ34" s="82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2"/>
      <c r="CD34" s="82"/>
      <c r="CE34" s="82"/>
      <c r="CF34" s="82"/>
      <c r="CG34" s="82"/>
      <c r="CH34" s="82"/>
      <c r="CI34" s="82"/>
      <c r="CJ34" s="82"/>
      <c r="CK34" s="82"/>
      <c r="CL34" s="82"/>
      <c r="CM34" s="82"/>
      <c r="CN34" s="82"/>
      <c r="CO34" s="82"/>
      <c r="CP34" s="82"/>
      <c r="CQ34" s="82"/>
      <c r="CR34" s="82"/>
      <c r="CT34" s="82"/>
      <c r="CU34" s="82"/>
      <c r="CV34" s="82"/>
      <c r="CW34" s="82"/>
      <c r="CX34" s="82"/>
      <c r="CY34" s="82"/>
      <c r="CZ34" s="82"/>
      <c r="DA34" s="82"/>
      <c r="DB34" s="82"/>
      <c r="DC34" s="82"/>
      <c r="DD34" s="82"/>
      <c r="DE34" s="82"/>
      <c r="DF34" s="82"/>
      <c r="DG34" s="82"/>
      <c r="DH34" s="82"/>
      <c r="DI34" s="82"/>
      <c r="DJ34" s="82"/>
      <c r="DK34" s="82"/>
      <c r="DL34" s="82"/>
      <c r="DM34" s="82"/>
      <c r="DN34" s="82"/>
      <c r="DO34" s="82"/>
      <c r="DP34" s="82"/>
      <c r="DQ34" s="82"/>
      <c r="DR34" s="82"/>
      <c r="DS34" s="82"/>
      <c r="DT34" s="82"/>
      <c r="DU34" s="82"/>
      <c r="DV34" s="82"/>
      <c r="DW34" s="82"/>
      <c r="DX34" s="117"/>
      <c r="DY34" s="82"/>
      <c r="DZ34" s="82"/>
      <c r="EA34" s="82"/>
      <c r="EB34" s="82"/>
      <c r="EC34" s="82"/>
      <c r="ED34" s="82"/>
      <c r="EE34" s="82"/>
      <c r="EF34" s="82"/>
      <c r="EG34" s="82"/>
      <c r="EH34" s="82"/>
      <c r="EI34" s="82"/>
      <c r="EJ34" s="82"/>
      <c r="EK34" s="82"/>
      <c r="EL34" s="82"/>
      <c r="EM34" s="82"/>
      <c r="EN34" s="82"/>
      <c r="EO34" s="82"/>
      <c r="EP34" s="82"/>
      <c r="EQ34" s="82"/>
      <c r="ER34" s="82"/>
      <c r="ES34" s="82"/>
      <c r="ET34" s="82"/>
      <c r="EU34" s="82"/>
      <c r="EV34" s="82"/>
      <c r="EW34" s="82"/>
      <c r="EX34" s="82"/>
      <c r="EY34" s="82"/>
      <c r="EZ34" s="82"/>
      <c r="FA34" s="82"/>
      <c r="FB34" s="82"/>
      <c r="FC34" s="82"/>
      <c r="FD34" s="126"/>
      <c r="FE34" s="82"/>
      <c r="FF34" s="82"/>
      <c r="FG34" s="82"/>
      <c r="FH34" s="82"/>
      <c r="FI34" s="82"/>
      <c r="FJ34" s="82"/>
      <c r="FK34" s="82"/>
      <c r="FL34" s="82"/>
      <c r="FM34" s="82"/>
      <c r="FN34" s="82"/>
      <c r="FO34" s="82"/>
      <c r="FP34" s="82"/>
      <c r="FQ34" s="82"/>
      <c r="FR34" s="82"/>
      <c r="FS34" s="82"/>
      <c r="FT34" s="82"/>
      <c r="FU34" s="82"/>
      <c r="FV34" s="82"/>
      <c r="FW34" s="82"/>
      <c r="FX34" s="82"/>
      <c r="FY34" s="82"/>
      <c r="FZ34" s="82"/>
      <c r="GA34" s="82"/>
      <c r="GB34" s="82"/>
      <c r="GC34" s="82"/>
      <c r="GD34" s="82"/>
      <c r="GE34" s="82"/>
      <c r="GF34" s="82"/>
      <c r="GG34" s="82"/>
      <c r="GH34" s="82"/>
      <c r="GI34" s="82"/>
      <c r="GJ34" s="130"/>
      <c r="HD34">
        <v>1200000</v>
      </c>
      <c r="HE34">
        <f>HD34</f>
        <v>1200000</v>
      </c>
      <c r="HF34">
        <f>HE34</f>
        <v>1200000</v>
      </c>
      <c r="HG34">
        <f>HF34</f>
        <v>1200000</v>
      </c>
      <c r="HH34">
        <f>HG34+400000</f>
        <v>1600000</v>
      </c>
      <c r="HI34">
        <f>HH34</f>
        <v>1600000</v>
      </c>
      <c r="HJ34">
        <f>HI34</f>
        <v>1600000</v>
      </c>
      <c r="HK34">
        <f>HJ34</f>
        <v>1600000</v>
      </c>
      <c r="HL34">
        <f>HK34</f>
        <v>1600000</v>
      </c>
      <c r="HM34">
        <f>HL34</f>
        <v>1600000</v>
      </c>
      <c r="HN34" s="130"/>
      <c r="HO34">
        <f>HM34</f>
        <v>1600000</v>
      </c>
      <c r="HP34">
        <f>HO34+100000</f>
        <v>1700000</v>
      </c>
      <c r="HQ34">
        <f>HP34</f>
        <v>1700000</v>
      </c>
      <c r="HR34">
        <f t="shared" si="734"/>
        <v>1700000</v>
      </c>
      <c r="HS34">
        <f t="shared" si="734"/>
        <v>1700000</v>
      </c>
      <c r="HT34">
        <f t="shared" si="734"/>
        <v>1700000</v>
      </c>
      <c r="HU34">
        <f t="shared" ref="HU34:IC34" si="764">HS34</f>
        <v>1700000</v>
      </c>
      <c r="HV34">
        <f t="shared" si="764"/>
        <v>1700000</v>
      </c>
      <c r="HW34">
        <f t="shared" si="764"/>
        <v>1700000</v>
      </c>
      <c r="HX34">
        <f t="shared" si="764"/>
        <v>1700000</v>
      </c>
      <c r="HY34">
        <f t="shared" si="764"/>
        <v>1700000</v>
      </c>
      <c r="HZ34">
        <f t="shared" si="764"/>
        <v>1700000</v>
      </c>
      <c r="IA34">
        <f t="shared" si="764"/>
        <v>1700000</v>
      </c>
      <c r="IB34">
        <f t="shared" si="764"/>
        <v>1700000</v>
      </c>
      <c r="IC34">
        <f t="shared" si="764"/>
        <v>1700000</v>
      </c>
      <c r="ID34">
        <f>IB34+200000</f>
        <v>1900000</v>
      </c>
      <c r="IE34">
        <f>ID34</f>
        <v>1900000</v>
      </c>
      <c r="IF34">
        <f t="shared" ref="IF34:IS34" si="765">ID34</f>
        <v>1900000</v>
      </c>
      <c r="IG34">
        <f t="shared" si="765"/>
        <v>1900000</v>
      </c>
      <c r="IH34">
        <f t="shared" si="765"/>
        <v>1900000</v>
      </c>
      <c r="II34">
        <f t="shared" si="765"/>
        <v>1900000</v>
      </c>
      <c r="IJ34">
        <f t="shared" si="765"/>
        <v>1900000</v>
      </c>
      <c r="IK34">
        <f t="shared" si="765"/>
        <v>1900000</v>
      </c>
      <c r="IL34">
        <f t="shared" si="765"/>
        <v>1900000</v>
      </c>
      <c r="IM34">
        <f t="shared" si="765"/>
        <v>1900000</v>
      </c>
      <c r="IN34">
        <f t="shared" si="765"/>
        <v>1900000</v>
      </c>
      <c r="IO34">
        <f t="shared" si="765"/>
        <v>1900000</v>
      </c>
      <c r="IP34">
        <f t="shared" si="765"/>
        <v>1900000</v>
      </c>
      <c r="IQ34">
        <f t="shared" si="765"/>
        <v>1900000</v>
      </c>
      <c r="IR34">
        <f t="shared" si="765"/>
        <v>1900000</v>
      </c>
      <c r="IS34">
        <f t="shared" si="765"/>
        <v>1900000</v>
      </c>
      <c r="IT34" s="130"/>
      <c r="IU34">
        <f>IS34</f>
        <v>1900000</v>
      </c>
      <c r="IV34">
        <f>IU34</f>
        <v>1900000</v>
      </c>
      <c r="IW34">
        <f t="shared" si="659"/>
        <v>1900000</v>
      </c>
      <c r="IX34">
        <f t="shared" si="659"/>
        <v>1900000</v>
      </c>
      <c r="IY34">
        <f t="shared" si="659"/>
        <v>1900000</v>
      </c>
      <c r="IZ34">
        <f t="shared" si="702"/>
        <v>1900000</v>
      </c>
      <c r="JA34">
        <f t="shared" si="702"/>
        <v>1900000</v>
      </c>
      <c r="JB34">
        <f t="shared" si="660"/>
        <v>1900000</v>
      </c>
      <c r="JC34">
        <f t="shared" si="660"/>
        <v>1900000</v>
      </c>
      <c r="JD34">
        <f t="shared" si="660"/>
        <v>1900000</v>
      </c>
      <c r="JE34">
        <f t="shared" si="660"/>
        <v>1900000</v>
      </c>
      <c r="JF34">
        <f t="shared" si="660"/>
        <v>1900000</v>
      </c>
      <c r="JG34">
        <f>JF34</f>
        <v>1900000</v>
      </c>
      <c r="JH34">
        <f t="shared" si="661"/>
        <v>1900000</v>
      </c>
      <c r="JI34">
        <f t="shared" si="661"/>
        <v>1900000</v>
      </c>
      <c r="JJ34">
        <f t="shared" si="661"/>
        <v>1900000</v>
      </c>
      <c r="JK34">
        <f t="shared" si="661"/>
        <v>1900000</v>
      </c>
      <c r="JL34">
        <f t="shared" si="661"/>
        <v>1900000</v>
      </c>
      <c r="JM34">
        <f t="shared" si="661"/>
        <v>1900000</v>
      </c>
      <c r="JN34">
        <f t="shared" si="661"/>
        <v>1900000</v>
      </c>
      <c r="JO34">
        <f t="shared" ref="JO34:JW34" si="766">JN34</f>
        <v>1900000</v>
      </c>
      <c r="JP34">
        <f t="shared" si="766"/>
        <v>1900000</v>
      </c>
      <c r="JQ34">
        <f t="shared" si="766"/>
        <v>1900000</v>
      </c>
      <c r="JR34">
        <f t="shared" si="766"/>
        <v>1900000</v>
      </c>
      <c r="JS34">
        <f t="shared" si="766"/>
        <v>1900000</v>
      </c>
      <c r="JT34">
        <f t="shared" si="766"/>
        <v>1900000</v>
      </c>
      <c r="JU34">
        <f t="shared" si="766"/>
        <v>1900000</v>
      </c>
      <c r="JV34">
        <f t="shared" si="766"/>
        <v>1900000</v>
      </c>
      <c r="JW34">
        <f t="shared" si="766"/>
        <v>1900000</v>
      </c>
      <c r="JX34">
        <f>JW34</f>
        <v>1900000</v>
      </c>
      <c r="JY34" s="130"/>
      <c r="JZ34">
        <f>JX34</f>
        <v>1900000</v>
      </c>
      <c r="KA34">
        <f>JZ34</f>
        <v>1900000</v>
      </c>
      <c r="KB34">
        <f t="shared" ref="KB34:KZ34" si="767">JZ34</f>
        <v>1900000</v>
      </c>
      <c r="KC34">
        <f t="shared" si="767"/>
        <v>1900000</v>
      </c>
      <c r="KD34">
        <f t="shared" si="767"/>
        <v>1900000</v>
      </c>
      <c r="KE34">
        <f t="shared" si="767"/>
        <v>1900000</v>
      </c>
      <c r="KF34">
        <f t="shared" si="767"/>
        <v>1900000</v>
      </c>
      <c r="KG34">
        <f t="shared" si="767"/>
        <v>1900000</v>
      </c>
      <c r="KH34">
        <f t="shared" si="767"/>
        <v>1900000</v>
      </c>
      <c r="KI34">
        <f t="shared" si="767"/>
        <v>1900000</v>
      </c>
      <c r="KJ34">
        <f t="shared" si="767"/>
        <v>1900000</v>
      </c>
      <c r="KK34">
        <f t="shared" si="767"/>
        <v>1900000</v>
      </c>
      <c r="KL34">
        <f t="shared" si="767"/>
        <v>1900000</v>
      </c>
      <c r="KM34">
        <f t="shared" si="767"/>
        <v>1900000</v>
      </c>
      <c r="KN34">
        <f t="shared" si="767"/>
        <v>1900000</v>
      </c>
      <c r="KO34">
        <f t="shared" si="767"/>
        <v>1900000</v>
      </c>
      <c r="KP34">
        <f t="shared" si="767"/>
        <v>1900000</v>
      </c>
      <c r="KQ34">
        <f t="shared" si="767"/>
        <v>1900000</v>
      </c>
      <c r="KR34">
        <f t="shared" si="767"/>
        <v>1900000</v>
      </c>
      <c r="KS34">
        <f t="shared" si="767"/>
        <v>1900000</v>
      </c>
      <c r="KT34">
        <f t="shared" si="767"/>
        <v>1900000</v>
      </c>
      <c r="KU34">
        <f t="shared" si="767"/>
        <v>1900000</v>
      </c>
      <c r="KV34">
        <f t="shared" si="767"/>
        <v>1900000</v>
      </c>
      <c r="KW34">
        <f t="shared" si="767"/>
        <v>1900000</v>
      </c>
      <c r="KX34">
        <f t="shared" si="767"/>
        <v>1900000</v>
      </c>
      <c r="KY34">
        <f t="shared" si="767"/>
        <v>1900000</v>
      </c>
      <c r="KZ34">
        <f t="shared" si="767"/>
        <v>1900000</v>
      </c>
      <c r="LA34">
        <v>0</v>
      </c>
      <c r="LB34">
        <v>0</v>
      </c>
      <c r="LC34">
        <f t="shared" ref="LC34:LD36" si="768">LA34</f>
        <v>0</v>
      </c>
      <c r="LD34">
        <f t="shared" si="768"/>
        <v>0</v>
      </c>
      <c r="LE34" s="130"/>
      <c r="LF34">
        <f t="shared" si="663"/>
        <v>0</v>
      </c>
      <c r="LG34">
        <f t="shared" ref="LG34:LP35" si="769">LE34</f>
        <v>0</v>
      </c>
      <c r="LH34">
        <f t="shared" si="769"/>
        <v>0</v>
      </c>
      <c r="LI34">
        <f t="shared" si="769"/>
        <v>0</v>
      </c>
      <c r="LJ34">
        <f t="shared" si="769"/>
        <v>0</v>
      </c>
      <c r="LK34">
        <f t="shared" si="769"/>
        <v>0</v>
      </c>
      <c r="LL34">
        <f t="shared" si="769"/>
        <v>0</v>
      </c>
      <c r="LM34">
        <f t="shared" si="769"/>
        <v>0</v>
      </c>
      <c r="LN34">
        <f t="shared" si="769"/>
        <v>0</v>
      </c>
      <c r="LO34">
        <f t="shared" si="769"/>
        <v>0</v>
      </c>
      <c r="LP34">
        <f t="shared" si="769"/>
        <v>0</v>
      </c>
      <c r="LQ34">
        <f t="shared" ref="LQ34:LZ35" si="770">LO34</f>
        <v>0</v>
      </c>
      <c r="LR34">
        <f t="shared" si="770"/>
        <v>0</v>
      </c>
      <c r="LS34">
        <f t="shared" si="770"/>
        <v>0</v>
      </c>
      <c r="LT34">
        <f t="shared" si="770"/>
        <v>0</v>
      </c>
      <c r="LU34">
        <f t="shared" si="770"/>
        <v>0</v>
      </c>
      <c r="LV34">
        <f t="shared" si="770"/>
        <v>0</v>
      </c>
      <c r="LW34">
        <f t="shared" si="770"/>
        <v>0</v>
      </c>
      <c r="LX34">
        <f t="shared" si="770"/>
        <v>0</v>
      </c>
      <c r="LY34">
        <f t="shared" si="770"/>
        <v>0</v>
      </c>
      <c r="LZ34">
        <f t="shared" si="770"/>
        <v>0</v>
      </c>
      <c r="MA34">
        <f t="shared" ref="MA34:MJ35" si="771">LY34</f>
        <v>0</v>
      </c>
      <c r="MB34">
        <f t="shared" si="771"/>
        <v>0</v>
      </c>
      <c r="MC34">
        <f t="shared" si="771"/>
        <v>0</v>
      </c>
      <c r="MD34">
        <f t="shared" si="771"/>
        <v>0</v>
      </c>
      <c r="ME34">
        <f t="shared" si="771"/>
        <v>0</v>
      </c>
      <c r="MF34">
        <f t="shared" si="771"/>
        <v>0</v>
      </c>
      <c r="MG34">
        <f t="shared" si="771"/>
        <v>0</v>
      </c>
      <c r="MH34">
        <f t="shared" si="771"/>
        <v>0</v>
      </c>
      <c r="MI34">
        <f t="shared" si="771"/>
        <v>0</v>
      </c>
      <c r="MJ34" s="130"/>
      <c r="MK34">
        <f t="shared" ref="MK34:MT35" si="772">MI34</f>
        <v>0</v>
      </c>
      <c r="ML34">
        <f t="shared" si="772"/>
        <v>0</v>
      </c>
      <c r="MM34">
        <f t="shared" si="772"/>
        <v>0</v>
      </c>
      <c r="MN34">
        <f t="shared" si="772"/>
        <v>0</v>
      </c>
      <c r="MO34">
        <f t="shared" si="772"/>
        <v>0</v>
      </c>
      <c r="MP34">
        <f t="shared" si="772"/>
        <v>0</v>
      </c>
      <c r="MQ34">
        <f t="shared" si="772"/>
        <v>0</v>
      </c>
      <c r="MR34">
        <f t="shared" si="772"/>
        <v>0</v>
      </c>
      <c r="MS34">
        <f t="shared" si="772"/>
        <v>0</v>
      </c>
      <c r="MT34">
        <f t="shared" si="772"/>
        <v>0</v>
      </c>
      <c r="MU34">
        <f t="shared" ref="MU34:ND35" si="773">MS34</f>
        <v>0</v>
      </c>
      <c r="MV34">
        <f t="shared" si="773"/>
        <v>0</v>
      </c>
      <c r="MW34">
        <f t="shared" si="773"/>
        <v>0</v>
      </c>
      <c r="MX34">
        <f t="shared" si="773"/>
        <v>0</v>
      </c>
      <c r="MY34">
        <f t="shared" si="773"/>
        <v>0</v>
      </c>
      <c r="MZ34">
        <f t="shared" si="773"/>
        <v>0</v>
      </c>
      <c r="NA34">
        <f t="shared" si="773"/>
        <v>0</v>
      </c>
      <c r="NB34">
        <f t="shared" si="773"/>
        <v>0</v>
      </c>
      <c r="NC34">
        <f t="shared" si="773"/>
        <v>0</v>
      </c>
      <c r="ND34">
        <f t="shared" si="773"/>
        <v>0</v>
      </c>
      <c r="NE34">
        <f t="shared" ref="NE34:NN35" si="774">NC34</f>
        <v>0</v>
      </c>
      <c r="NF34">
        <f t="shared" si="774"/>
        <v>0</v>
      </c>
      <c r="NG34">
        <f t="shared" si="774"/>
        <v>0</v>
      </c>
      <c r="NH34">
        <f t="shared" si="774"/>
        <v>0</v>
      </c>
      <c r="NI34">
        <f t="shared" si="774"/>
        <v>0</v>
      </c>
      <c r="NJ34">
        <f t="shared" si="774"/>
        <v>0</v>
      </c>
      <c r="NK34">
        <f t="shared" si="774"/>
        <v>0</v>
      </c>
      <c r="NL34">
        <f t="shared" si="774"/>
        <v>0</v>
      </c>
      <c r="NM34">
        <f t="shared" si="774"/>
        <v>0</v>
      </c>
      <c r="NN34">
        <f t="shared" si="774"/>
        <v>0</v>
      </c>
      <c r="NO34">
        <f t="shared" ref="NO34:NX35" si="775">NM34</f>
        <v>0</v>
      </c>
      <c r="NP34" s="130"/>
      <c r="NQ34">
        <f t="shared" ref="NQ34:NZ35" si="776">NO34</f>
        <v>0</v>
      </c>
      <c r="NR34">
        <f t="shared" si="776"/>
        <v>0</v>
      </c>
      <c r="NS34">
        <f t="shared" si="776"/>
        <v>0</v>
      </c>
      <c r="NT34">
        <f t="shared" si="776"/>
        <v>0</v>
      </c>
      <c r="NU34">
        <f t="shared" si="776"/>
        <v>0</v>
      </c>
      <c r="NV34">
        <f t="shared" si="776"/>
        <v>0</v>
      </c>
      <c r="NW34">
        <f t="shared" si="776"/>
        <v>0</v>
      </c>
      <c r="NX34">
        <f t="shared" si="776"/>
        <v>0</v>
      </c>
      <c r="NY34">
        <f t="shared" si="776"/>
        <v>0</v>
      </c>
      <c r="NZ34">
        <f t="shared" si="776"/>
        <v>0</v>
      </c>
      <c r="OA34">
        <f t="shared" ref="OA34:OJ35" si="777">NY34</f>
        <v>0</v>
      </c>
      <c r="OB34">
        <f t="shared" si="777"/>
        <v>0</v>
      </c>
      <c r="OC34">
        <f t="shared" si="777"/>
        <v>0</v>
      </c>
      <c r="OD34">
        <f t="shared" si="777"/>
        <v>0</v>
      </c>
      <c r="OE34">
        <f t="shared" si="777"/>
        <v>0</v>
      </c>
      <c r="OF34">
        <f t="shared" si="777"/>
        <v>0</v>
      </c>
      <c r="OG34">
        <f t="shared" si="777"/>
        <v>0</v>
      </c>
      <c r="OH34">
        <f t="shared" si="777"/>
        <v>0</v>
      </c>
      <c r="OI34">
        <f t="shared" si="777"/>
        <v>0</v>
      </c>
      <c r="OJ34">
        <f t="shared" si="777"/>
        <v>0</v>
      </c>
      <c r="OK34">
        <f t="shared" ref="OK34:OT35" si="778">OI34</f>
        <v>0</v>
      </c>
      <c r="OL34">
        <f t="shared" si="778"/>
        <v>0</v>
      </c>
      <c r="OM34">
        <f t="shared" si="778"/>
        <v>0</v>
      </c>
      <c r="ON34">
        <f t="shared" si="778"/>
        <v>0</v>
      </c>
      <c r="OO34">
        <f t="shared" si="778"/>
        <v>0</v>
      </c>
      <c r="OP34">
        <f t="shared" si="778"/>
        <v>0</v>
      </c>
      <c r="OQ34">
        <f t="shared" si="778"/>
        <v>0</v>
      </c>
      <c r="OR34">
        <f t="shared" si="778"/>
        <v>0</v>
      </c>
      <c r="OS34">
        <f t="shared" si="778"/>
        <v>0</v>
      </c>
      <c r="OT34">
        <f t="shared" si="778"/>
        <v>0</v>
      </c>
      <c r="OU34">
        <f t="shared" ref="OU34:PD35" si="779">OS34</f>
        <v>0</v>
      </c>
      <c r="OV34" s="130"/>
      <c r="OW34">
        <f t="shared" ref="OW34:OY35" si="780">OU34</f>
        <v>0</v>
      </c>
      <c r="OX34">
        <f t="shared" si="780"/>
        <v>0</v>
      </c>
      <c r="OY34">
        <f t="shared" si="780"/>
        <v>0</v>
      </c>
      <c r="OZ34">
        <v>294117</v>
      </c>
      <c r="PA34">
        <f>OZ34</f>
        <v>294117</v>
      </c>
      <c r="PB34">
        <f>OZ34</f>
        <v>294117</v>
      </c>
      <c r="PC34">
        <v>0</v>
      </c>
      <c r="PD34">
        <v>0</v>
      </c>
      <c r="PE34">
        <f t="shared" ref="PE34:PN36" si="781">PC34</f>
        <v>0</v>
      </c>
      <c r="PF34">
        <f t="shared" si="781"/>
        <v>0</v>
      </c>
      <c r="PG34">
        <f t="shared" si="781"/>
        <v>0</v>
      </c>
      <c r="PH34">
        <f t="shared" si="781"/>
        <v>0</v>
      </c>
      <c r="PI34">
        <f t="shared" si="781"/>
        <v>0</v>
      </c>
      <c r="PJ34">
        <f t="shared" si="781"/>
        <v>0</v>
      </c>
      <c r="PK34">
        <f t="shared" si="781"/>
        <v>0</v>
      </c>
      <c r="PL34">
        <f t="shared" si="781"/>
        <v>0</v>
      </c>
      <c r="PM34">
        <f t="shared" si="781"/>
        <v>0</v>
      </c>
      <c r="PN34">
        <f t="shared" si="781"/>
        <v>0</v>
      </c>
      <c r="PO34">
        <f t="shared" ref="PO34:PX36" si="782">PM34</f>
        <v>0</v>
      </c>
      <c r="PP34">
        <f t="shared" si="782"/>
        <v>0</v>
      </c>
      <c r="PQ34">
        <f t="shared" si="782"/>
        <v>0</v>
      </c>
      <c r="PR34">
        <f t="shared" si="782"/>
        <v>0</v>
      </c>
      <c r="PS34">
        <f t="shared" si="782"/>
        <v>0</v>
      </c>
      <c r="PT34">
        <f t="shared" si="782"/>
        <v>0</v>
      </c>
      <c r="PU34">
        <f t="shared" si="782"/>
        <v>0</v>
      </c>
      <c r="PV34">
        <f t="shared" si="782"/>
        <v>0</v>
      </c>
      <c r="PW34">
        <f t="shared" si="782"/>
        <v>0</v>
      </c>
      <c r="PX34">
        <f t="shared" si="782"/>
        <v>0</v>
      </c>
      <c r="PY34">
        <f t="shared" ref="PY34:QH36" si="783">PW34</f>
        <v>0</v>
      </c>
      <c r="PZ34">
        <f t="shared" si="783"/>
        <v>0</v>
      </c>
      <c r="QA34" s="130"/>
      <c r="QB34">
        <f t="shared" ref="QB34:QK35" si="784">PZ34</f>
        <v>0</v>
      </c>
      <c r="QC34">
        <f t="shared" si="784"/>
        <v>0</v>
      </c>
      <c r="QD34">
        <f t="shared" si="784"/>
        <v>0</v>
      </c>
      <c r="QE34">
        <f t="shared" si="784"/>
        <v>0</v>
      </c>
      <c r="QF34">
        <f t="shared" si="784"/>
        <v>0</v>
      </c>
      <c r="QG34">
        <f t="shared" si="784"/>
        <v>0</v>
      </c>
      <c r="QH34">
        <f t="shared" si="784"/>
        <v>0</v>
      </c>
      <c r="QI34">
        <f t="shared" si="784"/>
        <v>0</v>
      </c>
      <c r="QJ34">
        <f t="shared" si="784"/>
        <v>0</v>
      </c>
      <c r="QK34">
        <f t="shared" si="784"/>
        <v>0</v>
      </c>
      <c r="QL34">
        <f t="shared" ref="QL34:QU35" si="785">QJ34</f>
        <v>0</v>
      </c>
      <c r="QM34">
        <f t="shared" si="785"/>
        <v>0</v>
      </c>
      <c r="QN34">
        <f t="shared" si="785"/>
        <v>0</v>
      </c>
      <c r="QO34">
        <f t="shared" si="785"/>
        <v>0</v>
      </c>
      <c r="QP34">
        <f t="shared" si="785"/>
        <v>0</v>
      </c>
      <c r="QQ34">
        <f t="shared" si="785"/>
        <v>0</v>
      </c>
      <c r="QR34">
        <f t="shared" si="785"/>
        <v>0</v>
      </c>
      <c r="QS34">
        <f t="shared" si="785"/>
        <v>0</v>
      </c>
      <c r="QT34">
        <f t="shared" si="785"/>
        <v>0</v>
      </c>
      <c r="QU34">
        <f t="shared" si="785"/>
        <v>0</v>
      </c>
      <c r="QV34">
        <f t="shared" ref="QV34:RE35" si="786">QT34</f>
        <v>0</v>
      </c>
      <c r="QW34">
        <f t="shared" si="786"/>
        <v>0</v>
      </c>
      <c r="QX34">
        <f t="shared" si="786"/>
        <v>0</v>
      </c>
      <c r="QY34">
        <f t="shared" si="786"/>
        <v>0</v>
      </c>
      <c r="QZ34">
        <f t="shared" si="786"/>
        <v>0</v>
      </c>
      <c r="RA34">
        <f t="shared" si="786"/>
        <v>0</v>
      </c>
      <c r="RB34">
        <f t="shared" si="786"/>
        <v>0</v>
      </c>
      <c r="RC34">
        <f t="shared" si="786"/>
        <v>0</v>
      </c>
      <c r="RD34">
        <f t="shared" si="786"/>
        <v>0</v>
      </c>
      <c r="RE34">
        <f t="shared" si="786"/>
        <v>0</v>
      </c>
      <c r="RF34">
        <f t="shared" ref="RF34:RO35" si="787">RD34</f>
        <v>0</v>
      </c>
      <c r="RG34" s="130"/>
      <c r="RH34">
        <f t="shared" ref="RH34:RQ35" si="788">RF34</f>
        <v>0</v>
      </c>
      <c r="RI34">
        <f t="shared" si="788"/>
        <v>0</v>
      </c>
      <c r="RJ34">
        <f t="shared" si="788"/>
        <v>0</v>
      </c>
      <c r="RK34">
        <f t="shared" si="788"/>
        <v>0</v>
      </c>
      <c r="RL34">
        <f t="shared" si="788"/>
        <v>0</v>
      </c>
      <c r="RM34">
        <f t="shared" si="788"/>
        <v>0</v>
      </c>
      <c r="RN34">
        <f t="shared" si="788"/>
        <v>0</v>
      </c>
      <c r="RO34">
        <f t="shared" si="788"/>
        <v>0</v>
      </c>
      <c r="RP34">
        <f t="shared" si="788"/>
        <v>0</v>
      </c>
      <c r="RQ34">
        <f t="shared" si="788"/>
        <v>0</v>
      </c>
      <c r="RR34">
        <f t="shared" ref="RR34:SA35" si="789">RP34</f>
        <v>0</v>
      </c>
      <c r="RS34">
        <f t="shared" si="789"/>
        <v>0</v>
      </c>
      <c r="RT34">
        <f t="shared" si="789"/>
        <v>0</v>
      </c>
      <c r="RU34">
        <f t="shared" si="789"/>
        <v>0</v>
      </c>
      <c r="RV34">
        <f t="shared" si="789"/>
        <v>0</v>
      </c>
      <c r="RW34">
        <f t="shared" si="789"/>
        <v>0</v>
      </c>
      <c r="RX34">
        <f t="shared" si="789"/>
        <v>0</v>
      </c>
      <c r="RY34">
        <f t="shared" si="789"/>
        <v>0</v>
      </c>
      <c r="RZ34">
        <f t="shared" si="789"/>
        <v>0</v>
      </c>
      <c r="SA34">
        <f t="shared" si="789"/>
        <v>0</v>
      </c>
      <c r="SB34">
        <f t="shared" ref="SB34:SK35" si="790">RZ34</f>
        <v>0</v>
      </c>
      <c r="SC34">
        <f t="shared" si="790"/>
        <v>0</v>
      </c>
      <c r="SD34">
        <f t="shared" si="790"/>
        <v>0</v>
      </c>
      <c r="SE34">
        <f t="shared" si="790"/>
        <v>0</v>
      </c>
      <c r="SF34">
        <v>1356540</v>
      </c>
      <c r="SG34">
        <f>SF34</f>
        <v>1356540</v>
      </c>
      <c r="SH34">
        <f t="shared" ref="SH34:SK35" si="791">SF34</f>
        <v>1356540</v>
      </c>
      <c r="SI34">
        <f t="shared" si="791"/>
        <v>1356540</v>
      </c>
      <c r="SJ34">
        <f t="shared" si="791"/>
        <v>1356540</v>
      </c>
      <c r="SK34">
        <f t="shared" si="791"/>
        <v>1356540</v>
      </c>
      <c r="SL34" s="130"/>
      <c r="SM34">
        <f>SK34</f>
        <v>1356540</v>
      </c>
      <c r="SN34">
        <f t="shared" ref="SN34:TQ34" si="792">SM34</f>
        <v>1356540</v>
      </c>
      <c r="SO34">
        <f t="shared" si="792"/>
        <v>1356540</v>
      </c>
      <c r="SP34">
        <f t="shared" si="792"/>
        <v>1356540</v>
      </c>
      <c r="SQ34">
        <f t="shared" si="792"/>
        <v>1356540</v>
      </c>
      <c r="SR34">
        <f t="shared" si="792"/>
        <v>1356540</v>
      </c>
      <c r="SS34">
        <f t="shared" si="792"/>
        <v>1356540</v>
      </c>
      <c r="ST34">
        <f t="shared" si="792"/>
        <v>1356540</v>
      </c>
      <c r="SU34">
        <f t="shared" si="792"/>
        <v>1356540</v>
      </c>
      <c r="SV34">
        <f t="shared" si="792"/>
        <v>1356540</v>
      </c>
      <c r="SW34">
        <f t="shared" si="792"/>
        <v>1356540</v>
      </c>
      <c r="SX34">
        <f t="shared" si="792"/>
        <v>1356540</v>
      </c>
      <c r="SY34">
        <f t="shared" si="792"/>
        <v>1356540</v>
      </c>
      <c r="SZ34">
        <f t="shared" si="792"/>
        <v>1356540</v>
      </c>
      <c r="TA34">
        <f t="shared" si="792"/>
        <v>1356540</v>
      </c>
      <c r="TB34">
        <f t="shared" si="792"/>
        <v>1356540</v>
      </c>
      <c r="TC34">
        <f t="shared" si="792"/>
        <v>1356540</v>
      </c>
      <c r="TD34">
        <f t="shared" si="792"/>
        <v>1356540</v>
      </c>
      <c r="TE34">
        <f t="shared" si="792"/>
        <v>1356540</v>
      </c>
      <c r="TF34">
        <f t="shared" si="792"/>
        <v>1356540</v>
      </c>
      <c r="TG34">
        <f t="shared" si="792"/>
        <v>1356540</v>
      </c>
      <c r="TH34">
        <f t="shared" si="792"/>
        <v>1356540</v>
      </c>
      <c r="TI34">
        <f t="shared" si="792"/>
        <v>1356540</v>
      </c>
      <c r="TJ34">
        <f t="shared" si="792"/>
        <v>1356540</v>
      </c>
      <c r="TK34">
        <f t="shared" si="792"/>
        <v>1356540</v>
      </c>
      <c r="TL34">
        <f t="shared" si="792"/>
        <v>1356540</v>
      </c>
      <c r="TM34">
        <f t="shared" si="792"/>
        <v>1356540</v>
      </c>
      <c r="TN34">
        <f t="shared" si="792"/>
        <v>1356540</v>
      </c>
      <c r="TO34">
        <f t="shared" si="792"/>
        <v>1356540</v>
      </c>
      <c r="TP34">
        <f t="shared" si="792"/>
        <v>1356540</v>
      </c>
      <c r="TQ34">
        <f t="shared" si="792"/>
        <v>1356540</v>
      </c>
      <c r="TR34" s="130"/>
      <c r="TS34">
        <f>TQ34</f>
        <v>1356540</v>
      </c>
      <c r="TT34">
        <f t="shared" si="676"/>
        <v>1356540</v>
      </c>
      <c r="TU34">
        <f t="shared" si="676"/>
        <v>1356540</v>
      </c>
      <c r="TV34">
        <f t="shared" si="676"/>
        <v>1356540</v>
      </c>
      <c r="TW34">
        <f t="shared" si="652"/>
        <v>1356540</v>
      </c>
      <c r="TX34">
        <f>TW34</f>
        <v>1356540</v>
      </c>
      <c r="TY34">
        <v>0</v>
      </c>
      <c r="TZ34">
        <f t="shared" ref="TZ34:UW34" si="793">TY34</f>
        <v>0</v>
      </c>
      <c r="UA34">
        <f t="shared" si="793"/>
        <v>0</v>
      </c>
      <c r="UB34">
        <f t="shared" si="793"/>
        <v>0</v>
      </c>
      <c r="UC34">
        <f t="shared" si="793"/>
        <v>0</v>
      </c>
      <c r="UD34">
        <f t="shared" si="793"/>
        <v>0</v>
      </c>
      <c r="UE34">
        <f t="shared" si="793"/>
        <v>0</v>
      </c>
      <c r="UF34">
        <f t="shared" si="793"/>
        <v>0</v>
      </c>
      <c r="UG34">
        <f t="shared" si="793"/>
        <v>0</v>
      </c>
      <c r="UH34">
        <f t="shared" si="793"/>
        <v>0</v>
      </c>
      <c r="UI34">
        <f t="shared" si="793"/>
        <v>0</v>
      </c>
      <c r="UJ34">
        <f t="shared" si="793"/>
        <v>0</v>
      </c>
      <c r="UK34">
        <f t="shared" si="793"/>
        <v>0</v>
      </c>
      <c r="UL34">
        <f t="shared" si="793"/>
        <v>0</v>
      </c>
      <c r="UM34">
        <f t="shared" si="793"/>
        <v>0</v>
      </c>
      <c r="UN34">
        <f t="shared" si="793"/>
        <v>0</v>
      </c>
      <c r="UO34">
        <f t="shared" si="793"/>
        <v>0</v>
      </c>
      <c r="UP34">
        <f t="shared" si="793"/>
        <v>0</v>
      </c>
      <c r="UQ34">
        <f t="shared" si="793"/>
        <v>0</v>
      </c>
      <c r="UR34">
        <f t="shared" si="793"/>
        <v>0</v>
      </c>
      <c r="US34">
        <f t="shared" si="793"/>
        <v>0</v>
      </c>
      <c r="UT34">
        <f t="shared" si="793"/>
        <v>0</v>
      </c>
      <c r="UU34">
        <f t="shared" si="793"/>
        <v>0</v>
      </c>
      <c r="UV34">
        <f t="shared" si="793"/>
        <v>0</v>
      </c>
      <c r="UW34">
        <f t="shared" si="793"/>
        <v>0</v>
      </c>
      <c r="UX34" s="130"/>
      <c r="UY34">
        <f>UX34</f>
        <v>0</v>
      </c>
      <c r="UZ34">
        <f t="shared" si="678"/>
        <v>0</v>
      </c>
      <c r="VA34">
        <f t="shared" ref="VA34:VZ34" si="794">UZ34</f>
        <v>0</v>
      </c>
      <c r="VB34">
        <f t="shared" si="794"/>
        <v>0</v>
      </c>
      <c r="VC34">
        <f t="shared" si="794"/>
        <v>0</v>
      </c>
      <c r="VD34">
        <f t="shared" si="794"/>
        <v>0</v>
      </c>
      <c r="VE34">
        <f t="shared" si="794"/>
        <v>0</v>
      </c>
      <c r="VF34">
        <f t="shared" si="794"/>
        <v>0</v>
      </c>
      <c r="VG34">
        <f t="shared" si="794"/>
        <v>0</v>
      </c>
      <c r="VH34">
        <f t="shared" si="794"/>
        <v>0</v>
      </c>
      <c r="VI34">
        <f t="shared" si="794"/>
        <v>0</v>
      </c>
      <c r="VJ34">
        <f t="shared" si="794"/>
        <v>0</v>
      </c>
      <c r="VK34">
        <f t="shared" si="794"/>
        <v>0</v>
      </c>
      <c r="VL34">
        <f t="shared" si="794"/>
        <v>0</v>
      </c>
      <c r="VM34">
        <f t="shared" si="794"/>
        <v>0</v>
      </c>
      <c r="VN34">
        <f t="shared" si="794"/>
        <v>0</v>
      </c>
      <c r="VO34">
        <f t="shared" si="794"/>
        <v>0</v>
      </c>
      <c r="VP34">
        <f t="shared" si="794"/>
        <v>0</v>
      </c>
      <c r="VQ34">
        <f t="shared" si="794"/>
        <v>0</v>
      </c>
      <c r="VR34">
        <f t="shared" si="794"/>
        <v>0</v>
      </c>
      <c r="VS34">
        <f t="shared" si="794"/>
        <v>0</v>
      </c>
      <c r="VT34">
        <f t="shared" si="794"/>
        <v>0</v>
      </c>
      <c r="VU34">
        <f t="shared" si="794"/>
        <v>0</v>
      </c>
      <c r="VV34">
        <f t="shared" si="794"/>
        <v>0</v>
      </c>
      <c r="VW34">
        <f t="shared" si="794"/>
        <v>0</v>
      </c>
      <c r="VX34">
        <f t="shared" si="794"/>
        <v>0</v>
      </c>
      <c r="VY34">
        <f t="shared" si="794"/>
        <v>0</v>
      </c>
      <c r="VZ34">
        <f t="shared" si="794"/>
        <v>0</v>
      </c>
      <c r="WA34" s="130"/>
      <c r="WB34">
        <f>WA34</f>
        <v>0</v>
      </c>
      <c r="WC34">
        <f>WB34</f>
        <v>0</v>
      </c>
      <c r="WD34">
        <f t="shared" ref="WD34:XF34" si="795">WC34</f>
        <v>0</v>
      </c>
      <c r="WE34">
        <f t="shared" si="795"/>
        <v>0</v>
      </c>
      <c r="WF34">
        <f t="shared" si="795"/>
        <v>0</v>
      </c>
      <c r="WG34">
        <f t="shared" si="795"/>
        <v>0</v>
      </c>
      <c r="WH34">
        <f t="shared" si="795"/>
        <v>0</v>
      </c>
      <c r="WI34">
        <f t="shared" si="795"/>
        <v>0</v>
      </c>
      <c r="WJ34">
        <f t="shared" si="795"/>
        <v>0</v>
      </c>
      <c r="WK34">
        <f t="shared" si="795"/>
        <v>0</v>
      </c>
      <c r="WL34">
        <f t="shared" si="795"/>
        <v>0</v>
      </c>
      <c r="WM34">
        <f t="shared" si="795"/>
        <v>0</v>
      </c>
      <c r="WN34">
        <f t="shared" si="795"/>
        <v>0</v>
      </c>
      <c r="WO34">
        <f t="shared" si="795"/>
        <v>0</v>
      </c>
      <c r="WP34">
        <f t="shared" si="795"/>
        <v>0</v>
      </c>
      <c r="WQ34">
        <f t="shared" si="795"/>
        <v>0</v>
      </c>
      <c r="WR34">
        <f t="shared" si="795"/>
        <v>0</v>
      </c>
      <c r="WS34">
        <f t="shared" si="795"/>
        <v>0</v>
      </c>
      <c r="WT34">
        <f t="shared" si="795"/>
        <v>0</v>
      </c>
      <c r="WU34">
        <f t="shared" si="795"/>
        <v>0</v>
      </c>
      <c r="WV34">
        <f t="shared" si="795"/>
        <v>0</v>
      </c>
      <c r="WW34">
        <f t="shared" si="795"/>
        <v>0</v>
      </c>
      <c r="WX34">
        <f t="shared" si="795"/>
        <v>0</v>
      </c>
      <c r="WY34">
        <f t="shared" si="795"/>
        <v>0</v>
      </c>
      <c r="WZ34">
        <f t="shared" si="795"/>
        <v>0</v>
      </c>
      <c r="XA34">
        <f t="shared" si="795"/>
        <v>0</v>
      </c>
      <c r="XB34">
        <f t="shared" si="795"/>
        <v>0</v>
      </c>
      <c r="XC34">
        <f t="shared" si="795"/>
        <v>0</v>
      </c>
      <c r="XD34">
        <f t="shared" si="795"/>
        <v>0</v>
      </c>
      <c r="XE34">
        <f t="shared" si="795"/>
        <v>0</v>
      </c>
      <c r="XF34">
        <f t="shared" si="795"/>
        <v>0</v>
      </c>
      <c r="XG34" s="130"/>
      <c r="XH34">
        <f>XG34</f>
        <v>0</v>
      </c>
      <c r="XI34">
        <f t="shared" ref="XI34:YK34" si="796">XH34</f>
        <v>0</v>
      </c>
      <c r="XJ34">
        <f t="shared" si="796"/>
        <v>0</v>
      </c>
      <c r="XK34">
        <f t="shared" si="796"/>
        <v>0</v>
      </c>
      <c r="XL34">
        <f t="shared" si="796"/>
        <v>0</v>
      </c>
      <c r="XM34">
        <f t="shared" si="796"/>
        <v>0</v>
      </c>
      <c r="XN34">
        <f t="shared" si="796"/>
        <v>0</v>
      </c>
      <c r="XO34">
        <f t="shared" si="796"/>
        <v>0</v>
      </c>
      <c r="XP34">
        <f t="shared" si="796"/>
        <v>0</v>
      </c>
      <c r="XQ34">
        <f t="shared" si="796"/>
        <v>0</v>
      </c>
      <c r="XR34">
        <f t="shared" si="796"/>
        <v>0</v>
      </c>
      <c r="XS34">
        <f t="shared" si="796"/>
        <v>0</v>
      </c>
      <c r="XT34">
        <f t="shared" si="796"/>
        <v>0</v>
      </c>
      <c r="XU34">
        <f t="shared" si="796"/>
        <v>0</v>
      </c>
      <c r="XV34">
        <f t="shared" si="796"/>
        <v>0</v>
      </c>
      <c r="XW34">
        <f t="shared" si="796"/>
        <v>0</v>
      </c>
      <c r="XX34">
        <f t="shared" si="796"/>
        <v>0</v>
      </c>
      <c r="XY34">
        <f t="shared" si="796"/>
        <v>0</v>
      </c>
      <c r="XZ34">
        <f t="shared" si="796"/>
        <v>0</v>
      </c>
      <c r="YA34">
        <f t="shared" si="796"/>
        <v>0</v>
      </c>
      <c r="YB34">
        <f t="shared" si="796"/>
        <v>0</v>
      </c>
      <c r="YC34">
        <f t="shared" si="796"/>
        <v>0</v>
      </c>
      <c r="YD34">
        <f t="shared" si="796"/>
        <v>0</v>
      </c>
      <c r="YE34">
        <f t="shared" si="796"/>
        <v>0</v>
      </c>
      <c r="YF34">
        <f t="shared" si="796"/>
        <v>0</v>
      </c>
      <c r="YG34">
        <f t="shared" si="796"/>
        <v>0</v>
      </c>
      <c r="YH34">
        <f t="shared" si="796"/>
        <v>0</v>
      </c>
      <c r="YI34">
        <f t="shared" si="796"/>
        <v>0</v>
      </c>
      <c r="YJ34">
        <f t="shared" si="796"/>
        <v>0</v>
      </c>
      <c r="YK34">
        <f t="shared" si="796"/>
        <v>0</v>
      </c>
      <c r="YL34" s="130"/>
      <c r="YM34">
        <f>YL34</f>
        <v>0</v>
      </c>
      <c r="YN34">
        <f t="shared" ref="YN34:ZQ34" si="797">YM34</f>
        <v>0</v>
      </c>
      <c r="YO34">
        <f t="shared" si="797"/>
        <v>0</v>
      </c>
      <c r="YP34">
        <f t="shared" si="797"/>
        <v>0</v>
      </c>
      <c r="YQ34">
        <f t="shared" si="797"/>
        <v>0</v>
      </c>
      <c r="YR34">
        <f t="shared" si="797"/>
        <v>0</v>
      </c>
      <c r="YS34">
        <f t="shared" si="797"/>
        <v>0</v>
      </c>
      <c r="YT34">
        <f t="shared" si="797"/>
        <v>0</v>
      </c>
      <c r="YU34">
        <f t="shared" si="797"/>
        <v>0</v>
      </c>
      <c r="YV34">
        <f t="shared" si="797"/>
        <v>0</v>
      </c>
      <c r="YW34">
        <f t="shared" si="797"/>
        <v>0</v>
      </c>
      <c r="YX34">
        <f t="shared" si="797"/>
        <v>0</v>
      </c>
      <c r="YY34">
        <f t="shared" si="797"/>
        <v>0</v>
      </c>
      <c r="YZ34">
        <f t="shared" si="797"/>
        <v>0</v>
      </c>
      <c r="ZA34">
        <f t="shared" si="797"/>
        <v>0</v>
      </c>
      <c r="ZB34">
        <f t="shared" si="797"/>
        <v>0</v>
      </c>
      <c r="ZC34">
        <f t="shared" si="797"/>
        <v>0</v>
      </c>
      <c r="ZD34">
        <f t="shared" si="797"/>
        <v>0</v>
      </c>
      <c r="ZE34">
        <f t="shared" si="797"/>
        <v>0</v>
      </c>
      <c r="ZF34">
        <f t="shared" si="797"/>
        <v>0</v>
      </c>
      <c r="ZG34">
        <f t="shared" si="797"/>
        <v>0</v>
      </c>
      <c r="ZH34">
        <f t="shared" si="797"/>
        <v>0</v>
      </c>
      <c r="ZI34">
        <f t="shared" si="797"/>
        <v>0</v>
      </c>
      <c r="ZJ34">
        <f t="shared" si="797"/>
        <v>0</v>
      </c>
      <c r="ZK34">
        <f t="shared" si="797"/>
        <v>0</v>
      </c>
      <c r="ZL34">
        <f t="shared" si="797"/>
        <v>0</v>
      </c>
      <c r="ZM34">
        <f t="shared" si="797"/>
        <v>0</v>
      </c>
      <c r="ZN34">
        <f t="shared" si="797"/>
        <v>0</v>
      </c>
      <c r="ZO34">
        <f t="shared" si="797"/>
        <v>0</v>
      </c>
      <c r="ZP34">
        <f t="shared" si="797"/>
        <v>0</v>
      </c>
      <c r="ZQ34">
        <f t="shared" si="797"/>
        <v>0</v>
      </c>
      <c r="ZR34" s="130"/>
      <c r="ZS34">
        <f>ZR34</f>
        <v>0</v>
      </c>
      <c r="ZT34">
        <f t="shared" ref="ZT34:AAO34" si="798">ZS34</f>
        <v>0</v>
      </c>
      <c r="ZU34">
        <f t="shared" si="798"/>
        <v>0</v>
      </c>
      <c r="ZV34">
        <f t="shared" si="798"/>
        <v>0</v>
      </c>
      <c r="ZW34">
        <f t="shared" si="798"/>
        <v>0</v>
      </c>
      <c r="ZX34">
        <f t="shared" si="798"/>
        <v>0</v>
      </c>
      <c r="ZY34">
        <f t="shared" si="798"/>
        <v>0</v>
      </c>
      <c r="ZZ34">
        <f t="shared" si="798"/>
        <v>0</v>
      </c>
      <c r="AAA34">
        <f t="shared" si="798"/>
        <v>0</v>
      </c>
      <c r="AAB34">
        <f t="shared" si="798"/>
        <v>0</v>
      </c>
      <c r="AAC34">
        <f t="shared" si="798"/>
        <v>0</v>
      </c>
      <c r="AAD34">
        <f t="shared" si="798"/>
        <v>0</v>
      </c>
      <c r="AAE34">
        <f t="shared" si="798"/>
        <v>0</v>
      </c>
      <c r="AAF34">
        <f t="shared" si="798"/>
        <v>0</v>
      </c>
      <c r="AAG34">
        <f t="shared" si="798"/>
        <v>0</v>
      </c>
      <c r="AAH34">
        <f t="shared" si="798"/>
        <v>0</v>
      </c>
      <c r="AAI34">
        <f t="shared" si="798"/>
        <v>0</v>
      </c>
      <c r="AAJ34">
        <f t="shared" si="798"/>
        <v>0</v>
      </c>
      <c r="AAK34">
        <f t="shared" si="798"/>
        <v>0</v>
      </c>
      <c r="AAL34">
        <f t="shared" si="798"/>
        <v>0</v>
      </c>
      <c r="AAM34">
        <f t="shared" si="798"/>
        <v>0</v>
      </c>
      <c r="AAN34">
        <f t="shared" si="798"/>
        <v>0</v>
      </c>
      <c r="AAO34">
        <f t="shared" si="798"/>
        <v>0</v>
      </c>
      <c r="AAP34">
        <f>AAO34</f>
        <v>0</v>
      </c>
      <c r="AAQ34">
        <f t="shared" si="689"/>
        <v>0</v>
      </c>
      <c r="AAR34">
        <f t="shared" si="689"/>
        <v>0</v>
      </c>
      <c r="AAS34">
        <f t="shared" si="689"/>
        <v>0</v>
      </c>
      <c r="AAT34">
        <f t="shared" si="689"/>
        <v>0</v>
      </c>
      <c r="AAU34">
        <f t="shared" si="689"/>
        <v>0</v>
      </c>
      <c r="AAV34">
        <f t="shared" si="689"/>
        <v>0</v>
      </c>
      <c r="AAW34" s="130"/>
      <c r="AAX34">
        <f>AAW34</f>
        <v>0</v>
      </c>
      <c r="AAY34">
        <f t="shared" ref="AAY34:ACB34" si="799">AAX34</f>
        <v>0</v>
      </c>
      <c r="AAZ34">
        <f t="shared" si="799"/>
        <v>0</v>
      </c>
      <c r="ABA34">
        <f t="shared" si="799"/>
        <v>0</v>
      </c>
      <c r="ABB34">
        <f t="shared" si="799"/>
        <v>0</v>
      </c>
      <c r="ABC34">
        <f t="shared" si="799"/>
        <v>0</v>
      </c>
      <c r="ABD34">
        <f t="shared" si="799"/>
        <v>0</v>
      </c>
      <c r="ABE34">
        <f t="shared" si="799"/>
        <v>0</v>
      </c>
      <c r="ABF34">
        <f t="shared" si="799"/>
        <v>0</v>
      </c>
      <c r="ABG34">
        <f t="shared" si="799"/>
        <v>0</v>
      </c>
      <c r="ABH34">
        <f t="shared" si="799"/>
        <v>0</v>
      </c>
      <c r="ABI34">
        <f t="shared" si="799"/>
        <v>0</v>
      </c>
      <c r="ABJ34">
        <f t="shared" si="799"/>
        <v>0</v>
      </c>
      <c r="ABK34">
        <f t="shared" si="799"/>
        <v>0</v>
      </c>
      <c r="ABL34">
        <f t="shared" si="799"/>
        <v>0</v>
      </c>
      <c r="ABM34">
        <f t="shared" si="799"/>
        <v>0</v>
      </c>
      <c r="ABN34">
        <f t="shared" si="799"/>
        <v>0</v>
      </c>
      <c r="ABO34">
        <f t="shared" si="799"/>
        <v>0</v>
      </c>
      <c r="ABP34">
        <f t="shared" si="799"/>
        <v>0</v>
      </c>
      <c r="ABQ34">
        <f t="shared" si="799"/>
        <v>0</v>
      </c>
      <c r="ABR34">
        <f t="shared" si="799"/>
        <v>0</v>
      </c>
      <c r="ABS34">
        <f t="shared" si="799"/>
        <v>0</v>
      </c>
      <c r="ABT34">
        <f t="shared" si="799"/>
        <v>0</v>
      </c>
      <c r="ABU34">
        <f t="shared" si="799"/>
        <v>0</v>
      </c>
      <c r="ABV34">
        <f t="shared" si="799"/>
        <v>0</v>
      </c>
      <c r="ABW34">
        <f t="shared" si="799"/>
        <v>0</v>
      </c>
      <c r="ABX34">
        <f t="shared" si="799"/>
        <v>0</v>
      </c>
      <c r="ABY34">
        <f t="shared" si="799"/>
        <v>0</v>
      </c>
      <c r="ABZ34">
        <f t="shared" si="799"/>
        <v>0</v>
      </c>
      <c r="ACA34">
        <f t="shared" si="799"/>
        <v>0</v>
      </c>
      <c r="ACB34">
        <f t="shared" si="799"/>
        <v>0</v>
      </c>
      <c r="ACC34" s="130"/>
      <c r="ACD34">
        <f>ACC34</f>
        <v>0</v>
      </c>
      <c r="ACE34">
        <f t="shared" ref="ACE34:ADH34" si="800">ACD34</f>
        <v>0</v>
      </c>
      <c r="ACF34">
        <f t="shared" si="800"/>
        <v>0</v>
      </c>
      <c r="ACG34">
        <f t="shared" si="800"/>
        <v>0</v>
      </c>
      <c r="ACH34">
        <f t="shared" si="800"/>
        <v>0</v>
      </c>
      <c r="ACI34">
        <f t="shared" si="800"/>
        <v>0</v>
      </c>
      <c r="ACJ34">
        <f t="shared" si="800"/>
        <v>0</v>
      </c>
      <c r="ACK34">
        <f t="shared" si="800"/>
        <v>0</v>
      </c>
      <c r="ACL34">
        <f t="shared" si="800"/>
        <v>0</v>
      </c>
      <c r="ACM34">
        <f t="shared" si="800"/>
        <v>0</v>
      </c>
      <c r="ACN34">
        <f t="shared" si="800"/>
        <v>0</v>
      </c>
      <c r="ACO34">
        <f t="shared" si="800"/>
        <v>0</v>
      </c>
      <c r="ACP34">
        <f t="shared" si="800"/>
        <v>0</v>
      </c>
      <c r="ACQ34">
        <f t="shared" si="800"/>
        <v>0</v>
      </c>
      <c r="ACR34">
        <f t="shared" si="800"/>
        <v>0</v>
      </c>
      <c r="ACS34">
        <f t="shared" si="800"/>
        <v>0</v>
      </c>
      <c r="ACT34">
        <f t="shared" si="800"/>
        <v>0</v>
      </c>
      <c r="ACU34">
        <f t="shared" si="800"/>
        <v>0</v>
      </c>
      <c r="ACV34">
        <f t="shared" si="800"/>
        <v>0</v>
      </c>
      <c r="ACW34">
        <f t="shared" si="800"/>
        <v>0</v>
      </c>
      <c r="ACX34">
        <f t="shared" si="800"/>
        <v>0</v>
      </c>
      <c r="ACY34">
        <f t="shared" si="800"/>
        <v>0</v>
      </c>
      <c r="ACZ34">
        <f t="shared" si="800"/>
        <v>0</v>
      </c>
      <c r="ADA34">
        <f t="shared" si="800"/>
        <v>0</v>
      </c>
      <c r="ADB34">
        <f t="shared" si="800"/>
        <v>0</v>
      </c>
      <c r="ADC34">
        <f t="shared" si="800"/>
        <v>0</v>
      </c>
      <c r="ADD34">
        <f t="shared" si="800"/>
        <v>0</v>
      </c>
      <c r="ADE34">
        <f t="shared" si="800"/>
        <v>0</v>
      </c>
      <c r="ADF34">
        <f t="shared" si="800"/>
        <v>0</v>
      </c>
      <c r="ADG34">
        <f t="shared" si="800"/>
        <v>0</v>
      </c>
      <c r="ADH34">
        <f t="shared" si="800"/>
        <v>0</v>
      </c>
      <c r="ADI34" s="130"/>
      <c r="ADJ34">
        <f>ADI34</f>
        <v>0</v>
      </c>
      <c r="ADK34">
        <f t="shared" ref="ADK34:AEM34" si="801">ADJ34</f>
        <v>0</v>
      </c>
      <c r="ADL34">
        <f t="shared" si="801"/>
        <v>0</v>
      </c>
      <c r="ADM34">
        <f t="shared" si="801"/>
        <v>0</v>
      </c>
      <c r="ADN34">
        <f t="shared" si="801"/>
        <v>0</v>
      </c>
      <c r="ADO34">
        <f t="shared" si="801"/>
        <v>0</v>
      </c>
      <c r="ADP34">
        <f t="shared" si="801"/>
        <v>0</v>
      </c>
      <c r="ADQ34">
        <f t="shared" si="801"/>
        <v>0</v>
      </c>
      <c r="ADR34">
        <f t="shared" si="801"/>
        <v>0</v>
      </c>
      <c r="ADS34">
        <f t="shared" si="801"/>
        <v>0</v>
      </c>
      <c r="ADT34">
        <f t="shared" si="801"/>
        <v>0</v>
      </c>
      <c r="ADU34">
        <f t="shared" si="801"/>
        <v>0</v>
      </c>
      <c r="ADV34">
        <f t="shared" si="801"/>
        <v>0</v>
      </c>
      <c r="ADW34">
        <f t="shared" si="801"/>
        <v>0</v>
      </c>
      <c r="ADX34">
        <f t="shared" si="801"/>
        <v>0</v>
      </c>
      <c r="ADY34">
        <f t="shared" si="801"/>
        <v>0</v>
      </c>
      <c r="ADZ34">
        <f t="shared" si="801"/>
        <v>0</v>
      </c>
      <c r="AEA34">
        <f t="shared" si="801"/>
        <v>0</v>
      </c>
      <c r="AEB34">
        <f t="shared" si="801"/>
        <v>0</v>
      </c>
      <c r="AEC34">
        <f t="shared" si="801"/>
        <v>0</v>
      </c>
      <c r="AED34">
        <f t="shared" si="801"/>
        <v>0</v>
      </c>
      <c r="AEE34">
        <f t="shared" si="801"/>
        <v>0</v>
      </c>
      <c r="AEF34">
        <f t="shared" si="801"/>
        <v>0</v>
      </c>
      <c r="AEG34">
        <f t="shared" si="801"/>
        <v>0</v>
      </c>
      <c r="AEH34">
        <f t="shared" si="801"/>
        <v>0</v>
      </c>
      <c r="AEI34">
        <f t="shared" si="801"/>
        <v>0</v>
      </c>
      <c r="AEJ34">
        <f t="shared" si="801"/>
        <v>0</v>
      </c>
      <c r="AEK34">
        <f t="shared" si="801"/>
        <v>0</v>
      </c>
      <c r="AEL34">
        <f t="shared" si="801"/>
        <v>0</v>
      </c>
      <c r="AEM34">
        <f t="shared" si="801"/>
        <v>0</v>
      </c>
      <c r="AEN34" s="130"/>
      <c r="AEO34">
        <f>AEN34</f>
        <v>0</v>
      </c>
      <c r="AEP34">
        <f t="shared" ref="AEP34:AFS34" si="802">AEO34</f>
        <v>0</v>
      </c>
      <c r="AEQ34">
        <f t="shared" si="802"/>
        <v>0</v>
      </c>
      <c r="AER34">
        <f t="shared" si="802"/>
        <v>0</v>
      </c>
      <c r="AES34">
        <f t="shared" si="802"/>
        <v>0</v>
      </c>
      <c r="AET34">
        <f t="shared" si="802"/>
        <v>0</v>
      </c>
      <c r="AEU34">
        <f t="shared" si="802"/>
        <v>0</v>
      </c>
      <c r="AEV34">
        <f t="shared" si="802"/>
        <v>0</v>
      </c>
      <c r="AEW34">
        <f t="shared" si="802"/>
        <v>0</v>
      </c>
      <c r="AEX34">
        <f t="shared" si="802"/>
        <v>0</v>
      </c>
      <c r="AEY34">
        <f t="shared" si="802"/>
        <v>0</v>
      </c>
      <c r="AEZ34">
        <f t="shared" si="802"/>
        <v>0</v>
      </c>
      <c r="AFA34">
        <f t="shared" si="802"/>
        <v>0</v>
      </c>
      <c r="AFB34">
        <f t="shared" si="802"/>
        <v>0</v>
      </c>
      <c r="AFC34">
        <f t="shared" si="802"/>
        <v>0</v>
      </c>
      <c r="AFD34">
        <f t="shared" si="802"/>
        <v>0</v>
      </c>
      <c r="AFE34">
        <f t="shared" si="802"/>
        <v>0</v>
      </c>
      <c r="AFF34">
        <f t="shared" si="802"/>
        <v>0</v>
      </c>
      <c r="AFG34">
        <f t="shared" si="802"/>
        <v>0</v>
      </c>
      <c r="AFH34">
        <f t="shared" si="802"/>
        <v>0</v>
      </c>
      <c r="AFI34">
        <f t="shared" si="802"/>
        <v>0</v>
      </c>
      <c r="AFJ34">
        <f t="shared" si="802"/>
        <v>0</v>
      </c>
      <c r="AFK34">
        <f t="shared" si="802"/>
        <v>0</v>
      </c>
      <c r="AFL34">
        <f t="shared" si="802"/>
        <v>0</v>
      </c>
      <c r="AFM34">
        <f t="shared" si="802"/>
        <v>0</v>
      </c>
      <c r="AFN34">
        <f t="shared" si="802"/>
        <v>0</v>
      </c>
      <c r="AFO34">
        <f t="shared" si="802"/>
        <v>0</v>
      </c>
      <c r="AFP34">
        <f t="shared" si="802"/>
        <v>0</v>
      </c>
      <c r="AFQ34">
        <f t="shared" si="802"/>
        <v>0</v>
      </c>
      <c r="AFR34">
        <f t="shared" si="802"/>
        <v>0</v>
      </c>
      <c r="AFS34">
        <f t="shared" si="802"/>
        <v>0</v>
      </c>
      <c r="AFT34" s="130"/>
      <c r="AFU34">
        <f>AFT34</f>
        <v>0</v>
      </c>
      <c r="AFV34">
        <f t="shared" ref="AFV34:AGX34" si="803">AFU34</f>
        <v>0</v>
      </c>
      <c r="AFW34">
        <f t="shared" si="803"/>
        <v>0</v>
      </c>
      <c r="AFX34">
        <f t="shared" si="803"/>
        <v>0</v>
      </c>
      <c r="AFY34">
        <f t="shared" si="803"/>
        <v>0</v>
      </c>
      <c r="AFZ34">
        <f t="shared" si="803"/>
        <v>0</v>
      </c>
      <c r="AGA34">
        <f t="shared" si="803"/>
        <v>0</v>
      </c>
      <c r="AGB34">
        <f t="shared" si="803"/>
        <v>0</v>
      </c>
      <c r="AGC34">
        <f t="shared" si="803"/>
        <v>0</v>
      </c>
      <c r="AGD34">
        <f t="shared" si="803"/>
        <v>0</v>
      </c>
      <c r="AGE34">
        <f t="shared" si="803"/>
        <v>0</v>
      </c>
      <c r="AGF34">
        <f t="shared" si="803"/>
        <v>0</v>
      </c>
      <c r="AGG34">
        <f t="shared" si="803"/>
        <v>0</v>
      </c>
      <c r="AGH34">
        <f t="shared" si="803"/>
        <v>0</v>
      </c>
      <c r="AGI34">
        <f t="shared" si="803"/>
        <v>0</v>
      </c>
      <c r="AGJ34">
        <f t="shared" si="803"/>
        <v>0</v>
      </c>
      <c r="AGK34">
        <f t="shared" si="803"/>
        <v>0</v>
      </c>
      <c r="AGL34">
        <f t="shared" si="803"/>
        <v>0</v>
      </c>
      <c r="AGM34">
        <f t="shared" si="803"/>
        <v>0</v>
      </c>
      <c r="AGN34">
        <f t="shared" si="803"/>
        <v>0</v>
      </c>
      <c r="AGO34">
        <f t="shared" si="803"/>
        <v>0</v>
      </c>
      <c r="AGP34">
        <f t="shared" si="803"/>
        <v>0</v>
      </c>
      <c r="AGQ34">
        <f t="shared" si="803"/>
        <v>0</v>
      </c>
      <c r="AGR34">
        <f t="shared" si="803"/>
        <v>0</v>
      </c>
      <c r="AGS34">
        <f t="shared" si="803"/>
        <v>0</v>
      </c>
      <c r="AGT34">
        <f t="shared" si="803"/>
        <v>0</v>
      </c>
      <c r="AGU34">
        <f t="shared" si="803"/>
        <v>0</v>
      </c>
      <c r="AGV34">
        <f t="shared" si="803"/>
        <v>0</v>
      </c>
      <c r="AGW34">
        <f t="shared" si="803"/>
        <v>0</v>
      </c>
      <c r="AGX34">
        <f t="shared" si="803"/>
        <v>0</v>
      </c>
      <c r="AGY34" s="130"/>
      <c r="AGZ34">
        <f>AGY34</f>
        <v>0</v>
      </c>
      <c r="AHA34">
        <f t="shared" ref="AHA34:AID34" si="804">AGZ34</f>
        <v>0</v>
      </c>
      <c r="AHB34">
        <f t="shared" si="804"/>
        <v>0</v>
      </c>
      <c r="AHC34">
        <f t="shared" si="804"/>
        <v>0</v>
      </c>
      <c r="AHD34">
        <f t="shared" si="804"/>
        <v>0</v>
      </c>
      <c r="AHE34">
        <f t="shared" si="804"/>
        <v>0</v>
      </c>
      <c r="AHF34">
        <f t="shared" si="804"/>
        <v>0</v>
      </c>
      <c r="AHG34">
        <f t="shared" si="804"/>
        <v>0</v>
      </c>
      <c r="AHH34">
        <f t="shared" si="804"/>
        <v>0</v>
      </c>
      <c r="AHI34">
        <f t="shared" si="804"/>
        <v>0</v>
      </c>
      <c r="AHJ34">
        <f t="shared" si="804"/>
        <v>0</v>
      </c>
      <c r="AHK34">
        <f t="shared" si="804"/>
        <v>0</v>
      </c>
      <c r="AHL34">
        <f t="shared" si="804"/>
        <v>0</v>
      </c>
      <c r="AHM34">
        <f t="shared" si="804"/>
        <v>0</v>
      </c>
      <c r="AHN34">
        <f t="shared" si="804"/>
        <v>0</v>
      </c>
      <c r="AHO34">
        <f t="shared" si="804"/>
        <v>0</v>
      </c>
      <c r="AHP34">
        <f t="shared" si="804"/>
        <v>0</v>
      </c>
      <c r="AHQ34">
        <f t="shared" si="804"/>
        <v>0</v>
      </c>
      <c r="AHR34">
        <f t="shared" si="804"/>
        <v>0</v>
      </c>
      <c r="AHS34">
        <f t="shared" si="804"/>
        <v>0</v>
      </c>
      <c r="AHT34">
        <f t="shared" si="804"/>
        <v>0</v>
      </c>
      <c r="AHU34">
        <f t="shared" si="804"/>
        <v>0</v>
      </c>
      <c r="AHV34">
        <f t="shared" si="804"/>
        <v>0</v>
      </c>
      <c r="AHW34">
        <f t="shared" si="804"/>
        <v>0</v>
      </c>
      <c r="AHX34">
        <f t="shared" si="804"/>
        <v>0</v>
      </c>
      <c r="AHY34">
        <f t="shared" si="804"/>
        <v>0</v>
      </c>
      <c r="AHZ34">
        <f t="shared" si="804"/>
        <v>0</v>
      </c>
      <c r="AIA34">
        <f t="shared" si="804"/>
        <v>0</v>
      </c>
      <c r="AIB34">
        <f t="shared" si="804"/>
        <v>0</v>
      </c>
      <c r="AIC34">
        <f t="shared" si="804"/>
        <v>0</v>
      </c>
      <c r="AID34">
        <f t="shared" si="804"/>
        <v>0</v>
      </c>
      <c r="AIE34" s="130"/>
      <c r="AIF34">
        <f>AIE34</f>
        <v>0</v>
      </c>
      <c r="AIG34">
        <f t="shared" ref="AIG34:AJJ34" si="805">AIF34</f>
        <v>0</v>
      </c>
      <c r="AIH34">
        <f t="shared" si="805"/>
        <v>0</v>
      </c>
      <c r="AII34">
        <f t="shared" si="805"/>
        <v>0</v>
      </c>
      <c r="AIJ34">
        <f t="shared" si="805"/>
        <v>0</v>
      </c>
      <c r="AIK34">
        <f t="shared" si="805"/>
        <v>0</v>
      </c>
      <c r="AIL34">
        <f t="shared" si="805"/>
        <v>0</v>
      </c>
      <c r="AIM34">
        <f t="shared" si="805"/>
        <v>0</v>
      </c>
      <c r="AIN34">
        <f t="shared" si="805"/>
        <v>0</v>
      </c>
      <c r="AIO34">
        <f t="shared" si="805"/>
        <v>0</v>
      </c>
      <c r="AIP34">
        <f t="shared" si="805"/>
        <v>0</v>
      </c>
      <c r="AIQ34">
        <f t="shared" si="805"/>
        <v>0</v>
      </c>
      <c r="AIR34">
        <f t="shared" si="805"/>
        <v>0</v>
      </c>
      <c r="AIS34">
        <f t="shared" si="805"/>
        <v>0</v>
      </c>
      <c r="AIT34">
        <f t="shared" si="805"/>
        <v>0</v>
      </c>
      <c r="AIU34">
        <f t="shared" si="805"/>
        <v>0</v>
      </c>
      <c r="AIV34">
        <f t="shared" si="805"/>
        <v>0</v>
      </c>
      <c r="AIW34">
        <f t="shared" si="805"/>
        <v>0</v>
      </c>
      <c r="AIX34">
        <f t="shared" si="805"/>
        <v>0</v>
      </c>
      <c r="AIY34">
        <f t="shared" si="805"/>
        <v>0</v>
      </c>
      <c r="AIZ34">
        <f t="shared" si="805"/>
        <v>0</v>
      </c>
      <c r="AJA34">
        <f t="shared" si="805"/>
        <v>0</v>
      </c>
      <c r="AJB34">
        <f t="shared" si="805"/>
        <v>0</v>
      </c>
      <c r="AJC34">
        <f t="shared" si="805"/>
        <v>0</v>
      </c>
      <c r="AJD34">
        <f t="shared" si="805"/>
        <v>0</v>
      </c>
      <c r="AJE34">
        <f t="shared" si="805"/>
        <v>0</v>
      </c>
      <c r="AJF34">
        <f t="shared" si="805"/>
        <v>0</v>
      </c>
      <c r="AJG34">
        <f t="shared" si="805"/>
        <v>0</v>
      </c>
      <c r="AJH34">
        <f t="shared" si="805"/>
        <v>0</v>
      </c>
      <c r="AJI34">
        <f t="shared" si="805"/>
        <v>0</v>
      </c>
      <c r="AJJ34">
        <f t="shared" si="805"/>
        <v>0</v>
      </c>
      <c r="AJK34" s="145"/>
      <c r="AJL34">
        <f>AJK34</f>
        <v>0</v>
      </c>
      <c r="AJM34">
        <f t="shared" ref="AJM34:AKM34" si="806">AJL34</f>
        <v>0</v>
      </c>
      <c r="AJN34">
        <f t="shared" si="806"/>
        <v>0</v>
      </c>
      <c r="AJO34">
        <f t="shared" si="806"/>
        <v>0</v>
      </c>
      <c r="AJP34">
        <f t="shared" si="806"/>
        <v>0</v>
      </c>
      <c r="AJQ34">
        <f t="shared" si="806"/>
        <v>0</v>
      </c>
      <c r="AJR34">
        <f t="shared" si="806"/>
        <v>0</v>
      </c>
      <c r="AJS34">
        <f t="shared" si="806"/>
        <v>0</v>
      </c>
      <c r="AJT34">
        <f t="shared" si="806"/>
        <v>0</v>
      </c>
      <c r="AJU34">
        <f t="shared" si="806"/>
        <v>0</v>
      </c>
      <c r="AJV34">
        <f t="shared" si="806"/>
        <v>0</v>
      </c>
      <c r="AJW34">
        <f t="shared" si="806"/>
        <v>0</v>
      </c>
      <c r="AJX34">
        <f t="shared" si="806"/>
        <v>0</v>
      </c>
      <c r="AJY34">
        <f t="shared" si="806"/>
        <v>0</v>
      </c>
      <c r="AJZ34">
        <f t="shared" si="806"/>
        <v>0</v>
      </c>
      <c r="AKA34">
        <f t="shared" si="806"/>
        <v>0</v>
      </c>
      <c r="AKB34">
        <f t="shared" si="806"/>
        <v>0</v>
      </c>
      <c r="AKC34">
        <f t="shared" si="806"/>
        <v>0</v>
      </c>
      <c r="AKD34">
        <f t="shared" si="806"/>
        <v>0</v>
      </c>
      <c r="AKE34">
        <f t="shared" si="806"/>
        <v>0</v>
      </c>
      <c r="AKF34">
        <f t="shared" si="806"/>
        <v>0</v>
      </c>
      <c r="AKG34">
        <f t="shared" si="806"/>
        <v>0</v>
      </c>
      <c r="AKH34">
        <f t="shared" si="806"/>
        <v>0</v>
      </c>
      <c r="AKI34">
        <f t="shared" si="806"/>
        <v>0</v>
      </c>
      <c r="AKJ34">
        <f t="shared" si="806"/>
        <v>0</v>
      </c>
      <c r="AKK34">
        <f t="shared" si="806"/>
        <v>0</v>
      </c>
      <c r="AKL34">
        <f t="shared" si="806"/>
        <v>0</v>
      </c>
      <c r="AKM34">
        <f t="shared" si="806"/>
        <v>0</v>
      </c>
      <c r="AKN34" s="145"/>
      <c r="AKO34">
        <f>AKN34</f>
        <v>0</v>
      </c>
      <c r="AKP34">
        <f t="shared" ref="AKP34:ALS34" si="807">AKO34</f>
        <v>0</v>
      </c>
      <c r="AKQ34">
        <f t="shared" si="807"/>
        <v>0</v>
      </c>
      <c r="AKR34">
        <f t="shared" si="807"/>
        <v>0</v>
      </c>
      <c r="AKS34">
        <f t="shared" si="807"/>
        <v>0</v>
      </c>
      <c r="AKT34">
        <f t="shared" si="807"/>
        <v>0</v>
      </c>
      <c r="AKU34">
        <f t="shared" si="807"/>
        <v>0</v>
      </c>
      <c r="AKV34">
        <f t="shared" si="807"/>
        <v>0</v>
      </c>
      <c r="AKW34">
        <f t="shared" si="807"/>
        <v>0</v>
      </c>
      <c r="AKX34">
        <f t="shared" si="807"/>
        <v>0</v>
      </c>
      <c r="AKY34">
        <f t="shared" si="807"/>
        <v>0</v>
      </c>
      <c r="AKZ34">
        <f t="shared" si="807"/>
        <v>0</v>
      </c>
      <c r="ALA34">
        <f t="shared" si="807"/>
        <v>0</v>
      </c>
      <c r="ALB34">
        <f t="shared" si="807"/>
        <v>0</v>
      </c>
      <c r="ALC34">
        <f t="shared" si="807"/>
        <v>0</v>
      </c>
      <c r="ALD34">
        <f t="shared" si="807"/>
        <v>0</v>
      </c>
      <c r="ALE34">
        <f t="shared" si="807"/>
        <v>0</v>
      </c>
      <c r="ALF34">
        <f t="shared" si="807"/>
        <v>0</v>
      </c>
      <c r="ALG34">
        <f t="shared" si="807"/>
        <v>0</v>
      </c>
      <c r="ALH34">
        <f t="shared" si="807"/>
        <v>0</v>
      </c>
      <c r="ALI34">
        <f t="shared" si="807"/>
        <v>0</v>
      </c>
      <c r="ALJ34">
        <f t="shared" si="807"/>
        <v>0</v>
      </c>
      <c r="ALK34">
        <f t="shared" si="807"/>
        <v>0</v>
      </c>
      <c r="ALL34">
        <f t="shared" si="807"/>
        <v>0</v>
      </c>
      <c r="ALM34">
        <f t="shared" si="807"/>
        <v>0</v>
      </c>
      <c r="ALN34">
        <f t="shared" si="807"/>
        <v>0</v>
      </c>
      <c r="ALO34">
        <f t="shared" si="807"/>
        <v>0</v>
      </c>
      <c r="ALP34">
        <f t="shared" si="807"/>
        <v>0</v>
      </c>
      <c r="ALQ34">
        <f t="shared" si="807"/>
        <v>0</v>
      </c>
      <c r="ALR34">
        <f t="shared" si="807"/>
        <v>0</v>
      </c>
      <c r="ALS34">
        <f t="shared" si="807"/>
        <v>0</v>
      </c>
      <c r="ALT34" s="130"/>
      <c r="ALU34">
        <f>ALT34</f>
        <v>0</v>
      </c>
      <c r="ALV34">
        <f t="shared" ref="ALV34:AMX34" si="808">ALU34</f>
        <v>0</v>
      </c>
      <c r="ALW34">
        <f t="shared" si="808"/>
        <v>0</v>
      </c>
      <c r="ALX34">
        <f t="shared" si="808"/>
        <v>0</v>
      </c>
      <c r="ALY34">
        <f t="shared" si="808"/>
        <v>0</v>
      </c>
      <c r="ALZ34">
        <f t="shared" si="808"/>
        <v>0</v>
      </c>
      <c r="AMA34">
        <f t="shared" si="808"/>
        <v>0</v>
      </c>
      <c r="AMB34">
        <f t="shared" si="808"/>
        <v>0</v>
      </c>
      <c r="AMC34">
        <f t="shared" si="808"/>
        <v>0</v>
      </c>
      <c r="AMD34">
        <f t="shared" si="808"/>
        <v>0</v>
      </c>
      <c r="AME34">
        <f t="shared" si="808"/>
        <v>0</v>
      </c>
      <c r="AMF34">
        <f t="shared" si="808"/>
        <v>0</v>
      </c>
      <c r="AMG34">
        <f t="shared" si="808"/>
        <v>0</v>
      </c>
      <c r="AMH34">
        <f t="shared" si="808"/>
        <v>0</v>
      </c>
      <c r="AMI34">
        <f t="shared" si="808"/>
        <v>0</v>
      </c>
      <c r="AMJ34">
        <f t="shared" si="808"/>
        <v>0</v>
      </c>
      <c r="AMK34">
        <f t="shared" si="808"/>
        <v>0</v>
      </c>
      <c r="AML34">
        <f t="shared" si="808"/>
        <v>0</v>
      </c>
      <c r="AMM34">
        <f t="shared" si="808"/>
        <v>0</v>
      </c>
      <c r="AMN34">
        <f t="shared" si="808"/>
        <v>0</v>
      </c>
      <c r="AMO34">
        <f t="shared" si="808"/>
        <v>0</v>
      </c>
      <c r="AMP34">
        <f t="shared" si="808"/>
        <v>0</v>
      </c>
      <c r="AMQ34">
        <f t="shared" si="808"/>
        <v>0</v>
      </c>
      <c r="AMR34">
        <f t="shared" si="808"/>
        <v>0</v>
      </c>
      <c r="AMS34">
        <f t="shared" si="808"/>
        <v>0</v>
      </c>
      <c r="AMT34">
        <f t="shared" si="808"/>
        <v>0</v>
      </c>
      <c r="AMU34">
        <f t="shared" si="808"/>
        <v>0</v>
      </c>
      <c r="AMV34">
        <f t="shared" si="808"/>
        <v>0</v>
      </c>
      <c r="AMW34">
        <f t="shared" si="808"/>
        <v>0</v>
      </c>
      <c r="AMX34">
        <f t="shared" si="808"/>
        <v>0</v>
      </c>
      <c r="AMY34" s="130"/>
      <c r="AMZ34">
        <f>AMY34</f>
        <v>0</v>
      </c>
      <c r="ANA34">
        <f t="shared" ref="ANA34:AOC34" si="809">AMZ34</f>
        <v>0</v>
      </c>
      <c r="ANB34">
        <f t="shared" si="809"/>
        <v>0</v>
      </c>
      <c r="ANC34">
        <f t="shared" si="809"/>
        <v>0</v>
      </c>
      <c r="AND34">
        <f t="shared" si="809"/>
        <v>0</v>
      </c>
      <c r="ANE34">
        <f t="shared" si="809"/>
        <v>0</v>
      </c>
      <c r="ANF34">
        <f t="shared" si="809"/>
        <v>0</v>
      </c>
      <c r="ANG34">
        <f t="shared" si="809"/>
        <v>0</v>
      </c>
      <c r="ANH34">
        <f t="shared" si="809"/>
        <v>0</v>
      </c>
      <c r="ANI34">
        <f t="shared" si="809"/>
        <v>0</v>
      </c>
      <c r="ANJ34">
        <f t="shared" si="809"/>
        <v>0</v>
      </c>
      <c r="ANK34">
        <f t="shared" si="809"/>
        <v>0</v>
      </c>
      <c r="ANL34">
        <f t="shared" si="809"/>
        <v>0</v>
      </c>
      <c r="ANM34">
        <f t="shared" si="809"/>
        <v>0</v>
      </c>
      <c r="ANN34">
        <f t="shared" si="809"/>
        <v>0</v>
      </c>
      <c r="ANO34">
        <f t="shared" si="809"/>
        <v>0</v>
      </c>
      <c r="ANP34">
        <f t="shared" si="809"/>
        <v>0</v>
      </c>
      <c r="ANQ34">
        <f t="shared" si="809"/>
        <v>0</v>
      </c>
      <c r="ANR34">
        <f t="shared" si="809"/>
        <v>0</v>
      </c>
      <c r="ANS34">
        <f t="shared" si="809"/>
        <v>0</v>
      </c>
      <c r="ANT34">
        <f t="shared" si="809"/>
        <v>0</v>
      </c>
      <c r="ANU34">
        <f t="shared" si="809"/>
        <v>0</v>
      </c>
      <c r="ANV34">
        <f t="shared" si="809"/>
        <v>0</v>
      </c>
      <c r="ANW34">
        <f t="shared" si="809"/>
        <v>0</v>
      </c>
      <c r="ANX34">
        <f t="shared" si="809"/>
        <v>0</v>
      </c>
      <c r="ANY34">
        <f t="shared" si="809"/>
        <v>0</v>
      </c>
      <c r="ANZ34">
        <f t="shared" si="809"/>
        <v>0</v>
      </c>
      <c r="AOA34">
        <f t="shared" si="809"/>
        <v>0</v>
      </c>
      <c r="AOB34">
        <f t="shared" si="809"/>
        <v>0</v>
      </c>
      <c r="AOC34">
        <f t="shared" si="809"/>
        <v>0</v>
      </c>
    </row>
    <row r="35" spans="1:1069" x14ac:dyDescent="0.2">
      <c r="A35" s="160"/>
      <c r="B35" t="s">
        <v>1667</v>
      </c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98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82"/>
      <c r="AU35" s="82"/>
      <c r="AV35" s="82"/>
      <c r="AW35" s="82"/>
      <c r="AX35" s="82"/>
      <c r="AY35" s="82"/>
      <c r="AZ35" s="82"/>
      <c r="BA35" s="82"/>
      <c r="BB35" s="82"/>
      <c r="BC35" s="82"/>
      <c r="BD35" s="82"/>
      <c r="BE35" s="82"/>
      <c r="BF35" s="82"/>
      <c r="BG35" s="82"/>
      <c r="BH35" s="82"/>
      <c r="BI35" s="82"/>
      <c r="BJ35" s="82"/>
      <c r="BK35" s="82"/>
      <c r="BL35" s="82"/>
      <c r="BM35" s="106"/>
      <c r="BN35" s="82"/>
      <c r="BO35" s="82"/>
      <c r="BP35" s="82"/>
      <c r="BQ35" s="82"/>
      <c r="BR35" s="82"/>
      <c r="BS35" s="82"/>
      <c r="BT35" s="82"/>
      <c r="BU35" s="82"/>
      <c r="BV35" s="82"/>
      <c r="BW35" s="82"/>
      <c r="BX35" s="82"/>
      <c r="BY35" s="82"/>
      <c r="BZ35" s="82"/>
      <c r="CA35" s="82"/>
      <c r="CB35" s="82"/>
      <c r="CC35" s="82"/>
      <c r="CD35" s="82"/>
      <c r="CE35" s="82"/>
      <c r="CF35" s="82"/>
      <c r="CG35" s="82"/>
      <c r="CH35" s="82"/>
      <c r="CI35" s="82"/>
      <c r="CJ35" s="82"/>
      <c r="CK35" s="82"/>
      <c r="CL35" s="82"/>
      <c r="CM35" s="82"/>
      <c r="CN35" s="82"/>
      <c r="CO35" s="82"/>
      <c r="CP35" s="82"/>
      <c r="CQ35" s="82"/>
      <c r="CR35" s="82"/>
      <c r="CT35" s="82"/>
      <c r="CU35" s="82"/>
      <c r="CV35" s="82"/>
      <c r="CW35" s="82"/>
      <c r="CX35" s="82"/>
      <c r="CY35" s="82"/>
      <c r="CZ35" s="82"/>
      <c r="DA35" s="82"/>
      <c r="DB35" s="82"/>
      <c r="DC35" s="82"/>
      <c r="DD35" s="82"/>
      <c r="DE35" s="82"/>
      <c r="DF35" s="82"/>
      <c r="DG35" s="82"/>
      <c r="DH35" s="82"/>
      <c r="DI35" s="82"/>
      <c r="DJ35" s="82"/>
      <c r="DK35" s="82"/>
      <c r="DL35" s="82"/>
      <c r="DM35" s="82"/>
      <c r="DN35" s="82"/>
      <c r="DO35" s="82"/>
      <c r="DP35" s="82"/>
      <c r="DQ35" s="82"/>
      <c r="DR35" s="82"/>
      <c r="DS35" s="82"/>
      <c r="DT35" s="82"/>
      <c r="DU35" s="82"/>
      <c r="DV35" s="82"/>
      <c r="DW35" s="82"/>
      <c r="DX35" s="117"/>
      <c r="DY35" s="82"/>
      <c r="DZ35" s="82"/>
      <c r="EA35" s="82"/>
      <c r="EB35" s="82"/>
      <c r="EC35" s="82"/>
      <c r="ED35" s="82"/>
      <c r="EE35" s="82"/>
      <c r="EF35" s="82"/>
      <c r="EG35" s="82"/>
      <c r="EH35" s="82"/>
      <c r="EI35" s="82"/>
      <c r="EJ35" s="82"/>
      <c r="EK35" s="82"/>
      <c r="EL35" s="82"/>
      <c r="EM35" s="82"/>
      <c r="EN35" s="82"/>
      <c r="EO35" s="82"/>
      <c r="EP35" s="82"/>
      <c r="EQ35" s="82"/>
      <c r="ER35" s="82"/>
      <c r="ES35" s="82"/>
      <c r="ET35" s="82"/>
      <c r="EU35" s="82"/>
      <c r="EV35" s="82"/>
      <c r="EW35" s="82"/>
      <c r="EX35" s="82"/>
      <c r="EY35" s="82"/>
      <c r="EZ35" s="82"/>
      <c r="FA35" s="82"/>
      <c r="FB35" s="82"/>
      <c r="FC35" s="82"/>
      <c r="FD35" s="126"/>
      <c r="FE35" s="82"/>
      <c r="FF35" s="82"/>
      <c r="FG35" s="82"/>
      <c r="FH35" s="82"/>
      <c r="FI35" s="82"/>
      <c r="FJ35" s="82"/>
      <c r="FK35" s="82"/>
      <c r="FL35" s="82"/>
      <c r="FM35" s="82"/>
      <c r="FN35" s="82"/>
      <c r="FO35" s="82"/>
      <c r="FP35" s="82"/>
      <c r="FQ35" s="82"/>
      <c r="FR35" s="82"/>
      <c r="FS35" s="82"/>
      <c r="FT35" s="82"/>
      <c r="FU35" s="82"/>
      <c r="FV35" s="82"/>
      <c r="FW35" s="82"/>
      <c r="FX35" s="82"/>
      <c r="FY35" s="82"/>
      <c r="FZ35" s="82"/>
      <c r="GA35" s="82"/>
      <c r="GB35" s="82"/>
      <c r="GC35" s="82"/>
      <c r="GD35" s="82"/>
      <c r="GE35" s="82"/>
      <c r="GF35" s="82"/>
      <c r="GG35" s="82"/>
      <c r="GH35" s="82"/>
      <c r="GI35" s="82"/>
      <c r="GJ35" s="130"/>
      <c r="HD35">
        <v>9506000</v>
      </c>
      <c r="HE35">
        <f>HD35+378300</f>
        <v>9884300</v>
      </c>
      <c r="HF35">
        <f t="shared" ref="HF35:HK35" si="810">HE35</f>
        <v>9884300</v>
      </c>
      <c r="HG35">
        <f t="shared" si="810"/>
        <v>9884300</v>
      </c>
      <c r="HH35">
        <f t="shared" si="810"/>
        <v>9884300</v>
      </c>
      <c r="HI35">
        <f t="shared" si="810"/>
        <v>9884300</v>
      </c>
      <c r="HJ35">
        <f t="shared" si="810"/>
        <v>9884300</v>
      </c>
      <c r="HK35">
        <f t="shared" si="810"/>
        <v>9884300</v>
      </c>
      <c r="HL35">
        <f>HK35+266750</f>
        <v>10151050</v>
      </c>
      <c r="HM35">
        <f>HL35+428110</f>
        <v>10579160</v>
      </c>
      <c r="HN35" s="130"/>
      <c r="HO35">
        <f>HM35</f>
        <v>10579160</v>
      </c>
      <c r="HP35">
        <f>HO35+126100</f>
        <v>10705260</v>
      </c>
      <c r="HQ35">
        <f>HP35</f>
        <v>10705260</v>
      </c>
      <c r="HR35">
        <f>HP35</f>
        <v>10705260</v>
      </c>
      <c r="HS35">
        <f>HQ35+285977+344350</f>
        <v>11335587</v>
      </c>
      <c r="HT35">
        <f>HS35</f>
        <v>11335587</v>
      </c>
      <c r="HU35">
        <f>HS35+50*4850</f>
        <v>11578087</v>
      </c>
      <c r="HV35">
        <f>HU35</f>
        <v>11578087</v>
      </c>
      <c r="HW35">
        <f>HU35+45*5290</f>
        <v>11816137</v>
      </c>
      <c r="HX35">
        <f>HW35</f>
        <v>11816137</v>
      </c>
      <c r="HY35">
        <f>HW35+30*4850</f>
        <v>11961637</v>
      </c>
      <c r="HZ35">
        <f>HY35</f>
        <v>11961637</v>
      </c>
      <c r="IA35">
        <f t="shared" ref="IA35:IF36" si="811">HY35</f>
        <v>11961637</v>
      </c>
      <c r="IB35">
        <f t="shared" si="811"/>
        <v>11961637</v>
      </c>
      <c r="IC35">
        <f t="shared" si="811"/>
        <v>11961637</v>
      </c>
      <c r="ID35">
        <f t="shared" si="811"/>
        <v>11961637</v>
      </c>
      <c r="IE35">
        <f t="shared" si="811"/>
        <v>11961637</v>
      </c>
      <c r="IF35">
        <f t="shared" si="811"/>
        <v>11961637</v>
      </c>
      <c r="IG35">
        <f>IE35+198000</f>
        <v>12159637</v>
      </c>
      <c r="IH35">
        <f>IG35</f>
        <v>12159637</v>
      </c>
      <c r="II35">
        <f>IG35</f>
        <v>12159637</v>
      </c>
      <c r="IJ35">
        <f>IH35</f>
        <v>12159637</v>
      </c>
      <c r="IK35">
        <f>II35+30*4950</f>
        <v>12308137</v>
      </c>
      <c r="IL35">
        <f>IK35</f>
        <v>12308137</v>
      </c>
      <c r="IM35">
        <f t="shared" ref="IM35:IS36" si="812">IK35</f>
        <v>12308137</v>
      </c>
      <c r="IN35">
        <f t="shared" si="812"/>
        <v>12308137</v>
      </c>
      <c r="IO35">
        <f t="shared" si="812"/>
        <v>12308137</v>
      </c>
      <c r="IP35">
        <f t="shared" si="812"/>
        <v>12308137</v>
      </c>
      <c r="IQ35">
        <f t="shared" si="812"/>
        <v>12308137</v>
      </c>
      <c r="IR35">
        <f t="shared" si="812"/>
        <v>12308137</v>
      </c>
      <c r="IS35">
        <f t="shared" si="812"/>
        <v>12308137</v>
      </c>
      <c r="IT35" s="130"/>
      <c r="IU35">
        <f>IS35</f>
        <v>12308137</v>
      </c>
      <c r="IV35">
        <f>IU35</f>
        <v>12308137</v>
      </c>
      <c r="IW35">
        <f>IV35</f>
        <v>12308137</v>
      </c>
      <c r="IX35">
        <f>IW35+50.4*4950</f>
        <v>12557617</v>
      </c>
      <c r="IY35">
        <f>IX35</f>
        <v>12557617</v>
      </c>
      <c r="IZ35">
        <f t="shared" si="702"/>
        <v>12557617</v>
      </c>
      <c r="JA35">
        <f t="shared" si="702"/>
        <v>12557617</v>
      </c>
      <c r="JB35">
        <f t="shared" si="660"/>
        <v>12557617</v>
      </c>
      <c r="JC35">
        <f t="shared" si="660"/>
        <v>12557617</v>
      </c>
      <c r="JD35">
        <f t="shared" si="660"/>
        <v>12557617</v>
      </c>
      <c r="JE35">
        <f t="shared" si="660"/>
        <v>12557617</v>
      </c>
      <c r="JF35">
        <f t="shared" si="660"/>
        <v>12557617</v>
      </c>
      <c r="JG35">
        <f>JF35</f>
        <v>12557617</v>
      </c>
      <c r="JH35">
        <f t="shared" si="661"/>
        <v>12557617</v>
      </c>
      <c r="JI35">
        <f t="shared" si="661"/>
        <v>12557617</v>
      </c>
      <c r="JJ35">
        <f t="shared" si="661"/>
        <v>12557617</v>
      </c>
      <c r="JK35">
        <f t="shared" si="661"/>
        <v>12557617</v>
      </c>
      <c r="JL35">
        <f t="shared" si="661"/>
        <v>12557617</v>
      </c>
      <c r="JM35">
        <f t="shared" si="661"/>
        <v>12557617</v>
      </c>
      <c r="JN35">
        <f t="shared" si="661"/>
        <v>12557617</v>
      </c>
      <c r="JO35">
        <f t="shared" ref="JO35:JW35" si="813">JN35</f>
        <v>12557617</v>
      </c>
      <c r="JP35">
        <f t="shared" si="813"/>
        <v>12557617</v>
      </c>
      <c r="JQ35">
        <f t="shared" si="813"/>
        <v>12557617</v>
      </c>
      <c r="JR35">
        <f t="shared" si="813"/>
        <v>12557617</v>
      </c>
      <c r="JS35">
        <f t="shared" si="813"/>
        <v>12557617</v>
      </c>
      <c r="JT35">
        <f t="shared" si="813"/>
        <v>12557617</v>
      </c>
      <c r="JU35">
        <f t="shared" si="813"/>
        <v>12557617</v>
      </c>
      <c r="JV35">
        <f t="shared" si="813"/>
        <v>12557617</v>
      </c>
      <c r="JW35">
        <f t="shared" si="813"/>
        <v>12557617</v>
      </c>
      <c r="JX35">
        <f>JW35</f>
        <v>12557617</v>
      </c>
      <c r="JY35" s="130"/>
      <c r="JZ35">
        <f>JX35</f>
        <v>12557617</v>
      </c>
      <c r="KA35">
        <f>JZ35</f>
        <v>12557617</v>
      </c>
      <c r="KB35">
        <f t="shared" ref="KB35:KN35" si="814">JZ35</f>
        <v>12557617</v>
      </c>
      <c r="KC35">
        <f t="shared" si="814"/>
        <v>12557617</v>
      </c>
      <c r="KD35">
        <f t="shared" si="814"/>
        <v>12557617</v>
      </c>
      <c r="KE35">
        <f t="shared" si="814"/>
        <v>12557617</v>
      </c>
      <c r="KF35">
        <f t="shared" si="814"/>
        <v>12557617</v>
      </c>
      <c r="KG35">
        <f t="shared" si="814"/>
        <v>12557617</v>
      </c>
      <c r="KH35">
        <f t="shared" si="814"/>
        <v>12557617</v>
      </c>
      <c r="KI35">
        <f t="shared" si="814"/>
        <v>12557617</v>
      </c>
      <c r="KJ35">
        <f t="shared" si="814"/>
        <v>12557617</v>
      </c>
      <c r="KK35">
        <f t="shared" si="814"/>
        <v>12557617</v>
      </c>
      <c r="KL35">
        <f t="shared" si="814"/>
        <v>12557617</v>
      </c>
      <c r="KM35">
        <f t="shared" si="814"/>
        <v>12557617</v>
      </c>
      <c r="KN35">
        <f t="shared" si="814"/>
        <v>12557617</v>
      </c>
      <c r="KO35">
        <f>KM35+1000*4890</f>
        <v>17447617</v>
      </c>
      <c r="KP35">
        <f>KO35</f>
        <v>17447617</v>
      </c>
      <c r="KQ35">
        <f>KO35+120*4890</f>
        <v>18034417</v>
      </c>
      <c r="KR35">
        <f>KQ35</f>
        <v>18034417</v>
      </c>
      <c r="KS35">
        <f>KQ35</f>
        <v>18034417</v>
      </c>
      <c r="KT35">
        <f>KR35+433*4890</f>
        <v>20151787</v>
      </c>
      <c r="KU35">
        <f>KT35</f>
        <v>20151787</v>
      </c>
      <c r="KV35">
        <f t="shared" ref="KV35:KZ36" si="815">KT35</f>
        <v>20151787</v>
      </c>
      <c r="KW35">
        <f t="shared" si="815"/>
        <v>20151787</v>
      </c>
      <c r="KX35">
        <f t="shared" si="815"/>
        <v>20151787</v>
      </c>
      <c r="KY35">
        <f t="shared" si="815"/>
        <v>20151787</v>
      </c>
      <c r="KZ35">
        <f t="shared" si="815"/>
        <v>20151787</v>
      </c>
      <c r="LA35">
        <v>0</v>
      </c>
      <c r="LB35">
        <v>0</v>
      </c>
      <c r="LC35">
        <f t="shared" si="768"/>
        <v>0</v>
      </c>
      <c r="LD35">
        <f t="shared" si="768"/>
        <v>0</v>
      </c>
      <c r="LE35" s="130"/>
      <c r="LF35">
        <f t="shared" si="663"/>
        <v>0</v>
      </c>
      <c r="LG35">
        <f t="shared" si="769"/>
        <v>0</v>
      </c>
      <c r="LH35">
        <f t="shared" si="769"/>
        <v>0</v>
      </c>
      <c r="LI35">
        <f t="shared" si="769"/>
        <v>0</v>
      </c>
      <c r="LJ35">
        <f t="shared" si="769"/>
        <v>0</v>
      </c>
      <c r="LK35">
        <f t="shared" si="769"/>
        <v>0</v>
      </c>
      <c r="LL35">
        <f t="shared" si="769"/>
        <v>0</v>
      </c>
      <c r="LM35">
        <f t="shared" si="769"/>
        <v>0</v>
      </c>
      <c r="LN35">
        <f t="shared" si="769"/>
        <v>0</v>
      </c>
      <c r="LO35">
        <f t="shared" si="769"/>
        <v>0</v>
      </c>
      <c r="LP35">
        <f t="shared" si="769"/>
        <v>0</v>
      </c>
      <c r="LQ35">
        <f t="shared" si="770"/>
        <v>0</v>
      </c>
      <c r="LR35">
        <f t="shared" si="770"/>
        <v>0</v>
      </c>
      <c r="LS35">
        <f t="shared" si="770"/>
        <v>0</v>
      </c>
      <c r="LT35">
        <f t="shared" si="770"/>
        <v>0</v>
      </c>
      <c r="LU35">
        <f t="shared" si="770"/>
        <v>0</v>
      </c>
      <c r="LV35">
        <f t="shared" si="770"/>
        <v>0</v>
      </c>
      <c r="LW35">
        <f t="shared" si="770"/>
        <v>0</v>
      </c>
      <c r="LX35">
        <f t="shared" si="770"/>
        <v>0</v>
      </c>
      <c r="LY35">
        <f t="shared" si="770"/>
        <v>0</v>
      </c>
      <c r="LZ35">
        <f t="shared" si="770"/>
        <v>0</v>
      </c>
      <c r="MA35">
        <f t="shared" si="771"/>
        <v>0</v>
      </c>
      <c r="MB35">
        <f t="shared" si="771"/>
        <v>0</v>
      </c>
      <c r="MC35">
        <f t="shared" si="771"/>
        <v>0</v>
      </c>
      <c r="MD35">
        <f t="shared" si="771"/>
        <v>0</v>
      </c>
      <c r="ME35">
        <f t="shared" si="771"/>
        <v>0</v>
      </c>
      <c r="MF35">
        <f t="shared" si="771"/>
        <v>0</v>
      </c>
      <c r="MG35">
        <f t="shared" si="771"/>
        <v>0</v>
      </c>
      <c r="MH35">
        <f t="shared" si="771"/>
        <v>0</v>
      </c>
      <c r="MI35">
        <f t="shared" si="771"/>
        <v>0</v>
      </c>
      <c r="MJ35" s="130"/>
      <c r="MK35">
        <f t="shared" si="772"/>
        <v>0</v>
      </c>
      <c r="ML35">
        <f t="shared" si="772"/>
        <v>0</v>
      </c>
      <c r="MM35">
        <f t="shared" si="772"/>
        <v>0</v>
      </c>
      <c r="MN35">
        <f t="shared" si="772"/>
        <v>0</v>
      </c>
      <c r="MO35">
        <f t="shared" si="772"/>
        <v>0</v>
      </c>
      <c r="MP35">
        <f t="shared" si="772"/>
        <v>0</v>
      </c>
      <c r="MQ35">
        <f t="shared" si="772"/>
        <v>0</v>
      </c>
      <c r="MR35">
        <f t="shared" si="772"/>
        <v>0</v>
      </c>
      <c r="MS35">
        <f t="shared" si="772"/>
        <v>0</v>
      </c>
      <c r="MT35">
        <f t="shared" si="772"/>
        <v>0</v>
      </c>
      <c r="MU35">
        <f t="shared" si="773"/>
        <v>0</v>
      </c>
      <c r="MV35">
        <f t="shared" si="773"/>
        <v>0</v>
      </c>
      <c r="MW35">
        <f t="shared" si="773"/>
        <v>0</v>
      </c>
      <c r="MX35">
        <f t="shared" si="773"/>
        <v>0</v>
      </c>
      <c r="MY35">
        <f t="shared" si="773"/>
        <v>0</v>
      </c>
      <c r="MZ35">
        <f t="shared" si="773"/>
        <v>0</v>
      </c>
      <c r="NA35">
        <f t="shared" si="773"/>
        <v>0</v>
      </c>
      <c r="NB35">
        <f t="shared" si="773"/>
        <v>0</v>
      </c>
      <c r="NC35">
        <f t="shared" si="773"/>
        <v>0</v>
      </c>
      <c r="ND35">
        <f t="shared" si="773"/>
        <v>0</v>
      </c>
      <c r="NE35">
        <f t="shared" si="774"/>
        <v>0</v>
      </c>
      <c r="NF35">
        <f t="shared" si="774"/>
        <v>0</v>
      </c>
      <c r="NG35">
        <f t="shared" si="774"/>
        <v>0</v>
      </c>
      <c r="NH35">
        <f t="shared" si="774"/>
        <v>0</v>
      </c>
      <c r="NI35">
        <f t="shared" si="774"/>
        <v>0</v>
      </c>
      <c r="NJ35">
        <f t="shared" si="774"/>
        <v>0</v>
      </c>
      <c r="NK35">
        <f t="shared" si="774"/>
        <v>0</v>
      </c>
      <c r="NL35">
        <f t="shared" si="774"/>
        <v>0</v>
      </c>
      <c r="NM35">
        <f t="shared" si="774"/>
        <v>0</v>
      </c>
      <c r="NN35">
        <f t="shared" si="774"/>
        <v>0</v>
      </c>
      <c r="NO35">
        <f t="shared" si="775"/>
        <v>0</v>
      </c>
      <c r="NP35" s="130"/>
      <c r="NQ35">
        <f t="shared" si="776"/>
        <v>0</v>
      </c>
      <c r="NR35">
        <f t="shared" si="776"/>
        <v>0</v>
      </c>
      <c r="NS35">
        <f t="shared" si="776"/>
        <v>0</v>
      </c>
      <c r="NT35">
        <f t="shared" si="776"/>
        <v>0</v>
      </c>
      <c r="NU35">
        <f t="shared" si="776"/>
        <v>0</v>
      </c>
      <c r="NV35">
        <f t="shared" si="776"/>
        <v>0</v>
      </c>
      <c r="NW35">
        <f t="shared" si="776"/>
        <v>0</v>
      </c>
      <c r="NX35">
        <f t="shared" si="776"/>
        <v>0</v>
      </c>
      <c r="NY35">
        <f t="shared" si="776"/>
        <v>0</v>
      </c>
      <c r="NZ35">
        <f t="shared" si="776"/>
        <v>0</v>
      </c>
      <c r="OA35">
        <f t="shared" si="777"/>
        <v>0</v>
      </c>
      <c r="OB35">
        <f t="shared" si="777"/>
        <v>0</v>
      </c>
      <c r="OC35">
        <f t="shared" si="777"/>
        <v>0</v>
      </c>
      <c r="OD35">
        <f t="shared" si="777"/>
        <v>0</v>
      </c>
      <c r="OE35">
        <f t="shared" si="777"/>
        <v>0</v>
      </c>
      <c r="OF35">
        <f t="shared" si="777"/>
        <v>0</v>
      </c>
      <c r="OG35">
        <f t="shared" si="777"/>
        <v>0</v>
      </c>
      <c r="OH35">
        <f t="shared" si="777"/>
        <v>0</v>
      </c>
      <c r="OI35">
        <f t="shared" si="777"/>
        <v>0</v>
      </c>
      <c r="OJ35">
        <f t="shared" si="777"/>
        <v>0</v>
      </c>
      <c r="OK35">
        <f t="shared" si="778"/>
        <v>0</v>
      </c>
      <c r="OL35">
        <f t="shared" si="778"/>
        <v>0</v>
      </c>
      <c r="OM35">
        <f t="shared" si="778"/>
        <v>0</v>
      </c>
      <c r="ON35">
        <f t="shared" si="778"/>
        <v>0</v>
      </c>
      <c r="OO35">
        <f t="shared" si="778"/>
        <v>0</v>
      </c>
      <c r="OP35">
        <f t="shared" si="778"/>
        <v>0</v>
      </c>
      <c r="OQ35">
        <f t="shared" si="778"/>
        <v>0</v>
      </c>
      <c r="OR35">
        <f t="shared" si="778"/>
        <v>0</v>
      </c>
      <c r="OS35">
        <f t="shared" si="778"/>
        <v>0</v>
      </c>
      <c r="OT35">
        <f t="shared" si="778"/>
        <v>0</v>
      </c>
      <c r="OU35">
        <f t="shared" si="779"/>
        <v>0</v>
      </c>
      <c r="OV35" s="130"/>
      <c r="OW35">
        <f t="shared" si="780"/>
        <v>0</v>
      </c>
      <c r="OX35">
        <f t="shared" si="780"/>
        <v>0</v>
      </c>
      <c r="OY35">
        <f t="shared" si="780"/>
        <v>0</v>
      </c>
      <c r="OZ35">
        <f>OX35</f>
        <v>0</v>
      </c>
      <c r="PA35">
        <f>OY35</f>
        <v>0</v>
      </c>
      <c r="PB35">
        <f>OZ35</f>
        <v>0</v>
      </c>
      <c r="PC35">
        <f>PA35</f>
        <v>0</v>
      </c>
      <c r="PD35">
        <f>PB35</f>
        <v>0</v>
      </c>
      <c r="PE35">
        <f t="shared" si="781"/>
        <v>0</v>
      </c>
      <c r="PF35">
        <f t="shared" si="781"/>
        <v>0</v>
      </c>
      <c r="PG35">
        <f t="shared" si="781"/>
        <v>0</v>
      </c>
      <c r="PH35">
        <f t="shared" si="781"/>
        <v>0</v>
      </c>
      <c r="PI35">
        <f t="shared" si="781"/>
        <v>0</v>
      </c>
      <c r="PJ35">
        <f t="shared" si="781"/>
        <v>0</v>
      </c>
      <c r="PK35">
        <f t="shared" si="781"/>
        <v>0</v>
      </c>
      <c r="PL35">
        <f t="shared" si="781"/>
        <v>0</v>
      </c>
      <c r="PM35">
        <f t="shared" si="781"/>
        <v>0</v>
      </c>
      <c r="PN35">
        <f t="shared" si="781"/>
        <v>0</v>
      </c>
      <c r="PO35">
        <f t="shared" si="782"/>
        <v>0</v>
      </c>
      <c r="PP35">
        <f t="shared" si="782"/>
        <v>0</v>
      </c>
      <c r="PQ35">
        <f t="shared" si="782"/>
        <v>0</v>
      </c>
      <c r="PR35">
        <f t="shared" si="782"/>
        <v>0</v>
      </c>
      <c r="PS35">
        <f t="shared" si="782"/>
        <v>0</v>
      </c>
      <c r="PT35">
        <f t="shared" si="782"/>
        <v>0</v>
      </c>
      <c r="PU35">
        <f t="shared" si="782"/>
        <v>0</v>
      </c>
      <c r="PV35">
        <f t="shared" si="782"/>
        <v>0</v>
      </c>
      <c r="PW35">
        <f t="shared" si="782"/>
        <v>0</v>
      </c>
      <c r="PX35">
        <f t="shared" si="782"/>
        <v>0</v>
      </c>
      <c r="PY35">
        <f t="shared" si="783"/>
        <v>0</v>
      </c>
      <c r="PZ35">
        <f t="shared" si="783"/>
        <v>0</v>
      </c>
      <c r="QA35" s="130"/>
      <c r="QB35">
        <f t="shared" si="784"/>
        <v>0</v>
      </c>
      <c r="QC35">
        <f t="shared" si="784"/>
        <v>0</v>
      </c>
      <c r="QD35">
        <f t="shared" si="784"/>
        <v>0</v>
      </c>
      <c r="QE35">
        <f t="shared" si="784"/>
        <v>0</v>
      </c>
      <c r="QF35">
        <f t="shared" si="784"/>
        <v>0</v>
      </c>
      <c r="QG35">
        <f t="shared" si="784"/>
        <v>0</v>
      </c>
      <c r="QH35">
        <f t="shared" si="784"/>
        <v>0</v>
      </c>
      <c r="QI35">
        <f t="shared" si="784"/>
        <v>0</v>
      </c>
      <c r="QJ35">
        <f t="shared" si="784"/>
        <v>0</v>
      </c>
      <c r="QK35">
        <f t="shared" si="784"/>
        <v>0</v>
      </c>
      <c r="QL35">
        <f t="shared" si="785"/>
        <v>0</v>
      </c>
      <c r="QM35">
        <f t="shared" si="785"/>
        <v>0</v>
      </c>
      <c r="QN35">
        <f t="shared" si="785"/>
        <v>0</v>
      </c>
      <c r="QO35">
        <f t="shared" si="785"/>
        <v>0</v>
      </c>
      <c r="QP35">
        <f t="shared" si="785"/>
        <v>0</v>
      </c>
      <c r="QQ35">
        <f t="shared" si="785"/>
        <v>0</v>
      </c>
      <c r="QR35">
        <f t="shared" si="785"/>
        <v>0</v>
      </c>
      <c r="QS35">
        <f t="shared" si="785"/>
        <v>0</v>
      </c>
      <c r="QT35">
        <f t="shared" si="785"/>
        <v>0</v>
      </c>
      <c r="QU35">
        <f t="shared" si="785"/>
        <v>0</v>
      </c>
      <c r="QV35">
        <f t="shared" si="786"/>
        <v>0</v>
      </c>
      <c r="QW35">
        <f t="shared" si="786"/>
        <v>0</v>
      </c>
      <c r="QX35">
        <f t="shared" si="786"/>
        <v>0</v>
      </c>
      <c r="QY35">
        <f t="shared" si="786"/>
        <v>0</v>
      </c>
      <c r="QZ35">
        <f t="shared" si="786"/>
        <v>0</v>
      </c>
      <c r="RA35">
        <f t="shared" si="786"/>
        <v>0</v>
      </c>
      <c r="RB35">
        <f t="shared" si="786"/>
        <v>0</v>
      </c>
      <c r="RC35">
        <f t="shared" si="786"/>
        <v>0</v>
      </c>
      <c r="RD35">
        <f t="shared" si="786"/>
        <v>0</v>
      </c>
      <c r="RE35">
        <f t="shared" si="786"/>
        <v>0</v>
      </c>
      <c r="RF35">
        <f t="shared" si="787"/>
        <v>0</v>
      </c>
      <c r="RG35" s="130"/>
      <c r="RH35">
        <f t="shared" si="788"/>
        <v>0</v>
      </c>
      <c r="RI35">
        <f t="shared" si="788"/>
        <v>0</v>
      </c>
      <c r="RJ35">
        <f t="shared" si="788"/>
        <v>0</v>
      </c>
      <c r="RK35">
        <f t="shared" si="788"/>
        <v>0</v>
      </c>
      <c r="RL35">
        <f t="shared" si="788"/>
        <v>0</v>
      </c>
      <c r="RM35">
        <f t="shared" si="788"/>
        <v>0</v>
      </c>
      <c r="RN35">
        <f t="shared" si="788"/>
        <v>0</v>
      </c>
      <c r="RO35">
        <f t="shared" si="788"/>
        <v>0</v>
      </c>
      <c r="RP35">
        <f t="shared" si="788"/>
        <v>0</v>
      </c>
      <c r="RQ35">
        <f t="shared" si="788"/>
        <v>0</v>
      </c>
      <c r="RR35">
        <f t="shared" si="789"/>
        <v>0</v>
      </c>
      <c r="RS35">
        <f t="shared" si="789"/>
        <v>0</v>
      </c>
      <c r="RT35">
        <f t="shared" si="789"/>
        <v>0</v>
      </c>
      <c r="RU35">
        <f t="shared" si="789"/>
        <v>0</v>
      </c>
      <c r="RV35">
        <f t="shared" si="789"/>
        <v>0</v>
      </c>
      <c r="RW35">
        <f t="shared" si="789"/>
        <v>0</v>
      </c>
      <c r="RX35">
        <f t="shared" si="789"/>
        <v>0</v>
      </c>
      <c r="RY35">
        <f t="shared" si="789"/>
        <v>0</v>
      </c>
      <c r="RZ35">
        <f t="shared" si="789"/>
        <v>0</v>
      </c>
      <c r="SA35">
        <f t="shared" si="789"/>
        <v>0</v>
      </c>
      <c r="SB35">
        <f t="shared" si="790"/>
        <v>0</v>
      </c>
      <c r="SC35">
        <f t="shared" si="790"/>
        <v>0</v>
      </c>
      <c r="SD35">
        <f t="shared" si="790"/>
        <v>0</v>
      </c>
      <c r="SE35">
        <f t="shared" si="790"/>
        <v>0</v>
      </c>
      <c r="SF35">
        <f>SD35</f>
        <v>0</v>
      </c>
      <c r="SG35">
        <f>SE35</f>
        <v>0</v>
      </c>
      <c r="SH35">
        <f t="shared" si="791"/>
        <v>0</v>
      </c>
      <c r="SI35">
        <f t="shared" si="791"/>
        <v>0</v>
      </c>
      <c r="SJ35">
        <f t="shared" si="791"/>
        <v>0</v>
      </c>
      <c r="SK35">
        <f t="shared" si="791"/>
        <v>0</v>
      </c>
      <c r="SL35" s="130"/>
      <c r="SM35">
        <f>SK35</f>
        <v>0</v>
      </c>
      <c r="SN35">
        <v>983400</v>
      </c>
      <c r="SO35">
        <f>983400+8805900</f>
        <v>9789300</v>
      </c>
      <c r="SP35">
        <f t="shared" ref="SP35:TQ35" si="816">SO35</f>
        <v>9789300</v>
      </c>
      <c r="SQ35">
        <f t="shared" si="816"/>
        <v>9789300</v>
      </c>
      <c r="SR35">
        <f t="shared" si="816"/>
        <v>9789300</v>
      </c>
      <c r="SS35">
        <f t="shared" si="816"/>
        <v>9789300</v>
      </c>
      <c r="ST35">
        <f t="shared" si="816"/>
        <v>9789300</v>
      </c>
      <c r="SU35">
        <f t="shared" si="816"/>
        <v>9789300</v>
      </c>
      <c r="SV35">
        <f t="shared" si="816"/>
        <v>9789300</v>
      </c>
      <c r="SW35">
        <f t="shared" si="816"/>
        <v>9789300</v>
      </c>
      <c r="SX35">
        <f t="shared" si="816"/>
        <v>9789300</v>
      </c>
      <c r="SY35">
        <f t="shared" si="816"/>
        <v>9789300</v>
      </c>
      <c r="SZ35">
        <f t="shared" si="816"/>
        <v>9789300</v>
      </c>
      <c r="TA35">
        <f t="shared" si="816"/>
        <v>9789300</v>
      </c>
      <c r="TB35">
        <f t="shared" si="816"/>
        <v>9789300</v>
      </c>
      <c r="TC35">
        <f t="shared" si="816"/>
        <v>9789300</v>
      </c>
      <c r="TD35">
        <f t="shared" si="816"/>
        <v>9789300</v>
      </c>
      <c r="TE35">
        <f t="shared" si="816"/>
        <v>9789300</v>
      </c>
      <c r="TF35">
        <f t="shared" si="816"/>
        <v>9789300</v>
      </c>
      <c r="TG35">
        <f t="shared" si="816"/>
        <v>9789300</v>
      </c>
      <c r="TH35">
        <f t="shared" si="816"/>
        <v>9789300</v>
      </c>
      <c r="TI35">
        <f t="shared" si="816"/>
        <v>9789300</v>
      </c>
      <c r="TJ35">
        <f t="shared" si="816"/>
        <v>9789300</v>
      </c>
      <c r="TK35">
        <f t="shared" si="816"/>
        <v>9789300</v>
      </c>
      <c r="TL35">
        <f t="shared" si="816"/>
        <v>9789300</v>
      </c>
      <c r="TM35">
        <f t="shared" si="816"/>
        <v>9789300</v>
      </c>
      <c r="TN35">
        <f t="shared" si="816"/>
        <v>9789300</v>
      </c>
      <c r="TO35">
        <f t="shared" si="816"/>
        <v>9789300</v>
      </c>
      <c r="TP35">
        <f t="shared" si="816"/>
        <v>9789300</v>
      </c>
      <c r="TQ35">
        <f t="shared" si="816"/>
        <v>9789300</v>
      </c>
      <c r="TR35" s="130"/>
      <c r="TS35">
        <f>TR35</f>
        <v>0</v>
      </c>
      <c r="TT35">
        <f t="shared" si="676"/>
        <v>0</v>
      </c>
      <c r="TU35">
        <f t="shared" si="676"/>
        <v>0</v>
      </c>
      <c r="TV35">
        <f t="shared" si="676"/>
        <v>0</v>
      </c>
      <c r="TW35">
        <f t="shared" si="652"/>
        <v>0</v>
      </c>
      <c r="TX35">
        <f>TW35</f>
        <v>0</v>
      </c>
      <c r="TY35">
        <f>TX35</f>
        <v>0</v>
      </c>
      <c r="TZ35">
        <f t="shared" ref="TZ35:UW35" si="817">TY35</f>
        <v>0</v>
      </c>
      <c r="UA35">
        <f t="shared" si="817"/>
        <v>0</v>
      </c>
      <c r="UB35">
        <f t="shared" si="817"/>
        <v>0</v>
      </c>
      <c r="UC35">
        <f t="shared" si="817"/>
        <v>0</v>
      </c>
      <c r="UD35">
        <f t="shared" si="817"/>
        <v>0</v>
      </c>
      <c r="UE35">
        <f t="shared" si="817"/>
        <v>0</v>
      </c>
      <c r="UF35">
        <f t="shared" si="817"/>
        <v>0</v>
      </c>
      <c r="UG35">
        <f t="shared" si="817"/>
        <v>0</v>
      </c>
      <c r="UH35">
        <f t="shared" si="817"/>
        <v>0</v>
      </c>
      <c r="UI35">
        <f t="shared" si="817"/>
        <v>0</v>
      </c>
      <c r="UJ35">
        <f t="shared" si="817"/>
        <v>0</v>
      </c>
      <c r="UK35">
        <f t="shared" si="817"/>
        <v>0</v>
      </c>
      <c r="UL35">
        <f t="shared" si="817"/>
        <v>0</v>
      </c>
      <c r="UM35">
        <f t="shared" si="817"/>
        <v>0</v>
      </c>
      <c r="UN35">
        <f t="shared" si="817"/>
        <v>0</v>
      </c>
      <c r="UO35">
        <f t="shared" si="817"/>
        <v>0</v>
      </c>
      <c r="UP35">
        <f t="shared" si="817"/>
        <v>0</v>
      </c>
      <c r="UQ35">
        <f t="shared" si="817"/>
        <v>0</v>
      </c>
      <c r="UR35">
        <f t="shared" si="817"/>
        <v>0</v>
      </c>
      <c r="US35">
        <f t="shared" si="817"/>
        <v>0</v>
      </c>
      <c r="UT35">
        <f t="shared" si="817"/>
        <v>0</v>
      </c>
      <c r="UU35">
        <f t="shared" si="817"/>
        <v>0</v>
      </c>
      <c r="UV35">
        <f t="shared" si="817"/>
        <v>0</v>
      </c>
      <c r="UW35">
        <f t="shared" si="817"/>
        <v>0</v>
      </c>
      <c r="UX35" s="130"/>
      <c r="UY35">
        <f>UX35</f>
        <v>0</v>
      </c>
      <c r="UZ35">
        <f t="shared" si="678"/>
        <v>0</v>
      </c>
      <c r="VA35">
        <f t="shared" ref="VA35:VZ35" si="818">UZ35</f>
        <v>0</v>
      </c>
      <c r="VB35">
        <f t="shared" si="818"/>
        <v>0</v>
      </c>
      <c r="VC35">
        <f t="shared" si="818"/>
        <v>0</v>
      </c>
      <c r="VD35">
        <f t="shared" si="818"/>
        <v>0</v>
      </c>
      <c r="VE35">
        <f t="shared" si="818"/>
        <v>0</v>
      </c>
      <c r="VF35">
        <f t="shared" si="818"/>
        <v>0</v>
      </c>
      <c r="VG35">
        <f t="shared" si="818"/>
        <v>0</v>
      </c>
      <c r="VH35">
        <f t="shared" si="818"/>
        <v>0</v>
      </c>
      <c r="VI35">
        <f t="shared" si="818"/>
        <v>0</v>
      </c>
      <c r="VJ35">
        <f t="shared" si="818"/>
        <v>0</v>
      </c>
      <c r="VK35">
        <f t="shared" si="818"/>
        <v>0</v>
      </c>
      <c r="VL35">
        <f t="shared" si="818"/>
        <v>0</v>
      </c>
      <c r="VM35">
        <f t="shared" si="818"/>
        <v>0</v>
      </c>
      <c r="VN35">
        <f t="shared" si="818"/>
        <v>0</v>
      </c>
      <c r="VO35">
        <f t="shared" si="818"/>
        <v>0</v>
      </c>
      <c r="VP35">
        <f t="shared" si="818"/>
        <v>0</v>
      </c>
      <c r="VQ35">
        <f t="shared" si="818"/>
        <v>0</v>
      </c>
      <c r="VR35">
        <f t="shared" si="818"/>
        <v>0</v>
      </c>
      <c r="VS35">
        <f t="shared" si="818"/>
        <v>0</v>
      </c>
      <c r="VT35">
        <f t="shared" si="818"/>
        <v>0</v>
      </c>
      <c r="VU35">
        <f t="shared" si="818"/>
        <v>0</v>
      </c>
      <c r="VV35">
        <f t="shared" si="818"/>
        <v>0</v>
      </c>
      <c r="VW35">
        <f t="shared" si="818"/>
        <v>0</v>
      </c>
      <c r="VX35">
        <f t="shared" si="818"/>
        <v>0</v>
      </c>
      <c r="VY35">
        <f t="shared" si="818"/>
        <v>0</v>
      </c>
      <c r="VZ35">
        <f t="shared" si="818"/>
        <v>0</v>
      </c>
      <c r="WA35" s="130"/>
      <c r="WB35">
        <f>WA35</f>
        <v>0</v>
      </c>
      <c r="WC35">
        <f>WB35</f>
        <v>0</v>
      </c>
      <c r="WD35">
        <f t="shared" ref="WD35:WY35" si="819">WC35</f>
        <v>0</v>
      </c>
      <c r="WE35">
        <f t="shared" si="819"/>
        <v>0</v>
      </c>
      <c r="WF35">
        <f t="shared" si="819"/>
        <v>0</v>
      </c>
      <c r="WG35">
        <f t="shared" si="819"/>
        <v>0</v>
      </c>
      <c r="WH35">
        <f t="shared" si="819"/>
        <v>0</v>
      </c>
      <c r="WI35">
        <f t="shared" si="819"/>
        <v>0</v>
      </c>
      <c r="WJ35">
        <f t="shared" si="819"/>
        <v>0</v>
      </c>
      <c r="WK35">
        <f t="shared" si="819"/>
        <v>0</v>
      </c>
      <c r="WL35">
        <f t="shared" si="819"/>
        <v>0</v>
      </c>
      <c r="WM35">
        <f t="shared" si="819"/>
        <v>0</v>
      </c>
      <c r="WN35">
        <f t="shared" si="819"/>
        <v>0</v>
      </c>
      <c r="WO35">
        <f t="shared" si="819"/>
        <v>0</v>
      </c>
      <c r="WP35">
        <f t="shared" si="819"/>
        <v>0</v>
      </c>
      <c r="WQ35">
        <f t="shared" si="819"/>
        <v>0</v>
      </c>
      <c r="WR35">
        <f t="shared" si="819"/>
        <v>0</v>
      </c>
      <c r="WS35">
        <f t="shared" si="819"/>
        <v>0</v>
      </c>
      <c r="WT35">
        <f t="shared" si="819"/>
        <v>0</v>
      </c>
      <c r="WU35">
        <f t="shared" si="819"/>
        <v>0</v>
      </c>
      <c r="WV35">
        <f t="shared" si="819"/>
        <v>0</v>
      </c>
      <c r="WW35">
        <f t="shared" si="819"/>
        <v>0</v>
      </c>
      <c r="WX35">
        <f t="shared" si="819"/>
        <v>0</v>
      </c>
      <c r="WY35">
        <f t="shared" si="819"/>
        <v>0</v>
      </c>
      <c r="WZ35">
        <v>598507</v>
      </c>
      <c r="XA35">
        <f t="shared" ref="XA35:XF35" si="820">WZ35</f>
        <v>598507</v>
      </c>
      <c r="XB35">
        <f t="shared" si="820"/>
        <v>598507</v>
      </c>
      <c r="XC35">
        <f t="shared" si="820"/>
        <v>598507</v>
      </c>
      <c r="XD35">
        <f t="shared" si="820"/>
        <v>598507</v>
      </c>
      <c r="XE35">
        <f t="shared" si="820"/>
        <v>598507</v>
      </c>
      <c r="XF35">
        <f t="shared" si="820"/>
        <v>598507</v>
      </c>
      <c r="XG35" s="130"/>
      <c r="XH35">
        <v>598507</v>
      </c>
      <c r="XI35">
        <v>598507</v>
      </c>
      <c r="XJ35">
        <v>598507</v>
      </c>
      <c r="XK35">
        <v>598507</v>
      </c>
      <c r="XL35">
        <v>598507</v>
      </c>
      <c r="XM35">
        <v>598507</v>
      </c>
      <c r="XN35">
        <v>598507</v>
      </c>
      <c r="XO35">
        <v>598507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510000</v>
      </c>
      <c r="YI35">
        <v>510000</v>
      </c>
      <c r="YJ35">
        <v>510000</v>
      </c>
      <c r="YK35">
        <v>510000</v>
      </c>
      <c r="YL35" s="130"/>
      <c r="YM35">
        <v>510000</v>
      </c>
      <c r="YN35">
        <v>510000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 s="130"/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 s="130"/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 s="130"/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 s="130"/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 s="130"/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 s="130"/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 s="130"/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 s="130"/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 s="145"/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 s="145"/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 s="130"/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f>500*5169</f>
        <v>2584500</v>
      </c>
      <c r="AMI35">
        <f t="shared" ref="AMI35:AMX35" si="821">AMH35</f>
        <v>2584500</v>
      </c>
      <c r="AMJ35">
        <f t="shared" si="821"/>
        <v>2584500</v>
      </c>
      <c r="AMK35">
        <f t="shared" si="821"/>
        <v>2584500</v>
      </c>
      <c r="AML35">
        <f t="shared" si="821"/>
        <v>2584500</v>
      </c>
      <c r="AMM35">
        <f t="shared" si="821"/>
        <v>2584500</v>
      </c>
      <c r="AMN35">
        <f t="shared" si="821"/>
        <v>2584500</v>
      </c>
      <c r="AMO35">
        <f t="shared" si="821"/>
        <v>2584500</v>
      </c>
      <c r="AMP35">
        <f t="shared" si="821"/>
        <v>2584500</v>
      </c>
      <c r="AMQ35">
        <f t="shared" si="821"/>
        <v>2584500</v>
      </c>
      <c r="AMR35">
        <f t="shared" si="821"/>
        <v>2584500</v>
      </c>
      <c r="AMS35">
        <f t="shared" si="821"/>
        <v>2584500</v>
      </c>
      <c r="AMT35">
        <f t="shared" si="821"/>
        <v>2584500</v>
      </c>
      <c r="AMU35">
        <f t="shared" si="821"/>
        <v>2584500</v>
      </c>
      <c r="AMV35">
        <f t="shared" si="821"/>
        <v>2584500</v>
      </c>
      <c r="AMW35">
        <f t="shared" si="821"/>
        <v>2584500</v>
      </c>
      <c r="AMX35">
        <f t="shared" si="821"/>
        <v>2584500</v>
      </c>
      <c r="AMY35" s="130"/>
      <c r="AMZ35">
        <f>AMX35</f>
        <v>2584500</v>
      </c>
      <c r="ANA35">
        <f t="shared" ref="ANA35:ANK35" si="822">AMZ35</f>
        <v>2584500</v>
      </c>
      <c r="ANB35">
        <f t="shared" si="822"/>
        <v>2584500</v>
      </c>
      <c r="ANC35">
        <f t="shared" si="822"/>
        <v>2584500</v>
      </c>
      <c r="AND35">
        <f t="shared" si="822"/>
        <v>2584500</v>
      </c>
      <c r="ANE35">
        <f t="shared" si="822"/>
        <v>2584500</v>
      </c>
      <c r="ANF35">
        <f t="shared" si="822"/>
        <v>2584500</v>
      </c>
      <c r="ANG35">
        <f t="shared" si="822"/>
        <v>2584500</v>
      </c>
      <c r="ANH35">
        <f t="shared" si="822"/>
        <v>2584500</v>
      </c>
      <c r="ANI35">
        <f t="shared" si="822"/>
        <v>2584500</v>
      </c>
      <c r="ANJ35">
        <f t="shared" si="822"/>
        <v>2584500</v>
      </c>
      <c r="ANK35">
        <f t="shared" si="822"/>
        <v>2584500</v>
      </c>
      <c r="ANL35">
        <v>0</v>
      </c>
      <c r="ANM35">
        <f t="shared" ref="ANM35:AOC35" si="823">ANL35</f>
        <v>0</v>
      </c>
      <c r="ANN35">
        <f t="shared" si="823"/>
        <v>0</v>
      </c>
      <c r="ANO35">
        <f t="shared" si="823"/>
        <v>0</v>
      </c>
      <c r="ANP35">
        <f t="shared" si="823"/>
        <v>0</v>
      </c>
      <c r="ANQ35">
        <f t="shared" si="823"/>
        <v>0</v>
      </c>
      <c r="ANR35">
        <f t="shared" si="823"/>
        <v>0</v>
      </c>
      <c r="ANS35">
        <f t="shared" si="823"/>
        <v>0</v>
      </c>
      <c r="ANT35">
        <f t="shared" si="823"/>
        <v>0</v>
      </c>
      <c r="ANU35">
        <f t="shared" si="823"/>
        <v>0</v>
      </c>
      <c r="ANV35">
        <f t="shared" si="823"/>
        <v>0</v>
      </c>
      <c r="ANW35">
        <f t="shared" si="823"/>
        <v>0</v>
      </c>
      <c r="ANX35">
        <f t="shared" si="823"/>
        <v>0</v>
      </c>
      <c r="ANY35">
        <f t="shared" si="823"/>
        <v>0</v>
      </c>
      <c r="ANZ35">
        <f t="shared" si="823"/>
        <v>0</v>
      </c>
      <c r="AOA35">
        <f t="shared" si="823"/>
        <v>0</v>
      </c>
      <c r="AOB35">
        <f t="shared" si="823"/>
        <v>0</v>
      </c>
      <c r="AOC35">
        <f t="shared" si="823"/>
        <v>0</v>
      </c>
    </row>
    <row r="36" spans="1:1069" x14ac:dyDescent="0.2">
      <c r="A36" s="160"/>
      <c r="B36" t="s">
        <v>1668</v>
      </c>
      <c r="C36" s="52"/>
      <c r="D36" s="52"/>
      <c r="E36" s="52">
        <v>6000000</v>
      </c>
      <c r="F36" s="52">
        <f t="shared" ref="F36:Q36" si="824">E36</f>
        <v>6000000</v>
      </c>
      <c r="G36" s="52">
        <f t="shared" si="824"/>
        <v>6000000</v>
      </c>
      <c r="H36" s="52">
        <f t="shared" si="824"/>
        <v>6000000</v>
      </c>
      <c r="I36" s="52">
        <f t="shared" si="824"/>
        <v>6000000</v>
      </c>
      <c r="J36" s="52">
        <f t="shared" si="824"/>
        <v>6000000</v>
      </c>
      <c r="K36" s="52">
        <f t="shared" si="824"/>
        <v>6000000</v>
      </c>
      <c r="L36" s="52">
        <f t="shared" si="824"/>
        <v>6000000</v>
      </c>
      <c r="M36" s="52">
        <f t="shared" si="824"/>
        <v>6000000</v>
      </c>
      <c r="N36" s="52">
        <f t="shared" si="824"/>
        <v>6000000</v>
      </c>
      <c r="O36" s="52">
        <f t="shared" si="824"/>
        <v>6000000</v>
      </c>
      <c r="P36" s="52">
        <f t="shared" si="824"/>
        <v>6000000</v>
      </c>
      <c r="Q36" s="52">
        <f t="shared" si="824"/>
        <v>6000000</v>
      </c>
      <c r="R36" s="52">
        <v>6000000</v>
      </c>
      <c r="S36" s="52">
        <f t="shared" ref="S36:AH36" si="825">R36</f>
        <v>6000000</v>
      </c>
      <c r="T36" s="52">
        <f t="shared" si="825"/>
        <v>6000000</v>
      </c>
      <c r="U36" s="52">
        <f t="shared" si="825"/>
        <v>6000000</v>
      </c>
      <c r="V36" s="52">
        <f t="shared" si="825"/>
        <v>6000000</v>
      </c>
      <c r="W36" s="52">
        <f t="shared" si="825"/>
        <v>6000000</v>
      </c>
      <c r="X36" s="52">
        <f t="shared" si="825"/>
        <v>6000000</v>
      </c>
      <c r="Y36" s="52">
        <f t="shared" si="825"/>
        <v>6000000</v>
      </c>
      <c r="Z36" s="52">
        <f t="shared" si="825"/>
        <v>6000000</v>
      </c>
      <c r="AA36" s="52">
        <f t="shared" si="825"/>
        <v>6000000</v>
      </c>
      <c r="AB36" s="52">
        <f t="shared" si="825"/>
        <v>6000000</v>
      </c>
      <c r="AC36" s="52">
        <f t="shared" si="825"/>
        <v>6000000</v>
      </c>
      <c r="AD36" s="52">
        <f t="shared" si="825"/>
        <v>6000000</v>
      </c>
      <c r="AE36" s="52">
        <f t="shared" si="825"/>
        <v>6000000</v>
      </c>
      <c r="AF36" s="52">
        <f t="shared" si="825"/>
        <v>6000000</v>
      </c>
      <c r="AG36" s="52">
        <f t="shared" si="825"/>
        <v>6000000</v>
      </c>
      <c r="AH36" s="98">
        <f t="shared" si="825"/>
        <v>6000000</v>
      </c>
      <c r="AI36" s="82">
        <f t="shared" ref="AI36:AN36" si="826">AG36</f>
        <v>6000000</v>
      </c>
      <c r="AJ36" s="82">
        <f t="shared" si="826"/>
        <v>6000000</v>
      </c>
      <c r="AK36" s="82">
        <f t="shared" si="826"/>
        <v>6000000</v>
      </c>
      <c r="AL36" s="82">
        <f t="shared" si="826"/>
        <v>6000000</v>
      </c>
      <c r="AM36" s="82">
        <f t="shared" si="826"/>
        <v>6000000</v>
      </c>
      <c r="AN36" s="82">
        <f t="shared" si="826"/>
        <v>6000000</v>
      </c>
      <c r="AO36" s="82">
        <f>AM36+51900000</f>
        <v>57900000</v>
      </c>
      <c r="AP36" s="82">
        <f>AO36</f>
        <v>57900000</v>
      </c>
      <c r="AQ36" s="82">
        <f>AO36</f>
        <v>57900000</v>
      </c>
      <c r="AR36" s="82">
        <f>AP36</f>
        <v>57900000</v>
      </c>
      <c r="AS36" s="82">
        <f>AQ36</f>
        <v>57900000</v>
      </c>
      <c r="AT36" s="82">
        <f>AR36</f>
        <v>57900000</v>
      </c>
      <c r="AU36" s="82">
        <f>AS36+10000*5350</f>
        <v>111400000</v>
      </c>
      <c r="AV36" s="82">
        <f>AU36</f>
        <v>111400000</v>
      </c>
      <c r="AW36" s="82">
        <f>AU36</f>
        <v>111400000</v>
      </c>
      <c r="AX36" s="82">
        <f>AV36</f>
        <v>111400000</v>
      </c>
      <c r="AY36" s="82">
        <f>AW36</f>
        <v>111400000</v>
      </c>
      <c r="AZ36" s="82">
        <f>AY36</f>
        <v>111400000</v>
      </c>
      <c r="BA36" s="82">
        <f t="shared" ref="BA36:BL36" si="827">AY36</f>
        <v>111400000</v>
      </c>
      <c r="BB36" s="82">
        <f t="shared" si="827"/>
        <v>111400000</v>
      </c>
      <c r="BC36" s="82">
        <f t="shared" si="827"/>
        <v>111400000</v>
      </c>
      <c r="BD36" s="82">
        <f t="shared" si="827"/>
        <v>111400000</v>
      </c>
      <c r="BE36" s="82">
        <f t="shared" si="827"/>
        <v>111400000</v>
      </c>
      <c r="BF36" s="82">
        <f t="shared" si="827"/>
        <v>111400000</v>
      </c>
      <c r="BG36" s="82">
        <f t="shared" si="827"/>
        <v>111400000</v>
      </c>
      <c r="BH36" s="82">
        <f t="shared" si="827"/>
        <v>111400000</v>
      </c>
      <c r="BI36" s="82">
        <f t="shared" si="827"/>
        <v>111400000</v>
      </c>
      <c r="BJ36" s="82">
        <f t="shared" si="827"/>
        <v>111400000</v>
      </c>
      <c r="BK36" s="82">
        <f t="shared" si="827"/>
        <v>111400000</v>
      </c>
      <c r="BL36" s="82">
        <f t="shared" si="827"/>
        <v>111400000</v>
      </c>
      <c r="BM36" s="106">
        <f>BL36</f>
        <v>111400000</v>
      </c>
      <c r="BN36" s="82">
        <f t="shared" ref="BN36:BZ36" si="828">BL36</f>
        <v>111400000</v>
      </c>
      <c r="BO36" s="82">
        <f t="shared" si="828"/>
        <v>111400000</v>
      </c>
      <c r="BP36" s="82">
        <f t="shared" si="828"/>
        <v>111400000</v>
      </c>
      <c r="BQ36" s="82">
        <f t="shared" si="828"/>
        <v>111400000</v>
      </c>
      <c r="BR36" s="82">
        <f t="shared" si="828"/>
        <v>111400000</v>
      </c>
      <c r="BS36" s="82">
        <f t="shared" si="828"/>
        <v>111400000</v>
      </c>
      <c r="BT36" s="82">
        <f t="shared" si="828"/>
        <v>111400000</v>
      </c>
      <c r="BU36" s="82">
        <f t="shared" si="828"/>
        <v>111400000</v>
      </c>
      <c r="BV36" s="82">
        <f t="shared" si="828"/>
        <v>111400000</v>
      </c>
      <c r="BW36" s="82">
        <f t="shared" si="828"/>
        <v>111400000</v>
      </c>
      <c r="BX36" s="82">
        <f t="shared" si="828"/>
        <v>111400000</v>
      </c>
      <c r="BY36" s="82">
        <f t="shared" si="828"/>
        <v>111400000</v>
      </c>
      <c r="BZ36" s="82">
        <f t="shared" si="828"/>
        <v>111400000</v>
      </c>
      <c r="CA36" s="82">
        <f>BY36-99000000</f>
        <v>12400000</v>
      </c>
      <c r="CB36" s="82">
        <f>CA36</f>
        <v>12400000</v>
      </c>
      <c r="CC36" s="82">
        <f t="shared" ref="CC36:CR36" si="829">CA36</f>
        <v>12400000</v>
      </c>
      <c r="CD36" s="82">
        <f t="shared" si="829"/>
        <v>12400000</v>
      </c>
      <c r="CE36" s="82">
        <f t="shared" si="829"/>
        <v>12400000</v>
      </c>
      <c r="CF36" s="82">
        <f t="shared" si="829"/>
        <v>12400000</v>
      </c>
      <c r="CG36" s="82">
        <f t="shared" si="829"/>
        <v>12400000</v>
      </c>
      <c r="CH36" s="82">
        <f t="shared" si="829"/>
        <v>12400000</v>
      </c>
      <c r="CI36" s="82">
        <f t="shared" si="829"/>
        <v>12400000</v>
      </c>
      <c r="CJ36" s="82">
        <f t="shared" si="829"/>
        <v>12400000</v>
      </c>
      <c r="CK36" s="82">
        <f t="shared" si="829"/>
        <v>12400000</v>
      </c>
      <c r="CL36" s="82">
        <f t="shared" si="829"/>
        <v>12400000</v>
      </c>
      <c r="CM36" s="82">
        <f t="shared" si="829"/>
        <v>12400000</v>
      </c>
      <c r="CN36" s="82">
        <f t="shared" si="829"/>
        <v>12400000</v>
      </c>
      <c r="CO36" s="82">
        <f t="shared" si="829"/>
        <v>12400000</v>
      </c>
      <c r="CP36" s="82">
        <f t="shared" si="829"/>
        <v>12400000</v>
      </c>
      <c r="CQ36" s="82">
        <f t="shared" si="829"/>
        <v>12400000</v>
      </c>
      <c r="CR36" s="82">
        <f t="shared" si="829"/>
        <v>12400000</v>
      </c>
      <c r="CT36" s="82">
        <f>CR36</f>
        <v>12400000</v>
      </c>
      <c r="CU36" s="82">
        <f>CT36</f>
        <v>12400000</v>
      </c>
      <c r="CV36" s="82">
        <f t="shared" ref="CV36:DW36" si="830">CT36</f>
        <v>12400000</v>
      </c>
      <c r="CW36" s="82">
        <f t="shared" si="830"/>
        <v>12400000</v>
      </c>
      <c r="CX36" s="82">
        <f t="shared" si="830"/>
        <v>12400000</v>
      </c>
      <c r="CY36" s="82">
        <f t="shared" si="830"/>
        <v>12400000</v>
      </c>
      <c r="CZ36" s="82">
        <f t="shared" si="830"/>
        <v>12400000</v>
      </c>
      <c r="DA36" s="82">
        <f t="shared" si="830"/>
        <v>12400000</v>
      </c>
      <c r="DB36" s="82">
        <f t="shared" si="830"/>
        <v>12400000</v>
      </c>
      <c r="DC36" s="82">
        <f t="shared" si="830"/>
        <v>12400000</v>
      </c>
      <c r="DD36" s="82">
        <f t="shared" si="830"/>
        <v>12400000</v>
      </c>
      <c r="DE36" s="82">
        <f t="shared" si="830"/>
        <v>12400000</v>
      </c>
      <c r="DF36" s="82">
        <f t="shared" si="830"/>
        <v>12400000</v>
      </c>
      <c r="DG36" s="82">
        <f t="shared" si="830"/>
        <v>12400000</v>
      </c>
      <c r="DH36" s="82">
        <f t="shared" si="830"/>
        <v>12400000</v>
      </c>
      <c r="DI36" s="82">
        <f t="shared" si="830"/>
        <v>12400000</v>
      </c>
      <c r="DJ36" s="82">
        <f t="shared" si="830"/>
        <v>12400000</v>
      </c>
      <c r="DK36" s="82">
        <f t="shared" si="830"/>
        <v>12400000</v>
      </c>
      <c r="DL36" s="82">
        <f t="shared" si="830"/>
        <v>12400000</v>
      </c>
      <c r="DM36" s="82">
        <f t="shared" si="830"/>
        <v>12400000</v>
      </c>
      <c r="DN36" s="82">
        <f t="shared" si="830"/>
        <v>12400000</v>
      </c>
      <c r="DO36" s="82">
        <f t="shared" si="830"/>
        <v>12400000</v>
      </c>
      <c r="DP36" s="82">
        <f t="shared" si="830"/>
        <v>12400000</v>
      </c>
      <c r="DQ36" s="82">
        <f t="shared" si="830"/>
        <v>12400000</v>
      </c>
      <c r="DR36" s="82">
        <f t="shared" si="830"/>
        <v>12400000</v>
      </c>
      <c r="DS36" s="82">
        <f t="shared" si="830"/>
        <v>12400000</v>
      </c>
      <c r="DT36" s="82">
        <f t="shared" si="830"/>
        <v>12400000</v>
      </c>
      <c r="DU36" s="82">
        <f t="shared" si="830"/>
        <v>12400000</v>
      </c>
      <c r="DV36" s="82">
        <f t="shared" si="830"/>
        <v>12400000</v>
      </c>
      <c r="DW36" s="82">
        <f t="shared" si="830"/>
        <v>12400000</v>
      </c>
      <c r="DX36" s="117"/>
      <c r="DY36" s="82">
        <f>DW36</f>
        <v>12400000</v>
      </c>
      <c r="DZ36" s="82">
        <f>DY36</f>
        <v>12400000</v>
      </c>
      <c r="EA36" s="82">
        <f t="shared" ref="EA36:FC36" si="831">DY36</f>
        <v>12400000</v>
      </c>
      <c r="EB36" s="82">
        <f t="shared" si="831"/>
        <v>12400000</v>
      </c>
      <c r="EC36" s="82">
        <f t="shared" si="831"/>
        <v>12400000</v>
      </c>
      <c r="ED36" s="82">
        <f t="shared" si="831"/>
        <v>12400000</v>
      </c>
      <c r="EE36" s="82">
        <f t="shared" si="831"/>
        <v>12400000</v>
      </c>
      <c r="EF36" s="82">
        <f t="shared" si="831"/>
        <v>12400000</v>
      </c>
      <c r="EG36" s="82">
        <f t="shared" si="831"/>
        <v>12400000</v>
      </c>
      <c r="EH36" s="82">
        <f t="shared" si="831"/>
        <v>12400000</v>
      </c>
      <c r="EI36" s="82">
        <f t="shared" si="831"/>
        <v>12400000</v>
      </c>
      <c r="EJ36" s="82">
        <f t="shared" si="831"/>
        <v>12400000</v>
      </c>
      <c r="EK36" s="82">
        <f t="shared" si="831"/>
        <v>12400000</v>
      </c>
      <c r="EL36" s="82">
        <f t="shared" si="831"/>
        <v>12400000</v>
      </c>
      <c r="EM36" s="82">
        <f t="shared" si="831"/>
        <v>12400000</v>
      </c>
      <c r="EN36" s="82">
        <f t="shared" si="831"/>
        <v>12400000</v>
      </c>
      <c r="EO36" s="82">
        <f t="shared" si="831"/>
        <v>12400000</v>
      </c>
      <c r="EP36" s="82">
        <f t="shared" si="831"/>
        <v>12400000</v>
      </c>
      <c r="EQ36" s="82">
        <f t="shared" si="831"/>
        <v>12400000</v>
      </c>
      <c r="ER36" s="82">
        <f t="shared" si="831"/>
        <v>12400000</v>
      </c>
      <c r="ES36" s="82">
        <f t="shared" si="831"/>
        <v>12400000</v>
      </c>
      <c r="ET36" s="82">
        <f t="shared" si="831"/>
        <v>12400000</v>
      </c>
      <c r="EU36" s="82">
        <f t="shared" si="831"/>
        <v>12400000</v>
      </c>
      <c r="EV36" s="82">
        <f t="shared" si="831"/>
        <v>12400000</v>
      </c>
      <c r="EW36" s="82">
        <f t="shared" si="831"/>
        <v>12400000</v>
      </c>
      <c r="EX36" s="82">
        <f t="shared" si="831"/>
        <v>12400000</v>
      </c>
      <c r="EY36" s="82">
        <f t="shared" si="831"/>
        <v>12400000</v>
      </c>
      <c r="EZ36" s="82">
        <f t="shared" si="831"/>
        <v>12400000</v>
      </c>
      <c r="FA36" s="82">
        <f t="shared" si="831"/>
        <v>12400000</v>
      </c>
      <c r="FB36" s="82">
        <f t="shared" si="831"/>
        <v>12400000</v>
      </c>
      <c r="FC36" s="82">
        <f t="shared" si="831"/>
        <v>12400000</v>
      </c>
      <c r="FD36" s="126"/>
      <c r="FE36" s="82">
        <f>FC36</f>
        <v>12400000</v>
      </c>
      <c r="FF36" s="82">
        <f>FE36</f>
        <v>12400000</v>
      </c>
      <c r="FG36" s="82">
        <f t="shared" ref="FG36:GI36" si="832">FE36</f>
        <v>12400000</v>
      </c>
      <c r="FH36" s="82">
        <f t="shared" si="832"/>
        <v>12400000</v>
      </c>
      <c r="FI36" s="82">
        <f t="shared" si="832"/>
        <v>12400000</v>
      </c>
      <c r="FJ36" s="82">
        <f t="shared" si="832"/>
        <v>12400000</v>
      </c>
      <c r="FK36" s="82">
        <f t="shared" si="832"/>
        <v>12400000</v>
      </c>
      <c r="FL36" s="82">
        <f t="shared" si="832"/>
        <v>12400000</v>
      </c>
      <c r="FM36" s="82">
        <f t="shared" si="832"/>
        <v>12400000</v>
      </c>
      <c r="FN36" s="82">
        <f t="shared" si="832"/>
        <v>12400000</v>
      </c>
      <c r="FO36" s="82">
        <f t="shared" si="832"/>
        <v>12400000</v>
      </c>
      <c r="FP36" s="82">
        <f t="shared" si="832"/>
        <v>12400000</v>
      </c>
      <c r="FQ36" s="82">
        <f t="shared" si="832"/>
        <v>12400000</v>
      </c>
      <c r="FR36" s="82">
        <f t="shared" si="832"/>
        <v>12400000</v>
      </c>
      <c r="FS36" s="82">
        <f t="shared" si="832"/>
        <v>12400000</v>
      </c>
      <c r="FT36" s="82">
        <f t="shared" si="832"/>
        <v>12400000</v>
      </c>
      <c r="FU36" s="82">
        <f t="shared" si="832"/>
        <v>12400000</v>
      </c>
      <c r="FV36" s="82">
        <f t="shared" si="832"/>
        <v>12400000</v>
      </c>
      <c r="FW36" s="82">
        <f t="shared" si="832"/>
        <v>12400000</v>
      </c>
      <c r="FX36" s="82">
        <f t="shared" si="832"/>
        <v>12400000</v>
      </c>
      <c r="FY36" s="82">
        <f t="shared" si="832"/>
        <v>12400000</v>
      </c>
      <c r="FZ36" s="82">
        <f t="shared" si="832"/>
        <v>12400000</v>
      </c>
      <c r="GA36" s="82">
        <f t="shared" si="832"/>
        <v>12400000</v>
      </c>
      <c r="GB36" s="82">
        <f t="shared" si="832"/>
        <v>12400000</v>
      </c>
      <c r="GC36" s="82">
        <f t="shared" si="832"/>
        <v>12400000</v>
      </c>
      <c r="GD36" s="82">
        <f t="shared" si="832"/>
        <v>12400000</v>
      </c>
      <c r="GE36" s="82">
        <f t="shared" si="832"/>
        <v>12400000</v>
      </c>
      <c r="GF36" s="82">
        <f t="shared" si="832"/>
        <v>12400000</v>
      </c>
      <c r="GG36" s="82">
        <f t="shared" si="832"/>
        <v>12400000</v>
      </c>
      <c r="GH36" s="82">
        <f t="shared" si="832"/>
        <v>12400000</v>
      </c>
      <c r="GI36" s="82">
        <f t="shared" si="832"/>
        <v>12400000</v>
      </c>
      <c r="GJ36" s="130"/>
      <c r="GK36" s="82">
        <f>GI36</f>
        <v>12400000</v>
      </c>
      <c r="GL36" s="82">
        <f>GK36</f>
        <v>12400000</v>
      </c>
      <c r="GM36" s="82">
        <f t="shared" ref="GM36:HM36" si="833">GK36</f>
        <v>12400000</v>
      </c>
      <c r="GN36" s="82">
        <f t="shared" si="833"/>
        <v>12400000</v>
      </c>
      <c r="GO36" s="82">
        <f t="shared" si="833"/>
        <v>12400000</v>
      </c>
      <c r="GP36" s="82">
        <f t="shared" si="833"/>
        <v>12400000</v>
      </c>
      <c r="GQ36" s="82">
        <f t="shared" si="833"/>
        <v>12400000</v>
      </c>
      <c r="GR36" s="82">
        <f t="shared" si="833"/>
        <v>12400000</v>
      </c>
      <c r="GS36" s="82">
        <f t="shared" si="833"/>
        <v>12400000</v>
      </c>
      <c r="GT36" s="82">
        <f t="shared" si="833"/>
        <v>12400000</v>
      </c>
      <c r="GU36" s="82">
        <f t="shared" si="833"/>
        <v>12400000</v>
      </c>
      <c r="GV36" s="82">
        <f t="shared" si="833"/>
        <v>12400000</v>
      </c>
      <c r="GW36" s="82">
        <f t="shared" si="833"/>
        <v>12400000</v>
      </c>
      <c r="GX36" s="82">
        <f t="shared" si="833"/>
        <v>12400000</v>
      </c>
      <c r="GY36" s="82">
        <f t="shared" si="833"/>
        <v>12400000</v>
      </c>
      <c r="GZ36" s="82">
        <f t="shared" si="833"/>
        <v>12400000</v>
      </c>
      <c r="HA36" s="82">
        <f t="shared" si="833"/>
        <v>12400000</v>
      </c>
      <c r="HB36" s="82">
        <f t="shared" si="833"/>
        <v>12400000</v>
      </c>
      <c r="HC36" s="82">
        <f t="shared" si="833"/>
        <v>12400000</v>
      </c>
      <c r="HD36" s="82">
        <f t="shared" si="833"/>
        <v>12400000</v>
      </c>
      <c r="HE36" s="82">
        <f t="shared" si="833"/>
        <v>12400000</v>
      </c>
      <c r="HF36" s="82">
        <f t="shared" si="833"/>
        <v>12400000</v>
      </c>
      <c r="HG36" s="82">
        <f t="shared" si="833"/>
        <v>12400000</v>
      </c>
      <c r="HH36" s="82">
        <f t="shared" si="833"/>
        <v>12400000</v>
      </c>
      <c r="HI36" s="82">
        <f t="shared" si="833"/>
        <v>12400000</v>
      </c>
      <c r="HJ36" s="82">
        <f t="shared" si="833"/>
        <v>12400000</v>
      </c>
      <c r="HK36" s="82">
        <f t="shared" si="833"/>
        <v>12400000</v>
      </c>
      <c r="HL36" s="82">
        <f t="shared" si="833"/>
        <v>12400000</v>
      </c>
      <c r="HM36" s="82">
        <f t="shared" si="833"/>
        <v>12400000</v>
      </c>
      <c r="HN36" s="130"/>
      <c r="HO36" s="82">
        <f>HM36</f>
        <v>12400000</v>
      </c>
      <c r="HP36" s="82">
        <f>HO36</f>
        <v>12400000</v>
      </c>
      <c r="HQ36" s="82">
        <f>HO36</f>
        <v>12400000</v>
      </c>
      <c r="HR36" s="82">
        <f>HP36</f>
        <v>12400000</v>
      </c>
      <c r="HS36" s="82">
        <f t="shared" ref="HS36:HZ36" si="834">HQ36</f>
        <v>12400000</v>
      </c>
      <c r="HT36" s="82">
        <f t="shared" si="834"/>
        <v>12400000</v>
      </c>
      <c r="HU36" s="82">
        <f t="shared" si="834"/>
        <v>12400000</v>
      </c>
      <c r="HV36" s="82">
        <f t="shared" si="834"/>
        <v>12400000</v>
      </c>
      <c r="HW36" s="82">
        <f t="shared" si="834"/>
        <v>12400000</v>
      </c>
      <c r="HX36" s="82">
        <f t="shared" si="834"/>
        <v>12400000</v>
      </c>
      <c r="HY36" s="82">
        <f t="shared" si="834"/>
        <v>12400000</v>
      </c>
      <c r="HZ36" s="82">
        <f t="shared" si="834"/>
        <v>12400000</v>
      </c>
      <c r="IA36" s="82">
        <f t="shared" si="811"/>
        <v>12400000</v>
      </c>
      <c r="IB36" s="82">
        <f t="shared" si="811"/>
        <v>12400000</v>
      </c>
      <c r="IC36" s="82">
        <f t="shared" si="811"/>
        <v>12400000</v>
      </c>
      <c r="ID36" s="82">
        <f t="shared" si="811"/>
        <v>12400000</v>
      </c>
      <c r="IE36" s="82">
        <f t="shared" si="811"/>
        <v>12400000</v>
      </c>
      <c r="IF36" s="82">
        <f t="shared" si="811"/>
        <v>12400000</v>
      </c>
      <c r="IG36" s="82">
        <f>IE36</f>
        <v>12400000</v>
      </c>
      <c r="IH36" s="82">
        <f>IF36</f>
        <v>12400000</v>
      </c>
      <c r="II36" s="82">
        <f>IG36</f>
        <v>12400000</v>
      </c>
      <c r="IJ36" s="82">
        <f>IH36</f>
        <v>12400000</v>
      </c>
      <c r="IK36" s="82">
        <f>II36</f>
        <v>12400000</v>
      </c>
      <c r="IL36" s="82">
        <f>IJ36</f>
        <v>12400000</v>
      </c>
      <c r="IM36" s="82">
        <f t="shared" si="812"/>
        <v>12400000</v>
      </c>
      <c r="IN36" s="82">
        <f t="shared" si="812"/>
        <v>12400000</v>
      </c>
      <c r="IO36" s="82">
        <f t="shared" si="812"/>
        <v>12400000</v>
      </c>
      <c r="IP36" s="82">
        <f t="shared" si="812"/>
        <v>12400000</v>
      </c>
      <c r="IQ36" s="82">
        <f t="shared" si="812"/>
        <v>12400000</v>
      </c>
      <c r="IR36" s="82">
        <f t="shared" si="812"/>
        <v>12400000</v>
      </c>
      <c r="IS36" s="82">
        <f t="shared" si="812"/>
        <v>12400000</v>
      </c>
      <c r="IT36" s="130"/>
      <c r="IU36" s="82">
        <f>IS36</f>
        <v>12400000</v>
      </c>
      <c r="IV36" s="82">
        <f>IU36</f>
        <v>12400000</v>
      </c>
      <c r="IW36" s="82">
        <f>IV36</f>
        <v>12400000</v>
      </c>
      <c r="IX36" s="82">
        <f>IW36</f>
        <v>12400000</v>
      </c>
      <c r="IY36" s="82">
        <f>IX36</f>
        <v>12400000</v>
      </c>
      <c r="IZ36" s="82">
        <f t="shared" si="702"/>
        <v>12400000</v>
      </c>
      <c r="JA36" s="82">
        <f t="shared" si="702"/>
        <v>12400000</v>
      </c>
      <c r="JB36" s="82">
        <f t="shared" si="660"/>
        <v>12400000</v>
      </c>
      <c r="JC36" s="82">
        <f t="shared" si="660"/>
        <v>12400000</v>
      </c>
      <c r="JD36" s="82">
        <f t="shared" si="660"/>
        <v>12400000</v>
      </c>
      <c r="JE36" s="82">
        <f t="shared" si="660"/>
        <v>12400000</v>
      </c>
      <c r="JF36" s="82">
        <f t="shared" si="660"/>
        <v>12400000</v>
      </c>
      <c r="JG36" s="82">
        <f>JF36</f>
        <v>12400000</v>
      </c>
      <c r="JH36" s="82">
        <f t="shared" si="661"/>
        <v>12400000</v>
      </c>
      <c r="JI36" s="82">
        <f t="shared" si="661"/>
        <v>12400000</v>
      </c>
      <c r="JJ36" s="82">
        <f t="shared" si="661"/>
        <v>12400000</v>
      </c>
      <c r="JK36" s="82">
        <f t="shared" si="661"/>
        <v>12400000</v>
      </c>
      <c r="JL36" s="82">
        <f t="shared" si="661"/>
        <v>12400000</v>
      </c>
      <c r="JM36" s="82">
        <f t="shared" si="661"/>
        <v>12400000</v>
      </c>
      <c r="JN36" s="82">
        <f t="shared" si="661"/>
        <v>12400000</v>
      </c>
      <c r="JO36" s="82">
        <f t="shared" ref="JO36:JW36" si="835">JN36</f>
        <v>12400000</v>
      </c>
      <c r="JP36" s="82">
        <f t="shared" si="835"/>
        <v>12400000</v>
      </c>
      <c r="JQ36" s="82">
        <f t="shared" si="835"/>
        <v>12400000</v>
      </c>
      <c r="JR36" s="82">
        <f t="shared" si="835"/>
        <v>12400000</v>
      </c>
      <c r="JS36" s="82">
        <f t="shared" si="835"/>
        <v>12400000</v>
      </c>
      <c r="JT36" s="82">
        <f t="shared" si="835"/>
        <v>12400000</v>
      </c>
      <c r="JU36" s="82">
        <f t="shared" si="835"/>
        <v>12400000</v>
      </c>
      <c r="JV36" s="82">
        <f t="shared" si="835"/>
        <v>12400000</v>
      </c>
      <c r="JW36" s="82">
        <f t="shared" si="835"/>
        <v>12400000</v>
      </c>
      <c r="JX36" s="82">
        <f>JW36</f>
        <v>12400000</v>
      </c>
      <c r="JY36" s="133"/>
      <c r="JZ36" s="82">
        <f>JX36</f>
        <v>12400000</v>
      </c>
      <c r="KA36" s="82">
        <f>JZ36</f>
        <v>12400000</v>
      </c>
      <c r="KB36" s="82">
        <f>JZ36</f>
        <v>12400000</v>
      </c>
      <c r="KC36" s="82">
        <f>KA36</f>
        <v>12400000</v>
      </c>
      <c r="KD36" s="82">
        <f>KB36</f>
        <v>12400000</v>
      </c>
      <c r="KE36" s="82">
        <f>KC36</f>
        <v>12400000</v>
      </c>
      <c r="KF36" s="82">
        <f>KD36</f>
        <v>12400000</v>
      </c>
      <c r="KG36" s="82">
        <f>KE36-6000000</f>
        <v>6400000</v>
      </c>
      <c r="KH36" s="82">
        <f>KG36</f>
        <v>6400000</v>
      </c>
      <c r="KI36" s="82">
        <f t="shared" ref="KI36:KR36" si="836">KG36</f>
        <v>6400000</v>
      </c>
      <c r="KJ36" s="82">
        <f t="shared" si="836"/>
        <v>6400000</v>
      </c>
      <c r="KK36" s="82">
        <f t="shared" si="836"/>
        <v>6400000</v>
      </c>
      <c r="KL36" s="82">
        <f t="shared" si="836"/>
        <v>6400000</v>
      </c>
      <c r="KM36" s="82">
        <f t="shared" si="836"/>
        <v>6400000</v>
      </c>
      <c r="KN36" s="82">
        <f t="shared" si="836"/>
        <v>6400000</v>
      </c>
      <c r="KO36" s="82">
        <f t="shared" si="836"/>
        <v>6400000</v>
      </c>
      <c r="KP36" s="82">
        <f t="shared" si="836"/>
        <v>6400000</v>
      </c>
      <c r="KQ36" s="82">
        <f t="shared" si="836"/>
        <v>6400000</v>
      </c>
      <c r="KR36" s="82">
        <f t="shared" si="836"/>
        <v>6400000</v>
      </c>
      <c r="KS36" s="82">
        <f>KQ36</f>
        <v>6400000</v>
      </c>
      <c r="KT36" s="82">
        <f>KR36</f>
        <v>6400000</v>
      </c>
      <c r="KU36" s="82">
        <f>KS36</f>
        <v>6400000</v>
      </c>
      <c r="KV36" s="82">
        <f t="shared" si="815"/>
        <v>6400000</v>
      </c>
      <c r="KW36" s="82">
        <f t="shared" si="815"/>
        <v>6400000</v>
      </c>
      <c r="KX36" s="82">
        <f t="shared" si="815"/>
        <v>6400000</v>
      </c>
      <c r="KY36" s="82">
        <f t="shared" si="815"/>
        <v>6400000</v>
      </c>
      <c r="KZ36" s="82">
        <f t="shared" si="815"/>
        <v>6400000</v>
      </c>
      <c r="LA36" s="82">
        <f>KY36</f>
        <v>6400000</v>
      </c>
      <c r="LB36" s="82">
        <f>KZ36</f>
        <v>6400000</v>
      </c>
      <c r="LC36" s="82">
        <f t="shared" si="768"/>
        <v>6400000</v>
      </c>
      <c r="LD36" s="82">
        <f t="shared" si="768"/>
        <v>6400000</v>
      </c>
      <c r="LE36" s="130"/>
      <c r="LF36" s="82">
        <f t="shared" si="663"/>
        <v>6400000</v>
      </c>
      <c r="LG36" s="82">
        <f t="shared" ref="LG36:MI36" si="837">LF36</f>
        <v>6400000</v>
      </c>
      <c r="LH36" s="82">
        <f t="shared" si="837"/>
        <v>6400000</v>
      </c>
      <c r="LI36" s="82">
        <f t="shared" si="837"/>
        <v>6400000</v>
      </c>
      <c r="LJ36" s="82">
        <f t="shared" si="837"/>
        <v>6400000</v>
      </c>
      <c r="LK36" s="82">
        <f t="shared" si="837"/>
        <v>6400000</v>
      </c>
      <c r="LL36" s="82">
        <f t="shared" si="837"/>
        <v>6400000</v>
      </c>
      <c r="LM36" s="82">
        <f t="shared" si="837"/>
        <v>6400000</v>
      </c>
      <c r="LN36" s="82">
        <f t="shared" si="837"/>
        <v>6400000</v>
      </c>
      <c r="LO36" s="82">
        <f t="shared" si="837"/>
        <v>6400000</v>
      </c>
      <c r="LP36" s="82">
        <f t="shared" si="837"/>
        <v>6400000</v>
      </c>
      <c r="LQ36" s="82">
        <f t="shared" si="837"/>
        <v>6400000</v>
      </c>
      <c r="LR36" s="82">
        <f t="shared" si="837"/>
        <v>6400000</v>
      </c>
      <c r="LS36" s="82">
        <f t="shared" si="837"/>
        <v>6400000</v>
      </c>
      <c r="LT36" s="82">
        <f t="shared" si="837"/>
        <v>6400000</v>
      </c>
      <c r="LU36" s="82">
        <f t="shared" si="837"/>
        <v>6400000</v>
      </c>
      <c r="LV36" s="82">
        <f t="shared" si="837"/>
        <v>6400000</v>
      </c>
      <c r="LW36" s="82">
        <f t="shared" si="837"/>
        <v>6400000</v>
      </c>
      <c r="LX36" s="82">
        <f t="shared" si="837"/>
        <v>6400000</v>
      </c>
      <c r="LY36" s="82">
        <f t="shared" si="837"/>
        <v>6400000</v>
      </c>
      <c r="LZ36" s="82">
        <f t="shared" si="837"/>
        <v>6400000</v>
      </c>
      <c r="MA36" s="82">
        <f t="shared" si="837"/>
        <v>6400000</v>
      </c>
      <c r="MB36" s="82">
        <f t="shared" si="837"/>
        <v>6400000</v>
      </c>
      <c r="MC36" s="82">
        <f t="shared" si="837"/>
        <v>6400000</v>
      </c>
      <c r="MD36" s="82">
        <f t="shared" si="837"/>
        <v>6400000</v>
      </c>
      <c r="ME36" s="82">
        <f t="shared" si="837"/>
        <v>6400000</v>
      </c>
      <c r="MF36" s="82">
        <f t="shared" si="837"/>
        <v>6400000</v>
      </c>
      <c r="MG36" s="82">
        <f t="shared" si="837"/>
        <v>6400000</v>
      </c>
      <c r="MH36" s="82">
        <f t="shared" si="837"/>
        <v>6400000</v>
      </c>
      <c r="MI36" s="82">
        <f t="shared" si="837"/>
        <v>6400000</v>
      </c>
      <c r="MJ36" s="133"/>
      <c r="MK36" s="82">
        <f>MI36</f>
        <v>6400000</v>
      </c>
      <c r="ML36" s="82">
        <f>MK36</f>
        <v>6400000</v>
      </c>
      <c r="MM36" s="82">
        <f t="shared" ref="MM36:NO36" si="838">MK36</f>
        <v>6400000</v>
      </c>
      <c r="MN36" s="82">
        <f t="shared" si="838"/>
        <v>6400000</v>
      </c>
      <c r="MO36" s="82">
        <f t="shared" si="838"/>
        <v>6400000</v>
      </c>
      <c r="MP36" s="82">
        <f t="shared" si="838"/>
        <v>6400000</v>
      </c>
      <c r="MQ36" s="82">
        <f t="shared" si="838"/>
        <v>6400000</v>
      </c>
      <c r="MR36" s="82">
        <f t="shared" si="838"/>
        <v>6400000</v>
      </c>
      <c r="MS36" s="82">
        <f t="shared" si="838"/>
        <v>6400000</v>
      </c>
      <c r="MT36" s="82">
        <f t="shared" si="838"/>
        <v>6400000</v>
      </c>
      <c r="MU36" s="82">
        <f t="shared" si="838"/>
        <v>6400000</v>
      </c>
      <c r="MV36" s="82">
        <f t="shared" si="838"/>
        <v>6400000</v>
      </c>
      <c r="MW36" s="82">
        <f t="shared" si="838"/>
        <v>6400000</v>
      </c>
      <c r="MX36" s="82">
        <f t="shared" si="838"/>
        <v>6400000</v>
      </c>
      <c r="MY36" s="82">
        <f t="shared" si="838"/>
        <v>6400000</v>
      </c>
      <c r="MZ36" s="82">
        <f t="shared" si="838"/>
        <v>6400000</v>
      </c>
      <c r="NA36" s="82">
        <f t="shared" si="838"/>
        <v>6400000</v>
      </c>
      <c r="NB36" s="82">
        <f t="shared" si="838"/>
        <v>6400000</v>
      </c>
      <c r="NC36" s="82">
        <f t="shared" si="838"/>
        <v>6400000</v>
      </c>
      <c r="ND36" s="82">
        <f t="shared" si="838"/>
        <v>6400000</v>
      </c>
      <c r="NE36" s="82">
        <f t="shared" si="838"/>
        <v>6400000</v>
      </c>
      <c r="NF36" s="82">
        <f t="shared" si="838"/>
        <v>6400000</v>
      </c>
      <c r="NG36" s="82">
        <f t="shared" si="838"/>
        <v>6400000</v>
      </c>
      <c r="NH36" s="82">
        <f t="shared" si="838"/>
        <v>6400000</v>
      </c>
      <c r="NI36" s="82">
        <f t="shared" si="838"/>
        <v>6400000</v>
      </c>
      <c r="NJ36" s="82">
        <f t="shared" si="838"/>
        <v>6400000</v>
      </c>
      <c r="NK36" s="82">
        <f t="shared" si="838"/>
        <v>6400000</v>
      </c>
      <c r="NL36" s="82">
        <f t="shared" si="838"/>
        <v>6400000</v>
      </c>
      <c r="NM36" s="82">
        <f t="shared" si="838"/>
        <v>6400000</v>
      </c>
      <c r="NN36" s="82">
        <f t="shared" si="838"/>
        <v>6400000</v>
      </c>
      <c r="NO36" s="82">
        <f t="shared" si="838"/>
        <v>6400000</v>
      </c>
      <c r="NP36" s="133"/>
      <c r="NQ36" s="82">
        <f>NO36</f>
        <v>6400000</v>
      </c>
      <c r="NR36" s="82">
        <f>NQ36</f>
        <v>6400000</v>
      </c>
      <c r="NS36" s="82">
        <f t="shared" ref="NS36:OU36" si="839">NQ36</f>
        <v>6400000</v>
      </c>
      <c r="NT36" s="82">
        <f t="shared" si="839"/>
        <v>6400000</v>
      </c>
      <c r="NU36" s="82">
        <f t="shared" si="839"/>
        <v>6400000</v>
      </c>
      <c r="NV36" s="82">
        <f t="shared" si="839"/>
        <v>6400000</v>
      </c>
      <c r="NW36" s="82">
        <f t="shared" si="839"/>
        <v>6400000</v>
      </c>
      <c r="NX36" s="82">
        <f t="shared" si="839"/>
        <v>6400000</v>
      </c>
      <c r="NY36" s="82">
        <f t="shared" si="839"/>
        <v>6400000</v>
      </c>
      <c r="NZ36" s="82">
        <f t="shared" si="839"/>
        <v>6400000</v>
      </c>
      <c r="OA36" s="82">
        <f t="shared" si="839"/>
        <v>6400000</v>
      </c>
      <c r="OB36" s="82">
        <f t="shared" si="839"/>
        <v>6400000</v>
      </c>
      <c r="OC36" s="82">
        <f t="shared" si="839"/>
        <v>6400000</v>
      </c>
      <c r="OD36" s="82">
        <f t="shared" si="839"/>
        <v>6400000</v>
      </c>
      <c r="OE36" s="82">
        <f t="shared" si="839"/>
        <v>6400000</v>
      </c>
      <c r="OF36" s="82">
        <f t="shared" si="839"/>
        <v>6400000</v>
      </c>
      <c r="OG36" s="82">
        <f t="shared" si="839"/>
        <v>6400000</v>
      </c>
      <c r="OH36" s="82">
        <f t="shared" si="839"/>
        <v>6400000</v>
      </c>
      <c r="OI36" s="82">
        <f t="shared" si="839"/>
        <v>6400000</v>
      </c>
      <c r="OJ36" s="82">
        <f t="shared" si="839"/>
        <v>6400000</v>
      </c>
      <c r="OK36" s="82">
        <f t="shared" si="839"/>
        <v>6400000</v>
      </c>
      <c r="OL36" s="82">
        <f t="shared" si="839"/>
        <v>6400000</v>
      </c>
      <c r="OM36" s="82">
        <f t="shared" si="839"/>
        <v>6400000</v>
      </c>
      <c r="ON36" s="82">
        <f t="shared" si="839"/>
        <v>6400000</v>
      </c>
      <c r="OO36" s="82">
        <f t="shared" si="839"/>
        <v>6400000</v>
      </c>
      <c r="OP36" s="82">
        <f t="shared" si="839"/>
        <v>6400000</v>
      </c>
      <c r="OQ36" s="82">
        <f t="shared" si="839"/>
        <v>6400000</v>
      </c>
      <c r="OR36" s="82">
        <f t="shared" si="839"/>
        <v>6400000</v>
      </c>
      <c r="OS36" s="82">
        <f t="shared" si="839"/>
        <v>6400000</v>
      </c>
      <c r="OT36" s="82">
        <f t="shared" si="839"/>
        <v>6400000</v>
      </c>
      <c r="OU36" s="82">
        <f t="shared" si="839"/>
        <v>6400000</v>
      </c>
      <c r="OV36" s="130"/>
      <c r="OW36" s="82">
        <f>OU36</f>
        <v>6400000</v>
      </c>
      <c r="OX36" s="82">
        <f>OW36</f>
        <v>6400000</v>
      </c>
      <c r="OY36" s="82">
        <f>OW36</f>
        <v>6400000</v>
      </c>
      <c r="OZ36" s="82">
        <f>OX36</f>
        <v>6400000</v>
      </c>
      <c r="PA36" s="82">
        <f>OY36</f>
        <v>6400000</v>
      </c>
      <c r="PB36" s="82">
        <f>OZ36</f>
        <v>6400000</v>
      </c>
      <c r="PC36" s="82">
        <f>PA36</f>
        <v>6400000</v>
      </c>
      <c r="PD36" s="82">
        <f>PB36</f>
        <v>6400000</v>
      </c>
      <c r="PE36" s="82">
        <f t="shared" si="781"/>
        <v>6400000</v>
      </c>
      <c r="PF36" s="82">
        <f t="shared" si="781"/>
        <v>6400000</v>
      </c>
      <c r="PG36" s="82">
        <f t="shared" si="781"/>
        <v>6400000</v>
      </c>
      <c r="PH36" s="82">
        <f t="shared" si="781"/>
        <v>6400000</v>
      </c>
      <c r="PI36" s="82">
        <f t="shared" si="781"/>
        <v>6400000</v>
      </c>
      <c r="PJ36" s="82">
        <f t="shared" si="781"/>
        <v>6400000</v>
      </c>
      <c r="PK36" s="82">
        <f t="shared" si="781"/>
        <v>6400000</v>
      </c>
      <c r="PL36" s="82">
        <f t="shared" si="781"/>
        <v>6400000</v>
      </c>
      <c r="PM36" s="82">
        <f t="shared" si="781"/>
        <v>6400000</v>
      </c>
      <c r="PN36" s="82">
        <f t="shared" si="781"/>
        <v>6400000</v>
      </c>
      <c r="PO36" s="82">
        <f t="shared" si="782"/>
        <v>6400000</v>
      </c>
      <c r="PP36" s="82">
        <f t="shared" si="782"/>
        <v>6400000</v>
      </c>
      <c r="PQ36" s="82">
        <f t="shared" si="782"/>
        <v>6400000</v>
      </c>
      <c r="PR36" s="82">
        <f t="shared" si="782"/>
        <v>6400000</v>
      </c>
      <c r="PS36" s="82">
        <f t="shared" si="782"/>
        <v>6400000</v>
      </c>
      <c r="PT36" s="82">
        <f t="shared" si="782"/>
        <v>6400000</v>
      </c>
      <c r="PU36" s="82">
        <f t="shared" si="782"/>
        <v>6400000</v>
      </c>
      <c r="PV36" s="82">
        <f t="shared" si="782"/>
        <v>6400000</v>
      </c>
      <c r="PW36" s="82">
        <f t="shared" si="782"/>
        <v>6400000</v>
      </c>
      <c r="PX36" s="82">
        <f t="shared" si="782"/>
        <v>6400000</v>
      </c>
      <c r="PY36" s="82">
        <f t="shared" si="783"/>
        <v>6400000</v>
      </c>
      <c r="PZ36" s="82">
        <f t="shared" si="783"/>
        <v>6400000</v>
      </c>
      <c r="QA36" s="130"/>
      <c r="QB36" s="82">
        <f>PZ36</f>
        <v>6400000</v>
      </c>
      <c r="QC36" s="82">
        <f t="shared" ref="QC36:RF36" si="840">QB36</f>
        <v>6400000</v>
      </c>
      <c r="QD36" s="82">
        <f t="shared" si="840"/>
        <v>6400000</v>
      </c>
      <c r="QE36" s="82">
        <f t="shared" si="840"/>
        <v>6400000</v>
      </c>
      <c r="QF36" s="82">
        <f t="shared" si="840"/>
        <v>6400000</v>
      </c>
      <c r="QG36" s="82">
        <f t="shared" si="840"/>
        <v>6400000</v>
      </c>
      <c r="QH36" s="82">
        <f t="shared" si="840"/>
        <v>6400000</v>
      </c>
      <c r="QI36" s="82">
        <f t="shared" si="840"/>
        <v>6400000</v>
      </c>
      <c r="QJ36" s="82">
        <f t="shared" si="840"/>
        <v>6400000</v>
      </c>
      <c r="QK36" s="82">
        <f t="shared" si="840"/>
        <v>6400000</v>
      </c>
      <c r="QL36" s="82">
        <f t="shared" si="840"/>
        <v>6400000</v>
      </c>
      <c r="QM36" s="82">
        <f t="shared" si="840"/>
        <v>6400000</v>
      </c>
      <c r="QN36" s="82">
        <f t="shared" si="840"/>
        <v>6400000</v>
      </c>
      <c r="QO36" s="82">
        <f t="shared" si="840"/>
        <v>6400000</v>
      </c>
      <c r="QP36" s="82">
        <f t="shared" si="840"/>
        <v>6400000</v>
      </c>
      <c r="QQ36" s="82">
        <f t="shared" si="840"/>
        <v>6400000</v>
      </c>
      <c r="QR36" s="82">
        <f t="shared" si="840"/>
        <v>6400000</v>
      </c>
      <c r="QS36" s="82">
        <f t="shared" si="840"/>
        <v>6400000</v>
      </c>
      <c r="QT36" s="82">
        <f t="shared" si="840"/>
        <v>6400000</v>
      </c>
      <c r="QU36" s="82">
        <f t="shared" si="840"/>
        <v>6400000</v>
      </c>
      <c r="QV36" s="82">
        <f t="shared" si="840"/>
        <v>6400000</v>
      </c>
      <c r="QW36" s="82">
        <f t="shared" si="840"/>
        <v>6400000</v>
      </c>
      <c r="QX36" s="82">
        <f t="shared" si="840"/>
        <v>6400000</v>
      </c>
      <c r="QY36" s="82">
        <f t="shared" si="840"/>
        <v>6400000</v>
      </c>
      <c r="QZ36" s="82">
        <f t="shared" si="840"/>
        <v>6400000</v>
      </c>
      <c r="RA36" s="82">
        <f t="shared" si="840"/>
        <v>6400000</v>
      </c>
      <c r="RB36" s="82">
        <f t="shared" si="840"/>
        <v>6400000</v>
      </c>
      <c r="RC36" s="82">
        <f t="shared" si="840"/>
        <v>6400000</v>
      </c>
      <c r="RD36" s="82">
        <f t="shared" si="840"/>
        <v>6400000</v>
      </c>
      <c r="RE36" s="82">
        <f t="shared" si="840"/>
        <v>6400000</v>
      </c>
      <c r="RF36" s="82">
        <f t="shared" si="840"/>
        <v>6400000</v>
      </c>
      <c r="RG36" s="130"/>
      <c r="RH36" s="82">
        <f>RF36</f>
        <v>6400000</v>
      </c>
      <c r="RI36" s="82">
        <f t="shared" ref="RI36:SK36" si="841">RH36</f>
        <v>6400000</v>
      </c>
      <c r="RJ36" s="82">
        <f t="shared" si="841"/>
        <v>6400000</v>
      </c>
      <c r="RK36" s="82">
        <f t="shared" si="841"/>
        <v>6400000</v>
      </c>
      <c r="RL36" s="82">
        <f t="shared" si="841"/>
        <v>6400000</v>
      </c>
      <c r="RM36" s="82">
        <f t="shared" si="841"/>
        <v>6400000</v>
      </c>
      <c r="RN36" s="82">
        <f t="shared" si="841"/>
        <v>6400000</v>
      </c>
      <c r="RO36" s="82">
        <f t="shared" si="841"/>
        <v>6400000</v>
      </c>
      <c r="RP36" s="82">
        <f t="shared" si="841"/>
        <v>6400000</v>
      </c>
      <c r="RQ36" s="82">
        <f t="shared" si="841"/>
        <v>6400000</v>
      </c>
      <c r="RR36" s="82">
        <f t="shared" si="841"/>
        <v>6400000</v>
      </c>
      <c r="RS36" s="82">
        <f t="shared" si="841"/>
        <v>6400000</v>
      </c>
      <c r="RT36" s="82">
        <f t="shared" si="841"/>
        <v>6400000</v>
      </c>
      <c r="RU36" s="82">
        <f t="shared" si="841"/>
        <v>6400000</v>
      </c>
      <c r="RV36" s="82">
        <f t="shared" si="841"/>
        <v>6400000</v>
      </c>
      <c r="RW36" s="82">
        <f t="shared" si="841"/>
        <v>6400000</v>
      </c>
      <c r="RX36" s="82">
        <f t="shared" si="841"/>
        <v>6400000</v>
      </c>
      <c r="RY36" s="82">
        <f t="shared" si="841"/>
        <v>6400000</v>
      </c>
      <c r="RZ36" s="82">
        <f t="shared" si="841"/>
        <v>6400000</v>
      </c>
      <c r="SA36" s="82">
        <f t="shared" si="841"/>
        <v>6400000</v>
      </c>
      <c r="SB36" s="82">
        <f t="shared" si="841"/>
        <v>6400000</v>
      </c>
      <c r="SC36" s="82">
        <f t="shared" si="841"/>
        <v>6400000</v>
      </c>
      <c r="SD36" s="82">
        <f t="shared" si="841"/>
        <v>6400000</v>
      </c>
      <c r="SE36" s="82">
        <f t="shared" si="841"/>
        <v>6400000</v>
      </c>
      <c r="SF36" s="82">
        <f t="shared" si="841"/>
        <v>6400000</v>
      </c>
      <c r="SG36" s="82">
        <f t="shared" si="841"/>
        <v>6400000</v>
      </c>
      <c r="SH36" s="82">
        <f t="shared" si="841"/>
        <v>6400000</v>
      </c>
      <c r="SI36" s="82">
        <f t="shared" si="841"/>
        <v>6400000</v>
      </c>
      <c r="SJ36" s="82">
        <f t="shared" si="841"/>
        <v>6400000</v>
      </c>
      <c r="SK36" s="82">
        <f t="shared" si="841"/>
        <v>6400000</v>
      </c>
      <c r="SL36" s="130"/>
      <c r="SM36" s="82">
        <f>SK36</f>
        <v>6400000</v>
      </c>
      <c r="SN36" s="82">
        <f>SM36</f>
        <v>6400000</v>
      </c>
      <c r="SO36" s="82">
        <f>SN36</f>
        <v>6400000</v>
      </c>
      <c r="SP36" s="82">
        <f t="shared" ref="SP36:TQ36" si="842">SO36</f>
        <v>6400000</v>
      </c>
      <c r="SQ36" s="82">
        <f t="shared" si="842"/>
        <v>6400000</v>
      </c>
      <c r="SR36" s="82">
        <f t="shared" si="842"/>
        <v>6400000</v>
      </c>
      <c r="SS36" s="82">
        <f t="shared" si="842"/>
        <v>6400000</v>
      </c>
      <c r="ST36" s="82">
        <f t="shared" si="842"/>
        <v>6400000</v>
      </c>
      <c r="SU36" s="82">
        <f t="shared" si="842"/>
        <v>6400000</v>
      </c>
      <c r="SV36" s="82">
        <f t="shared" si="842"/>
        <v>6400000</v>
      </c>
      <c r="SW36" s="82">
        <f t="shared" si="842"/>
        <v>6400000</v>
      </c>
      <c r="SX36" s="82">
        <f t="shared" si="842"/>
        <v>6400000</v>
      </c>
      <c r="SY36" s="82">
        <f t="shared" si="842"/>
        <v>6400000</v>
      </c>
      <c r="SZ36" s="82">
        <f t="shared" si="842"/>
        <v>6400000</v>
      </c>
      <c r="TA36" s="82">
        <f t="shared" si="842"/>
        <v>6400000</v>
      </c>
      <c r="TB36" s="82">
        <f t="shared" si="842"/>
        <v>6400000</v>
      </c>
      <c r="TC36" s="82">
        <f t="shared" si="842"/>
        <v>6400000</v>
      </c>
      <c r="TD36" s="82">
        <f t="shared" si="842"/>
        <v>6400000</v>
      </c>
      <c r="TE36" s="82">
        <f t="shared" si="842"/>
        <v>6400000</v>
      </c>
      <c r="TF36" s="82">
        <f t="shared" si="842"/>
        <v>6400000</v>
      </c>
      <c r="TG36" s="82">
        <f t="shared" si="842"/>
        <v>6400000</v>
      </c>
      <c r="TH36" s="82">
        <f t="shared" si="842"/>
        <v>6400000</v>
      </c>
      <c r="TI36" s="82">
        <f t="shared" si="842"/>
        <v>6400000</v>
      </c>
      <c r="TJ36" s="82">
        <f t="shared" si="842"/>
        <v>6400000</v>
      </c>
      <c r="TK36" s="82">
        <f t="shared" si="842"/>
        <v>6400000</v>
      </c>
      <c r="TL36" s="82">
        <f t="shared" si="842"/>
        <v>6400000</v>
      </c>
      <c r="TM36" s="82">
        <f t="shared" si="842"/>
        <v>6400000</v>
      </c>
      <c r="TN36" s="82">
        <f t="shared" si="842"/>
        <v>6400000</v>
      </c>
      <c r="TO36" s="82">
        <f t="shared" si="842"/>
        <v>6400000</v>
      </c>
      <c r="TP36" s="82">
        <f t="shared" si="842"/>
        <v>6400000</v>
      </c>
      <c r="TQ36" s="82">
        <f t="shared" si="842"/>
        <v>6400000</v>
      </c>
      <c r="TR36" s="130"/>
      <c r="TS36" s="82">
        <f>TQ36</f>
        <v>6400000</v>
      </c>
      <c r="TT36" s="82">
        <f t="shared" si="676"/>
        <v>6400000</v>
      </c>
      <c r="TU36" s="82">
        <f t="shared" si="676"/>
        <v>6400000</v>
      </c>
      <c r="TV36" s="82">
        <f t="shared" si="676"/>
        <v>6400000</v>
      </c>
      <c r="TW36" s="82">
        <f t="shared" si="652"/>
        <v>6400000</v>
      </c>
      <c r="TX36" s="82">
        <f>TW36</f>
        <v>6400000</v>
      </c>
      <c r="TY36" s="82">
        <f>TX36</f>
        <v>6400000</v>
      </c>
      <c r="TZ36" s="82">
        <f t="shared" ref="TZ36:UW36" si="843">TY36</f>
        <v>6400000</v>
      </c>
      <c r="UA36" s="82">
        <f t="shared" si="843"/>
        <v>6400000</v>
      </c>
      <c r="UB36" s="82">
        <f t="shared" si="843"/>
        <v>6400000</v>
      </c>
      <c r="UC36" s="82">
        <f t="shared" si="843"/>
        <v>6400000</v>
      </c>
      <c r="UD36" s="82">
        <f t="shared" si="843"/>
        <v>6400000</v>
      </c>
      <c r="UE36" s="82">
        <f t="shared" si="843"/>
        <v>6400000</v>
      </c>
      <c r="UF36" s="82">
        <f t="shared" si="843"/>
        <v>6400000</v>
      </c>
      <c r="UG36" s="82">
        <f t="shared" si="843"/>
        <v>6400000</v>
      </c>
      <c r="UH36" s="82">
        <f t="shared" si="843"/>
        <v>6400000</v>
      </c>
      <c r="UI36" s="82">
        <f t="shared" si="843"/>
        <v>6400000</v>
      </c>
      <c r="UJ36" s="82">
        <f t="shared" si="843"/>
        <v>6400000</v>
      </c>
      <c r="UK36" s="82">
        <f t="shared" si="843"/>
        <v>6400000</v>
      </c>
      <c r="UL36" s="82">
        <f t="shared" si="843"/>
        <v>6400000</v>
      </c>
      <c r="UM36" s="82">
        <f t="shared" si="843"/>
        <v>6400000</v>
      </c>
      <c r="UN36" s="82">
        <f t="shared" si="843"/>
        <v>6400000</v>
      </c>
      <c r="UO36" s="82">
        <f t="shared" si="843"/>
        <v>6400000</v>
      </c>
      <c r="UP36" s="82">
        <f t="shared" si="843"/>
        <v>6400000</v>
      </c>
      <c r="UQ36" s="82">
        <f t="shared" si="843"/>
        <v>6400000</v>
      </c>
      <c r="UR36" s="82">
        <f t="shared" si="843"/>
        <v>6400000</v>
      </c>
      <c r="US36" s="82">
        <f t="shared" si="843"/>
        <v>6400000</v>
      </c>
      <c r="UT36" s="82">
        <f t="shared" si="843"/>
        <v>6400000</v>
      </c>
      <c r="UU36" s="82">
        <f t="shared" si="843"/>
        <v>6400000</v>
      </c>
      <c r="UV36" s="82">
        <f t="shared" si="843"/>
        <v>6400000</v>
      </c>
      <c r="UW36" s="82">
        <f t="shared" si="843"/>
        <v>6400000</v>
      </c>
      <c r="UX36" s="130"/>
      <c r="UY36" s="82">
        <f>UW36</f>
        <v>6400000</v>
      </c>
      <c r="UZ36" s="82">
        <f t="shared" si="678"/>
        <v>6400000</v>
      </c>
      <c r="VA36" s="82">
        <f>UY36</f>
        <v>6400000</v>
      </c>
      <c r="VB36" s="82">
        <f>UZ36</f>
        <v>6400000</v>
      </c>
      <c r="VC36" s="82">
        <f>VA36</f>
        <v>6400000</v>
      </c>
      <c r="VD36" s="82">
        <f>VB36</f>
        <v>6400000</v>
      </c>
      <c r="VE36" s="82">
        <v>0</v>
      </c>
      <c r="VF36" s="82">
        <v>0</v>
      </c>
      <c r="VG36" s="82">
        <f t="shared" ref="VG36:VZ36" si="844">VE36</f>
        <v>0</v>
      </c>
      <c r="VH36" s="82">
        <f t="shared" si="844"/>
        <v>0</v>
      </c>
      <c r="VI36" s="82">
        <f t="shared" si="844"/>
        <v>0</v>
      </c>
      <c r="VJ36" s="82">
        <f t="shared" si="844"/>
        <v>0</v>
      </c>
      <c r="VK36" s="82">
        <f t="shared" si="844"/>
        <v>0</v>
      </c>
      <c r="VL36" s="82">
        <f t="shared" si="844"/>
        <v>0</v>
      </c>
      <c r="VM36" s="82">
        <f t="shared" si="844"/>
        <v>0</v>
      </c>
      <c r="VN36" s="82">
        <f t="shared" si="844"/>
        <v>0</v>
      </c>
      <c r="VO36" s="82">
        <f t="shared" si="844"/>
        <v>0</v>
      </c>
      <c r="VP36" s="82">
        <f t="shared" si="844"/>
        <v>0</v>
      </c>
      <c r="VQ36" s="82">
        <f t="shared" si="844"/>
        <v>0</v>
      </c>
      <c r="VR36" s="82">
        <f t="shared" si="844"/>
        <v>0</v>
      </c>
      <c r="VS36" s="82">
        <f t="shared" si="844"/>
        <v>0</v>
      </c>
      <c r="VT36" s="82">
        <f t="shared" si="844"/>
        <v>0</v>
      </c>
      <c r="VU36" s="82">
        <f t="shared" si="844"/>
        <v>0</v>
      </c>
      <c r="VV36" s="82">
        <f t="shared" si="844"/>
        <v>0</v>
      </c>
      <c r="VW36" s="82">
        <f t="shared" si="844"/>
        <v>0</v>
      </c>
      <c r="VX36" s="82">
        <f t="shared" si="844"/>
        <v>0</v>
      </c>
      <c r="VY36" s="82">
        <f t="shared" si="844"/>
        <v>0</v>
      </c>
      <c r="VZ36" s="82">
        <f t="shared" si="844"/>
        <v>0</v>
      </c>
      <c r="WA36" s="133"/>
      <c r="WB36" s="82">
        <f t="shared" ref="WB36:XF36" si="845">VZ36</f>
        <v>0</v>
      </c>
      <c r="WC36" s="82">
        <f t="shared" si="845"/>
        <v>0</v>
      </c>
      <c r="WD36" s="82">
        <f t="shared" si="845"/>
        <v>0</v>
      </c>
      <c r="WE36" s="82">
        <f t="shared" si="845"/>
        <v>0</v>
      </c>
      <c r="WF36" s="82">
        <f t="shared" si="845"/>
        <v>0</v>
      </c>
      <c r="WG36" s="82">
        <f t="shared" si="845"/>
        <v>0</v>
      </c>
      <c r="WH36" s="82">
        <f t="shared" si="845"/>
        <v>0</v>
      </c>
      <c r="WI36" s="82">
        <f t="shared" si="845"/>
        <v>0</v>
      </c>
      <c r="WJ36" s="82">
        <f t="shared" si="845"/>
        <v>0</v>
      </c>
      <c r="WK36" s="82">
        <f t="shared" si="845"/>
        <v>0</v>
      </c>
      <c r="WL36" s="82">
        <f t="shared" si="845"/>
        <v>0</v>
      </c>
      <c r="WM36" s="82">
        <f t="shared" si="845"/>
        <v>0</v>
      </c>
      <c r="WN36" s="82">
        <f t="shared" si="845"/>
        <v>0</v>
      </c>
      <c r="WO36" s="82">
        <f t="shared" si="845"/>
        <v>0</v>
      </c>
      <c r="WP36" s="82">
        <f t="shared" si="845"/>
        <v>0</v>
      </c>
      <c r="WQ36" s="82">
        <f t="shared" si="845"/>
        <v>0</v>
      </c>
      <c r="WR36" s="82">
        <f t="shared" si="845"/>
        <v>0</v>
      </c>
      <c r="WS36" s="82">
        <f t="shared" si="845"/>
        <v>0</v>
      </c>
      <c r="WT36" s="82">
        <f t="shared" si="845"/>
        <v>0</v>
      </c>
      <c r="WU36" s="82">
        <f t="shared" si="845"/>
        <v>0</v>
      </c>
      <c r="WV36" s="82">
        <f t="shared" si="845"/>
        <v>0</v>
      </c>
      <c r="WW36" s="82">
        <f t="shared" si="845"/>
        <v>0</v>
      </c>
      <c r="WX36" s="82">
        <f t="shared" si="845"/>
        <v>0</v>
      </c>
      <c r="WY36" s="82">
        <f t="shared" si="845"/>
        <v>0</v>
      </c>
      <c r="WZ36" s="82">
        <f t="shared" si="845"/>
        <v>0</v>
      </c>
      <c r="XA36" s="82">
        <f t="shared" si="845"/>
        <v>0</v>
      </c>
      <c r="XB36" s="82">
        <f t="shared" si="845"/>
        <v>0</v>
      </c>
      <c r="XC36" s="82">
        <f t="shared" si="845"/>
        <v>0</v>
      </c>
      <c r="XD36" s="82">
        <f t="shared" si="845"/>
        <v>0</v>
      </c>
      <c r="XE36" s="82">
        <f t="shared" si="845"/>
        <v>0</v>
      </c>
      <c r="XF36" s="82">
        <f t="shared" si="845"/>
        <v>0</v>
      </c>
      <c r="XG36" s="133"/>
      <c r="XH36" s="82">
        <f t="shared" ref="XH36:YK36" si="846">XF36</f>
        <v>0</v>
      </c>
      <c r="XI36" s="82">
        <f t="shared" si="846"/>
        <v>0</v>
      </c>
      <c r="XJ36" s="82">
        <f t="shared" si="846"/>
        <v>0</v>
      </c>
      <c r="XK36" s="82">
        <f t="shared" si="846"/>
        <v>0</v>
      </c>
      <c r="XL36" s="82">
        <f t="shared" si="846"/>
        <v>0</v>
      </c>
      <c r="XM36" s="82">
        <f t="shared" si="846"/>
        <v>0</v>
      </c>
      <c r="XN36" s="82">
        <f t="shared" si="846"/>
        <v>0</v>
      </c>
      <c r="XO36" s="82">
        <f t="shared" si="846"/>
        <v>0</v>
      </c>
      <c r="XP36" s="82">
        <f t="shared" si="846"/>
        <v>0</v>
      </c>
      <c r="XQ36" s="82">
        <f t="shared" si="846"/>
        <v>0</v>
      </c>
      <c r="XR36" s="82">
        <f t="shared" si="846"/>
        <v>0</v>
      </c>
      <c r="XS36" s="82">
        <f t="shared" si="846"/>
        <v>0</v>
      </c>
      <c r="XT36" s="82">
        <f t="shared" si="846"/>
        <v>0</v>
      </c>
      <c r="XU36" s="82">
        <f t="shared" si="846"/>
        <v>0</v>
      </c>
      <c r="XV36" s="82">
        <f t="shared" si="846"/>
        <v>0</v>
      </c>
      <c r="XW36" s="82">
        <f t="shared" si="846"/>
        <v>0</v>
      </c>
      <c r="XX36" s="82">
        <f t="shared" si="846"/>
        <v>0</v>
      </c>
      <c r="XY36" s="82">
        <f t="shared" si="846"/>
        <v>0</v>
      </c>
      <c r="XZ36" s="82">
        <f t="shared" si="846"/>
        <v>0</v>
      </c>
      <c r="YA36" s="82">
        <f t="shared" si="846"/>
        <v>0</v>
      </c>
      <c r="YB36" s="82">
        <f t="shared" si="846"/>
        <v>0</v>
      </c>
      <c r="YC36" s="82">
        <f t="shared" si="846"/>
        <v>0</v>
      </c>
      <c r="YD36" s="82">
        <f t="shared" si="846"/>
        <v>0</v>
      </c>
      <c r="YE36" s="82">
        <f t="shared" si="846"/>
        <v>0</v>
      </c>
      <c r="YF36" s="82">
        <f t="shared" si="846"/>
        <v>0</v>
      </c>
      <c r="YG36" s="82">
        <f t="shared" si="846"/>
        <v>0</v>
      </c>
      <c r="YH36" s="82">
        <f t="shared" si="846"/>
        <v>0</v>
      </c>
      <c r="YI36" s="82">
        <f t="shared" si="846"/>
        <v>0</v>
      </c>
      <c r="YJ36" s="82">
        <f t="shared" si="846"/>
        <v>0</v>
      </c>
      <c r="YK36" s="82">
        <f t="shared" si="846"/>
        <v>0</v>
      </c>
      <c r="YL36" s="130"/>
      <c r="YM36" s="82">
        <f t="shared" ref="YM36:ZQ36" si="847">YK36</f>
        <v>0</v>
      </c>
      <c r="YN36" s="82">
        <f t="shared" si="847"/>
        <v>0</v>
      </c>
      <c r="YO36" s="82">
        <f t="shared" si="847"/>
        <v>0</v>
      </c>
      <c r="YP36" s="82">
        <f t="shared" si="847"/>
        <v>0</v>
      </c>
      <c r="YQ36" s="82">
        <f t="shared" si="847"/>
        <v>0</v>
      </c>
      <c r="YR36" s="82">
        <f t="shared" si="847"/>
        <v>0</v>
      </c>
      <c r="YS36" s="82">
        <f t="shared" si="847"/>
        <v>0</v>
      </c>
      <c r="YT36" s="82">
        <f t="shared" si="847"/>
        <v>0</v>
      </c>
      <c r="YU36" s="82">
        <f t="shared" si="847"/>
        <v>0</v>
      </c>
      <c r="YV36" s="82">
        <f t="shared" si="847"/>
        <v>0</v>
      </c>
      <c r="YW36" s="82">
        <f t="shared" si="847"/>
        <v>0</v>
      </c>
      <c r="YX36" s="82">
        <f t="shared" si="847"/>
        <v>0</v>
      </c>
      <c r="YY36" s="82">
        <f t="shared" si="847"/>
        <v>0</v>
      </c>
      <c r="YZ36" s="82">
        <f t="shared" si="847"/>
        <v>0</v>
      </c>
      <c r="ZA36" s="82">
        <f t="shared" si="847"/>
        <v>0</v>
      </c>
      <c r="ZB36" s="82">
        <f t="shared" si="847"/>
        <v>0</v>
      </c>
      <c r="ZC36" s="82">
        <f t="shared" si="847"/>
        <v>0</v>
      </c>
      <c r="ZD36" s="82">
        <f t="shared" si="847"/>
        <v>0</v>
      </c>
      <c r="ZE36" s="82">
        <f t="shared" si="847"/>
        <v>0</v>
      </c>
      <c r="ZF36" s="82">
        <f t="shared" si="847"/>
        <v>0</v>
      </c>
      <c r="ZG36" s="82">
        <f t="shared" si="847"/>
        <v>0</v>
      </c>
      <c r="ZH36" s="82">
        <f t="shared" si="847"/>
        <v>0</v>
      </c>
      <c r="ZI36" s="82">
        <f t="shared" si="847"/>
        <v>0</v>
      </c>
      <c r="ZJ36" s="82">
        <f t="shared" si="847"/>
        <v>0</v>
      </c>
      <c r="ZK36" s="82">
        <f t="shared" si="847"/>
        <v>0</v>
      </c>
      <c r="ZL36" s="82">
        <f t="shared" si="847"/>
        <v>0</v>
      </c>
      <c r="ZM36" s="82">
        <f t="shared" si="847"/>
        <v>0</v>
      </c>
      <c r="ZN36" s="82">
        <f t="shared" si="847"/>
        <v>0</v>
      </c>
      <c r="ZO36" s="82">
        <f t="shared" si="847"/>
        <v>0</v>
      </c>
      <c r="ZP36" s="82">
        <f t="shared" si="847"/>
        <v>0</v>
      </c>
      <c r="ZQ36" s="82">
        <f t="shared" si="847"/>
        <v>0</v>
      </c>
      <c r="ZR36" s="130"/>
      <c r="ZS36" s="82">
        <f t="shared" ref="ZS36:AAV36" si="848">ZQ36</f>
        <v>0</v>
      </c>
      <c r="ZT36" s="82">
        <f t="shared" si="848"/>
        <v>0</v>
      </c>
      <c r="ZU36" s="82">
        <f t="shared" si="848"/>
        <v>0</v>
      </c>
      <c r="ZV36" s="82">
        <f t="shared" si="848"/>
        <v>0</v>
      </c>
      <c r="ZW36" s="82">
        <f t="shared" si="848"/>
        <v>0</v>
      </c>
      <c r="ZX36" s="82">
        <f t="shared" si="848"/>
        <v>0</v>
      </c>
      <c r="ZY36" s="82">
        <f t="shared" si="848"/>
        <v>0</v>
      </c>
      <c r="ZZ36" s="82">
        <f t="shared" si="848"/>
        <v>0</v>
      </c>
      <c r="AAA36" s="82">
        <f t="shared" si="848"/>
        <v>0</v>
      </c>
      <c r="AAB36" s="82">
        <f t="shared" si="848"/>
        <v>0</v>
      </c>
      <c r="AAC36" s="82">
        <f t="shared" si="848"/>
        <v>0</v>
      </c>
      <c r="AAD36" s="82">
        <f t="shared" si="848"/>
        <v>0</v>
      </c>
      <c r="AAE36" s="82">
        <f t="shared" si="848"/>
        <v>0</v>
      </c>
      <c r="AAF36" s="82">
        <f t="shared" si="848"/>
        <v>0</v>
      </c>
      <c r="AAG36" s="82">
        <f t="shared" si="848"/>
        <v>0</v>
      </c>
      <c r="AAH36" s="82">
        <f t="shared" si="848"/>
        <v>0</v>
      </c>
      <c r="AAI36" s="82">
        <f t="shared" si="848"/>
        <v>0</v>
      </c>
      <c r="AAJ36" s="82">
        <f t="shared" si="848"/>
        <v>0</v>
      </c>
      <c r="AAK36" s="82">
        <f t="shared" si="848"/>
        <v>0</v>
      </c>
      <c r="AAL36" s="82">
        <f t="shared" si="848"/>
        <v>0</v>
      </c>
      <c r="AAM36" s="82">
        <f t="shared" si="848"/>
        <v>0</v>
      </c>
      <c r="AAN36" s="82">
        <f t="shared" si="848"/>
        <v>0</v>
      </c>
      <c r="AAO36" s="82">
        <f t="shared" si="848"/>
        <v>0</v>
      </c>
      <c r="AAP36" s="82">
        <f t="shared" si="848"/>
        <v>0</v>
      </c>
      <c r="AAQ36" s="82">
        <f t="shared" si="848"/>
        <v>0</v>
      </c>
      <c r="AAR36" s="82">
        <f t="shared" si="848"/>
        <v>0</v>
      </c>
      <c r="AAS36" s="82">
        <f t="shared" si="848"/>
        <v>0</v>
      </c>
      <c r="AAT36" s="82">
        <f t="shared" si="848"/>
        <v>0</v>
      </c>
      <c r="AAU36" s="82">
        <f t="shared" si="848"/>
        <v>0</v>
      </c>
      <c r="AAV36" s="82">
        <f t="shared" si="848"/>
        <v>0</v>
      </c>
      <c r="AAW36" s="130"/>
      <c r="AAX36" s="82">
        <f t="shared" ref="AAX36:ACB36" si="849">AAV36</f>
        <v>0</v>
      </c>
      <c r="AAY36" s="82">
        <f t="shared" si="849"/>
        <v>0</v>
      </c>
      <c r="AAZ36" s="82">
        <f t="shared" si="849"/>
        <v>0</v>
      </c>
      <c r="ABA36" s="82">
        <f t="shared" si="849"/>
        <v>0</v>
      </c>
      <c r="ABB36" s="82">
        <f t="shared" si="849"/>
        <v>0</v>
      </c>
      <c r="ABC36" s="82">
        <f t="shared" si="849"/>
        <v>0</v>
      </c>
      <c r="ABD36" s="82">
        <f t="shared" si="849"/>
        <v>0</v>
      </c>
      <c r="ABE36" s="82">
        <f t="shared" si="849"/>
        <v>0</v>
      </c>
      <c r="ABF36" s="82">
        <f t="shared" si="849"/>
        <v>0</v>
      </c>
      <c r="ABG36" s="82">
        <f t="shared" si="849"/>
        <v>0</v>
      </c>
      <c r="ABH36" s="82">
        <f t="shared" si="849"/>
        <v>0</v>
      </c>
      <c r="ABI36" s="82">
        <f t="shared" si="849"/>
        <v>0</v>
      </c>
      <c r="ABJ36" s="82">
        <f t="shared" si="849"/>
        <v>0</v>
      </c>
      <c r="ABK36" s="82">
        <f t="shared" si="849"/>
        <v>0</v>
      </c>
      <c r="ABL36" s="82">
        <f t="shared" si="849"/>
        <v>0</v>
      </c>
      <c r="ABM36" s="82">
        <f t="shared" si="849"/>
        <v>0</v>
      </c>
      <c r="ABN36" s="82">
        <f t="shared" si="849"/>
        <v>0</v>
      </c>
      <c r="ABO36" s="82">
        <f t="shared" si="849"/>
        <v>0</v>
      </c>
      <c r="ABP36" s="82">
        <f t="shared" si="849"/>
        <v>0</v>
      </c>
      <c r="ABQ36" s="82">
        <f t="shared" si="849"/>
        <v>0</v>
      </c>
      <c r="ABR36" s="82">
        <f t="shared" si="849"/>
        <v>0</v>
      </c>
      <c r="ABS36" s="82">
        <f t="shared" si="849"/>
        <v>0</v>
      </c>
      <c r="ABT36" s="82">
        <f t="shared" si="849"/>
        <v>0</v>
      </c>
      <c r="ABU36" s="82">
        <f t="shared" si="849"/>
        <v>0</v>
      </c>
      <c r="ABV36" s="82">
        <f t="shared" si="849"/>
        <v>0</v>
      </c>
      <c r="ABW36" s="82">
        <f t="shared" si="849"/>
        <v>0</v>
      </c>
      <c r="ABX36" s="82">
        <f t="shared" si="849"/>
        <v>0</v>
      </c>
      <c r="ABY36" s="82">
        <f t="shared" si="849"/>
        <v>0</v>
      </c>
      <c r="ABZ36" s="82">
        <f t="shared" si="849"/>
        <v>0</v>
      </c>
      <c r="ACA36" s="82">
        <f t="shared" si="849"/>
        <v>0</v>
      </c>
      <c r="ACB36" s="82">
        <f t="shared" si="849"/>
        <v>0</v>
      </c>
      <c r="ACC36" s="130"/>
      <c r="ACD36" s="82">
        <f t="shared" ref="ACD36:ADH36" si="850">ACB36</f>
        <v>0</v>
      </c>
      <c r="ACE36" s="82">
        <f t="shared" si="850"/>
        <v>0</v>
      </c>
      <c r="ACF36" s="82">
        <f t="shared" si="850"/>
        <v>0</v>
      </c>
      <c r="ACG36" s="82">
        <f t="shared" si="850"/>
        <v>0</v>
      </c>
      <c r="ACH36" s="82">
        <f t="shared" si="850"/>
        <v>0</v>
      </c>
      <c r="ACI36" s="82">
        <f t="shared" si="850"/>
        <v>0</v>
      </c>
      <c r="ACJ36" s="82">
        <f t="shared" si="850"/>
        <v>0</v>
      </c>
      <c r="ACK36" s="82">
        <f t="shared" si="850"/>
        <v>0</v>
      </c>
      <c r="ACL36" s="82">
        <f t="shared" si="850"/>
        <v>0</v>
      </c>
      <c r="ACM36" s="82">
        <f t="shared" si="850"/>
        <v>0</v>
      </c>
      <c r="ACN36" s="82">
        <f t="shared" si="850"/>
        <v>0</v>
      </c>
      <c r="ACO36" s="82">
        <f t="shared" si="850"/>
        <v>0</v>
      </c>
      <c r="ACP36" s="82">
        <f t="shared" si="850"/>
        <v>0</v>
      </c>
      <c r="ACQ36" s="82">
        <f t="shared" si="850"/>
        <v>0</v>
      </c>
      <c r="ACR36" s="82">
        <f t="shared" si="850"/>
        <v>0</v>
      </c>
      <c r="ACS36" s="82">
        <f t="shared" si="850"/>
        <v>0</v>
      </c>
      <c r="ACT36" s="82">
        <f t="shared" si="850"/>
        <v>0</v>
      </c>
      <c r="ACU36" s="82">
        <f t="shared" si="850"/>
        <v>0</v>
      </c>
      <c r="ACV36" s="82">
        <f t="shared" si="850"/>
        <v>0</v>
      </c>
      <c r="ACW36" s="82">
        <f t="shared" si="850"/>
        <v>0</v>
      </c>
      <c r="ACX36" s="82">
        <f t="shared" si="850"/>
        <v>0</v>
      </c>
      <c r="ACY36" s="82">
        <f t="shared" si="850"/>
        <v>0</v>
      </c>
      <c r="ACZ36" s="82">
        <f t="shared" si="850"/>
        <v>0</v>
      </c>
      <c r="ADA36" s="82">
        <f t="shared" si="850"/>
        <v>0</v>
      </c>
      <c r="ADB36" s="82">
        <f t="shared" si="850"/>
        <v>0</v>
      </c>
      <c r="ADC36" s="82">
        <f t="shared" si="850"/>
        <v>0</v>
      </c>
      <c r="ADD36" s="82">
        <f t="shared" si="850"/>
        <v>0</v>
      </c>
      <c r="ADE36" s="82">
        <f t="shared" si="850"/>
        <v>0</v>
      </c>
      <c r="ADF36" s="82">
        <f t="shared" si="850"/>
        <v>0</v>
      </c>
      <c r="ADG36" s="82">
        <f t="shared" si="850"/>
        <v>0</v>
      </c>
      <c r="ADH36" s="82">
        <f t="shared" si="850"/>
        <v>0</v>
      </c>
      <c r="ADI36" s="130"/>
      <c r="ADJ36" s="82">
        <f t="shared" ref="ADJ36:AEM36" si="851">ADH36</f>
        <v>0</v>
      </c>
      <c r="ADK36" s="82">
        <f t="shared" si="851"/>
        <v>0</v>
      </c>
      <c r="ADL36" s="82">
        <f t="shared" si="851"/>
        <v>0</v>
      </c>
      <c r="ADM36" s="82">
        <f t="shared" si="851"/>
        <v>0</v>
      </c>
      <c r="ADN36" s="82">
        <f t="shared" si="851"/>
        <v>0</v>
      </c>
      <c r="ADO36" s="82">
        <f t="shared" si="851"/>
        <v>0</v>
      </c>
      <c r="ADP36" s="82">
        <f t="shared" si="851"/>
        <v>0</v>
      </c>
      <c r="ADQ36" s="82">
        <f t="shared" si="851"/>
        <v>0</v>
      </c>
      <c r="ADR36" s="82">
        <f t="shared" si="851"/>
        <v>0</v>
      </c>
      <c r="ADS36" s="82">
        <f t="shared" si="851"/>
        <v>0</v>
      </c>
      <c r="ADT36" s="82">
        <f t="shared" si="851"/>
        <v>0</v>
      </c>
      <c r="ADU36" s="82">
        <f t="shared" si="851"/>
        <v>0</v>
      </c>
      <c r="ADV36" s="82">
        <f t="shared" si="851"/>
        <v>0</v>
      </c>
      <c r="ADW36" s="82">
        <f t="shared" si="851"/>
        <v>0</v>
      </c>
      <c r="ADX36" s="82">
        <f t="shared" si="851"/>
        <v>0</v>
      </c>
      <c r="ADY36" s="82">
        <f t="shared" si="851"/>
        <v>0</v>
      </c>
      <c r="ADZ36" s="82">
        <f t="shared" si="851"/>
        <v>0</v>
      </c>
      <c r="AEA36" s="82">
        <f t="shared" si="851"/>
        <v>0</v>
      </c>
      <c r="AEB36" s="82">
        <f t="shared" si="851"/>
        <v>0</v>
      </c>
      <c r="AEC36" s="82">
        <f t="shared" si="851"/>
        <v>0</v>
      </c>
      <c r="AED36" s="82">
        <f t="shared" si="851"/>
        <v>0</v>
      </c>
      <c r="AEE36" s="82">
        <f t="shared" si="851"/>
        <v>0</v>
      </c>
      <c r="AEF36" s="82">
        <f t="shared" si="851"/>
        <v>0</v>
      </c>
      <c r="AEG36" s="82">
        <f t="shared" si="851"/>
        <v>0</v>
      </c>
      <c r="AEH36" s="82">
        <f t="shared" si="851"/>
        <v>0</v>
      </c>
      <c r="AEI36" s="82">
        <f t="shared" si="851"/>
        <v>0</v>
      </c>
      <c r="AEJ36" s="82">
        <f t="shared" si="851"/>
        <v>0</v>
      </c>
      <c r="AEK36" s="82">
        <f t="shared" si="851"/>
        <v>0</v>
      </c>
      <c r="AEL36" s="82">
        <f t="shared" si="851"/>
        <v>0</v>
      </c>
      <c r="AEM36" s="82">
        <f t="shared" si="851"/>
        <v>0</v>
      </c>
      <c r="AEN36" s="130"/>
      <c r="AEO36" s="82">
        <f t="shared" ref="AEO36:AFS36" si="852">AEM36</f>
        <v>0</v>
      </c>
      <c r="AEP36" s="82">
        <f t="shared" si="852"/>
        <v>0</v>
      </c>
      <c r="AEQ36" s="82">
        <f t="shared" si="852"/>
        <v>0</v>
      </c>
      <c r="AER36" s="82">
        <f t="shared" si="852"/>
        <v>0</v>
      </c>
      <c r="AES36" s="82">
        <f t="shared" si="852"/>
        <v>0</v>
      </c>
      <c r="AET36" s="82">
        <f t="shared" si="852"/>
        <v>0</v>
      </c>
      <c r="AEU36" s="82">
        <f t="shared" si="852"/>
        <v>0</v>
      </c>
      <c r="AEV36" s="82">
        <f t="shared" si="852"/>
        <v>0</v>
      </c>
      <c r="AEW36" s="82">
        <f t="shared" si="852"/>
        <v>0</v>
      </c>
      <c r="AEX36" s="82">
        <f t="shared" si="852"/>
        <v>0</v>
      </c>
      <c r="AEY36" s="82">
        <f t="shared" si="852"/>
        <v>0</v>
      </c>
      <c r="AEZ36" s="82">
        <f t="shared" si="852"/>
        <v>0</v>
      </c>
      <c r="AFA36" s="82">
        <f t="shared" si="852"/>
        <v>0</v>
      </c>
      <c r="AFB36" s="82">
        <f t="shared" si="852"/>
        <v>0</v>
      </c>
      <c r="AFC36" s="82">
        <f t="shared" si="852"/>
        <v>0</v>
      </c>
      <c r="AFD36" s="82">
        <f t="shared" si="852"/>
        <v>0</v>
      </c>
      <c r="AFE36" s="82">
        <f t="shared" si="852"/>
        <v>0</v>
      </c>
      <c r="AFF36" s="82">
        <f t="shared" si="852"/>
        <v>0</v>
      </c>
      <c r="AFG36" s="82">
        <f t="shared" si="852"/>
        <v>0</v>
      </c>
      <c r="AFH36" s="82">
        <f t="shared" si="852"/>
        <v>0</v>
      </c>
      <c r="AFI36" s="82">
        <f t="shared" si="852"/>
        <v>0</v>
      </c>
      <c r="AFJ36" s="82">
        <f t="shared" si="852"/>
        <v>0</v>
      </c>
      <c r="AFK36" s="82">
        <f t="shared" si="852"/>
        <v>0</v>
      </c>
      <c r="AFL36" s="82">
        <f t="shared" si="852"/>
        <v>0</v>
      </c>
      <c r="AFM36" s="82">
        <f t="shared" si="852"/>
        <v>0</v>
      </c>
      <c r="AFN36" s="82">
        <f t="shared" si="852"/>
        <v>0</v>
      </c>
      <c r="AFO36" s="82">
        <f t="shared" si="852"/>
        <v>0</v>
      </c>
      <c r="AFP36" s="82">
        <f t="shared" si="852"/>
        <v>0</v>
      </c>
      <c r="AFQ36" s="82">
        <f t="shared" si="852"/>
        <v>0</v>
      </c>
      <c r="AFR36" s="82">
        <f t="shared" si="852"/>
        <v>0</v>
      </c>
      <c r="AFS36" s="82">
        <f t="shared" si="852"/>
        <v>0</v>
      </c>
      <c r="AFT36" s="130"/>
      <c r="AFU36" s="82">
        <f t="shared" ref="AFU36:AGX36" si="853">AFS36</f>
        <v>0</v>
      </c>
      <c r="AFV36" s="82">
        <f t="shared" si="853"/>
        <v>0</v>
      </c>
      <c r="AFW36" s="82">
        <f t="shared" si="853"/>
        <v>0</v>
      </c>
      <c r="AFX36" s="82">
        <f t="shared" si="853"/>
        <v>0</v>
      </c>
      <c r="AFY36" s="82">
        <f t="shared" si="853"/>
        <v>0</v>
      </c>
      <c r="AFZ36" s="82">
        <f t="shared" si="853"/>
        <v>0</v>
      </c>
      <c r="AGA36" s="82">
        <f t="shared" si="853"/>
        <v>0</v>
      </c>
      <c r="AGB36" s="82">
        <f t="shared" si="853"/>
        <v>0</v>
      </c>
      <c r="AGC36" s="82">
        <f t="shared" si="853"/>
        <v>0</v>
      </c>
      <c r="AGD36" s="82">
        <f t="shared" si="853"/>
        <v>0</v>
      </c>
      <c r="AGE36" s="82">
        <f t="shared" si="853"/>
        <v>0</v>
      </c>
      <c r="AGF36" s="82">
        <f t="shared" si="853"/>
        <v>0</v>
      </c>
      <c r="AGG36" s="82">
        <f t="shared" si="853"/>
        <v>0</v>
      </c>
      <c r="AGH36" s="82">
        <f t="shared" si="853"/>
        <v>0</v>
      </c>
      <c r="AGI36" s="82">
        <f t="shared" si="853"/>
        <v>0</v>
      </c>
      <c r="AGJ36" s="82">
        <f t="shared" si="853"/>
        <v>0</v>
      </c>
      <c r="AGK36" s="82">
        <f t="shared" si="853"/>
        <v>0</v>
      </c>
      <c r="AGL36" s="82">
        <f t="shared" si="853"/>
        <v>0</v>
      </c>
      <c r="AGM36" s="82">
        <f t="shared" si="853"/>
        <v>0</v>
      </c>
      <c r="AGN36" s="82">
        <f t="shared" si="853"/>
        <v>0</v>
      </c>
      <c r="AGO36" s="82">
        <f t="shared" si="853"/>
        <v>0</v>
      </c>
      <c r="AGP36" s="82">
        <f t="shared" si="853"/>
        <v>0</v>
      </c>
      <c r="AGQ36" s="82">
        <f t="shared" si="853"/>
        <v>0</v>
      </c>
      <c r="AGR36" s="82">
        <f t="shared" si="853"/>
        <v>0</v>
      </c>
      <c r="AGS36" s="82">
        <f t="shared" si="853"/>
        <v>0</v>
      </c>
      <c r="AGT36" s="82">
        <f t="shared" si="853"/>
        <v>0</v>
      </c>
      <c r="AGU36" s="82">
        <f t="shared" si="853"/>
        <v>0</v>
      </c>
      <c r="AGV36" s="82">
        <f t="shared" si="853"/>
        <v>0</v>
      </c>
      <c r="AGW36" s="82">
        <f t="shared" si="853"/>
        <v>0</v>
      </c>
      <c r="AGX36" s="82">
        <f t="shared" si="853"/>
        <v>0</v>
      </c>
      <c r="AGY36" s="133"/>
      <c r="AGZ36" s="82">
        <f t="shared" ref="AGZ36:AID36" si="854">AGX36</f>
        <v>0</v>
      </c>
      <c r="AHA36" s="82">
        <f t="shared" si="854"/>
        <v>0</v>
      </c>
      <c r="AHB36" s="82">
        <f t="shared" si="854"/>
        <v>0</v>
      </c>
      <c r="AHC36" s="82">
        <f t="shared" si="854"/>
        <v>0</v>
      </c>
      <c r="AHD36" s="82">
        <f t="shared" si="854"/>
        <v>0</v>
      </c>
      <c r="AHE36" s="82">
        <f t="shared" si="854"/>
        <v>0</v>
      </c>
      <c r="AHF36" s="82">
        <f t="shared" si="854"/>
        <v>0</v>
      </c>
      <c r="AHG36" s="82">
        <f t="shared" si="854"/>
        <v>0</v>
      </c>
      <c r="AHH36" s="82">
        <f t="shared" si="854"/>
        <v>0</v>
      </c>
      <c r="AHI36" s="82">
        <f t="shared" si="854"/>
        <v>0</v>
      </c>
      <c r="AHJ36" s="82">
        <f t="shared" si="854"/>
        <v>0</v>
      </c>
      <c r="AHK36" s="82">
        <f t="shared" si="854"/>
        <v>0</v>
      </c>
      <c r="AHL36" s="82">
        <f t="shared" si="854"/>
        <v>0</v>
      </c>
      <c r="AHM36" s="82">
        <f t="shared" si="854"/>
        <v>0</v>
      </c>
      <c r="AHN36" s="82">
        <f t="shared" si="854"/>
        <v>0</v>
      </c>
      <c r="AHO36" s="82">
        <f t="shared" si="854"/>
        <v>0</v>
      </c>
      <c r="AHP36" s="82">
        <f t="shared" si="854"/>
        <v>0</v>
      </c>
      <c r="AHQ36" s="82">
        <f t="shared" si="854"/>
        <v>0</v>
      </c>
      <c r="AHR36" s="82">
        <f t="shared" si="854"/>
        <v>0</v>
      </c>
      <c r="AHS36" s="82">
        <f t="shared" si="854"/>
        <v>0</v>
      </c>
      <c r="AHT36" s="82">
        <f t="shared" si="854"/>
        <v>0</v>
      </c>
      <c r="AHU36" s="82">
        <f t="shared" si="854"/>
        <v>0</v>
      </c>
      <c r="AHV36" s="82">
        <f t="shared" si="854"/>
        <v>0</v>
      </c>
      <c r="AHW36" s="82">
        <f t="shared" si="854"/>
        <v>0</v>
      </c>
      <c r="AHX36" s="82">
        <f t="shared" si="854"/>
        <v>0</v>
      </c>
      <c r="AHY36" s="82">
        <f t="shared" si="854"/>
        <v>0</v>
      </c>
      <c r="AHZ36" s="82">
        <f t="shared" si="854"/>
        <v>0</v>
      </c>
      <c r="AIA36" s="82">
        <f t="shared" si="854"/>
        <v>0</v>
      </c>
      <c r="AIB36" s="82">
        <f t="shared" si="854"/>
        <v>0</v>
      </c>
      <c r="AIC36" s="82">
        <f t="shared" si="854"/>
        <v>0</v>
      </c>
      <c r="AID36" s="82">
        <f t="shared" si="854"/>
        <v>0</v>
      </c>
      <c r="AIE36" s="130"/>
      <c r="AIF36" s="82">
        <f t="shared" ref="AIF36:AJJ36" si="855">AID36</f>
        <v>0</v>
      </c>
      <c r="AIG36" s="82">
        <f t="shared" si="855"/>
        <v>0</v>
      </c>
      <c r="AIH36" s="82">
        <f t="shared" si="855"/>
        <v>0</v>
      </c>
      <c r="AII36" s="82">
        <f t="shared" si="855"/>
        <v>0</v>
      </c>
      <c r="AIJ36" s="82">
        <f t="shared" si="855"/>
        <v>0</v>
      </c>
      <c r="AIK36" s="82">
        <f t="shared" si="855"/>
        <v>0</v>
      </c>
      <c r="AIL36" s="82">
        <f t="shared" si="855"/>
        <v>0</v>
      </c>
      <c r="AIM36" s="82">
        <f t="shared" si="855"/>
        <v>0</v>
      </c>
      <c r="AIN36" s="82">
        <f t="shared" si="855"/>
        <v>0</v>
      </c>
      <c r="AIO36" s="82">
        <f t="shared" si="855"/>
        <v>0</v>
      </c>
      <c r="AIP36" s="82">
        <f t="shared" si="855"/>
        <v>0</v>
      </c>
      <c r="AIQ36" s="82">
        <f t="shared" si="855"/>
        <v>0</v>
      </c>
      <c r="AIR36" s="82">
        <f t="shared" si="855"/>
        <v>0</v>
      </c>
      <c r="AIS36" s="82">
        <f t="shared" si="855"/>
        <v>0</v>
      </c>
      <c r="AIT36" s="82">
        <f t="shared" si="855"/>
        <v>0</v>
      </c>
      <c r="AIU36" s="82">
        <f t="shared" si="855"/>
        <v>0</v>
      </c>
      <c r="AIV36" s="82">
        <f t="shared" si="855"/>
        <v>0</v>
      </c>
      <c r="AIW36" s="82">
        <f t="shared" si="855"/>
        <v>0</v>
      </c>
      <c r="AIX36" s="82">
        <f t="shared" si="855"/>
        <v>0</v>
      </c>
      <c r="AIY36" s="82">
        <f t="shared" si="855"/>
        <v>0</v>
      </c>
      <c r="AIZ36" s="82">
        <f t="shared" si="855"/>
        <v>0</v>
      </c>
      <c r="AJA36" s="82">
        <f t="shared" si="855"/>
        <v>0</v>
      </c>
      <c r="AJB36" s="82">
        <f t="shared" si="855"/>
        <v>0</v>
      </c>
      <c r="AJC36" s="82">
        <f t="shared" si="855"/>
        <v>0</v>
      </c>
      <c r="AJD36" s="82">
        <f t="shared" si="855"/>
        <v>0</v>
      </c>
      <c r="AJE36" s="82">
        <f t="shared" si="855"/>
        <v>0</v>
      </c>
      <c r="AJF36" s="82">
        <f t="shared" si="855"/>
        <v>0</v>
      </c>
      <c r="AJG36" s="82">
        <f t="shared" si="855"/>
        <v>0</v>
      </c>
      <c r="AJH36" s="82">
        <f t="shared" si="855"/>
        <v>0</v>
      </c>
      <c r="AJI36" s="82">
        <f t="shared" si="855"/>
        <v>0</v>
      </c>
      <c r="AJJ36" s="82">
        <f t="shared" si="855"/>
        <v>0</v>
      </c>
      <c r="AJK36" s="145"/>
      <c r="AJL36" s="82">
        <f t="shared" ref="AJL36:AKM36" si="856">AJJ36</f>
        <v>0</v>
      </c>
      <c r="AJM36" s="82">
        <f t="shared" si="856"/>
        <v>0</v>
      </c>
      <c r="AJN36" s="82">
        <f t="shared" si="856"/>
        <v>0</v>
      </c>
      <c r="AJO36" s="82">
        <f t="shared" si="856"/>
        <v>0</v>
      </c>
      <c r="AJP36" s="82">
        <f t="shared" si="856"/>
        <v>0</v>
      </c>
      <c r="AJQ36" s="82">
        <f t="shared" si="856"/>
        <v>0</v>
      </c>
      <c r="AJR36" s="82">
        <f t="shared" si="856"/>
        <v>0</v>
      </c>
      <c r="AJS36" s="82">
        <f t="shared" si="856"/>
        <v>0</v>
      </c>
      <c r="AJT36" s="82">
        <f t="shared" si="856"/>
        <v>0</v>
      </c>
      <c r="AJU36" s="82">
        <f t="shared" si="856"/>
        <v>0</v>
      </c>
      <c r="AJV36" s="82">
        <f t="shared" si="856"/>
        <v>0</v>
      </c>
      <c r="AJW36" s="82">
        <f t="shared" si="856"/>
        <v>0</v>
      </c>
      <c r="AJX36" s="82">
        <f t="shared" si="856"/>
        <v>0</v>
      </c>
      <c r="AJY36" s="82">
        <f t="shared" si="856"/>
        <v>0</v>
      </c>
      <c r="AJZ36" s="82">
        <f t="shared" si="856"/>
        <v>0</v>
      </c>
      <c r="AKA36" s="82">
        <f t="shared" si="856"/>
        <v>0</v>
      </c>
      <c r="AKB36" s="82">
        <f t="shared" si="856"/>
        <v>0</v>
      </c>
      <c r="AKC36" s="82">
        <f t="shared" si="856"/>
        <v>0</v>
      </c>
      <c r="AKD36" s="82">
        <f t="shared" si="856"/>
        <v>0</v>
      </c>
      <c r="AKE36" s="82">
        <f t="shared" si="856"/>
        <v>0</v>
      </c>
      <c r="AKF36" s="82">
        <f t="shared" si="856"/>
        <v>0</v>
      </c>
      <c r="AKG36" s="82">
        <f t="shared" si="856"/>
        <v>0</v>
      </c>
      <c r="AKH36" s="82">
        <f t="shared" si="856"/>
        <v>0</v>
      </c>
      <c r="AKI36" s="82">
        <f t="shared" si="856"/>
        <v>0</v>
      </c>
      <c r="AKJ36" s="82">
        <f t="shared" si="856"/>
        <v>0</v>
      </c>
      <c r="AKK36" s="82">
        <f t="shared" si="856"/>
        <v>0</v>
      </c>
      <c r="AKL36" s="82">
        <f t="shared" si="856"/>
        <v>0</v>
      </c>
      <c r="AKM36" s="82">
        <f t="shared" si="856"/>
        <v>0</v>
      </c>
      <c r="AKN36" s="112"/>
      <c r="AKO36" s="82">
        <f t="shared" ref="AKO36:ALS36" si="857">AKM36</f>
        <v>0</v>
      </c>
      <c r="AKP36" s="82">
        <f t="shared" si="857"/>
        <v>0</v>
      </c>
      <c r="AKQ36" s="82">
        <f t="shared" si="857"/>
        <v>0</v>
      </c>
      <c r="AKR36" s="82">
        <f t="shared" si="857"/>
        <v>0</v>
      </c>
      <c r="AKS36" s="82">
        <f t="shared" si="857"/>
        <v>0</v>
      </c>
      <c r="AKT36" s="82">
        <f t="shared" si="857"/>
        <v>0</v>
      </c>
      <c r="AKU36" s="82">
        <f t="shared" si="857"/>
        <v>0</v>
      </c>
      <c r="AKV36" s="82">
        <f t="shared" si="857"/>
        <v>0</v>
      </c>
      <c r="AKW36" s="82">
        <f t="shared" si="857"/>
        <v>0</v>
      </c>
      <c r="AKX36" s="82">
        <f t="shared" si="857"/>
        <v>0</v>
      </c>
      <c r="AKY36" s="82">
        <f t="shared" si="857"/>
        <v>0</v>
      </c>
      <c r="AKZ36" s="82">
        <f t="shared" si="857"/>
        <v>0</v>
      </c>
      <c r="ALA36" s="82">
        <f t="shared" si="857"/>
        <v>0</v>
      </c>
      <c r="ALB36" s="82">
        <f t="shared" si="857"/>
        <v>0</v>
      </c>
      <c r="ALC36" s="82">
        <f t="shared" si="857"/>
        <v>0</v>
      </c>
      <c r="ALD36" s="82">
        <f t="shared" si="857"/>
        <v>0</v>
      </c>
      <c r="ALE36" s="82">
        <f t="shared" si="857"/>
        <v>0</v>
      </c>
      <c r="ALF36" s="82">
        <f t="shared" si="857"/>
        <v>0</v>
      </c>
      <c r="ALG36" s="82">
        <f t="shared" si="857"/>
        <v>0</v>
      </c>
      <c r="ALH36" s="82">
        <f t="shared" si="857"/>
        <v>0</v>
      </c>
      <c r="ALI36" s="82">
        <f t="shared" si="857"/>
        <v>0</v>
      </c>
      <c r="ALJ36" s="82">
        <f t="shared" si="857"/>
        <v>0</v>
      </c>
      <c r="ALK36" s="82">
        <f t="shared" si="857"/>
        <v>0</v>
      </c>
      <c r="ALL36" s="82">
        <f t="shared" si="857"/>
        <v>0</v>
      </c>
      <c r="ALM36" s="82">
        <f t="shared" si="857"/>
        <v>0</v>
      </c>
      <c r="ALN36" s="82">
        <f t="shared" si="857"/>
        <v>0</v>
      </c>
      <c r="ALO36" s="82">
        <f t="shared" si="857"/>
        <v>0</v>
      </c>
      <c r="ALP36" s="82">
        <f t="shared" si="857"/>
        <v>0</v>
      </c>
      <c r="ALQ36" s="82">
        <f t="shared" si="857"/>
        <v>0</v>
      </c>
      <c r="ALR36" s="82">
        <f t="shared" si="857"/>
        <v>0</v>
      </c>
      <c r="ALS36" s="82">
        <f t="shared" si="857"/>
        <v>0</v>
      </c>
      <c r="ALT36" s="130"/>
      <c r="ALU36" s="82">
        <f t="shared" ref="ALU36:AMX36" si="858">ALS36</f>
        <v>0</v>
      </c>
      <c r="ALV36" s="82">
        <f t="shared" si="858"/>
        <v>0</v>
      </c>
      <c r="ALW36" s="82">
        <f t="shared" si="858"/>
        <v>0</v>
      </c>
      <c r="ALX36" s="82">
        <f t="shared" si="858"/>
        <v>0</v>
      </c>
      <c r="ALY36" s="82">
        <f t="shared" si="858"/>
        <v>0</v>
      </c>
      <c r="ALZ36" s="82">
        <f t="shared" si="858"/>
        <v>0</v>
      </c>
      <c r="AMA36" s="82">
        <f t="shared" si="858"/>
        <v>0</v>
      </c>
      <c r="AMB36" s="82">
        <f t="shared" si="858"/>
        <v>0</v>
      </c>
      <c r="AMC36" s="82">
        <f t="shared" si="858"/>
        <v>0</v>
      </c>
      <c r="AMD36" s="82">
        <f t="shared" si="858"/>
        <v>0</v>
      </c>
      <c r="AME36" s="82">
        <f t="shared" si="858"/>
        <v>0</v>
      </c>
      <c r="AMF36" s="82">
        <f t="shared" si="858"/>
        <v>0</v>
      </c>
      <c r="AMG36" s="82">
        <f t="shared" si="858"/>
        <v>0</v>
      </c>
      <c r="AMH36" s="82">
        <f t="shared" si="858"/>
        <v>0</v>
      </c>
      <c r="AMI36" s="82">
        <f t="shared" si="858"/>
        <v>0</v>
      </c>
      <c r="AMJ36" s="82">
        <f t="shared" si="858"/>
        <v>0</v>
      </c>
      <c r="AMK36" s="82">
        <f t="shared" si="858"/>
        <v>0</v>
      </c>
      <c r="AML36" s="82">
        <f t="shared" si="858"/>
        <v>0</v>
      </c>
      <c r="AMM36" s="82">
        <f t="shared" si="858"/>
        <v>0</v>
      </c>
      <c r="AMN36" s="82">
        <f t="shared" si="858"/>
        <v>0</v>
      </c>
      <c r="AMO36" s="82">
        <f t="shared" si="858"/>
        <v>0</v>
      </c>
      <c r="AMP36" s="82">
        <f t="shared" si="858"/>
        <v>0</v>
      </c>
      <c r="AMQ36" s="82">
        <f t="shared" si="858"/>
        <v>0</v>
      </c>
      <c r="AMR36" s="82">
        <f t="shared" si="858"/>
        <v>0</v>
      </c>
      <c r="AMS36" s="82">
        <f t="shared" si="858"/>
        <v>0</v>
      </c>
      <c r="AMT36" s="82">
        <f t="shared" si="858"/>
        <v>0</v>
      </c>
      <c r="AMU36" s="82">
        <f t="shared" si="858"/>
        <v>0</v>
      </c>
      <c r="AMV36" s="82">
        <f t="shared" si="858"/>
        <v>0</v>
      </c>
      <c r="AMW36" s="82">
        <f t="shared" si="858"/>
        <v>0</v>
      </c>
      <c r="AMX36" s="82">
        <f t="shared" si="858"/>
        <v>0</v>
      </c>
      <c r="AMY36" s="130"/>
      <c r="AMZ36" s="82">
        <f>AMX36</f>
        <v>0</v>
      </c>
      <c r="ANA36" s="82">
        <f t="shared" ref="ANA36:AOC36" si="859">AMY36</f>
        <v>0</v>
      </c>
      <c r="ANB36" s="82">
        <f t="shared" si="859"/>
        <v>0</v>
      </c>
      <c r="ANC36" s="82">
        <f t="shared" si="859"/>
        <v>0</v>
      </c>
      <c r="AND36" s="82">
        <f t="shared" si="859"/>
        <v>0</v>
      </c>
      <c r="ANE36" s="82">
        <f t="shared" si="859"/>
        <v>0</v>
      </c>
      <c r="ANF36" s="82">
        <f t="shared" si="859"/>
        <v>0</v>
      </c>
      <c r="ANG36" s="82">
        <f t="shared" si="859"/>
        <v>0</v>
      </c>
      <c r="ANH36" s="82">
        <f t="shared" si="859"/>
        <v>0</v>
      </c>
      <c r="ANI36" s="82">
        <f t="shared" si="859"/>
        <v>0</v>
      </c>
      <c r="ANJ36" s="82">
        <f t="shared" si="859"/>
        <v>0</v>
      </c>
      <c r="ANK36" s="82">
        <f t="shared" si="859"/>
        <v>0</v>
      </c>
      <c r="ANL36" s="82">
        <f t="shared" si="859"/>
        <v>0</v>
      </c>
      <c r="ANM36" s="82">
        <f t="shared" si="859"/>
        <v>0</v>
      </c>
      <c r="ANN36" s="82">
        <f t="shared" si="859"/>
        <v>0</v>
      </c>
      <c r="ANO36" s="82">
        <f t="shared" si="859"/>
        <v>0</v>
      </c>
      <c r="ANP36" s="82">
        <f t="shared" si="859"/>
        <v>0</v>
      </c>
      <c r="ANQ36" s="82">
        <f t="shared" si="859"/>
        <v>0</v>
      </c>
      <c r="ANR36" s="82">
        <f t="shared" si="859"/>
        <v>0</v>
      </c>
      <c r="ANS36" s="82">
        <f t="shared" si="859"/>
        <v>0</v>
      </c>
      <c r="ANT36" s="82">
        <f t="shared" si="859"/>
        <v>0</v>
      </c>
      <c r="ANU36" s="82">
        <f t="shared" si="859"/>
        <v>0</v>
      </c>
      <c r="ANV36" s="82">
        <f t="shared" si="859"/>
        <v>0</v>
      </c>
      <c r="ANW36" s="82">
        <f t="shared" si="859"/>
        <v>0</v>
      </c>
      <c r="ANX36" s="82">
        <f t="shared" si="859"/>
        <v>0</v>
      </c>
      <c r="ANY36" s="82">
        <f t="shared" si="859"/>
        <v>0</v>
      </c>
      <c r="ANZ36" s="82">
        <f t="shared" si="859"/>
        <v>0</v>
      </c>
      <c r="AOA36" s="82">
        <f t="shared" si="859"/>
        <v>0</v>
      </c>
      <c r="AOB36" s="82">
        <f t="shared" si="859"/>
        <v>0</v>
      </c>
      <c r="AOC36" s="82">
        <f t="shared" si="859"/>
        <v>0</v>
      </c>
    </row>
    <row r="37" spans="1:1069" x14ac:dyDescent="0.2">
      <c r="A37" s="160"/>
      <c r="B37" s="64" t="s">
        <v>1669</v>
      </c>
      <c r="C37" s="65">
        <f t="shared" ref="C37:AH37" si="860">SUM(C14:C36)</f>
        <v>175500278</v>
      </c>
      <c r="D37" s="65">
        <f t="shared" si="860"/>
        <v>179968613</v>
      </c>
      <c r="E37" s="65">
        <f t="shared" si="860"/>
        <v>39708659</v>
      </c>
      <c r="F37" s="65">
        <f t="shared" si="860"/>
        <v>44555810</v>
      </c>
      <c r="G37" s="65">
        <f t="shared" si="860"/>
        <v>48878750</v>
      </c>
      <c r="H37" s="65">
        <f t="shared" si="860"/>
        <v>54413018</v>
      </c>
      <c r="I37" s="65">
        <f t="shared" si="860"/>
        <v>57857523</v>
      </c>
      <c r="J37" s="65">
        <f t="shared" si="860"/>
        <v>61648273</v>
      </c>
      <c r="K37" s="65">
        <f t="shared" si="860"/>
        <v>67330273</v>
      </c>
      <c r="L37" s="65">
        <f t="shared" si="860"/>
        <v>71044773</v>
      </c>
      <c r="M37" s="65">
        <f t="shared" si="860"/>
        <v>76573374</v>
      </c>
      <c r="N37" s="65">
        <f t="shared" si="860"/>
        <v>80176074</v>
      </c>
      <c r="O37" s="65">
        <f t="shared" si="860"/>
        <v>83287969</v>
      </c>
      <c r="P37" s="65">
        <f t="shared" si="860"/>
        <v>86203339</v>
      </c>
      <c r="Q37" s="65">
        <f t="shared" si="860"/>
        <v>90303839</v>
      </c>
      <c r="R37" s="65">
        <f t="shared" si="860"/>
        <v>92634436</v>
      </c>
      <c r="S37" s="65">
        <f t="shared" si="860"/>
        <v>97618136</v>
      </c>
      <c r="T37" s="65">
        <f t="shared" si="860"/>
        <v>100731696</v>
      </c>
      <c r="U37" s="65">
        <f t="shared" si="860"/>
        <v>103922946</v>
      </c>
      <c r="V37" s="65">
        <f t="shared" si="860"/>
        <v>106256746</v>
      </c>
      <c r="W37" s="65">
        <f t="shared" si="860"/>
        <v>110379386</v>
      </c>
      <c r="X37" s="65">
        <f t="shared" si="860"/>
        <v>112857386</v>
      </c>
      <c r="Y37" s="65">
        <f t="shared" si="860"/>
        <v>118279767</v>
      </c>
      <c r="Z37" s="65">
        <f t="shared" si="860"/>
        <v>122618121</v>
      </c>
      <c r="AA37" s="65">
        <f t="shared" si="860"/>
        <v>126988556</v>
      </c>
      <c r="AB37" s="65">
        <f t="shared" si="860"/>
        <v>129978456</v>
      </c>
      <c r="AC37" s="65">
        <f t="shared" si="860"/>
        <v>135411173</v>
      </c>
      <c r="AD37" s="65">
        <f t="shared" si="860"/>
        <v>137552623</v>
      </c>
      <c r="AE37" s="65">
        <f t="shared" si="860"/>
        <v>141566143</v>
      </c>
      <c r="AF37" s="65">
        <f t="shared" si="860"/>
        <v>144394973</v>
      </c>
      <c r="AG37" s="65">
        <f t="shared" si="860"/>
        <v>147800960</v>
      </c>
      <c r="AH37" s="67">
        <f t="shared" si="860"/>
        <v>147800960</v>
      </c>
      <c r="AI37" s="65">
        <f t="shared" ref="AI37:BN37" si="861">SUM(AI14:AI36)</f>
        <v>151049484</v>
      </c>
      <c r="AJ37" s="65">
        <f t="shared" si="861"/>
        <v>154011112</v>
      </c>
      <c r="AK37" s="65">
        <f t="shared" si="861"/>
        <v>158029148</v>
      </c>
      <c r="AL37" s="65">
        <f t="shared" si="861"/>
        <v>162825689</v>
      </c>
      <c r="AM37" s="65">
        <f t="shared" si="861"/>
        <v>167043966</v>
      </c>
      <c r="AN37" s="65">
        <f t="shared" si="861"/>
        <v>175442892</v>
      </c>
      <c r="AO37" s="65">
        <f t="shared" si="861"/>
        <v>231166483</v>
      </c>
      <c r="AP37" s="65">
        <f t="shared" si="861"/>
        <v>236009493</v>
      </c>
      <c r="AQ37" s="65">
        <f t="shared" si="861"/>
        <v>239489093</v>
      </c>
      <c r="AR37" s="65">
        <f t="shared" si="861"/>
        <v>243806743</v>
      </c>
      <c r="AS37" s="65">
        <f t="shared" si="861"/>
        <v>124425421</v>
      </c>
      <c r="AT37" s="65">
        <f t="shared" si="861"/>
        <v>126372021</v>
      </c>
      <c r="AU37" s="65">
        <f t="shared" si="861"/>
        <v>182548921</v>
      </c>
      <c r="AV37" s="65">
        <f t="shared" si="861"/>
        <v>186020321</v>
      </c>
      <c r="AW37" s="65">
        <f t="shared" si="861"/>
        <v>189783621</v>
      </c>
      <c r="AX37" s="65">
        <f t="shared" si="861"/>
        <v>193147021</v>
      </c>
      <c r="AY37" s="65">
        <f t="shared" si="861"/>
        <v>195678021</v>
      </c>
      <c r="AZ37" s="65">
        <f t="shared" si="861"/>
        <v>199327151</v>
      </c>
      <c r="BA37" s="65">
        <f t="shared" si="861"/>
        <v>202694751</v>
      </c>
      <c r="BB37" s="65">
        <f t="shared" si="861"/>
        <v>204915051</v>
      </c>
      <c r="BC37" s="65">
        <f t="shared" si="861"/>
        <v>207456001</v>
      </c>
      <c r="BD37" s="65">
        <f t="shared" si="861"/>
        <v>210580041</v>
      </c>
      <c r="BE37" s="65">
        <f t="shared" si="861"/>
        <v>213919451</v>
      </c>
      <c r="BF37" s="65">
        <f t="shared" si="861"/>
        <v>216619193</v>
      </c>
      <c r="BG37" s="65">
        <f t="shared" si="861"/>
        <v>219457151</v>
      </c>
      <c r="BH37" s="65">
        <f t="shared" si="861"/>
        <v>223240851</v>
      </c>
      <c r="BI37" s="65">
        <f t="shared" si="861"/>
        <v>226034551</v>
      </c>
      <c r="BJ37" s="65">
        <f t="shared" si="861"/>
        <v>229478444</v>
      </c>
      <c r="BK37" s="65">
        <f t="shared" si="861"/>
        <v>233114907</v>
      </c>
      <c r="BL37" s="65">
        <f t="shared" si="861"/>
        <v>236258828</v>
      </c>
      <c r="BM37" s="65">
        <f t="shared" si="861"/>
        <v>236258828</v>
      </c>
      <c r="BN37" s="65">
        <f t="shared" si="861"/>
        <v>238431328</v>
      </c>
      <c r="BO37" s="65">
        <f t="shared" ref="BO37:CT37" si="862">SUM(BO14:BO36)</f>
        <v>241480328</v>
      </c>
      <c r="BP37" s="65">
        <f t="shared" si="862"/>
        <v>244967256</v>
      </c>
      <c r="BQ37" s="65">
        <f t="shared" si="862"/>
        <v>247786256</v>
      </c>
      <c r="BR37" s="65">
        <f t="shared" si="862"/>
        <v>252533479</v>
      </c>
      <c r="BS37" s="65">
        <f t="shared" si="862"/>
        <v>256112211</v>
      </c>
      <c r="BT37" s="65">
        <f t="shared" si="862"/>
        <v>259965401</v>
      </c>
      <c r="BU37" s="65">
        <f t="shared" si="862"/>
        <v>262584791</v>
      </c>
      <c r="BV37" s="65">
        <f t="shared" si="862"/>
        <v>267851691</v>
      </c>
      <c r="BW37" s="65">
        <f t="shared" si="862"/>
        <v>270868441</v>
      </c>
      <c r="BX37" s="65">
        <f t="shared" si="862"/>
        <v>273427271</v>
      </c>
      <c r="BY37" s="65">
        <f t="shared" si="862"/>
        <v>277187271</v>
      </c>
      <c r="BZ37" s="65">
        <f t="shared" si="862"/>
        <v>287684546</v>
      </c>
      <c r="CA37" s="65">
        <f t="shared" si="862"/>
        <v>94376326</v>
      </c>
      <c r="CB37" s="65">
        <f t="shared" si="862"/>
        <v>97411826</v>
      </c>
      <c r="CC37" s="65">
        <f t="shared" si="862"/>
        <v>100360326</v>
      </c>
      <c r="CD37" s="65">
        <f t="shared" si="862"/>
        <v>103312426</v>
      </c>
      <c r="CE37" s="65">
        <f t="shared" si="862"/>
        <v>106657331</v>
      </c>
      <c r="CF37" s="65">
        <f t="shared" si="862"/>
        <v>109749566</v>
      </c>
      <c r="CG37" s="65">
        <f t="shared" si="862"/>
        <v>112502390</v>
      </c>
      <c r="CH37" s="65">
        <f t="shared" si="862"/>
        <v>115178124</v>
      </c>
      <c r="CI37" s="65">
        <f t="shared" si="862"/>
        <v>117514124</v>
      </c>
      <c r="CJ37" s="65">
        <f t="shared" si="862"/>
        <v>119438624</v>
      </c>
      <c r="CK37" s="65">
        <f t="shared" si="862"/>
        <v>122553024</v>
      </c>
      <c r="CL37" s="65">
        <f t="shared" si="862"/>
        <v>126166674</v>
      </c>
      <c r="CM37" s="65">
        <f t="shared" si="862"/>
        <v>129890574</v>
      </c>
      <c r="CN37" s="65">
        <f t="shared" si="862"/>
        <v>133400724</v>
      </c>
      <c r="CO37" s="65">
        <f t="shared" si="862"/>
        <v>136841924</v>
      </c>
      <c r="CP37" s="65">
        <f t="shared" si="862"/>
        <v>139013426</v>
      </c>
      <c r="CQ37" s="65">
        <f t="shared" si="862"/>
        <v>142596547</v>
      </c>
      <c r="CR37" s="65">
        <f t="shared" si="862"/>
        <v>145159447</v>
      </c>
      <c r="CS37" s="82">
        <f>SUM(BN37:CR37)</f>
        <v>5533003673</v>
      </c>
      <c r="CT37" s="65">
        <f t="shared" ref="CT37:DW37" si="863">SUM(CT14:CT36)</f>
        <v>149238747</v>
      </c>
      <c r="CU37" s="65">
        <f t="shared" si="863"/>
        <v>153185649</v>
      </c>
      <c r="CV37" s="65">
        <f t="shared" si="863"/>
        <v>156042602</v>
      </c>
      <c r="CW37" s="65">
        <f t="shared" si="863"/>
        <v>59412469</v>
      </c>
      <c r="CX37" s="65">
        <f t="shared" si="863"/>
        <v>62840072</v>
      </c>
      <c r="CY37" s="65">
        <f t="shared" si="863"/>
        <v>67070068</v>
      </c>
      <c r="CZ37" s="65">
        <f t="shared" si="863"/>
        <v>71448969</v>
      </c>
      <c r="DA37" s="65">
        <f t="shared" si="863"/>
        <v>73554912</v>
      </c>
      <c r="DB37" s="65">
        <f t="shared" si="863"/>
        <v>77530857</v>
      </c>
      <c r="DC37" s="65">
        <f t="shared" si="863"/>
        <v>80893430</v>
      </c>
      <c r="DD37" s="65">
        <f t="shared" si="863"/>
        <v>83936600</v>
      </c>
      <c r="DE37" s="65">
        <f t="shared" si="863"/>
        <v>86308069</v>
      </c>
      <c r="DF37" s="65">
        <f t="shared" si="863"/>
        <v>89403007</v>
      </c>
      <c r="DG37" s="65">
        <f t="shared" si="863"/>
        <v>93608930</v>
      </c>
      <c r="DH37" s="65">
        <f t="shared" si="863"/>
        <v>96942230</v>
      </c>
      <c r="DI37" s="65">
        <f t="shared" si="863"/>
        <v>98920130</v>
      </c>
      <c r="DJ37" s="65">
        <f t="shared" si="863"/>
        <v>105703980</v>
      </c>
      <c r="DK37" s="65">
        <f t="shared" si="863"/>
        <v>108702533</v>
      </c>
      <c r="DL37" s="65">
        <f t="shared" si="863"/>
        <v>111602033</v>
      </c>
      <c r="DM37" s="65">
        <f t="shared" si="863"/>
        <v>116757311</v>
      </c>
      <c r="DN37" s="65">
        <f t="shared" si="863"/>
        <v>119742561</v>
      </c>
      <c r="DO37" s="65">
        <f t="shared" si="863"/>
        <v>124124843</v>
      </c>
      <c r="DP37" s="65">
        <f t="shared" si="863"/>
        <v>128327143</v>
      </c>
      <c r="DQ37" s="65">
        <f t="shared" si="863"/>
        <v>130561143</v>
      </c>
      <c r="DR37" s="65">
        <f t="shared" si="863"/>
        <v>135085943</v>
      </c>
      <c r="DS37" s="65">
        <f t="shared" si="863"/>
        <v>137074701</v>
      </c>
      <c r="DT37" s="65">
        <f t="shared" si="863"/>
        <v>144175201</v>
      </c>
      <c r="DU37" s="65">
        <f t="shared" si="863"/>
        <v>147981354</v>
      </c>
      <c r="DV37" s="65">
        <f t="shared" si="863"/>
        <v>149680004</v>
      </c>
      <c r="DW37" s="123">
        <f t="shared" si="863"/>
        <v>152708404</v>
      </c>
      <c r="DX37" s="123">
        <f>DW37</f>
        <v>152708404</v>
      </c>
      <c r="DY37" s="123">
        <f t="shared" ref="DY37:FC37" si="864">SUM(DY14:DY36)</f>
        <v>157241407</v>
      </c>
      <c r="DZ37" s="123">
        <f t="shared" si="864"/>
        <v>161617193</v>
      </c>
      <c r="EA37" s="123">
        <f t="shared" si="864"/>
        <v>163335093</v>
      </c>
      <c r="EB37" s="123">
        <f t="shared" si="864"/>
        <v>164886593</v>
      </c>
      <c r="EC37" s="123">
        <f t="shared" si="864"/>
        <v>167650093</v>
      </c>
      <c r="ED37" s="123">
        <f t="shared" si="864"/>
        <v>170189093</v>
      </c>
      <c r="EE37" s="123">
        <f t="shared" si="864"/>
        <v>172812493</v>
      </c>
      <c r="EF37" s="123">
        <f t="shared" si="864"/>
        <v>176042373</v>
      </c>
      <c r="EG37" s="123">
        <f t="shared" si="864"/>
        <v>179996557</v>
      </c>
      <c r="EH37" s="123">
        <f t="shared" si="864"/>
        <v>183680357</v>
      </c>
      <c r="EI37" s="123">
        <f t="shared" si="864"/>
        <v>80059992</v>
      </c>
      <c r="EJ37" s="123">
        <f t="shared" si="864"/>
        <v>85669211</v>
      </c>
      <c r="EK37" s="123">
        <f t="shared" si="864"/>
        <v>90100923</v>
      </c>
      <c r="EL37" s="123">
        <f t="shared" si="864"/>
        <v>92996658</v>
      </c>
      <c r="EM37" s="123">
        <f t="shared" si="864"/>
        <v>98388580</v>
      </c>
      <c r="EN37" s="123">
        <f t="shared" si="864"/>
        <v>102655739</v>
      </c>
      <c r="EO37" s="123">
        <f t="shared" si="864"/>
        <v>105930189</v>
      </c>
      <c r="EP37" s="123">
        <f t="shared" si="864"/>
        <v>110686031</v>
      </c>
      <c r="EQ37" s="123">
        <f t="shared" si="864"/>
        <v>113547380</v>
      </c>
      <c r="ER37" s="123">
        <f t="shared" si="864"/>
        <v>116953580</v>
      </c>
      <c r="ES37" s="123">
        <f t="shared" si="864"/>
        <v>124026880</v>
      </c>
      <c r="ET37" s="123">
        <f t="shared" si="864"/>
        <v>127565045</v>
      </c>
      <c r="EU37" s="123">
        <f t="shared" si="864"/>
        <v>131934108</v>
      </c>
      <c r="EV37" s="123">
        <f t="shared" si="864"/>
        <v>134975348</v>
      </c>
      <c r="EW37" s="123">
        <f t="shared" si="864"/>
        <v>139091097</v>
      </c>
      <c r="EX37" s="123">
        <f t="shared" si="864"/>
        <v>141633097</v>
      </c>
      <c r="EY37" s="123">
        <f t="shared" si="864"/>
        <v>144057802</v>
      </c>
      <c r="EZ37" s="123">
        <f t="shared" si="864"/>
        <v>148268080</v>
      </c>
      <c r="FA37" s="123">
        <f t="shared" si="864"/>
        <v>152842430</v>
      </c>
      <c r="FB37" s="123">
        <f t="shared" si="864"/>
        <v>156755951</v>
      </c>
      <c r="FC37" s="123">
        <f t="shared" si="864"/>
        <v>154268987</v>
      </c>
      <c r="FD37" s="126"/>
      <c r="FE37" s="123">
        <f t="shared" ref="FE37:GI37" si="865">SUM(FE14:FE36)</f>
        <v>157556733</v>
      </c>
      <c r="FF37" s="123">
        <f t="shared" si="865"/>
        <v>161301233</v>
      </c>
      <c r="FG37" s="123">
        <f t="shared" si="865"/>
        <v>165597133</v>
      </c>
      <c r="FH37" s="123">
        <f t="shared" si="865"/>
        <v>53778426</v>
      </c>
      <c r="FI37" s="123">
        <f t="shared" si="865"/>
        <v>56118550</v>
      </c>
      <c r="FJ37" s="123">
        <f t="shared" si="865"/>
        <v>59507215</v>
      </c>
      <c r="FK37" s="123">
        <f t="shared" si="865"/>
        <v>62540415</v>
      </c>
      <c r="FL37" s="123">
        <f t="shared" si="865"/>
        <v>65404903</v>
      </c>
      <c r="FM37" s="123">
        <f t="shared" si="865"/>
        <v>68914265</v>
      </c>
      <c r="FN37" s="123">
        <f t="shared" si="865"/>
        <v>71100954</v>
      </c>
      <c r="FO37" s="123">
        <f t="shared" si="865"/>
        <v>73895554</v>
      </c>
      <c r="FP37" s="123">
        <f t="shared" si="865"/>
        <v>78922748</v>
      </c>
      <c r="FQ37" s="123">
        <f t="shared" si="865"/>
        <v>81869381</v>
      </c>
      <c r="FR37" s="123">
        <f t="shared" si="865"/>
        <v>85403781</v>
      </c>
      <c r="FS37" s="123">
        <f t="shared" si="865"/>
        <v>90539148</v>
      </c>
      <c r="FT37" s="123">
        <f t="shared" si="865"/>
        <v>92400648</v>
      </c>
      <c r="FU37" s="123">
        <f t="shared" si="865"/>
        <v>96497148</v>
      </c>
      <c r="FV37" s="123">
        <f t="shared" si="865"/>
        <v>100443372</v>
      </c>
      <c r="FW37" s="123">
        <f t="shared" si="865"/>
        <v>102336633</v>
      </c>
      <c r="FX37" s="123">
        <f t="shared" si="865"/>
        <v>105102133</v>
      </c>
      <c r="FY37" s="123">
        <f t="shared" si="865"/>
        <v>108637162</v>
      </c>
      <c r="FZ37" s="123">
        <f t="shared" si="865"/>
        <v>112149662</v>
      </c>
      <c r="GA37" s="123">
        <f t="shared" si="865"/>
        <v>117414211</v>
      </c>
      <c r="GB37" s="123">
        <f t="shared" si="865"/>
        <v>120053753</v>
      </c>
      <c r="GC37" s="123">
        <f t="shared" si="865"/>
        <v>123275753</v>
      </c>
      <c r="GD37" s="123">
        <f t="shared" si="865"/>
        <v>128723945</v>
      </c>
      <c r="GE37" s="123">
        <f t="shared" si="865"/>
        <v>133216825</v>
      </c>
      <c r="GF37" s="123">
        <f t="shared" si="865"/>
        <v>137195325</v>
      </c>
      <c r="GG37" s="123">
        <f t="shared" si="865"/>
        <v>141216504</v>
      </c>
      <c r="GH37" s="123">
        <f t="shared" si="865"/>
        <v>144147504</v>
      </c>
      <c r="GI37" s="123">
        <f t="shared" si="865"/>
        <v>149000504</v>
      </c>
      <c r="GJ37" s="130"/>
      <c r="GK37" s="123">
        <f t="shared" ref="GK37:HM37" si="866">SUM(GK14:GK36)</f>
        <v>152947704</v>
      </c>
      <c r="GL37" s="123">
        <f t="shared" si="866"/>
        <v>157256234</v>
      </c>
      <c r="GM37" s="123">
        <f t="shared" si="866"/>
        <v>160511411</v>
      </c>
      <c r="GN37" s="123">
        <f t="shared" si="866"/>
        <v>162957357</v>
      </c>
      <c r="GO37" s="123">
        <f t="shared" si="866"/>
        <v>166526757</v>
      </c>
      <c r="GP37" s="123">
        <f t="shared" si="866"/>
        <v>171095587</v>
      </c>
      <c r="GQ37" s="123">
        <f t="shared" si="866"/>
        <v>176117287</v>
      </c>
      <c r="GR37" s="123">
        <f t="shared" si="866"/>
        <v>179826756</v>
      </c>
      <c r="GS37" s="123">
        <f t="shared" si="866"/>
        <v>183335063</v>
      </c>
      <c r="GT37" s="123">
        <f t="shared" si="866"/>
        <v>188311063</v>
      </c>
      <c r="GU37" s="123">
        <f t="shared" si="866"/>
        <v>84998593</v>
      </c>
      <c r="GV37" s="123">
        <f t="shared" si="866"/>
        <v>88253135</v>
      </c>
      <c r="GW37" s="123">
        <f t="shared" si="866"/>
        <v>91362357</v>
      </c>
      <c r="GX37" s="123">
        <f t="shared" si="866"/>
        <v>94954460</v>
      </c>
      <c r="GY37" s="123">
        <f t="shared" si="866"/>
        <v>97678268</v>
      </c>
      <c r="GZ37" s="123">
        <f t="shared" si="866"/>
        <v>99933240</v>
      </c>
      <c r="HA37" s="123">
        <f t="shared" si="866"/>
        <v>104487274</v>
      </c>
      <c r="HB37" s="123">
        <f t="shared" si="866"/>
        <v>106878235</v>
      </c>
      <c r="HC37" s="123">
        <f t="shared" si="866"/>
        <v>110574735</v>
      </c>
      <c r="HD37" s="123">
        <f t="shared" si="866"/>
        <v>125278501</v>
      </c>
      <c r="HE37" s="123">
        <f t="shared" si="866"/>
        <v>128407551</v>
      </c>
      <c r="HF37" s="123">
        <f t="shared" si="866"/>
        <v>130186551</v>
      </c>
      <c r="HG37" s="123">
        <f t="shared" si="866"/>
        <v>134898452</v>
      </c>
      <c r="HH37" s="123">
        <f t="shared" si="866"/>
        <v>139922661</v>
      </c>
      <c r="HI37" s="123">
        <f t="shared" si="866"/>
        <v>141730952</v>
      </c>
      <c r="HJ37" s="123">
        <f t="shared" si="866"/>
        <v>144707676</v>
      </c>
      <c r="HK37" s="123">
        <f t="shared" si="866"/>
        <v>146871967</v>
      </c>
      <c r="HL37" s="123">
        <f t="shared" si="866"/>
        <v>150804951</v>
      </c>
      <c r="HM37" s="123">
        <f t="shared" si="866"/>
        <v>154652798</v>
      </c>
      <c r="HN37" s="130"/>
      <c r="HO37" s="123">
        <f t="shared" ref="HO37:IS37" si="867">SUM(HO14:HO36)</f>
        <v>159292487</v>
      </c>
      <c r="HP37" s="123">
        <f t="shared" si="867"/>
        <v>163789082</v>
      </c>
      <c r="HQ37" s="123">
        <f t="shared" si="867"/>
        <v>167408082</v>
      </c>
      <c r="HR37" s="123">
        <f t="shared" si="867"/>
        <v>174203440</v>
      </c>
      <c r="HS37" s="123">
        <f t="shared" si="867"/>
        <v>179453940</v>
      </c>
      <c r="HT37" s="123">
        <f t="shared" si="867"/>
        <v>182927740</v>
      </c>
      <c r="HU37" s="123">
        <f t="shared" si="867"/>
        <v>84650936</v>
      </c>
      <c r="HV37" s="123">
        <f t="shared" si="867"/>
        <v>88838860</v>
      </c>
      <c r="HW37" s="123">
        <f t="shared" si="867"/>
        <v>94071060</v>
      </c>
      <c r="HX37" s="123">
        <f t="shared" si="867"/>
        <v>96453060</v>
      </c>
      <c r="HY37" s="123">
        <f t="shared" si="867"/>
        <v>100354560</v>
      </c>
      <c r="HZ37" s="123">
        <f t="shared" si="867"/>
        <v>102797560</v>
      </c>
      <c r="IA37" s="123">
        <f t="shared" si="867"/>
        <v>106079992</v>
      </c>
      <c r="IB37" s="123">
        <f t="shared" si="867"/>
        <v>109572829</v>
      </c>
      <c r="IC37" s="123">
        <f t="shared" si="867"/>
        <v>114546479</v>
      </c>
      <c r="ID37" s="123">
        <f t="shared" si="867"/>
        <v>117702779</v>
      </c>
      <c r="IE37" s="123">
        <f t="shared" si="867"/>
        <v>120144129</v>
      </c>
      <c r="IF37" s="123">
        <f t="shared" si="867"/>
        <v>124330809</v>
      </c>
      <c r="IG37" s="123">
        <f t="shared" si="867"/>
        <v>128211209</v>
      </c>
      <c r="IH37" s="123">
        <f t="shared" si="867"/>
        <v>131254575</v>
      </c>
      <c r="II37" s="123">
        <f t="shared" si="867"/>
        <v>135137425</v>
      </c>
      <c r="IJ37" s="123">
        <f t="shared" si="867"/>
        <v>138942425</v>
      </c>
      <c r="IK37" s="123">
        <f t="shared" si="867"/>
        <v>142971906</v>
      </c>
      <c r="IL37" s="123">
        <f t="shared" si="867"/>
        <v>145386156</v>
      </c>
      <c r="IM37" s="123">
        <f t="shared" si="867"/>
        <v>150794556</v>
      </c>
      <c r="IN37" s="123">
        <f t="shared" si="867"/>
        <v>153941256</v>
      </c>
      <c r="IO37" s="123">
        <f t="shared" si="867"/>
        <v>156052773</v>
      </c>
      <c r="IP37" s="123">
        <f t="shared" si="867"/>
        <v>160352695</v>
      </c>
      <c r="IQ37" s="123">
        <f t="shared" si="867"/>
        <v>164254698</v>
      </c>
      <c r="IR37" s="123">
        <f t="shared" si="867"/>
        <v>167306198</v>
      </c>
      <c r="IS37" s="123">
        <f t="shared" si="867"/>
        <v>168801623</v>
      </c>
      <c r="IT37" s="130"/>
      <c r="IU37" s="123">
        <f t="shared" ref="IU37:JX37" si="868">SUM(IU14:IU36)</f>
        <v>171658373</v>
      </c>
      <c r="IV37" s="123">
        <f t="shared" si="868"/>
        <v>178049583</v>
      </c>
      <c r="IW37" s="123">
        <f t="shared" si="868"/>
        <v>64119265</v>
      </c>
      <c r="IX37" s="123">
        <f t="shared" si="868"/>
        <v>68237052</v>
      </c>
      <c r="IY37" s="123">
        <f t="shared" si="868"/>
        <v>72763394</v>
      </c>
      <c r="IZ37" s="123">
        <f t="shared" si="868"/>
        <v>76010921</v>
      </c>
      <c r="JA37" s="123">
        <f t="shared" si="868"/>
        <v>79470921</v>
      </c>
      <c r="JB37" s="123">
        <f t="shared" si="868"/>
        <v>85338723</v>
      </c>
      <c r="JC37" s="123">
        <f t="shared" si="868"/>
        <v>88175074</v>
      </c>
      <c r="JD37" s="123">
        <f t="shared" si="868"/>
        <v>90758784</v>
      </c>
      <c r="JE37" s="123">
        <f t="shared" si="868"/>
        <v>94764835</v>
      </c>
      <c r="JF37" s="123">
        <f t="shared" si="868"/>
        <v>98790768</v>
      </c>
      <c r="JG37" s="123">
        <f t="shared" si="868"/>
        <v>105627233</v>
      </c>
      <c r="JH37" s="123">
        <f t="shared" si="868"/>
        <v>108314733</v>
      </c>
      <c r="JI37" s="123">
        <f t="shared" si="868"/>
        <v>111424733</v>
      </c>
      <c r="JJ37" s="123">
        <f t="shared" si="868"/>
        <v>114009513</v>
      </c>
      <c r="JK37" s="123">
        <f t="shared" si="868"/>
        <v>118108755</v>
      </c>
      <c r="JL37" s="123">
        <f t="shared" si="868"/>
        <v>120541155</v>
      </c>
      <c r="JM37" s="123">
        <f t="shared" si="868"/>
        <v>125145191</v>
      </c>
      <c r="JN37" s="123">
        <f t="shared" si="868"/>
        <v>127252691</v>
      </c>
      <c r="JO37" s="123">
        <f t="shared" si="868"/>
        <v>130065659</v>
      </c>
      <c r="JP37" s="123">
        <f t="shared" si="868"/>
        <v>137807159</v>
      </c>
      <c r="JQ37" s="123">
        <f t="shared" si="868"/>
        <v>140470689</v>
      </c>
      <c r="JR37" s="123">
        <f t="shared" si="868"/>
        <v>143597220</v>
      </c>
      <c r="JS37" s="123">
        <f t="shared" si="868"/>
        <v>146239170</v>
      </c>
      <c r="JT37" s="123">
        <f t="shared" si="868"/>
        <v>149631532</v>
      </c>
      <c r="JU37" s="123">
        <f t="shared" si="868"/>
        <v>155412823</v>
      </c>
      <c r="JV37" s="123">
        <f t="shared" si="868"/>
        <v>158925971</v>
      </c>
      <c r="JW37" s="123">
        <f t="shared" si="868"/>
        <v>164040721</v>
      </c>
      <c r="JX37" s="123">
        <f t="shared" si="868"/>
        <v>167069871</v>
      </c>
      <c r="JY37" s="142"/>
      <c r="JZ37" s="123">
        <f t="shared" ref="JZ37:LD37" si="869">SUM(JZ14:JZ36)</f>
        <v>170716291</v>
      </c>
      <c r="KA37" s="123">
        <f t="shared" si="869"/>
        <v>174587191</v>
      </c>
      <c r="KB37" s="123">
        <f t="shared" si="869"/>
        <v>179226447</v>
      </c>
      <c r="KC37" s="123">
        <f t="shared" si="869"/>
        <v>182612563</v>
      </c>
      <c r="KD37" s="123">
        <f t="shared" si="869"/>
        <v>185696419</v>
      </c>
      <c r="KE37" s="123">
        <f t="shared" si="869"/>
        <v>190798708</v>
      </c>
      <c r="KF37" s="123">
        <f t="shared" si="869"/>
        <v>196674346</v>
      </c>
      <c r="KG37" s="123">
        <f t="shared" si="869"/>
        <v>82607192</v>
      </c>
      <c r="KH37" s="123">
        <f t="shared" si="869"/>
        <v>87637316</v>
      </c>
      <c r="KI37" s="123">
        <f t="shared" si="869"/>
        <v>91441724</v>
      </c>
      <c r="KJ37" s="123">
        <f t="shared" si="869"/>
        <v>95537954</v>
      </c>
      <c r="KK37" s="123">
        <f t="shared" si="869"/>
        <v>97886954</v>
      </c>
      <c r="KL37" s="123">
        <f t="shared" si="869"/>
        <v>108922704</v>
      </c>
      <c r="KM37" s="123">
        <f t="shared" si="869"/>
        <v>114563108</v>
      </c>
      <c r="KN37" s="123">
        <f t="shared" si="869"/>
        <v>118186415</v>
      </c>
      <c r="KO37" s="123">
        <f t="shared" si="869"/>
        <v>129459276</v>
      </c>
      <c r="KP37" s="123">
        <f t="shared" si="869"/>
        <v>133894892</v>
      </c>
      <c r="KQ37" s="123">
        <f t="shared" si="869"/>
        <v>139423492</v>
      </c>
      <c r="KR37" s="123">
        <f t="shared" si="869"/>
        <v>142064548</v>
      </c>
      <c r="KS37" s="123">
        <f t="shared" si="869"/>
        <v>147026495</v>
      </c>
      <c r="KT37" s="123">
        <f t="shared" si="869"/>
        <v>154116405</v>
      </c>
      <c r="KU37" s="123">
        <f t="shared" si="869"/>
        <v>161378293</v>
      </c>
      <c r="KV37" s="123">
        <f t="shared" si="869"/>
        <v>170500477</v>
      </c>
      <c r="KW37" s="123">
        <f t="shared" si="869"/>
        <v>175534547</v>
      </c>
      <c r="KX37" s="123">
        <f t="shared" si="869"/>
        <v>180073427</v>
      </c>
      <c r="KY37" s="123">
        <f t="shared" si="869"/>
        <v>183470785</v>
      </c>
      <c r="KZ37" s="123">
        <f t="shared" si="869"/>
        <v>189120685</v>
      </c>
      <c r="LA37" s="123">
        <f t="shared" si="869"/>
        <v>172628664</v>
      </c>
      <c r="LB37" s="123">
        <f t="shared" si="869"/>
        <v>177590953</v>
      </c>
      <c r="LC37" s="123">
        <f t="shared" si="869"/>
        <v>182488653</v>
      </c>
      <c r="LD37" s="123">
        <f t="shared" si="869"/>
        <v>187710953</v>
      </c>
      <c r="LE37" s="130"/>
      <c r="LF37" s="123">
        <f t="shared" ref="LF37:MI37" si="870">SUM(LF14:LF36)</f>
        <v>195026027</v>
      </c>
      <c r="LG37" s="123">
        <f t="shared" si="870"/>
        <v>198700827</v>
      </c>
      <c r="LH37" s="123">
        <f t="shared" si="870"/>
        <v>203388891</v>
      </c>
      <c r="LI37" s="123">
        <f t="shared" si="870"/>
        <v>209382166</v>
      </c>
      <c r="LJ37" s="123">
        <f t="shared" si="870"/>
        <v>213281736</v>
      </c>
      <c r="LK37" s="123">
        <f t="shared" si="870"/>
        <v>217151886</v>
      </c>
      <c r="LL37" s="123">
        <f t="shared" si="870"/>
        <v>216406064</v>
      </c>
      <c r="LM37" s="123">
        <f t="shared" si="870"/>
        <v>221965887</v>
      </c>
      <c r="LN37" s="123">
        <f t="shared" si="870"/>
        <v>224100187</v>
      </c>
      <c r="LO37" s="123">
        <f t="shared" si="870"/>
        <v>228205237</v>
      </c>
      <c r="LP37" s="123">
        <f t="shared" si="870"/>
        <v>234717358</v>
      </c>
      <c r="LQ37" s="123">
        <f t="shared" si="870"/>
        <v>239070190</v>
      </c>
      <c r="LR37" s="123">
        <f t="shared" si="870"/>
        <v>90123228</v>
      </c>
      <c r="LS37" s="123">
        <f t="shared" si="870"/>
        <v>95349341</v>
      </c>
      <c r="LT37" s="123">
        <f t="shared" si="870"/>
        <v>100885434</v>
      </c>
      <c r="LU37" s="123">
        <f t="shared" si="870"/>
        <v>103629634</v>
      </c>
      <c r="LV37" s="123">
        <f t="shared" si="870"/>
        <v>108064595</v>
      </c>
      <c r="LW37" s="123">
        <f t="shared" si="870"/>
        <v>114254709</v>
      </c>
      <c r="LX37" s="123">
        <f t="shared" si="870"/>
        <v>120007218</v>
      </c>
      <c r="LY37" s="123">
        <f t="shared" si="870"/>
        <v>124434343</v>
      </c>
      <c r="LZ37" s="123">
        <f t="shared" si="870"/>
        <v>131603177</v>
      </c>
      <c r="MA37" s="123">
        <f t="shared" si="870"/>
        <v>135216427</v>
      </c>
      <c r="MB37" s="123">
        <f t="shared" si="870"/>
        <v>137610421</v>
      </c>
      <c r="MC37" s="123">
        <f t="shared" si="870"/>
        <v>140242771</v>
      </c>
      <c r="MD37" s="123">
        <f t="shared" si="870"/>
        <v>142896571</v>
      </c>
      <c r="ME37" s="123">
        <f t="shared" si="870"/>
        <v>148303041</v>
      </c>
      <c r="MF37" s="123">
        <f t="shared" si="870"/>
        <v>150422183</v>
      </c>
      <c r="MG37" s="123">
        <f t="shared" si="870"/>
        <v>156368019</v>
      </c>
      <c r="MH37" s="123">
        <f t="shared" si="870"/>
        <v>159291419</v>
      </c>
      <c r="MI37" s="123">
        <f t="shared" si="870"/>
        <v>163321624</v>
      </c>
      <c r="MJ37" s="142"/>
      <c r="MK37" s="123">
        <f t="shared" ref="MK37:NO37" si="871">SUM(MK14:MK36)</f>
        <v>169767712</v>
      </c>
      <c r="ML37" s="123">
        <f t="shared" si="871"/>
        <v>174295762</v>
      </c>
      <c r="MM37" s="123">
        <f t="shared" si="871"/>
        <v>177606562</v>
      </c>
      <c r="MN37" s="123">
        <f t="shared" si="871"/>
        <v>180677462</v>
      </c>
      <c r="MO37" s="123">
        <f t="shared" si="871"/>
        <v>186079912</v>
      </c>
      <c r="MP37" s="123">
        <f t="shared" si="871"/>
        <v>189383779</v>
      </c>
      <c r="MQ37" s="123">
        <f t="shared" si="871"/>
        <v>193418961</v>
      </c>
      <c r="MR37" s="123">
        <f t="shared" si="871"/>
        <v>199490281</v>
      </c>
      <c r="MS37" s="123">
        <f t="shared" si="871"/>
        <v>203487782</v>
      </c>
      <c r="MT37" s="123">
        <f t="shared" si="871"/>
        <v>207137090</v>
      </c>
      <c r="MU37" s="123">
        <f t="shared" si="871"/>
        <v>212965184</v>
      </c>
      <c r="MV37" s="123">
        <f t="shared" si="871"/>
        <v>218567528</v>
      </c>
      <c r="MW37" s="123">
        <f t="shared" si="871"/>
        <v>224184131</v>
      </c>
      <c r="MX37" s="123">
        <f t="shared" si="871"/>
        <v>227234131</v>
      </c>
      <c r="MY37" s="123">
        <f t="shared" si="871"/>
        <v>231239231</v>
      </c>
      <c r="MZ37" s="123">
        <f t="shared" si="871"/>
        <v>236166181</v>
      </c>
      <c r="NA37" s="123">
        <f t="shared" si="871"/>
        <v>240577681</v>
      </c>
      <c r="NB37" s="123">
        <f t="shared" si="871"/>
        <v>245049953</v>
      </c>
      <c r="NC37" s="123">
        <f t="shared" si="871"/>
        <v>249359830</v>
      </c>
      <c r="ND37" s="123">
        <f t="shared" si="871"/>
        <v>252201830</v>
      </c>
      <c r="NE37" s="123">
        <f t="shared" si="871"/>
        <v>255805650</v>
      </c>
      <c r="NF37" s="123">
        <f t="shared" si="871"/>
        <v>260273960</v>
      </c>
      <c r="NG37" s="123">
        <f t="shared" si="871"/>
        <v>264436116</v>
      </c>
      <c r="NH37" s="123">
        <f t="shared" si="871"/>
        <v>133282610</v>
      </c>
      <c r="NI37" s="123">
        <f t="shared" si="871"/>
        <v>137463942</v>
      </c>
      <c r="NJ37" s="123">
        <f t="shared" si="871"/>
        <v>142852582</v>
      </c>
      <c r="NK37" s="123">
        <f t="shared" si="871"/>
        <v>146459186</v>
      </c>
      <c r="NL37" s="123">
        <f t="shared" si="871"/>
        <v>148993186</v>
      </c>
      <c r="NM37" s="123">
        <f t="shared" si="871"/>
        <v>152824028</v>
      </c>
      <c r="NN37" s="123">
        <f t="shared" si="871"/>
        <v>157880016</v>
      </c>
      <c r="NO37" s="123">
        <f t="shared" si="871"/>
        <v>161619354</v>
      </c>
      <c r="NP37" s="142"/>
      <c r="NQ37" s="123">
        <f t="shared" ref="NQ37:OU37" si="872">SUM(NQ14:NQ36)</f>
        <v>164857854</v>
      </c>
      <c r="NR37" s="123">
        <f t="shared" si="872"/>
        <v>170248310</v>
      </c>
      <c r="NS37" s="123">
        <f t="shared" si="872"/>
        <v>176081706</v>
      </c>
      <c r="NT37" s="123">
        <f t="shared" si="872"/>
        <v>175954738</v>
      </c>
      <c r="NU37" s="123">
        <f t="shared" si="872"/>
        <v>180188038</v>
      </c>
      <c r="NV37" s="123">
        <f t="shared" si="872"/>
        <v>54791586</v>
      </c>
      <c r="NW37" s="123">
        <f t="shared" si="872"/>
        <v>59170486</v>
      </c>
      <c r="NX37" s="123">
        <f t="shared" si="872"/>
        <v>64021402</v>
      </c>
      <c r="NY37" s="123">
        <f t="shared" si="872"/>
        <v>69683284</v>
      </c>
      <c r="NZ37" s="123">
        <f t="shared" si="872"/>
        <v>73093984</v>
      </c>
      <c r="OA37" s="123">
        <f t="shared" si="872"/>
        <v>76139475</v>
      </c>
      <c r="OB37" s="123">
        <f t="shared" si="872"/>
        <v>79966475</v>
      </c>
      <c r="OC37" s="123">
        <f t="shared" si="872"/>
        <v>82901167</v>
      </c>
      <c r="OD37" s="123">
        <f t="shared" si="872"/>
        <v>86929067</v>
      </c>
      <c r="OE37" s="123">
        <f t="shared" si="872"/>
        <v>90004967</v>
      </c>
      <c r="OF37" s="123">
        <f t="shared" si="872"/>
        <v>95645782</v>
      </c>
      <c r="OG37" s="123">
        <f t="shared" si="872"/>
        <v>99873206</v>
      </c>
      <c r="OH37" s="123">
        <f t="shared" si="872"/>
        <v>101815028</v>
      </c>
      <c r="OI37" s="123">
        <f t="shared" si="872"/>
        <v>104721744</v>
      </c>
      <c r="OJ37" s="123">
        <f t="shared" si="872"/>
        <v>107922320</v>
      </c>
      <c r="OK37" s="123">
        <f t="shared" si="872"/>
        <v>111071081</v>
      </c>
      <c r="OL37" s="123">
        <f t="shared" si="872"/>
        <v>113993081</v>
      </c>
      <c r="OM37" s="123">
        <f t="shared" si="872"/>
        <v>116687864</v>
      </c>
      <c r="ON37" s="123">
        <f t="shared" si="872"/>
        <v>119607864</v>
      </c>
      <c r="OO37" s="123">
        <f t="shared" si="872"/>
        <v>120571864</v>
      </c>
      <c r="OP37" s="123">
        <f t="shared" si="872"/>
        <v>125405708</v>
      </c>
      <c r="OQ37" s="123">
        <f t="shared" si="872"/>
        <v>131084147</v>
      </c>
      <c r="OR37" s="123">
        <f t="shared" si="872"/>
        <v>133548816</v>
      </c>
      <c r="OS37" s="123">
        <f t="shared" si="872"/>
        <v>137165474</v>
      </c>
      <c r="OT37" s="123">
        <f t="shared" si="872"/>
        <v>141276284</v>
      </c>
      <c r="OU37" s="123">
        <f t="shared" si="872"/>
        <v>148086720</v>
      </c>
      <c r="OV37" s="130"/>
      <c r="OW37" s="123">
        <f t="shared" ref="OW37:PZ37" si="873">SUM(OW14:OW36)</f>
        <v>134249511</v>
      </c>
      <c r="OX37" s="123">
        <f t="shared" si="873"/>
        <v>139785674</v>
      </c>
      <c r="OY37" s="123">
        <f t="shared" si="873"/>
        <v>143764744</v>
      </c>
      <c r="OZ37" s="123">
        <f t="shared" si="873"/>
        <v>148480861</v>
      </c>
      <c r="PA37" s="123">
        <f t="shared" si="873"/>
        <v>152856860</v>
      </c>
      <c r="PB37" s="123">
        <f t="shared" si="873"/>
        <v>159014554</v>
      </c>
      <c r="PC37" s="123">
        <f t="shared" si="873"/>
        <v>162522687</v>
      </c>
      <c r="PD37" s="123">
        <f t="shared" si="873"/>
        <v>166348567</v>
      </c>
      <c r="PE37" s="123">
        <f t="shared" si="873"/>
        <v>170553666</v>
      </c>
      <c r="PF37" s="123">
        <f t="shared" si="873"/>
        <v>175313066</v>
      </c>
      <c r="PG37" s="123">
        <f t="shared" si="873"/>
        <v>179428621</v>
      </c>
      <c r="PH37" s="123">
        <f t="shared" si="873"/>
        <v>66099506</v>
      </c>
      <c r="PI37" s="123">
        <f t="shared" si="873"/>
        <v>71877124</v>
      </c>
      <c r="PJ37" s="123">
        <f t="shared" si="873"/>
        <v>73803524</v>
      </c>
      <c r="PK37" s="123">
        <f t="shared" si="873"/>
        <v>76762924</v>
      </c>
      <c r="PL37" s="123">
        <f t="shared" si="873"/>
        <v>80159821</v>
      </c>
      <c r="PM37" s="123">
        <f t="shared" si="873"/>
        <v>83199347</v>
      </c>
      <c r="PN37" s="123">
        <f t="shared" si="873"/>
        <v>87343009</v>
      </c>
      <c r="PO37" s="123">
        <f t="shared" si="873"/>
        <v>88345009</v>
      </c>
      <c r="PP37" s="123">
        <f t="shared" si="873"/>
        <v>93406103</v>
      </c>
      <c r="PQ37" s="123">
        <f t="shared" si="873"/>
        <v>95547553</v>
      </c>
      <c r="PR37" s="123">
        <f t="shared" si="873"/>
        <v>98253317</v>
      </c>
      <c r="PS37" s="123">
        <f t="shared" si="873"/>
        <v>99661817</v>
      </c>
      <c r="PT37" s="123">
        <f t="shared" si="873"/>
        <v>103139312</v>
      </c>
      <c r="PU37" s="123">
        <f t="shared" si="873"/>
        <v>105151292</v>
      </c>
      <c r="PV37" s="123">
        <f t="shared" si="873"/>
        <v>108305006</v>
      </c>
      <c r="PW37" s="123">
        <f t="shared" si="873"/>
        <v>110891184</v>
      </c>
      <c r="PX37" s="123">
        <f t="shared" si="873"/>
        <v>115271403</v>
      </c>
      <c r="PY37" s="123">
        <f t="shared" si="873"/>
        <v>117727878</v>
      </c>
      <c r="PZ37" s="123">
        <f t="shared" si="873"/>
        <v>121790909</v>
      </c>
      <c r="QA37" s="130"/>
      <c r="QB37" s="123">
        <f t="shared" ref="QB37:RF37" si="874">SUM(QB14:QB36)</f>
        <v>124353909</v>
      </c>
      <c r="QC37" s="123">
        <f t="shared" si="874"/>
        <v>126537359</v>
      </c>
      <c r="QD37" s="123">
        <f t="shared" si="874"/>
        <v>129583419</v>
      </c>
      <c r="QE37" s="123">
        <f t="shared" si="874"/>
        <v>134332079</v>
      </c>
      <c r="QF37" s="123">
        <f t="shared" si="874"/>
        <v>137913229</v>
      </c>
      <c r="QG37" s="123">
        <f t="shared" si="874"/>
        <v>141016329</v>
      </c>
      <c r="QH37" s="123">
        <f t="shared" si="874"/>
        <v>35703597</v>
      </c>
      <c r="QI37" s="123">
        <f t="shared" si="874"/>
        <v>38383577</v>
      </c>
      <c r="QJ37" s="123">
        <f t="shared" si="874"/>
        <v>41136800</v>
      </c>
      <c r="QK37" s="123">
        <f t="shared" si="874"/>
        <v>43463970</v>
      </c>
      <c r="QL37" s="123">
        <f t="shared" si="874"/>
        <v>47391329</v>
      </c>
      <c r="QM37" s="123">
        <f t="shared" si="874"/>
        <v>51260006</v>
      </c>
      <c r="QN37" s="123">
        <f t="shared" si="874"/>
        <v>55796995</v>
      </c>
      <c r="QO37" s="123">
        <f t="shared" si="874"/>
        <v>61514934</v>
      </c>
      <c r="QP37" s="123">
        <f t="shared" si="874"/>
        <v>64981634</v>
      </c>
      <c r="QQ37" s="123">
        <f t="shared" si="874"/>
        <v>69477820</v>
      </c>
      <c r="QR37" s="123">
        <f t="shared" si="874"/>
        <v>73079907</v>
      </c>
      <c r="QS37" s="123">
        <f t="shared" si="874"/>
        <v>75589797</v>
      </c>
      <c r="QT37" s="123">
        <f t="shared" si="874"/>
        <v>82324697</v>
      </c>
      <c r="QU37" s="123">
        <f t="shared" si="874"/>
        <v>84884009</v>
      </c>
      <c r="QV37" s="123">
        <f t="shared" si="874"/>
        <v>87064057</v>
      </c>
      <c r="QW37" s="123">
        <f t="shared" si="874"/>
        <v>89687657</v>
      </c>
      <c r="QX37" s="123">
        <f t="shared" si="874"/>
        <v>91885122</v>
      </c>
      <c r="QY37" s="123">
        <f t="shared" si="874"/>
        <v>98589611</v>
      </c>
      <c r="QZ37" s="123">
        <f t="shared" si="874"/>
        <v>103553660</v>
      </c>
      <c r="RA37" s="123">
        <f t="shared" si="874"/>
        <v>106871660</v>
      </c>
      <c r="RB37" s="123">
        <f t="shared" si="874"/>
        <v>109006506</v>
      </c>
      <c r="RC37" s="123">
        <f t="shared" si="874"/>
        <v>113482025</v>
      </c>
      <c r="RD37" s="123">
        <f t="shared" si="874"/>
        <v>118193013</v>
      </c>
      <c r="RE37" s="123">
        <f t="shared" si="874"/>
        <v>121263170</v>
      </c>
      <c r="RF37" s="123">
        <f t="shared" si="874"/>
        <v>125405281</v>
      </c>
      <c r="RG37" s="130"/>
      <c r="RH37" s="123">
        <f t="shared" ref="RH37:SK37" si="875">SUM(RH14:RH36)</f>
        <v>128543171</v>
      </c>
      <c r="RI37" s="123">
        <f t="shared" si="875"/>
        <v>130579819</v>
      </c>
      <c r="RJ37" s="123">
        <f t="shared" si="875"/>
        <v>133871764</v>
      </c>
      <c r="RK37" s="123">
        <f t="shared" si="875"/>
        <v>139952458</v>
      </c>
      <c r="RL37" s="123">
        <f t="shared" si="875"/>
        <v>142236369</v>
      </c>
      <c r="RM37" s="123">
        <f t="shared" si="875"/>
        <v>145107129</v>
      </c>
      <c r="RN37" s="123">
        <f t="shared" si="875"/>
        <v>148337277</v>
      </c>
      <c r="RO37" s="123">
        <f t="shared" si="875"/>
        <v>151132120</v>
      </c>
      <c r="RP37" s="123">
        <f t="shared" si="875"/>
        <v>154139415</v>
      </c>
      <c r="RQ37" s="123">
        <f t="shared" si="875"/>
        <v>156407047</v>
      </c>
      <c r="RR37" s="123">
        <f t="shared" si="875"/>
        <v>47340129</v>
      </c>
      <c r="RS37" s="123">
        <f t="shared" si="875"/>
        <v>51936714</v>
      </c>
      <c r="RT37" s="123">
        <f t="shared" si="875"/>
        <v>56188478</v>
      </c>
      <c r="RU37" s="123">
        <f t="shared" si="875"/>
        <v>59685268</v>
      </c>
      <c r="RV37" s="123">
        <f t="shared" si="875"/>
        <v>63303788</v>
      </c>
      <c r="RW37" s="123">
        <f t="shared" si="875"/>
        <v>67728255</v>
      </c>
      <c r="RX37" s="123">
        <f t="shared" si="875"/>
        <v>71778862</v>
      </c>
      <c r="RY37" s="123">
        <f t="shared" si="875"/>
        <v>76326407</v>
      </c>
      <c r="RZ37" s="123">
        <f t="shared" si="875"/>
        <v>81504935</v>
      </c>
      <c r="SA37" s="123">
        <f t="shared" si="875"/>
        <v>84803435</v>
      </c>
      <c r="SB37" s="123">
        <f t="shared" si="875"/>
        <v>87363437</v>
      </c>
      <c r="SC37" s="123">
        <f t="shared" si="875"/>
        <v>90390539</v>
      </c>
      <c r="SD37" s="123">
        <f t="shared" si="875"/>
        <v>92907639</v>
      </c>
      <c r="SE37" s="123">
        <f t="shared" si="875"/>
        <v>96077049</v>
      </c>
      <c r="SF37" s="123">
        <f t="shared" si="875"/>
        <v>102577489</v>
      </c>
      <c r="SG37" s="123">
        <f t="shared" si="875"/>
        <v>106065856</v>
      </c>
      <c r="SH37" s="123">
        <f t="shared" si="875"/>
        <v>109794156</v>
      </c>
      <c r="SI37" s="123">
        <f t="shared" si="875"/>
        <v>114058436</v>
      </c>
      <c r="SJ37" s="123">
        <f t="shared" si="875"/>
        <v>117174336</v>
      </c>
      <c r="SK37" s="123">
        <f t="shared" si="875"/>
        <v>120482645</v>
      </c>
      <c r="SL37" s="130"/>
      <c r="SM37" s="123">
        <f t="shared" ref="SM37:TQ37" si="876">SUM(SM14:SM36)</f>
        <v>122900045</v>
      </c>
      <c r="SN37" s="123">
        <f t="shared" si="876"/>
        <v>128434999</v>
      </c>
      <c r="SO37" s="123">
        <f t="shared" si="876"/>
        <v>140760867</v>
      </c>
      <c r="SP37" s="123">
        <f t="shared" si="876"/>
        <v>145677367</v>
      </c>
      <c r="SQ37" s="123">
        <f t="shared" si="876"/>
        <v>149587085</v>
      </c>
      <c r="SR37" s="123">
        <f t="shared" si="876"/>
        <v>48762873</v>
      </c>
      <c r="SS37" s="123">
        <f t="shared" si="876"/>
        <v>52513473</v>
      </c>
      <c r="ST37" s="123">
        <f t="shared" si="876"/>
        <v>55199225</v>
      </c>
      <c r="SU37" s="123">
        <f t="shared" si="876"/>
        <v>61998730</v>
      </c>
      <c r="SV37" s="123">
        <f t="shared" si="876"/>
        <v>65676208</v>
      </c>
      <c r="SW37" s="123">
        <f t="shared" si="876"/>
        <v>69553718</v>
      </c>
      <c r="SX37" s="123">
        <f t="shared" si="876"/>
        <v>72906518</v>
      </c>
      <c r="SY37" s="123">
        <f t="shared" si="876"/>
        <v>78904592</v>
      </c>
      <c r="SZ37" s="123">
        <f t="shared" si="876"/>
        <v>81829751</v>
      </c>
      <c r="TA37" s="123">
        <f t="shared" si="876"/>
        <v>86264491</v>
      </c>
      <c r="TB37" s="123">
        <f t="shared" si="876"/>
        <v>92385176</v>
      </c>
      <c r="TC37" s="123">
        <f t="shared" si="876"/>
        <v>96659686</v>
      </c>
      <c r="TD37" s="123">
        <f t="shared" si="876"/>
        <v>100216186</v>
      </c>
      <c r="TE37" s="123">
        <f t="shared" si="876"/>
        <v>106701211</v>
      </c>
      <c r="TF37" s="123">
        <f t="shared" si="876"/>
        <v>109382640</v>
      </c>
      <c r="TG37" s="123">
        <f t="shared" si="876"/>
        <v>113097140</v>
      </c>
      <c r="TH37" s="123">
        <f t="shared" si="876"/>
        <v>118561837</v>
      </c>
      <c r="TI37" s="123">
        <f t="shared" si="876"/>
        <v>121820192</v>
      </c>
      <c r="TJ37" s="123">
        <f t="shared" si="876"/>
        <v>125364632</v>
      </c>
      <c r="TK37" s="123">
        <f t="shared" si="876"/>
        <v>127841191</v>
      </c>
      <c r="TL37" s="123">
        <f t="shared" si="876"/>
        <v>129789191</v>
      </c>
      <c r="TM37" s="123">
        <f t="shared" si="876"/>
        <v>133832443</v>
      </c>
      <c r="TN37" s="123">
        <f t="shared" si="876"/>
        <v>137412843</v>
      </c>
      <c r="TO37" s="123">
        <f t="shared" si="876"/>
        <v>140356843</v>
      </c>
      <c r="TP37" s="123">
        <f t="shared" si="876"/>
        <v>142249343</v>
      </c>
      <c r="TQ37" s="123">
        <f t="shared" si="876"/>
        <v>145672253</v>
      </c>
      <c r="TR37" s="130"/>
      <c r="TS37" s="123">
        <f t="shared" ref="TS37:UW37" si="877">SUM(TS14:TS36)</f>
        <v>138351462</v>
      </c>
      <c r="TT37" s="123">
        <f t="shared" si="877"/>
        <v>140475462</v>
      </c>
      <c r="TU37" s="123">
        <f t="shared" si="877"/>
        <v>142929962</v>
      </c>
      <c r="TV37" s="123">
        <f t="shared" si="877"/>
        <v>146028522</v>
      </c>
      <c r="TW37" s="123">
        <f t="shared" si="877"/>
        <v>149704772</v>
      </c>
      <c r="TX37" s="123">
        <f t="shared" si="877"/>
        <v>152984527</v>
      </c>
      <c r="TY37" s="123">
        <f t="shared" si="877"/>
        <v>31924674</v>
      </c>
      <c r="TZ37" s="123">
        <f t="shared" si="877"/>
        <v>37473102</v>
      </c>
      <c r="UA37" s="123">
        <f t="shared" si="877"/>
        <v>40661102</v>
      </c>
      <c r="UB37" s="123">
        <f t="shared" si="877"/>
        <v>46058892</v>
      </c>
      <c r="UC37" s="123">
        <f t="shared" si="877"/>
        <v>48970792</v>
      </c>
      <c r="UD37" s="123">
        <f t="shared" si="877"/>
        <v>51882312</v>
      </c>
      <c r="UE37" s="123">
        <f t="shared" si="877"/>
        <v>56621962</v>
      </c>
      <c r="UF37" s="123">
        <f t="shared" si="877"/>
        <v>61162584</v>
      </c>
      <c r="UG37" s="123">
        <f t="shared" si="877"/>
        <v>64834084</v>
      </c>
      <c r="UH37" s="123">
        <f t="shared" si="877"/>
        <v>68715418</v>
      </c>
      <c r="UI37" s="123">
        <f t="shared" si="877"/>
        <v>72617548</v>
      </c>
      <c r="UJ37" s="123">
        <f t="shared" si="877"/>
        <v>77187862</v>
      </c>
      <c r="UK37" s="123">
        <f t="shared" si="877"/>
        <v>80375812</v>
      </c>
      <c r="UL37" s="123">
        <f t="shared" si="877"/>
        <v>83891167</v>
      </c>
      <c r="UM37" s="123">
        <f t="shared" si="877"/>
        <v>87754754</v>
      </c>
      <c r="UN37" s="123">
        <f t="shared" si="877"/>
        <v>91584027</v>
      </c>
      <c r="UO37" s="123">
        <f t="shared" si="877"/>
        <v>95270427</v>
      </c>
      <c r="UP37" s="123">
        <f t="shared" si="877"/>
        <v>99888485</v>
      </c>
      <c r="UQ37" s="123">
        <f t="shared" si="877"/>
        <v>104081285</v>
      </c>
      <c r="UR37" s="123">
        <f t="shared" si="877"/>
        <v>108443785</v>
      </c>
      <c r="US37" s="123">
        <f t="shared" si="877"/>
        <v>113580160</v>
      </c>
      <c r="UT37" s="123">
        <f t="shared" si="877"/>
        <v>117421160</v>
      </c>
      <c r="UU37" s="123">
        <f t="shared" si="877"/>
        <v>118952160</v>
      </c>
      <c r="UV37" s="123">
        <f t="shared" si="877"/>
        <v>121568462</v>
      </c>
      <c r="UW37" s="123">
        <f t="shared" si="877"/>
        <v>124419703</v>
      </c>
      <c r="UX37" s="130"/>
      <c r="UY37" s="123">
        <f t="shared" ref="UY37:VZ37" si="878">SUM(UY14:UY36)</f>
        <v>128650928</v>
      </c>
      <c r="UZ37" s="123">
        <f t="shared" si="878"/>
        <v>132140906</v>
      </c>
      <c r="VA37" s="123">
        <f t="shared" si="878"/>
        <v>138529369</v>
      </c>
      <c r="VB37" s="123">
        <f t="shared" si="878"/>
        <v>143279804</v>
      </c>
      <c r="VC37" s="123">
        <f t="shared" si="878"/>
        <v>146881310</v>
      </c>
      <c r="VD37" s="123">
        <f t="shared" si="878"/>
        <v>150185310</v>
      </c>
      <c r="VE37" s="123">
        <f t="shared" si="878"/>
        <v>32633408</v>
      </c>
      <c r="VF37" s="123">
        <f t="shared" si="878"/>
        <v>37583908</v>
      </c>
      <c r="VG37" s="123">
        <f t="shared" si="878"/>
        <v>40270471</v>
      </c>
      <c r="VH37" s="123">
        <f t="shared" si="878"/>
        <v>43934416</v>
      </c>
      <c r="VI37" s="123">
        <f t="shared" si="878"/>
        <v>50934026</v>
      </c>
      <c r="VJ37" s="123">
        <f t="shared" si="878"/>
        <v>53805646</v>
      </c>
      <c r="VK37" s="123">
        <f t="shared" si="878"/>
        <v>57253342</v>
      </c>
      <c r="VL37" s="123">
        <f t="shared" si="878"/>
        <v>60362252</v>
      </c>
      <c r="VM37" s="123">
        <f t="shared" si="878"/>
        <v>63533152</v>
      </c>
      <c r="VN37" s="123">
        <f t="shared" si="878"/>
        <v>68045672</v>
      </c>
      <c r="VO37" s="123">
        <f t="shared" si="878"/>
        <v>70431256</v>
      </c>
      <c r="VP37" s="123">
        <f t="shared" si="878"/>
        <v>72567691</v>
      </c>
      <c r="VQ37" s="123">
        <f t="shared" si="878"/>
        <v>76153661</v>
      </c>
      <c r="VR37" s="123">
        <f t="shared" si="878"/>
        <v>80283777</v>
      </c>
      <c r="VS37" s="123">
        <f t="shared" si="878"/>
        <v>84394277</v>
      </c>
      <c r="VT37" s="123">
        <f t="shared" si="878"/>
        <v>88610577</v>
      </c>
      <c r="VU37" s="123">
        <f t="shared" si="878"/>
        <v>91909873</v>
      </c>
      <c r="VV37" s="123">
        <f t="shared" si="878"/>
        <v>95102265</v>
      </c>
      <c r="VW37" s="123">
        <f t="shared" si="878"/>
        <v>101462171</v>
      </c>
      <c r="VX37" s="123">
        <f t="shared" si="878"/>
        <v>105014671</v>
      </c>
      <c r="VY37" s="123">
        <f t="shared" si="878"/>
        <v>110902381</v>
      </c>
      <c r="VZ37" s="123">
        <f t="shared" si="878"/>
        <v>113916381</v>
      </c>
      <c r="WA37" s="142"/>
      <c r="WB37" s="123">
        <f t="shared" ref="WB37:XF37" si="879">SUM(WB14:WB36)</f>
        <v>118093033</v>
      </c>
      <c r="WC37" s="123">
        <f t="shared" si="879"/>
        <v>121302038</v>
      </c>
      <c r="WD37" s="123">
        <f t="shared" si="879"/>
        <v>126967367</v>
      </c>
      <c r="WE37" s="123">
        <f t="shared" si="879"/>
        <v>131747115</v>
      </c>
      <c r="WF37" s="123">
        <f t="shared" si="879"/>
        <v>135159275</v>
      </c>
      <c r="WG37" s="123">
        <f t="shared" si="879"/>
        <v>137539275</v>
      </c>
      <c r="WH37" s="123">
        <f t="shared" si="879"/>
        <v>140982767</v>
      </c>
      <c r="WI37" s="123">
        <f t="shared" si="879"/>
        <v>145142477</v>
      </c>
      <c r="WJ37" s="123">
        <f t="shared" si="879"/>
        <v>37660013</v>
      </c>
      <c r="WK37" s="123">
        <f t="shared" si="879"/>
        <v>41536013</v>
      </c>
      <c r="WL37" s="123">
        <f t="shared" si="879"/>
        <v>47330473</v>
      </c>
      <c r="WM37" s="123">
        <f t="shared" si="879"/>
        <v>49882473</v>
      </c>
      <c r="WN37" s="123">
        <f t="shared" si="879"/>
        <v>53931856</v>
      </c>
      <c r="WO37" s="123">
        <f t="shared" si="879"/>
        <v>57770856</v>
      </c>
      <c r="WP37" s="123">
        <f t="shared" si="879"/>
        <v>62628906</v>
      </c>
      <c r="WQ37" s="123">
        <f t="shared" si="879"/>
        <v>65521256</v>
      </c>
      <c r="WR37" s="123">
        <f t="shared" si="879"/>
        <v>68091956</v>
      </c>
      <c r="WS37" s="123">
        <f t="shared" si="879"/>
        <v>69260751</v>
      </c>
      <c r="WT37" s="123">
        <f t="shared" si="879"/>
        <v>71694926</v>
      </c>
      <c r="WU37" s="123">
        <f t="shared" si="879"/>
        <v>73529888</v>
      </c>
      <c r="WV37" s="123">
        <f t="shared" si="879"/>
        <v>77967458</v>
      </c>
      <c r="WW37" s="123">
        <f t="shared" si="879"/>
        <v>82545494</v>
      </c>
      <c r="WX37" s="123">
        <f t="shared" si="879"/>
        <v>86591742</v>
      </c>
      <c r="WY37" s="123">
        <f t="shared" si="879"/>
        <v>91503742</v>
      </c>
      <c r="WZ37" s="123">
        <f t="shared" si="879"/>
        <v>95804249</v>
      </c>
      <c r="XA37" s="123">
        <f t="shared" si="879"/>
        <v>98489249</v>
      </c>
      <c r="XB37" s="123">
        <f t="shared" si="879"/>
        <v>102740049</v>
      </c>
      <c r="XC37" s="123">
        <f t="shared" si="879"/>
        <v>106403386</v>
      </c>
      <c r="XD37" s="123">
        <f t="shared" si="879"/>
        <v>109468327</v>
      </c>
      <c r="XE37" s="123">
        <f t="shared" si="879"/>
        <v>113019327</v>
      </c>
      <c r="XF37" s="123">
        <f t="shared" si="879"/>
        <v>117001386</v>
      </c>
      <c r="XG37" s="142"/>
      <c r="XH37" s="123">
        <f t="shared" ref="XH37:YK37" si="880">SUM(XH14:XH36)</f>
        <v>120251886</v>
      </c>
      <c r="XI37" s="123">
        <f t="shared" si="880"/>
        <v>122760776</v>
      </c>
      <c r="XJ37" s="123">
        <f t="shared" si="880"/>
        <v>127082176</v>
      </c>
      <c r="XK37" s="123">
        <f t="shared" si="880"/>
        <v>129710796</v>
      </c>
      <c r="XL37" s="123">
        <f t="shared" si="880"/>
        <v>132090381</v>
      </c>
      <c r="XM37" s="123">
        <f t="shared" si="880"/>
        <v>136455325</v>
      </c>
      <c r="XN37" s="123">
        <f t="shared" si="880"/>
        <v>140293339</v>
      </c>
      <c r="XO37" s="123">
        <f t="shared" si="880"/>
        <v>143418739</v>
      </c>
      <c r="XP37" s="123">
        <f t="shared" si="880"/>
        <v>32066382</v>
      </c>
      <c r="XQ37" s="123">
        <f t="shared" si="880"/>
        <v>34376182</v>
      </c>
      <c r="XR37" s="123">
        <f t="shared" si="880"/>
        <v>38959916</v>
      </c>
      <c r="XS37" s="123">
        <f t="shared" si="880"/>
        <v>43023923</v>
      </c>
      <c r="XT37" s="123">
        <f t="shared" si="880"/>
        <v>45574501</v>
      </c>
      <c r="XU37" s="123">
        <f t="shared" si="880"/>
        <v>48834351</v>
      </c>
      <c r="XV37" s="123">
        <f t="shared" si="880"/>
        <v>52711177</v>
      </c>
      <c r="XW37" s="123">
        <f t="shared" si="880"/>
        <v>55592727</v>
      </c>
      <c r="XX37" s="123">
        <f t="shared" si="880"/>
        <v>58534727</v>
      </c>
      <c r="XY37" s="123">
        <f t="shared" si="880"/>
        <v>61839627</v>
      </c>
      <c r="XZ37" s="123">
        <f t="shared" si="880"/>
        <v>65163107</v>
      </c>
      <c r="YA37" s="123">
        <f t="shared" si="880"/>
        <v>67946893</v>
      </c>
      <c r="YB37" s="123">
        <f t="shared" si="880"/>
        <v>71388893</v>
      </c>
      <c r="YC37" s="123">
        <f t="shared" si="880"/>
        <v>73773365</v>
      </c>
      <c r="YD37" s="123">
        <f t="shared" si="880"/>
        <v>77879787</v>
      </c>
      <c r="YE37" s="123">
        <f t="shared" si="880"/>
        <v>81488760</v>
      </c>
      <c r="YF37" s="123">
        <f t="shared" si="880"/>
        <v>86395967</v>
      </c>
      <c r="YG37" s="123">
        <f t="shared" si="880"/>
        <v>90029003</v>
      </c>
      <c r="YH37" s="123">
        <f t="shared" si="880"/>
        <v>93431003</v>
      </c>
      <c r="YI37" s="123">
        <f t="shared" si="880"/>
        <v>95565003</v>
      </c>
      <c r="YJ37" s="123">
        <f t="shared" si="880"/>
        <v>97492769</v>
      </c>
      <c r="YK37" s="123">
        <f t="shared" si="880"/>
        <v>99905769</v>
      </c>
      <c r="YL37" s="130"/>
      <c r="YM37" s="123">
        <f t="shared" ref="YM37:ZQ37" si="881">SUM(YM14:YM36)</f>
        <v>106784269</v>
      </c>
      <c r="YN37" s="123">
        <f t="shared" si="881"/>
        <v>111002900</v>
      </c>
      <c r="YO37" s="123">
        <f t="shared" si="881"/>
        <v>114465900</v>
      </c>
      <c r="YP37" s="123">
        <f t="shared" si="881"/>
        <v>117401000</v>
      </c>
      <c r="YQ37" s="123">
        <f t="shared" si="881"/>
        <v>121824000</v>
      </c>
      <c r="YR37" s="123">
        <f t="shared" si="881"/>
        <v>125038412</v>
      </c>
      <c r="YS37" s="123">
        <f t="shared" si="881"/>
        <v>128739148</v>
      </c>
      <c r="YT37" s="123">
        <f t="shared" si="881"/>
        <v>130210648</v>
      </c>
      <c r="YU37" s="123">
        <f t="shared" si="881"/>
        <v>134159870</v>
      </c>
      <c r="YV37" s="123">
        <f t="shared" si="881"/>
        <v>138253902</v>
      </c>
      <c r="YW37" s="123">
        <f t="shared" si="881"/>
        <v>46757608</v>
      </c>
      <c r="YX37" s="123">
        <f t="shared" si="881"/>
        <v>50548046</v>
      </c>
      <c r="YY37" s="123">
        <f t="shared" si="881"/>
        <v>53526146</v>
      </c>
      <c r="YZ37" s="123">
        <f t="shared" si="881"/>
        <v>55888496</v>
      </c>
      <c r="ZA37" s="123">
        <f t="shared" si="881"/>
        <v>59258996</v>
      </c>
      <c r="ZB37" s="123">
        <f t="shared" si="881"/>
        <v>62940675</v>
      </c>
      <c r="ZC37" s="123">
        <f t="shared" si="881"/>
        <v>65885665</v>
      </c>
      <c r="ZD37" s="123">
        <f t="shared" si="881"/>
        <v>68781465</v>
      </c>
      <c r="ZE37" s="123">
        <f t="shared" si="881"/>
        <v>72402079</v>
      </c>
      <c r="ZF37" s="123">
        <f t="shared" si="881"/>
        <v>75193038</v>
      </c>
      <c r="ZG37" s="123">
        <f t="shared" si="881"/>
        <v>79665738</v>
      </c>
      <c r="ZH37" s="123">
        <f t="shared" si="881"/>
        <v>82721988</v>
      </c>
      <c r="ZI37" s="123">
        <f t="shared" si="881"/>
        <v>85809988</v>
      </c>
      <c r="ZJ37" s="123">
        <f t="shared" si="881"/>
        <v>90349074</v>
      </c>
      <c r="ZK37" s="123">
        <f t="shared" si="881"/>
        <v>92375074</v>
      </c>
      <c r="ZL37" s="123">
        <f t="shared" si="881"/>
        <v>96716543</v>
      </c>
      <c r="ZM37" s="123">
        <f t="shared" si="881"/>
        <v>101208543</v>
      </c>
      <c r="ZN37" s="123">
        <f t="shared" si="881"/>
        <v>104336043</v>
      </c>
      <c r="ZO37" s="123">
        <f t="shared" si="881"/>
        <v>108977639</v>
      </c>
      <c r="ZP37" s="123">
        <f t="shared" si="881"/>
        <v>112025407</v>
      </c>
      <c r="ZQ37" s="123">
        <f t="shared" si="881"/>
        <v>114754407</v>
      </c>
      <c r="ZR37" s="130"/>
      <c r="ZS37" s="123">
        <f t="shared" ref="ZS37:AAV37" si="882">SUM(ZS14:ZS36)</f>
        <v>120726157</v>
      </c>
      <c r="ZT37" s="123">
        <f t="shared" si="882"/>
        <v>125435657</v>
      </c>
      <c r="ZU37" s="123">
        <f t="shared" si="882"/>
        <v>21477946</v>
      </c>
      <c r="ZV37" s="123">
        <f t="shared" si="882"/>
        <v>25788686</v>
      </c>
      <c r="ZW37" s="123">
        <f t="shared" si="882"/>
        <v>29881895</v>
      </c>
      <c r="ZX37" s="123">
        <f t="shared" si="882"/>
        <v>33586891</v>
      </c>
      <c r="ZY37" s="123">
        <f t="shared" si="882"/>
        <v>36304817</v>
      </c>
      <c r="ZZ37" s="123">
        <f t="shared" si="882"/>
        <v>38550817</v>
      </c>
      <c r="AAA37" s="123">
        <f t="shared" si="882"/>
        <v>41337817</v>
      </c>
      <c r="AAB37" s="123">
        <f t="shared" si="882"/>
        <v>47299067</v>
      </c>
      <c r="AAC37" s="123">
        <f t="shared" si="882"/>
        <v>51173281</v>
      </c>
      <c r="AAD37" s="123">
        <f t="shared" si="882"/>
        <v>54652281</v>
      </c>
      <c r="AAE37" s="123">
        <f t="shared" si="882"/>
        <v>57917755</v>
      </c>
      <c r="AAF37" s="123">
        <f t="shared" si="882"/>
        <v>63047071</v>
      </c>
      <c r="AAG37" s="123">
        <f t="shared" si="882"/>
        <v>67325689</v>
      </c>
      <c r="AAH37" s="123">
        <f t="shared" si="882"/>
        <v>69856542</v>
      </c>
      <c r="AAI37" s="123">
        <f t="shared" si="882"/>
        <v>72773542</v>
      </c>
      <c r="AAJ37" s="123">
        <f t="shared" si="882"/>
        <v>76387374</v>
      </c>
      <c r="AAK37" s="123">
        <f t="shared" si="882"/>
        <v>80887756</v>
      </c>
      <c r="AAL37" s="123">
        <f t="shared" si="882"/>
        <v>87325880</v>
      </c>
      <c r="AAM37" s="123">
        <f t="shared" si="882"/>
        <v>92357260</v>
      </c>
      <c r="AAN37" s="123">
        <f t="shared" si="882"/>
        <v>96587077</v>
      </c>
      <c r="AAO37" s="123">
        <f t="shared" si="882"/>
        <v>99706077</v>
      </c>
      <c r="AAP37" s="123">
        <f t="shared" si="882"/>
        <v>102130799</v>
      </c>
      <c r="AAQ37" s="123">
        <f t="shared" si="882"/>
        <v>105698758</v>
      </c>
      <c r="AAR37" s="123">
        <f t="shared" si="882"/>
        <v>110046758</v>
      </c>
      <c r="AAS37" s="123">
        <f t="shared" si="882"/>
        <v>113190018</v>
      </c>
      <c r="AAT37" s="123">
        <f t="shared" si="882"/>
        <v>118420160</v>
      </c>
      <c r="AAU37" s="123">
        <f t="shared" si="882"/>
        <v>121035755</v>
      </c>
      <c r="AAV37" s="123">
        <f t="shared" si="882"/>
        <v>124622255</v>
      </c>
      <c r="AAW37" s="130"/>
      <c r="AAX37" s="123">
        <f t="shared" ref="AAX37:ACB37" si="883">SUM(AAX14:AAX36)</f>
        <v>129155755</v>
      </c>
      <c r="AAY37" s="123">
        <f t="shared" si="883"/>
        <v>132606755</v>
      </c>
      <c r="AAZ37" s="123">
        <f t="shared" si="883"/>
        <v>135124555</v>
      </c>
      <c r="ABA37" s="123">
        <f t="shared" si="883"/>
        <v>138940747</v>
      </c>
      <c r="ABB37" s="123">
        <f t="shared" si="883"/>
        <v>144024124</v>
      </c>
      <c r="ABC37" s="123">
        <f t="shared" si="883"/>
        <v>147919749</v>
      </c>
      <c r="ABD37" s="123">
        <f t="shared" si="883"/>
        <v>149267949</v>
      </c>
      <c r="ABE37" s="123">
        <f t="shared" si="883"/>
        <v>154196246</v>
      </c>
      <c r="ABF37" s="123">
        <f t="shared" si="883"/>
        <v>156572707</v>
      </c>
      <c r="ABG37" s="123">
        <f t="shared" si="883"/>
        <v>158703649</v>
      </c>
      <c r="ABH37" s="123">
        <f t="shared" si="883"/>
        <v>163676884</v>
      </c>
      <c r="ABI37" s="123">
        <f t="shared" si="883"/>
        <v>168288884</v>
      </c>
      <c r="ABJ37" s="123">
        <f t="shared" si="883"/>
        <v>173337384</v>
      </c>
      <c r="ABK37" s="123">
        <f t="shared" si="883"/>
        <v>177089215</v>
      </c>
      <c r="ABL37" s="123">
        <f t="shared" si="883"/>
        <v>180476266</v>
      </c>
      <c r="ABM37" s="123">
        <f t="shared" si="883"/>
        <v>182930818</v>
      </c>
      <c r="ABN37" s="123">
        <f t="shared" si="883"/>
        <v>64309424</v>
      </c>
      <c r="ABO37" s="123">
        <f t="shared" si="883"/>
        <v>68890626</v>
      </c>
      <c r="ABP37" s="123">
        <f t="shared" si="883"/>
        <v>73196603</v>
      </c>
      <c r="ABQ37" s="123">
        <f t="shared" si="883"/>
        <v>76691803</v>
      </c>
      <c r="ABR37" s="123">
        <f t="shared" si="883"/>
        <v>79691185</v>
      </c>
      <c r="ABS37" s="123">
        <f t="shared" si="883"/>
        <v>82663385</v>
      </c>
      <c r="ABT37" s="123">
        <f t="shared" si="883"/>
        <v>85908693</v>
      </c>
      <c r="ABU37" s="123">
        <f t="shared" si="883"/>
        <v>88337621</v>
      </c>
      <c r="ABV37" s="123">
        <f t="shared" si="883"/>
        <v>93488321</v>
      </c>
      <c r="ABW37" s="123">
        <f t="shared" si="883"/>
        <v>98372986</v>
      </c>
      <c r="ABX37" s="123">
        <f t="shared" si="883"/>
        <v>101928986</v>
      </c>
      <c r="ABY37" s="123">
        <f t="shared" si="883"/>
        <v>107610486</v>
      </c>
      <c r="ABZ37" s="123">
        <f t="shared" si="883"/>
        <v>111379541</v>
      </c>
      <c r="ACA37" s="123">
        <f t="shared" si="883"/>
        <v>113759968</v>
      </c>
      <c r="ACB37" s="123">
        <f t="shared" si="883"/>
        <v>117401590</v>
      </c>
      <c r="ACC37" s="130"/>
      <c r="ACD37" s="123">
        <f t="shared" ref="ACD37:ADH37" si="884">SUM(ACD14:ACD36)</f>
        <v>119786540</v>
      </c>
      <c r="ACE37" s="123">
        <f t="shared" si="884"/>
        <v>126004704</v>
      </c>
      <c r="ACF37" s="123">
        <f t="shared" si="884"/>
        <v>128690704</v>
      </c>
      <c r="ACG37" s="123">
        <f t="shared" si="884"/>
        <v>135039204</v>
      </c>
      <c r="ACH37" s="123">
        <f t="shared" si="884"/>
        <v>138419944</v>
      </c>
      <c r="ACI37" s="123">
        <f t="shared" si="884"/>
        <v>28072715</v>
      </c>
      <c r="ACJ37" s="123">
        <f t="shared" si="884"/>
        <v>32495022</v>
      </c>
      <c r="ACK37" s="123">
        <f t="shared" si="884"/>
        <v>36724007</v>
      </c>
      <c r="ACL37" s="123">
        <f t="shared" si="884"/>
        <v>40399007</v>
      </c>
      <c r="ACM37" s="123">
        <f t="shared" si="884"/>
        <v>43085676</v>
      </c>
      <c r="ACN37" s="123">
        <f t="shared" si="884"/>
        <v>47659186</v>
      </c>
      <c r="ACO37" s="123">
        <f t="shared" si="884"/>
        <v>50853786</v>
      </c>
      <c r="ACP37" s="123">
        <f t="shared" si="884"/>
        <v>54487767</v>
      </c>
      <c r="ACQ37" s="123">
        <f t="shared" si="884"/>
        <v>58042229</v>
      </c>
      <c r="ACR37" s="123">
        <f t="shared" si="884"/>
        <v>61327432</v>
      </c>
      <c r="ACS37" s="123">
        <f t="shared" si="884"/>
        <v>65811154</v>
      </c>
      <c r="ACT37" s="123">
        <f t="shared" si="884"/>
        <v>70435965</v>
      </c>
      <c r="ACU37" s="123">
        <f t="shared" si="884"/>
        <v>74530781</v>
      </c>
      <c r="ACV37" s="123">
        <f t="shared" si="884"/>
        <v>76813781</v>
      </c>
      <c r="ACW37" s="123">
        <f t="shared" si="884"/>
        <v>79004971</v>
      </c>
      <c r="ACX37" s="123">
        <f t="shared" si="884"/>
        <v>81788421</v>
      </c>
      <c r="ACY37" s="123">
        <f t="shared" si="884"/>
        <v>86458969</v>
      </c>
      <c r="ACZ37" s="123">
        <f t="shared" si="884"/>
        <v>89692642</v>
      </c>
      <c r="ADA37" s="123">
        <f t="shared" si="884"/>
        <v>93367642</v>
      </c>
      <c r="ADB37" s="123">
        <f t="shared" si="884"/>
        <v>96707773</v>
      </c>
      <c r="ADC37" s="123">
        <f t="shared" si="884"/>
        <v>99337023</v>
      </c>
      <c r="ADD37" s="123">
        <f t="shared" si="884"/>
        <v>101953962</v>
      </c>
      <c r="ADE37" s="123">
        <f t="shared" si="884"/>
        <v>104307790</v>
      </c>
      <c r="ADF37" s="123">
        <f t="shared" si="884"/>
        <v>108354837</v>
      </c>
      <c r="ADG37" s="123">
        <f t="shared" si="884"/>
        <v>111676837</v>
      </c>
      <c r="ADH37" s="123">
        <f t="shared" si="884"/>
        <v>114936831</v>
      </c>
      <c r="ADI37" s="130"/>
      <c r="ADJ37" s="123">
        <f t="shared" ref="ADJ37:AEM37" si="885">SUM(ADJ14:ADJ36)</f>
        <v>118354661</v>
      </c>
      <c r="ADK37" s="123">
        <f t="shared" si="885"/>
        <v>122074763</v>
      </c>
      <c r="ADL37" s="123">
        <f t="shared" si="885"/>
        <v>125540013</v>
      </c>
      <c r="ADM37" s="123">
        <f t="shared" si="885"/>
        <v>128388854</v>
      </c>
      <c r="ADN37" s="123">
        <f t="shared" si="885"/>
        <v>131310614</v>
      </c>
      <c r="ADO37" s="123">
        <f t="shared" si="885"/>
        <v>134988729</v>
      </c>
      <c r="ADP37" s="123">
        <f t="shared" si="885"/>
        <v>137985029</v>
      </c>
      <c r="ADQ37" s="123">
        <f t="shared" si="885"/>
        <v>141031780</v>
      </c>
      <c r="ADR37" s="123">
        <f t="shared" si="885"/>
        <v>144971638</v>
      </c>
      <c r="ADS37" s="123">
        <f t="shared" si="885"/>
        <v>148843468</v>
      </c>
      <c r="ADT37" s="123">
        <f t="shared" si="885"/>
        <v>152487363</v>
      </c>
      <c r="ADU37" s="123">
        <f t="shared" si="885"/>
        <v>157982933</v>
      </c>
      <c r="ADV37" s="123">
        <f t="shared" si="885"/>
        <v>161789933</v>
      </c>
      <c r="ADW37" s="123">
        <f t="shared" si="885"/>
        <v>56445556</v>
      </c>
      <c r="ADX37" s="123">
        <f t="shared" si="885"/>
        <v>60421097</v>
      </c>
      <c r="ADY37" s="123">
        <f t="shared" si="885"/>
        <v>62509378</v>
      </c>
      <c r="ADZ37" s="123">
        <f t="shared" si="885"/>
        <v>65341438</v>
      </c>
      <c r="AEA37" s="123">
        <f t="shared" si="885"/>
        <v>68631162</v>
      </c>
      <c r="AEB37" s="123">
        <f t="shared" si="885"/>
        <v>71376662</v>
      </c>
      <c r="AEC37" s="123">
        <f t="shared" si="885"/>
        <v>74612062</v>
      </c>
      <c r="AED37" s="123">
        <f t="shared" si="885"/>
        <v>77907362</v>
      </c>
      <c r="AEE37" s="123">
        <f t="shared" si="885"/>
        <v>80948190</v>
      </c>
      <c r="AEF37" s="123">
        <f t="shared" si="885"/>
        <v>83754488</v>
      </c>
      <c r="AEG37" s="123">
        <f t="shared" si="885"/>
        <v>86001488</v>
      </c>
      <c r="AEH37" s="123">
        <f t="shared" si="885"/>
        <v>89776488</v>
      </c>
      <c r="AEI37" s="123">
        <f t="shared" si="885"/>
        <v>92743488</v>
      </c>
      <c r="AEJ37" s="123">
        <f t="shared" si="885"/>
        <v>96436904</v>
      </c>
      <c r="AEK37" s="123">
        <f t="shared" si="885"/>
        <v>98492404</v>
      </c>
      <c r="AEL37" s="123">
        <f t="shared" si="885"/>
        <v>101314047</v>
      </c>
      <c r="AEM37" s="123">
        <f t="shared" si="885"/>
        <v>106476797</v>
      </c>
      <c r="AEN37" s="130"/>
      <c r="AEO37" s="123">
        <f t="shared" ref="AEO37:AFS37" si="886">SUM(AEO14:AEO36)</f>
        <v>109399335</v>
      </c>
      <c r="AEP37" s="123">
        <f t="shared" si="886"/>
        <v>111754335</v>
      </c>
      <c r="AEQ37" s="123">
        <f t="shared" si="886"/>
        <v>113976375</v>
      </c>
      <c r="AER37" s="123">
        <f t="shared" si="886"/>
        <v>118141881</v>
      </c>
      <c r="AES37" s="123">
        <f t="shared" si="886"/>
        <v>121424517</v>
      </c>
      <c r="AET37" s="123">
        <f t="shared" si="886"/>
        <v>123683767</v>
      </c>
      <c r="AEU37" s="123">
        <f t="shared" si="886"/>
        <v>22660886</v>
      </c>
      <c r="AEV37" s="123">
        <f t="shared" si="886"/>
        <v>27168528</v>
      </c>
      <c r="AEW37" s="123">
        <f t="shared" si="886"/>
        <v>32786716</v>
      </c>
      <c r="AEX37" s="123">
        <f t="shared" si="886"/>
        <v>37447072</v>
      </c>
      <c r="AEY37" s="123">
        <f t="shared" si="886"/>
        <v>41013681</v>
      </c>
      <c r="AEZ37" s="123">
        <f t="shared" si="886"/>
        <v>44314101</v>
      </c>
      <c r="AFA37" s="123">
        <f t="shared" si="886"/>
        <v>48836085</v>
      </c>
      <c r="AFB37" s="123">
        <f t="shared" si="886"/>
        <v>51807095</v>
      </c>
      <c r="AFC37" s="123">
        <f t="shared" si="886"/>
        <v>54540717</v>
      </c>
      <c r="AFD37" s="123">
        <f t="shared" si="886"/>
        <v>56810717</v>
      </c>
      <c r="AFE37" s="123">
        <f t="shared" si="886"/>
        <v>58951241</v>
      </c>
      <c r="AFF37" s="123">
        <f t="shared" si="886"/>
        <v>62105128</v>
      </c>
      <c r="AFG37" s="123">
        <f t="shared" si="886"/>
        <v>64742128</v>
      </c>
      <c r="AFH37" s="123">
        <f t="shared" si="886"/>
        <v>66938128</v>
      </c>
      <c r="AFI37" s="123">
        <f t="shared" si="886"/>
        <v>69400128</v>
      </c>
      <c r="AFJ37" s="123">
        <f t="shared" si="886"/>
        <v>72478520</v>
      </c>
      <c r="AFK37" s="123">
        <f t="shared" si="886"/>
        <v>75703553</v>
      </c>
      <c r="AFL37" s="123">
        <f t="shared" si="886"/>
        <v>79439959</v>
      </c>
      <c r="AFM37" s="123">
        <f t="shared" si="886"/>
        <v>83539959</v>
      </c>
      <c r="AFN37" s="123">
        <f t="shared" si="886"/>
        <v>88560508</v>
      </c>
      <c r="AFO37" s="123">
        <f t="shared" si="886"/>
        <v>90817338</v>
      </c>
      <c r="AFP37" s="123">
        <f t="shared" si="886"/>
        <v>92292338</v>
      </c>
      <c r="AFQ37" s="123">
        <f t="shared" si="886"/>
        <v>95313563</v>
      </c>
      <c r="AFR37" s="123">
        <f t="shared" si="886"/>
        <v>100444363</v>
      </c>
      <c r="AFS37" s="123">
        <f t="shared" si="886"/>
        <v>104200363</v>
      </c>
      <c r="AFT37" s="130"/>
      <c r="AFU37" s="123">
        <f t="shared" ref="AFU37:AGX37" si="887">SUM(AFU14:AFU36)</f>
        <v>109913093</v>
      </c>
      <c r="AFV37" s="123">
        <f t="shared" si="887"/>
        <v>113805528</v>
      </c>
      <c r="AFW37" s="123">
        <f t="shared" si="887"/>
        <v>116571128</v>
      </c>
      <c r="AFX37" s="123">
        <f t="shared" si="887"/>
        <v>119558678</v>
      </c>
      <c r="AFY37" s="123">
        <f t="shared" si="887"/>
        <v>123827968</v>
      </c>
      <c r="AFZ37" s="123">
        <f t="shared" si="887"/>
        <v>127615223</v>
      </c>
      <c r="AGA37" s="123">
        <f t="shared" si="887"/>
        <v>129448973</v>
      </c>
      <c r="AGB37" s="123">
        <f t="shared" si="887"/>
        <v>129623973</v>
      </c>
      <c r="AGC37" s="123">
        <f t="shared" si="887"/>
        <v>130236872</v>
      </c>
      <c r="AGD37" s="123">
        <f t="shared" si="887"/>
        <v>29972915</v>
      </c>
      <c r="AGE37" s="123">
        <f t="shared" si="887"/>
        <v>30602915</v>
      </c>
      <c r="AGF37" s="123">
        <f t="shared" si="887"/>
        <v>31187915</v>
      </c>
      <c r="AGG37" s="123">
        <f t="shared" si="887"/>
        <v>31837915</v>
      </c>
      <c r="AGH37" s="123">
        <f t="shared" si="887"/>
        <v>32345142</v>
      </c>
      <c r="AGI37" s="123">
        <f t="shared" si="887"/>
        <v>33006680</v>
      </c>
      <c r="AGJ37" s="123">
        <f t="shared" si="887"/>
        <v>34491518</v>
      </c>
      <c r="AGK37" s="123">
        <f t="shared" si="887"/>
        <v>35556426</v>
      </c>
      <c r="AGL37" s="123">
        <f t="shared" si="887"/>
        <v>36187426</v>
      </c>
      <c r="AGM37" s="123">
        <f t="shared" si="887"/>
        <v>36428451</v>
      </c>
      <c r="AGN37" s="123">
        <f t="shared" si="887"/>
        <v>36538451</v>
      </c>
      <c r="AGO37" s="123">
        <f t="shared" si="887"/>
        <v>37681451</v>
      </c>
      <c r="AGP37" s="123">
        <f t="shared" si="887"/>
        <v>38593685</v>
      </c>
      <c r="AGQ37" s="123">
        <f t="shared" si="887"/>
        <v>39379675</v>
      </c>
      <c r="AGR37" s="123">
        <f t="shared" si="887"/>
        <v>39840592</v>
      </c>
      <c r="AGS37" s="123">
        <f t="shared" si="887"/>
        <v>40665092</v>
      </c>
      <c r="AGT37" s="123">
        <f t="shared" si="887"/>
        <v>40765092</v>
      </c>
      <c r="AGU37" s="123">
        <f t="shared" si="887"/>
        <v>40968882</v>
      </c>
      <c r="AGV37" s="123">
        <f t="shared" si="887"/>
        <v>41410882</v>
      </c>
      <c r="AGW37" s="123">
        <f t="shared" si="887"/>
        <v>42156882</v>
      </c>
      <c r="AGX37" s="123">
        <f t="shared" si="887"/>
        <v>42756882</v>
      </c>
      <c r="AGY37" s="142"/>
      <c r="AGZ37" s="123">
        <f t="shared" ref="AGZ37:AID37" si="888">SUM(AGZ14:AGZ36)</f>
        <v>43386882</v>
      </c>
      <c r="AHA37" s="123">
        <f t="shared" si="888"/>
        <v>44020882</v>
      </c>
      <c r="AHB37" s="123">
        <f t="shared" si="888"/>
        <v>44390915</v>
      </c>
      <c r="AHC37" s="123">
        <f t="shared" si="888"/>
        <v>44836319</v>
      </c>
      <c r="AHD37" s="123">
        <f t="shared" si="888"/>
        <v>45898714</v>
      </c>
      <c r="AHE37" s="123">
        <f t="shared" si="888"/>
        <v>46533690</v>
      </c>
      <c r="AHF37" s="123">
        <f t="shared" si="888"/>
        <v>47733810</v>
      </c>
      <c r="AHG37" s="123">
        <f t="shared" si="888"/>
        <v>47733810</v>
      </c>
      <c r="AHH37" s="123">
        <f t="shared" si="888"/>
        <v>47958810</v>
      </c>
      <c r="AHI37" s="123">
        <f t="shared" si="888"/>
        <v>49600810</v>
      </c>
      <c r="AHJ37" s="123">
        <f t="shared" si="888"/>
        <v>50156510</v>
      </c>
      <c r="AHK37" s="123">
        <f t="shared" si="888"/>
        <v>14580454</v>
      </c>
      <c r="AHL37" s="123">
        <f t="shared" si="888"/>
        <v>14995454</v>
      </c>
      <c r="AHM37" s="123">
        <f t="shared" si="888"/>
        <v>16338464</v>
      </c>
      <c r="AHN37" s="123">
        <f t="shared" si="888"/>
        <v>16838464</v>
      </c>
      <c r="AHO37" s="123">
        <f t="shared" si="888"/>
        <v>16938464</v>
      </c>
      <c r="AHP37" s="123">
        <f t="shared" si="888"/>
        <v>17458573</v>
      </c>
      <c r="AHQ37" s="123">
        <f t="shared" si="888"/>
        <v>17831518</v>
      </c>
      <c r="AHR37" s="123">
        <f t="shared" si="888"/>
        <v>18721243</v>
      </c>
      <c r="AHS37" s="123">
        <f t="shared" si="888"/>
        <v>19276243</v>
      </c>
      <c r="AHT37" s="123">
        <f t="shared" si="888"/>
        <v>20205478</v>
      </c>
      <c r="AHU37" s="123">
        <f t="shared" si="888"/>
        <v>20705478</v>
      </c>
      <c r="AHV37" s="123">
        <f t="shared" si="888"/>
        <v>20825478</v>
      </c>
      <c r="AHW37" s="123">
        <f t="shared" si="888"/>
        <v>21124968</v>
      </c>
      <c r="AHX37" s="123">
        <f t="shared" si="888"/>
        <v>21789637</v>
      </c>
      <c r="AHY37" s="123">
        <f t="shared" si="888"/>
        <v>22651434</v>
      </c>
      <c r="AHZ37" s="123">
        <f t="shared" si="888"/>
        <v>23036434</v>
      </c>
      <c r="AIA37" s="123">
        <f t="shared" si="888"/>
        <v>23584108</v>
      </c>
      <c r="AIB37" s="123">
        <f t="shared" si="888"/>
        <v>23819108</v>
      </c>
      <c r="AIC37" s="123">
        <f t="shared" si="888"/>
        <v>24451108</v>
      </c>
      <c r="AID37" s="123">
        <f t="shared" si="888"/>
        <v>24621108</v>
      </c>
      <c r="AIE37" s="130"/>
      <c r="AIF37" s="123">
        <f t="shared" ref="AIF37:AJJ37" si="889">SUM(AIF14:AIF36)</f>
        <v>24971108</v>
      </c>
      <c r="AIG37" s="123">
        <f t="shared" si="889"/>
        <v>25776754</v>
      </c>
      <c r="AIH37" s="123">
        <f t="shared" si="889"/>
        <v>26046754</v>
      </c>
      <c r="AII37" s="123">
        <f t="shared" si="889"/>
        <v>26870293</v>
      </c>
      <c r="AIJ37" s="123">
        <f t="shared" si="889"/>
        <v>28283293</v>
      </c>
      <c r="AIK37" s="123">
        <f t="shared" si="889"/>
        <v>28724282</v>
      </c>
      <c r="AIL37" s="123">
        <f t="shared" si="889"/>
        <v>30437948</v>
      </c>
      <c r="AIM37" s="123">
        <f t="shared" si="889"/>
        <v>31442948</v>
      </c>
      <c r="AIN37" s="123">
        <f t="shared" si="889"/>
        <v>32480722</v>
      </c>
      <c r="AIO37" s="123">
        <f t="shared" si="889"/>
        <v>35033377</v>
      </c>
      <c r="AIP37" s="123">
        <f t="shared" si="889"/>
        <v>35509470</v>
      </c>
      <c r="AIQ37" s="123">
        <f t="shared" si="889"/>
        <v>36911582</v>
      </c>
      <c r="AIR37" s="123">
        <f t="shared" si="889"/>
        <v>37071582</v>
      </c>
      <c r="AIS37" s="123">
        <f t="shared" si="889"/>
        <v>37221582</v>
      </c>
      <c r="AIT37" s="123">
        <f t="shared" si="889"/>
        <v>37276582</v>
      </c>
      <c r="AIU37" s="123">
        <f t="shared" si="889"/>
        <v>37541582</v>
      </c>
      <c r="AIV37" s="123">
        <f t="shared" si="889"/>
        <v>37671582</v>
      </c>
      <c r="AIW37" s="123">
        <f t="shared" si="889"/>
        <v>37860582</v>
      </c>
      <c r="AIX37" s="123">
        <f t="shared" si="889"/>
        <v>17950822</v>
      </c>
      <c r="AIY37" s="123">
        <f t="shared" si="889"/>
        <v>18100822</v>
      </c>
      <c r="AIZ37" s="123">
        <f t="shared" si="889"/>
        <v>18694969</v>
      </c>
      <c r="AJA37" s="123">
        <f t="shared" si="889"/>
        <v>19450449</v>
      </c>
      <c r="AJB37" s="123">
        <f t="shared" si="889"/>
        <v>19660449</v>
      </c>
      <c r="AJC37" s="123">
        <f t="shared" si="889"/>
        <v>20184449</v>
      </c>
      <c r="AJD37" s="123">
        <f t="shared" si="889"/>
        <v>20514449</v>
      </c>
      <c r="AJE37" s="123">
        <f t="shared" si="889"/>
        <v>20684449</v>
      </c>
      <c r="AJF37" s="123">
        <f t="shared" si="889"/>
        <v>21198449</v>
      </c>
      <c r="AJG37" s="123">
        <f t="shared" si="889"/>
        <v>23038099</v>
      </c>
      <c r="AJH37" s="123">
        <f t="shared" si="889"/>
        <v>23448099</v>
      </c>
      <c r="AJI37" s="123">
        <f t="shared" si="889"/>
        <v>24624068</v>
      </c>
      <c r="AJJ37" s="123">
        <f t="shared" si="889"/>
        <v>25088526</v>
      </c>
      <c r="AJK37" s="145"/>
      <c r="AJL37" s="123">
        <f t="shared" ref="AJL37:AKM37" si="890">SUM(AJL14:AJL36)</f>
        <v>25457926</v>
      </c>
      <c r="AJM37" s="123">
        <f t="shared" si="890"/>
        <v>26079856</v>
      </c>
      <c r="AJN37" s="123">
        <f t="shared" si="890"/>
        <v>27390027</v>
      </c>
      <c r="AJO37" s="123">
        <f t="shared" si="890"/>
        <v>28947049</v>
      </c>
      <c r="AJP37" s="123">
        <f t="shared" si="890"/>
        <v>29404665</v>
      </c>
      <c r="AJQ37" s="123">
        <f t="shared" si="890"/>
        <v>30059665</v>
      </c>
      <c r="AJR37" s="123">
        <f t="shared" si="890"/>
        <v>30716588</v>
      </c>
      <c r="AJS37" s="123">
        <f t="shared" si="890"/>
        <v>32222073</v>
      </c>
      <c r="AJT37" s="123">
        <f t="shared" si="890"/>
        <v>32806983</v>
      </c>
      <c r="AJU37" s="123">
        <f t="shared" si="890"/>
        <v>32986963</v>
      </c>
      <c r="AJV37" s="123">
        <f t="shared" si="890"/>
        <v>33262352</v>
      </c>
      <c r="AJW37" s="123">
        <f t="shared" si="890"/>
        <v>33542352</v>
      </c>
      <c r="AJX37" s="123">
        <f t="shared" si="890"/>
        <v>33972352</v>
      </c>
      <c r="AJY37" s="123">
        <f t="shared" si="890"/>
        <v>34487668</v>
      </c>
      <c r="AJZ37" s="123">
        <f t="shared" si="890"/>
        <v>34975668</v>
      </c>
      <c r="AKA37" s="123">
        <f t="shared" si="890"/>
        <v>35672621</v>
      </c>
      <c r="AKB37" s="123">
        <f t="shared" si="890"/>
        <v>35862654</v>
      </c>
      <c r="AKC37" s="123">
        <f t="shared" si="890"/>
        <v>36287570</v>
      </c>
      <c r="AKD37" s="123">
        <f t="shared" si="890"/>
        <v>36839530</v>
      </c>
      <c r="AKE37" s="123">
        <f t="shared" si="890"/>
        <v>38025598</v>
      </c>
      <c r="AKF37" s="123">
        <f t="shared" si="890"/>
        <v>38577169</v>
      </c>
      <c r="AKG37" s="123">
        <f t="shared" si="890"/>
        <v>39280402</v>
      </c>
      <c r="AKH37" s="123">
        <f t="shared" si="890"/>
        <v>40150402</v>
      </c>
      <c r="AKI37" s="123">
        <f t="shared" si="890"/>
        <v>41136580</v>
      </c>
      <c r="AKJ37" s="123">
        <f t="shared" si="890"/>
        <v>41902505</v>
      </c>
      <c r="AKK37" s="123">
        <f t="shared" si="890"/>
        <v>42598505</v>
      </c>
      <c r="AKL37" s="123">
        <f t="shared" si="890"/>
        <v>23579327</v>
      </c>
      <c r="AKM37" s="123">
        <f t="shared" si="890"/>
        <v>24352327</v>
      </c>
      <c r="AKN37" s="153"/>
      <c r="AKO37" s="123">
        <f t="shared" ref="AKO37:ALS37" si="891">SUM(AKO14:AKO36)</f>
        <v>25868298</v>
      </c>
      <c r="AKP37" s="123">
        <f t="shared" si="891"/>
        <v>26257166</v>
      </c>
      <c r="AKQ37" s="123">
        <f t="shared" si="891"/>
        <v>27334921</v>
      </c>
      <c r="AKR37" s="123">
        <f t="shared" si="891"/>
        <v>27824121</v>
      </c>
      <c r="AKS37" s="123">
        <f t="shared" si="891"/>
        <v>28120275</v>
      </c>
      <c r="AKT37" s="123">
        <f t="shared" si="891"/>
        <v>29059275</v>
      </c>
      <c r="AKU37" s="123">
        <f t="shared" si="891"/>
        <v>32067979</v>
      </c>
      <c r="AKV37" s="123">
        <f t="shared" si="891"/>
        <v>32322979</v>
      </c>
      <c r="AKW37" s="123">
        <f t="shared" si="891"/>
        <v>34259053</v>
      </c>
      <c r="AKX37" s="123">
        <f t="shared" si="891"/>
        <v>35395367</v>
      </c>
      <c r="AKY37" s="123">
        <f t="shared" si="891"/>
        <v>17491491</v>
      </c>
      <c r="AKZ37" s="123">
        <f t="shared" si="891"/>
        <v>18202491</v>
      </c>
      <c r="ALA37" s="123">
        <f t="shared" si="891"/>
        <v>18572491</v>
      </c>
      <c r="ALB37" s="123">
        <f t="shared" si="891"/>
        <v>19369471</v>
      </c>
      <c r="ALC37" s="123">
        <f t="shared" si="891"/>
        <v>19749471</v>
      </c>
      <c r="ALD37" s="123">
        <f t="shared" si="891"/>
        <v>21947532</v>
      </c>
      <c r="ALE37" s="123">
        <f t="shared" si="891"/>
        <v>22480526</v>
      </c>
      <c r="ALF37" s="123">
        <f t="shared" si="891"/>
        <v>22130526</v>
      </c>
      <c r="ALG37" s="123">
        <f t="shared" si="891"/>
        <v>23530526</v>
      </c>
      <c r="ALH37" s="123">
        <f t="shared" si="891"/>
        <v>24395526</v>
      </c>
      <c r="ALI37" s="123">
        <f t="shared" si="891"/>
        <v>24625526</v>
      </c>
      <c r="ALJ37" s="123">
        <f t="shared" si="891"/>
        <v>24825526</v>
      </c>
      <c r="ALK37" s="123">
        <f t="shared" si="891"/>
        <v>25182016</v>
      </c>
      <c r="ALL37" s="123">
        <f t="shared" si="891"/>
        <v>26094016</v>
      </c>
      <c r="ALM37" s="123">
        <f t="shared" si="891"/>
        <v>26729016</v>
      </c>
      <c r="ALN37" s="123">
        <f t="shared" si="891"/>
        <v>27229016</v>
      </c>
      <c r="ALO37" s="123">
        <f t="shared" si="891"/>
        <v>27762016</v>
      </c>
      <c r="ALP37" s="123">
        <f t="shared" si="891"/>
        <v>28771502</v>
      </c>
      <c r="ALQ37" s="123">
        <f t="shared" si="891"/>
        <v>30077588</v>
      </c>
      <c r="ALR37" s="123">
        <f t="shared" si="891"/>
        <v>31009588</v>
      </c>
      <c r="ALS37" s="123">
        <f t="shared" si="891"/>
        <v>31664493</v>
      </c>
      <c r="ALT37" s="130"/>
      <c r="ALU37" s="123">
        <f t="shared" ref="ALU37:AMX37" si="892">SUM(ALU14:ALU36)</f>
        <v>32886493</v>
      </c>
      <c r="ALV37" s="123">
        <f t="shared" si="892"/>
        <v>33226493</v>
      </c>
      <c r="ALW37" s="123">
        <f t="shared" si="892"/>
        <v>33852844</v>
      </c>
      <c r="ALX37" s="123">
        <f t="shared" si="892"/>
        <v>34139612</v>
      </c>
      <c r="ALY37" s="123">
        <f t="shared" si="892"/>
        <v>34427612</v>
      </c>
      <c r="ALZ37" s="123">
        <f t="shared" si="892"/>
        <v>35518360</v>
      </c>
      <c r="AMA37" s="123">
        <f t="shared" si="892"/>
        <v>36320875</v>
      </c>
      <c r="AMB37" s="123">
        <f t="shared" si="892"/>
        <v>37661153</v>
      </c>
      <c r="AMC37" s="123">
        <f t="shared" si="892"/>
        <v>39430515</v>
      </c>
      <c r="AMD37" s="123">
        <f t="shared" si="892"/>
        <v>40601715</v>
      </c>
      <c r="AME37" s="123">
        <f t="shared" si="892"/>
        <v>41281715</v>
      </c>
      <c r="AMF37" s="123">
        <f t="shared" si="892"/>
        <v>41720903</v>
      </c>
      <c r="AMG37" s="123">
        <f t="shared" si="892"/>
        <v>44063523</v>
      </c>
      <c r="AMH37" s="123">
        <f t="shared" si="892"/>
        <v>20478878</v>
      </c>
      <c r="AMI37" s="123">
        <f t="shared" si="892"/>
        <v>21637769</v>
      </c>
      <c r="AMJ37" s="123">
        <f t="shared" si="892"/>
        <v>22217819</v>
      </c>
      <c r="AMK37" s="123">
        <f t="shared" si="892"/>
        <v>22712819</v>
      </c>
      <c r="AML37" s="123">
        <f t="shared" si="892"/>
        <v>23312819</v>
      </c>
      <c r="AMM37" s="123">
        <f t="shared" si="892"/>
        <v>24017819</v>
      </c>
      <c r="AMN37" s="123">
        <f t="shared" si="892"/>
        <v>24704764</v>
      </c>
      <c r="AMO37" s="123">
        <f t="shared" si="892"/>
        <v>25764764</v>
      </c>
      <c r="AMP37" s="123">
        <f t="shared" si="892"/>
        <v>28004464</v>
      </c>
      <c r="AMQ37" s="123">
        <f t="shared" si="892"/>
        <v>28807998</v>
      </c>
      <c r="AMR37" s="123">
        <f t="shared" si="892"/>
        <v>30479897</v>
      </c>
      <c r="AMS37" s="123">
        <f t="shared" si="892"/>
        <v>31104897</v>
      </c>
      <c r="AMT37" s="123">
        <f t="shared" si="892"/>
        <v>32179897</v>
      </c>
      <c r="AMU37" s="123">
        <f t="shared" si="892"/>
        <v>33206880</v>
      </c>
      <c r="AMV37" s="123">
        <f t="shared" si="892"/>
        <v>33667380</v>
      </c>
      <c r="AMW37" s="123">
        <f t="shared" si="892"/>
        <v>34340380</v>
      </c>
      <c r="AMX37" s="123">
        <f t="shared" si="892"/>
        <v>34654553</v>
      </c>
      <c r="AMY37" s="130"/>
      <c r="AMZ37" s="123">
        <f t="shared" ref="AMZ37:AOC37" si="893">SUM(AMZ14:AMZ36)</f>
        <v>35623371</v>
      </c>
      <c r="ANA37" s="123">
        <f t="shared" si="893"/>
        <v>37504100</v>
      </c>
      <c r="ANB37" s="123">
        <f t="shared" si="893"/>
        <v>37819127</v>
      </c>
      <c r="ANC37" s="123">
        <f t="shared" si="893"/>
        <v>38706263</v>
      </c>
      <c r="AND37" s="123">
        <f t="shared" si="893"/>
        <v>39901122</v>
      </c>
      <c r="ANE37" s="123">
        <f t="shared" si="893"/>
        <v>41539142</v>
      </c>
      <c r="ANF37" s="123">
        <f t="shared" si="893"/>
        <v>44295132</v>
      </c>
      <c r="ANG37" s="123">
        <f t="shared" si="893"/>
        <v>44895132</v>
      </c>
      <c r="ANH37" s="123">
        <f t="shared" si="893"/>
        <v>45986948</v>
      </c>
      <c r="ANI37" s="123">
        <f t="shared" si="893"/>
        <v>47260778</v>
      </c>
      <c r="ANJ37" s="123">
        <f t="shared" si="893"/>
        <v>48603088</v>
      </c>
      <c r="ANK37" s="123">
        <f t="shared" si="893"/>
        <v>49622936</v>
      </c>
      <c r="ANL37" s="123">
        <f t="shared" si="893"/>
        <v>21491611</v>
      </c>
      <c r="ANM37" s="123">
        <f t="shared" si="893"/>
        <v>22220025</v>
      </c>
      <c r="ANN37" s="123">
        <f t="shared" si="893"/>
        <v>23242025</v>
      </c>
      <c r="ANO37" s="123">
        <f t="shared" si="893"/>
        <v>23774525</v>
      </c>
      <c r="ANP37" s="123">
        <f t="shared" si="893"/>
        <v>24433525</v>
      </c>
      <c r="ANQ37" s="123">
        <f t="shared" si="893"/>
        <v>24733525</v>
      </c>
      <c r="ANR37" s="123">
        <f t="shared" si="893"/>
        <v>25810525</v>
      </c>
      <c r="ANS37" s="123">
        <f t="shared" si="893"/>
        <v>27052732</v>
      </c>
      <c r="ANT37" s="123">
        <f t="shared" si="893"/>
        <v>27586732</v>
      </c>
      <c r="ANU37" s="123">
        <f t="shared" si="893"/>
        <v>29477879</v>
      </c>
      <c r="ANV37" s="123">
        <f t="shared" si="893"/>
        <v>31737568</v>
      </c>
      <c r="ANW37" s="123">
        <f t="shared" si="893"/>
        <v>33021516</v>
      </c>
      <c r="ANX37" s="123">
        <f t="shared" si="893"/>
        <v>36998491</v>
      </c>
      <c r="ANY37" s="123">
        <f t="shared" si="893"/>
        <v>40932586</v>
      </c>
      <c r="ANZ37" s="123">
        <f t="shared" si="893"/>
        <v>42365008</v>
      </c>
      <c r="AOA37" s="123">
        <f t="shared" si="893"/>
        <v>44451258</v>
      </c>
      <c r="AOB37" s="123">
        <f t="shared" si="893"/>
        <v>47001945</v>
      </c>
      <c r="AOC37" s="123">
        <f t="shared" si="893"/>
        <v>49990029</v>
      </c>
    </row>
    <row r="38" spans="1:1069" x14ac:dyDescent="0.2">
      <c r="A38" s="172" t="s">
        <v>1670</v>
      </c>
      <c r="B38" s="13" t="s">
        <v>1671</v>
      </c>
      <c r="C38" s="52">
        <v>216873928</v>
      </c>
      <c r="D38" s="52">
        <f>C38</f>
        <v>216873928</v>
      </c>
      <c r="E38" s="52">
        <f>30527464+10000*4650</f>
        <v>77027464</v>
      </c>
      <c r="F38" s="52">
        <f>30527464+10000*4650</f>
        <v>77027464</v>
      </c>
      <c r="G38" s="52">
        <f>F38+(4650*7902)+764000-31000000-37000000</f>
        <v>46535764</v>
      </c>
      <c r="H38" s="52">
        <f>G38</f>
        <v>46535764</v>
      </c>
      <c r="I38" s="52">
        <f>H38</f>
        <v>46535764</v>
      </c>
      <c r="J38" s="52">
        <f>I38+1435135+215930</f>
        <v>48186829</v>
      </c>
      <c r="K38" s="52">
        <f>J38+14000*4790</f>
        <v>115246829</v>
      </c>
      <c r="L38" s="52">
        <f>K38+495000</f>
        <v>115741829</v>
      </c>
      <c r="M38" s="52">
        <f>L38-25000000-40000000-50000000+12968*4550+4810282</f>
        <v>64556511</v>
      </c>
      <c r="N38" s="52">
        <f>M38</f>
        <v>64556511</v>
      </c>
      <c r="O38" s="52">
        <f>N38</f>
        <v>64556511</v>
      </c>
      <c r="P38" s="52">
        <f>O38-55000000</f>
        <v>9556511</v>
      </c>
      <c r="Q38" s="52">
        <f>P38+332000+12953*4790</f>
        <v>71933381</v>
      </c>
      <c r="R38" s="52">
        <f>Q38</f>
        <v>71933381</v>
      </c>
      <c r="S38" s="52">
        <f>R38</f>
        <v>71933381</v>
      </c>
      <c r="T38" s="52">
        <f>S38-20000000-46000000</f>
        <v>5933381</v>
      </c>
      <c r="U38" s="52">
        <f t="shared" ref="U38:V40" si="894">T38</f>
        <v>5933381</v>
      </c>
      <c r="V38" s="52">
        <f t="shared" si="894"/>
        <v>5933381</v>
      </c>
      <c r="W38" s="52">
        <f>V38+16811*4790+465000</f>
        <v>86923071</v>
      </c>
      <c r="X38" s="52">
        <f>W38</f>
        <v>86923071</v>
      </c>
      <c r="Y38" s="52">
        <f>X38-45000000</f>
        <v>41923071</v>
      </c>
      <c r="Z38" s="52">
        <f>Y38</f>
        <v>41923071</v>
      </c>
      <c r="AA38" s="52">
        <f>Z38+9956*4550</f>
        <v>87222871</v>
      </c>
      <c r="AB38" s="52">
        <f>AA38+9939*4870</f>
        <v>135625801</v>
      </c>
      <c r="AC38" s="52">
        <f t="shared" ref="AC38:AD42" si="895">AB38</f>
        <v>135625801</v>
      </c>
      <c r="AD38" s="52">
        <f t="shared" si="895"/>
        <v>135625801</v>
      </c>
      <c r="AE38" s="52">
        <f>AD38-76000000</f>
        <v>59625801</v>
      </c>
      <c r="AF38" s="52">
        <f>AE38+3914327</f>
        <v>63540128</v>
      </c>
      <c r="AG38" s="52">
        <f>AF38+1351000+1270456-42000000</f>
        <v>24161584</v>
      </c>
      <c r="AH38" s="67">
        <f>AG38</f>
        <v>24161584</v>
      </c>
      <c r="AI38" s="82">
        <f>AG38+9961*4590</f>
        <v>69882574</v>
      </c>
      <c r="AJ38" s="82">
        <f>AI38+12849*5000</f>
        <v>134127574</v>
      </c>
      <c r="AK38" s="82">
        <f>AJ38</f>
        <v>134127574</v>
      </c>
      <c r="AL38" s="82">
        <f>AJ38</f>
        <v>134127574</v>
      </c>
      <c r="AM38" s="82">
        <f>AK38+798559+331055+827638-50000000</f>
        <v>86084826</v>
      </c>
      <c r="AN38" s="82">
        <f>AM38+11942*5090</f>
        <v>146869606</v>
      </c>
      <c r="AO38" s="82">
        <f>AN38+9000*5090</f>
        <v>192679606</v>
      </c>
      <c r="AP38" s="82">
        <f>AO38-44000000</f>
        <v>148679606</v>
      </c>
      <c r="AQ38" s="82">
        <f>AP38+10000*4750-45000000</f>
        <v>151179606</v>
      </c>
      <c r="AR38" s="82">
        <f>AQ38</f>
        <v>151179606</v>
      </c>
      <c r="AS38" s="82">
        <f>AQ38-81777135-22613081-16873232-1787900+472719+532840+2229228+310000+49700-70938</f>
        <v>31651807</v>
      </c>
      <c r="AT38" s="82">
        <f>AS38+9978*5190</f>
        <v>83437627</v>
      </c>
      <c r="AU38" s="82">
        <f>AT38+10965*5250</f>
        <v>141003877</v>
      </c>
      <c r="AV38" s="82">
        <f>AU38+7985*5250+4000*5250-50000000</f>
        <v>153925127</v>
      </c>
      <c r="AW38" s="82">
        <f>AV38</f>
        <v>153925127</v>
      </c>
      <c r="AX38" s="82">
        <f t="shared" ref="AX38:AY42" si="896">AV38</f>
        <v>153925127</v>
      </c>
      <c r="AY38" s="82">
        <f t="shared" si="896"/>
        <v>153925127</v>
      </c>
      <c r="AZ38" s="82">
        <f>AX38-22000000-45000000</f>
        <v>86925127</v>
      </c>
      <c r="BA38" s="82">
        <f>AZ38</f>
        <v>86925127</v>
      </c>
      <c r="BB38" s="82">
        <f>AZ38+12971*4800+8977*5250+1499000</f>
        <v>197814177</v>
      </c>
      <c r="BC38" s="82">
        <f>BB38-45000000</f>
        <v>152814177</v>
      </c>
      <c r="BD38" s="82">
        <f>BC38</f>
        <v>152814177</v>
      </c>
      <c r="BE38" s="82">
        <f t="shared" ref="BE38:BG42" si="897">BC38</f>
        <v>152814177</v>
      </c>
      <c r="BF38" s="82">
        <f t="shared" si="897"/>
        <v>152814177</v>
      </c>
      <c r="BG38" s="82">
        <f t="shared" si="897"/>
        <v>152814177</v>
      </c>
      <c r="BH38" s="82">
        <f>BF38-30000000+15818*5290-45000000</f>
        <v>161491397</v>
      </c>
      <c r="BI38" s="82">
        <f>BH38</f>
        <v>161491397</v>
      </c>
      <c r="BJ38" s="82">
        <f>BH38-17000000</f>
        <v>144491397</v>
      </c>
      <c r="BK38" s="82">
        <f>BJ38</f>
        <v>144491397</v>
      </c>
      <c r="BL38" s="82">
        <f>BJ38+11884*4850</f>
        <v>202128797</v>
      </c>
      <c r="BM38" s="106">
        <f>BL38</f>
        <v>202128797</v>
      </c>
      <c r="BN38" s="82">
        <f>BM38+8899*5290</f>
        <v>249204507</v>
      </c>
      <c r="BO38" s="82">
        <f>BN38</f>
        <v>249204507</v>
      </c>
      <c r="BP38" s="82">
        <f>BO38</f>
        <v>249204507</v>
      </c>
      <c r="BQ38" s="82">
        <f>BP38+857000</f>
        <v>250061507</v>
      </c>
      <c r="BR38" s="82">
        <f>BQ38-70000000</f>
        <v>180061507</v>
      </c>
      <c r="BS38" s="82">
        <f>BR38</f>
        <v>180061507</v>
      </c>
      <c r="BT38" s="82">
        <f>BS38+9961*5290</f>
        <v>232755197</v>
      </c>
      <c r="BU38" s="82">
        <f>BT38</f>
        <v>232755197</v>
      </c>
      <c r="BV38" s="82">
        <f>BU38</f>
        <v>232755197</v>
      </c>
      <c r="BW38" s="82">
        <f>BV38</f>
        <v>232755197</v>
      </c>
      <c r="BX38" s="82">
        <f>BW38</f>
        <v>232755197</v>
      </c>
      <c r="BY38" s="82">
        <f>BX38-57000000</f>
        <v>175755197</v>
      </c>
      <c r="BZ38" s="82">
        <f>BY38+16085283+8244937+13614688</f>
        <v>213700105</v>
      </c>
      <c r="CA38" s="82">
        <f>BZ38+10000*5290+5000*4850-99000000-70640518-16455739-12288008+2325849-20927</f>
        <v>94770762</v>
      </c>
      <c r="CB38" s="82">
        <f>CA38</f>
        <v>94770762</v>
      </c>
      <c r="CC38" s="82">
        <f>CB38-40000000-30000000</f>
        <v>24770762</v>
      </c>
      <c r="CD38" s="82">
        <f>CC38</f>
        <v>24770762</v>
      </c>
      <c r="CE38" s="82">
        <f>CD38+6000*5290+8908*4850</f>
        <v>99714562</v>
      </c>
      <c r="CF38" s="82">
        <f>CE38+4255998+1729000</f>
        <v>105699560</v>
      </c>
      <c r="CG38" s="82">
        <f>CF38-45000000</f>
        <v>60699560</v>
      </c>
      <c r="CH38" s="82">
        <f>CG38+12842*5290</f>
        <v>128633740</v>
      </c>
      <c r="CI38" s="82">
        <f>CH38</f>
        <v>128633740</v>
      </c>
      <c r="CJ38" s="82">
        <f>CI38</f>
        <v>128633740</v>
      </c>
      <c r="CK38" s="82">
        <f>CJ38</f>
        <v>128633740</v>
      </c>
      <c r="CL38" s="82">
        <f>CK38-30000000-40000000+9964*4850</f>
        <v>106959140</v>
      </c>
      <c r="CM38" s="82">
        <f>CL38</f>
        <v>106959140</v>
      </c>
      <c r="CN38" s="82">
        <f>CM38</f>
        <v>106959140</v>
      </c>
      <c r="CO38" s="82">
        <f>CN38+8000*5290</f>
        <v>149279140</v>
      </c>
      <c r="CP38" s="82">
        <f>CO38</f>
        <v>149279140</v>
      </c>
      <c r="CQ38" s="82">
        <f>CP38</f>
        <v>149279140</v>
      </c>
      <c r="CR38" s="82">
        <f>CQ38</f>
        <v>149279140</v>
      </c>
      <c r="CT38" s="82">
        <f>CR38-60000000+1600000</f>
        <v>90879140</v>
      </c>
      <c r="CU38" s="82">
        <f>CT38+11954*5339</f>
        <v>154701546</v>
      </c>
      <c r="CV38" s="82">
        <f>CU38</f>
        <v>154701546</v>
      </c>
      <c r="CW38" s="82">
        <f>CU38-64716399-18967905-16019124-334534+(1342825+100000)</f>
        <v>56106409</v>
      </c>
      <c r="CX38" s="82">
        <f>CW38-60000000</f>
        <v>-3893591</v>
      </c>
      <c r="CY38" s="82">
        <f>CX38</f>
        <v>-3893591</v>
      </c>
      <c r="CZ38" s="82">
        <f>CX38+8924*5339+10000*4850</f>
        <v>92251645</v>
      </c>
      <c r="DA38" s="82">
        <f>CZ38</f>
        <v>92251645</v>
      </c>
      <c r="DB38" s="82">
        <f>CZ38</f>
        <v>92251645</v>
      </c>
      <c r="DC38" s="82">
        <f>DA38-58000000+1464000</f>
        <v>35715645</v>
      </c>
      <c r="DD38" s="82">
        <f>DC38+10957*5339</f>
        <v>94215068</v>
      </c>
      <c r="DE38" s="82">
        <f>DD38</f>
        <v>94215068</v>
      </c>
      <c r="DF38" s="82">
        <f>DD38-80000000</f>
        <v>14215068</v>
      </c>
      <c r="DG38" s="82">
        <f>DF38+2553479+692000</f>
        <v>17460547</v>
      </c>
      <c r="DH38" s="82">
        <f>DG38+8981*4890</f>
        <v>61377637</v>
      </c>
      <c r="DI38" s="82">
        <f>DH38+12890*5450</f>
        <v>131628137</v>
      </c>
      <c r="DJ38" s="82">
        <f>DI38-30000000</f>
        <v>101628137</v>
      </c>
      <c r="DK38" s="82">
        <f>DJ38</f>
        <v>101628137</v>
      </c>
      <c r="DL38" s="82">
        <f t="shared" ref="DL38:DO42" si="898">DJ38</f>
        <v>101628137</v>
      </c>
      <c r="DM38" s="82">
        <f t="shared" si="898"/>
        <v>101628137</v>
      </c>
      <c r="DN38" s="82">
        <f t="shared" si="898"/>
        <v>101628137</v>
      </c>
      <c r="DO38" s="82">
        <f t="shared" si="898"/>
        <v>101628137</v>
      </c>
      <c r="DP38" s="82">
        <f>DN38+622000+803000</f>
        <v>103053137</v>
      </c>
      <c r="DQ38" s="82">
        <f>DP38-50000000-30000000+8920*5450</f>
        <v>71667137</v>
      </c>
      <c r="DR38" s="82">
        <f>DQ38+8953*4890</f>
        <v>115447307</v>
      </c>
      <c r="DS38" s="82">
        <f>DR38</f>
        <v>115447307</v>
      </c>
      <c r="DT38" s="82">
        <f>DR38</f>
        <v>115447307</v>
      </c>
      <c r="DU38" s="82">
        <f>DS38+578000-48000000</f>
        <v>68025307</v>
      </c>
      <c r="DV38" s="82">
        <f>DU38</f>
        <v>68025307</v>
      </c>
      <c r="DW38" s="82">
        <f>DU38</f>
        <v>68025307</v>
      </c>
      <c r="DX38" s="117"/>
      <c r="DY38" s="82">
        <f>DW38</f>
        <v>68025307</v>
      </c>
      <c r="DZ38" s="82">
        <f>DY38</f>
        <v>68025307</v>
      </c>
      <c r="EA38" s="82">
        <f>DY38+9833*5450</f>
        <v>121615157</v>
      </c>
      <c r="EB38" s="82">
        <f>EA38</f>
        <v>121615157</v>
      </c>
      <c r="EC38" s="82">
        <f t="shared" ref="EC38:ED40" si="899">EA38</f>
        <v>121615157</v>
      </c>
      <c r="ED38" s="82">
        <f t="shared" si="899"/>
        <v>121615157</v>
      </c>
      <c r="EE38" s="82">
        <f>EC38+7000*5290+7000*4750</f>
        <v>191895157</v>
      </c>
      <c r="EF38" s="82">
        <f>EE38</f>
        <v>191895157</v>
      </c>
      <c r="EG38" s="82">
        <f>EE38-45000000-50000000</f>
        <v>96895157</v>
      </c>
      <c r="EH38" s="82">
        <f>EG38</f>
        <v>96895157</v>
      </c>
      <c r="EI38" s="82">
        <f>EG38+11965*5290-40000000-74002359-10570378-23442670+780000+1738373+219000+60000-400</f>
        <v>14971573</v>
      </c>
      <c r="EJ38" s="82">
        <f>EI38</f>
        <v>14971573</v>
      </c>
      <c r="EK38" s="82">
        <f>EI38+1171000</f>
        <v>16142573</v>
      </c>
      <c r="EL38" s="82">
        <f>EK38+10000*4750-50000000</f>
        <v>13642573</v>
      </c>
      <c r="EM38" s="82">
        <f>EL38+8979*5290</f>
        <v>61141483</v>
      </c>
      <c r="EN38" s="82">
        <f>EM38</f>
        <v>61141483</v>
      </c>
      <c r="EO38" s="82">
        <f>EM38</f>
        <v>61141483</v>
      </c>
      <c r="EP38" s="82">
        <f>EN38-30000000-52000000</f>
        <v>-20858517</v>
      </c>
      <c r="EQ38" s="82">
        <f>EP38+10874*5290</f>
        <v>36664943</v>
      </c>
      <c r="ER38" s="82">
        <f>EQ38+12941*4750</f>
        <v>98134693</v>
      </c>
      <c r="ES38" s="82">
        <f>ER38+4286718</f>
        <v>102421411</v>
      </c>
      <c r="ET38" s="82">
        <f>ES38</f>
        <v>102421411</v>
      </c>
      <c r="EU38" s="82">
        <f>ES38+9863*5290+813000</f>
        <v>155409681</v>
      </c>
      <c r="EV38" s="82">
        <f>EU38</f>
        <v>155409681</v>
      </c>
      <c r="EW38" s="82">
        <f t="shared" ref="EW38:EY40" si="900">EU38</f>
        <v>155409681</v>
      </c>
      <c r="EX38" s="82">
        <f t="shared" si="900"/>
        <v>155409681</v>
      </c>
      <c r="EY38" s="82">
        <f t="shared" si="900"/>
        <v>155409681</v>
      </c>
      <c r="EZ38" s="82">
        <f>EX38+10850*5290</f>
        <v>212806181</v>
      </c>
      <c r="FA38" s="82">
        <f>EZ38+10000*4750</f>
        <v>260306181</v>
      </c>
      <c r="FB38" s="82">
        <f>FA38+1127000</f>
        <v>261433181</v>
      </c>
      <c r="FC38" s="82">
        <f>FB38-23000000-80000000</f>
        <v>158433181</v>
      </c>
      <c r="FD38" s="126"/>
      <c r="FE38" s="82">
        <f>FC38</f>
        <v>158433181</v>
      </c>
      <c r="FF38" s="82">
        <f>FE38+813000+1116000+343000-52000000</f>
        <v>108705181</v>
      </c>
      <c r="FG38" s="82">
        <f>FF38</f>
        <v>108705181</v>
      </c>
      <c r="FH38" s="82">
        <f>FF38+2473000-81047055-17569816-15741172+3494800+150000+1889769-859320-1171000-364800</f>
        <v>-40413</v>
      </c>
      <c r="FI38" s="82">
        <f>FH38</f>
        <v>-40413</v>
      </c>
      <c r="FJ38" s="82">
        <f>FH38+13943*5290</f>
        <v>73718057</v>
      </c>
      <c r="FK38" s="82">
        <f>FJ38</f>
        <v>73718057</v>
      </c>
      <c r="FL38" s="82">
        <f>FJ38-85000000</f>
        <v>-11281943</v>
      </c>
      <c r="FM38" s="82">
        <f>FL38</f>
        <v>-11281943</v>
      </c>
      <c r="FN38" s="82">
        <f>FL38+1790752</f>
        <v>-9491191</v>
      </c>
      <c r="FO38" s="82">
        <f>FN38+11867*5290+6941*4750+911000</f>
        <v>87165989</v>
      </c>
      <c r="FP38" s="82">
        <f>FO38</f>
        <v>87165989</v>
      </c>
      <c r="FQ38" s="82">
        <f>FO38+2932199</f>
        <v>90098188</v>
      </c>
      <c r="FR38" s="82">
        <f>FQ38</f>
        <v>90098188</v>
      </c>
      <c r="FS38" s="82">
        <f>FQ38-90000000</f>
        <v>98188</v>
      </c>
      <c r="FT38" s="82">
        <f>FS38</f>
        <v>98188</v>
      </c>
      <c r="FU38" s="82">
        <f>FS38+10907*5290</f>
        <v>57796218</v>
      </c>
      <c r="FV38" s="82">
        <f>FU38+7944*4750+733000</f>
        <v>96263218</v>
      </c>
      <c r="FW38" s="82">
        <f>FV38</f>
        <v>96263218</v>
      </c>
      <c r="FX38" s="82">
        <f t="shared" ref="FX38:FZ42" si="901">FV38</f>
        <v>96263218</v>
      </c>
      <c r="FY38" s="82">
        <f t="shared" si="901"/>
        <v>96263218</v>
      </c>
      <c r="FZ38" s="82">
        <f t="shared" si="901"/>
        <v>96263218</v>
      </c>
      <c r="GA38" s="82">
        <f>FY38+751000+16377804</f>
        <v>113392022</v>
      </c>
      <c r="GB38" s="82">
        <f>GA38+11854*5290+7944*4750-100000000</f>
        <v>113833682</v>
      </c>
      <c r="GC38" s="82">
        <f>GB38</f>
        <v>113833682</v>
      </c>
      <c r="GD38" s="82">
        <f t="shared" ref="GD38:GF42" si="902">GB38</f>
        <v>113833682</v>
      </c>
      <c r="GE38" s="82">
        <f t="shared" si="902"/>
        <v>113833682</v>
      </c>
      <c r="GF38" s="82">
        <f t="shared" si="902"/>
        <v>113833682</v>
      </c>
      <c r="GG38" s="82">
        <f>GE38-52000000-38000000</f>
        <v>23833682</v>
      </c>
      <c r="GH38" s="82">
        <f>GG38</f>
        <v>23833682</v>
      </c>
      <c r="GI38" s="82">
        <f>GG38+10851*5190</f>
        <v>80150372</v>
      </c>
      <c r="GJ38" s="130"/>
      <c r="GK38" s="82">
        <f>GI38+8000*4750</f>
        <v>118150372</v>
      </c>
      <c r="GL38" s="82">
        <f>GK38</f>
        <v>118150372</v>
      </c>
      <c r="GM38" s="82">
        <f>GL38</f>
        <v>118150372</v>
      </c>
      <c r="GN38" s="82">
        <f>GM38</f>
        <v>118150372</v>
      </c>
      <c r="GO38" s="82">
        <f>GN38+2230079+813000-90000000</f>
        <v>31193451</v>
      </c>
      <c r="GP38" s="82">
        <f>GO38+9920*5190+8000*4750</f>
        <v>120678251</v>
      </c>
      <c r="GQ38" s="82">
        <f>GP38</f>
        <v>120678251</v>
      </c>
      <c r="GR38" s="82">
        <f>GQ38</f>
        <v>120678251</v>
      </c>
      <c r="GS38" s="82">
        <f>GR38-52000000</f>
        <v>68678251</v>
      </c>
      <c r="GT38" s="82">
        <f>GS38+11869*5190</f>
        <v>130278361</v>
      </c>
      <c r="GU38" s="82">
        <f>GT38+2759997+1967000-103957018</f>
        <v>31048340</v>
      </c>
      <c r="GV38" s="82">
        <f>GU38</f>
        <v>31048340</v>
      </c>
      <c r="GW38" s="82">
        <f>GV38-38000000</f>
        <v>-6951660</v>
      </c>
      <c r="GX38" s="82">
        <f>GW38+8000*4750</f>
        <v>31048340</v>
      </c>
      <c r="GY38" s="82">
        <f>GW38+8000*4750-20000000</f>
        <v>11048340</v>
      </c>
      <c r="GZ38" s="82">
        <f>GY38+8500705+12848*5190</f>
        <v>86230165</v>
      </c>
      <c r="HA38" s="82">
        <f>GZ38</f>
        <v>86230165</v>
      </c>
      <c r="HB38" s="82">
        <f>HA38</f>
        <v>86230165</v>
      </c>
      <c r="HC38" s="82">
        <f>HB38-38000000</f>
        <v>48230165</v>
      </c>
      <c r="HD38" s="82">
        <f>HC38+8000*4750</f>
        <v>86230165</v>
      </c>
      <c r="HE38" s="82">
        <f>HC38+8000*4750+294000</f>
        <v>86524165</v>
      </c>
      <c r="HF38" s="82">
        <f>HE38</f>
        <v>86524165</v>
      </c>
      <c r="HG38" s="82">
        <f>HF38+12841*5190+3065438</f>
        <v>156234393</v>
      </c>
      <c r="HH38" s="82">
        <f>HG38</f>
        <v>156234393</v>
      </c>
      <c r="HI38" s="82">
        <f>HH38-60000000</f>
        <v>96234393</v>
      </c>
      <c r="HJ38" s="82">
        <f>HI38</f>
        <v>96234393</v>
      </c>
      <c r="HK38" s="82">
        <f>HJ38</f>
        <v>96234393</v>
      </c>
      <c r="HL38" s="82">
        <f>HK38+9892*5190+12876*4750-14000000-66000000</f>
        <v>128734873</v>
      </c>
      <c r="HM38" s="82">
        <f>HL38+1262000</f>
        <v>129996873</v>
      </c>
      <c r="HN38" s="130"/>
      <c r="HO38" s="82">
        <f>HM38</f>
        <v>129996873</v>
      </c>
      <c r="HP38" s="82">
        <f>HO38</f>
        <v>129996873</v>
      </c>
      <c r="HQ38" s="82">
        <f>HO38+3590319</f>
        <v>133587192</v>
      </c>
      <c r="HR38" s="82">
        <f>HQ38</f>
        <v>133587192</v>
      </c>
      <c r="HS38" s="82">
        <f>HQ38+7000*4690+11853*5190-90000000+1118720</f>
        <v>139052982</v>
      </c>
      <c r="HT38" s="82">
        <f>HS38</f>
        <v>139052982</v>
      </c>
      <c r="HU38" s="82">
        <f>HS38-101320206</f>
        <v>37732776</v>
      </c>
      <c r="HV38" s="82">
        <f>HU38</f>
        <v>37732776</v>
      </c>
      <c r="HW38" s="82">
        <f>HU38-50000000</f>
        <v>-12267224</v>
      </c>
      <c r="HX38" s="82">
        <f>HW38</f>
        <v>-12267224</v>
      </c>
      <c r="HY38" s="82">
        <f>HW38+11853*5190</f>
        <v>49249846</v>
      </c>
      <c r="HZ38" s="82">
        <f>HY38</f>
        <v>49249846</v>
      </c>
      <c r="IA38" s="82">
        <f>HY38+2205000</f>
        <v>51454846</v>
      </c>
      <c r="IB38" s="82">
        <f>IA38</f>
        <v>51454846</v>
      </c>
      <c r="IC38" s="82">
        <f>IA38-90000000</f>
        <v>-38545154</v>
      </c>
      <c r="ID38" s="82">
        <f>IC38+11847*5250+8913*4850</f>
        <v>66879646</v>
      </c>
      <c r="IE38" s="82">
        <f>ID38</f>
        <v>66879646</v>
      </c>
      <c r="IF38" s="82">
        <f>ID38</f>
        <v>66879646</v>
      </c>
      <c r="IG38" s="82">
        <f>IE38</f>
        <v>66879646</v>
      </c>
      <c r="IH38" s="82">
        <f>IF38</f>
        <v>66879646</v>
      </c>
      <c r="II38" s="82">
        <f>IG38+821000+392352+4255680+2318399+3808799-57000000</f>
        <v>21475876</v>
      </c>
      <c r="IJ38" s="82">
        <f>II38</f>
        <v>21475876</v>
      </c>
      <c r="IK38" s="82">
        <f>II38+9881*5250</f>
        <v>73351126</v>
      </c>
      <c r="IL38" s="82">
        <f>IK38</f>
        <v>73351126</v>
      </c>
      <c r="IM38" s="82">
        <f>IK38-50000000</f>
        <v>23351126</v>
      </c>
      <c r="IN38" s="82">
        <f>IM38</f>
        <v>23351126</v>
      </c>
      <c r="IO38" s="82">
        <f>IM38+10888*4890</f>
        <v>76593446</v>
      </c>
      <c r="IP38" s="82">
        <f>IO38</f>
        <v>76593446</v>
      </c>
      <c r="IQ38" s="82">
        <f>IO38+12850*5250-60000000</f>
        <v>84055946</v>
      </c>
      <c r="IR38" s="82">
        <f>IQ38</f>
        <v>84055946</v>
      </c>
      <c r="IS38" s="82">
        <f>IQ38</f>
        <v>84055946</v>
      </c>
      <c r="IT38" s="130"/>
      <c r="IU38" s="82">
        <f>IS38</f>
        <v>84055946</v>
      </c>
      <c r="IV38" s="82">
        <f>IU38</f>
        <v>84055946</v>
      </c>
      <c r="IW38" s="82">
        <f>IV38+937000+2530862-117039241+67403-40000000</f>
        <v>-69448030</v>
      </c>
      <c r="IX38" s="82">
        <f>IW38</f>
        <v>-69448030</v>
      </c>
      <c r="IY38" s="82">
        <f>IX38+8000*4890</f>
        <v>-30328030</v>
      </c>
      <c r="IZ38" s="82">
        <f>IY38</f>
        <v>-30328030</v>
      </c>
      <c r="JA38" s="82">
        <f>IZ38+11853*5250+761000</f>
        <v>32661220</v>
      </c>
      <c r="JB38" s="82">
        <f>JA38</f>
        <v>32661220</v>
      </c>
      <c r="JC38" s="82">
        <f>JB38+2000*4890</f>
        <v>42441220</v>
      </c>
      <c r="JD38" s="82">
        <f t="shared" ref="JD38:JF42" si="903">JC38</f>
        <v>42441220</v>
      </c>
      <c r="JE38" s="82">
        <f t="shared" si="903"/>
        <v>42441220</v>
      </c>
      <c r="JF38" s="82">
        <f t="shared" si="903"/>
        <v>42441220</v>
      </c>
      <c r="JG38" s="82">
        <f>JF38+11893*4890+7200844-100000000+516000</f>
        <v>8314834</v>
      </c>
      <c r="JH38" s="82">
        <f>JG38+11851*5250</f>
        <v>70532584</v>
      </c>
      <c r="JI38" s="82">
        <f t="shared" ref="JI38:JK40" si="904">JH38</f>
        <v>70532584</v>
      </c>
      <c r="JJ38" s="82">
        <f t="shared" si="904"/>
        <v>70532584</v>
      </c>
      <c r="JK38" s="82">
        <f t="shared" si="904"/>
        <v>70532584</v>
      </c>
      <c r="JL38" s="82">
        <f>JK38+196000+456000</f>
        <v>71184584</v>
      </c>
      <c r="JM38" s="82">
        <f>JL38</f>
        <v>71184584</v>
      </c>
      <c r="JN38" s="82">
        <f>JM38+12892*5250-55000000</f>
        <v>83867584</v>
      </c>
      <c r="JO38" s="82">
        <f t="shared" ref="JO38:JS42" si="905">JN38</f>
        <v>83867584</v>
      </c>
      <c r="JP38" s="82">
        <f t="shared" si="905"/>
        <v>83867584</v>
      </c>
      <c r="JQ38" s="82">
        <f t="shared" si="905"/>
        <v>83867584</v>
      </c>
      <c r="JR38" s="82">
        <f t="shared" si="905"/>
        <v>83867584</v>
      </c>
      <c r="JS38" s="82">
        <f t="shared" si="905"/>
        <v>83867584</v>
      </c>
      <c r="JT38" s="82">
        <f>JS38-55000000-45000000</f>
        <v>-16132416</v>
      </c>
      <c r="JU38" s="82">
        <f>JT38+9908*4770</f>
        <v>31128744</v>
      </c>
      <c r="JV38" s="82">
        <f>JU38+10866*5230</f>
        <v>87957924</v>
      </c>
      <c r="JW38" s="82">
        <f t="shared" ref="JW38:JX42" si="906">JV38</f>
        <v>87957924</v>
      </c>
      <c r="JX38" s="82">
        <f t="shared" si="906"/>
        <v>87957924</v>
      </c>
      <c r="JY38" s="133"/>
      <c r="JZ38" s="82">
        <f>JX38</f>
        <v>87957924</v>
      </c>
      <c r="KA38" s="82">
        <f>JZ38-60000000+2021000</f>
        <v>29978924</v>
      </c>
      <c r="KB38" s="82">
        <f>KA38+9902*4770</f>
        <v>77211464</v>
      </c>
      <c r="KC38" s="82">
        <f>KB38+9879*5230</f>
        <v>128878634</v>
      </c>
      <c r="KD38" s="82">
        <f>KC38</f>
        <v>128878634</v>
      </c>
      <c r="KE38" s="82">
        <f>KC38</f>
        <v>128878634</v>
      </c>
      <c r="KF38" s="82">
        <f>KD38+14216918+318000</f>
        <v>143413552</v>
      </c>
      <c r="KG38" s="82">
        <f>KF38-119749531</f>
        <v>23664021</v>
      </c>
      <c r="KH38" s="82">
        <f>KG38-60000000</f>
        <v>-36335979</v>
      </c>
      <c r="KI38" s="82">
        <f>KH38+14823*5230</f>
        <v>41188311</v>
      </c>
      <c r="KJ38" s="82">
        <f>KI38</f>
        <v>41188311</v>
      </c>
      <c r="KK38" s="82">
        <f>KI38+2214359+12313559</f>
        <v>55716229</v>
      </c>
      <c r="KL38" s="82">
        <f>KK38-40000000</f>
        <v>15716229</v>
      </c>
      <c r="KM38" s="82">
        <f>KL38-40000000+1181280</f>
        <v>-23102491</v>
      </c>
      <c r="KN38" s="82">
        <f>KM38</f>
        <v>-23102491</v>
      </c>
      <c r="KO38" s="82">
        <f>KM38+10000*4770</f>
        <v>24597509</v>
      </c>
      <c r="KP38" s="82">
        <f>KO38+4237000</f>
        <v>28834509</v>
      </c>
      <c r="KQ38" s="82">
        <f>KP38+588528</f>
        <v>29423037</v>
      </c>
      <c r="KR38" s="82">
        <f>KQ38+10000*5230</f>
        <v>81723037</v>
      </c>
      <c r="KS38" s="82">
        <f>KR38</f>
        <v>81723037</v>
      </c>
      <c r="KT38" s="82">
        <f>KR38+3000*5230-80000000</f>
        <v>17413037</v>
      </c>
      <c r="KU38" s="82">
        <f>KT38+6000*4770+6000*5230+1616240</f>
        <v>79029277</v>
      </c>
      <c r="KV38" s="82">
        <f>KU38</f>
        <v>79029277</v>
      </c>
      <c r="KW38" s="82">
        <f>KU38-26000000</f>
        <v>53029277</v>
      </c>
      <c r="KX38" s="82">
        <f>KW38+7902*5170+7927*4730</f>
        <v>131377327</v>
      </c>
      <c r="KY38" s="82">
        <f>KX38</f>
        <v>131377327</v>
      </c>
      <c r="KZ38" s="82">
        <f>KX38+759000</f>
        <v>132136327</v>
      </c>
      <c r="LA38" s="82">
        <f>KZ38-46000000</f>
        <v>86136327</v>
      </c>
      <c r="LB38" s="82">
        <f>LA38</f>
        <v>86136327</v>
      </c>
      <c r="LC38" s="82">
        <f>LA38-37000000+4966*4730+8962*5170</f>
        <v>118959047</v>
      </c>
      <c r="LD38" s="82">
        <f>LC38+5000*4730</f>
        <v>142609047</v>
      </c>
      <c r="LE38" s="130"/>
      <c r="LF38" s="82">
        <f>LD38</f>
        <v>142609047</v>
      </c>
      <c r="LG38" s="82">
        <f>LF38</f>
        <v>142609047</v>
      </c>
      <c r="LH38" s="82">
        <f>LG38+2392000+728641+362000</f>
        <v>146091688</v>
      </c>
      <c r="LI38" s="82">
        <f t="shared" ref="LI38:LJ42" si="907">LH38</f>
        <v>146091688</v>
      </c>
      <c r="LJ38" s="82">
        <f t="shared" si="907"/>
        <v>146091688</v>
      </c>
      <c r="LK38" s="82">
        <f>LJ38-50000000-35000000+11851*5170</f>
        <v>122361358</v>
      </c>
      <c r="LL38" s="82">
        <f>LK38+10000*4730</f>
        <v>169661358</v>
      </c>
      <c r="LM38" s="82">
        <f>LL38+2483687+713784+4915092</f>
        <v>177773921</v>
      </c>
      <c r="LN38" s="82">
        <f>LM38</f>
        <v>177773921</v>
      </c>
      <c r="LO38" s="82">
        <f>LN38-35000000</f>
        <v>142773921</v>
      </c>
      <c r="LP38" s="82">
        <f>LO38+9898*5170</f>
        <v>193946581</v>
      </c>
      <c r="LQ38" s="82">
        <f>LP38</f>
        <v>193946581</v>
      </c>
      <c r="LR38" s="82">
        <f>LQ38-25000000-33000000-146436348</f>
        <v>-10489767</v>
      </c>
      <c r="LS38" s="82">
        <f>LR38+7917*5170+6939*4730</f>
        <v>63262593</v>
      </c>
      <c r="LT38" s="82">
        <f t="shared" ref="LT38:LV42" si="908">LS38</f>
        <v>63262593</v>
      </c>
      <c r="LU38" s="82">
        <f t="shared" si="908"/>
        <v>63262593</v>
      </c>
      <c r="LV38" s="82">
        <f t="shared" si="908"/>
        <v>63262593</v>
      </c>
      <c r="LW38" s="82">
        <f>LV38-65000000</f>
        <v>-1737407</v>
      </c>
      <c r="LX38" s="82">
        <f>LW38+2281599+724000+1307000</f>
        <v>2575192</v>
      </c>
      <c r="LY38" s="82">
        <f>LX38+8000*4730</f>
        <v>40415192</v>
      </c>
      <c r="LZ38" s="82">
        <f>LY38+10898*5170</f>
        <v>96757852</v>
      </c>
      <c r="MA38" s="82">
        <f t="shared" ref="MA38:MC42" si="909">LZ38</f>
        <v>96757852</v>
      </c>
      <c r="MB38" s="82">
        <f t="shared" si="909"/>
        <v>96757852</v>
      </c>
      <c r="MC38" s="82">
        <f t="shared" si="909"/>
        <v>96757852</v>
      </c>
      <c r="MD38" s="82">
        <f>MC38+1318000</f>
        <v>98075852</v>
      </c>
      <c r="ME38" s="82">
        <f>MD38+7000*4730-86000000</f>
        <v>45185852</v>
      </c>
      <c r="MF38" s="82">
        <f>ME38+12827*5170</f>
        <v>111501442</v>
      </c>
      <c r="MG38" s="82">
        <f t="shared" ref="MG38:MH42" si="910">MF38</f>
        <v>111501442</v>
      </c>
      <c r="MH38" s="82">
        <f t="shared" si="910"/>
        <v>111501442</v>
      </c>
      <c r="MI38" s="82">
        <f>MH38+8911*5170</f>
        <v>157571312</v>
      </c>
      <c r="MJ38" s="133"/>
      <c r="MK38" s="82">
        <f>MI38</f>
        <v>157571312</v>
      </c>
      <c r="ML38" s="82">
        <f>MK38-32000000</f>
        <v>125571312</v>
      </c>
      <c r="MM38" s="82">
        <f>ML38+5000*4730</f>
        <v>149221312</v>
      </c>
      <c r="MN38" s="82">
        <f>MM38</f>
        <v>149221312</v>
      </c>
      <c r="MO38" s="82">
        <f>MM38+8689599</f>
        <v>157910911</v>
      </c>
      <c r="MP38" s="82">
        <f>MO38-70000000+7909*5170+7926*4679</f>
        <v>165886195</v>
      </c>
      <c r="MQ38" s="82">
        <f>MP38+2000*5170</f>
        <v>176226195</v>
      </c>
      <c r="MR38" s="82">
        <f>MQ38</f>
        <v>176226195</v>
      </c>
      <c r="MS38" s="82">
        <f>MQ38</f>
        <v>176226195</v>
      </c>
      <c r="MT38" s="82">
        <f>MR38</f>
        <v>176226195</v>
      </c>
      <c r="MU38" s="82">
        <f>MS38-80000000</f>
        <v>96226195</v>
      </c>
      <c r="MV38" s="82">
        <f>MU38+14000*5080+5000*4679+448000+4171838</f>
        <v>195361033</v>
      </c>
      <c r="MW38" s="82">
        <f>MV38</f>
        <v>195361033</v>
      </c>
      <c r="MX38" s="82">
        <f>MV38</f>
        <v>195361033</v>
      </c>
      <c r="MY38" s="82">
        <f>MW38</f>
        <v>195361033</v>
      </c>
      <c r="MZ38" s="82">
        <f>MX38</f>
        <v>195361033</v>
      </c>
      <c r="NA38" s="82">
        <f>MY38</f>
        <v>195361033</v>
      </c>
      <c r="NB38" s="82">
        <f>MZ38-64000000</f>
        <v>131361033</v>
      </c>
      <c r="NC38" s="82">
        <f>NB38+8000*4679</f>
        <v>168793033</v>
      </c>
      <c r="ND38" s="82">
        <f>NC38</f>
        <v>168793033</v>
      </c>
      <c r="NE38" s="82">
        <f>NC38+9975*5170+322000</f>
        <v>220685783</v>
      </c>
      <c r="NF38" s="82">
        <f>NE38-78000000</f>
        <v>142685783</v>
      </c>
      <c r="NG38" s="82">
        <f>NF38+3308322+135000+1485000+612000</f>
        <v>148226105</v>
      </c>
      <c r="NH38" s="82">
        <f>NG38-132037961</f>
        <v>16188144</v>
      </c>
      <c r="NI38" s="82">
        <f>NH38+10898*4629+11876*5030</f>
        <v>126371266</v>
      </c>
      <c r="NJ38" s="82">
        <f>NI38+2702000+2019173</f>
        <v>131092439</v>
      </c>
      <c r="NK38" s="82">
        <f>NJ38</f>
        <v>131092439</v>
      </c>
      <c r="NL38" s="82">
        <f>NJ38</f>
        <v>131092439</v>
      </c>
      <c r="NM38" s="82">
        <f>NK38-60000000</f>
        <v>71092439</v>
      </c>
      <c r="NN38" s="82">
        <f>NM38</f>
        <v>71092439</v>
      </c>
      <c r="NO38" s="82">
        <f>NN38+9902*5080+993601+1398400+589000</f>
        <v>124375600</v>
      </c>
      <c r="NP38" s="133"/>
      <c r="NQ38" s="82">
        <f>NO38</f>
        <v>124375600</v>
      </c>
      <c r="NR38" s="82">
        <f>NQ38</f>
        <v>124375600</v>
      </c>
      <c r="NS38" s="82">
        <f>NQ38+7967*4629</f>
        <v>161254843</v>
      </c>
      <c r="NT38" s="82">
        <f>NS38-30000000-495100</f>
        <v>130759743</v>
      </c>
      <c r="NU38" s="82">
        <f>NT38-49000000</f>
        <v>81759743</v>
      </c>
      <c r="NV38" s="82">
        <f>NU38-129555278</f>
        <v>-47795535</v>
      </c>
      <c r="NW38" s="82">
        <f>NV38+10000*5030</f>
        <v>2504465</v>
      </c>
      <c r="NX38" s="82">
        <f>NW38</f>
        <v>2504465</v>
      </c>
      <c r="NY38" s="82">
        <f>NW38</f>
        <v>2504465</v>
      </c>
      <c r="NZ38" s="82">
        <f>NX38+4000*4629</f>
        <v>21020465</v>
      </c>
      <c r="OA38" s="82">
        <f>NZ38+9900*5030</f>
        <v>70817465</v>
      </c>
      <c r="OB38" s="82">
        <f>OA38-43000000</f>
        <v>27817465</v>
      </c>
      <c r="OC38" s="82">
        <f>OB38+1017000-40000000</f>
        <v>-11165535</v>
      </c>
      <c r="OD38" s="82">
        <f>OC38</f>
        <v>-11165535</v>
      </c>
      <c r="OE38" s="82">
        <f>OC38+6939*4629</f>
        <v>20955096</v>
      </c>
      <c r="OF38" s="82">
        <f>OE38+8934*5030</f>
        <v>65893116</v>
      </c>
      <c r="OG38" s="82">
        <f>OF38+5405319</f>
        <v>71298435</v>
      </c>
      <c r="OH38" s="82">
        <f>OG38-40000000+1085286</f>
        <v>32383721</v>
      </c>
      <c r="OI38" s="82">
        <f>OH38-40000000</f>
        <v>-7616279</v>
      </c>
      <c r="OJ38" s="82">
        <f>OI38</f>
        <v>-7616279</v>
      </c>
      <c r="OK38" s="82">
        <f>OI38+11933*5030+10000*4629</f>
        <v>98696711</v>
      </c>
      <c r="OL38" s="82">
        <f>OK38+319000</f>
        <v>99015711</v>
      </c>
      <c r="OM38" s="82">
        <f>OL38</f>
        <v>99015711</v>
      </c>
      <c r="ON38" s="82">
        <f>OL38+773000</f>
        <v>99788711</v>
      </c>
      <c r="OO38" s="82">
        <f>ON38</f>
        <v>99788711</v>
      </c>
      <c r="OP38" s="82">
        <f>ON38</f>
        <v>99788711</v>
      </c>
      <c r="OQ38" s="82">
        <f>OO38</f>
        <v>99788711</v>
      </c>
      <c r="OR38" s="82">
        <f>OP38+755000-102000000+3756958</f>
        <v>2300669</v>
      </c>
      <c r="OS38" s="82">
        <f>OR38</f>
        <v>2300669</v>
      </c>
      <c r="OT38" s="82">
        <f>OR38+11946*5070+12443*4629</f>
        <v>120465536</v>
      </c>
      <c r="OU38" s="82">
        <f>OT38</f>
        <v>120465536</v>
      </c>
      <c r="OV38" s="130"/>
      <c r="OW38" s="82">
        <f>OU38+181000+4191520</f>
        <v>124838056</v>
      </c>
      <c r="OX38" s="82">
        <f>OW38</f>
        <v>124838056</v>
      </c>
      <c r="OY38" s="82">
        <f>OX38-42000000-6000000</f>
        <v>76838056</v>
      </c>
      <c r="OZ38" s="82">
        <f>OY38+12868*5070</f>
        <v>142078816</v>
      </c>
      <c r="PA38" s="82">
        <f>OZ38</f>
        <v>142078816</v>
      </c>
      <c r="PB38" s="82">
        <f>PA38+9000*4629+3668964</f>
        <v>187408780</v>
      </c>
      <c r="PC38" s="82">
        <f>PB38</f>
        <v>187408780</v>
      </c>
      <c r="PD38" s="82">
        <f>PC38-40000000</f>
        <v>147408780</v>
      </c>
      <c r="PE38" s="82">
        <f>PD38-35000000</f>
        <v>112408780</v>
      </c>
      <c r="PF38" s="82">
        <f>PE38+905000+362000</f>
        <v>113675780</v>
      </c>
      <c r="PG38" s="82">
        <f>PF38-50000000+6000*5070+3400931+588799</f>
        <v>98085510</v>
      </c>
      <c r="PH38" s="82">
        <f>PG38-113256760</f>
        <v>-15171250</v>
      </c>
      <c r="PI38" s="82">
        <f>PH38</f>
        <v>-15171250</v>
      </c>
      <c r="PJ38" s="82">
        <f>PI38+11871*5070</f>
        <v>45014720</v>
      </c>
      <c r="PK38" s="82">
        <f>PJ38-36000000-15000000</f>
        <v>-5985280</v>
      </c>
      <c r="PL38" s="82">
        <f>PK38</f>
        <v>-5985280</v>
      </c>
      <c r="PM38" s="82">
        <f>PL38</f>
        <v>-5985280</v>
      </c>
      <c r="PN38" s="82">
        <f>PM38+8000*4629+655000+2374399</f>
        <v>34076119</v>
      </c>
      <c r="PO38" s="82">
        <f>PN38</f>
        <v>34076119</v>
      </c>
      <c r="PP38" s="82">
        <f>PO38</f>
        <v>34076119</v>
      </c>
      <c r="PQ38" s="82">
        <f>PP38+11864*5070-33000000</f>
        <v>61226599</v>
      </c>
      <c r="PR38" s="82">
        <f>PQ38</f>
        <v>61226599</v>
      </c>
      <c r="PS38" s="82">
        <f>PR38-20000000</f>
        <v>41226599</v>
      </c>
      <c r="PT38" s="82">
        <f>PS38</f>
        <v>41226599</v>
      </c>
      <c r="PU38" s="82">
        <f>PT38+945000+10000*4629</f>
        <v>88461599</v>
      </c>
      <c r="PV38" s="82">
        <f>PU38-50000000</f>
        <v>38461599</v>
      </c>
      <c r="PW38" s="82">
        <f>PV38</f>
        <v>38461599</v>
      </c>
      <c r="PX38" s="82">
        <f>PW38+9882*5070</f>
        <v>88563339</v>
      </c>
      <c r="PY38" s="82">
        <f>PX38+2499394+273000</f>
        <v>91335733</v>
      </c>
      <c r="PZ38" s="82">
        <f>PY38</f>
        <v>91335733</v>
      </c>
      <c r="QA38" s="130"/>
      <c r="QB38" s="82">
        <f>PZ38</f>
        <v>91335733</v>
      </c>
      <c r="QC38" s="82">
        <f>QB38-50000000</f>
        <v>41335733</v>
      </c>
      <c r="QD38" s="82">
        <f>QC38+1085286+8987*4880-1877580</f>
        <v>84399999</v>
      </c>
      <c r="QE38" s="82">
        <f>QD38+9977*4629+184000+551999</f>
        <v>131319531</v>
      </c>
      <c r="QF38" s="82">
        <f t="shared" ref="QF38:QG42" si="911">QE38</f>
        <v>131319531</v>
      </c>
      <c r="QG38" s="82">
        <f t="shared" si="911"/>
        <v>131319531</v>
      </c>
      <c r="QH38" s="82">
        <f>QG38-109062435</f>
        <v>22257096</v>
      </c>
      <c r="QI38" s="82">
        <f>QH38+1795840-40000000</f>
        <v>-15947064</v>
      </c>
      <c r="QJ38" s="82">
        <f>QI38+9971*4479+2501821</f>
        <v>31214866</v>
      </c>
      <c r="QK38" s="82">
        <f>QJ38</f>
        <v>31214866</v>
      </c>
      <c r="QL38" s="82">
        <f>QK38-38000000</f>
        <v>-6785134</v>
      </c>
      <c r="QM38" s="82">
        <f>QL38+3352477+405000+10000*4479</f>
        <v>41762343</v>
      </c>
      <c r="QN38" s="82">
        <f>QM38</f>
        <v>41762343</v>
      </c>
      <c r="QO38" s="82">
        <f>QN38+2483687+534000-55000000</f>
        <v>-10219970</v>
      </c>
      <c r="QP38" s="82">
        <f>QO38+494000</f>
        <v>-9725970</v>
      </c>
      <c r="QQ38" s="82">
        <f>QP38+12975*4880</f>
        <v>53592030</v>
      </c>
      <c r="QR38" s="82">
        <f t="shared" ref="QR38:QS42" si="912">QQ38</f>
        <v>53592030</v>
      </c>
      <c r="QS38" s="82">
        <f t="shared" si="912"/>
        <v>53592030</v>
      </c>
      <c r="QT38" s="82">
        <f>QS38+6973*4479-30000000</f>
        <v>54824097</v>
      </c>
      <c r="QU38" s="82">
        <f>QT38+681000</f>
        <v>55505097</v>
      </c>
      <c r="QV38" s="82">
        <f>QU38-52000000</f>
        <v>3505097</v>
      </c>
      <c r="QW38" s="82">
        <f t="shared" ref="QW38:QX42" si="913">QV38</f>
        <v>3505097</v>
      </c>
      <c r="QX38" s="82">
        <f t="shared" si="913"/>
        <v>3505097</v>
      </c>
      <c r="QY38" s="82">
        <f>QX38+11971*4869-31000000</f>
        <v>30791896</v>
      </c>
      <c r="QZ38" s="82">
        <f>QY38</f>
        <v>30791896</v>
      </c>
      <c r="RA38" s="82">
        <f>QZ38+8976*4479</f>
        <v>70995400</v>
      </c>
      <c r="RB38" s="82">
        <f>RA38</f>
        <v>70995400</v>
      </c>
      <c r="RC38" s="82">
        <f>RB38+3048640+543000</f>
        <v>74587040</v>
      </c>
      <c r="RD38" s="82">
        <f>RC38+195000-41000000</f>
        <v>33782040</v>
      </c>
      <c r="RE38" s="82">
        <f>RD38+12862*4869+451000</f>
        <v>96858118</v>
      </c>
      <c r="RF38" s="82">
        <f>RE38</f>
        <v>96858118</v>
      </c>
      <c r="RG38" s="130"/>
      <c r="RH38" s="82">
        <f>RF38</f>
        <v>96858118</v>
      </c>
      <c r="RI38" s="82">
        <f t="shared" ref="RI38:RK42" si="914">RH38</f>
        <v>96858118</v>
      </c>
      <c r="RJ38" s="82">
        <f t="shared" si="914"/>
        <v>96858118</v>
      </c>
      <c r="RK38" s="82">
        <f t="shared" si="914"/>
        <v>96858118</v>
      </c>
      <c r="RL38" s="82">
        <f>RK38+1678080+273000+2067520-85000000</f>
        <v>15876718</v>
      </c>
      <c r="RM38" s="82">
        <f>RL38+8000*4350</f>
        <v>50676718</v>
      </c>
      <c r="RN38" s="82">
        <f>RM38+11940*4770</f>
        <v>107630518</v>
      </c>
      <c r="RO38" s="82">
        <f t="shared" ref="RO38:RP42" si="915">RN38</f>
        <v>107630518</v>
      </c>
      <c r="RP38" s="82">
        <f t="shared" si="915"/>
        <v>107630518</v>
      </c>
      <c r="RQ38" s="82">
        <f>RP38+2847318+1149000</f>
        <v>111626836</v>
      </c>
      <c r="RR38" s="82">
        <f>RQ38-113865397</f>
        <v>-2238561</v>
      </c>
      <c r="RS38" s="82">
        <f>RR38+9887*4770-40000000-40000000</f>
        <v>-35077571</v>
      </c>
      <c r="RT38" s="82">
        <f>RS38</f>
        <v>-35077571</v>
      </c>
      <c r="RU38" s="82">
        <f>RT38+10000*4350</f>
        <v>8422429</v>
      </c>
      <c r="RV38" s="82">
        <f>RU38</f>
        <v>8422429</v>
      </c>
      <c r="RW38" s="82">
        <f>RV38+655000+1302718</f>
        <v>10380147</v>
      </c>
      <c r="RX38" s="82">
        <f t="shared" ref="RX38:RZ42" si="916">RW38</f>
        <v>10380147</v>
      </c>
      <c r="RY38" s="82">
        <f t="shared" si="916"/>
        <v>10380147</v>
      </c>
      <c r="RZ38" s="82">
        <f t="shared" si="916"/>
        <v>10380147</v>
      </c>
      <c r="SA38" s="82">
        <f>RZ38+10864*4770-47000000-30000000</f>
        <v>-14798573</v>
      </c>
      <c r="SB38" s="82">
        <f>SA38</f>
        <v>-14798573</v>
      </c>
      <c r="SC38" s="82">
        <f>SB38+10000*4350</f>
        <v>28701427</v>
      </c>
      <c r="SD38" s="82">
        <f>SC38</f>
        <v>28701427</v>
      </c>
      <c r="SE38" s="82">
        <f>SD38+7904*4770+2796800+623000</f>
        <v>69823307</v>
      </c>
      <c r="SF38" s="82">
        <f t="shared" ref="SF38:SJ42" si="917">SE38</f>
        <v>69823307</v>
      </c>
      <c r="SG38" s="82">
        <f t="shared" si="917"/>
        <v>69823307</v>
      </c>
      <c r="SH38" s="82">
        <f t="shared" si="917"/>
        <v>69823307</v>
      </c>
      <c r="SI38" s="82">
        <f t="shared" si="917"/>
        <v>69823307</v>
      </c>
      <c r="SJ38" s="82">
        <f t="shared" si="917"/>
        <v>69823307</v>
      </c>
      <c r="SK38" s="82">
        <f>SJ38-70000000+8000*4350+5705759</f>
        <v>40329066</v>
      </c>
      <c r="SL38" s="130"/>
      <c r="SM38" s="82">
        <f>SK38+12863*4770</f>
        <v>101685576</v>
      </c>
      <c r="SN38" s="82">
        <f t="shared" ref="SN38:SO42" si="918">SM38</f>
        <v>101685576</v>
      </c>
      <c r="SO38" s="82">
        <f t="shared" si="918"/>
        <v>101685576</v>
      </c>
      <c r="SP38" s="82">
        <f>SO38-56000000+1152000</f>
        <v>46837576</v>
      </c>
      <c r="SQ38" s="82">
        <f>SP38</f>
        <v>46837576</v>
      </c>
      <c r="SR38" s="82">
        <f>SQ38+8906*4770-101332587</f>
        <v>-12013391</v>
      </c>
      <c r="SS38" s="82">
        <f>SR38+5000*4350</f>
        <v>9736609</v>
      </c>
      <c r="ST38" s="82">
        <f>SS38+397440</f>
        <v>10134049</v>
      </c>
      <c r="SU38" s="82">
        <f>ST38</f>
        <v>10134049</v>
      </c>
      <c r="SV38" s="82">
        <f>SU38-73000000+546000+130000+1600800+16654398</f>
        <v>-43934753</v>
      </c>
      <c r="SW38" s="82">
        <f>SV38+12386*4350</f>
        <v>9944347</v>
      </c>
      <c r="SX38" s="82">
        <f>SW38+7916*4770</f>
        <v>47703667</v>
      </c>
      <c r="SY38" s="82">
        <f t="shared" ref="SY38:SZ42" si="919">SX38</f>
        <v>47703667</v>
      </c>
      <c r="SZ38" s="82">
        <f t="shared" si="919"/>
        <v>47703667</v>
      </c>
      <c r="TA38" s="82">
        <f>SZ38+1037000</f>
        <v>48740667</v>
      </c>
      <c r="TB38" s="82">
        <f>TA38</f>
        <v>48740667</v>
      </c>
      <c r="TC38" s="82">
        <f>TB38-45000000</f>
        <v>3740667</v>
      </c>
      <c r="TD38" s="82">
        <f>TC38</f>
        <v>3740667</v>
      </c>
      <c r="TE38" s="82">
        <f>TD38+10882*4770</f>
        <v>55647807</v>
      </c>
      <c r="TF38" s="82">
        <f>TE38+11886*4350-40000000-25000000</f>
        <v>42351907</v>
      </c>
      <c r="TG38" s="82">
        <f t="shared" ref="TG38:TI42" si="920">TF38</f>
        <v>42351907</v>
      </c>
      <c r="TH38" s="82">
        <f t="shared" si="920"/>
        <v>42351907</v>
      </c>
      <c r="TI38" s="82">
        <f t="shared" si="920"/>
        <v>42351907</v>
      </c>
      <c r="TJ38" s="82">
        <f>TI38+14802*4770-25000000</f>
        <v>87957447</v>
      </c>
      <c r="TK38" s="82">
        <f t="shared" ref="TK38:TM42" si="921">TJ38</f>
        <v>87957447</v>
      </c>
      <c r="TL38" s="82">
        <f t="shared" si="921"/>
        <v>87957447</v>
      </c>
      <c r="TM38" s="82">
        <f t="shared" si="921"/>
        <v>87957447</v>
      </c>
      <c r="TN38" s="82">
        <f>TM38+4342398</f>
        <v>92299845</v>
      </c>
      <c r="TO38" s="82">
        <f>TN38</f>
        <v>92299845</v>
      </c>
      <c r="TP38" s="82">
        <f>TO38-75000000</f>
        <v>17299845</v>
      </c>
      <c r="TQ38" s="82">
        <f>TP38+7000*4350</f>
        <v>47749845</v>
      </c>
      <c r="TR38" s="130"/>
      <c r="TS38" s="82">
        <f>TQ38+10907*4770</f>
        <v>99776235</v>
      </c>
      <c r="TT38" s="82">
        <f>TS38</f>
        <v>99776235</v>
      </c>
      <c r="TU38" s="82">
        <f>TT38+1469996</f>
        <v>101246231</v>
      </c>
      <c r="TV38" s="82">
        <f>TU38</f>
        <v>101246231</v>
      </c>
      <c r="TW38" s="82">
        <f>TV38+8871*4770</f>
        <v>143560901</v>
      </c>
      <c r="TX38" s="82">
        <f>TW38</f>
        <v>143560901</v>
      </c>
      <c r="TY38" s="82">
        <f>TX38-122814793</f>
        <v>20746108</v>
      </c>
      <c r="TZ38" s="82">
        <f>TY38+10900*4350</f>
        <v>68161108</v>
      </c>
      <c r="UA38" s="82">
        <f>TZ38-22000000-30000000</f>
        <v>16161108</v>
      </c>
      <c r="UB38" s="82">
        <f>UA38+3522000+4536798</f>
        <v>24219906</v>
      </c>
      <c r="UC38" s="82">
        <f>UB38</f>
        <v>24219906</v>
      </c>
      <c r="UD38" s="82">
        <f>UC38+8882*4770-21000000</f>
        <v>45587046</v>
      </c>
      <c r="UE38" s="82">
        <f t="shared" ref="UE38:UH42" si="922">UD38</f>
        <v>45587046</v>
      </c>
      <c r="UF38" s="82">
        <f t="shared" si="922"/>
        <v>45587046</v>
      </c>
      <c r="UG38" s="82">
        <f t="shared" si="922"/>
        <v>45587046</v>
      </c>
      <c r="UH38" s="82">
        <f t="shared" si="922"/>
        <v>45587046</v>
      </c>
      <c r="UI38" s="82">
        <f>UH38-75000000</f>
        <v>-29412954</v>
      </c>
      <c r="UJ38" s="82">
        <f>UI38+9908*4370</f>
        <v>13885006</v>
      </c>
      <c r="UK38" s="82">
        <f>UJ38</f>
        <v>13885006</v>
      </c>
      <c r="UL38" s="82">
        <f>UK38+9885*4770</f>
        <v>61036456</v>
      </c>
      <c r="UM38" s="82">
        <f>UL38</f>
        <v>61036456</v>
      </c>
      <c r="UN38" s="82">
        <f>UM38+1531000</f>
        <v>62567456</v>
      </c>
      <c r="UO38" s="82">
        <f>UN38</f>
        <v>62567456</v>
      </c>
      <c r="UP38" s="82">
        <f>UO38+7913*4770-37000000</f>
        <v>63312466</v>
      </c>
      <c r="UQ38" s="82">
        <f>UP38</f>
        <v>63312466</v>
      </c>
      <c r="UR38" s="82">
        <f>UQ38-65000000</f>
        <v>-1687534</v>
      </c>
      <c r="US38" s="82">
        <f>UR38</f>
        <v>-1687534</v>
      </c>
      <c r="UT38" s="82">
        <f>US38+1825000+10906002+3553596</f>
        <v>14597064</v>
      </c>
      <c r="UU38" s="82">
        <f>UT38+10864*4770</f>
        <v>66418344</v>
      </c>
      <c r="UV38" s="82">
        <f>UU38+10000*4350</f>
        <v>109918344</v>
      </c>
      <c r="UW38" s="82">
        <f>UV38</f>
        <v>109918344</v>
      </c>
      <c r="UX38" s="130"/>
      <c r="UY38" s="82">
        <f>UW38+3192000+2796800+520000</f>
        <v>116427144</v>
      </c>
      <c r="UZ38" s="82">
        <f>UY38</f>
        <v>116427144</v>
      </c>
      <c r="VA38" s="82">
        <f>UZ38</f>
        <v>116427144</v>
      </c>
      <c r="VB38" s="82">
        <f>VA38+2979*4370+12977*4770</f>
        <v>191345664</v>
      </c>
      <c r="VC38" s="82">
        <f>VB38</f>
        <v>191345664</v>
      </c>
      <c r="VD38" s="82">
        <f>VC38-75000000+4964*4370</f>
        <v>138038344</v>
      </c>
      <c r="VE38" s="82">
        <f>VD38-118494494</f>
        <v>19543850</v>
      </c>
      <c r="VF38" s="82">
        <f>VE38</f>
        <v>19543850</v>
      </c>
      <c r="VG38" s="82">
        <f>VF38+4040638+1080000</f>
        <v>24664488</v>
      </c>
      <c r="VH38" s="82">
        <f>VG38-70000000</f>
        <v>-45335512</v>
      </c>
      <c r="VI38" s="82">
        <f>VH38+12854*4770+4976*4430+2986*4430+411000</f>
        <v>51660728</v>
      </c>
      <c r="VJ38" s="82">
        <f>VI38</f>
        <v>51660728</v>
      </c>
      <c r="VK38" s="82">
        <f>VJ38+3838241</f>
        <v>55498969</v>
      </c>
      <c r="VL38" s="82">
        <f>VK38</f>
        <v>55498969</v>
      </c>
      <c r="VM38" s="82">
        <f>VL38+7907*4779-35000000</f>
        <v>58286522</v>
      </c>
      <c r="VN38" s="82">
        <f t="shared" ref="VN38:VP39" si="923">VM38</f>
        <v>58286522</v>
      </c>
      <c r="VO38" s="82">
        <f t="shared" si="923"/>
        <v>58286522</v>
      </c>
      <c r="VP38" s="82">
        <f t="shared" si="923"/>
        <v>58286522</v>
      </c>
      <c r="VQ38" s="82">
        <f>VP38+6926*4765+7944*4430-30000000-25000000</f>
        <v>71480832</v>
      </c>
      <c r="VR38" s="82">
        <f>VQ38</f>
        <v>71480832</v>
      </c>
      <c r="VS38" s="82">
        <f>VR38-20000000</f>
        <v>51480832</v>
      </c>
      <c r="VT38" s="82">
        <f>VS38+6926*4430</f>
        <v>82163012</v>
      </c>
      <c r="VU38" s="82">
        <f>VT38</f>
        <v>82163012</v>
      </c>
      <c r="VV38" s="82">
        <f>VU38</f>
        <v>82163012</v>
      </c>
      <c r="VW38" s="82">
        <f>VV38+4376322+801000+704000</f>
        <v>88044334</v>
      </c>
      <c r="VX38" s="82">
        <f>VW38</f>
        <v>88044334</v>
      </c>
      <c r="VY38" s="82">
        <f>VX38+11856*4765</f>
        <v>144538174</v>
      </c>
      <c r="VZ38" s="82">
        <f>VY38</f>
        <v>144538174</v>
      </c>
      <c r="WA38" s="133"/>
      <c r="WB38" s="82">
        <f>VZ38+365000-50000000</f>
        <v>94903174</v>
      </c>
      <c r="WC38" s="82">
        <f>WB38</f>
        <v>94903174</v>
      </c>
      <c r="WD38" s="82">
        <f>WC38+2796800-30000000</f>
        <v>67699974</v>
      </c>
      <c r="WE38" s="82">
        <f t="shared" ref="WE38:WG39" si="924">WD38</f>
        <v>67699974</v>
      </c>
      <c r="WF38" s="82">
        <f t="shared" si="924"/>
        <v>67699974</v>
      </c>
      <c r="WG38" s="82">
        <f t="shared" si="924"/>
        <v>67699974</v>
      </c>
      <c r="WH38" s="82">
        <f>WG38+3970*4430+3971*4430+15787*4765-65000000</f>
        <v>113103659</v>
      </c>
      <c r="WI38" s="82">
        <f>WH38</f>
        <v>113103659</v>
      </c>
      <c r="WJ38" s="82">
        <f>WI38+2093917-108340718</f>
        <v>6856858</v>
      </c>
      <c r="WK38" s="82">
        <f>WJ38</f>
        <v>6856858</v>
      </c>
      <c r="WL38" s="82">
        <f>WK38+7947*4430+1514000+1236479-23000000</f>
        <v>21812547</v>
      </c>
      <c r="WM38" s="82">
        <f>WL38</f>
        <v>21812547</v>
      </c>
      <c r="WN38" s="82">
        <f>WM38</f>
        <v>21812547</v>
      </c>
      <c r="WO38" s="82">
        <f>WN38+503000+1103998</f>
        <v>23419545</v>
      </c>
      <c r="WP38" s="82">
        <f>WO38</f>
        <v>23419545</v>
      </c>
      <c r="WQ38" s="82">
        <f>WP38+14838*4765</f>
        <v>94122615</v>
      </c>
      <c r="WR38" s="82">
        <f>WQ38-63000000</f>
        <v>31122615</v>
      </c>
      <c r="WS38" s="82">
        <f>WR38</f>
        <v>31122615</v>
      </c>
      <c r="WT38" s="82">
        <f>WS38</f>
        <v>31122615</v>
      </c>
      <c r="WU38" s="82">
        <f>WT38+6643198</f>
        <v>37765813</v>
      </c>
      <c r="WV38" s="82">
        <f>WU38+8000*4430</f>
        <v>73205813</v>
      </c>
      <c r="WW38" s="82">
        <f t="shared" ref="WW38:WY39" si="925">WV38</f>
        <v>73205813</v>
      </c>
      <c r="WX38" s="82">
        <f t="shared" si="925"/>
        <v>73205813</v>
      </c>
      <c r="WY38" s="82">
        <f t="shared" si="925"/>
        <v>73205813</v>
      </c>
      <c r="WZ38" s="82">
        <f>WY38+8000*4430</f>
        <v>108645813</v>
      </c>
      <c r="XA38" s="82">
        <f>WZ38+11873*4765+454000</f>
        <v>165674658</v>
      </c>
      <c r="XB38" s="82">
        <f>XA38</f>
        <v>165674658</v>
      </c>
      <c r="XC38" s="82">
        <f>XB38-55000000-66000000</f>
        <v>44674658</v>
      </c>
      <c r="XD38" s="82">
        <f>XC38+4656160+2207997</f>
        <v>51538815</v>
      </c>
      <c r="XE38" s="82">
        <f>XD38-37000000</f>
        <v>14538815</v>
      </c>
      <c r="XF38" s="82">
        <f>XE38+13867*4765</f>
        <v>80615070</v>
      </c>
      <c r="XG38" s="133"/>
      <c r="XH38" s="82">
        <f>XF38+7998*4470</f>
        <v>116366130</v>
      </c>
      <c r="XI38" s="82">
        <f>XH38</f>
        <v>116366130</v>
      </c>
      <c r="XJ38" s="82">
        <f>XI38+741000</f>
        <v>117107130</v>
      </c>
      <c r="XK38" s="82">
        <f>XJ38+2796800</f>
        <v>119903930</v>
      </c>
      <c r="XL38" s="82">
        <f>XK38</f>
        <v>119903930</v>
      </c>
      <c r="XM38" s="82">
        <f>XL38+906500</f>
        <v>120810430</v>
      </c>
      <c r="XN38" s="82">
        <f t="shared" ref="XN38:XO42" si="926">XM38</f>
        <v>120810430</v>
      </c>
      <c r="XO38" s="82">
        <f t="shared" si="926"/>
        <v>120810430</v>
      </c>
      <c r="XP38" s="82">
        <f>XO38+14000*4765-47000000-21000000-111698876</f>
        <v>7821554</v>
      </c>
      <c r="XQ38" s="82">
        <f>XP38</f>
        <v>7821554</v>
      </c>
      <c r="XR38" s="82">
        <f>XQ38+7000*4470</f>
        <v>39111554</v>
      </c>
      <c r="XS38" s="82">
        <f>XR38+1087500</f>
        <v>40199054</v>
      </c>
      <c r="XT38" s="82">
        <f t="shared" ref="XT38:XU42" si="927">XS38</f>
        <v>40199054</v>
      </c>
      <c r="XU38" s="82">
        <f t="shared" si="927"/>
        <v>40199054</v>
      </c>
      <c r="XV38" s="82">
        <f>XU38+7904*4765</f>
        <v>77861614</v>
      </c>
      <c r="XW38" s="82">
        <f>XV38-70000000</f>
        <v>7861614</v>
      </c>
      <c r="XX38" s="82">
        <f>XW38-35000000</f>
        <v>-27138386</v>
      </c>
      <c r="XY38" s="82">
        <f>XX38+7899*4830</f>
        <v>11013784</v>
      </c>
      <c r="XZ38" s="82">
        <f>XY38+7000*4530</f>
        <v>42723784</v>
      </c>
      <c r="YA38" s="82">
        <f t="shared" ref="YA38:YB42" si="928">XZ38</f>
        <v>42723784</v>
      </c>
      <c r="YB38" s="82">
        <f t="shared" si="928"/>
        <v>42723784</v>
      </c>
      <c r="YC38" s="82">
        <f>YB38+6478436</f>
        <v>49202220</v>
      </c>
      <c r="YD38" s="82">
        <f>YC38+7910*4830-30000000-23000000</f>
        <v>34407520</v>
      </c>
      <c r="YE38" s="82">
        <f>YD38+593500</f>
        <v>35001020</v>
      </c>
      <c r="YF38" s="82">
        <f>YE38+9942*4530</f>
        <v>80038280</v>
      </c>
      <c r="YG38" s="82">
        <f>YF38+5365397+405000</f>
        <v>85808677</v>
      </c>
      <c r="YH38" s="82">
        <f t="shared" ref="YH38:YI42" si="929">YG38</f>
        <v>85808677</v>
      </c>
      <c r="YI38" s="82">
        <f t="shared" si="929"/>
        <v>85808677</v>
      </c>
      <c r="YJ38" s="82">
        <f>YI38+8957*4830</f>
        <v>129070987</v>
      </c>
      <c r="YK38" s="82">
        <f>YJ38-38000000-40000000</f>
        <v>51070987</v>
      </c>
      <c r="YL38" s="130"/>
      <c r="YM38" s="82">
        <f>YK38</f>
        <v>51070987</v>
      </c>
      <c r="YN38" s="82">
        <f>YM38</f>
        <v>51070987</v>
      </c>
      <c r="YO38" s="82">
        <f>YN38</f>
        <v>51070987</v>
      </c>
      <c r="YP38" s="82">
        <f>YO38</f>
        <v>51070987</v>
      </c>
      <c r="YQ38" s="82">
        <f>YP38+765000</f>
        <v>51835987</v>
      </c>
      <c r="YR38" s="82">
        <f>YQ38</f>
        <v>51835987</v>
      </c>
      <c r="YS38" s="82">
        <f>YR38</f>
        <v>51835987</v>
      </c>
      <c r="YT38" s="82">
        <f>YS38</f>
        <v>51835987</v>
      </c>
      <c r="YU38" s="82">
        <f>YT38+7000*4530+8000*4830</f>
        <v>122185987</v>
      </c>
      <c r="YV38" s="82">
        <f>YU38</f>
        <v>122185987</v>
      </c>
      <c r="YW38" s="82">
        <f>YV38+7000*4830+2649595+2024000+369500-92490307</f>
        <v>68548775</v>
      </c>
      <c r="YX38" s="82">
        <f>YW38+9914*4530</f>
        <v>113459195</v>
      </c>
      <c r="YY38" s="82">
        <f t="shared" ref="YY38:ZA42" si="930">YX38</f>
        <v>113459195</v>
      </c>
      <c r="YZ38" s="82">
        <f t="shared" si="930"/>
        <v>113459195</v>
      </c>
      <c r="ZA38" s="82">
        <f t="shared" si="930"/>
        <v>113459195</v>
      </c>
      <c r="ZB38" s="82">
        <f>ZA38+12881*4830-85000000-45000000+2097603</f>
        <v>47772028</v>
      </c>
      <c r="ZC38" s="82">
        <f>ZB38+184000+496800</f>
        <v>48452828</v>
      </c>
      <c r="ZD38" s="82">
        <f t="shared" ref="ZD38:ZE42" si="931">ZC38</f>
        <v>48452828</v>
      </c>
      <c r="ZE38" s="82">
        <f t="shared" si="931"/>
        <v>48452828</v>
      </c>
      <c r="ZF38" s="82">
        <f>ZE38-30000000</f>
        <v>18452828</v>
      </c>
      <c r="ZG38" s="82">
        <f>ZF38</f>
        <v>18452828</v>
      </c>
      <c r="ZH38" s="82">
        <f>ZG38+6938*4830+4229400</f>
        <v>56192768</v>
      </c>
      <c r="ZI38" s="82">
        <f>ZH38+6000*4530</f>
        <v>83372768</v>
      </c>
      <c r="ZJ38" s="82">
        <f>ZI38+2649595</f>
        <v>86022363</v>
      </c>
      <c r="ZK38" s="82">
        <f>ZJ38</f>
        <v>86022363</v>
      </c>
      <c r="ZL38" s="82">
        <f>ZK38+1269596+920001+411000</f>
        <v>88622960</v>
      </c>
      <c r="ZM38" s="82">
        <f>ZL38+12894*4870-30000000-90000000</f>
        <v>31416740</v>
      </c>
      <c r="ZN38" s="82">
        <f>ZM38+9500*4530</f>
        <v>74451740</v>
      </c>
      <c r="ZO38" s="82">
        <f>ZN38+7921*4870</f>
        <v>113027010</v>
      </c>
      <c r="ZP38" s="82">
        <f t="shared" ref="ZP38:ZQ42" si="932">ZO38</f>
        <v>113027010</v>
      </c>
      <c r="ZQ38" s="82">
        <f t="shared" si="932"/>
        <v>113027010</v>
      </c>
      <c r="ZR38" s="130"/>
      <c r="ZS38" s="82">
        <f>ZQ38</f>
        <v>113027010</v>
      </c>
      <c r="ZT38" s="82">
        <f>ZS38</f>
        <v>113027010</v>
      </c>
      <c r="ZU38" s="82">
        <f>ZT38+1368000+5299197-107276290</f>
        <v>12417917</v>
      </c>
      <c r="ZV38" s="82">
        <f>ZU38</f>
        <v>12417917</v>
      </c>
      <c r="ZW38" s="82">
        <f>ZV38+10000*4530</f>
        <v>57717917</v>
      </c>
      <c r="ZX38" s="82">
        <f>ZW38+12855*4870</f>
        <v>120321767</v>
      </c>
      <c r="ZY38" s="82">
        <f>ZX38</f>
        <v>120321767</v>
      </c>
      <c r="ZZ38" s="82">
        <f>ZY38+853000-92000000-55000000</f>
        <v>-25825233</v>
      </c>
      <c r="AAA38" s="82">
        <f t="shared" ref="AAA38:AAB42" si="933">ZZ38</f>
        <v>-25825233</v>
      </c>
      <c r="AAB38" s="82">
        <f t="shared" si="933"/>
        <v>-25825233</v>
      </c>
      <c r="AAC38" s="82">
        <f>AAB38+11730099</f>
        <v>-14095134</v>
      </c>
      <c r="AAD38" s="82">
        <f>AAC38+12877*4870-30000000</f>
        <v>18615856</v>
      </c>
      <c r="AAE38" s="82">
        <f t="shared" ref="AAE38:AAG42" si="934">AAD38</f>
        <v>18615856</v>
      </c>
      <c r="AAF38" s="82">
        <f t="shared" si="934"/>
        <v>18615856</v>
      </c>
      <c r="AAG38" s="82">
        <f t="shared" si="934"/>
        <v>18615856</v>
      </c>
      <c r="AAH38" s="82">
        <f>AAG38+1341494</f>
        <v>19957350</v>
      </c>
      <c r="AAI38" s="82">
        <f>AAH38+9941*4530-60000000</f>
        <v>4990080</v>
      </c>
      <c r="AAJ38" s="82">
        <f>AAI38+11933*4870</f>
        <v>63103790</v>
      </c>
      <c r="AAK38" s="82">
        <f t="shared" ref="AAK38:AAN42" si="935">AAJ38</f>
        <v>63103790</v>
      </c>
      <c r="AAL38" s="82">
        <f t="shared" si="935"/>
        <v>63103790</v>
      </c>
      <c r="AAM38" s="82">
        <f t="shared" si="935"/>
        <v>63103790</v>
      </c>
      <c r="AAN38" s="82">
        <f t="shared" si="935"/>
        <v>63103790</v>
      </c>
      <c r="AAO38" s="82">
        <f>AAN38+543000</f>
        <v>63646790</v>
      </c>
      <c r="AAP38" s="82">
        <f>AAO38+12882*4870-55000000-25000000</f>
        <v>46382130</v>
      </c>
      <c r="AAQ38" s="82">
        <f>AAP38</f>
        <v>46382130</v>
      </c>
      <c r="AAR38" s="82">
        <f>AAQ38+9932*4530</f>
        <v>91374090</v>
      </c>
      <c r="AAS38" s="82">
        <f t="shared" ref="AAS38:AAT42" si="936">AAR38</f>
        <v>91374090</v>
      </c>
      <c r="AAT38" s="82">
        <f t="shared" si="936"/>
        <v>91374090</v>
      </c>
      <c r="AAU38" s="82">
        <f>AAT38-48000000+12143999</f>
        <v>55518089</v>
      </c>
      <c r="AAV38" s="82">
        <f>AAU38</f>
        <v>55518089</v>
      </c>
      <c r="AAW38" s="130"/>
      <c r="AAX38" s="82">
        <f>AAV38+12408*4870</f>
        <v>115945049</v>
      </c>
      <c r="AAY38" s="82">
        <f t="shared" ref="AAY38:AAZ42" si="937">AAX38</f>
        <v>115945049</v>
      </c>
      <c r="AAZ38" s="82">
        <f t="shared" si="937"/>
        <v>115945049</v>
      </c>
      <c r="ABA38" s="82">
        <f>AAZ38-30000000</f>
        <v>85945049</v>
      </c>
      <c r="ABB38" s="82">
        <f>ABA38+8000*4530+860500</f>
        <v>123045549</v>
      </c>
      <c r="ABC38" s="82">
        <f t="shared" ref="ABC38:ABD42" si="938">ABB38</f>
        <v>123045549</v>
      </c>
      <c r="ABD38" s="82">
        <f t="shared" si="938"/>
        <v>123045549</v>
      </c>
      <c r="ABE38" s="82">
        <f>ABD38+11887*4870-53000000-28000000</f>
        <v>99935239</v>
      </c>
      <c r="ABF38" s="82">
        <f>ABE38</f>
        <v>99935239</v>
      </c>
      <c r="ABG38" s="82">
        <f>ABF38+6000*4530</f>
        <v>127115239</v>
      </c>
      <c r="ABH38" s="82">
        <f t="shared" ref="ABH38:ABI42" si="939">ABG38</f>
        <v>127115239</v>
      </c>
      <c r="ABI38" s="82">
        <f t="shared" si="939"/>
        <v>127115239</v>
      </c>
      <c r="ABJ38" s="82">
        <f>ABI38+774900+2696502</f>
        <v>130586641</v>
      </c>
      <c r="ABK38" s="82">
        <f>ABJ38-50000000</f>
        <v>80586641</v>
      </c>
      <c r="ABL38" s="82">
        <f>ABK38</f>
        <v>80586641</v>
      </c>
      <c r="ABM38" s="82">
        <f>ABL38+14901*4870</f>
        <v>153154511</v>
      </c>
      <c r="ABN38" s="82">
        <f>ABM38+3974393-114950595</f>
        <v>42178309</v>
      </c>
      <c r="ABO38" s="82">
        <f>ABN38+589000</f>
        <v>42767309</v>
      </c>
      <c r="ABP38" s="82">
        <f>ABO38+8000*4870</f>
        <v>81727309</v>
      </c>
      <c r="ABQ38" s="82">
        <f>ABP38+8000*4530+1963*4530</f>
        <v>126859699</v>
      </c>
      <c r="ABR38" s="82">
        <f>ABQ38-58000000-45000000</f>
        <v>23859699</v>
      </c>
      <c r="ABS38" s="82">
        <f t="shared" ref="ABS38:ABU42" si="940">ABR38</f>
        <v>23859699</v>
      </c>
      <c r="ABT38" s="82">
        <f t="shared" si="940"/>
        <v>23859699</v>
      </c>
      <c r="ABU38" s="82">
        <f t="shared" si="940"/>
        <v>23859699</v>
      </c>
      <c r="ABV38" s="82">
        <f>ABU38+12350*4870</f>
        <v>84004199</v>
      </c>
      <c r="ABW38" s="82">
        <f t="shared" ref="ABW38:ABX42" si="941">ABV38</f>
        <v>84004199</v>
      </c>
      <c r="ABX38" s="82">
        <f t="shared" si="941"/>
        <v>84004199</v>
      </c>
      <c r="ABY38" s="82">
        <f>ABX38+856000</f>
        <v>84860199</v>
      </c>
      <c r="ABZ38" s="82">
        <f>ABY38+7933*4870</f>
        <v>123493909</v>
      </c>
      <c r="ACA38" s="82">
        <f>ABZ38+11904*4530</f>
        <v>177419029</v>
      </c>
      <c r="ACB38" s="82">
        <f>ACA38</f>
        <v>177419029</v>
      </c>
      <c r="ACC38" s="130"/>
      <c r="ACD38" s="82">
        <f>ACB38+11564895+732500</f>
        <v>189716424</v>
      </c>
      <c r="ACE38" s="82">
        <f t="shared" ref="ACE38:ACF42" si="942">ACD38</f>
        <v>189716424</v>
      </c>
      <c r="ACF38" s="82">
        <f t="shared" si="942"/>
        <v>189716424</v>
      </c>
      <c r="ACG38" s="82">
        <f>ACF38-69000000-57000000</f>
        <v>63716424</v>
      </c>
      <c r="ACH38" s="82">
        <f>ACG38</f>
        <v>63716424</v>
      </c>
      <c r="ACI38" s="82">
        <f>ACH38+12983*4870-112322813</f>
        <v>14620821</v>
      </c>
      <c r="ACJ38" s="82">
        <f>ACI38-30000000</f>
        <v>-15379179</v>
      </c>
      <c r="ACK38" s="82">
        <f>ACJ38+497000</f>
        <v>-14882179</v>
      </c>
      <c r="ACL38" s="82">
        <f>ACK38+7943*4530</f>
        <v>21099611</v>
      </c>
      <c r="ACM38" s="82">
        <f t="shared" ref="ACM38:ACO42" si="943">ACL38</f>
        <v>21099611</v>
      </c>
      <c r="ACN38" s="82">
        <f t="shared" si="943"/>
        <v>21099611</v>
      </c>
      <c r="ACO38" s="82">
        <f t="shared" si="943"/>
        <v>21099611</v>
      </c>
      <c r="ACP38" s="82">
        <f>ACO38+16978*4899+8508157</f>
        <v>112782990</v>
      </c>
      <c r="ACQ38" s="82">
        <f>ACP38-66000000</f>
        <v>46782990</v>
      </c>
      <c r="ACR38" s="82">
        <f t="shared" ref="ACR38:ACS42" si="944">ACQ38</f>
        <v>46782990</v>
      </c>
      <c r="ACS38" s="82">
        <f t="shared" si="944"/>
        <v>46782990</v>
      </c>
      <c r="ACT38" s="82">
        <f>ACS38-67000000</f>
        <v>-20217010</v>
      </c>
      <c r="ACU38" s="82">
        <f>ACT38+1682992</f>
        <v>-18534018</v>
      </c>
      <c r="ACV38" s="82">
        <f>ACU38+10380*4899</f>
        <v>32317602</v>
      </c>
      <c r="ACW38" s="82">
        <f>ACV38</f>
        <v>32317602</v>
      </c>
      <c r="ACX38" s="82">
        <f>ACW38+593500</f>
        <v>32911102</v>
      </c>
      <c r="ACY38" s="82">
        <f>ACX38+9927*4530</f>
        <v>77880412</v>
      </c>
      <c r="ACZ38" s="82">
        <f>ACY38-75000000</f>
        <v>2880412</v>
      </c>
      <c r="ADA38" s="82">
        <f>ACZ38</f>
        <v>2880412</v>
      </c>
      <c r="ADB38" s="82">
        <f>ADA38+8946*4899</f>
        <v>46706866</v>
      </c>
      <c r="ADC38" s="82">
        <f>ADB38+9931*4530+6881597</f>
        <v>98575893</v>
      </c>
      <c r="ADD38" s="82">
        <f t="shared" ref="ADD38:ADE42" si="945">ADC38</f>
        <v>98575893</v>
      </c>
      <c r="ADE38" s="82">
        <f t="shared" si="945"/>
        <v>98575893</v>
      </c>
      <c r="ADF38" s="82">
        <f>ADE38-35000000</f>
        <v>63575893</v>
      </c>
      <c r="ADG38" s="82">
        <f>ADF38+7910*4899</f>
        <v>102326983</v>
      </c>
      <c r="ADH38" s="82">
        <f>ADG38</f>
        <v>102326983</v>
      </c>
      <c r="ADI38" s="130"/>
      <c r="ADJ38" s="82">
        <f>ADH38+1666994</f>
        <v>103993977</v>
      </c>
      <c r="ADK38" s="82">
        <f>ADJ38-50000000</f>
        <v>53993977</v>
      </c>
      <c r="ADL38" s="82">
        <f>ADK38-50000000</f>
        <v>3993977</v>
      </c>
      <c r="ADM38" s="82">
        <f>ADL38-50000000</f>
        <v>-46006023</v>
      </c>
      <c r="ADN38" s="82">
        <f>ADM38-50000000+11865*4899</f>
        <v>-37879388</v>
      </c>
      <c r="ADO38" s="82">
        <f>ADN38-50000000+8000*4530</f>
        <v>-51639388</v>
      </c>
      <c r="ADP38" s="82">
        <f>ADO38-50000000-32000000-40000000+722497+9032853</f>
        <v>-163884038</v>
      </c>
      <c r="ADQ38" s="82">
        <f t="shared" ref="ADQ38:ADT42" si="946">ADP38</f>
        <v>-163884038</v>
      </c>
      <c r="ADR38" s="82">
        <f t="shared" si="946"/>
        <v>-163884038</v>
      </c>
      <c r="ADS38" s="82">
        <f t="shared" si="946"/>
        <v>-163884038</v>
      </c>
      <c r="ADT38" s="82">
        <f t="shared" si="946"/>
        <v>-163884038</v>
      </c>
      <c r="ADU38" s="82">
        <f>ADT38+12870*4899</f>
        <v>-100833908</v>
      </c>
      <c r="ADV38" s="82">
        <f>ADU38</f>
        <v>-100833908</v>
      </c>
      <c r="ADW38" s="82">
        <f>ADV38-50000000+269000006-107313378</f>
        <v>10852720</v>
      </c>
      <c r="ADX38" s="82">
        <f>ADW38+408000</f>
        <v>11260720</v>
      </c>
      <c r="ADY38" s="82">
        <f>ADX38+7968*4530+5453753</f>
        <v>52809513</v>
      </c>
      <c r="ADZ38" s="82">
        <f t="shared" ref="ADZ38:AEA42" si="947">ADY38</f>
        <v>52809513</v>
      </c>
      <c r="AEA38" s="82">
        <f t="shared" si="947"/>
        <v>52809513</v>
      </c>
      <c r="AEB38" s="82">
        <f>AEA38-50000000</f>
        <v>2809513</v>
      </c>
      <c r="AEC38" s="82">
        <f>AEB38+10908*4899+6542401+783500</f>
        <v>63573706</v>
      </c>
      <c r="AED38" s="82">
        <f t="shared" ref="AED38:AEG42" si="948">AEC38</f>
        <v>63573706</v>
      </c>
      <c r="AEE38" s="82">
        <f t="shared" si="948"/>
        <v>63573706</v>
      </c>
      <c r="AEF38" s="82">
        <f t="shared" si="948"/>
        <v>63573706</v>
      </c>
      <c r="AEG38" s="82">
        <f t="shared" si="948"/>
        <v>63573706</v>
      </c>
      <c r="AEH38" s="82">
        <f>AEG38-70000000</f>
        <v>-6426294</v>
      </c>
      <c r="AEI38" s="82">
        <f>AEH38+8000*4530</f>
        <v>29813706</v>
      </c>
      <c r="AEJ38" s="82">
        <f>AEI38+7973*4879</f>
        <v>68713973</v>
      </c>
      <c r="AEK38" s="82">
        <f t="shared" ref="AEK38:AEL42" si="949">AEJ38</f>
        <v>68713973</v>
      </c>
      <c r="AEL38" s="82">
        <f t="shared" si="949"/>
        <v>68713973</v>
      </c>
      <c r="AEM38" s="82">
        <f>AEL38+8914*4879</f>
        <v>112205379</v>
      </c>
      <c r="AEN38" s="130"/>
      <c r="AEO38" s="82">
        <f>AEM38-40000000</f>
        <v>72205379</v>
      </c>
      <c r="AEP38" s="82">
        <f>AEO38</f>
        <v>72205379</v>
      </c>
      <c r="AEQ38" s="82">
        <f>AEP38+316000+4973*4530</f>
        <v>95049069</v>
      </c>
      <c r="AER38" s="82">
        <f>AEQ38+12278573</f>
        <v>107327642</v>
      </c>
      <c r="AES38" s="82">
        <f>AER38-25000000-32000000</f>
        <v>50327642</v>
      </c>
      <c r="AET38" s="82">
        <f>AES38</f>
        <v>50327642</v>
      </c>
      <c r="AEU38" s="82">
        <f>AET38-32000000-99857032+19199</f>
        <v>-81510191</v>
      </c>
      <c r="AEV38" s="82">
        <f>AEU38+7896*4879</f>
        <v>-42985607</v>
      </c>
      <c r="AEW38" s="82">
        <f t="shared" ref="AEW38:AEX42" si="950">AEV38</f>
        <v>-42985607</v>
      </c>
      <c r="AEX38" s="82">
        <f t="shared" si="950"/>
        <v>-42985607</v>
      </c>
      <c r="AEY38" s="82">
        <f>AEX38+7950*4530</f>
        <v>-6972107</v>
      </c>
      <c r="AEZ38" s="82">
        <f>AEY38</f>
        <v>-6972107</v>
      </c>
      <c r="AFA38" s="82">
        <f>AEZ38+857000</f>
        <v>-6115107</v>
      </c>
      <c r="AFB38" s="82">
        <f>AFA38+12891*4879-47000000</f>
        <v>9780082</v>
      </c>
      <c r="AFC38" s="82">
        <f t="shared" ref="AFC38:AFD42" si="951">AFB38</f>
        <v>9780082</v>
      </c>
      <c r="AFD38" s="82">
        <f t="shared" si="951"/>
        <v>9780082</v>
      </c>
      <c r="AFE38" s="82">
        <f>AFD38+7954*4530</f>
        <v>45811702</v>
      </c>
      <c r="AFF38" s="82">
        <f>AFE38+7914*4879</f>
        <v>84424108</v>
      </c>
      <c r="AFG38" s="82">
        <f>AFF38+4640482+685500-44000000</f>
        <v>45750090</v>
      </c>
      <c r="AFH38" s="82">
        <f t="shared" ref="AFH38:AFK42" si="952">AFG38</f>
        <v>45750090</v>
      </c>
      <c r="AFI38" s="82">
        <f t="shared" si="952"/>
        <v>45750090</v>
      </c>
      <c r="AFJ38" s="82">
        <f t="shared" si="952"/>
        <v>45750090</v>
      </c>
      <c r="AFK38" s="82">
        <f t="shared" si="952"/>
        <v>45750090</v>
      </c>
      <c r="AFL38" s="82">
        <f>AFK38+8000*4879-34000000</f>
        <v>50782090</v>
      </c>
      <c r="AFM38" s="82">
        <f t="shared" ref="AFM38:AFP42" si="953">AFL38</f>
        <v>50782090</v>
      </c>
      <c r="AFN38" s="82">
        <f t="shared" si="953"/>
        <v>50782090</v>
      </c>
      <c r="AFO38" s="82">
        <f t="shared" si="953"/>
        <v>50782090</v>
      </c>
      <c r="AFP38" s="82">
        <f t="shared" si="953"/>
        <v>50782090</v>
      </c>
      <c r="AFQ38" s="82">
        <f>AFP38-75000000-15000000+319000</f>
        <v>-38898910</v>
      </c>
      <c r="AFR38" s="82">
        <f>AFQ38+8419394</f>
        <v>-30479516</v>
      </c>
      <c r="AFS38" s="82">
        <f>AFR38</f>
        <v>-30479516</v>
      </c>
      <c r="AFT38" s="130"/>
      <c r="AFU38" s="82">
        <f>AFS38+11846*4829+12932*4530+988000</f>
        <v>86294778</v>
      </c>
      <c r="AFV38" s="82">
        <f t="shared" ref="AFV38:AFY42" si="954">AFU38</f>
        <v>86294778</v>
      </c>
      <c r="AFW38" s="82">
        <f t="shared" si="954"/>
        <v>86294778</v>
      </c>
      <c r="AFX38" s="82">
        <f t="shared" si="954"/>
        <v>86294778</v>
      </c>
      <c r="AFY38" s="82">
        <f t="shared" si="954"/>
        <v>86294778</v>
      </c>
      <c r="AFZ38" s="82">
        <f>AFY38+9915*4829</f>
        <v>134174313</v>
      </c>
      <c r="AGA38" s="82">
        <f>AFZ38+5041597+457000-55000000</f>
        <v>84672910</v>
      </c>
      <c r="AGB38" s="82">
        <f t="shared" ref="AGB38:AGC42" si="955">AGA38</f>
        <v>84672910</v>
      </c>
      <c r="AGC38" s="82">
        <f t="shared" si="955"/>
        <v>84672910</v>
      </c>
      <c r="AGD38" s="82">
        <f>AGC38-98253100</f>
        <v>-13580190</v>
      </c>
      <c r="AGE38" s="82">
        <f>AGD38</f>
        <v>-13580190</v>
      </c>
      <c r="AGF38" s="82">
        <f>AGE38+12839*4829-52000000-25000000</f>
        <v>-28580659</v>
      </c>
      <c r="AGG38" s="82">
        <f>AGF38</f>
        <v>-28580659</v>
      </c>
      <c r="AGH38" s="82">
        <f>AGG38+7943*4429</f>
        <v>6598888</v>
      </c>
      <c r="AGI38" s="82">
        <f t="shared" ref="AGI38:AGJ42" si="956">AGH38</f>
        <v>6598888</v>
      </c>
      <c r="AGJ38" s="82">
        <f t="shared" si="956"/>
        <v>6598888</v>
      </c>
      <c r="AGK38" s="82">
        <f>AGJ38+497000</f>
        <v>7095888</v>
      </c>
      <c r="AGL38" s="82">
        <f t="shared" ref="AGL38:AGM42" si="957">AGK38</f>
        <v>7095888</v>
      </c>
      <c r="AGM38" s="82">
        <f t="shared" si="957"/>
        <v>7095888</v>
      </c>
      <c r="AGN38" s="82">
        <f>AGM38+6372817-61000000</f>
        <v>-47531295</v>
      </c>
      <c r="AGO38" s="82">
        <f>AGN38+12802*4829</f>
        <v>14289563</v>
      </c>
      <c r="AGP38" s="82">
        <f>AGO38</f>
        <v>14289563</v>
      </c>
      <c r="AGQ38" s="82">
        <f>AGP38+4966*4429</f>
        <v>36283977</v>
      </c>
      <c r="AGR38" s="82">
        <f>AGQ38-42000000-20000000+5457436</f>
        <v>-20258587</v>
      </c>
      <c r="AGS38" s="82">
        <f>AGR38</f>
        <v>-20258587</v>
      </c>
      <c r="AGT38" s="82">
        <f>AGS38+8852*4829</f>
        <v>22487721</v>
      </c>
      <c r="AGU38" s="82">
        <f t="shared" ref="AGU38:AGV42" si="958">AGT38</f>
        <v>22487721</v>
      </c>
      <c r="AGV38" s="82">
        <f t="shared" si="958"/>
        <v>22487721</v>
      </c>
      <c r="AGW38" s="82">
        <f>AGV38+6952*4429-24000000</f>
        <v>29278129</v>
      </c>
      <c r="AGX38" s="82">
        <f>AGW38+632000-60000000</f>
        <v>-30089871</v>
      </c>
      <c r="AGY38" s="133"/>
      <c r="AGZ38" s="82">
        <f>AGX38+3613761</f>
        <v>-26476110</v>
      </c>
      <c r="AHA38" s="82">
        <f>AGZ38</f>
        <v>-26476110</v>
      </c>
      <c r="AHB38" s="82">
        <f>AHA38+12798*4829</f>
        <v>35325432</v>
      </c>
      <c r="AHC38" s="82">
        <f>AHB38</f>
        <v>35325432</v>
      </c>
      <c r="AHD38" s="82">
        <f>AHC38-31000000</f>
        <v>4325432</v>
      </c>
      <c r="AHE38" s="82">
        <f>AHD38+7941*4469+1482000</f>
        <v>41295761</v>
      </c>
      <c r="AHF38" s="82">
        <f t="shared" ref="AHF38:AHG42" si="959">AHE38</f>
        <v>41295761</v>
      </c>
      <c r="AHG38" s="82">
        <f t="shared" si="959"/>
        <v>41295761</v>
      </c>
      <c r="AHH38" s="82">
        <f>AHG38+6516637</f>
        <v>47812398</v>
      </c>
      <c r="AHI38" s="82">
        <f>AHH38</f>
        <v>47812398</v>
      </c>
      <c r="AHJ38" s="82">
        <f>AHI38+12802*4829+8000*4469</f>
        <v>145385256</v>
      </c>
      <c r="AHK38" s="82">
        <f>AHJ38-126174221</f>
        <v>19211035</v>
      </c>
      <c r="AHL38" s="82">
        <f t="shared" ref="AHL38:AHM42" si="960">AHK38</f>
        <v>19211035</v>
      </c>
      <c r="AHM38" s="82">
        <f t="shared" si="960"/>
        <v>19211035</v>
      </c>
      <c r="AHN38" s="82">
        <f>AHM38-62000000</f>
        <v>-42788965</v>
      </c>
      <c r="AHO38" s="82">
        <f>AHN38</f>
        <v>-42788965</v>
      </c>
      <c r="AHP38" s="82">
        <f>AHO38+13926*4829+405000</f>
        <v>24864689</v>
      </c>
      <c r="AHQ38" s="82">
        <f>AHP38</f>
        <v>24864689</v>
      </c>
      <c r="AHR38" s="82">
        <f>AHQ38</f>
        <v>24864689</v>
      </c>
      <c r="AHS38" s="82">
        <f>AHR38-550000</f>
        <v>24314689</v>
      </c>
      <c r="AHT38" s="82">
        <f>AHS38</f>
        <v>24314689</v>
      </c>
      <c r="AHU38" s="82">
        <f>AHT38+10644832+1324797</f>
        <v>36284318</v>
      </c>
      <c r="AHV38" s="82">
        <f>AHU38</f>
        <v>36284318</v>
      </c>
      <c r="AHW38" s="82">
        <f>AHV38+7951*4469+13843*4829+2393239-95000000-2400000</f>
        <v>43658423</v>
      </c>
      <c r="AHX38" s="82">
        <f t="shared" ref="AHX38:AIC40" si="961">AHW38</f>
        <v>43658423</v>
      </c>
      <c r="AHY38" s="82">
        <f t="shared" si="961"/>
        <v>43658423</v>
      </c>
      <c r="AHZ38" s="82">
        <f t="shared" si="961"/>
        <v>43658423</v>
      </c>
      <c r="AIA38" s="82">
        <f t="shared" si="961"/>
        <v>43658423</v>
      </c>
      <c r="AIB38" s="82">
        <f t="shared" si="961"/>
        <v>43658423</v>
      </c>
      <c r="AIC38" s="82">
        <f t="shared" si="961"/>
        <v>43658423</v>
      </c>
      <c r="AID38" s="82">
        <f>AIC38+2988*4469+4973*4829+4984*4829</f>
        <v>105094148</v>
      </c>
      <c r="AIE38" s="130"/>
      <c r="AIF38" s="82">
        <f>AID38-75000000</f>
        <v>30094148</v>
      </c>
      <c r="AIG38" s="82">
        <f t="shared" ref="AIG38:AIH42" si="962">AIF38</f>
        <v>30094148</v>
      </c>
      <c r="AIH38" s="82">
        <f t="shared" si="962"/>
        <v>30094148</v>
      </c>
      <c r="AII38" s="82">
        <f>AIH38+2982*4469</f>
        <v>43420706</v>
      </c>
      <c r="AIJ38" s="82">
        <f>AII38+1455410+10183120+1378500-45000000</f>
        <v>11437736</v>
      </c>
      <c r="AIK38" s="82">
        <f>AIJ38+9927*4829-41000000</f>
        <v>18375219</v>
      </c>
      <c r="AIL38" s="82">
        <f t="shared" ref="AIL38:AIM40" si="963">AIK38</f>
        <v>18375219</v>
      </c>
      <c r="AIM38" s="82">
        <f t="shared" si="963"/>
        <v>18375219</v>
      </c>
      <c r="AIN38" s="82">
        <f>AIM38+8420*4829</f>
        <v>59035399</v>
      </c>
      <c r="AIO38" s="82">
        <f t="shared" ref="AIO38:AIQ42" si="964">AIN38</f>
        <v>59035399</v>
      </c>
      <c r="AIP38" s="82">
        <f t="shared" si="964"/>
        <v>59035399</v>
      </c>
      <c r="AIQ38" s="82">
        <f t="shared" si="964"/>
        <v>59035399</v>
      </c>
      <c r="AIR38" s="82">
        <f>AIQ38+4969*4469+823500-43000000</f>
        <v>39065360</v>
      </c>
      <c r="AIS38" s="82">
        <f t="shared" ref="AIS38:AIW42" si="965">AIR38</f>
        <v>39065360</v>
      </c>
      <c r="AIT38" s="82">
        <f t="shared" si="965"/>
        <v>39065360</v>
      </c>
      <c r="AIU38" s="82">
        <f t="shared" si="965"/>
        <v>39065360</v>
      </c>
      <c r="AIV38" s="82">
        <f t="shared" si="965"/>
        <v>39065360</v>
      </c>
      <c r="AIW38" s="82">
        <f t="shared" si="965"/>
        <v>39065360</v>
      </c>
      <c r="AIX38" s="82">
        <f>AIW38+4942*4879-51000000-18909176</f>
        <v>-6731798</v>
      </c>
      <c r="AIY38" s="82">
        <f>AIX38+1272500</f>
        <v>-5459298</v>
      </c>
      <c r="AIZ38" s="82">
        <f>AIY38</f>
        <v>-5459298</v>
      </c>
      <c r="AJA38" s="82">
        <f>AIZ38+10864*4879</f>
        <v>47546158</v>
      </c>
      <c r="AJB38" s="82">
        <f>AJA38+9927*4479</f>
        <v>92009191</v>
      </c>
      <c r="AJC38" s="82">
        <f>AJB38+7834916</f>
        <v>99844107</v>
      </c>
      <c r="AJD38" s="82">
        <f>AJC38+5000*4879</f>
        <v>124239107</v>
      </c>
      <c r="AJE38" s="82">
        <f t="shared" ref="AJE38:AJH42" si="966">AJD38</f>
        <v>124239107</v>
      </c>
      <c r="AJF38" s="82">
        <f t="shared" si="966"/>
        <v>124239107</v>
      </c>
      <c r="AJG38" s="82">
        <f t="shared" si="966"/>
        <v>124239107</v>
      </c>
      <c r="AJH38" s="82">
        <f t="shared" si="966"/>
        <v>124239107</v>
      </c>
      <c r="AJI38" s="82">
        <f>AJH38+6933*4479+9395*4929-42000000-30000000-22000000</f>
        <v>107599969</v>
      </c>
      <c r="AJJ38" s="82">
        <f>AJI38</f>
        <v>107599969</v>
      </c>
      <c r="AJK38" s="145"/>
      <c r="AJL38" s="82">
        <f>AJJ38-42000000-15500000</f>
        <v>50099969</v>
      </c>
      <c r="AJM38" s="82">
        <f>AJL38+720500+3853318</f>
        <v>54673787</v>
      </c>
      <c r="AJN38" s="82">
        <f>AJM38</f>
        <v>54673787</v>
      </c>
      <c r="AJO38" s="82">
        <f>AJN38+546000</f>
        <v>55219787</v>
      </c>
      <c r="AJP38" s="82">
        <f>AJO38</f>
        <v>55219787</v>
      </c>
      <c r="AJQ38" s="82">
        <f>AJP38+8913*4929+142500</f>
        <v>99294464</v>
      </c>
      <c r="AJR38" s="82">
        <f>AJQ38+7969*4929</f>
        <v>138573665</v>
      </c>
      <c r="AJS38" s="82">
        <f t="shared" ref="AJS38:AJV42" si="967">AJR38</f>
        <v>138573665</v>
      </c>
      <c r="AJT38" s="82">
        <f t="shared" si="967"/>
        <v>138573665</v>
      </c>
      <c r="AJU38" s="82">
        <f t="shared" si="967"/>
        <v>138573665</v>
      </c>
      <c r="AJV38" s="82">
        <f t="shared" si="967"/>
        <v>138573665</v>
      </c>
      <c r="AJW38" s="82">
        <f>AJV38+4974*4479</f>
        <v>160852211</v>
      </c>
      <c r="AJX38" s="82">
        <f>AJW38</f>
        <v>160852211</v>
      </c>
      <c r="AJY38" s="82">
        <f>AJX38+11924*4929+10452823</f>
        <v>230078430</v>
      </c>
      <c r="AJZ38" s="82">
        <f>AJY38</f>
        <v>230078430</v>
      </c>
      <c r="AKA38" s="82">
        <f>AJZ38+8558099+500000</f>
        <v>239136529</v>
      </c>
      <c r="AKB38" s="82">
        <f t="shared" ref="AKB38:AKC42" si="968">AKA38</f>
        <v>239136529</v>
      </c>
      <c r="AKC38" s="82">
        <f t="shared" si="968"/>
        <v>239136529</v>
      </c>
      <c r="AKD38" s="82">
        <f>AKC38+7907*4929+7459*4479</f>
        <v>311518993</v>
      </c>
      <c r="AKE38" s="82">
        <f>AKD38</f>
        <v>311518993</v>
      </c>
      <c r="AKF38" s="82">
        <f>AKE38+902000</f>
        <v>312420993</v>
      </c>
      <c r="AKG38" s="82">
        <f>AKF38</f>
        <v>312420993</v>
      </c>
      <c r="AKH38" s="82">
        <f>AKG38-232000000</f>
        <v>80420993</v>
      </c>
      <c r="AKI38" s="82">
        <f t="shared" ref="AKI38:AKJ42" si="969">AKH38</f>
        <v>80420993</v>
      </c>
      <c r="AKJ38" s="82">
        <f t="shared" si="969"/>
        <v>80420993</v>
      </c>
      <c r="AKK38" s="82">
        <f>AKJ38+4977*4479</f>
        <v>102712976</v>
      </c>
      <c r="AKL38" s="82">
        <f>AKK38-80000000-17972292</f>
        <v>4740684</v>
      </c>
      <c r="AKM38" s="82">
        <f>AKL38+12868*4929</f>
        <v>68167056</v>
      </c>
      <c r="AKN38" s="112"/>
      <c r="AKO38" s="82">
        <f>AKM38</f>
        <v>68167056</v>
      </c>
      <c r="AKP38" s="82">
        <f>AKO38+9647656+647000</f>
        <v>78461712</v>
      </c>
      <c r="AKQ38" s="82">
        <f>AKP38-83000000</f>
        <v>-4538288</v>
      </c>
      <c r="AKR38" s="82">
        <f t="shared" ref="AKR38:AKT42" si="970">AKQ38</f>
        <v>-4538288</v>
      </c>
      <c r="AKS38" s="82">
        <f t="shared" si="970"/>
        <v>-4538288</v>
      </c>
      <c r="AKT38" s="82">
        <f t="shared" si="970"/>
        <v>-4538288</v>
      </c>
      <c r="AKU38" s="82">
        <f>AKT38+10962*4929+5980*4479</f>
        <v>76277830</v>
      </c>
      <c r="AKV38" s="82">
        <f>AKU38</f>
        <v>76277830</v>
      </c>
      <c r="AKW38" s="82">
        <f>AKV38-94000000</f>
        <v>-17722170</v>
      </c>
      <c r="AKX38" s="82">
        <f>AKW38+9958*4479</f>
        <v>26879712</v>
      </c>
      <c r="AKY38" s="82">
        <f>AKX38-17186834</f>
        <v>9692878</v>
      </c>
      <c r="AKZ38" s="82">
        <f>AKY38+7577968</f>
        <v>17270846</v>
      </c>
      <c r="ALA38" s="82">
        <f>AKZ38+9842*4979</f>
        <v>66274164</v>
      </c>
      <c r="ALB38" s="82">
        <f>ALA38+2627522</f>
        <v>68901686</v>
      </c>
      <c r="ALC38" s="82">
        <f t="shared" ref="ALC38:ALE42" si="971">ALB38</f>
        <v>68901686</v>
      </c>
      <c r="ALD38" s="82">
        <f t="shared" si="971"/>
        <v>68901686</v>
      </c>
      <c r="ALE38" s="82">
        <f t="shared" si="971"/>
        <v>68901686</v>
      </c>
      <c r="ALF38" s="82">
        <f>ALE38-3700000-65000000-15000000+1705600+636000</f>
        <v>-12456714</v>
      </c>
      <c r="ALG38" s="82">
        <f>ALF38+4970*4579</f>
        <v>10300916</v>
      </c>
      <c r="ALH38" s="82">
        <f>ALG38+12898*5029</f>
        <v>75164958</v>
      </c>
      <c r="ALI38" s="82">
        <f t="shared" ref="ALI38:ALK42" si="972">ALH38</f>
        <v>75164958</v>
      </c>
      <c r="ALJ38" s="82">
        <f t="shared" si="972"/>
        <v>75164958</v>
      </c>
      <c r="ALK38" s="82">
        <f t="shared" si="972"/>
        <v>75164958</v>
      </c>
      <c r="ALL38" s="82">
        <f>ALK38+794878+3377948-122000000-2000000</f>
        <v>-44662216</v>
      </c>
      <c r="ALM38" s="82">
        <f>ALL38</f>
        <v>-44662216</v>
      </c>
      <c r="ALN38" s="82">
        <f>ALM38+11945*4880+7946*5079</f>
        <v>53987118</v>
      </c>
      <c r="ALO38" s="82">
        <f>ALN38</f>
        <v>53987118</v>
      </c>
      <c r="ALP38" s="82">
        <f>ALO38+7446*5079</f>
        <v>91805352</v>
      </c>
      <c r="ALQ38" s="82">
        <f>ALP38+6458403</f>
        <v>98263755</v>
      </c>
      <c r="ALR38" s="82">
        <f>ALQ38-30000000-74000000</f>
        <v>-5736245</v>
      </c>
      <c r="ALS38" s="82">
        <f>ALR38</f>
        <v>-5736245</v>
      </c>
      <c r="ALT38" s="130"/>
      <c r="ALU38" s="82">
        <f>ALS38-19000000</f>
        <v>-24736245</v>
      </c>
      <c r="ALV38" s="82">
        <f>ALU38+7457*4929+7415*5169+6955400+404175</f>
        <v>57707018</v>
      </c>
      <c r="ALW38" s="82">
        <f>ALV38+5000*5169</f>
        <v>83552018</v>
      </c>
      <c r="ALX38" s="82">
        <f t="shared" ref="ALX38:ALY42" si="973">ALW38</f>
        <v>83552018</v>
      </c>
      <c r="ALY38" s="82">
        <f t="shared" si="973"/>
        <v>83552018</v>
      </c>
      <c r="ALZ38" s="82">
        <f>ALY38+863500+2177062</f>
        <v>86592580</v>
      </c>
      <c r="AMA38" s="82">
        <f>ALZ38</f>
        <v>86592580</v>
      </c>
      <c r="AMB38" s="82">
        <f>AMA38-77000000</f>
        <v>9592580</v>
      </c>
      <c r="AMC38" s="82">
        <f>AMB38+1909000+443382</f>
        <v>11944962</v>
      </c>
      <c r="AMD38" s="82">
        <f>AMC38+4971*5029</f>
        <v>36944121</v>
      </c>
      <c r="AME38" s="82">
        <f>AMD38</f>
        <v>36944121</v>
      </c>
      <c r="AMF38" s="82">
        <f>AME38+9910*5169</f>
        <v>88168911</v>
      </c>
      <c r="AMG38" s="82">
        <f>AMF38-35000000-931500</f>
        <v>52237411</v>
      </c>
      <c r="AMH38" s="82">
        <f>AMG38+7870*5169-20870689-57000000</f>
        <v>15046752</v>
      </c>
      <c r="AMI38" s="82">
        <f>AMH38+7888099</f>
        <v>22934851</v>
      </c>
      <c r="AMJ38" s="82">
        <f>AMI38</f>
        <v>22934851</v>
      </c>
      <c r="AMK38" s="82">
        <f>AMJ38+7945*5269</f>
        <v>64797056</v>
      </c>
      <c r="AML38" s="82">
        <f t="shared" ref="AML38:AMM42" si="974">AMK38</f>
        <v>64797056</v>
      </c>
      <c r="AMM38" s="82">
        <f t="shared" si="974"/>
        <v>64797056</v>
      </c>
      <c r="AMN38" s="82">
        <f>AMM38-91000000</f>
        <v>-26202944</v>
      </c>
      <c r="AMO38" s="82">
        <f>AMN38+8834*5269+7961*5129</f>
        <v>61175371</v>
      </c>
      <c r="AMP38" s="82">
        <f>AMO38</f>
        <v>61175371</v>
      </c>
      <c r="AMQ38" s="82">
        <f>AMP38-63000000-38000000-54000000-2000000+318000+198000</f>
        <v>-95308629</v>
      </c>
      <c r="AMR38" s="82">
        <f>AMQ38+12852*5379+1064000</f>
        <v>-25113721</v>
      </c>
      <c r="AMS38" s="82">
        <f>AMR38+7964*5129+3540100+6200832</f>
        <v>25474567</v>
      </c>
      <c r="AMT38" s="82">
        <f t="shared" ref="AMT38:AMU42" si="975">AMS38</f>
        <v>25474567</v>
      </c>
      <c r="AMU38" s="82">
        <f t="shared" si="975"/>
        <v>25474567</v>
      </c>
      <c r="AMV38" s="82">
        <f>AMU38+7940*5379</f>
        <v>68183827</v>
      </c>
      <c r="AMW38" s="82">
        <f>AMV38-50000000-69000000</f>
        <v>-50816173</v>
      </c>
      <c r="AMX38" s="82">
        <f>AMW38+9850*5379+6811672+159000</f>
        <v>9137649</v>
      </c>
      <c r="AMY38" s="130"/>
      <c r="AMZ38" s="82">
        <f>AMX38+7974*5379</f>
        <v>52029795</v>
      </c>
      <c r="ANA38" s="82">
        <f t="shared" ref="ANA38:ANC42" si="976">AMZ38</f>
        <v>52029795</v>
      </c>
      <c r="ANB38" s="82">
        <f t="shared" si="976"/>
        <v>52029795</v>
      </c>
      <c r="ANC38" s="82">
        <f t="shared" si="976"/>
        <v>52029795</v>
      </c>
      <c r="AND38" s="82">
        <f>ANC38+7930*5579+3905303</f>
        <v>100176568</v>
      </c>
      <c r="ANE38" s="82">
        <f>AND38+4970*5509</f>
        <v>127556298</v>
      </c>
      <c r="ANF38" s="82">
        <f>ANE38</f>
        <v>127556298</v>
      </c>
      <c r="ANG38" s="82">
        <f>ANF38+6933*5579</f>
        <v>166235505</v>
      </c>
      <c r="ANH38" s="82">
        <f>ANG38</f>
        <v>166235505</v>
      </c>
      <c r="ANI38" s="82">
        <f>ANH38-44000000-44000000</f>
        <v>78235505</v>
      </c>
      <c r="ANJ38" s="82">
        <f>ANI38+2449700</f>
        <v>80685205</v>
      </c>
      <c r="ANK38" s="82">
        <f>ANJ38</f>
        <v>80685205</v>
      </c>
      <c r="ANL38" s="82">
        <f>ANK38+880000-119216208</f>
        <v>-37651003</v>
      </c>
      <c r="ANM38" s="82">
        <f>ANL38+65914163</f>
        <v>28263160</v>
      </c>
      <c r="ANN38" s="82">
        <f>ANM38</f>
        <v>28263160</v>
      </c>
      <c r="ANO38" s="82">
        <f>ANN38+6568796</f>
        <v>34831956</v>
      </c>
      <c r="ANP38" s="82">
        <f>ANO38+4913*5579</f>
        <v>62241583</v>
      </c>
      <c r="ANQ38" s="82">
        <f t="shared" ref="ANQ38:ANR42" si="977">ANP38</f>
        <v>62241583</v>
      </c>
      <c r="ANR38" s="82">
        <f t="shared" si="977"/>
        <v>62241583</v>
      </c>
      <c r="ANS38" s="82">
        <f>ANR38+419500+9836*6130</f>
        <v>122955763</v>
      </c>
      <c r="ANT38" s="82">
        <f>ANS38</f>
        <v>122955763</v>
      </c>
      <c r="ANU38" s="82">
        <f>ANT38+4974*5780</f>
        <v>151705483</v>
      </c>
      <c r="ANV38" s="82">
        <f t="shared" ref="ANV38:ANY40" si="978">ANU38</f>
        <v>151705483</v>
      </c>
      <c r="ANW38" s="82">
        <f t="shared" si="978"/>
        <v>151705483</v>
      </c>
      <c r="ANX38" s="82">
        <f t="shared" si="978"/>
        <v>151705483</v>
      </c>
      <c r="ANY38" s="82">
        <f t="shared" si="978"/>
        <v>151705483</v>
      </c>
      <c r="ANZ38" s="82">
        <f>ANY38+8846*6130-55000000</f>
        <v>150931463</v>
      </c>
      <c r="AOA38" s="82">
        <f t="shared" ref="AOA38:AOB40" si="979">ANZ38</f>
        <v>150931463</v>
      </c>
      <c r="AOB38" s="82">
        <f t="shared" si="979"/>
        <v>150931463</v>
      </c>
      <c r="AOC38" s="82">
        <f>AOB38+7961*6370+2950*6270+3934*6270</f>
        <v>244805713</v>
      </c>
    </row>
    <row r="39" spans="1:1069" x14ac:dyDescent="0.2">
      <c r="A39" s="160"/>
      <c r="B39" s="13" t="s">
        <v>1672</v>
      </c>
      <c r="C39" s="52">
        <v>200000</v>
      </c>
      <c r="D39" s="52">
        <f>C39</f>
        <v>200000</v>
      </c>
      <c r="E39" s="52">
        <v>0</v>
      </c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>
        <v>210000</v>
      </c>
      <c r="T39" s="52">
        <f>S39</f>
        <v>210000</v>
      </c>
      <c r="U39" s="52">
        <f t="shared" si="894"/>
        <v>210000</v>
      </c>
      <c r="V39" s="52">
        <f t="shared" si="894"/>
        <v>210000</v>
      </c>
      <c r="W39" s="52">
        <f>V39</f>
        <v>210000</v>
      </c>
      <c r="X39" s="52">
        <f>W39</f>
        <v>210000</v>
      </c>
      <c r="Y39" s="52">
        <f>X39</f>
        <v>210000</v>
      </c>
      <c r="Z39" s="52">
        <f>Y39</f>
        <v>210000</v>
      </c>
      <c r="AA39" s="52">
        <f t="shared" ref="AA39:AB41" si="980">Z39</f>
        <v>210000</v>
      </c>
      <c r="AB39" s="52">
        <f t="shared" si="980"/>
        <v>210000</v>
      </c>
      <c r="AC39" s="52">
        <f t="shared" si="895"/>
        <v>210000</v>
      </c>
      <c r="AD39" s="52">
        <f t="shared" si="895"/>
        <v>210000</v>
      </c>
      <c r="AE39" s="52">
        <f t="shared" ref="AE39:AG40" si="981">AD39</f>
        <v>210000</v>
      </c>
      <c r="AF39" s="52">
        <f t="shared" si="981"/>
        <v>210000</v>
      </c>
      <c r="AG39" s="52">
        <f t="shared" si="981"/>
        <v>210000</v>
      </c>
      <c r="AH39" s="67">
        <f>AG39</f>
        <v>210000</v>
      </c>
      <c r="AI39" s="82">
        <f>AG39</f>
        <v>210000</v>
      </c>
      <c r="AJ39" s="82">
        <f>AI39</f>
        <v>210000</v>
      </c>
      <c r="AK39" s="82">
        <f>AI39</f>
        <v>210000</v>
      </c>
      <c r="AL39" s="82">
        <f>AJ39</f>
        <v>210000</v>
      </c>
      <c r="AM39" s="82">
        <f t="shared" ref="AM39:AR40" si="982">AK39</f>
        <v>210000</v>
      </c>
      <c r="AN39" s="82">
        <f t="shared" si="982"/>
        <v>210000</v>
      </c>
      <c r="AO39" s="82">
        <f t="shared" si="982"/>
        <v>210000</v>
      </c>
      <c r="AP39" s="82">
        <f t="shared" si="982"/>
        <v>210000</v>
      </c>
      <c r="AQ39" s="82">
        <f t="shared" si="982"/>
        <v>210000</v>
      </c>
      <c r="AR39" s="82">
        <f t="shared" si="982"/>
        <v>210000</v>
      </c>
      <c r="AS39" s="82">
        <v>0</v>
      </c>
      <c r="AT39" s="82">
        <v>0</v>
      </c>
      <c r="AU39" s="82">
        <f t="shared" ref="AU39:AW40" si="983">AS39</f>
        <v>0</v>
      </c>
      <c r="AV39" s="82">
        <f t="shared" si="983"/>
        <v>0</v>
      </c>
      <c r="AW39" s="82">
        <f t="shared" si="983"/>
        <v>0</v>
      </c>
      <c r="AX39" s="82">
        <f t="shared" si="896"/>
        <v>0</v>
      </c>
      <c r="AY39" s="82">
        <f t="shared" si="896"/>
        <v>0</v>
      </c>
      <c r="AZ39" s="82">
        <f t="shared" ref="AZ39:BD41" si="984">AX39</f>
        <v>0</v>
      </c>
      <c r="BA39" s="82">
        <f t="shared" si="984"/>
        <v>0</v>
      </c>
      <c r="BB39" s="82">
        <f t="shared" si="984"/>
        <v>0</v>
      </c>
      <c r="BC39" s="82">
        <f t="shared" si="984"/>
        <v>0</v>
      </c>
      <c r="BD39" s="82">
        <f t="shared" si="984"/>
        <v>0</v>
      </c>
      <c r="BE39" s="82">
        <f t="shared" si="897"/>
        <v>0</v>
      </c>
      <c r="BF39" s="82">
        <f t="shared" si="897"/>
        <v>0</v>
      </c>
      <c r="BG39" s="82">
        <f t="shared" si="897"/>
        <v>0</v>
      </c>
      <c r="BH39" s="82">
        <f t="shared" ref="BH39:BL40" si="985">BF39</f>
        <v>0</v>
      </c>
      <c r="BI39" s="82">
        <f t="shared" si="985"/>
        <v>0</v>
      </c>
      <c r="BJ39" s="82">
        <f t="shared" si="985"/>
        <v>0</v>
      </c>
      <c r="BK39" s="82">
        <f t="shared" si="985"/>
        <v>0</v>
      </c>
      <c r="BL39" s="82">
        <f t="shared" si="985"/>
        <v>0</v>
      </c>
      <c r="BM39" s="105"/>
      <c r="BN39" s="82">
        <f t="shared" ref="BN39:BP40" si="986">BL39</f>
        <v>0</v>
      </c>
      <c r="BO39" s="82">
        <f t="shared" si="986"/>
        <v>0</v>
      </c>
      <c r="BP39" s="82">
        <f t="shared" si="986"/>
        <v>0</v>
      </c>
      <c r="BQ39" s="82">
        <v>100000</v>
      </c>
      <c r="BR39" s="82">
        <f>BQ39</f>
        <v>100000</v>
      </c>
      <c r="BS39" s="82">
        <f t="shared" ref="BS39:CB40" si="987">BQ39</f>
        <v>100000</v>
      </c>
      <c r="BT39" s="82">
        <f t="shared" si="987"/>
        <v>100000</v>
      </c>
      <c r="BU39" s="82">
        <f t="shared" si="987"/>
        <v>100000</v>
      </c>
      <c r="BV39" s="82">
        <f t="shared" si="987"/>
        <v>100000</v>
      </c>
      <c r="BW39" s="82">
        <f t="shared" si="987"/>
        <v>100000</v>
      </c>
      <c r="BX39" s="82">
        <f t="shared" si="987"/>
        <v>100000</v>
      </c>
      <c r="BY39" s="82">
        <f t="shared" si="987"/>
        <v>100000</v>
      </c>
      <c r="BZ39" s="82">
        <f t="shared" si="987"/>
        <v>100000</v>
      </c>
      <c r="CA39" s="82">
        <f t="shared" si="987"/>
        <v>100000</v>
      </c>
      <c r="CB39" s="82">
        <f t="shared" si="987"/>
        <v>100000</v>
      </c>
      <c r="CC39" s="82">
        <f t="shared" ref="CC39:CL40" si="988">CA39</f>
        <v>100000</v>
      </c>
      <c r="CD39" s="82">
        <f t="shared" si="988"/>
        <v>100000</v>
      </c>
      <c r="CE39" s="82">
        <f t="shared" si="988"/>
        <v>100000</v>
      </c>
      <c r="CF39" s="82">
        <f t="shared" si="988"/>
        <v>100000</v>
      </c>
      <c r="CG39" s="82">
        <f t="shared" si="988"/>
        <v>100000</v>
      </c>
      <c r="CH39" s="82">
        <f t="shared" si="988"/>
        <v>100000</v>
      </c>
      <c r="CI39" s="82">
        <f t="shared" si="988"/>
        <v>100000</v>
      </c>
      <c r="CJ39" s="82">
        <f t="shared" si="988"/>
        <v>100000</v>
      </c>
      <c r="CK39" s="82">
        <f t="shared" si="988"/>
        <v>100000</v>
      </c>
      <c r="CL39" s="82">
        <f t="shared" si="988"/>
        <v>100000</v>
      </c>
      <c r="CM39" s="82">
        <f t="shared" ref="CM39:CV40" si="989">CK39</f>
        <v>100000</v>
      </c>
      <c r="CN39" s="82">
        <f t="shared" si="989"/>
        <v>100000</v>
      </c>
      <c r="CO39" s="82">
        <f t="shared" si="989"/>
        <v>100000</v>
      </c>
      <c r="CP39" s="82">
        <f t="shared" si="989"/>
        <v>100000</v>
      </c>
      <c r="CQ39" s="82">
        <f t="shared" si="989"/>
        <v>100000</v>
      </c>
      <c r="CR39" s="82">
        <f t="shared" si="989"/>
        <v>100000</v>
      </c>
      <c r="CT39" s="82">
        <f>CR39</f>
        <v>100000</v>
      </c>
      <c r="CU39" s="82">
        <f>CT39</f>
        <v>100000</v>
      </c>
      <c r="CV39" s="82">
        <f>CT39</f>
        <v>100000</v>
      </c>
      <c r="CW39" s="82">
        <v>0</v>
      </c>
      <c r="CX39" s="82">
        <v>0</v>
      </c>
      <c r="CY39" s="82">
        <v>0</v>
      </c>
      <c r="CZ39" s="82">
        <v>0</v>
      </c>
      <c r="DA39" s="82">
        <v>570000</v>
      </c>
      <c r="DB39" s="82">
        <f>DA39</f>
        <v>570000</v>
      </c>
      <c r="DC39" s="82">
        <f>DA39</f>
        <v>570000</v>
      </c>
      <c r="DD39" s="82">
        <f>DB39+210000</f>
        <v>780000</v>
      </c>
      <c r="DE39" s="82">
        <f>DD39</f>
        <v>780000</v>
      </c>
      <c r="DF39" s="82">
        <f t="shared" ref="DF39:DK40" si="990">DD39</f>
        <v>780000</v>
      </c>
      <c r="DG39" s="82">
        <f t="shared" si="990"/>
        <v>780000</v>
      </c>
      <c r="DH39" s="82">
        <f t="shared" si="990"/>
        <v>780000</v>
      </c>
      <c r="DI39" s="82">
        <f t="shared" si="990"/>
        <v>780000</v>
      </c>
      <c r="DJ39" s="82">
        <f t="shared" si="990"/>
        <v>780000</v>
      </c>
      <c r="DK39" s="82">
        <f t="shared" si="990"/>
        <v>780000</v>
      </c>
      <c r="DL39" s="82">
        <f t="shared" si="898"/>
        <v>780000</v>
      </c>
      <c r="DM39" s="82">
        <f t="shared" si="898"/>
        <v>780000</v>
      </c>
      <c r="DN39" s="82">
        <f t="shared" si="898"/>
        <v>780000</v>
      </c>
      <c r="DO39" s="82">
        <f t="shared" si="898"/>
        <v>780000</v>
      </c>
      <c r="DP39" s="82">
        <f t="shared" ref="DP39:DS41" si="991">DN39</f>
        <v>780000</v>
      </c>
      <c r="DQ39" s="82">
        <f t="shared" si="991"/>
        <v>780000</v>
      </c>
      <c r="DR39" s="82">
        <f t="shared" si="991"/>
        <v>780000</v>
      </c>
      <c r="DS39" s="82">
        <f t="shared" si="991"/>
        <v>780000</v>
      </c>
      <c r="DT39" s="82">
        <f>DR39</f>
        <v>780000</v>
      </c>
      <c r="DU39" s="82">
        <f>DS39</f>
        <v>780000</v>
      </c>
      <c r="DV39" s="82">
        <f>DT39+3145000</f>
        <v>3925000</v>
      </c>
      <c r="DW39" s="82">
        <f>DV39</f>
        <v>3925000</v>
      </c>
      <c r="DX39" s="117"/>
      <c r="DY39" s="82">
        <f>DW39</f>
        <v>3925000</v>
      </c>
      <c r="DZ39" s="82">
        <f>DY39</f>
        <v>3925000</v>
      </c>
      <c r="EA39" s="82">
        <f>DY39</f>
        <v>3925000</v>
      </c>
      <c r="EB39" s="82">
        <f>DZ39</f>
        <v>3925000</v>
      </c>
      <c r="EC39" s="82">
        <f t="shared" si="899"/>
        <v>3925000</v>
      </c>
      <c r="ED39" s="82">
        <f t="shared" si="899"/>
        <v>3925000</v>
      </c>
      <c r="EE39" s="82">
        <f t="shared" ref="EE39:EH40" si="992">EC39</f>
        <v>3925000</v>
      </c>
      <c r="EF39" s="82">
        <f t="shared" si="992"/>
        <v>3925000</v>
      </c>
      <c r="EG39" s="82">
        <f t="shared" si="992"/>
        <v>3925000</v>
      </c>
      <c r="EH39" s="82">
        <f t="shared" si="992"/>
        <v>3925000</v>
      </c>
      <c r="EI39" s="82">
        <f>EG39-780000</f>
        <v>3145000</v>
      </c>
      <c r="EJ39" s="82">
        <f>EI39</f>
        <v>3145000</v>
      </c>
      <c r="EK39" s="82">
        <f t="shared" ref="EK39:EM40" si="993">EI39</f>
        <v>3145000</v>
      </c>
      <c r="EL39" s="82">
        <f t="shared" si="993"/>
        <v>3145000</v>
      </c>
      <c r="EM39" s="82">
        <f t="shared" si="993"/>
        <v>3145000</v>
      </c>
      <c r="EN39" s="82">
        <f>EL39+150000</f>
        <v>3295000</v>
      </c>
      <c r="EO39" s="82">
        <f>EN39</f>
        <v>3295000</v>
      </c>
      <c r="EP39" s="82">
        <f t="shared" ref="EP39:EV40" si="994">EN39</f>
        <v>3295000</v>
      </c>
      <c r="EQ39" s="82">
        <f t="shared" si="994"/>
        <v>3295000</v>
      </c>
      <c r="ER39" s="82">
        <f t="shared" si="994"/>
        <v>3295000</v>
      </c>
      <c r="ES39" s="82">
        <f t="shared" si="994"/>
        <v>3295000</v>
      </c>
      <c r="ET39" s="82">
        <f t="shared" si="994"/>
        <v>3295000</v>
      </c>
      <c r="EU39" s="82">
        <f t="shared" si="994"/>
        <v>3295000</v>
      </c>
      <c r="EV39" s="82">
        <f t="shared" si="994"/>
        <v>3295000</v>
      </c>
      <c r="EW39" s="82">
        <f t="shared" si="900"/>
        <v>3295000</v>
      </c>
      <c r="EX39" s="82">
        <f t="shared" si="900"/>
        <v>3295000</v>
      </c>
      <c r="EY39" s="82">
        <f t="shared" si="900"/>
        <v>3295000</v>
      </c>
      <c r="EZ39" s="82">
        <f t="shared" ref="EZ39:FC40" si="995">EX39</f>
        <v>3295000</v>
      </c>
      <c r="FA39" s="82">
        <f t="shared" si="995"/>
        <v>3295000</v>
      </c>
      <c r="FB39" s="82">
        <f t="shared" si="995"/>
        <v>3295000</v>
      </c>
      <c r="FC39" s="82">
        <f t="shared" si="995"/>
        <v>3295000</v>
      </c>
      <c r="FD39" s="126"/>
      <c r="FE39" s="82">
        <f>FC39</f>
        <v>3295000</v>
      </c>
      <c r="FF39" s="82">
        <f>FE39</f>
        <v>3295000</v>
      </c>
      <c r="FG39" s="82">
        <f>FE39</f>
        <v>3295000</v>
      </c>
      <c r="FH39" s="82">
        <v>0</v>
      </c>
      <c r="FI39" s="82">
        <v>0</v>
      </c>
      <c r="FJ39" s="82">
        <f t="shared" ref="FJ39:FW41" si="996">FH39</f>
        <v>0</v>
      </c>
      <c r="FK39" s="82">
        <f t="shared" si="996"/>
        <v>0</v>
      </c>
      <c r="FL39" s="82">
        <f t="shared" si="996"/>
        <v>0</v>
      </c>
      <c r="FM39" s="82">
        <f t="shared" si="996"/>
        <v>0</v>
      </c>
      <c r="FN39" s="82">
        <f t="shared" si="996"/>
        <v>0</v>
      </c>
      <c r="FO39" s="82">
        <f t="shared" si="996"/>
        <v>0</v>
      </c>
      <c r="FP39" s="82">
        <f t="shared" si="996"/>
        <v>0</v>
      </c>
      <c r="FQ39" s="82">
        <f t="shared" si="996"/>
        <v>0</v>
      </c>
      <c r="FR39" s="82">
        <f t="shared" si="996"/>
        <v>0</v>
      </c>
      <c r="FS39" s="82">
        <f t="shared" si="996"/>
        <v>0</v>
      </c>
      <c r="FT39" s="82">
        <f t="shared" si="996"/>
        <v>0</v>
      </c>
      <c r="FU39" s="82">
        <f t="shared" si="996"/>
        <v>0</v>
      </c>
      <c r="FV39" s="82">
        <f t="shared" si="996"/>
        <v>0</v>
      </c>
      <c r="FW39" s="82">
        <f t="shared" si="996"/>
        <v>0</v>
      </c>
      <c r="FX39" s="82">
        <f t="shared" si="901"/>
        <v>0</v>
      </c>
      <c r="FY39" s="82">
        <f t="shared" si="901"/>
        <v>0</v>
      </c>
      <c r="FZ39" s="82">
        <f t="shared" si="901"/>
        <v>0</v>
      </c>
      <c r="GA39" s="82">
        <f t="shared" ref="GA39:GC41" si="997">FY39</f>
        <v>0</v>
      </c>
      <c r="GB39" s="82">
        <f t="shared" si="997"/>
        <v>0</v>
      </c>
      <c r="GC39" s="82">
        <f t="shared" si="997"/>
        <v>0</v>
      </c>
      <c r="GD39" s="82">
        <f t="shared" si="902"/>
        <v>0</v>
      </c>
      <c r="GE39" s="82">
        <f t="shared" si="902"/>
        <v>0</v>
      </c>
      <c r="GF39" s="82">
        <f t="shared" si="902"/>
        <v>0</v>
      </c>
      <c r="GG39" s="82">
        <f t="shared" ref="GG39:GI41" si="998">GE39</f>
        <v>0</v>
      </c>
      <c r="GH39" s="82">
        <f t="shared" si="998"/>
        <v>0</v>
      </c>
      <c r="GI39" s="82">
        <f t="shared" si="998"/>
        <v>0</v>
      </c>
      <c r="GJ39" s="130"/>
      <c r="GK39" s="82">
        <f t="shared" ref="GK39:GP39" si="999">GI39</f>
        <v>0</v>
      </c>
      <c r="GL39" s="82">
        <f t="shared" si="999"/>
        <v>0</v>
      </c>
      <c r="GM39" s="82">
        <f t="shared" si="999"/>
        <v>0</v>
      </c>
      <c r="GN39" s="82">
        <f t="shared" si="999"/>
        <v>0</v>
      </c>
      <c r="GO39" s="82">
        <f t="shared" si="999"/>
        <v>0</v>
      </c>
      <c r="GP39" s="82">
        <f t="shared" si="999"/>
        <v>0</v>
      </c>
      <c r="GQ39" s="82">
        <v>200000</v>
      </c>
      <c r="GR39" s="82">
        <f>GQ39</f>
        <v>200000</v>
      </c>
      <c r="GS39" s="82">
        <f t="shared" ref="GS39:GZ40" si="1000">GQ39</f>
        <v>200000</v>
      </c>
      <c r="GT39" s="82">
        <f t="shared" si="1000"/>
        <v>200000</v>
      </c>
      <c r="GU39" s="82">
        <f t="shared" si="1000"/>
        <v>200000</v>
      </c>
      <c r="GV39" s="82">
        <f t="shared" si="1000"/>
        <v>200000</v>
      </c>
      <c r="GW39" s="82">
        <f t="shared" si="1000"/>
        <v>200000</v>
      </c>
      <c r="GX39" s="82">
        <f t="shared" si="1000"/>
        <v>200000</v>
      </c>
      <c r="GY39" s="82">
        <f t="shared" si="1000"/>
        <v>200000</v>
      </c>
      <c r="GZ39" s="82">
        <f t="shared" si="1000"/>
        <v>200000</v>
      </c>
      <c r="HA39" s="82">
        <f>GY39+200000</f>
        <v>400000</v>
      </c>
      <c r="HB39" s="82">
        <f>HA39</f>
        <v>400000</v>
      </c>
      <c r="HC39" s="82">
        <f t="shared" ref="HC39:HH40" si="1001">HA39</f>
        <v>400000</v>
      </c>
      <c r="HD39" s="82">
        <f t="shared" si="1001"/>
        <v>400000</v>
      </c>
      <c r="HE39" s="82">
        <f t="shared" si="1001"/>
        <v>400000</v>
      </c>
      <c r="HF39" s="82">
        <f t="shared" si="1001"/>
        <v>400000</v>
      </c>
      <c r="HG39" s="82">
        <f t="shared" si="1001"/>
        <v>400000</v>
      </c>
      <c r="HH39" s="82">
        <f t="shared" si="1001"/>
        <v>400000</v>
      </c>
      <c r="HI39" s="82">
        <f>HG39+169400000-22850000</f>
        <v>146950000</v>
      </c>
      <c r="HJ39" s="82">
        <f>HI39</f>
        <v>146950000</v>
      </c>
      <c r="HK39" s="82">
        <f>HI39</f>
        <v>146950000</v>
      </c>
      <c r="HL39" s="82">
        <f>HJ39</f>
        <v>146950000</v>
      </c>
      <c r="HM39" s="82">
        <f>HK39+500000</f>
        <v>147450000</v>
      </c>
      <c r="HN39" s="130"/>
      <c r="HO39" s="82">
        <f>HM39</f>
        <v>147450000</v>
      </c>
      <c r="HP39" s="82">
        <f>HO39</f>
        <v>147450000</v>
      </c>
      <c r="HQ39" s="82">
        <f t="shared" ref="HQ39:HT40" si="1002">HO39</f>
        <v>147450000</v>
      </c>
      <c r="HR39" s="82">
        <f t="shared" si="1002"/>
        <v>147450000</v>
      </c>
      <c r="HS39" s="82">
        <f t="shared" si="1002"/>
        <v>147450000</v>
      </c>
      <c r="HT39" s="82">
        <f t="shared" si="1002"/>
        <v>147450000</v>
      </c>
      <c r="HU39" s="82">
        <f>HS39-900000</f>
        <v>146550000</v>
      </c>
      <c r="HV39" s="82">
        <f>HU39+270000</f>
        <v>146820000</v>
      </c>
      <c r="HW39" s="82">
        <f>HV39</f>
        <v>146820000</v>
      </c>
      <c r="HX39" s="82">
        <f t="shared" ref="HX39:IA40" si="1003">HV39</f>
        <v>146820000</v>
      </c>
      <c r="HY39" s="82">
        <f t="shared" si="1003"/>
        <v>146820000</v>
      </c>
      <c r="HZ39" s="82">
        <f t="shared" si="1003"/>
        <v>146820000</v>
      </c>
      <c r="IA39" s="82">
        <f t="shared" si="1003"/>
        <v>146820000</v>
      </c>
      <c r="IB39" s="82">
        <f>HZ39+150000-23750000</f>
        <v>123220000</v>
      </c>
      <c r="IC39" s="82">
        <f>IB39</f>
        <v>123220000</v>
      </c>
      <c r="ID39" s="82">
        <f t="shared" ref="ID39:IG40" si="1004">IB39</f>
        <v>123220000</v>
      </c>
      <c r="IE39" s="82">
        <f t="shared" si="1004"/>
        <v>123220000</v>
      </c>
      <c r="IF39" s="82">
        <f t="shared" si="1004"/>
        <v>123220000</v>
      </c>
      <c r="IG39" s="82">
        <f t="shared" si="1004"/>
        <v>123220000</v>
      </c>
      <c r="IH39" s="82">
        <f>IF39-24000000</f>
        <v>99220000</v>
      </c>
      <c r="II39" s="82">
        <f>IH39</f>
        <v>99220000</v>
      </c>
      <c r="IJ39" s="82">
        <f t="shared" ref="IJ39:IL40" si="1005">IH39</f>
        <v>99220000</v>
      </c>
      <c r="IK39" s="82">
        <f t="shared" si="1005"/>
        <v>99220000</v>
      </c>
      <c r="IL39" s="82">
        <f t="shared" si="1005"/>
        <v>99220000</v>
      </c>
      <c r="IM39" s="82">
        <f>IK39+150000</f>
        <v>99370000</v>
      </c>
      <c r="IN39" s="82">
        <f>IM39-24000000</f>
        <v>75370000</v>
      </c>
      <c r="IO39" s="82">
        <f>IN39</f>
        <v>75370000</v>
      </c>
      <c r="IP39" s="82">
        <f t="shared" ref="IP39:IR40" si="1006">IN39</f>
        <v>75370000</v>
      </c>
      <c r="IQ39" s="82">
        <f t="shared" si="1006"/>
        <v>75370000</v>
      </c>
      <c r="IR39" s="82">
        <f t="shared" si="1006"/>
        <v>75370000</v>
      </c>
      <c r="IS39" s="82">
        <f>IQ39</f>
        <v>75370000</v>
      </c>
      <c r="IT39" s="130"/>
      <c r="IU39" s="82">
        <f>IS39</f>
        <v>75370000</v>
      </c>
      <c r="IV39" s="82">
        <f>IU39+500000</f>
        <v>75870000</v>
      </c>
      <c r="IW39" s="82">
        <f>IV39-570000</f>
        <v>75300000</v>
      </c>
      <c r="IX39" s="82">
        <f>IW39</f>
        <v>75300000</v>
      </c>
      <c r="IY39" s="82">
        <f>IX39</f>
        <v>75300000</v>
      </c>
      <c r="IZ39" s="82">
        <f>IY39</f>
        <v>75300000</v>
      </c>
      <c r="JA39" s="82">
        <f>IZ39</f>
        <v>75300000</v>
      </c>
      <c r="JB39" s="82">
        <f>JA39</f>
        <v>75300000</v>
      </c>
      <c r="JC39" s="82">
        <f>JB39</f>
        <v>75300000</v>
      </c>
      <c r="JD39" s="82">
        <f t="shared" si="903"/>
        <v>75300000</v>
      </c>
      <c r="JE39" s="82">
        <f t="shared" si="903"/>
        <v>75300000</v>
      </c>
      <c r="JF39" s="82">
        <f t="shared" si="903"/>
        <v>75300000</v>
      </c>
      <c r="JG39" s="82">
        <f t="shared" ref="JG39:JH41" si="1007">JF39</f>
        <v>75300000</v>
      </c>
      <c r="JH39" s="82">
        <f t="shared" si="1007"/>
        <v>75300000</v>
      </c>
      <c r="JI39" s="82">
        <f t="shared" si="904"/>
        <v>75300000</v>
      </c>
      <c r="JJ39" s="82">
        <f t="shared" si="904"/>
        <v>75300000</v>
      </c>
      <c r="JK39" s="82">
        <f t="shared" si="904"/>
        <v>75300000</v>
      </c>
      <c r="JL39" s="82">
        <f>JK39</f>
        <v>75300000</v>
      </c>
      <c r="JM39" s="82">
        <f>JL39</f>
        <v>75300000</v>
      </c>
      <c r="JN39" s="82">
        <f>JM39</f>
        <v>75300000</v>
      </c>
      <c r="JO39" s="82">
        <f t="shared" si="905"/>
        <v>75300000</v>
      </c>
      <c r="JP39" s="82">
        <f t="shared" si="905"/>
        <v>75300000</v>
      </c>
      <c r="JQ39" s="82">
        <f t="shared" si="905"/>
        <v>75300000</v>
      </c>
      <c r="JR39" s="82">
        <f t="shared" si="905"/>
        <v>75300000</v>
      </c>
      <c r="JS39" s="82">
        <f t="shared" si="905"/>
        <v>75300000</v>
      </c>
      <c r="JT39" s="82">
        <f>JS39-23250000</f>
        <v>52050000</v>
      </c>
      <c r="JU39" s="82">
        <f t="shared" ref="JU39:JV41" si="1008">JT39</f>
        <v>52050000</v>
      </c>
      <c r="JV39" s="82">
        <f t="shared" si="1008"/>
        <v>52050000</v>
      </c>
      <c r="JW39" s="82">
        <f t="shared" si="906"/>
        <v>52050000</v>
      </c>
      <c r="JX39" s="82">
        <f t="shared" si="906"/>
        <v>52050000</v>
      </c>
      <c r="JY39" s="133"/>
      <c r="JZ39" s="82">
        <f>JX39</f>
        <v>52050000</v>
      </c>
      <c r="KA39" s="82">
        <f>JZ39</f>
        <v>52050000</v>
      </c>
      <c r="KB39" s="82">
        <f>JZ39</f>
        <v>52050000</v>
      </c>
      <c r="KC39" s="82">
        <f>KA39-13800000</f>
        <v>38250000</v>
      </c>
      <c r="KD39" s="82">
        <f>KC39</f>
        <v>38250000</v>
      </c>
      <c r="KE39" s="82">
        <f>KC39</f>
        <v>38250000</v>
      </c>
      <c r="KF39" s="82">
        <f>KD39</f>
        <v>38250000</v>
      </c>
      <c r="KG39" s="82">
        <f>KE39+500000-500000</f>
        <v>38250000</v>
      </c>
      <c r="KH39" s="82">
        <f t="shared" ref="KH39:KQ40" si="1009">KF39</f>
        <v>38250000</v>
      </c>
      <c r="KI39" s="82">
        <f t="shared" si="1009"/>
        <v>38250000</v>
      </c>
      <c r="KJ39" s="82">
        <f t="shared" si="1009"/>
        <v>38250000</v>
      </c>
      <c r="KK39" s="82">
        <f t="shared" si="1009"/>
        <v>38250000</v>
      </c>
      <c r="KL39" s="82">
        <f t="shared" si="1009"/>
        <v>38250000</v>
      </c>
      <c r="KM39" s="82">
        <f t="shared" si="1009"/>
        <v>38250000</v>
      </c>
      <c r="KN39" s="82">
        <f t="shared" si="1009"/>
        <v>38250000</v>
      </c>
      <c r="KO39" s="82">
        <f t="shared" si="1009"/>
        <v>38250000</v>
      </c>
      <c r="KP39" s="82">
        <f t="shared" si="1009"/>
        <v>38250000</v>
      </c>
      <c r="KQ39" s="82">
        <f t="shared" si="1009"/>
        <v>38250000</v>
      </c>
      <c r="KR39" s="82">
        <f t="shared" ref="KR39:LA40" si="1010">KP39</f>
        <v>38250000</v>
      </c>
      <c r="KS39" s="82">
        <f t="shared" si="1010"/>
        <v>38250000</v>
      </c>
      <c r="KT39" s="82">
        <f t="shared" si="1010"/>
        <v>38250000</v>
      </c>
      <c r="KU39" s="82">
        <f t="shared" si="1010"/>
        <v>38250000</v>
      </c>
      <c r="KV39" s="82">
        <f t="shared" si="1010"/>
        <v>38250000</v>
      </c>
      <c r="KW39" s="82">
        <f t="shared" si="1010"/>
        <v>38250000</v>
      </c>
      <c r="KX39" s="82">
        <f t="shared" si="1010"/>
        <v>38250000</v>
      </c>
      <c r="KY39" s="82">
        <f t="shared" si="1010"/>
        <v>38250000</v>
      </c>
      <c r="KZ39" s="82">
        <f t="shared" si="1010"/>
        <v>38250000</v>
      </c>
      <c r="LA39" s="82">
        <f>KY39-37750000</f>
        <v>500000</v>
      </c>
      <c r="LB39" s="82">
        <f>LA39</f>
        <v>500000</v>
      </c>
      <c r="LC39" s="82">
        <f>LA39</f>
        <v>500000</v>
      </c>
      <c r="LD39" s="82">
        <f>LB39</f>
        <v>500000</v>
      </c>
      <c r="LE39" s="130"/>
      <c r="LF39" s="82">
        <f>LD39</f>
        <v>500000</v>
      </c>
      <c r="LG39" s="82">
        <f>LF39</f>
        <v>500000</v>
      </c>
      <c r="LH39" s="82">
        <f>LG39</f>
        <v>500000</v>
      </c>
      <c r="LI39" s="82">
        <f t="shared" si="907"/>
        <v>500000</v>
      </c>
      <c r="LJ39" s="82">
        <f t="shared" si="907"/>
        <v>500000</v>
      </c>
      <c r="LK39" s="82">
        <f t="shared" ref="LK39:LM40" si="1011">LJ39</f>
        <v>500000</v>
      </c>
      <c r="LL39" s="82">
        <f t="shared" si="1011"/>
        <v>500000</v>
      </c>
      <c r="LM39" s="82">
        <f t="shared" si="1011"/>
        <v>500000</v>
      </c>
      <c r="LN39" s="82">
        <f>LM39</f>
        <v>500000</v>
      </c>
      <c r="LO39" s="82">
        <f t="shared" ref="LO39:LP42" si="1012">LN39</f>
        <v>500000</v>
      </c>
      <c r="LP39" s="82">
        <f t="shared" si="1012"/>
        <v>500000</v>
      </c>
      <c r="LQ39" s="82">
        <f>LP39</f>
        <v>500000</v>
      </c>
      <c r="LR39" s="82">
        <v>0</v>
      </c>
      <c r="LS39" s="82">
        <f>LR39</f>
        <v>0</v>
      </c>
      <c r="LT39" s="82">
        <f t="shared" si="908"/>
        <v>0</v>
      </c>
      <c r="LU39" s="82">
        <f t="shared" si="908"/>
        <v>0</v>
      </c>
      <c r="LV39" s="82">
        <f t="shared" si="908"/>
        <v>0</v>
      </c>
      <c r="LW39" s="82">
        <f t="shared" ref="LW39:LZ41" si="1013">LV39</f>
        <v>0</v>
      </c>
      <c r="LX39" s="82">
        <f t="shared" si="1013"/>
        <v>0</v>
      </c>
      <c r="LY39" s="82">
        <f t="shared" si="1013"/>
        <v>0</v>
      </c>
      <c r="LZ39" s="82">
        <f t="shared" si="1013"/>
        <v>0</v>
      </c>
      <c r="MA39" s="82">
        <f t="shared" si="909"/>
        <v>0</v>
      </c>
      <c r="MB39" s="82">
        <f t="shared" si="909"/>
        <v>0</v>
      </c>
      <c r="MC39" s="82">
        <f t="shared" si="909"/>
        <v>0</v>
      </c>
      <c r="MD39" s="82">
        <f t="shared" ref="MD39:MF41" si="1014">MC39</f>
        <v>0</v>
      </c>
      <c r="ME39" s="82">
        <f t="shared" si="1014"/>
        <v>0</v>
      </c>
      <c r="MF39" s="82">
        <f t="shared" si="1014"/>
        <v>0</v>
      </c>
      <c r="MG39" s="82">
        <f t="shared" si="910"/>
        <v>0</v>
      </c>
      <c r="MH39" s="82">
        <f t="shared" si="910"/>
        <v>0</v>
      </c>
      <c r="MI39" s="82">
        <f>MH39</f>
        <v>0</v>
      </c>
      <c r="MJ39" s="133"/>
      <c r="MK39" s="82">
        <f>MJ39</f>
        <v>0</v>
      </c>
      <c r="ML39" s="82">
        <f>MK39</f>
        <v>0</v>
      </c>
      <c r="MM39" s="82">
        <f>ML39</f>
        <v>0</v>
      </c>
      <c r="MN39" s="82">
        <f>MM39</f>
        <v>0</v>
      </c>
      <c r="MO39" s="82">
        <f>MN39</f>
        <v>0</v>
      </c>
      <c r="MP39" s="82">
        <f>MO39</f>
        <v>0</v>
      </c>
      <c r="MQ39" s="82">
        <f>MP39</f>
        <v>0</v>
      </c>
      <c r="MR39" s="82">
        <f>MQ39</f>
        <v>0</v>
      </c>
      <c r="MS39" s="82">
        <f>MR39</f>
        <v>0</v>
      </c>
      <c r="MT39" s="82">
        <f>MS39</f>
        <v>0</v>
      </c>
      <c r="MU39" s="82">
        <f>MT39</f>
        <v>0</v>
      </c>
      <c r="MV39" s="82">
        <f>MU39</f>
        <v>0</v>
      </c>
      <c r="MW39" s="82">
        <f>MV39</f>
        <v>0</v>
      </c>
      <c r="MX39" s="82">
        <f t="shared" ref="MX39:NC39" si="1015">MW39</f>
        <v>0</v>
      </c>
      <c r="MY39" s="82">
        <f t="shared" si="1015"/>
        <v>0</v>
      </c>
      <c r="MZ39" s="82">
        <f t="shared" si="1015"/>
        <v>0</v>
      </c>
      <c r="NA39" s="82">
        <f t="shared" si="1015"/>
        <v>0</v>
      </c>
      <c r="NB39" s="82">
        <f t="shared" si="1015"/>
        <v>0</v>
      </c>
      <c r="NC39" s="82">
        <f t="shared" si="1015"/>
        <v>0</v>
      </c>
      <c r="ND39" s="82">
        <f>NC39</f>
        <v>0</v>
      </c>
      <c r="NE39" s="82">
        <f t="shared" ref="NE39:NJ39" si="1016">ND39</f>
        <v>0</v>
      </c>
      <c r="NF39" s="82">
        <f t="shared" si="1016"/>
        <v>0</v>
      </c>
      <c r="NG39" s="82">
        <f t="shared" si="1016"/>
        <v>0</v>
      </c>
      <c r="NH39" s="82">
        <f t="shared" si="1016"/>
        <v>0</v>
      </c>
      <c r="NI39" s="82">
        <f t="shared" si="1016"/>
        <v>0</v>
      </c>
      <c r="NJ39" s="82">
        <f t="shared" si="1016"/>
        <v>0</v>
      </c>
      <c r="NK39" s="82">
        <f>NJ39</f>
        <v>0</v>
      </c>
      <c r="NL39" s="82">
        <f>NK39</f>
        <v>0</v>
      </c>
      <c r="NM39" s="82">
        <f>NL39</f>
        <v>0</v>
      </c>
      <c r="NN39" s="82">
        <f>NM39</f>
        <v>0</v>
      </c>
      <c r="NO39" s="82">
        <f>NN39</f>
        <v>0</v>
      </c>
      <c r="NP39" s="133"/>
      <c r="NQ39" s="82">
        <f>NP39</f>
        <v>0</v>
      </c>
      <c r="NR39" s="82">
        <f>NQ39</f>
        <v>0</v>
      </c>
      <c r="NS39" s="82">
        <f>NR39</f>
        <v>0</v>
      </c>
      <c r="NT39" s="82">
        <f>NS39</f>
        <v>0</v>
      </c>
      <c r="NU39" s="82">
        <f>NT39</f>
        <v>0</v>
      </c>
      <c r="NV39" s="82">
        <f>NU39</f>
        <v>0</v>
      </c>
      <c r="NW39" s="82">
        <f>NV39</f>
        <v>0</v>
      </c>
      <c r="NX39" s="82">
        <f>NW39</f>
        <v>0</v>
      </c>
      <c r="NY39" s="82">
        <f>NX39</f>
        <v>0</v>
      </c>
      <c r="NZ39" s="82">
        <f>NY39</f>
        <v>0</v>
      </c>
      <c r="OA39" s="82">
        <f>NZ39</f>
        <v>0</v>
      </c>
      <c r="OB39" s="82">
        <f>OA39</f>
        <v>0</v>
      </c>
      <c r="OC39" s="82">
        <f>OB39</f>
        <v>0</v>
      </c>
      <c r="OD39" s="82">
        <f>OC39</f>
        <v>0</v>
      </c>
      <c r="OE39" s="82">
        <f>OD39</f>
        <v>0</v>
      </c>
      <c r="OF39" s="82">
        <f>OE39</f>
        <v>0</v>
      </c>
      <c r="OG39" s="82">
        <f>OF39</f>
        <v>0</v>
      </c>
      <c r="OH39" s="82">
        <f>OG39</f>
        <v>0</v>
      </c>
      <c r="OI39" s="82">
        <f>OH39</f>
        <v>0</v>
      </c>
      <c r="OJ39" s="82">
        <f>OI39</f>
        <v>0</v>
      </c>
      <c r="OK39" s="82">
        <f>OJ39</f>
        <v>0</v>
      </c>
      <c r="OL39" s="82">
        <f>OK39</f>
        <v>0</v>
      </c>
      <c r="OM39" s="82">
        <f>OL39</f>
        <v>0</v>
      </c>
      <c r="ON39" s="82">
        <f>OM39</f>
        <v>0</v>
      </c>
      <c r="OO39" s="82">
        <f>ON39</f>
        <v>0</v>
      </c>
      <c r="OP39" s="82">
        <f>OO39</f>
        <v>0</v>
      </c>
      <c r="OQ39" s="82">
        <f>OP39</f>
        <v>0</v>
      </c>
      <c r="OR39" s="82">
        <f>OQ39</f>
        <v>0</v>
      </c>
      <c r="OS39" s="82">
        <f>OR39</f>
        <v>0</v>
      </c>
      <c r="OT39" s="82">
        <f>OS39</f>
        <v>0</v>
      </c>
      <c r="OU39" s="82">
        <f>OT39</f>
        <v>0</v>
      </c>
      <c r="OV39" s="130"/>
      <c r="OW39" s="82">
        <f>OV39</f>
        <v>0</v>
      </c>
      <c r="OX39" s="82">
        <f>OW39</f>
        <v>0</v>
      </c>
      <c r="OY39" s="82">
        <f>OX39</f>
        <v>0</v>
      </c>
      <c r="OZ39" s="82">
        <f>OY39</f>
        <v>0</v>
      </c>
      <c r="PA39" s="82">
        <f>OZ39</f>
        <v>0</v>
      </c>
      <c r="PB39" s="82">
        <f>PA39</f>
        <v>0</v>
      </c>
      <c r="PC39" s="82">
        <f>PB39</f>
        <v>0</v>
      </c>
      <c r="PD39" s="82">
        <f>PC39</f>
        <v>0</v>
      </c>
      <c r="PE39" s="82">
        <f>PD39</f>
        <v>0</v>
      </c>
      <c r="PF39" s="82">
        <f>PE39</f>
        <v>0</v>
      </c>
      <c r="PG39" s="82">
        <f>PF39</f>
        <v>0</v>
      </c>
      <c r="PH39" s="82">
        <f>PG39</f>
        <v>0</v>
      </c>
      <c r="PI39" s="82">
        <f>PH39</f>
        <v>0</v>
      </c>
      <c r="PJ39" s="82">
        <f>PI39</f>
        <v>0</v>
      </c>
      <c r="PK39" s="82">
        <f>PJ39</f>
        <v>0</v>
      </c>
      <c r="PL39" s="82">
        <f>PK39</f>
        <v>0</v>
      </c>
      <c r="PM39" s="82">
        <f>PL39</f>
        <v>0</v>
      </c>
      <c r="PN39" s="82">
        <f>PM39</f>
        <v>0</v>
      </c>
      <c r="PO39" s="82">
        <f>PN39</f>
        <v>0</v>
      </c>
      <c r="PP39" s="82">
        <f>PO39</f>
        <v>0</v>
      </c>
      <c r="PQ39" s="82">
        <f>PP39</f>
        <v>0</v>
      </c>
      <c r="PR39" s="82">
        <f>PQ39</f>
        <v>0</v>
      </c>
      <c r="PS39" s="82">
        <f>PR39</f>
        <v>0</v>
      </c>
      <c r="PT39" s="82">
        <f>PS39</f>
        <v>0</v>
      </c>
      <c r="PU39" s="82">
        <f>PT39</f>
        <v>0</v>
      </c>
      <c r="PV39" s="82">
        <f>PU39</f>
        <v>0</v>
      </c>
      <c r="PW39" s="82">
        <f>PV39</f>
        <v>0</v>
      </c>
      <c r="PX39" s="82">
        <f>PW39</f>
        <v>0</v>
      </c>
      <c r="PY39" s="82">
        <f>PX39</f>
        <v>0</v>
      </c>
      <c r="PZ39" s="82">
        <f>PY39</f>
        <v>0</v>
      </c>
      <c r="QA39" s="130"/>
      <c r="QB39" s="82">
        <f>QA39</f>
        <v>0</v>
      </c>
      <c r="QC39" s="82">
        <f>QB39</f>
        <v>0</v>
      </c>
      <c r="QD39" s="82">
        <f>QC39</f>
        <v>0</v>
      </c>
      <c r="QE39" s="82">
        <f>QD39</f>
        <v>0</v>
      </c>
      <c r="QF39" s="82">
        <f t="shared" si="911"/>
        <v>0</v>
      </c>
      <c r="QG39" s="82">
        <f t="shared" si="911"/>
        <v>0</v>
      </c>
      <c r="QH39" s="82">
        <f t="shared" ref="QH39:QJ41" si="1017">QG39</f>
        <v>0</v>
      </c>
      <c r="QI39" s="82">
        <f t="shared" si="1017"/>
        <v>0</v>
      </c>
      <c r="QJ39" s="82">
        <f t="shared" si="1017"/>
        <v>0</v>
      </c>
      <c r="QK39" s="82">
        <f>QJ39</f>
        <v>0</v>
      </c>
      <c r="QL39" s="82">
        <f t="shared" ref="QL39:QM41" si="1018">QK39</f>
        <v>0</v>
      </c>
      <c r="QM39" s="82">
        <f t="shared" si="1018"/>
        <v>0</v>
      </c>
      <c r="QN39" s="82">
        <f>QM39</f>
        <v>0</v>
      </c>
      <c r="QO39" s="82">
        <f t="shared" ref="QO39:QQ42" si="1019">QN39</f>
        <v>0</v>
      </c>
      <c r="QP39" s="82">
        <f t="shared" si="1019"/>
        <v>0</v>
      </c>
      <c r="QQ39" s="82">
        <f t="shared" si="1019"/>
        <v>0</v>
      </c>
      <c r="QR39" s="82">
        <f t="shared" si="912"/>
        <v>0</v>
      </c>
      <c r="QS39" s="82">
        <f t="shared" si="912"/>
        <v>0</v>
      </c>
      <c r="QT39" s="82">
        <f t="shared" ref="QT39:QV41" si="1020">QS39</f>
        <v>0</v>
      </c>
      <c r="QU39" s="82">
        <f t="shared" si="1020"/>
        <v>0</v>
      </c>
      <c r="QV39" s="82">
        <f t="shared" si="1020"/>
        <v>0</v>
      </c>
      <c r="QW39" s="82">
        <f t="shared" si="913"/>
        <v>0</v>
      </c>
      <c r="QX39" s="82">
        <f t="shared" si="913"/>
        <v>0</v>
      </c>
      <c r="QY39" s="82">
        <f>QX39</f>
        <v>0</v>
      </c>
      <c r="QZ39" s="82">
        <f>QY39</f>
        <v>0</v>
      </c>
      <c r="RA39" s="82">
        <f>QZ39</f>
        <v>0</v>
      </c>
      <c r="RB39" s="82">
        <f>RA39</f>
        <v>0</v>
      </c>
      <c r="RC39" s="82">
        <f t="shared" ref="RC39:RE41" si="1021">RB39</f>
        <v>0</v>
      </c>
      <c r="RD39" s="82">
        <f t="shared" si="1021"/>
        <v>0</v>
      </c>
      <c r="RE39" s="82">
        <f t="shared" si="1021"/>
        <v>0</v>
      </c>
      <c r="RF39" s="82">
        <f>RE39</f>
        <v>0</v>
      </c>
      <c r="RG39" s="130"/>
      <c r="RH39" s="82">
        <f>RG39</f>
        <v>0</v>
      </c>
      <c r="RI39" s="82">
        <f t="shared" si="914"/>
        <v>0</v>
      </c>
      <c r="RJ39" s="82">
        <f t="shared" si="914"/>
        <v>0</v>
      </c>
      <c r="RK39" s="82">
        <f t="shared" si="914"/>
        <v>0</v>
      </c>
      <c r="RL39" s="82">
        <f t="shared" ref="RL39:RN41" si="1022">RK39</f>
        <v>0</v>
      </c>
      <c r="RM39" s="82">
        <f t="shared" si="1022"/>
        <v>0</v>
      </c>
      <c r="RN39" s="82">
        <f t="shared" si="1022"/>
        <v>0</v>
      </c>
      <c r="RO39" s="82">
        <f t="shared" si="915"/>
        <v>0</v>
      </c>
      <c r="RP39" s="82">
        <f t="shared" si="915"/>
        <v>0</v>
      </c>
      <c r="RQ39" s="82">
        <f t="shared" ref="RQ39:RS40" si="1023">RP39</f>
        <v>0</v>
      </c>
      <c r="RR39" s="82">
        <f t="shared" si="1023"/>
        <v>0</v>
      </c>
      <c r="RS39" s="82">
        <f t="shared" si="1023"/>
        <v>0</v>
      </c>
      <c r="RT39" s="82">
        <f>RS39</f>
        <v>0</v>
      </c>
      <c r="RU39" s="82">
        <f>RT39</f>
        <v>0</v>
      </c>
      <c r="RV39" s="82">
        <f>RU39</f>
        <v>0</v>
      </c>
      <c r="RW39" s="82">
        <f>RV39</f>
        <v>0</v>
      </c>
      <c r="RX39" s="82">
        <f t="shared" si="916"/>
        <v>0</v>
      </c>
      <c r="RY39" s="82">
        <f t="shared" si="916"/>
        <v>0</v>
      </c>
      <c r="RZ39" s="82">
        <f t="shared" si="916"/>
        <v>0</v>
      </c>
      <c r="SA39" s="82">
        <f>RZ39</f>
        <v>0</v>
      </c>
      <c r="SB39" s="82">
        <f>SA39</f>
        <v>0</v>
      </c>
      <c r="SC39" s="82">
        <f>SB39</f>
        <v>0</v>
      </c>
      <c r="SD39" s="82">
        <f>SC39</f>
        <v>0</v>
      </c>
      <c r="SE39" s="82">
        <f>SD39</f>
        <v>0</v>
      </c>
      <c r="SF39" s="82">
        <f t="shared" si="917"/>
        <v>0</v>
      </c>
      <c r="SG39" s="82">
        <f t="shared" si="917"/>
        <v>0</v>
      </c>
      <c r="SH39" s="82">
        <f t="shared" si="917"/>
        <v>0</v>
      </c>
      <c r="SI39" s="82">
        <f t="shared" si="917"/>
        <v>0</v>
      </c>
      <c r="SJ39" s="82">
        <f t="shared" si="917"/>
        <v>0</v>
      </c>
      <c r="SK39" s="82">
        <f>SJ39</f>
        <v>0</v>
      </c>
      <c r="SL39" s="130"/>
      <c r="SM39" s="82">
        <f>SL39</f>
        <v>0</v>
      </c>
      <c r="SN39" s="82">
        <f t="shared" si="918"/>
        <v>0</v>
      </c>
      <c r="SO39" s="82">
        <f t="shared" si="918"/>
        <v>0</v>
      </c>
      <c r="SP39" s="82">
        <f>SO39</f>
        <v>0</v>
      </c>
      <c r="SQ39" s="82">
        <f>SP39</f>
        <v>0</v>
      </c>
      <c r="SR39" s="82">
        <f t="shared" ref="SR39:ST41" si="1024">SQ39</f>
        <v>0</v>
      </c>
      <c r="SS39" s="82">
        <f t="shared" si="1024"/>
        <v>0</v>
      </c>
      <c r="ST39" s="82">
        <f t="shared" si="1024"/>
        <v>0</v>
      </c>
      <c r="SU39" s="82">
        <f>ST39</f>
        <v>0</v>
      </c>
      <c r="SV39" s="82">
        <f t="shared" ref="SV39:SX40" si="1025">SU39</f>
        <v>0</v>
      </c>
      <c r="SW39" s="82">
        <f t="shared" si="1025"/>
        <v>0</v>
      </c>
      <c r="SX39" s="82">
        <f t="shared" si="1025"/>
        <v>0</v>
      </c>
      <c r="SY39" s="82">
        <f t="shared" si="919"/>
        <v>0</v>
      </c>
      <c r="SZ39" s="82">
        <f t="shared" si="919"/>
        <v>0</v>
      </c>
      <c r="TA39" s="82">
        <f>SZ39</f>
        <v>0</v>
      </c>
      <c r="TB39" s="82">
        <f>TA39</f>
        <v>0</v>
      </c>
      <c r="TC39" s="82">
        <f>TB39</f>
        <v>0</v>
      </c>
      <c r="TD39" s="82">
        <f>TC39</f>
        <v>0</v>
      </c>
      <c r="TE39" s="82">
        <f t="shared" ref="TE39:TF41" si="1026">TD39</f>
        <v>0</v>
      </c>
      <c r="TF39" s="82">
        <f t="shared" si="1026"/>
        <v>0</v>
      </c>
      <c r="TG39" s="82">
        <f t="shared" si="920"/>
        <v>0</v>
      </c>
      <c r="TH39" s="82">
        <f t="shared" si="920"/>
        <v>0</v>
      </c>
      <c r="TI39" s="82">
        <f t="shared" si="920"/>
        <v>0</v>
      </c>
      <c r="TJ39" s="82">
        <f>TI39</f>
        <v>0</v>
      </c>
      <c r="TK39" s="82">
        <f t="shared" si="921"/>
        <v>0</v>
      </c>
      <c r="TL39" s="82">
        <f t="shared" si="921"/>
        <v>0</v>
      </c>
      <c r="TM39" s="82">
        <f t="shared" si="921"/>
        <v>0</v>
      </c>
      <c r="TN39" s="82">
        <f>TM39</f>
        <v>0</v>
      </c>
      <c r="TO39" s="82">
        <f>TN39</f>
        <v>0</v>
      </c>
      <c r="TP39" s="82">
        <f t="shared" ref="TP39:TQ42" si="1027">TO39</f>
        <v>0</v>
      </c>
      <c r="TQ39" s="82">
        <f t="shared" si="1027"/>
        <v>0</v>
      </c>
      <c r="TR39" s="130"/>
      <c r="TS39" s="82">
        <f>TR39</f>
        <v>0</v>
      </c>
      <c r="TT39" s="82">
        <f>TS39</f>
        <v>0</v>
      </c>
      <c r="TU39" s="82">
        <f>TT39</f>
        <v>0</v>
      </c>
      <c r="TV39" s="82">
        <f>TU39</f>
        <v>0</v>
      </c>
      <c r="TW39" s="82">
        <f>TV39</f>
        <v>0</v>
      </c>
      <c r="TX39" s="82">
        <f>TW39</f>
        <v>0</v>
      </c>
      <c r="TY39" s="82">
        <f t="shared" ref="TY39:UB41" si="1028">TX39</f>
        <v>0</v>
      </c>
      <c r="TZ39" s="82">
        <f t="shared" si="1028"/>
        <v>0</v>
      </c>
      <c r="UA39" s="82">
        <f t="shared" si="1028"/>
        <v>0</v>
      </c>
      <c r="UB39" s="82">
        <f t="shared" si="1028"/>
        <v>0</v>
      </c>
      <c r="UC39" s="82">
        <f>UB39</f>
        <v>0</v>
      </c>
      <c r="UD39" s="82">
        <f>UC39</f>
        <v>0</v>
      </c>
      <c r="UE39" s="82">
        <f t="shared" si="922"/>
        <v>0</v>
      </c>
      <c r="UF39" s="82">
        <f t="shared" si="922"/>
        <v>0</v>
      </c>
      <c r="UG39" s="82">
        <f t="shared" si="922"/>
        <v>0</v>
      </c>
      <c r="UH39" s="82">
        <f t="shared" si="922"/>
        <v>0</v>
      </c>
      <c r="UI39" s="82">
        <f t="shared" ref="UI39:UJ41" si="1029">UH39</f>
        <v>0</v>
      </c>
      <c r="UJ39" s="82">
        <f t="shared" si="1029"/>
        <v>0</v>
      </c>
      <c r="UK39" s="82">
        <f>UJ39</f>
        <v>0</v>
      </c>
      <c r="UL39" s="82">
        <f>UK39</f>
        <v>0</v>
      </c>
      <c r="UM39" s="82">
        <f>UL39</f>
        <v>0</v>
      </c>
      <c r="UN39" s="82">
        <f>UM39</f>
        <v>0</v>
      </c>
      <c r="UO39" s="82">
        <f>UN39</f>
        <v>0</v>
      </c>
      <c r="UP39" s="82">
        <f>UO39</f>
        <v>0</v>
      </c>
      <c r="UQ39" s="82">
        <f>UP39</f>
        <v>0</v>
      </c>
      <c r="UR39" s="82">
        <f>UQ39</f>
        <v>0</v>
      </c>
      <c r="US39" s="82">
        <f>UR39</f>
        <v>0</v>
      </c>
      <c r="UT39" s="82">
        <f t="shared" ref="UT39:UV41" si="1030">US39</f>
        <v>0</v>
      </c>
      <c r="UU39" s="82">
        <f t="shared" si="1030"/>
        <v>0</v>
      </c>
      <c r="UV39" s="82">
        <f t="shared" si="1030"/>
        <v>0</v>
      </c>
      <c r="UW39" s="82">
        <f>UV39</f>
        <v>0</v>
      </c>
      <c r="UX39" s="130"/>
      <c r="UY39" s="82">
        <f>UX39</f>
        <v>0</v>
      </c>
      <c r="UZ39" s="82">
        <f>UY39</f>
        <v>0</v>
      </c>
      <c r="VA39" s="82">
        <f>UZ39</f>
        <v>0</v>
      </c>
      <c r="VB39" s="82">
        <f>VA39</f>
        <v>0</v>
      </c>
      <c r="VC39" s="82">
        <f>VB39</f>
        <v>0</v>
      </c>
      <c r="VD39" s="82">
        <f>VC39</f>
        <v>0</v>
      </c>
      <c r="VE39" s="82">
        <f>VD39</f>
        <v>0</v>
      </c>
      <c r="VF39" s="82">
        <f>VE39</f>
        <v>0</v>
      </c>
      <c r="VG39" s="82">
        <f>VF39</f>
        <v>0</v>
      </c>
      <c r="VH39" s="82">
        <f>VG39</f>
        <v>0</v>
      </c>
      <c r="VI39" s="82">
        <f>VH39</f>
        <v>0</v>
      </c>
      <c r="VJ39" s="82">
        <f>VI39</f>
        <v>0</v>
      </c>
      <c r="VK39" s="82">
        <f>VJ39</f>
        <v>0</v>
      </c>
      <c r="VL39" s="82">
        <f>VK39</f>
        <v>0</v>
      </c>
      <c r="VM39" s="82">
        <f>VL39</f>
        <v>0</v>
      </c>
      <c r="VN39" s="82">
        <f t="shared" si="923"/>
        <v>0</v>
      </c>
      <c r="VO39" s="82">
        <f t="shared" si="923"/>
        <v>0</v>
      </c>
      <c r="VP39" s="82">
        <f t="shared" si="923"/>
        <v>0</v>
      </c>
      <c r="VQ39" s="82">
        <f>VP39</f>
        <v>0</v>
      </c>
      <c r="VR39" s="82">
        <f>VQ39</f>
        <v>0</v>
      </c>
      <c r="VS39" s="82">
        <f>VR39</f>
        <v>0</v>
      </c>
      <c r="VT39" s="82">
        <f>VS39</f>
        <v>0</v>
      </c>
      <c r="VU39" s="82">
        <f>VT39</f>
        <v>0</v>
      </c>
      <c r="VV39" s="82">
        <f>VU39</f>
        <v>0</v>
      </c>
      <c r="VW39" s="82">
        <f>VV39</f>
        <v>0</v>
      </c>
      <c r="VX39" s="82">
        <f>VW39</f>
        <v>0</v>
      </c>
      <c r="VY39" s="82">
        <f>VX39</f>
        <v>0</v>
      </c>
      <c r="VZ39" s="82">
        <f>VY39</f>
        <v>0</v>
      </c>
      <c r="WA39" s="133"/>
      <c r="WB39" s="82">
        <f>WA39</f>
        <v>0</v>
      </c>
      <c r="WC39" s="82">
        <f>WB39</f>
        <v>0</v>
      </c>
      <c r="WD39" s="82">
        <f>WC39</f>
        <v>0</v>
      </c>
      <c r="WE39" s="82">
        <f t="shared" si="924"/>
        <v>0</v>
      </c>
      <c r="WF39" s="82">
        <f t="shared" si="924"/>
        <v>0</v>
      </c>
      <c r="WG39" s="82">
        <f t="shared" si="924"/>
        <v>0</v>
      </c>
      <c r="WH39" s="82">
        <f>WG39</f>
        <v>0</v>
      </c>
      <c r="WI39" s="82">
        <f>WH39</f>
        <v>0</v>
      </c>
      <c r="WJ39" s="82">
        <f>WI39</f>
        <v>0</v>
      </c>
      <c r="WK39" s="82">
        <f>WJ39</f>
        <v>0</v>
      </c>
      <c r="WL39" s="82">
        <f>WK39</f>
        <v>0</v>
      </c>
      <c r="WM39" s="82">
        <f>WL39</f>
        <v>0</v>
      </c>
      <c r="WN39" s="82">
        <f>WM39</f>
        <v>0</v>
      </c>
      <c r="WO39" s="82">
        <f>WN39</f>
        <v>0</v>
      </c>
      <c r="WP39" s="82">
        <f>WO39</f>
        <v>0</v>
      </c>
      <c r="WQ39" s="82">
        <f>WP39</f>
        <v>0</v>
      </c>
      <c r="WR39" s="82">
        <v>500000</v>
      </c>
      <c r="WS39" s="82">
        <f>WR39</f>
        <v>500000</v>
      </c>
      <c r="WT39" s="82">
        <f>WS39</f>
        <v>500000</v>
      </c>
      <c r="WU39" s="82">
        <f>WT39</f>
        <v>500000</v>
      </c>
      <c r="WV39" s="82">
        <f>WU39</f>
        <v>500000</v>
      </c>
      <c r="WW39" s="82">
        <f t="shared" si="925"/>
        <v>500000</v>
      </c>
      <c r="WX39" s="82">
        <f t="shared" si="925"/>
        <v>500000</v>
      </c>
      <c r="WY39" s="82">
        <f t="shared" si="925"/>
        <v>500000</v>
      </c>
      <c r="WZ39" s="82">
        <f>WY39</f>
        <v>500000</v>
      </c>
      <c r="XA39" s="82">
        <f>WZ39</f>
        <v>500000</v>
      </c>
      <c r="XB39" s="82">
        <f>XA39</f>
        <v>500000</v>
      </c>
      <c r="XC39" s="82">
        <f>XB39</f>
        <v>500000</v>
      </c>
      <c r="XD39" s="82">
        <f>XC39</f>
        <v>500000</v>
      </c>
      <c r="XE39" s="82">
        <f>XD39</f>
        <v>500000</v>
      </c>
      <c r="XF39" s="82">
        <f>XE39</f>
        <v>500000</v>
      </c>
      <c r="XG39" s="133"/>
      <c r="XH39" s="82">
        <f>XF39</f>
        <v>500000</v>
      </c>
      <c r="XI39" s="82">
        <f>XH39</f>
        <v>500000</v>
      </c>
      <c r="XJ39" s="82">
        <f t="shared" ref="XJ39:XK42" si="1031">XI39</f>
        <v>500000</v>
      </c>
      <c r="XK39" s="82">
        <f t="shared" si="1031"/>
        <v>500000</v>
      </c>
      <c r="XL39" s="82">
        <f>XK39</f>
        <v>500000</v>
      </c>
      <c r="XM39" s="82">
        <f>XL39</f>
        <v>500000</v>
      </c>
      <c r="XN39" s="82">
        <f t="shared" si="926"/>
        <v>500000</v>
      </c>
      <c r="XO39" s="82">
        <f t="shared" si="926"/>
        <v>500000</v>
      </c>
      <c r="XP39" s="82">
        <v>0</v>
      </c>
      <c r="XQ39" s="82">
        <f>XP39</f>
        <v>0</v>
      </c>
      <c r="XR39" s="82">
        <f t="shared" ref="XR39:XS41" si="1032">XQ39</f>
        <v>0</v>
      </c>
      <c r="XS39" s="82">
        <f t="shared" si="1032"/>
        <v>0</v>
      </c>
      <c r="XT39" s="82">
        <f t="shared" si="927"/>
        <v>0</v>
      </c>
      <c r="XU39" s="82">
        <f t="shared" si="927"/>
        <v>0</v>
      </c>
      <c r="XV39" s="82">
        <f t="shared" ref="XV39:XZ40" si="1033">XU39</f>
        <v>0</v>
      </c>
      <c r="XW39" s="82">
        <f t="shared" si="1033"/>
        <v>0</v>
      </c>
      <c r="XX39" s="82">
        <f t="shared" si="1033"/>
        <v>0</v>
      </c>
      <c r="XY39" s="82">
        <f t="shared" si="1033"/>
        <v>0</v>
      </c>
      <c r="XZ39" s="82">
        <f t="shared" si="1033"/>
        <v>0</v>
      </c>
      <c r="YA39" s="82">
        <f t="shared" si="928"/>
        <v>0</v>
      </c>
      <c r="YB39" s="82">
        <f t="shared" si="928"/>
        <v>0</v>
      </c>
      <c r="YC39" s="82">
        <f t="shared" ref="YC39:YG41" si="1034">YB39</f>
        <v>0</v>
      </c>
      <c r="YD39" s="82">
        <f t="shared" si="1034"/>
        <v>0</v>
      </c>
      <c r="YE39" s="82">
        <f t="shared" si="1034"/>
        <v>0</v>
      </c>
      <c r="YF39" s="82">
        <f t="shared" si="1034"/>
        <v>0</v>
      </c>
      <c r="YG39" s="82">
        <f t="shared" si="1034"/>
        <v>0</v>
      </c>
      <c r="YH39" s="82">
        <f t="shared" si="929"/>
        <v>0</v>
      </c>
      <c r="YI39" s="82">
        <f t="shared" si="929"/>
        <v>0</v>
      </c>
      <c r="YJ39" s="82">
        <f>YI39</f>
        <v>0</v>
      </c>
      <c r="YK39" s="82">
        <f>YJ39</f>
        <v>0</v>
      </c>
      <c r="YL39" s="130"/>
      <c r="YM39" s="82">
        <f>YL39</f>
        <v>0</v>
      </c>
      <c r="YN39" s="82">
        <f>YM39</f>
        <v>0</v>
      </c>
      <c r="YO39" s="82">
        <f>YN39</f>
        <v>0</v>
      </c>
      <c r="YP39" s="82">
        <v>877000</v>
      </c>
      <c r="YQ39" s="82">
        <f t="shared" ref="YQ39:YR42" si="1035">YP39</f>
        <v>877000</v>
      </c>
      <c r="YR39" s="82">
        <f t="shared" si="1035"/>
        <v>877000</v>
      </c>
      <c r="YS39" s="82">
        <f>YR39+878000</f>
        <v>1755000</v>
      </c>
      <c r="YT39" s="82">
        <f t="shared" ref="YT39:YU41" si="1036">YS39</f>
        <v>1755000</v>
      </c>
      <c r="YU39" s="82">
        <f t="shared" si="1036"/>
        <v>1755000</v>
      </c>
      <c r="YV39" s="82">
        <f>YU39+987000</f>
        <v>2742000</v>
      </c>
      <c r="YW39" s="82">
        <f>YV39</f>
        <v>2742000</v>
      </c>
      <c r="YX39" s="82">
        <f>YW39+876400</f>
        <v>3618400</v>
      </c>
      <c r="YY39" s="82">
        <f t="shared" si="930"/>
        <v>3618400</v>
      </c>
      <c r="YZ39" s="82">
        <f t="shared" si="930"/>
        <v>3618400</v>
      </c>
      <c r="ZA39" s="82">
        <f t="shared" si="930"/>
        <v>3618400</v>
      </c>
      <c r="ZB39" s="82">
        <f t="shared" ref="ZB39:ZC41" si="1037">ZA39</f>
        <v>3618400</v>
      </c>
      <c r="ZC39" s="82">
        <f t="shared" si="1037"/>
        <v>3618400</v>
      </c>
      <c r="ZD39" s="82">
        <f t="shared" si="931"/>
        <v>3618400</v>
      </c>
      <c r="ZE39" s="82">
        <f t="shared" si="931"/>
        <v>3618400</v>
      </c>
      <c r="ZF39" s="82">
        <f>ZE39</f>
        <v>3618400</v>
      </c>
      <c r="ZG39" s="82">
        <f>ZF39</f>
        <v>3618400</v>
      </c>
      <c r="ZH39" s="82">
        <f t="shared" ref="ZH39:ZJ41" si="1038">ZG39</f>
        <v>3618400</v>
      </c>
      <c r="ZI39" s="82">
        <f t="shared" si="1038"/>
        <v>3618400</v>
      </c>
      <c r="ZJ39" s="82">
        <f t="shared" si="1038"/>
        <v>3618400</v>
      </c>
      <c r="ZK39" s="82">
        <f>ZJ39</f>
        <v>3618400</v>
      </c>
      <c r="ZL39" s="82">
        <f t="shared" ref="ZL39:ZO41" si="1039">ZK39</f>
        <v>3618400</v>
      </c>
      <c r="ZM39" s="82">
        <f t="shared" si="1039"/>
        <v>3618400</v>
      </c>
      <c r="ZN39" s="82">
        <f t="shared" si="1039"/>
        <v>3618400</v>
      </c>
      <c r="ZO39" s="82">
        <f t="shared" si="1039"/>
        <v>3618400</v>
      </c>
      <c r="ZP39" s="82">
        <f t="shared" si="932"/>
        <v>3618400</v>
      </c>
      <c r="ZQ39" s="82">
        <f t="shared" si="932"/>
        <v>3618400</v>
      </c>
      <c r="ZR39" s="130"/>
      <c r="ZS39" s="82">
        <f>ZQ39</f>
        <v>3618400</v>
      </c>
      <c r="ZT39" s="82">
        <f>ZS39</f>
        <v>3618400</v>
      </c>
      <c r="ZU39" s="82">
        <v>0</v>
      </c>
      <c r="ZV39" s="82">
        <f>ZU39</f>
        <v>0</v>
      </c>
      <c r="ZW39" s="82">
        <f t="shared" ref="ZW39:ZX41" si="1040">ZV39</f>
        <v>0</v>
      </c>
      <c r="ZX39" s="82">
        <f t="shared" si="1040"/>
        <v>0</v>
      </c>
      <c r="ZY39" s="82">
        <f>ZX39</f>
        <v>0</v>
      </c>
      <c r="ZZ39" s="82">
        <f>ZY39</f>
        <v>0</v>
      </c>
      <c r="AAA39" s="82">
        <f t="shared" si="933"/>
        <v>0</v>
      </c>
      <c r="AAB39" s="82">
        <f t="shared" si="933"/>
        <v>0</v>
      </c>
      <c r="AAC39" s="82">
        <f t="shared" ref="AAC39:AAD41" si="1041">AAB39</f>
        <v>0</v>
      </c>
      <c r="AAD39" s="82">
        <f t="shared" si="1041"/>
        <v>0</v>
      </c>
      <c r="AAE39" s="82">
        <f t="shared" si="934"/>
        <v>0</v>
      </c>
      <c r="AAF39" s="82">
        <f t="shared" si="934"/>
        <v>0</v>
      </c>
      <c r="AAG39" s="82">
        <f t="shared" si="934"/>
        <v>0</v>
      </c>
      <c r="AAH39" s="82">
        <f t="shared" ref="AAH39:AAJ41" si="1042">AAG39</f>
        <v>0</v>
      </c>
      <c r="AAI39" s="82">
        <f t="shared" si="1042"/>
        <v>0</v>
      </c>
      <c r="AAJ39" s="82">
        <f t="shared" si="1042"/>
        <v>0</v>
      </c>
      <c r="AAK39" s="82">
        <f t="shared" si="935"/>
        <v>0</v>
      </c>
      <c r="AAL39" s="82">
        <f t="shared" si="935"/>
        <v>0</v>
      </c>
      <c r="AAM39" s="82">
        <f t="shared" si="935"/>
        <v>0</v>
      </c>
      <c r="AAN39" s="82">
        <f t="shared" si="935"/>
        <v>0</v>
      </c>
      <c r="AAO39" s="82">
        <f t="shared" ref="AAO39:AAP41" si="1043">AAN39</f>
        <v>0</v>
      </c>
      <c r="AAP39" s="82">
        <f t="shared" si="1043"/>
        <v>0</v>
      </c>
      <c r="AAQ39" s="82">
        <f>AAP39</f>
        <v>0</v>
      </c>
      <c r="AAR39" s="82">
        <f>AAQ39</f>
        <v>0</v>
      </c>
      <c r="AAS39" s="82">
        <f t="shared" si="936"/>
        <v>0</v>
      </c>
      <c r="AAT39" s="82">
        <f t="shared" si="936"/>
        <v>0</v>
      </c>
      <c r="AAU39" s="82">
        <f>AAT39</f>
        <v>0</v>
      </c>
      <c r="AAV39" s="82">
        <f>AAU39</f>
        <v>0</v>
      </c>
      <c r="AAW39" s="130"/>
      <c r="AAX39" s="82">
        <f>AAW39</f>
        <v>0</v>
      </c>
      <c r="AAY39" s="82">
        <f t="shared" si="937"/>
        <v>0</v>
      </c>
      <c r="AAZ39" s="82">
        <f t="shared" si="937"/>
        <v>0</v>
      </c>
      <c r="ABA39" s="82">
        <f t="shared" ref="ABA39:ABB41" si="1044">AAZ39</f>
        <v>0</v>
      </c>
      <c r="ABB39" s="82">
        <f t="shared" si="1044"/>
        <v>0</v>
      </c>
      <c r="ABC39" s="82">
        <f t="shared" si="938"/>
        <v>0</v>
      </c>
      <c r="ABD39" s="82">
        <f t="shared" si="938"/>
        <v>0</v>
      </c>
      <c r="ABE39" s="82">
        <f>ABD39</f>
        <v>0</v>
      </c>
      <c r="ABF39" s="82">
        <f>ABE39</f>
        <v>0</v>
      </c>
      <c r="ABG39" s="82">
        <f>ABF39</f>
        <v>0</v>
      </c>
      <c r="ABH39" s="82">
        <f t="shared" si="939"/>
        <v>0</v>
      </c>
      <c r="ABI39" s="82">
        <f t="shared" si="939"/>
        <v>0</v>
      </c>
      <c r="ABJ39" s="82">
        <f t="shared" ref="ABJ39:ABK42" si="1045">ABI39</f>
        <v>0</v>
      </c>
      <c r="ABK39" s="82">
        <f t="shared" si="1045"/>
        <v>0</v>
      </c>
      <c r="ABL39" s="82">
        <f>ABK39</f>
        <v>0</v>
      </c>
      <c r="ABM39" s="82">
        <f t="shared" ref="ABM39:ABR41" si="1046">ABL39</f>
        <v>0</v>
      </c>
      <c r="ABN39" s="82">
        <f t="shared" si="1046"/>
        <v>0</v>
      </c>
      <c r="ABO39" s="82">
        <f t="shared" si="1046"/>
        <v>0</v>
      </c>
      <c r="ABP39" s="82">
        <f t="shared" si="1046"/>
        <v>0</v>
      </c>
      <c r="ABQ39" s="82">
        <f t="shared" si="1046"/>
        <v>0</v>
      </c>
      <c r="ABR39" s="82">
        <f t="shared" si="1046"/>
        <v>0</v>
      </c>
      <c r="ABS39" s="82">
        <f t="shared" si="940"/>
        <v>0</v>
      </c>
      <c r="ABT39" s="82">
        <f t="shared" si="940"/>
        <v>0</v>
      </c>
      <c r="ABU39" s="82">
        <f t="shared" si="940"/>
        <v>0</v>
      </c>
      <c r="ABV39" s="82">
        <f>ABU39</f>
        <v>0</v>
      </c>
      <c r="ABW39" s="82">
        <f t="shared" si="941"/>
        <v>0</v>
      </c>
      <c r="ABX39" s="82">
        <f t="shared" si="941"/>
        <v>0</v>
      </c>
      <c r="ABY39" s="82">
        <f t="shared" ref="ABY39:ACA41" si="1047">ABX39</f>
        <v>0</v>
      </c>
      <c r="ABZ39" s="82">
        <f t="shared" si="1047"/>
        <v>0</v>
      </c>
      <c r="ACA39" s="82">
        <f t="shared" si="1047"/>
        <v>0</v>
      </c>
      <c r="ACB39" s="82">
        <f>ACA39</f>
        <v>0</v>
      </c>
      <c r="ACC39" s="130"/>
      <c r="ACD39" s="82">
        <f>ACC39</f>
        <v>0</v>
      </c>
      <c r="ACE39" s="82">
        <f t="shared" si="942"/>
        <v>0</v>
      </c>
      <c r="ACF39" s="82">
        <f t="shared" si="942"/>
        <v>0</v>
      </c>
      <c r="ACG39" s="82">
        <f>ACF39</f>
        <v>0</v>
      </c>
      <c r="ACH39" s="82">
        <f>ACG39</f>
        <v>0</v>
      </c>
      <c r="ACI39" s="82">
        <f t="shared" ref="ACI39:ACL41" si="1048">ACH39</f>
        <v>0</v>
      </c>
      <c r="ACJ39" s="82">
        <f t="shared" si="1048"/>
        <v>0</v>
      </c>
      <c r="ACK39" s="82">
        <f t="shared" si="1048"/>
        <v>0</v>
      </c>
      <c r="ACL39" s="82">
        <f t="shared" si="1048"/>
        <v>0</v>
      </c>
      <c r="ACM39" s="82">
        <f t="shared" si="943"/>
        <v>0</v>
      </c>
      <c r="ACN39" s="82">
        <f t="shared" si="943"/>
        <v>0</v>
      </c>
      <c r="ACO39" s="82">
        <f t="shared" si="943"/>
        <v>0</v>
      </c>
      <c r="ACP39" s="82">
        <f t="shared" ref="ACP39:ACQ41" si="1049">ACO39</f>
        <v>0</v>
      </c>
      <c r="ACQ39" s="82">
        <f t="shared" si="1049"/>
        <v>0</v>
      </c>
      <c r="ACR39" s="82">
        <f t="shared" si="944"/>
        <v>0</v>
      </c>
      <c r="ACS39" s="82">
        <f t="shared" si="944"/>
        <v>0</v>
      </c>
      <c r="ACT39" s="82">
        <f t="shared" ref="ACT39:ACV41" si="1050">ACS39</f>
        <v>0</v>
      </c>
      <c r="ACU39" s="82">
        <f t="shared" si="1050"/>
        <v>0</v>
      </c>
      <c r="ACV39" s="82">
        <f t="shared" si="1050"/>
        <v>0</v>
      </c>
      <c r="ACW39" s="82">
        <f>ACV39</f>
        <v>0</v>
      </c>
      <c r="ACX39" s="82">
        <f t="shared" ref="ACX39:ACZ41" si="1051">ACW39</f>
        <v>0</v>
      </c>
      <c r="ACY39" s="82">
        <f t="shared" si="1051"/>
        <v>0</v>
      </c>
      <c r="ACZ39" s="82">
        <f t="shared" si="1051"/>
        <v>0</v>
      </c>
      <c r="ADA39" s="82">
        <f>ACZ39</f>
        <v>0</v>
      </c>
      <c r="ADB39" s="82">
        <f t="shared" ref="ADB39:ADC41" si="1052">ADA39</f>
        <v>0</v>
      </c>
      <c r="ADC39" s="82">
        <f t="shared" si="1052"/>
        <v>0</v>
      </c>
      <c r="ADD39" s="82">
        <f t="shared" si="945"/>
        <v>0</v>
      </c>
      <c r="ADE39" s="82">
        <f t="shared" si="945"/>
        <v>0</v>
      </c>
      <c r="ADF39" s="82">
        <f t="shared" ref="ADF39:ADG41" si="1053">ADE39</f>
        <v>0</v>
      </c>
      <c r="ADG39" s="82">
        <f t="shared" si="1053"/>
        <v>0</v>
      </c>
      <c r="ADH39" s="82">
        <f>ADG39</f>
        <v>0</v>
      </c>
      <c r="ADI39" s="130"/>
      <c r="ADJ39" s="82">
        <f t="shared" ref="ADJ39:ADP39" si="1054">ADI39</f>
        <v>0</v>
      </c>
      <c r="ADK39" s="82">
        <f t="shared" si="1054"/>
        <v>0</v>
      </c>
      <c r="ADL39" s="82">
        <f t="shared" si="1054"/>
        <v>0</v>
      </c>
      <c r="ADM39" s="82">
        <f t="shared" si="1054"/>
        <v>0</v>
      </c>
      <c r="ADN39" s="82">
        <f t="shared" si="1054"/>
        <v>0</v>
      </c>
      <c r="ADO39" s="82">
        <f t="shared" si="1054"/>
        <v>0</v>
      </c>
      <c r="ADP39" s="82">
        <f t="shared" si="1054"/>
        <v>0</v>
      </c>
      <c r="ADQ39" s="82">
        <f t="shared" si="946"/>
        <v>0</v>
      </c>
      <c r="ADR39" s="82">
        <f t="shared" si="946"/>
        <v>0</v>
      </c>
      <c r="ADS39" s="82">
        <f t="shared" si="946"/>
        <v>0</v>
      </c>
      <c r="ADT39" s="82">
        <f t="shared" si="946"/>
        <v>0</v>
      </c>
      <c r="ADU39" s="82">
        <f>ADT39</f>
        <v>0</v>
      </c>
      <c r="ADV39" s="82">
        <f>ADU39</f>
        <v>0</v>
      </c>
      <c r="ADW39" s="82">
        <f t="shared" ref="ADW39:ADY41" si="1055">ADV39</f>
        <v>0</v>
      </c>
      <c r="ADX39" s="82">
        <f t="shared" si="1055"/>
        <v>0</v>
      </c>
      <c r="ADY39" s="82">
        <f t="shared" si="1055"/>
        <v>0</v>
      </c>
      <c r="ADZ39" s="82">
        <f t="shared" si="947"/>
        <v>0</v>
      </c>
      <c r="AEA39" s="82">
        <f t="shared" si="947"/>
        <v>0</v>
      </c>
      <c r="AEB39" s="82">
        <f t="shared" ref="AEB39:AEC41" si="1056">AEA39</f>
        <v>0</v>
      </c>
      <c r="AEC39" s="82">
        <f t="shared" si="1056"/>
        <v>0</v>
      </c>
      <c r="AED39" s="82">
        <f t="shared" si="948"/>
        <v>0</v>
      </c>
      <c r="AEE39" s="82">
        <f t="shared" si="948"/>
        <v>0</v>
      </c>
      <c r="AEF39" s="82">
        <f t="shared" si="948"/>
        <v>0</v>
      </c>
      <c r="AEG39" s="82">
        <f t="shared" si="948"/>
        <v>0</v>
      </c>
      <c r="AEH39" s="82">
        <f t="shared" ref="AEH39:AEJ41" si="1057">AEG39</f>
        <v>0</v>
      </c>
      <c r="AEI39" s="82">
        <f t="shared" si="1057"/>
        <v>0</v>
      </c>
      <c r="AEJ39" s="82">
        <f t="shared" si="1057"/>
        <v>0</v>
      </c>
      <c r="AEK39" s="82">
        <f t="shared" si="949"/>
        <v>0</v>
      </c>
      <c r="AEL39" s="82">
        <f t="shared" si="949"/>
        <v>0</v>
      </c>
      <c r="AEM39" s="82">
        <f>AEL39</f>
        <v>0</v>
      </c>
      <c r="AEN39" s="130"/>
      <c r="AEO39" s="82">
        <f>AEN39</f>
        <v>0</v>
      </c>
      <c r="AEP39" s="82">
        <f>AEO39</f>
        <v>0</v>
      </c>
      <c r="AEQ39" s="82">
        <f t="shared" ref="AEQ39:AES41" si="1058">AEP39</f>
        <v>0</v>
      </c>
      <c r="AER39" s="82">
        <f t="shared" si="1058"/>
        <v>0</v>
      </c>
      <c r="AES39" s="82">
        <f t="shared" si="1058"/>
        <v>0</v>
      </c>
      <c r="AET39" s="82">
        <f>AES39</f>
        <v>0</v>
      </c>
      <c r="AEU39" s="82">
        <f t="shared" ref="AEU39:AEV41" si="1059">AET39</f>
        <v>0</v>
      </c>
      <c r="AEV39" s="82">
        <f t="shared" si="1059"/>
        <v>0</v>
      </c>
      <c r="AEW39" s="82">
        <f t="shared" si="950"/>
        <v>0</v>
      </c>
      <c r="AEX39" s="82">
        <f t="shared" si="950"/>
        <v>0</v>
      </c>
      <c r="AEY39" s="82">
        <f>AEX39</f>
        <v>0</v>
      </c>
      <c r="AEZ39" s="82">
        <f>AEY39</f>
        <v>0</v>
      </c>
      <c r="AFA39" s="82">
        <f t="shared" ref="AFA39:AFB41" si="1060">AEZ39</f>
        <v>0</v>
      </c>
      <c r="AFB39" s="82">
        <f t="shared" si="1060"/>
        <v>0</v>
      </c>
      <c r="AFC39" s="82">
        <f t="shared" si="951"/>
        <v>0</v>
      </c>
      <c r="AFD39" s="82">
        <f t="shared" si="951"/>
        <v>0</v>
      </c>
      <c r="AFE39" s="82">
        <f t="shared" ref="AFE39:AFG41" si="1061">AFD39</f>
        <v>0</v>
      </c>
      <c r="AFF39" s="82">
        <f t="shared" si="1061"/>
        <v>0</v>
      </c>
      <c r="AFG39" s="82">
        <f t="shared" si="1061"/>
        <v>0</v>
      </c>
      <c r="AFH39" s="82">
        <f t="shared" si="952"/>
        <v>0</v>
      </c>
      <c r="AFI39" s="82">
        <f t="shared" si="952"/>
        <v>0</v>
      </c>
      <c r="AFJ39" s="82">
        <f t="shared" si="952"/>
        <v>0</v>
      </c>
      <c r="AFK39" s="82">
        <f t="shared" si="952"/>
        <v>0</v>
      </c>
      <c r="AFL39" s="82">
        <f>AFK39</f>
        <v>0</v>
      </c>
      <c r="AFM39" s="82">
        <f t="shared" si="953"/>
        <v>0</v>
      </c>
      <c r="AFN39" s="82">
        <f t="shared" si="953"/>
        <v>0</v>
      </c>
      <c r="AFO39" s="82">
        <f t="shared" si="953"/>
        <v>0</v>
      </c>
      <c r="AFP39" s="82">
        <f t="shared" si="953"/>
        <v>0</v>
      </c>
      <c r="AFQ39" s="82">
        <f t="shared" ref="AFQ39:AFR42" si="1062">AFP39</f>
        <v>0</v>
      </c>
      <c r="AFR39" s="82">
        <f t="shared" si="1062"/>
        <v>0</v>
      </c>
      <c r="AFS39" s="82">
        <f>AFR39</f>
        <v>0</v>
      </c>
      <c r="AFT39" s="130"/>
      <c r="AFU39" s="82">
        <f>AFT39</f>
        <v>0</v>
      </c>
      <c r="AFV39" s="82">
        <f t="shared" si="954"/>
        <v>0</v>
      </c>
      <c r="AFW39" s="82">
        <f t="shared" si="954"/>
        <v>0</v>
      </c>
      <c r="AFX39" s="82">
        <f t="shared" si="954"/>
        <v>0</v>
      </c>
      <c r="AFY39" s="82">
        <f t="shared" si="954"/>
        <v>0</v>
      </c>
      <c r="AFZ39" s="82">
        <f t="shared" ref="AFZ39:AGA41" si="1063">AFY39</f>
        <v>0</v>
      </c>
      <c r="AGA39" s="82">
        <f t="shared" si="1063"/>
        <v>0</v>
      </c>
      <c r="AGB39" s="82">
        <f t="shared" si="955"/>
        <v>0</v>
      </c>
      <c r="AGC39" s="82">
        <f t="shared" si="955"/>
        <v>0</v>
      </c>
      <c r="AGD39" s="82">
        <f>AGC39</f>
        <v>0</v>
      </c>
      <c r="AGE39" s="82">
        <f>AGD39</f>
        <v>0</v>
      </c>
      <c r="AGF39" s="82">
        <f>AGE39</f>
        <v>0</v>
      </c>
      <c r="AGG39" s="82">
        <f>AGF39</f>
        <v>0</v>
      </c>
      <c r="AGH39" s="82">
        <f>AGG39</f>
        <v>0</v>
      </c>
      <c r="AGI39" s="82">
        <f t="shared" si="956"/>
        <v>0</v>
      </c>
      <c r="AGJ39" s="82">
        <f t="shared" si="956"/>
        <v>0</v>
      </c>
      <c r="AGK39" s="82">
        <f>AGJ39</f>
        <v>0</v>
      </c>
      <c r="AGL39" s="82">
        <f t="shared" si="957"/>
        <v>0</v>
      </c>
      <c r="AGM39" s="82">
        <f t="shared" si="957"/>
        <v>0</v>
      </c>
      <c r="AGN39" s="82">
        <f t="shared" ref="AGN39:AGO41" si="1064">AGM39</f>
        <v>0</v>
      </c>
      <c r="AGO39" s="82">
        <f t="shared" si="1064"/>
        <v>0</v>
      </c>
      <c r="AGP39" s="82">
        <f>AGO39</f>
        <v>0</v>
      </c>
      <c r="AGQ39" s="82">
        <f t="shared" ref="AGQ39:AGR41" si="1065">AGP39</f>
        <v>0</v>
      </c>
      <c r="AGR39" s="82">
        <f t="shared" si="1065"/>
        <v>0</v>
      </c>
      <c r="AGS39" s="82">
        <f>AGR39</f>
        <v>0</v>
      </c>
      <c r="AGT39" s="82">
        <f>AGS39</f>
        <v>0</v>
      </c>
      <c r="AGU39" s="82">
        <f t="shared" si="958"/>
        <v>0</v>
      </c>
      <c r="AGV39" s="82">
        <f t="shared" si="958"/>
        <v>0</v>
      </c>
      <c r="AGW39" s="82">
        <f t="shared" ref="AGW39:AGX41" si="1066">AGV39</f>
        <v>0</v>
      </c>
      <c r="AGX39" s="82">
        <f t="shared" si="1066"/>
        <v>0</v>
      </c>
      <c r="AGY39" s="133"/>
      <c r="AGZ39" s="82">
        <f>AGY39</f>
        <v>0</v>
      </c>
      <c r="AHA39" s="82">
        <f>AGZ39</f>
        <v>0</v>
      </c>
      <c r="AHB39" s="82">
        <f>AHA39</f>
        <v>0</v>
      </c>
      <c r="AHC39" s="82">
        <f>AHB39</f>
        <v>0</v>
      </c>
      <c r="AHD39" s="82">
        <f t="shared" ref="AHD39:AHE41" si="1067">AHC39</f>
        <v>0</v>
      </c>
      <c r="AHE39" s="82">
        <f t="shared" si="1067"/>
        <v>0</v>
      </c>
      <c r="AHF39" s="82">
        <f t="shared" si="959"/>
        <v>0</v>
      </c>
      <c r="AHG39" s="82">
        <f t="shared" si="959"/>
        <v>0</v>
      </c>
      <c r="AHH39" s="82">
        <f>AHG39</f>
        <v>0</v>
      </c>
      <c r="AHI39" s="82">
        <f>AHH39</f>
        <v>0</v>
      </c>
      <c r="AHJ39" s="82">
        <f t="shared" ref="AHJ39:AHK41" si="1068">AHI39</f>
        <v>0</v>
      </c>
      <c r="AHK39" s="82">
        <f t="shared" si="1068"/>
        <v>0</v>
      </c>
      <c r="AHL39" s="82">
        <f t="shared" si="960"/>
        <v>0</v>
      </c>
      <c r="AHM39" s="82">
        <f t="shared" si="960"/>
        <v>0</v>
      </c>
      <c r="AHN39" s="82">
        <f>AHM39</f>
        <v>0</v>
      </c>
      <c r="AHO39" s="82">
        <f>AHN39</f>
        <v>0</v>
      </c>
      <c r="AHP39" s="82">
        <f>AHO39</f>
        <v>0</v>
      </c>
      <c r="AHQ39" s="82">
        <v>320000</v>
      </c>
      <c r="AHR39" s="82">
        <f t="shared" ref="AHR39:AHS42" si="1069">AHQ39</f>
        <v>320000</v>
      </c>
      <c r="AHS39" s="82">
        <f t="shared" si="1069"/>
        <v>320000</v>
      </c>
      <c r="AHT39" s="82">
        <f>AHS39</f>
        <v>320000</v>
      </c>
      <c r="AHU39" s="82">
        <f>AHT39</f>
        <v>320000</v>
      </c>
      <c r="AHV39" s="82">
        <f>AHU39</f>
        <v>320000</v>
      </c>
      <c r="AHW39" s="82">
        <f>AHV39</f>
        <v>320000</v>
      </c>
      <c r="AHX39" s="82">
        <f t="shared" si="961"/>
        <v>320000</v>
      </c>
      <c r="AHY39" s="82">
        <f t="shared" si="961"/>
        <v>320000</v>
      </c>
      <c r="AHZ39" s="82">
        <f t="shared" si="961"/>
        <v>320000</v>
      </c>
      <c r="AIA39" s="82">
        <f t="shared" si="961"/>
        <v>320000</v>
      </c>
      <c r="AIB39" s="82">
        <f t="shared" si="961"/>
        <v>320000</v>
      </c>
      <c r="AIC39" s="82">
        <f t="shared" si="961"/>
        <v>320000</v>
      </c>
      <c r="AID39" s="82">
        <f>AIC39</f>
        <v>320000</v>
      </c>
      <c r="AIE39" s="130"/>
      <c r="AIF39" s="82">
        <f>AID39</f>
        <v>320000</v>
      </c>
      <c r="AIG39" s="82">
        <f t="shared" si="962"/>
        <v>320000</v>
      </c>
      <c r="AIH39" s="82">
        <f t="shared" si="962"/>
        <v>320000</v>
      </c>
      <c r="AII39" s="82">
        <f t="shared" ref="AII39:AIK41" si="1070">AIH39</f>
        <v>320000</v>
      </c>
      <c r="AIJ39" s="82">
        <f t="shared" si="1070"/>
        <v>320000</v>
      </c>
      <c r="AIK39" s="82">
        <f t="shared" si="1070"/>
        <v>320000</v>
      </c>
      <c r="AIL39" s="82">
        <f t="shared" si="963"/>
        <v>320000</v>
      </c>
      <c r="AIM39" s="82">
        <f t="shared" si="963"/>
        <v>320000</v>
      </c>
      <c r="AIN39" s="82">
        <f>AIM39</f>
        <v>320000</v>
      </c>
      <c r="AIO39" s="82">
        <f t="shared" si="964"/>
        <v>320000</v>
      </c>
      <c r="AIP39" s="82">
        <f t="shared" si="964"/>
        <v>320000</v>
      </c>
      <c r="AIQ39" s="82">
        <f t="shared" si="964"/>
        <v>320000</v>
      </c>
      <c r="AIR39" s="82">
        <f>AIQ39</f>
        <v>320000</v>
      </c>
      <c r="AIS39" s="82">
        <f t="shared" si="965"/>
        <v>320000</v>
      </c>
      <c r="AIT39" s="82">
        <f t="shared" si="965"/>
        <v>320000</v>
      </c>
      <c r="AIU39" s="82">
        <f t="shared" si="965"/>
        <v>320000</v>
      </c>
      <c r="AIV39" s="82">
        <f t="shared" si="965"/>
        <v>320000</v>
      </c>
      <c r="AIW39" s="82">
        <f t="shared" si="965"/>
        <v>320000</v>
      </c>
      <c r="AIX39" s="82">
        <v>0</v>
      </c>
      <c r="AIY39" s="82">
        <f>AIX39</f>
        <v>0</v>
      </c>
      <c r="AIZ39" s="82">
        <f>AIY39</f>
        <v>0</v>
      </c>
      <c r="AJA39" s="82">
        <f t="shared" ref="AJA39:AJD41" si="1071">AIZ39</f>
        <v>0</v>
      </c>
      <c r="AJB39" s="82">
        <f t="shared" si="1071"/>
        <v>0</v>
      </c>
      <c r="AJC39" s="82">
        <f t="shared" si="1071"/>
        <v>0</v>
      </c>
      <c r="AJD39" s="82">
        <f t="shared" si="1071"/>
        <v>0</v>
      </c>
      <c r="AJE39" s="82">
        <f t="shared" si="966"/>
        <v>0</v>
      </c>
      <c r="AJF39" s="82">
        <f t="shared" si="966"/>
        <v>0</v>
      </c>
      <c r="AJG39" s="82">
        <f t="shared" si="966"/>
        <v>0</v>
      </c>
      <c r="AJH39" s="82">
        <f t="shared" si="966"/>
        <v>0</v>
      </c>
      <c r="AJI39" s="82">
        <f>AJH39</f>
        <v>0</v>
      </c>
      <c r="AJJ39" s="82">
        <f>AJI39</f>
        <v>0</v>
      </c>
      <c r="AJK39" s="145"/>
      <c r="AJL39" s="82">
        <f>AJK39</f>
        <v>0</v>
      </c>
      <c r="AJM39" s="82">
        <f>AJL39</f>
        <v>0</v>
      </c>
      <c r="AJN39" s="82">
        <f>AJM39</f>
        <v>0</v>
      </c>
      <c r="AJO39" s="82">
        <f>AJN39</f>
        <v>0</v>
      </c>
      <c r="AJP39" s="82">
        <f>AJO39</f>
        <v>0</v>
      </c>
      <c r="AJQ39" s="82">
        <f t="shared" ref="AJQ39:AJR41" si="1072">AJP39</f>
        <v>0</v>
      </c>
      <c r="AJR39" s="82">
        <f t="shared" si="1072"/>
        <v>0</v>
      </c>
      <c r="AJS39" s="82">
        <f t="shared" si="967"/>
        <v>0</v>
      </c>
      <c r="AJT39" s="82">
        <f t="shared" si="967"/>
        <v>0</v>
      </c>
      <c r="AJU39" s="82">
        <f t="shared" si="967"/>
        <v>0</v>
      </c>
      <c r="AJV39" s="82">
        <f t="shared" si="967"/>
        <v>0</v>
      </c>
      <c r="AJW39" s="82">
        <f>AJV39</f>
        <v>0</v>
      </c>
      <c r="AJX39" s="82">
        <f>AJW39</f>
        <v>0</v>
      </c>
      <c r="AJY39" s="82">
        <f>AJX39</f>
        <v>0</v>
      </c>
      <c r="AJZ39" s="82">
        <f>AJY39</f>
        <v>0</v>
      </c>
      <c r="AKA39" s="82">
        <f>AJZ39</f>
        <v>0</v>
      </c>
      <c r="AKB39" s="82">
        <f t="shared" si="968"/>
        <v>0</v>
      </c>
      <c r="AKC39" s="82">
        <f t="shared" si="968"/>
        <v>0</v>
      </c>
      <c r="AKD39" s="82">
        <f>AKC39</f>
        <v>0</v>
      </c>
      <c r="AKE39" s="82">
        <f>AKD39</f>
        <v>0</v>
      </c>
      <c r="AKF39" s="82">
        <f>AKE39</f>
        <v>0</v>
      </c>
      <c r="AKG39" s="82">
        <f>AKF39</f>
        <v>0</v>
      </c>
      <c r="AKH39" s="82">
        <f>AKG39</f>
        <v>0</v>
      </c>
      <c r="AKI39" s="82">
        <f t="shared" si="969"/>
        <v>0</v>
      </c>
      <c r="AKJ39" s="82">
        <f t="shared" si="969"/>
        <v>0</v>
      </c>
      <c r="AKK39" s="82">
        <f t="shared" ref="AKK39:AKM41" si="1073">AKJ39</f>
        <v>0</v>
      </c>
      <c r="AKL39" s="82">
        <f t="shared" si="1073"/>
        <v>0</v>
      </c>
      <c r="AKM39" s="82">
        <f t="shared" si="1073"/>
        <v>0</v>
      </c>
      <c r="AKN39" s="112"/>
      <c r="AKO39" s="82">
        <f>AKN39</f>
        <v>0</v>
      </c>
      <c r="AKP39" s="82">
        <f>AKO39</f>
        <v>0</v>
      </c>
      <c r="AKQ39" s="82">
        <f>AKP39</f>
        <v>0</v>
      </c>
      <c r="AKR39" s="82">
        <f t="shared" si="970"/>
        <v>0</v>
      </c>
      <c r="AKS39" s="82">
        <f t="shared" si="970"/>
        <v>0</v>
      </c>
      <c r="AKT39" s="82">
        <f t="shared" si="970"/>
        <v>0</v>
      </c>
      <c r="AKU39" s="82">
        <f>AKT39</f>
        <v>0</v>
      </c>
      <c r="AKV39" s="82">
        <f>AKU39</f>
        <v>0</v>
      </c>
      <c r="AKW39" s="82">
        <f t="shared" ref="AKW39:ALB40" si="1074">AKV39</f>
        <v>0</v>
      </c>
      <c r="AKX39" s="82">
        <f t="shared" si="1074"/>
        <v>0</v>
      </c>
      <c r="AKY39" s="82">
        <f t="shared" si="1074"/>
        <v>0</v>
      </c>
      <c r="AKZ39" s="82">
        <f t="shared" si="1074"/>
        <v>0</v>
      </c>
      <c r="ALA39" s="82">
        <f t="shared" si="1074"/>
        <v>0</v>
      </c>
      <c r="ALB39" s="82">
        <f t="shared" si="1074"/>
        <v>0</v>
      </c>
      <c r="ALC39" s="82">
        <f t="shared" si="971"/>
        <v>0</v>
      </c>
      <c r="ALD39" s="82">
        <f t="shared" si="971"/>
        <v>0</v>
      </c>
      <c r="ALE39" s="82">
        <f t="shared" si="971"/>
        <v>0</v>
      </c>
      <c r="ALF39" s="82">
        <f t="shared" ref="ALF39:ALH41" si="1075">ALE39</f>
        <v>0</v>
      </c>
      <c r="ALG39" s="82">
        <f t="shared" si="1075"/>
        <v>0</v>
      </c>
      <c r="ALH39" s="82">
        <f t="shared" si="1075"/>
        <v>0</v>
      </c>
      <c r="ALI39" s="82">
        <f t="shared" si="972"/>
        <v>0</v>
      </c>
      <c r="ALJ39" s="82">
        <f t="shared" si="972"/>
        <v>0</v>
      </c>
      <c r="ALK39" s="82">
        <f t="shared" si="972"/>
        <v>0</v>
      </c>
      <c r="ALL39" s="82">
        <f>ALK39</f>
        <v>0</v>
      </c>
      <c r="ALM39" s="82">
        <f>ALL39</f>
        <v>0</v>
      </c>
      <c r="ALN39" s="82">
        <f>ALM39</f>
        <v>0</v>
      </c>
      <c r="ALO39" s="82">
        <f>ALN39</f>
        <v>0</v>
      </c>
      <c r="ALP39" s="82">
        <f t="shared" ref="ALP39:ALR41" si="1076">ALO39</f>
        <v>0</v>
      </c>
      <c r="ALQ39" s="82">
        <f t="shared" si="1076"/>
        <v>0</v>
      </c>
      <c r="ALR39" s="82">
        <f t="shared" si="1076"/>
        <v>0</v>
      </c>
      <c r="ALS39" s="82">
        <f>ALR39</f>
        <v>0</v>
      </c>
      <c r="ALT39" s="130"/>
      <c r="ALU39" s="82">
        <f>ALT39</f>
        <v>0</v>
      </c>
      <c r="ALV39" s="82">
        <f>ALU39</f>
        <v>0</v>
      </c>
      <c r="ALW39" s="82">
        <f>ALV39</f>
        <v>0</v>
      </c>
      <c r="ALX39" s="82">
        <f t="shared" si="973"/>
        <v>0</v>
      </c>
      <c r="ALY39" s="82">
        <f t="shared" si="973"/>
        <v>0</v>
      </c>
      <c r="ALZ39" s="82">
        <f>ALY39</f>
        <v>0</v>
      </c>
      <c r="AMA39" s="82">
        <f>ALZ39</f>
        <v>0</v>
      </c>
      <c r="AMB39" s="82">
        <f t="shared" ref="AMB39:AMD41" si="1077">AMA39</f>
        <v>0</v>
      </c>
      <c r="AMC39" s="82">
        <f t="shared" si="1077"/>
        <v>0</v>
      </c>
      <c r="AMD39" s="82">
        <f t="shared" si="1077"/>
        <v>0</v>
      </c>
      <c r="AME39" s="82">
        <f>AMD39</f>
        <v>0</v>
      </c>
      <c r="AMF39" s="82">
        <f t="shared" ref="AMF39:AMI40" si="1078">AME39</f>
        <v>0</v>
      </c>
      <c r="AMG39" s="82">
        <f t="shared" si="1078"/>
        <v>0</v>
      </c>
      <c r="AMH39" s="82">
        <f t="shared" si="1078"/>
        <v>0</v>
      </c>
      <c r="AMI39" s="82">
        <f t="shared" si="1078"/>
        <v>0</v>
      </c>
      <c r="AMJ39" s="82">
        <f>AMI39</f>
        <v>0</v>
      </c>
      <c r="AMK39" s="82">
        <f>AMJ39</f>
        <v>0</v>
      </c>
      <c r="AML39" s="82">
        <f t="shared" si="974"/>
        <v>0</v>
      </c>
      <c r="AMM39" s="82">
        <f t="shared" si="974"/>
        <v>0</v>
      </c>
      <c r="AMN39" s="82">
        <f t="shared" ref="AMN39:AMO41" si="1079">AMM39</f>
        <v>0</v>
      </c>
      <c r="AMO39" s="82">
        <f t="shared" si="1079"/>
        <v>0</v>
      </c>
      <c r="AMP39" s="82">
        <f>AMO39</f>
        <v>0</v>
      </c>
      <c r="AMQ39" s="82">
        <f t="shared" ref="AMQ39:AMS40" si="1080">AMP39</f>
        <v>0</v>
      </c>
      <c r="AMR39" s="82">
        <f t="shared" si="1080"/>
        <v>0</v>
      </c>
      <c r="AMS39" s="82">
        <f t="shared" si="1080"/>
        <v>0</v>
      </c>
      <c r="AMT39" s="82">
        <f t="shared" si="975"/>
        <v>0</v>
      </c>
      <c r="AMU39" s="82">
        <f t="shared" si="975"/>
        <v>0</v>
      </c>
      <c r="AMV39" s="82">
        <f t="shared" ref="AMV39:AMX40" si="1081">AMU39</f>
        <v>0</v>
      </c>
      <c r="AMW39" s="82">
        <f t="shared" si="1081"/>
        <v>0</v>
      </c>
      <c r="AMX39" s="82">
        <f t="shared" si="1081"/>
        <v>0</v>
      </c>
      <c r="AMY39" s="130"/>
      <c r="AMZ39" s="82">
        <f>AMY39</f>
        <v>0</v>
      </c>
      <c r="ANA39" s="82">
        <f t="shared" si="976"/>
        <v>0</v>
      </c>
      <c r="ANB39" s="82">
        <f t="shared" si="976"/>
        <v>0</v>
      </c>
      <c r="ANC39" s="82">
        <f t="shared" si="976"/>
        <v>0</v>
      </c>
      <c r="AND39" s="82">
        <f t="shared" ref="AND39:ANE41" si="1082">ANC39</f>
        <v>0</v>
      </c>
      <c r="ANE39" s="82">
        <f t="shared" si="1082"/>
        <v>0</v>
      </c>
      <c r="ANF39" s="82">
        <f>ANE39</f>
        <v>0</v>
      </c>
      <c r="ANG39" s="82">
        <f>ANF39</f>
        <v>0</v>
      </c>
      <c r="ANH39" s="82">
        <f>ANG39</f>
        <v>0</v>
      </c>
      <c r="ANI39" s="82">
        <f t="shared" ref="ANI39:ANJ41" si="1083">ANH39</f>
        <v>0</v>
      </c>
      <c r="ANJ39" s="82">
        <f t="shared" si="1083"/>
        <v>0</v>
      </c>
      <c r="ANK39" s="82">
        <f>ANJ39</f>
        <v>0</v>
      </c>
      <c r="ANL39" s="82">
        <f t="shared" ref="ANL39:ANM41" si="1084">ANK39</f>
        <v>0</v>
      </c>
      <c r="ANM39" s="82">
        <f t="shared" si="1084"/>
        <v>0</v>
      </c>
      <c r="ANN39" s="82">
        <f>ANM39</f>
        <v>0</v>
      </c>
      <c r="ANO39" s="82">
        <f>ANN39</f>
        <v>0</v>
      </c>
      <c r="ANP39" s="82">
        <f>ANO39</f>
        <v>0</v>
      </c>
      <c r="ANQ39" s="82">
        <f t="shared" si="977"/>
        <v>0</v>
      </c>
      <c r="ANR39" s="82">
        <f t="shared" si="977"/>
        <v>0</v>
      </c>
      <c r="ANS39" s="82">
        <f>ANR39</f>
        <v>0</v>
      </c>
      <c r="ANT39" s="82">
        <f>ANS39</f>
        <v>0</v>
      </c>
      <c r="ANU39" s="82">
        <f>ANT39</f>
        <v>0</v>
      </c>
      <c r="ANV39" s="82">
        <f t="shared" si="978"/>
        <v>0</v>
      </c>
      <c r="ANW39" s="82">
        <f t="shared" si="978"/>
        <v>0</v>
      </c>
      <c r="ANX39" s="82">
        <f t="shared" si="978"/>
        <v>0</v>
      </c>
      <c r="ANY39" s="82">
        <f t="shared" si="978"/>
        <v>0</v>
      </c>
      <c r="ANZ39" s="82">
        <f>ANY39</f>
        <v>0</v>
      </c>
      <c r="AOA39" s="82">
        <f t="shared" si="979"/>
        <v>0</v>
      </c>
      <c r="AOB39" s="82">
        <f t="shared" si="979"/>
        <v>0</v>
      </c>
      <c r="AOC39" s="82">
        <f>AOB39</f>
        <v>0</v>
      </c>
    </row>
    <row r="40" spans="1:1069" x14ac:dyDescent="0.2">
      <c r="A40" s="160"/>
      <c r="B40" s="13" t="s">
        <v>1673</v>
      </c>
      <c r="C40" s="52">
        <v>40000000</v>
      </c>
      <c r="D40" s="52">
        <f>C40</f>
        <v>40000000</v>
      </c>
      <c r="E40" s="52">
        <f t="shared" ref="E40:S40" si="1085">D40</f>
        <v>40000000</v>
      </c>
      <c r="F40" s="52">
        <f t="shared" si="1085"/>
        <v>40000000</v>
      </c>
      <c r="G40" s="52">
        <f t="shared" si="1085"/>
        <v>40000000</v>
      </c>
      <c r="H40" s="52">
        <f t="shared" si="1085"/>
        <v>40000000</v>
      </c>
      <c r="I40" s="52">
        <f t="shared" si="1085"/>
        <v>40000000</v>
      </c>
      <c r="J40" s="52">
        <f t="shared" si="1085"/>
        <v>40000000</v>
      </c>
      <c r="K40" s="52">
        <f t="shared" si="1085"/>
        <v>40000000</v>
      </c>
      <c r="L40" s="52">
        <f t="shared" si="1085"/>
        <v>40000000</v>
      </c>
      <c r="M40" s="52">
        <f t="shared" si="1085"/>
        <v>40000000</v>
      </c>
      <c r="N40" s="52">
        <f t="shared" si="1085"/>
        <v>40000000</v>
      </c>
      <c r="O40" s="52">
        <f t="shared" si="1085"/>
        <v>40000000</v>
      </c>
      <c r="P40" s="52">
        <f t="shared" si="1085"/>
        <v>40000000</v>
      </c>
      <c r="Q40" s="52">
        <f t="shared" si="1085"/>
        <v>40000000</v>
      </c>
      <c r="R40" s="52">
        <f t="shared" si="1085"/>
        <v>40000000</v>
      </c>
      <c r="S40" s="52">
        <f t="shared" si="1085"/>
        <v>40000000</v>
      </c>
      <c r="T40" s="52">
        <f>S40</f>
        <v>40000000</v>
      </c>
      <c r="U40" s="52">
        <f t="shared" si="894"/>
        <v>40000000</v>
      </c>
      <c r="V40" s="52">
        <f t="shared" si="894"/>
        <v>40000000</v>
      </c>
      <c r="W40" s="52">
        <f>V40</f>
        <v>40000000</v>
      </c>
      <c r="X40" s="52">
        <f>W40</f>
        <v>40000000</v>
      </c>
      <c r="Y40" s="52">
        <f>X40</f>
        <v>40000000</v>
      </c>
      <c r="Z40" s="52">
        <f>Y40</f>
        <v>40000000</v>
      </c>
      <c r="AA40" s="52">
        <f t="shared" si="980"/>
        <v>40000000</v>
      </c>
      <c r="AB40" s="52">
        <f t="shared" si="980"/>
        <v>40000000</v>
      </c>
      <c r="AC40" s="52">
        <f t="shared" si="895"/>
        <v>40000000</v>
      </c>
      <c r="AD40" s="52">
        <f t="shared" si="895"/>
        <v>40000000</v>
      </c>
      <c r="AE40" s="52">
        <f t="shared" si="981"/>
        <v>40000000</v>
      </c>
      <c r="AF40" s="52">
        <f t="shared" si="981"/>
        <v>40000000</v>
      </c>
      <c r="AG40" s="52">
        <f t="shared" si="981"/>
        <v>40000000</v>
      </c>
      <c r="AH40" s="67">
        <f>AG40</f>
        <v>40000000</v>
      </c>
      <c r="AI40" s="82">
        <f>AG40</f>
        <v>40000000</v>
      </c>
      <c r="AJ40" s="82">
        <f>AI40</f>
        <v>40000000</v>
      </c>
      <c r="AK40" s="82">
        <f>AI40</f>
        <v>40000000</v>
      </c>
      <c r="AL40" s="82">
        <f>AJ40</f>
        <v>40000000</v>
      </c>
      <c r="AM40" s="82">
        <f t="shared" si="982"/>
        <v>40000000</v>
      </c>
      <c r="AN40" s="82">
        <f t="shared" si="982"/>
        <v>40000000</v>
      </c>
      <c r="AO40" s="82">
        <f t="shared" si="982"/>
        <v>40000000</v>
      </c>
      <c r="AP40" s="82">
        <f t="shared" si="982"/>
        <v>40000000</v>
      </c>
      <c r="AQ40" s="82">
        <f t="shared" si="982"/>
        <v>40000000</v>
      </c>
      <c r="AR40" s="82">
        <f t="shared" si="982"/>
        <v>40000000</v>
      </c>
      <c r="AS40" s="82">
        <f>AQ40</f>
        <v>40000000</v>
      </c>
      <c r="AT40" s="82">
        <f>AR40</f>
        <v>40000000</v>
      </c>
      <c r="AU40" s="82">
        <f t="shared" si="983"/>
        <v>40000000</v>
      </c>
      <c r="AV40" s="82">
        <f t="shared" si="983"/>
        <v>40000000</v>
      </c>
      <c r="AW40" s="82">
        <f t="shared" si="983"/>
        <v>40000000</v>
      </c>
      <c r="AX40" s="82">
        <f t="shared" si="896"/>
        <v>40000000</v>
      </c>
      <c r="AY40" s="82">
        <f t="shared" si="896"/>
        <v>40000000</v>
      </c>
      <c r="AZ40" s="82">
        <f t="shared" si="984"/>
        <v>40000000</v>
      </c>
      <c r="BA40" s="82">
        <f t="shared" si="984"/>
        <v>40000000</v>
      </c>
      <c r="BB40" s="82">
        <f t="shared" si="984"/>
        <v>40000000</v>
      </c>
      <c r="BC40" s="82">
        <f t="shared" si="984"/>
        <v>40000000</v>
      </c>
      <c r="BD40" s="82">
        <f t="shared" si="984"/>
        <v>40000000</v>
      </c>
      <c r="BE40" s="82">
        <f t="shared" si="897"/>
        <v>40000000</v>
      </c>
      <c r="BF40" s="82">
        <f t="shared" si="897"/>
        <v>40000000</v>
      </c>
      <c r="BG40" s="82">
        <f t="shared" si="897"/>
        <v>40000000</v>
      </c>
      <c r="BH40" s="82">
        <f t="shared" si="985"/>
        <v>40000000</v>
      </c>
      <c r="BI40" s="82">
        <f t="shared" si="985"/>
        <v>40000000</v>
      </c>
      <c r="BJ40" s="82">
        <f t="shared" si="985"/>
        <v>40000000</v>
      </c>
      <c r="BK40" s="82">
        <f t="shared" si="985"/>
        <v>40000000</v>
      </c>
      <c r="BL40" s="82">
        <f t="shared" si="985"/>
        <v>40000000</v>
      </c>
      <c r="BM40" s="106">
        <f>BL40</f>
        <v>40000000</v>
      </c>
      <c r="BN40" s="82">
        <f t="shared" si="986"/>
        <v>40000000</v>
      </c>
      <c r="BO40" s="82">
        <f t="shared" si="986"/>
        <v>40000000</v>
      </c>
      <c r="BP40" s="82">
        <f t="shared" si="986"/>
        <v>40000000</v>
      </c>
      <c r="BQ40" s="82">
        <f>BO40</f>
        <v>40000000</v>
      </c>
      <c r="BR40" s="82">
        <f>BP40</f>
        <v>40000000</v>
      </c>
      <c r="BS40" s="82">
        <f t="shared" si="987"/>
        <v>40000000</v>
      </c>
      <c r="BT40" s="82">
        <f t="shared" si="987"/>
        <v>40000000</v>
      </c>
      <c r="BU40" s="82">
        <f t="shared" si="987"/>
        <v>40000000</v>
      </c>
      <c r="BV40" s="82">
        <f t="shared" si="987"/>
        <v>40000000</v>
      </c>
      <c r="BW40" s="82">
        <f t="shared" si="987"/>
        <v>40000000</v>
      </c>
      <c r="BX40" s="82">
        <f t="shared" si="987"/>
        <v>40000000</v>
      </c>
      <c r="BY40" s="82">
        <f t="shared" si="987"/>
        <v>40000000</v>
      </c>
      <c r="BZ40" s="82">
        <f t="shared" si="987"/>
        <v>40000000</v>
      </c>
      <c r="CA40" s="82">
        <f t="shared" si="987"/>
        <v>40000000</v>
      </c>
      <c r="CB40" s="82">
        <f t="shared" si="987"/>
        <v>40000000</v>
      </c>
      <c r="CC40" s="82">
        <f t="shared" si="988"/>
        <v>40000000</v>
      </c>
      <c r="CD40" s="82">
        <f t="shared" si="988"/>
        <v>40000000</v>
      </c>
      <c r="CE40" s="82">
        <f t="shared" si="988"/>
        <v>40000000</v>
      </c>
      <c r="CF40" s="82">
        <f t="shared" si="988"/>
        <v>40000000</v>
      </c>
      <c r="CG40" s="82">
        <f t="shared" si="988"/>
        <v>40000000</v>
      </c>
      <c r="CH40" s="82">
        <f t="shared" si="988"/>
        <v>40000000</v>
      </c>
      <c r="CI40" s="82">
        <f t="shared" si="988"/>
        <v>40000000</v>
      </c>
      <c r="CJ40" s="82">
        <f t="shared" si="988"/>
        <v>40000000</v>
      </c>
      <c r="CK40" s="82">
        <f t="shared" si="988"/>
        <v>40000000</v>
      </c>
      <c r="CL40" s="82">
        <f t="shared" si="988"/>
        <v>40000000</v>
      </c>
      <c r="CM40" s="82">
        <f t="shared" si="989"/>
        <v>40000000</v>
      </c>
      <c r="CN40" s="82">
        <f t="shared" si="989"/>
        <v>40000000</v>
      </c>
      <c r="CO40" s="82">
        <f t="shared" si="989"/>
        <v>40000000</v>
      </c>
      <c r="CP40" s="82">
        <f t="shared" si="989"/>
        <v>40000000</v>
      </c>
      <c r="CQ40" s="82">
        <f t="shared" si="989"/>
        <v>40000000</v>
      </c>
      <c r="CR40" s="82">
        <f t="shared" si="989"/>
        <v>40000000</v>
      </c>
      <c r="CT40" s="82">
        <f>CR40</f>
        <v>40000000</v>
      </c>
      <c r="CU40" s="82">
        <f>CT40</f>
        <v>40000000</v>
      </c>
      <c r="CV40" s="82">
        <f>CT40</f>
        <v>40000000</v>
      </c>
      <c r="CW40" s="82">
        <f t="shared" ref="CW40:DB41" si="1086">CU40</f>
        <v>40000000</v>
      </c>
      <c r="CX40" s="82">
        <f t="shared" si="1086"/>
        <v>40000000</v>
      </c>
      <c r="CY40" s="82">
        <f t="shared" si="1086"/>
        <v>40000000</v>
      </c>
      <c r="CZ40" s="82">
        <f t="shared" si="1086"/>
        <v>40000000</v>
      </c>
      <c r="DA40" s="82">
        <f t="shared" si="1086"/>
        <v>40000000</v>
      </c>
      <c r="DB40" s="82">
        <f t="shared" si="1086"/>
        <v>40000000</v>
      </c>
      <c r="DC40" s="82">
        <f>DA40</f>
        <v>40000000</v>
      </c>
      <c r="DD40" s="82">
        <f>DB40</f>
        <v>40000000</v>
      </c>
      <c r="DE40" s="82">
        <f>DC40</f>
        <v>40000000</v>
      </c>
      <c r="DF40" s="82">
        <f t="shared" si="990"/>
        <v>40000000</v>
      </c>
      <c r="DG40" s="82">
        <f t="shared" si="990"/>
        <v>40000000</v>
      </c>
      <c r="DH40" s="82">
        <f t="shared" si="990"/>
        <v>40000000</v>
      </c>
      <c r="DI40" s="82">
        <f t="shared" si="990"/>
        <v>40000000</v>
      </c>
      <c r="DJ40" s="82">
        <f t="shared" si="990"/>
        <v>40000000</v>
      </c>
      <c r="DK40" s="82">
        <f t="shared" si="990"/>
        <v>40000000</v>
      </c>
      <c r="DL40" s="82">
        <f t="shared" si="898"/>
        <v>40000000</v>
      </c>
      <c r="DM40" s="82">
        <f t="shared" si="898"/>
        <v>40000000</v>
      </c>
      <c r="DN40" s="82">
        <f t="shared" si="898"/>
        <v>40000000</v>
      </c>
      <c r="DO40" s="82">
        <f t="shared" si="898"/>
        <v>40000000</v>
      </c>
      <c r="DP40" s="82">
        <f t="shared" si="991"/>
        <v>40000000</v>
      </c>
      <c r="DQ40" s="82">
        <f t="shared" si="991"/>
        <v>40000000</v>
      </c>
      <c r="DR40" s="82">
        <f t="shared" si="991"/>
        <v>40000000</v>
      </c>
      <c r="DS40" s="82">
        <f t="shared" si="991"/>
        <v>40000000</v>
      </c>
      <c r="DT40" s="82">
        <f>DR40</f>
        <v>40000000</v>
      </c>
      <c r="DU40" s="82">
        <f>DS40</f>
        <v>40000000</v>
      </c>
      <c r="DV40" s="82">
        <f t="shared" ref="DV40:DW42" si="1087">DT40</f>
        <v>40000000</v>
      </c>
      <c r="DW40" s="82">
        <f t="shared" si="1087"/>
        <v>40000000</v>
      </c>
      <c r="DX40" s="117"/>
      <c r="DY40" s="82">
        <f>DW40</f>
        <v>40000000</v>
      </c>
      <c r="DZ40" s="82">
        <f>DY40</f>
        <v>40000000</v>
      </c>
      <c r="EA40" s="82">
        <f>DY40</f>
        <v>40000000</v>
      </c>
      <c r="EB40" s="82">
        <f>DZ40</f>
        <v>40000000</v>
      </c>
      <c r="EC40" s="82">
        <f t="shared" si="899"/>
        <v>40000000</v>
      </c>
      <c r="ED40" s="82">
        <f t="shared" si="899"/>
        <v>40000000</v>
      </c>
      <c r="EE40" s="82">
        <f t="shared" si="992"/>
        <v>40000000</v>
      </c>
      <c r="EF40" s="82">
        <f t="shared" si="992"/>
        <v>40000000</v>
      </c>
      <c r="EG40" s="82">
        <f t="shared" si="992"/>
        <v>40000000</v>
      </c>
      <c r="EH40" s="82">
        <f t="shared" si="992"/>
        <v>40000000</v>
      </c>
      <c r="EI40" s="82">
        <f>EG40</f>
        <v>40000000</v>
      </c>
      <c r="EJ40" s="82">
        <f>EH40</f>
        <v>40000000</v>
      </c>
      <c r="EK40" s="82">
        <f t="shared" si="993"/>
        <v>40000000</v>
      </c>
      <c r="EL40" s="82">
        <f t="shared" si="993"/>
        <v>40000000</v>
      </c>
      <c r="EM40" s="82">
        <f t="shared" si="993"/>
        <v>40000000</v>
      </c>
      <c r="EN40" s="82">
        <f>EL40</f>
        <v>40000000</v>
      </c>
      <c r="EO40" s="82">
        <f>EM40</f>
        <v>40000000</v>
      </c>
      <c r="EP40" s="82">
        <f t="shared" si="994"/>
        <v>40000000</v>
      </c>
      <c r="EQ40" s="82">
        <f t="shared" si="994"/>
        <v>40000000</v>
      </c>
      <c r="ER40" s="82">
        <f t="shared" si="994"/>
        <v>40000000</v>
      </c>
      <c r="ES40" s="82">
        <f t="shared" si="994"/>
        <v>40000000</v>
      </c>
      <c r="ET40" s="82">
        <f t="shared" si="994"/>
        <v>40000000</v>
      </c>
      <c r="EU40" s="82">
        <f t="shared" si="994"/>
        <v>40000000</v>
      </c>
      <c r="EV40" s="82">
        <f t="shared" si="994"/>
        <v>40000000</v>
      </c>
      <c r="EW40" s="82">
        <f t="shared" si="900"/>
        <v>40000000</v>
      </c>
      <c r="EX40" s="82">
        <f t="shared" si="900"/>
        <v>40000000</v>
      </c>
      <c r="EY40" s="82">
        <f t="shared" si="900"/>
        <v>40000000</v>
      </c>
      <c r="EZ40" s="82">
        <f t="shared" si="995"/>
        <v>40000000</v>
      </c>
      <c r="FA40" s="82">
        <f t="shared" si="995"/>
        <v>40000000</v>
      </c>
      <c r="FB40" s="82">
        <f t="shared" si="995"/>
        <v>40000000</v>
      </c>
      <c r="FC40" s="82">
        <f t="shared" si="995"/>
        <v>40000000</v>
      </c>
      <c r="FD40" s="126"/>
      <c r="FE40" s="82">
        <f>FC40</f>
        <v>40000000</v>
      </c>
      <c r="FF40" s="82">
        <f>FE40</f>
        <v>40000000</v>
      </c>
      <c r="FG40" s="82">
        <f>FE40</f>
        <v>40000000</v>
      </c>
      <c r="FH40" s="82">
        <f>FF40</f>
        <v>40000000</v>
      </c>
      <c r="FI40" s="82">
        <f>FG40</f>
        <v>40000000</v>
      </c>
      <c r="FJ40" s="82">
        <f t="shared" si="996"/>
        <v>40000000</v>
      </c>
      <c r="FK40" s="82">
        <f t="shared" si="996"/>
        <v>40000000</v>
      </c>
      <c r="FL40" s="82">
        <f t="shared" si="996"/>
        <v>40000000</v>
      </c>
      <c r="FM40" s="82">
        <f t="shared" si="996"/>
        <v>40000000</v>
      </c>
      <c r="FN40" s="82">
        <f t="shared" si="996"/>
        <v>40000000</v>
      </c>
      <c r="FO40" s="82">
        <f t="shared" si="996"/>
        <v>40000000</v>
      </c>
      <c r="FP40" s="82">
        <f t="shared" si="996"/>
        <v>40000000</v>
      </c>
      <c r="FQ40" s="82">
        <f t="shared" si="996"/>
        <v>40000000</v>
      </c>
      <c r="FR40" s="82">
        <f t="shared" si="996"/>
        <v>40000000</v>
      </c>
      <c r="FS40" s="82">
        <f t="shared" si="996"/>
        <v>40000000</v>
      </c>
      <c r="FT40" s="82">
        <f t="shared" si="996"/>
        <v>40000000</v>
      </c>
      <c r="FU40" s="82">
        <f t="shared" si="996"/>
        <v>40000000</v>
      </c>
      <c r="FV40" s="82">
        <f t="shared" si="996"/>
        <v>40000000</v>
      </c>
      <c r="FW40" s="82">
        <f t="shared" si="996"/>
        <v>40000000</v>
      </c>
      <c r="FX40" s="82">
        <f t="shared" si="901"/>
        <v>40000000</v>
      </c>
      <c r="FY40" s="82">
        <f t="shared" si="901"/>
        <v>40000000</v>
      </c>
      <c r="FZ40" s="82">
        <f t="shared" si="901"/>
        <v>40000000</v>
      </c>
      <c r="GA40" s="82">
        <f t="shared" si="997"/>
        <v>40000000</v>
      </c>
      <c r="GB40" s="82">
        <f t="shared" si="997"/>
        <v>40000000</v>
      </c>
      <c r="GC40" s="82">
        <f t="shared" si="997"/>
        <v>40000000</v>
      </c>
      <c r="GD40" s="82">
        <f t="shared" si="902"/>
        <v>40000000</v>
      </c>
      <c r="GE40" s="82">
        <f t="shared" si="902"/>
        <v>40000000</v>
      </c>
      <c r="GF40" s="82">
        <f t="shared" si="902"/>
        <v>40000000</v>
      </c>
      <c r="GG40" s="82">
        <f t="shared" si="998"/>
        <v>40000000</v>
      </c>
      <c r="GH40" s="82">
        <f t="shared" si="998"/>
        <v>40000000</v>
      </c>
      <c r="GI40" s="82">
        <f t="shared" si="998"/>
        <v>40000000</v>
      </c>
      <c r="GJ40" s="130"/>
      <c r="GK40" s="82">
        <f>GI40</f>
        <v>40000000</v>
      </c>
      <c r="GL40" s="82">
        <f>GK40</f>
        <v>40000000</v>
      </c>
      <c r="GM40" s="82">
        <f t="shared" ref="GM40:GR40" si="1088">GK40</f>
        <v>40000000</v>
      </c>
      <c r="GN40" s="82">
        <f t="shared" si="1088"/>
        <v>40000000</v>
      </c>
      <c r="GO40" s="82">
        <f t="shared" si="1088"/>
        <v>40000000</v>
      </c>
      <c r="GP40" s="82">
        <f t="shared" si="1088"/>
        <v>40000000</v>
      </c>
      <c r="GQ40" s="82">
        <f t="shared" si="1088"/>
        <v>40000000</v>
      </c>
      <c r="GR40" s="82">
        <f t="shared" si="1088"/>
        <v>40000000</v>
      </c>
      <c r="GS40" s="82">
        <f t="shared" si="1000"/>
        <v>40000000</v>
      </c>
      <c r="GT40" s="82">
        <f t="shared" si="1000"/>
        <v>40000000</v>
      </c>
      <c r="GU40" s="82">
        <f t="shared" si="1000"/>
        <v>40000000</v>
      </c>
      <c r="GV40" s="82">
        <f t="shared" si="1000"/>
        <v>40000000</v>
      </c>
      <c r="GW40" s="82">
        <f t="shared" si="1000"/>
        <v>40000000</v>
      </c>
      <c r="GX40" s="82">
        <f t="shared" si="1000"/>
        <v>40000000</v>
      </c>
      <c r="GY40" s="82">
        <f t="shared" si="1000"/>
        <v>40000000</v>
      </c>
      <c r="GZ40" s="82">
        <f t="shared" si="1000"/>
        <v>40000000</v>
      </c>
      <c r="HA40" s="82">
        <f>GY40</f>
        <v>40000000</v>
      </c>
      <c r="HB40" s="82">
        <f>GZ40</f>
        <v>40000000</v>
      </c>
      <c r="HC40" s="82">
        <f t="shared" si="1001"/>
        <v>40000000</v>
      </c>
      <c r="HD40" s="82">
        <f t="shared" si="1001"/>
        <v>40000000</v>
      </c>
      <c r="HE40" s="82">
        <f t="shared" si="1001"/>
        <v>40000000</v>
      </c>
      <c r="HF40" s="82">
        <f t="shared" si="1001"/>
        <v>40000000</v>
      </c>
      <c r="HG40" s="82">
        <f t="shared" si="1001"/>
        <v>40000000</v>
      </c>
      <c r="HH40" s="82">
        <f t="shared" si="1001"/>
        <v>40000000</v>
      </c>
      <c r="HI40" s="82">
        <f>HG40</f>
        <v>40000000</v>
      </c>
      <c r="HJ40" s="82">
        <f>HH40</f>
        <v>40000000</v>
      </c>
      <c r="HK40" s="82">
        <f>HI40</f>
        <v>40000000</v>
      </c>
      <c r="HL40" s="82">
        <f>HJ40</f>
        <v>40000000</v>
      </c>
      <c r="HM40" s="82">
        <f>HK40</f>
        <v>40000000</v>
      </c>
      <c r="HN40" s="130"/>
      <c r="HO40" s="82">
        <f>HM40</f>
        <v>40000000</v>
      </c>
      <c r="HP40" s="82">
        <f>HO40</f>
        <v>40000000</v>
      </c>
      <c r="HQ40" s="82">
        <f t="shared" si="1002"/>
        <v>40000000</v>
      </c>
      <c r="HR40" s="82">
        <f t="shared" si="1002"/>
        <v>40000000</v>
      </c>
      <c r="HS40" s="82">
        <f t="shared" si="1002"/>
        <v>40000000</v>
      </c>
      <c r="HT40" s="82">
        <f t="shared" si="1002"/>
        <v>40000000</v>
      </c>
      <c r="HU40" s="82">
        <f>HS40</f>
        <v>40000000</v>
      </c>
      <c r="HV40" s="82">
        <f>HT40</f>
        <v>40000000</v>
      </c>
      <c r="HW40" s="82">
        <f>HU40</f>
        <v>40000000</v>
      </c>
      <c r="HX40" s="82">
        <f t="shared" si="1003"/>
        <v>40000000</v>
      </c>
      <c r="HY40" s="82">
        <f t="shared" si="1003"/>
        <v>40000000</v>
      </c>
      <c r="HZ40" s="82">
        <f t="shared" si="1003"/>
        <v>40000000</v>
      </c>
      <c r="IA40" s="82">
        <f t="shared" si="1003"/>
        <v>40000000</v>
      </c>
      <c r="IB40" s="82">
        <f>HZ40</f>
        <v>40000000</v>
      </c>
      <c r="IC40" s="82">
        <f>IA40</f>
        <v>40000000</v>
      </c>
      <c r="ID40" s="82">
        <f t="shared" si="1004"/>
        <v>40000000</v>
      </c>
      <c r="IE40" s="82">
        <f t="shared" si="1004"/>
        <v>40000000</v>
      </c>
      <c r="IF40" s="82">
        <f t="shared" si="1004"/>
        <v>40000000</v>
      </c>
      <c r="IG40" s="82">
        <f t="shared" si="1004"/>
        <v>40000000</v>
      </c>
      <c r="IH40" s="82">
        <f>IF40</f>
        <v>40000000</v>
      </c>
      <c r="II40" s="82">
        <f>IG40</f>
        <v>40000000</v>
      </c>
      <c r="IJ40" s="82">
        <f t="shared" si="1005"/>
        <v>40000000</v>
      </c>
      <c r="IK40" s="82">
        <f t="shared" si="1005"/>
        <v>40000000</v>
      </c>
      <c r="IL40" s="82">
        <f t="shared" si="1005"/>
        <v>40000000</v>
      </c>
      <c r="IM40" s="82">
        <f>IK40</f>
        <v>40000000</v>
      </c>
      <c r="IN40" s="82">
        <f>IL40</f>
        <v>40000000</v>
      </c>
      <c r="IO40" s="82">
        <f>IM40</f>
        <v>40000000</v>
      </c>
      <c r="IP40" s="82">
        <f t="shared" si="1006"/>
        <v>40000000</v>
      </c>
      <c r="IQ40" s="82">
        <f t="shared" si="1006"/>
        <v>40000000</v>
      </c>
      <c r="IR40" s="82">
        <f t="shared" si="1006"/>
        <v>40000000</v>
      </c>
      <c r="IS40" s="82">
        <f>IQ40</f>
        <v>40000000</v>
      </c>
      <c r="IT40" s="130"/>
      <c r="IU40" s="82">
        <f>IS40</f>
        <v>40000000</v>
      </c>
      <c r="IV40" s="82">
        <f>IU40</f>
        <v>40000000</v>
      </c>
      <c r="IW40" s="82">
        <f>IV40</f>
        <v>40000000</v>
      </c>
      <c r="IX40" s="82">
        <f>IW40</f>
        <v>40000000</v>
      </c>
      <c r="IY40" s="82">
        <f>IX40</f>
        <v>40000000</v>
      </c>
      <c r="IZ40" s="82">
        <f>IY40</f>
        <v>40000000</v>
      </c>
      <c r="JA40" s="82">
        <f>IZ40</f>
        <v>40000000</v>
      </c>
      <c r="JB40" s="82">
        <f>JA40</f>
        <v>40000000</v>
      </c>
      <c r="JC40" s="82">
        <f>JB40</f>
        <v>40000000</v>
      </c>
      <c r="JD40" s="82">
        <f t="shared" si="903"/>
        <v>40000000</v>
      </c>
      <c r="JE40" s="82">
        <f t="shared" si="903"/>
        <v>40000000</v>
      </c>
      <c r="JF40" s="82">
        <f t="shared" si="903"/>
        <v>40000000</v>
      </c>
      <c r="JG40" s="82">
        <f t="shared" si="1007"/>
        <v>40000000</v>
      </c>
      <c r="JH40" s="82">
        <f t="shared" si="1007"/>
        <v>40000000</v>
      </c>
      <c r="JI40" s="82">
        <f t="shared" si="904"/>
        <v>40000000</v>
      </c>
      <c r="JJ40" s="82">
        <f t="shared" si="904"/>
        <v>40000000</v>
      </c>
      <c r="JK40" s="82">
        <f t="shared" si="904"/>
        <v>40000000</v>
      </c>
      <c r="JL40" s="82">
        <f>JK40</f>
        <v>40000000</v>
      </c>
      <c r="JM40" s="82">
        <f>JL40</f>
        <v>40000000</v>
      </c>
      <c r="JN40" s="82">
        <f>JM40</f>
        <v>40000000</v>
      </c>
      <c r="JO40" s="82">
        <f t="shared" si="905"/>
        <v>40000000</v>
      </c>
      <c r="JP40" s="82">
        <f t="shared" si="905"/>
        <v>40000000</v>
      </c>
      <c r="JQ40" s="82">
        <f t="shared" si="905"/>
        <v>40000000</v>
      </c>
      <c r="JR40" s="82">
        <f t="shared" si="905"/>
        <v>40000000</v>
      </c>
      <c r="JS40" s="82">
        <f t="shared" si="905"/>
        <v>40000000</v>
      </c>
      <c r="JT40" s="82">
        <f>JS40</f>
        <v>40000000</v>
      </c>
      <c r="JU40" s="82">
        <f t="shared" si="1008"/>
        <v>40000000</v>
      </c>
      <c r="JV40" s="82">
        <f t="shared" si="1008"/>
        <v>40000000</v>
      </c>
      <c r="JW40" s="82">
        <f t="shared" si="906"/>
        <v>40000000</v>
      </c>
      <c r="JX40" s="82">
        <f t="shared" si="906"/>
        <v>40000000</v>
      </c>
      <c r="JY40" s="133"/>
      <c r="JZ40" s="82">
        <f>JX40</f>
        <v>40000000</v>
      </c>
      <c r="KA40" s="82">
        <f>JZ40</f>
        <v>40000000</v>
      </c>
      <c r="KB40" s="82">
        <f>JZ40</f>
        <v>40000000</v>
      </c>
      <c r="KC40" s="82">
        <f>KA40</f>
        <v>40000000</v>
      </c>
      <c r="KD40" s="82">
        <f>KB40</f>
        <v>40000000</v>
      </c>
      <c r="KE40" s="82">
        <f>KC40</f>
        <v>40000000</v>
      </c>
      <c r="KF40" s="82">
        <f>KD40</f>
        <v>40000000</v>
      </c>
      <c r="KG40" s="82">
        <f>KE40</f>
        <v>40000000</v>
      </c>
      <c r="KH40" s="82">
        <f t="shared" si="1009"/>
        <v>40000000</v>
      </c>
      <c r="KI40" s="82">
        <f t="shared" si="1009"/>
        <v>40000000</v>
      </c>
      <c r="KJ40" s="82">
        <f t="shared" si="1009"/>
        <v>40000000</v>
      </c>
      <c r="KK40" s="82">
        <f t="shared" si="1009"/>
        <v>40000000</v>
      </c>
      <c r="KL40" s="82">
        <f t="shared" si="1009"/>
        <v>40000000</v>
      </c>
      <c r="KM40" s="82">
        <f t="shared" si="1009"/>
        <v>40000000</v>
      </c>
      <c r="KN40" s="82">
        <f t="shared" si="1009"/>
        <v>40000000</v>
      </c>
      <c r="KO40" s="82">
        <f t="shared" si="1009"/>
        <v>40000000</v>
      </c>
      <c r="KP40" s="82">
        <f t="shared" si="1009"/>
        <v>40000000</v>
      </c>
      <c r="KQ40" s="82">
        <f t="shared" si="1009"/>
        <v>40000000</v>
      </c>
      <c r="KR40" s="82">
        <f t="shared" si="1010"/>
        <v>40000000</v>
      </c>
      <c r="KS40" s="82">
        <f t="shared" si="1010"/>
        <v>40000000</v>
      </c>
      <c r="KT40" s="82">
        <f t="shared" si="1010"/>
        <v>40000000</v>
      </c>
      <c r="KU40" s="82">
        <f t="shared" si="1010"/>
        <v>40000000</v>
      </c>
      <c r="KV40" s="82">
        <f t="shared" si="1010"/>
        <v>40000000</v>
      </c>
      <c r="KW40" s="82">
        <f t="shared" si="1010"/>
        <v>40000000</v>
      </c>
      <c r="KX40" s="82">
        <f t="shared" si="1010"/>
        <v>40000000</v>
      </c>
      <c r="KY40" s="82">
        <f t="shared" si="1010"/>
        <v>40000000</v>
      </c>
      <c r="KZ40" s="82">
        <f t="shared" si="1010"/>
        <v>40000000</v>
      </c>
      <c r="LA40" s="82">
        <f>KY40</f>
        <v>40000000</v>
      </c>
      <c r="LB40" s="82">
        <f>KZ40</f>
        <v>40000000</v>
      </c>
      <c r="LC40" s="82">
        <f>LA40</f>
        <v>40000000</v>
      </c>
      <c r="LD40" s="82">
        <f>LB40</f>
        <v>40000000</v>
      </c>
      <c r="LE40" s="130"/>
      <c r="LF40" s="82">
        <f>LD40</f>
        <v>40000000</v>
      </c>
      <c r="LG40" s="82">
        <f>LF40</f>
        <v>40000000</v>
      </c>
      <c r="LH40" s="82">
        <f>LG40</f>
        <v>40000000</v>
      </c>
      <c r="LI40" s="82">
        <f t="shared" si="907"/>
        <v>40000000</v>
      </c>
      <c r="LJ40" s="82">
        <f t="shared" si="907"/>
        <v>40000000</v>
      </c>
      <c r="LK40" s="82">
        <f t="shared" si="1011"/>
        <v>40000000</v>
      </c>
      <c r="LL40" s="82">
        <f t="shared" si="1011"/>
        <v>40000000</v>
      </c>
      <c r="LM40" s="82">
        <f t="shared" si="1011"/>
        <v>40000000</v>
      </c>
      <c r="LN40" s="82">
        <f>LM40</f>
        <v>40000000</v>
      </c>
      <c r="LO40" s="82">
        <f t="shared" si="1012"/>
        <v>40000000</v>
      </c>
      <c r="LP40" s="82">
        <f t="shared" si="1012"/>
        <v>40000000</v>
      </c>
      <c r="LQ40" s="82">
        <f>LP40</f>
        <v>40000000</v>
      </c>
      <c r="LR40" s="82">
        <f>LQ40</f>
        <v>40000000</v>
      </c>
      <c r="LS40" s="82">
        <f>LR40</f>
        <v>40000000</v>
      </c>
      <c r="LT40" s="82">
        <f t="shared" si="908"/>
        <v>40000000</v>
      </c>
      <c r="LU40" s="82">
        <f t="shared" si="908"/>
        <v>40000000</v>
      </c>
      <c r="LV40" s="82">
        <f t="shared" si="908"/>
        <v>40000000</v>
      </c>
      <c r="LW40" s="82">
        <f t="shared" si="1013"/>
        <v>40000000</v>
      </c>
      <c r="LX40" s="82">
        <f t="shared" si="1013"/>
        <v>40000000</v>
      </c>
      <c r="LY40" s="82">
        <f t="shared" si="1013"/>
        <v>40000000</v>
      </c>
      <c r="LZ40" s="82">
        <f t="shared" si="1013"/>
        <v>40000000</v>
      </c>
      <c r="MA40" s="82">
        <f t="shared" si="909"/>
        <v>40000000</v>
      </c>
      <c r="MB40" s="82">
        <f t="shared" si="909"/>
        <v>40000000</v>
      </c>
      <c r="MC40" s="82">
        <f t="shared" si="909"/>
        <v>40000000</v>
      </c>
      <c r="MD40" s="82">
        <f t="shared" si="1014"/>
        <v>40000000</v>
      </c>
      <c r="ME40" s="82">
        <f t="shared" si="1014"/>
        <v>40000000</v>
      </c>
      <c r="MF40" s="82">
        <f t="shared" si="1014"/>
        <v>40000000</v>
      </c>
      <c r="MG40" s="82">
        <f t="shared" si="910"/>
        <v>40000000</v>
      </c>
      <c r="MH40" s="82">
        <f t="shared" si="910"/>
        <v>40000000</v>
      </c>
      <c r="MI40" s="82">
        <f>MH40</f>
        <v>40000000</v>
      </c>
      <c r="MJ40" s="133"/>
      <c r="MK40" s="82">
        <f>MI40</f>
        <v>40000000</v>
      </c>
      <c r="ML40" s="82">
        <f>MK40</f>
        <v>40000000</v>
      </c>
      <c r="MM40" s="82">
        <f t="shared" ref="MM40:NO40" si="1089">MK40</f>
        <v>40000000</v>
      </c>
      <c r="MN40" s="82">
        <f t="shared" si="1089"/>
        <v>40000000</v>
      </c>
      <c r="MO40" s="82">
        <f t="shared" si="1089"/>
        <v>40000000</v>
      </c>
      <c r="MP40" s="82">
        <f t="shared" si="1089"/>
        <v>40000000</v>
      </c>
      <c r="MQ40" s="82">
        <f t="shared" si="1089"/>
        <v>40000000</v>
      </c>
      <c r="MR40" s="82">
        <f t="shared" si="1089"/>
        <v>40000000</v>
      </c>
      <c r="MS40" s="82">
        <f t="shared" si="1089"/>
        <v>40000000</v>
      </c>
      <c r="MT40" s="82">
        <f t="shared" si="1089"/>
        <v>40000000</v>
      </c>
      <c r="MU40" s="82">
        <f t="shared" si="1089"/>
        <v>40000000</v>
      </c>
      <c r="MV40" s="82">
        <f t="shared" si="1089"/>
        <v>40000000</v>
      </c>
      <c r="MW40" s="82">
        <f t="shared" si="1089"/>
        <v>40000000</v>
      </c>
      <c r="MX40" s="82">
        <f t="shared" si="1089"/>
        <v>40000000</v>
      </c>
      <c r="MY40" s="82">
        <f t="shared" si="1089"/>
        <v>40000000</v>
      </c>
      <c r="MZ40" s="82">
        <f t="shared" si="1089"/>
        <v>40000000</v>
      </c>
      <c r="NA40" s="82">
        <f t="shared" si="1089"/>
        <v>40000000</v>
      </c>
      <c r="NB40" s="82">
        <f t="shared" si="1089"/>
        <v>40000000</v>
      </c>
      <c r="NC40" s="82">
        <f t="shared" si="1089"/>
        <v>40000000</v>
      </c>
      <c r="ND40" s="82">
        <f t="shared" si="1089"/>
        <v>40000000</v>
      </c>
      <c r="NE40" s="82">
        <f t="shared" si="1089"/>
        <v>40000000</v>
      </c>
      <c r="NF40" s="82">
        <f t="shared" si="1089"/>
        <v>40000000</v>
      </c>
      <c r="NG40" s="82">
        <f t="shared" si="1089"/>
        <v>40000000</v>
      </c>
      <c r="NH40" s="82">
        <f t="shared" si="1089"/>
        <v>40000000</v>
      </c>
      <c r="NI40" s="82">
        <f t="shared" si="1089"/>
        <v>40000000</v>
      </c>
      <c r="NJ40" s="82">
        <f t="shared" si="1089"/>
        <v>40000000</v>
      </c>
      <c r="NK40" s="82">
        <f t="shared" si="1089"/>
        <v>40000000</v>
      </c>
      <c r="NL40" s="82">
        <f t="shared" si="1089"/>
        <v>40000000</v>
      </c>
      <c r="NM40" s="82">
        <f t="shared" si="1089"/>
        <v>40000000</v>
      </c>
      <c r="NN40" s="82">
        <f t="shared" si="1089"/>
        <v>40000000</v>
      </c>
      <c r="NO40" s="82">
        <f t="shared" si="1089"/>
        <v>40000000</v>
      </c>
      <c r="NP40" s="133"/>
      <c r="NQ40" s="82">
        <f>NO40</f>
        <v>40000000</v>
      </c>
      <c r="NR40" s="82">
        <f>NQ40</f>
        <v>40000000</v>
      </c>
      <c r="NS40" s="82">
        <f t="shared" ref="NS40:OU40" si="1090">NQ40</f>
        <v>40000000</v>
      </c>
      <c r="NT40" s="82">
        <f t="shared" si="1090"/>
        <v>40000000</v>
      </c>
      <c r="NU40" s="82">
        <f t="shared" si="1090"/>
        <v>40000000</v>
      </c>
      <c r="NV40" s="82">
        <f t="shared" si="1090"/>
        <v>40000000</v>
      </c>
      <c r="NW40" s="82">
        <f t="shared" si="1090"/>
        <v>40000000</v>
      </c>
      <c r="NX40" s="82">
        <f t="shared" si="1090"/>
        <v>40000000</v>
      </c>
      <c r="NY40" s="82">
        <f t="shared" si="1090"/>
        <v>40000000</v>
      </c>
      <c r="NZ40" s="82">
        <f t="shared" si="1090"/>
        <v>40000000</v>
      </c>
      <c r="OA40" s="82">
        <f t="shared" si="1090"/>
        <v>40000000</v>
      </c>
      <c r="OB40" s="82">
        <f t="shared" si="1090"/>
        <v>40000000</v>
      </c>
      <c r="OC40" s="82">
        <f t="shared" si="1090"/>
        <v>40000000</v>
      </c>
      <c r="OD40" s="82">
        <f t="shared" si="1090"/>
        <v>40000000</v>
      </c>
      <c r="OE40" s="82">
        <f t="shared" si="1090"/>
        <v>40000000</v>
      </c>
      <c r="OF40" s="82">
        <f t="shared" si="1090"/>
        <v>40000000</v>
      </c>
      <c r="OG40" s="82">
        <f t="shared" si="1090"/>
        <v>40000000</v>
      </c>
      <c r="OH40" s="82">
        <f t="shared" si="1090"/>
        <v>40000000</v>
      </c>
      <c r="OI40" s="82">
        <f t="shared" si="1090"/>
        <v>40000000</v>
      </c>
      <c r="OJ40" s="82">
        <f t="shared" si="1090"/>
        <v>40000000</v>
      </c>
      <c r="OK40" s="82">
        <f t="shared" si="1090"/>
        <v>40000000</v>
      </c>
      <c r="OL40" s="82">
        <f t="shared" si="1090"/>
        <v>40000000</v>
      </c>
      <c r="OM40" s="82">
        <f t="shared" si="1090"/>
        <v>40000000</v>
      </c>
      <c r="ON40" s="82">
        <f t="shared" si="1090"/>
        <v>40000000</v>
      </c>
      <c r="OO40" s="82">
        <f t="shared" si="1090"/>
        <v>40000000</v>
      </c>
      <c r="OP40" s="82">
        <f t="shared" si="1090"/>
        <v>40000000</v>
      </c>
      <c r="OQ40" s="82">
        <f t="shared" si="1090"/>
        <v>40000000</v>
      </c>
      <c r="OR40" s="82">
        <f t="shared" si="1090"/>
        <v>40000000</v>
      </c>
      <c r="OS40" s="82">
        <f t="shared" si="1090"/>
        <v>40000000</v>
      </c>
      <c r="OT40" s="82">
        <f t="shared" si="1090"/>
        <v>40000000</v>
      </c>
      <c r="OU40" s="82">
        <f t="shared" si="1090"/>
        <v>40000000</v>
      </c>
      <c r="OV40" s="130"/>
      <c r="OW40" s="82">
        <f>OU40</f>
        <v>40000000</v>
      </c>
      <c r="OX40" s="82">
        <f>OW40</f>
        <v>40000000</v>
      </c>
      <c r="OY40" s="82">
        <f t="shared" ref="OY40:PZ40" si="1091">OW40</f>
        <v>40000000</v>
      </c>
      <c r="OZ40" s="82">
        <f t="shared" si="1091"/>
        <v>40000000</v>
      </c>
      <c r="PA40" s="82">
        <f t="shared" si="1091"/>
        <v>40000000</v>
      </c>
      <c r="PB40" s="82">
        <f t="shared" si="1091"/>
        <v>40000000</v>
      </c>
      <c r="PC40" s="82">
        <f t="shared" si="1091"/>
        <v>40000000</v>
      </c>
      <c r="PD40" s="82">
        <f t="shared" si="1091"/>
        <v>40000000</v>
      </c>
      <c r="PE40" s="82">
        <f t="shared" si="1091"/>
        <v>40000000</v>
      </c>
      <c r="PF40" s="82">
        <f t="shared" si="1091"/>
        <v>40000000</v>
      </c>
      <c r="PG40" s="82">
        <f t="shared" si="1091"/>
        <v>40000000</v>
      </c>
      <c r="PH40" s="82">
        <f t="shared" si="1091"/>
        <v>40000000</v>
      </c>
      <c r="PI40" s="82">
        <f t="shared" si="1091"/>
        <v>40000000</v>
      </c>
      <c r="PJ40" s="82">
        <f t="shared" si="1091"/>
        <v>40000000</v>
      </c>
      <c r="PK40" s="82">
        <f t="shared" si="1091"/>
        <v>40000000</v>
      </c>
      <c r="PL40" s="82">
        <f t="shared" si="1091"/>
        <v>40000000</v>
      </c>
      <c r="PM40" s="82">
        <f t="shared" si="1091"/>
        <v>40000000</v>
      </c>
      <c r="PN40" s="82">
        <f t="shared" si="1091"/>
        <v>40000000</v>
      </c>
      <c r="PO40" s="82">
        <f t="shared" si="1091"/>
        <v>40000000</v>
      </c>
      <c r="PP40" s="82">
        <f t="shared" si="1091"/>
        <v>40000000</v>
      </c>
      <c r="PQ40" s="82">
        <f t="shared" si="1091"/>
        <v>40000000</v>
      </c>
      <c r="PR40" s="82">
        <f t="shared" si="1091"/>
        <v>40000000</v>
      </c>
      <c r="PS40" s="82">
        <f t="shared" si="1091"/>
        <v>40000000</v>
      </c>
      <c r="PT40" s="82">
        <f t="shared" si="1091"/>
        <v>40000000</v>
      </c>
      <c r="PU40" s="82">
        <f t="shared" si="1091"/>
        <v>40000000</v>
      </c>
      <c r="PV40" s="82">
        <f t="shared" si="1091"/>
        <v>40000000</v>
      </c>
      <c r="PW40" s="82">
        <f t="shared" si="1091"/>
        <v>40000000</v>
      </c>
      <c r="PX40" s="82">
        <f t="shared" si="1091"/>
        <v>40000000</v>
      </c>
      <c r="PY40" s="82">
        <f t="shared" si="1091"/>
        <v>40000000</v>
      </c>
      <c r="PZ40" s="82">
        <f t="shared" si="1091"/>
        <v>40000000</v>
      </c>
      <c r="QA40" s="130"/>
      <c r="QB40" s="82">
        <f>PZ40</f>
        <v>40000000</v>
      </c>
      <c r="QC40" s="82">
        <f t="shared" ref="QC40:QE41" si="1092">QB40</f>
        <v>40000000</v>
      </c>
      <c r="QD40" s="82">
        <f t="shared" si="1092"/>
        <v>40000000</v>
      </c>
      <c r="QE40" s="82">
        <f t="shared" si="1092"/>
        <v>40000000</v>
      </c>
      <c r="QF40" s="82">
        <f t="shared" si="911"/>
        <v>40000000</v>
      </c>
      <c r="QG40" s="82">
        <f t="shared" si="911"/>
        <v>40000000</v>
      </c>
      <c r="QH40" s="82">
        <f t="shared" si="1017"/>
        <v>40000000</v>
      </c>
      <c r="QI40" s="82">
        <f t="shared" si="1017"/>
        <v>40000000</v>
      </c>
      <c r="QJ40" s="82">
        <f t="shared" si="1017"/>
        <v>40000000</v>
      </c>
      <c r="QK40" s="82">
        <f>QJ40</f>
        <v>40000000</v>
      </c>
      <c r="QL40" s="82">
        <f t="shared" si="1018"/>
        <v>40000000</v>
      </c>
      <c r="QM40" s="82">
        <f t="shared" si="1018"/>
        <v>40000000</v>
      </c>
      <c r="QN40" s="82">
        <f>QM40</f>
        <v>40000000</v>
      </c>
      <c r="QO40" s="82">
        <f t="shared" si="1019"/>
        <v>40000000</v>
      </c>
      <c r="QP40" s="82">
        <f t="shared" si="1019"/>
        <v>40000000</v>
      </c>
      <c r="QQ40" s="82">
        <f t="shared" si="1019"/>
        <v>40000000</v>
      </c>
      <c r="QR40" s="82">
        <f t="shared" si="912"/>
        <v>40000000</v>
      </c>
      <c r="QS40" s="82">
        <f t="shared" si="912"/>
        <v>40000000</v>
      </c>
      <c r="QT40" s="82">
        <f t="shared" si="1020"/>
        <v>40000000</v>
      </c>
      <c r="QU40" s="82">
        <f t="shared" si="1020"/>
        <v>40000000</v>
      </c>
      <c r="QV40" s="82">
        <f t="shared" si="1020"/>
        <v>40000000</v>
      </c>
      <c r="QW40" s="82">
        <f t="shared" si="913"/>
        <v>40000000</v>
      </c>
      <c r="QX40" s="82">
        <f t="shared" si="913"/>
        <v>40000000</v>
      </c>
      <c r="QY40" s="82">
        <f>QX40</f>
        <v>40000000</v>
      </c>
      <c r="QZ40" s="82">
        <f>QY40</f>
        <v>40000000</v>
      </c>
      <c r="RA40" s="82">
        <f>QZ40</f>
        <v>40000000</v>
      </c>
      <c r="RB40" s="82">
        <f>RA40</f>
        <v>40000000</v>
      </c>
      <c r="RC40" s="82">
        <f t="shared" si="1021"/>
        <v>40000000</v>
      </c>
      <c r="RD40" s="82">
        <f t="shared" si="1021"/>
        <v>40000000</v>
      </c>
      <c r="RE40" s="82">
        <f t="shared" si="1021"/>
        <v>40000000</v>
      </c>
      <c r="RF40" s="82">
        <f>RE40</f>
        <v>40000000</v>
      </c>
      <c r="RG40" s="130"/>
      <c r="RH40" s="82">
        <f>RF40</f>
        <v>40000000</v>
      </c>
      <c r="RI40" s="82">
        <f t="shared" si="914"/>
        <v>40000000</v>
      </c>
      <c r="RJ40" s="82">
        <f t="shared" si="914"/>
        <v>40000000</v>
      </c>
      <c r="RK40" s="82">
        <f t="shared" si="914"/>
        <v>40000000</v>
      </c>
      <c r="RL40" s="82">
        <f t="shared" si="1022"/>
        <v>40000000</v>
      </c>
      <c r="RM40" s="82">
        <f t="shared" si="1022"/>
        <v>40000000</v>
      </c>
      <c r="RN40" s="82">
        <f t="shared" si="1022"/>
        <v>40000000</v>
      </c>
      <c r="RO40" s="82">
        <f t="shared" si="915"/>
        <v>40000000</v>
      </c>
      <c r="RP40" s="82">
        <f t="shared" si="915"/>
        <v>40000000</v>
      </c>
      <c r="RQ40" s="82">
        <f t="shared" si="1023"/>
        <v>40000000</v>
      </c>
      <c r="RR40" s="82">
        <f t="shared" si="1023"/>
        <v>40000000</v>
      </c>
      <c r="RS40" s="82">
        <f t="shared" si="1023"/>
        <v>40000000</v>
      </c>
      <c r="RT40" s="82">
        <f>RS40</f>
        <v>40000000</v>
      </c>
      <c r="RU40" s="82">
        <f>RT40</f>
        <v>40000000</v>
      </c>
      <c r="RV40" s="82">
        <f>RU40</f>
        <v>40000000</v>
      </c>
      <c r="RW40" s="82">
        <f>RV40</f>
        <v>40000000</v>
      </c>
      <c r="RX40" s="82">
        <f t="shared" si="916"/>
        <v>40000000</v>
      </c>
      <c r="RY40" s="82">
        <f t="shared" si="916"/>
        <v>40000000</v>
      </c>
      <c r="RZ40" s="82">
        <f t="shared" si="916"/>
        <v>40000000</v>
      </c>
      <c r="SA40" s="82">
        <f>RZ40</f>
        <v>40000000</v>
      </c>
      <c r="SB40" s="82">
        <f>SA40</f>
        <v>40000000</v>
      </c>
      <c r="SC40" s="82">
        <f>SB40</f>
        <v>40000000</v>
      </c>
      <c r="SD40" s="82">
        <f>SC40</f>
        <v>40000000</v>
      </c>
      <c r="SE40" s="82">
        <f>SD40</f>
        <v>40000000</v>
      </c>
      <c r="SF40" s="82">
        <f t="shared" si="917"/>
        <v>40000000</v>
      </c>
      <c r="SG40" s="82">
        <f t="shared" si="917"/>
        <v>40000000</v>
      </c>
      <c r="SH40" s="82">
        <f t="shared" si="917"/>
        <v>40000000</v>
      </c>
      <c r="SI40" s="82">
        <f t="shared" si="917"/>
        <v>40000000</v>
      </c>
      <c r="SJ40" s="82">
        <f t="shared" si="917"/>
        <v>40000000</v>
      </c>
      <c r="SK40" s="82">
        <f>SJ40</f>
        <v>40000000</v>
      </c>
      <c r="SL40" s="130"/>
      <c r="SM40" s="82">
        <f>SK40</f>
        <v>40000000</v>
      </c>
      <c r="SN40" s="82">
        <f t="shared" si="918"/>
        <v>40000000</v>
      </c>
      <c r="SO40" s="82">
        <f t="shared" si="918"/>
        <v>40000000</v>
      </c>
      <c r="SP40" s="82">
        <f>SO40</f>
        <v>40000000</v>
      </c>
      <c r="SQ40" s="82">
        <f>SP40</f>
        <v>40000000</v>
      </c>
      <c r="SR40" s="82">
        <f t="shared" si="1024"/>
        <v>40000000</v>
      </c>
      <c r="SS40" s="82">
        <f t="shared" si="1024"/>
        <v>40000000</v>
      </c>
      <c r="ST40" s="82">
        <f t="shared" si="1024"/>
        <v>40000000</v>
      </c>
      <c r="SU40" s="82">
        <f>ST40</f>
        <v>40000000</v>
      </c>
      <c r="SV40" s="82">
        <f t="shared" si="1025"/>
        <v>40000000</v>
      </c>
      <c r="SW40" s="82">
        <f t="shared" si="1025"/>
        <v>40000000</v>
      </c>
      <c r="SX40" s="82">
        <f t="shared" si="1025"/>
        <v>40000000</v>
      </c>
      <c r="SY40" s="82">
        <f t="shared" si="919"/>
        <v>40000000</v>
      </c>
      <c r="SZ40" s="82">
        <f t="shared" si="919"/>
        <v>40000000</v>
      </c>
      <c r="TA40" s="82">
        <f>SZ40</f>
        <v>40000000</v>
      </c>
      <c r="TB40" s="82">
        <f>TA40</f>
        <v>40000000</v>
      </c>
      <c r="TC40" s="82">
        <f>TB40</f>
        <v>40000000</v>
      </c>
      <c r="TD40" s="82">
        <f>TC40</f>
        <v>40000000</v>
      </c>
      <c r="TE40" s="82">
        <f t="shared" si="1026"/>
        <v>40000000</v>
      </c>
      <c r="TF40" s="82">
        <f t="shared" si="1026"/>
        <v>40000000</v>
      </c>
      <c r="TG40" s="82">
        <f t="shared" si="920"/>
        <v>40000000</v>
      </c>
      <c r="TH40" s="82">
        <f t="shared" si="920"/>
        <v>40000000</v>
      </c>
      <c r="TI40" s="82">
        <f t="shared" si="920"/>
        <v>40000000</v>
      </c>
      <c r="TJ40" s="82">
        <f>TI40</f>
        <v>40000000</v>
      </c>
      <c r="TK40" s="82">
        <f t="shared" si="921"/>
        <v>40000000</v>
      </c>
      <c r="TL40" s="82">
        <f t="shared" si="921"/>
        <v>40000000</v>
      </c>
      <c r="TM40" s="82">
        <f t="shared" si="921"/>
        <v>40000000</v>
      </c>
      <c r="TN40" s="82">
        <f>TM40</f>
        <v>40000000</v>
      </c>
      <c r="TO40" s="82">
        <f>TN40</f>
        <v>40000000</v>
      </c>
      <c r="TP40" s="82">
        <f t="shared" si="1027"/>
        <v>40000000</v>
      </c>
      <c r="TQ40" s="82">
        <f t="shared" si="1027"/>
        <v>40000000</v>
      </c>
      <c r="TR40" s="130"/>
      <c r="TS40" s="82">
        <f>TQ40</f>
        <v>40000000</v>
      </c>
      <c r="TT40" s="82">
        <f>TS40</f>
        <v>40000000</v>
      </c>
      <c r="TU40" s="82">
        <f>TT40</f>
        <v>40000000</v>
      </c>
      <c r="TV40" s="82">
        <f>TU40</f>
        <v>40000000</v>
      </c>
      <c r="TW40" s="82">
        <f>TV40</f>
        <v>40000000</v>
      </c>
      <c r="TX40" s="82">
        <f>TW40</f>
        <v>40000000</v>
      </c>
      <c r="TY40" s="82">
        <f t="shared" si="1028"/>
        <v>40000000</v>
      </c>
      <c r="TZ40" s="82">
        <f t="shared" si="1028"/>
        <v>40000000</v>
      </c>
      <c r="UA40" s="82">
        <f t="shared" si="1028"/>
        <v>40000000</v>
      </c>
      <c r="UB40" s="82">
        <f t="shared" si="1028"/>
        <v>40000000</v>
      </c>
      <c r="UC40" s="82">
        <f>UB40</f>
        <v>40000000</v>
      </c>
      <c r="UD40" s="82">
        <f>UC40</f>
        <v>40000000</v>
      </c>
      <c r="UE40" s="82">
        <f t="shared" si="922"/>
        <v>40000000</v>
      </c>
      <c r="UF40" s="82">
        <f t="shared" si="922"/>
        <v>40000000</v>
      </c>
      <c r="UG40" s="82">
        <f t="shared" si="922"/>
        <v>40000000</v>
      </c>
      <c r="UH40" s="82">
        <f t="shared" si="922"/>
        <v>40000000</v>
      </c>
      <c r="UI40" s="82">
        <f t="shared" si="1029"/>
        <v>40000000</v>
      </c>
      <c r="UJ40" s="82">
        <f t="shared" si="1029"/>
        <v>40000000</v>
      </c>
      <c r="UK40" s="82">
        <f>UJ40</f>
        <v>40000000</v>
      </c>
      <c r="UL40" s="82">
        <f>UK40</f>
        <v>40000000</v>
      </c>
      <c r="UM40" s="82">
        <f>UL40</f>
        <v>40000000</v>
      </c>
      <c r="UN40" s="82">
        <f>UM40</f>
        <v>40000000</v>
      </c>
      <c r="UO40" s="82">
        <f>UN40</f>
        <v>40000000</v>
      </c>
      <c r="UP40" s="82">
        <f>UO40</f>
        <v>40000000</v>
      </c>
      <c r="UQ40" s="82">
        <f>UP40</f>
        <v>40000000</v>
      </c>
      <c r="UR40" s="82">
        <f>UQ40</f>
        <v>40000000</v>
      </c>
      <c r="US40" s="82">
        <f>UR40</f>
        <v>40000000</v>
      </c>
      <c r="UT40" s="82">
        <f t="shared" si="1030"/>
        <v>40000000</v>
      </c>
      <c r="UU40" s="82">
        <f t="shared" si="1030"/>
        <v>40000000</v>
      </c>
      <c r="UV40" s="82">
        <f t="shared" si="1030"/>
        <v>40000000</v>
      </c>
      <c r="UW40" s="82">
        <f>UV40</f>
        <v>40000000</v>
      </c>
      <c r="UX40" s="130"/>
      <c r="UY40" s="82">
        <f>UW40</f>
        <v>40000000</v>
      </c>
      <c r="UZ40" s="82">
        <f>UY40</f>
        <v>40000000</v>
      </c>
      <c r="VA40" s="82">
        <f t="shared" ref="VA40:VZ40" si="1093">UY40</f>
        <v>40000000</v>
      </c>
      <c r="VB40" s="82">
        <f t="shared" si="1093"/>
        <v>40000000</v>
      </c>
      <c r="VC40" s="82">
        <f t="shared" si="1093"/>
        <v>40000000</v>
      </c>
      <c r="VD40" s="82">
        <f t="shared" si="1093"/>
        <v>40000000</v>
      </c>
      <c r="VE40" s="82">
        <f t="shared" si="1093"/>
        <v>40000000</v>
      </c>
      <c r="VF40" s="82">
        <f t="shared" si="1093"/>
        <v>40000000</v>
      </c>
      <c r="VG40" s="82">
        <f t="shared" si="1093"/>
        <v>40000000</v>
      </c>
      <c r="VH40" s="82">
        <f t="shared" si="1093"/>
        <v>40000000</v>
      </c>
      <c r="VI40" s="82">
        <f t="shared" si="1093"/>
        <v>40000000</v>
      </c>
      <c r="VJ40" s="82">
        <f t="shared" si="1093"/>
        <v>40000000</v>
      </c>
      <c r="VK40" s="82">
        <f t="shared" si="1093"/>
        <v>40000000</v>
      </c>
      <c r="VL40" s="82">
        <f t="shared" si="1093"/>
        <v>40000000</v>
      </c>
      <c r="VM40" s="82">
        <f t="shared" si="1093"/>
        <v>40000000</v>
      </c>
      <c r="VN40" s="82">
        <f t="shared" si="1093"/>
        <v>40000000</v>
      </c>
      <c r="VO40" s="82">
        <f t="shared" si="1093"/>
        <v>40000000</v>
      </c>
      <c r="VP40" s="82">
        <f t="shared" si="1093"/>
        <v>40000000</v>
      </c>
      <c r="VQ40" s="82">
        <f t="shared" si="1093"/>
        <v>40000000</v>
      </c>
      <c r="VR40" s="82">
        <f t="shared" si="1093"/>
        <v>40000000</v>
      </c>
      <c r="VS40" s="82">
        <f t="shared" si="1093"/>
        <v>40000000</v>
      </c>
      <c r="VT40" s="82">
        <f t="shared" si="1093"/>
        <v>40000000</v>
      </c>
      <c r="VU40" s="82">
        <f t="shared" si="1093"/>
        <v>40000000</v>
      </c>
      <c r="VV40" s="82">
        <f t="shared" si="1093"/>
        <v>40000000</v>
      </c>
      <c r="VW40" s="82">
        <f t="shared" si="1093"/>
        <v>40000000</v>
      </c>
      <c r="VX40" s="82">
        <f t="shared" si="1093"/>
        <v>40000000</v>
      </c>
      <c r="VY40" s="82">
        <f t="shared" si="1093"/>
        <v>40000000</v>
      </c>
      <c r="VZ40" s="82">
        <f t="shared" si="1093"/>
        <v>40000000</v>
      </c>
      <c r="WA40" s="133"/>
      <c r="WB40" s="82">
        <f>VZ40</f>
        <v>40000000</v>
      </c>
      <c r="WC40" s="82">
        <f>WB40</f>
        <v>40000000</v>
      </c>
      <c r="WD40" s="82">
        <f t="shared" ref="WD40:XF40" si="1094">WB40</f>
        <v>40000000</v>
      </c>
      <c r="WE40" s="82">
        <f t="shared" si="1094"/>
        <v>40000000</v>
      </c>
      <c r="WF40" s="82">
        <f t="shared" si="1094"/>
        <v>40000000</v>
      </c>
      <c r="WG40" s="82">
        <f t="shared" si="1094"/>
        <v>40000000</v>
      </c>
      <c r="WH40" s="82">
        <f t="shared" si="1094"/>
        <v>40000000</v>
      </c>
      <c r="WI40" s="82">
        <f t="shared" si="1094"/>
        <v>40000000</v>
      </c>
      <c r="WJ40" s="82">
        <f t="shared" si="1094"/>
        <v>40000000</v>
      </c>
      <c r="WK40" s="82">
        <f t="shared" si="1094"/>
        <v>40000000</v>
      </c>
      <c r="WL40" s="82">
        <f t="shared" si="1094"/>
        <v>40000000</v>
      </c>
      <c r="WM40" s="82">
        <f t="shared" si="1094"/>
        <v>40000000</v>
      </c>
      <c r="WN40" s="82">
        <f t="shared" si="1094"/>
        <v>40000000</v>
      </c>
      <c r="WO40" s="82">
        <f t="shared" si="1094"/>
        <v>40000000</v>
      </c>
      <c r="WP40" s="82">
        <f t="shared" si="1094"/>
        <v>40000000</v>
      </c>
      <c r="WQ40" s="82">
        <f t="shared" si="1094"/>
        <v>40000000</v>
      </c>
      <c r="WR40" s="82">
        <f t="shared" si="1094"/>
        <v>40000000</v>
      </c>
      <c r="WS40" s="82">
        <f t="shared" si="1094"/>
        <v>40000000</v>
      </c>
      <c r="WT40" s="82">
        <f t="shared" si="1094"/>
        <v>40000000</v>
      </c>
      <c r="WU40" s="82">
        <f t="shared" si="1094"/>
        <v>40000000</v>
      </c>
      <c r="WV40" s="82">
        <f t="shared" si="1094"/>
        <v>40000000</v>
      </c>
      <c r="WW40" s="82">
        <f t="shared" si="1094"/>
        <v>40000000</v>
      </c>
      <c r="WX40" s="82">
        <f t="shared" si="1094"/>
        <v>40000000</v>
      </c>
      <c r="WY40" s="82">
        <f t="shared" si="1094"/>
        <v>40000000</v>
      </c>
      <c r="WZ40" s="82">
        <f t="shared" si="1094"/>
        <v>40000000</v>
      </c>
      <c r="XA40" s="82">
        <f t="shared" si="1094"/>
        <v>40000000</v>
      </c>
      <c r="XB40" s="82">
        <f t="shared" si="1094"/>
        <v>40000000</v>
      </c>
      <c r="XC40" s="82">
        <f t="shared" si="1094"/>
        <v>40000000</v>
      </c>
      <c r="XD40" s="82">
        <f t="shared" si="1094"/>
        <v>40000000</v>
      </c>
      <c r="XE40" s="82">
        <f t="shared" si="1094"/>
        <v>40000000</v>
      </c>
      <c r="XF40" s="82">
        <f t="shared" si="1094"/>
        <v>40000000</v>
      </c>
      <c r="XG40" s="133"/>
      <c r="XH40" s="82">
        <f>XF40</f>
        <v>40000000</v>
      </c>
      <c r="XI40" s="82">
        <f>XH40</f>
        <v>40000000</v>
      </c>
      <c r="XJ40" s="82">
        <f t="shared" si="1031"/>
        <v>40000000</v>
      </c>
      <c r="XK40" s="82">
        <f t="shared" si="1031"/>
        <v>40000000</v>
      </c>
      <c r="XL40" s="82">
        <f>XK40</f>
        <v>40000000</v>
      </c>
      <c r="XM40" s="82">
        <f>XL40</f>
        <v>40000000</v>
      </c>
      <c r="XN40" s="82">
        <f t="shared" si="926"/>
        <v>40000000</v>
      </c>
      <c r="XO40" s="82">
        <f t="shared" si="926"/>
        <v>40000000</v>
      </c>
      <c r="XP40" s="82">
        <f>XO40</f>
        <v>40000000</v>
      </c>
      <c r="XQ40" s="82">
        <f>XP40</f>
        <v>40000000</v>
      </c>
      <c r="XR40" s="82">
        <f t="shared" si="1032"/>
        <v>40000000</v>
      </c>
      <c r="XS40" s="82">
        <f t="shared" si="1032"/>
        <v>40000000</v>
      </c>
      <c r="XT40" s="82">
        <f t="shared" si="927"/>
        <v>40000000</v>
      </c>
      <c r="XU40" s="82">
        <f t="shared" si="927"/>
        <v>40000000</v>
      </c>
      <c r="XV40" s="82">
        <f t="shared" si="1033"/>
        <v>40000000</v>
      </c>
      <c r="XW40" s="82">
        <f t="shared" si="1033"/>
        <v>40000000</v>
      </c>
      <c r="XX40" s="82">
        <f t="shared" si="1033"/>
        <v>40000000</v>
      </c>
      <c r="XY40" s="82">
        <f t="shared" si="1033"/>
        <v>40000000</v>
      </c>
      <c r="XZ40" s="82">
        <f t="shared" si="1033"/>
        <v>40000000</v>
      </c>
      <c r="YA40" s="82">
        <f t="shared" si="928"/>
        <v>40000000</v>
      </c>
      <c r="YB40" s="82">
        <f t="shared" si="928"/>
        <v>40000000</v>
      </c>
      <c r="YC40" s="82">
        <f t="shared" si="1034"/>
        <v>40000000</v>
      </c>
      <c r="YD40" s="82">
        <f t="shared" si="1034"/>
        <v>40000000</v>
      </c>
      <c r="YE40" s="82">
        <f t="shared" si="1034"/>
        <v>40000000</v>
      </c>
      <c r="YF40" s="82">
        <f t="shared" si="1034"/>
        <v>40000000</v>
      </c>
      <c r="YG40" s="82">
        <f t="shared" si="1034"/>
        <v>40000000</v>
      </c>
      <c r="YH40" s="82">
        <f t="shared" si="929"/>
        <v>40000000</v>
      </c>
      <c r="YI40" s="82">
        <f t="shared" si="929"/>
        <v>40000000</v>
      </c>
      <c r="YJ40" s="82">
        <f>YI40</f>
        <v>40000000</v>
      </c>
      <c r="YK40" s="82">
        <f>YJ40</f>
        <v>40000000</v>
      </c>
      <c r="YL40" s="130"/>
      <c r="YM40" s="82">
        <f>YK40</f>
        <v>40000000</v>
      </c>
      <c r="YN40" s="82">
        <f>YM40</f>
        <v>40000000</v>
      </c>
      <c r="YO40" s="82">
        <f>YN40</f>
        <v>40000000</v>
      </c>
      <c r="YP40" s="82">
        <f>YO40</f>
        <v>40000000</v>
      </c>
      <c r="YQ40" s="82">
        <f t="shared" si="1035"/>
        <v>40000000</v>
      </c>
      <c r="YR40" s="82">
        <f t="shared" si="1035"/>
        <v>40000000</v>
      </c>
      <c r="YS40" s="82">
        <f>YR40</f>
        <v>40000000</v>
      </c>
      <c r="YT40" s="82">
        <f t="shared" si="1036"/>
        <v>40000000</v>
      </c>
      <c r="YU40" s="82">
        <f t="shared" si="1036"/>
        <v>40000000</v>
      </c>
      <c r="YV40" s="82">
        <f>YU40</f>
        <v>40000000</v>
      </c>
      <c r="YW40" s="82">
        <f>YV40</f>
        <v>40000000</v>
      </c>
      <c r="YX40" s="82">
        <f>YW40</f>
        <v>40000000</v>
      </c>
      <c r="YY40" s="82">
        <f t="shared" si="930"/>
        <v>40000000</v>
      </c>
      <c r="YZ40" s="82">
        <f t="shared" si="930"/>
        <v>40000000</v>
      </c>
      <c r="ZA40" s="82">
        <f t="shared" si="930"/>
        <v>40000000</v>
      </c>
      <c r="ZB40" s="82">
        <f t="shared" si="1037"/>
        <v>40000000</v>
      </c>
      <c r="ZC40" s="82">
        <f t="shared" si="1037"/>
        <v>40000000</v>
      </c>
      <c r="ZD40" s="82">
        <f t="shared" si="931"/>
        <v>40000000</v>
      </c>
      <c r="ZE40" s="82">
        <f t="shared" si="931"/>
        <v>40000000</v>
      </c>
      <c r="ZF40" s="82">
        <f>ZE40</f>
        <v>40000000</v>
      </c>
      <c r="ZG40" s="82">
        <f>ZF40</f>
        <v>40000000</v>
      </c>
      <c r="ZH40" s="82">
        <f t="shared" si="1038"/>
        <v>40000000</v>
      </c>
      <c r="ZI40" s="82">
        <f t="shared" si="1038"/>
        <v>40000000</v>
      </c>
      <c r="ZJ40" s="82">
        <f t="shared" si="1038"/>
        <v>40000000</v>
      </c>
      <c r="ZK40" s="82">
        <f>ZJ40</f>
        <v>40000000</v>
      </c>
      <c r="ZL40" s="82">
        <f t="shared" si="1039"/>
        <v>40000000</v>
      </c>
      <c r="ZM40" s="82">
        <f t="shared" si="1039"/>
        <v>40000000</v>
      </c>
      <c r="ZN40" s="82">
        <f t="shared" si="1039"/>
        <v>40000000</v>
      </c>
      <c r="ZO40" s="82">
        <f t="shared" si="1039"/>
        <v>40000000</v>
      </c>
      <c r="ZP40" s="82">
        <f t="shared" si="932"/>
        <v>40000000</v>
      </c>
      <c r="ZQ40" s="82">
        <f t="shared" si="932"/>
        <v>40000000</v>
      </c>
      <c r="ZR40" s="130"/>
      <c r="ZS40" s="82">
        <f>ZQ40</f>
        <v>40000000</v>
      </c>
      <c r="ZT40" s="82">
        <f>ZS40</f>
        <v>40000000</v>
      </c>
      <c r="ZU40" s="82">
        <f>ZT40</f>
        <v>40000000</v>
      </c>
      <c r="ZV40" s="82">
        <f>ZU40</f>
        <v>40000000</v>
      </c>
      <c r="ZW40" s="82">
        <f t="shared" si="1040"/>
        <v>40000000</v>
      </c>
      <c r="ZX40" s="82">
        <f t="shared" si="1040"/>
        <v>40000000</v>
      </c>
      <c r="ZY40" s="82">
        <f>ZX40</f>
        <v>40000000</v>
      </c>
      <c r="ZZ40" s="82">
        <f>ZY40</f>
        <v>40000000</v>
      </c>
      <c r="AAA40" s="82">
        <f t="shared" si="933"/>
        <v>40000000</v>
      </c>
      <c r="AAB40" s="82">
        <f t="shared" si="933"/>
        <v>40000000</v>
      </c>
      <c r="AAC40" s="82">
        <f t="shared" si="1041"/>
        <v>40000000</v>
      </c>
      <c r="AAD40" s="82">
        <f t="shared" si="1041"/>
        <v>40000000</v>
      </c>
      <c r="AAE40" s="82">
        <f t="shared" si="934"/>
        <v>40000000</v>
      </c>
      <c r="AAF40" s="82">
        <f t="shared" si="934"/>
        <v>40000000</v>
      </c>
      <c r="AAG40" s="82">
        <f t="shared" si="934"/>
        <v>40000000</v>
      </c>
      <c r="AAH40" s="82">
        <f t="shared" si="1042"/>
        <v>40000000</v>
      </c>
      <c r="AAI40" s="82">
        <f t="shared" si="1042"/>
        <v>40000000</v>
      </c>
      <c r="AAJ40" s="82">
        <f t="shared" si="1042"/>
        <v>40000000</v>
      </c>
      <c r="AAK40" s="82">
        <f t="shared" si="935"/>
        <v>40000000</v>
      </c>
      <c r="AAL40" s="82">
        <f t="shared" si="935"/>
        <v>40000000</v>
      </c>
      <c r="AAM40" s="82">
        <f t="shared" si="935"/>
        <v>40000000</v>
      </c>
      <c r="AAN40" s="82">
        <f t="shared" si="935"/>
        <v>40000000</v>
      </c>
      <c r="AAO40" s="82">
        <f t="shared" si="1043"/>
        <v>40000000</v>
      </c>
      <c r="AAP40" s="82">
        <f t="shared" si="1043"/>
        <v>40000000</v>
      </c>
      <c r="AAQ40" s="82">
        <f>AAP40</f>
        <v>40000000</v>
      </c>
      <c r="AAR40" s="82">
        <f>AAQ40</f>
        <v>40000000</v>
      </c>
      <c r="AAS40" s="82">
        <f t="shared" si="936"/>
        <v>40000000</v>
      </c>
      <c r="AAT40" s="82">
        <f t="shared" si="936"/>
        <v>40000000</v>
      </c>
      <c r="AAU40" s="82">
        <f>AAT40</f>
        <v>40000000</v>
      </c>
      <c r="AAV40" s="82">
        <f>AAU40</f>
        <v>40000000</v>
      </c>
      <c r="AAW40" s="130"/>
      <c r="AAX40" s="82">
        <f>AAV40</f>
        <v>40000000</v>
      </c>
      <c r="AAY40" s="82">
        <f t="shared" si="937"/>
        <v>40000000</v>
      </c>
      <c r="AAZ40" s="82">
        <f t="shared" si="937"/>
        <v>40000000</v>
      </c>
      <c r="ABA40" s="82">
        <f t="shared" si="1044"/>
        <v>40000000</v>
      </c>
      <c r="ABB40" s="82">
        <f t="shared" si="1044"/>
        <v>40000000</v>
      </c>
      <c r="ABC40" s="82">
        <f t="shared" si="938"/>
        <v>40000000</v>
      </c>
      <c r="ABD40" s="82">
        <f t="shared" si="938"/>
        <v>40000000</v>
      </c>
      <c r="ABE40" s="82">
        <f>ABD40</f>
        <v>40000000</v>
      </c>
      <c r="ABF40" s="82">
        <f>ABE40</f>
        <v>40000000</v>
      </c>
      <c r="ABG40" s="82">
        <f>ABF40</f>
        <v>40000000</v>
      </c>
      <c r="ABH40" s="82">
        <f t="shared" si="939"/>
        <v>40000000</v>
      </c>
      <c r="ABI40" s="82">
        <f t="shared" si="939"/>
        <v>40000000</v>
      </c>
      <c r="ABJ40" s="82">
        <f t="shared" si="1045"/>
        <v>40000000</v>
      </c>
      <c r="ABK40" s="82">
        <f t="shared" si="1045"/>
        <v>40000000</v>
      </c>
      <c r="ABL40" s="82">
        <f>ABK40</f>
        <v>40000000</v>
      </c>
      <c r="ABM40" s="82">
        <f t="shared" si="1046"/>
        <v>40000000</v>
      </c>
      <c r="ABN40" s="82">
        <f t="shared" si="1046"/>
        <v>40000000</v>
      </c>
      <c r="ABO40" s="82">
        <f t="shared" si="1046"/>
        <v>40000000</v>
      </c>
      <c r="ABP40" s="82">
        <f t="shared" si="1046"/>
        <v>40000000</v>
      </c>
      <c r="ABQ40" s="82">
        <f t="shared" si="1046"/>
        <v>40000000</v>
      </c>
      <c r="ABR40" s="82">
        <f t="shared" si="1046"/>
        <v>40000000</v>
      </c>
      <c r="ABS40" s="82">
        <f t="shared" si="940"/>
        <v>40000000</v>
      </c>
      <c r="ABT40" s="82">
        <f t="shared" si="940"/>
        <v>40000000</v>
      </c>
      <c r="ABU40" s="82">
        <f t="shared" si="940"/>
        <v>40000000</v>
      </c>
      <c r="ABV40" s="82">
        <f>ABU40</f>
        <v>40000000</v>
      </c>
      <c r="ABW40" s="82">
        <f t="shared" si="941"/>
        <v>40000000</v>
      </c>
      <c r="ABX40" s="82">
        <f t="shared" si="941"/>
        <v>40000000</v>
      </c>
      <c r="ABY40" s="82">
        <f t="shared" si="1047"/>
        <v>40000000</v>
      </c>
      <c r="ABZ40" s="82">
        <f t="shared" si="1047"/>
        <v>40000000</v>
      </c>
      <c r="ACA40" s="82">
        <f t="shared" si="1047"/>
        <v>40000000</v>
      </c>
      <c r="ACB40" s="82">
        <f>ACA40</f>
        <v>40000000</v>
      </c>
      <c r="ACC40" s="130"/>
      <c r="ACD40" s="82">
        <f>ACB40</f>
        <v>40000000</v>
      </c>
      <c r="ACE40" s="82">
        <f t="shared" si="942"/>
        <v>40000000</v>
      </c>
      <c r="ACF40" s="82">
        <f t="shared" si="942"/>
        <v>40000000</v>
      </c>
      <c r="ACG40" s="82">
        <f>ACF40</f>
        <v>40000000</v>
      </c>
      <c r="ACH40" s="82">
        <f>ACG40</f>
        <v>40000000</v>
      </c>
      <c r="ACI40" s="82">
        <f t="shared" si="1048"/>
        <v>40000000</v>
      </c>
      <c r="ACJ40" s="82">
        <f t="shared" si="1048"/>
        <v>40000000</v>
      </c>
      <c r="ACK40" s="82">
        <f t="shared" si="1048"/>
        <v>40000000</v>
      </c>
      <c r="ACL40" s="82">
        <f t="shared" si="1048"/>
        <v>40000000</v>
      </c>
      <c r="ACM40" s="82">
        <f t="shared" si="943"/>
        <v>40000000</v>
      </c>
      <c r="ACN40" s="82">
        <f t="shared" si="943"/>
        <v>40000000</v>
      </c>
      <c r="ACO40" s="82">
        <f t="shared" si="943"/>
        <v>40000000</v>
      </c>
      <c r="ACP40" s="82">
        <f t="shared" si="1049"/>
        <v>40000000</v>
      </c>
      <c r="ACQ40" s="82">
        <f t="shared" si="1049"/>
        <v>40000000</v>
      </c>
      <c r="ACR40" s="82">
        <f t="shared" si="944"/>
        <v>40000000</v>
      </c>
      <c r="ACS40" s="82">
        <f t="shared" si="944"/>
        <v>40000000</v>
      </c>
      <c r="ACT40" s="82">
        <f t="shared" si="1050"/>
        <v>40000000</v>
      </c>
      <c r="ACU40" s="82">
        <f t="shared" si="1050"/>
        <v>40000000</v>
      </c>
      <c r="ACV40" s="82">
        <f t="shared" si="1050"/>
        <v>40000000</v>
      </c>
      <c r="ACW40" s="82">
        <f>ACV40</f>
        <v>40000000</v>
      </c>
      <c r="ACX40" s="82">
        <f t="shared" si="1051"/>
        <v>40000000</v>
      </c>
      <c r="ACY40" s="82">
        <f t="shared" si="1051"/>
        <v>40000000</v>
      </c>
      <c r="ACZ40" s="82">
        <f t="shared" si="1051"/>
        <v>40000000</v>
      </c>
      <c r="ADA40" s="82">
        <f>ACZ40</f>
        <v>40000000</v>
      </c>
      <c r="ADB40" s="82">
        <f t="shared" si="1052"/>
        <v>40000000</v>
      </c>
      <c r="ADC40" s="82">
        <f t="shared" si="1052"/>
        <v>40000000</v>
      </c>
      <c r="ADD40" s="82">
        <f t="shared" si="945"/>
        <v>40000000</v>
      </c>
      <c r="ADE40" s="82">
        <f t="shared" si="945"/>
        <v>40000000</v>
      </c>
      <c r="ADF40" s="82">
        <f t="shared" si="1053"/>
        <v>40000000</v>
      </c>
      <c r="ADG40" s="82">
        <f t="shared" si="1053"/>
        <v>40000000</v>
      </c>
      <c r="ADH40" s="82">
        <f>ADG40</f>
        <v>40000000</v>
      </c>
      <c r="ADI40" s="130"/>
      <c r="ADJ40" s="82">
        <f>ADH40</f>
        <v>40000000</v>
      </c>
      <c r="ADK40" s="82">
        <f t="shared" ref="ADK40:ADP41" si="1095">ADJ40</f>
        <v>40000000</v>
      </c>
      <c r="ADL40" s="82">
        <f t="shared" si="1095"/>
        <v>40000000</v>
      </c>
      <c r="ADM40" s="82">
        <f t="shared" si="1095"/>
        <v>40000000</v>
      </c>
      <c r="ADN40" s="82">
        <f t="shared" si="1095"/>
        <v>40000000</v>
      </c>
      <c r="ADO40" s="82">
        <f t="shared" si="1095"/>
        <v>40000000</v>
      </c>
      <c r="ADP40" s="82">
        <f t="shared" si="1095"/>
        <v>40000000</v>
      </c>
      <c r="ADQ40" s="82">
        <f t="shared" si="946"/>
        <v>40000000</v>
      </c>
      <c r="ADR40" s="82">
        <f t="shared" si="946"/>
        <v>40000000</v>
      </c>
      <c r="ADS40" s="82">
        <f t="shared" si="946"/>
        <v>40000000</v>
      </c>
      <c r="ADT40" s="82">
        <f t="shared" si="946"/>
        <v>40000000</v>
      </c>
      <c r="ADU40" s="82">
        <f>ADT40</f>
        <v>40000000</v>
      </c>
      <c r="ADV40" s="82">
        <f>ADU40</f>
        <v>40000000</v>
      </c>
      <c r="ADW40" s="82">
        <f t="shared" si="1055"/>
        <v>40000000</v>
      </c>
      <c r="ADX40" s="82">
        <f t="shared" si="1055"/>
        <v>40000000</v>
      </c>
      <c r="ADY40" s="82">
        <f t="shared" si="1055"/>
        <v>40000000</v>
      </c>
      <c r="ADZ40" s="82">
        <f t="shared" si="947"/>
        <v>40000000</v>
      </c>
      <c r="AEA40" s="82">
        <f t="shared" si="947"/>
        <v>40000000</v>
      </c>
      <c r="AEB40" s="82">
        <f t="shared" si="1056"/>
        <v>40000000</v>
      </c>
      <c r="AEC40" s="82">
        <f t="shared" si="1056"/>
        <v>40000000</v>
      </c>
      <c r="AED40" s="82">
        <f t="shared" si="948"/>
        <v>40000000</v>
      </c>
      <c r="AEE40" s="82">
        <f t="shared" si="948"/>
        <v>40000000</v>
      </c>
      <c r="AEF40" s="82">
        <f t="shared" si="948"/>
        <v>40000000</v>
      </c>
      <c r="AEG40" s="82">
        <f t="shared" si="948"/>
        <v>40000000</v>
      </c>
      <c r="AEH40" s="82">
        <f t="shared" si="1057"/>
        <v>40000000</v>
      </c>
      <c r="AEI40" s="82">
        <f t="shared" si="1057"/>
        <v>40000000</v>
      </c>
      <c r="AEJ40" s="82">
        <f t="shared" si="1057"/>
        <v>40000000</v>
      </c>
      <c r="AEK40" s="82">
        <f t="shared" si="949"/>
        <v>40000000</v>
      </c>
      <c r="AEL40" s="82">
        <f t="shared" si="949"/>
        <v>40000000</v>
      </c>
      <c r="AEM40" s="82">
        <f>AEL40</f>
        <v>40000000</v>
      </c>
      <c r="AEN40" s="130"/>
      <c r="AEO40" s="82">
        <f>AEM40</f>
        <v>40000000</v>
      </c>
      <c r="AEP40" s="82">
        <f>AEO40</f>
        <v>40000000</v>
      </c>
      <c r="AEQ40" s="82">
        <f t="shared" si="1058"/>
        <v>40000000</v>
      </c>
      <c r="AER40" s="82">
        <f t="shared" si="1058"/>
        <v>40000000</v>
      </c>
      <c r="AES40" s="82">
        <f t="shared" si="1058"/>
        <v>40000000</v>
      </c>
      <c r="AET40" s="82">
        <f>AES40</f>
        <v>40000000</v>
      </c>
      <c r="AEU40" s="82">
        <f t="shared" si="1059"/>
        <v>40000000</v>
      </c>
      <c r="AEV40" s="82">
        <f t="shared" si="1059"/>
        <v>40000000</v>
      </c>
      <c r="AEW40" s="82">
        <f t="shared" si="950"/>
        <v>40000000</v>
      </c>
      <c r="AEX40" s="82">
        <f t="shared" si="950"/>
        <v>40000000</v>
      </c>
      <c r="AEY40" s="82">
        <f>AEX40</f>
        <v>40000000</v>
      </c>
      <c r="AEZ40" s="82">
        <f>AEY40</f>
        <v>40000000</v>
      </c>
      <c r="AFA40" s="82">
        <f t="shared" si="1060"/>
        <v>40000000</v>
      </c>
      <c r="AFB40" s="82">
        <f t="shared" si="1060"/>
        <v>40000000</v>
      </c>
      <c r="AFC40" s="82">
        <f t="shared" si="951"/>
        <v>40000000</v>
      </c>
      <c r="AFD40" s="82">
        <f t="shared" si="951"/>
        <v>40000000</v>
      </c>
      <c r="AFE40" s="82">
        <f t="shared" si="1061"/>
        <v>40000000</v>
      </c>
      <c r="AFF40" s="82">
        <f t="shared" si="1061"/>
        <v>40000000</v>
      </c>
      <c r="AFG40" s="82">
        <f t="shared" si="1061"/>
        <v>40000000</v>
      </c>
      <c r="AFH40" s="82">
        <f t="shared" si="952"/>
        <v>40000000</v>
      </c>
      <c r="AFI40" s="82">
        <f t="shared" si="952"/>
        <v>40000000</v>
      </c>
      <c r="AFJ40" s="82">
        <f t="shared" si="952"/>
        <v>40000000</v>
      </c>
      <c r="AFK40" s="82">
        <f t="shared" si="952"/>
        <v>40000000</v>
      </c>
      <c r="AFL40" s="82">
        <f>AFK40</f>
        <v>40000000</v>
      </c>
      <c r="AFM40" s="82">
        <f t="shared" si="953"/>
        <v>40000000</v>
      </c>
      <c r="AFN40" s="82">
        <f t="shared" si="953"/>
        <v>40000000</v>
      </c>
      <c r="AFO40" s="82">
        <f t="shared" si="953"/>
        <v>40000000</v>
      </c>
      <c r="AFP40" s="82">
        <f t="shared" si="953"/>
        <v>40000000</v>
      </c>
      <c r="AFQ40" s="82">
        <f t="shared" si="1062"/>
        <v>40000000</v>
      </c>
      <c r="AFR40" s="82">
        <f t="shared" si="1062"/>
        <v>40000000</v>
      </c>
      <c r="AFS40" s="82">
        <f>AFR40</f>
        <v>40000000</v>
      </c>
      <c r="AFT40" s="130"/>
      <c r="AFU40" s="82">
        <f>AFS40</f>
        <v>40000000</v>
      </c>
      <c r="AFV40" s="82">
        <f t="shared" si="954"/>
        <v>40000000</v>
      </c>
      <c r="AFW40" s="82">
        <f t="shared" si="954"/>
        <v>40000000</v>
      </c>
      <c r="AFX40" s="82">
        <f t="shared" si="954"/>
        <v>40000000</v>
      </c>
      <c r="AFY40" s="82">
        <f t="shared" si="954"/>
        <v>40000000</v>
      </c>
      <c r="AFZ40" s="82">
        <f t="shared" si="1063"/>
        <v>40000000</v>
      </c>
      <c r="AGA40" s="82">
        <f t="shared" si="1063"/>
        <v>40000000</v>
      </c>
      <c r="AGB40" s="82">
        <f t="shared" si="955"/>
        <v>40000000</v>
      </c>
      <c r="AGC40" s="82">
        <f t="shared" si="955"/>
        <v>40000000</v>
      </c>
      <c r="AGD40" s="82">
        <f>AGC40</f>
        <v>40000000</v>
      </c>
      <c r="AGE40" s="82">
        <f>AGD40</f>
        <v>40000000</v>
      </c>
      <c r="AGF40" s="82">
        <f>AGE40</f>
        <v>40000000</v>
      </c>
      <c r="AGG40" s="82">
        <f>AGF40</f>
        <v>40000000</v>
      </c>
      <c r="AGH40" s="82">
        <f>AGG40</f>
        <v>40000000</v>
      </c>
      <c r="AGI40" s="82">
        <f t="shared" si="956"/>
        <v>40000000</v>
      </c>
      <c r="AGJ40" s="82">
        <f t="shared" si="956"/>
        <v>40000000</v>
      </c>
      <c r="AGK40" s="82">
        <f>AGJ40</f>
        <v>40000000</v>
      </c>
      <c r="AGL40" s="82">
        <f t="shared" si="957"/>
        <v>40000000</v>
      </c>
      <c r="AGM40" s="82">
        <f t="shared" si="957"/>
        <v>40000000</v>
      </c>
      <c r="AGN40" s="82">
        <f t="shared" si="1064"/>
        <v>40000000</v>
      </c>
      <c r="AGO40" s="82">
        <f t="shared" si="1064"/>
        <v>40000000</v>
      </c>
      <c r="AGP40" s="82">
        <f>AGO40</f>
        <v>40000000</v>
      </c>
      <c r="AGQ40" s="82">
        <f t="shared" si="1065"/>
        <v>40000000</v>
      </c>
      <c r="AGR40" s="82">
        <f t="shared" si="1065"/>
        <v>40000000</v>
      </c>
      <c r="AGS40" s="82">
        <f>AGR40</f>
        <v>40000000</v>
      </c>
      <c r="AGT40" s="82">
        <f>AGS40</f>
        <v>40000000</v>
      </c>
      <c r="AGU40" s="82">
        <f t="shared" si="958"/>
        <v>40000000</v>
      </c>
      <c r="AGV40" s="82">
        <f t="shared" si="958"/>
        <v>40000000</v>
      </c>
      <c r="AGW40" s="82">
        <f t="shared" si="1066"/>
        <v>40000000</v>
      </c>
      <c r="AGX40" s="82">
        <f t="shared" si="1066"/>
        <v>40000000</v>
      </c>
      <c r="AGY40" s="133"/>
      <c r="AGZ40" s="82">
        <f>AGX40</f>
        <v>40000000</v>
      </c>
      <c r="AHA40" s="82">
        <f>AGZ40</f>
        <v>40000000</v>
      </c>
      <c r="AHB40" s="82">
        <f>AHA40</f>
        <v>40000000</v>
      </c>
      <c r="AHC40" s="82">
        <f>AHB40</f>
        <v>40000000</v>
      </c>
      <c r="AHD40" s="82">
        <f t="shared" si="1067"/>
        <v>40000000</v>
      </c>
      <c r="AHE40" s="82">
        <f t="shared" si="1067"/>
        <v>40000000</v>
      </c>
      <c r="AHF40" s="82">
        <f t="shared" si="959"/>
        <v>40000000</v>
      </c>
      <c r="AHG40" s="82">
        <f t="shared" si="959"/>
        <v>40000000</v>
      </c>
      <c r="AHH40" s="82">
        <f>AHG40</f>
        <v>40000000</v>
      </c>
      <c r="AHI40" s="82">
        <f>AHH40</f>
        <v>40000000</v>
      </c>
      <c r="AHJ40" s="82">
        <f t="shared" si="1068"/>
        <v>40000000</v>
      </c>
      <c r="AHK40" s="82">
        <f t="shared" si="1068"/>
        <v>40000000</v>
      </c>
      <c r="AHL40" s="82">
        <f t="shared" si="960"/>
        <v>40000000</v>
      </c>
      <c r="AHM40" s="82">
        <f t="shared" si="960"/>
        <v>40000000</v>
      </c>
      <c r="AHN40" s="82">
        <f>AHM40</f>
        <v>40000000</v>
      </c>
      <c r="AHO40" s="82">
        <f>AHN40</f>
        <v>40000000</v>
      </c>
      <c r="AHP40" s="82">
        <f>AHO40</f>
        <v>40000000</v>
      </c>
      <c r="AHQ40" s="82">
        <f>AHP40</f>
        <v>40000000</v>
      </c>
      <c r="AHR40" s="82">
        <f t="shared" si="1069"/>
        <v>40000000</v>
      </c>
      <c r="AHS40" s="82">
        <f t="shared" si="1069"/>
        <v>40000000</v>
      </c>
      <c r="AHT40" s="82">
        <f>AHS40</f>
        <v>40000000</v>
      </c>
      <c r="AHU40" s="82">
        <f>AHT40</f>
        <v>40000000</v>
      </c>
      <c r="AHV40" s="82">
        <f>AHU40</f>
        <v>40000000</v>
      </c>
      <c r="AHW40" s="82">
        <f>AHV40</f>
        <v>40000000</v>
      </c>
      <c r="AHX40" s="82">
        <f t="shared" si="961"/>
        <v>40000000</v>
      </c>
      <c r="AHY40" s="82">
        <f t="shared" si="961"/>
        <v>40000000</v>
      </c>
      <c r="AHZ40" s="82">
        <f t="shared" si="961"/>
        <v>40000000</v>
      </c>
      <c r="AIA40" s="82">
        <f t="shared" si="961"/>
        <v>40000000</v>
      </c>
      <c r="AIB40" s="82">
        <f t="shared" si="961"/>
        <v>40000000</v>
      </c>
      <c r="AIC40" s="82">
        <f t="shared" si="961"/>
        <v>40000000</v>
      </c>
      <c r="AID40" s="82">
        <f>AIC40</f>
        <v>40000000</v>
      </c>
      <c r="AIE40" s="130"/>
      <c r="AIF40" s="82">
        <f>AID40</f>
        <v>40000000</v>
      </c>
      <c r="AIG40" s="82">
        <f t="shared" si="962"/>
        <v>40000000</v>
      </c>
      <c r="AIH40" s="82">
        <f t="shared" si="962"/>
        <v>40000000</v>
      </c>
      <c r="AII40" s="82">
        <f t="shared" si="1070"/>
        <v>40000000</v>
      </c>
      <c r="AIJ40" s="82">
        <f t="shared" si="1070"/>
        <v>40000000</v>
      </c>
      <c r="AIK40" s="82">
        <f t="shared" si="1070"/>
        <v>40000000</v>
      </c>
      <c r="AIL40" s="82">
        <f t="shared" si="963"/>
        <v>40000000</v>
      </c>
      <c r="AIM40" s="82">
        <f t="shared" si="963"/>
        <v>40000000</v>
      </c>
      <c r="AIN40" s="82">
        <f>AIM40</f>
        <v>40000000</v>
      </c>
      <c r="AIO40" s="82">
        <f t="shared" si="964"/>
        <v>40000000</v>
      </c>
      <c r="AIP40" s="82">
        <f t="shared" si="964"/>
        <v>40000000</v>
      </c>
      <c r="AIQ40" s="82">
        <f t="shared" si="964"/>
        <v>40000000</v>
      </c>
      <c r="AIR40" s="82">
        <f>AIQ40</f>
        <v>40000000</v>
      </c>
      <c r="AIS40" s="82">
        <f t="shared" si="965"/>
        <v>40000000</v>
      </c>
      <c r="AIT40" s="82">
        <f t="shared" si="965"/>
        <v>40000000</v>
      </c>
      <c r="AIU40" s="82">
        <f t="shared" si="965"/>
        <v>40000000</v>
      </c>
      <c r="AIV40" s="82">
        <f t="shared" si="965"/>
        <v>40000000</v>
      </c>
      <c r="AIW40" s="82">
        <f t="shared" si="965"/>
        <v>40000000</v>
      </c>
      <c r="AIX40" s="82">
        <f>AIW40</f>
        <v>40000000</v>
      </c>
      <c r="AIY40" s="82">
        <f>AIX40</f>
        <v>40000000</v>
      </c>
      <c r="AIZ40" s="82">
        <f>AIY40</f>
        <v>40000000</v>
      </c>
      <c r="AJA40" s="82">
        <f t="shared" si="1071"/>
        <v>40000000</v>
      </c>
      <c r="AJB40" s="82">
        <f t="shared" si="1071"/>
        <v>40000000</v>
      </c>
      <c r="AJC40" s="82">
        <f t="shared" si="1071"/>
        <v>40000000</v>
      </c>
      <c r="AJD40" s="82">
        <f t="shared" si="1071"/>
        <v>40000000</v>
      </c>
      <c r="AJE40" s="82">
        <f t="shared" si="966"/>
        <v>40000000</v>
      </c>
      <c r="AJF40" s="82">
        <f t="shared" si="966"/>
        <v>40000000</v>
      </c>
      <c r="AJG40" s="82">
        <f t="shared" si="966"/>
        <v>40000000</v>
      </c>
      <c r="AJH40" s="82">
        <f t="shared" si="966"/>
        <v>40000000</v>
      </c>
      <c r="AJI40" s="82">
        <f>AJH40</f>
        <v>40000000</v>
      </c>
      <c r="AJJ40" s="82">
        <f>AJI40</f>
        <v>40000000</v>
      </c>
      <c r="AJK40" s="145"/>
      <c r="AJL40" s="82">
        <f>AJJ40</f>
        <v>40000000</v>
      </c>
      <c r="AJM40" s="82">
        <f>AJL40</f>
        <v>40000000</v>
      </c>
      <c r="AJN40" s="82">
        <f>AJM40</f>
        <v>40000000</v>
      </c>
      <c r="AJO40" s="82">
        <f>AJN40</f>
        <v>40000000</v>
      </c>
      <c r="AJP40" s="82">
        <f>AJO40</f>
        <v>40000000</v>
      </c>
      <c r="AJQ40" s="82">
        <f t="shared" si="1072"/>
        <v>40000000</v>
      </c>
      <c r="AJR40" s="82">
        <f t="shared" si="1072"/>
        <v>40000000</v>
      </c>
      <c r="AJS40" s="82">
        <f t="shared" si="967"/>
        <v>40000000</v>
      </c>
      <c r="AJT40" s="82">
        <f t="shared" si="967"/>
        <v>40000000</v>
      </c>
      <c r="AJU40" s="82">
        <f t="shared" si="967"/>
        <v>40000000</v>
      </c>
      <c r="AJV40" s="82">
        <f t="shared" si="967"/>
        <v>40000000</v>
      </c>
      <c r="AJW40" s="82">
        <f>AJV40</f>
        <v>40000000</v>
      </c>
      <c r="AJX40" s="82">
        <f>AJW40</f>
        <v>40000000</v>
      </c>
      <c r="AJY40" s="82">
        <f>AJX40</f>
        <v>40000000</v>
      </c>
      <c r="AJZ40" s="82">
        <f>AJY40</f>
        <v>40000000</v>
      </c>
      <c r="AKA40" s="82">
        <f>AJZ40</f>
        <v>40000000</v>
      </c>
      <c r="AKB40" s="82">
        <f t="shared" si="968"/>
        <v>40000000</v>
      </c>
      <c r="AKC40" s="82">
        <f t="shared" si="968"/>
        <v>40000000</v>
      </c>
      <c r="AKD40" s="82">
        <f>AKC40</f>
        <v>40000000</v>
      </c>
      <c r="AKE40" s="82">
        <f>AKD40</f>
        <v>40000000</v>
      </c>
      <c r="AKF40" s="82">
        <f>AKE40</f>
        <v>40000000</v>
      </c>
      <c r="AKG40" s="82">
        <f>AKF40</f>
        <v>40000000</v>
      </c>
      <c r="AKH40" s="82">
        <f>AKG40</f>
        <v>40000000</v>
      </c>
      <c r="AKI40" s="82">
        <f t="shared" si="969"/>
        <v>40000000</v>
      </c>
      <c r="AKJ40" s="82">
        <f t="shared" si="969"/>
        <v>40000000</v>
      </c>
      <c r="AKK40" s="82">
        <f t="shared" si="1073"/>
        <v>40000000</v>
      </c>
      <c r="AKL40" s="82">
        <f t="shared" si="1073"/>
        <v>40000000</v>
      </c>
      <c r="AKM40" s="82">
        <f t="shared" si="1073"/>
        <v>40000000</v>
      </c>
      <c r="AKN40" s="112"/>
      <c r="AKO40" s="82">
        <f>AKM40</f>
        <v>40000000</v>
      </c>
      <c r="AKP40" s="82">
        <f t="shared" ref="AKP40:AKQ42" si="1096">AKO40</f>
        <v>40000000</v>
      </c>
      <c r="AKQ40" s="82">
        <f t="shared" si="1096"/>
        <v>40000000</v>
      </c>
      <c r="AKR40" s="82">
        <f t="shared" si="970"/>
        <v>40000000</v>
      </c>
      <c r="AKS40" s="82">
        <f t="shared" si="970"/>
        <v>40000000</v>
      </c>
      <c r="AKT40" s="82">
        <f t="shared" si="970"/>
        <v>40000000</v>
      </c>
      <c r="AKU40" s="82">
        <f>AKT40</f>
        <v>40000000</v>
      </c>
      <c r="AKV40" s="82">
        <f>AKU40</f>
        <v>40000000</v>
      </c>
      <c r="AKW40" s="82">
        <f t="shared" si="1074"/>
        <v>40000000</v>
      </c>
      <c r="AKX40" s="82">
        <f t="shared" si="1074"/>
        <v>40000000</v>
      </c>
      <c r="AKY40" s="82">
        <f t="shared" si="1074"/>
        <v>40000000</v>
      </c>
      <c r="AKZ40" s="82">
        <f t="shared" si="1074"/>
        <v>40000000</v>
      </c>
      <c r="ALA40" s="82">
        <f t="shared" si="1074"/>
        <v>40000000</v>
      </c>
      <c r="ALB40" s="82">
        <f t="shared" si="1074"/>
        <v>40000000</v>
      </c>
      <c r="ALC40" s="82">
        <f t="shared" si="971"/>
        <v>40000000</v>
      </c>
      <c r="ALD40" s="82">
        <f t="shared" si="971"/>
        <v>40000000</v>
      </c>
      <c r="ALE40" s="82">
        <f t="shared" si="971"/>
        <v>40000000</v>
      </c>
      <c r="ALF40" s="82">
        <f t="shared" si="1075"/>
        <v>40000000</v>
      </c>
      <c r="ALG40" s="82">
        <f t="shared" si="1075"/>
        <v>40000000</v>
      </c>
      <c r="ALH40" s="82">
        <f t="shared" si="1075"/>
        <v>40000000</v>
      </c>
      <c r="ALI40" s="82">
        <f t="shared" si="972"/>
        <v>40000000</v>
      </c>
      <c r="ALJ40" s="82">
        <f t="shared" si="972"/>
        <v>40000000</v>
      </c>
      <c r="ALK40" s="82">
        <f t="shared" si="972"/>
        <v>40000000</v>
      </c>
      <c r="ALL40" s="82">
        <f>ALK40</f>
        <v>40000000</v>
      </c>
      <c r="ALM40" s="82">
        <f>ALL40</f>
        <v>40000000</v>
      </c>
      <c r="ALN40" s="82">
        <f>ALM40</f>
        <v>40000000</v>
      </c>
      <c r="ALO40" s="82">
        <f>ALN40</f>
        <v>40000000</v>
      </c>
      <c r="ALP40" s="82">
        <f t="shared" si="1076"/>
        <v>40000000</v>
      </c>
      <c r="ALQ40" s="82">
        <f t="shared" si="1076"/>
        <v>40000000</v>
      </c>
      <c r="ALR40" s="82">
        <f t="shared" si="1076"/>
        <v>40000000</v>
      </c>
      <c r="ALS40" s="82">
        <f>ALR40</f>
        <v>40000000</v>
      </c>
      <c r="ALT40" s="130"/>
      <c r="ALU40" s="82">
        <f>ALS40</f>
        <v>40000000</v>
      </c>
      <c r="ALV40" s="82">
        <f>ALU40</f>
        <v>40000000</v>
      </c>
      <c r="ALW40" s="82">
        <f>ALV40</f>
        <v>40000000</v>
      </c>
      <c r="ALX40" s="82">
        <f t="shared" si="973"/>
        <v>40000000</v>
      </c>
      <c r="ALY40" s="82">
        <f t="shared" si="973"/>
        <v>40000000</v>
      </c>
      <c r="ALZ40" s="82">
        <f>ALY40</f>
        <v>40000000</v>
      </c>
      <c r="AMA40" s="82">
        <f>ALZ40</f>
        <v>40000000</v>
      </c>
      <c r="AMB40" s="82">
        <f t="shared" si="1077"/>
        <v>40000000</v>
      </c>
      <c r="AMC40" s="82">
        <f t="shared" si="1077"/>
        <v>40000000</v>
      </c>
      <c r="AMD40" s="82">
        <f t="shared" si="1077"/>
        <v>40000000</v>
      </c>
      <c r="AME40" s="82">
        <f>AMD40</f>
        <v>40000000</v>
      </c>
      <c r="AMF40" s="82">
        <f t="shared" si="1078"/>
        <v>40000000</v>
      </c>
      <c r="AMG40" s="82">
        <f t="shared" si="1078"/>
        <v>40000000</v>
      </c>
      <c r="AMH40" s="82">
        <f t="shared" si="1078"/>
        <v>40000000</v>
      </c>
      <c r="AMI40" s="82">
        <f t="shared" si="1078"/>
        <v>40000000</v>
      </c>
      <c r="AMJ40" s="82">
        <f>AMI40</f>
        <v>40000000</v>
      </c>
      <c r="AMK40" s="82">
        <f>AMJ40</f>
        <v>40000000</v>
      </c>
      <c r="AML40" s="82">
        <f t="shared" si="974"/>
        <v>40000000</v>
      </c>
      <c r="AMM40" s="82">
        <f t="shared" si="974"/>
        <v>40000000</v>
      </c>
      <c r="AMN40" s="82">
        <f t="shared" si="1079"/>
        <v>40000000</v>
      </c>
      <c r="AMO40" s="82">
        <f t="shared" si="1079"/>
        <v>40000000</v>
      </c>
      <c r="AMP40" s="82">
        <f>AMO40</f>
        <v>40000000</v>
      </c>
      <c r="AMQ40" s="82">
        <f t="shared" si="1080"/>
        <v>40000000</v>
      </c>
      <c r="AMR40" s="82">
        <f t="shared" si="1080"/>
        <v>40000000</v>
      </c>
      <c r="AMS40" s="82">
        <f t="shared" si="1080"/>
        <v>40000000</v>
      </c>
      <c r="AMT40" s="82">
        <f t="shared" si="975"/>
        <v>40000000</v>
      </c>
      <c r="AMU40" s="82">
        <f t="shared" si="975"/>
        <v>40000000</v>
      </c>
      <c r="AMV40" s="82">
        <f t="shared" si="1081"/>
        <v>40000000</v>
      </c>
      <c r="AMW40" s="82">
        <f t="shared" si="1081"/>
        <v>40000000</v>
      </c>
      <c r="AMX40" s="82">
        <f t="shared" si="1081"/>
        <v>40000000</v>
      </c>
      <c r="AMY40" s="130"/>
      <c r="AMZ40" s="82">
        <f>AMX40</f>
        <v>40000000</v>
      </c>
      <c r="ANA40" s="82">
        <f t="shared" si="976"/>
        <v>40000000</v>
      </c>
      <c r="ANB40" s="82">
        <f t="shared" si="976"/>
        <v>40000000</v>
      </c>
      <c r="ANC40" s="82">
        <f t="shared" si="976"/>
        <v>40000000</v>
      </c>
      <c r="AND40" s="82">
        <f t="shared" si="1082"/>
        <v>40000000</v>
      </c>
      <c r="ANE40" s="82">
        <f t="shared" si="1082"/>
        <v>40000000</v>
      </c>
      <c r="ANF40" s="82">
        <f>ANE40</f>
        <v>40000000</v>
      </c>
      <c r="ANG40" s="82">
        <f>ANF40</f>
        <v>40000000</v>
      </c>
      <c r="ANH40" s="82">
        <f>ANG40</f>
        <v>40000000</v>
      </c>
      <c r="ANI40" s="82">
        <f t="shared" si="1083"/>
        <v>40000000</v>
      </c>
      <c r="ANJ40" s="82">
        <f t="shared" si="1083"/>
        <v>40000000</v>
      </c>
      <c r="ANK40" s="82">
        <f>ANJ40</f>
        <v>40000000</v>
      </c>
      <c r="ANL40" s="82">
        <f t="shared" si="1084"/>
        <v>40000000</v>
      </c>
      <c r="ANM40" s="82">
        <f t="shared" si="1084"/>
        <v>40000000</v>
      </c>
      <c r="ANN40" s="82">
        <f>ANM40</f>
        <v>40000000</v>
      </c>
      <c r="ANO40" s="82">
        <f>ANN40</f>
        <v>40000000</v>
      </c>
      <c r="ANP40" s="82">
        <f>ANO40</f>
        <v>40000000</v>
      </c>
      <c r="ANQ40" s="82">
        <f t="shared" si="977"/>
        <v>40000000</v>
      </c>
      <c r="ANR40" s="82">
        <f t="shared" si="977"/>
        <v>40000000</v>
      </c>
      <c r="ANS40" s="82">
        <f>ANR40</f>
        <v>40000000</v>
      </c>
      <c r="ANT40" s="82">
        <f>ANS40</f>
        <v>40000000</v>
      </c>
      <c r="ANU40" s="82">
        <f>ANT40</f>
        <v>40000000</v>
      </c>
      <c r="ANV40" s="82">
        <f t="shared" si="978"/>
        <v>40000000</v>
      </c>
      <c r="ANW40" s="82">
        <f t="shared" si="978"/>
        <v>40000000</v>
      </c>
      <c r="ANX40" s="82">
        <f t="shared" si="978"/>
        <v>40000000</v>
      </c>
      <c r="ANY40" s="82">
        <f t="shared" si="978"/>
        <v>40000000</v>
      </c>
      <c r="ANZ40" s="82">
        <f>ANY40</f>
        <v>40000000</v>
      </c>
      <c r="AOA40" s="82">
        <f t="shared" si="979"/>
        <v>40000000</v>
      </c>
      <c r="AOB40" s="82">
        <f t="shared" si="979"/>
        <v>40000000</v>
      </c>
      <c r="AOC40" s="82">
        <f>AOB40</f>
        <v>40000000</v>
      </c>
    </row>
    <row r="41" spans="1:1069" x14ac:dyDescent="0.2">
      <c r="A41" s="160"/>
      <c r="B41" s="13" t="s">
        <v>1674</v>
      </c>
      <c r="C41" s="52">
        <v>72003607</v>
      </c>
      <c r="D41" s="52">
        <f>C41</f>
        <v>72003607</v>
      </c>
      <c r="E41" s="52">
        <f>D41</f>
        <v>72003607</v>
      </c>
      <c r="F41" s="52">
        <f>E41</f>
        <v>72003607</v>
      </c>
      <c r="G41" s="52">
        <f>F41</f>
        <v>72003607</v>
      </c>
      <c r="H41" s="52">
        <f>G41</f>
        <v>72003607</v>
      </c>
      <c r="I41" s="52">
        <f>H41</f>
        <v>72003607</v>
      </c>
      <c r="J41" s="52">
        <f>I41+1400000</f>
        <v>73403607</v>
      </c>
      <c r="K41" s="52">
        <f t="shared" ref="K41:S41" si="1097">J41</f>
        <v>73403607</v>
      </c>
      <c r="L41" s="52">
        <f t="shared" si="1097"/>
        <v>73403607</v>
      </c>
      <c r="M41" s="52">
        <f t="shared" si="1097"/>
        <v>73403607</v>
      </c>
      <c r="N41" s="52">
        <f t="shared" si="1097"/>
        <v>73403607</v>
      </c>
      <c r="O41" s="52">
        <f t="shared" si="1097"/>
        <v>73403607</v>
      </c>
      <c r="P41" s="52">
        <f t="shared" si="1097"/>
        <v>73403607</v>
      </c>
      <c r="Q41" s="52">
        <f t="shared" si="1097"/>
        <v>73403607</v>
      </c>
      <c r="R41" s="52">
        <f t="shared" si="1097"/>
        <v>73403607</v>
      </c>
      <c r="S41" s="52">
        <f t="shared" si="1097"/>
        <v>73403607</v>
      </c>
      <c r="T41" s="52">
        <f>S41</f>
        <v>73403607</v>
      </c>
      <c r="U41" s="52">
        <f>T41+278000-11000000</f>
        <v>62681607</v>
      </c>
      <c r="V41" s="52">
        <f>U41</f>
        <v>62681607</v>
      </c>
      <c r="W41" s="52">
        <f>V41</f>
        <v>62681607</v>
      </c>
      <c r="X41" s="52">
        <f>W41+1391280</f>
        <v>64072887</v>
      </c>
      <c r="Y41" s="52">
        <f>X41</f>
        <v>64072887</v>
      </c>
      <c r="Z41" s="52">
        <f>Y41</f>
        <v>64072887</v>
      </c>
      <c r="AA41" s="52">
        <f t="shared" si="980"/>
        <v>64072887</v>
      </c>
      <c r="AB41" s="52">
        <f t="shared" si="980"/>
        <v>64072887</v>
      </c>
      <c r="AC41" s="52">
        <f t="shared" si="895"/>
        <v>64072887</v>
      </c>
      <c r="AD41" s="52">
        <f t="shared" si="895"/>
        <v>64072887</v>
      </c>
      <c r="AE41" s="52">
        <f>AD41+412000</f>
        <v>64484887</v>
      </c>
      <c r="AF41" s="52">
        <f>AE41+796000</f>
        <v>65280887</v>
      </c>
      <c r="AG41" s="52">
        <f>AF41</f>
        <v>65280887</v>
      </c>
      <c r="AH41" s="98">
        <f>AG41</f>
        <v>65280887</v>
      </c>
      <c r="AI41" s="82">
        <f>AG41+4776000</f>
        <v>70056887</v>
      </c>
      <c r="AJ41" s="82">
        <f>AI41</f>
        <v>70056887</v>
      </c>
      <c r="AK41" s="82">
        <f>AI41</f>
        <v>70056887</v>
      </c>
      <c r="AL41" s="82">
        <f>AJ41</f>
        <v>70056887</v>
      </c>
      <c r="AM41" s="82">
        <f>AK41+529000</f>
        <v>70585887</v>
      </c>
      <c r="AN41" s="82">
        <f>AL41+529000</f>
        <v>70585887</v>
      </c>
      <c r="AO41" s="82">
        <f>AM41</f>
        <v>70585887</v>
      </c>
      <c r="AP41" s="82">
        <f>AN41</f>
        <v>70585887</v>
      </c>
      <c r="AQ41" s="82">
        <f>AO41+1600000</f>
        <v>72185887</v>
      </c>
      <c r="AR41" s="82">
        <f>AQ41</f>
        <v>72185887</v>
      </c>
      <c r="AS41" s="82">
        <f>AQ41</f>
        <v>72185887</v>
      </c>
      <c r="AT41" s="82">
        <f>AR41+525000</f>
        <v>72710887</v>
      </c>
      <c r="AU41" s="82">
        <f>AT41</f>
        <v>72710887</v>
      </c>
      <c r="AV41" s="82">
        <f>AT41+483000</f>
        <v>73193887</v>
      </c>
      <c r="AW41" s="82">
        <f>AV41</f>
        <v>73193887</v>
      </c>
      <c r="AX41" s="82">
        <f t="shared" si="896"/>
        <v>73193887</v>
      </c>
      <c r="AY41" s="82">
        <f t="shared" si="896"/>
        <v>73193887</v>
      </c>
      <c r="AZ41" s="82">
        <f t="shared" si="984"/>
        <v>73193887</v>
      </c>
      <c r="BA41" s="82">
        <f t="shared" si="984"/>
        <v>73193887</v>
      </c>
      <c r="BB41" s="82">
        <f t="shared" si="984"/>
        <v>73193887</v>
      </c>
      <c r="BC41" s="82">
        <f t="shared" si="984"/>
        <v>73193887</v>
      </c>
      <c r="BD41" s="82">
        <f t="shared" si="984"/>
        <v>73193887</v>
      </c>
      <c r="BE41" s="82">
        <f t="shared" si="897"/>
        <v>73193887</v>
      </c>
      <c r="BF41" s="82">
        <f t="shared" si="897"/>
        <v>73193887</v>
      </c>
      <c r="BG41" s="82">
        <f t="shared" si="897"/>
        <v>73193887</v>
      </c>
      <c r="BH41" s="82">
        <f>BF41</f>
        <v>73193887</v>
      </c>
      <c r="BI41" s="82">
        <f>BG41</f>
        <v>73193887</v>
      </c>
      <c r="BJ41" s="82">
        <f>BH41+352000</f>
        <v>73545887</v>
      </c>
      <c r="BK41" s="82">
        <f>BJ41</f>
        <v>73545887</v>
      </c>
      <c r="BL41" s="82">
        <f>BJ41</f>
        <v>73545887</v>
      </c>
      <c r="BM41" s="106">
        <f>BL41</f>
        <v>73545887</v>
      </c>
      <c r="BN41" s="82">
        <f>BL41+4373000</f>
        <v>77918887</v>
      </c>
      <c r="BO41" s="82">
        <f>BN41</f>
        <v>77918887</v>
      </c>
      <c r="BP41" s="82">
        <f>BN41</f>
        <v>77918887</v>
      </c>
      <c r="BQ41" s="82">
        <f>BO41</f>
        <v>77918887</v>
      </c>
      <c r="BR41" s="82">
        <f>BP41</f>
        <v>77918887</v>
      </c>
      <c r="BS41" s="82">
        <f t="shared" ref="BS41:CQ41" si="1098">BQ41</f>
        <v>77918887</v>
      </c>
      <c r="BT41" s="82">
        <f t="shared" si="1098"/>
        <v>77918887</v>
      </c>
      <c r="BU41" s="82">
        <f t="shared" si="1098"/>
        <v>77918887</v>
      </c>
      <c r="BV41" s="82">
        <f t="shared" si="1098"/>
        <v>77918887</v>
      </c>
      <c r="BW41" s="82">
        <f t="shared" si="1098"/>
        <v>77918887</v>
      </c>
      <c r="BX41" s="82">
        <f t="shared" si="1098"/>
        <v>77918887</v>
      </c>
      <c r="BY41" s="82">
        <f t="shared" si="1098"/>
        <v>77918887</v>
      </c>
      <c r="BZ41" s="82">
        <f t="shared" si="1098"/>
        <v>77918887</v>
      </c>
      <c r="CA41" s="82">
        <f t="shared" si="1098"/>
        <v>77918887</v>
      </c>
      <c r="CB41" s="82">
        <f t="shared" si="1098"/>
        <v>77918887</v>
      </c>
      <c r="CC41" s="82">
        <f t="shared" si="1098"/>
        <v>77918887</v>
      </c>
      <c r="CD41" s="82">
        <f t="shared" si="1098"/>
        <v>77918887</v>
      </c>
      <c r="CE41" s="82">
        <f t="shared" si="1098"/>
        <v>77918887</v>
      </c>
      <c r="CF41" s="82">
        <f t="shared" si="1098"/>
        <v>77918887</v>
      </c>
      <c r="CG41" s="82">
        <f t="shared" si="1098"/>
        <v>77918887</v>
      </c>
      <c r="CH41" s="82">
        <f t="shared" si="1098"/>
        <v>77918887</v>
      </c>
      <c r="CI41" s="82">
        <f t="shared" si="1098"/>
        <v>77918887</v>
      </c>
      <c r="CJ41" s="82">
        <f t="shared" si="1098"/>
        <v>77918887</v>
      </c>
      <c r="CK41" s="82">
        <f t="shared" si="1098"/>
        <v>77918887</v>
      </c>
      <c r="CL41" s="82">
        <f t="shared" si="1098"/>
        <v>77918887</v>
      </c>
      <c r="CM41" s="82">
        <f t="shared" si="1098"/>
        <v>77918887</v>
      </c>
      <c r="CN41" s="82">
        <f t="shared" si="1098"/>
        <v>77918887</v>
      </c>
      <c r="CO41" s="82">
        <f t="shared" si="1098"/>
        <v>77918887</v>
      </c>
      <c r="CP41" s="82">
        <f t="shared" si="1098"/>
        <v>77918887</v>
      </c>
      <c r="CQ41" s="82">
        <f t="shared" si="1098"/>
        <v>77918887</v>
      </c>
      <c r="CR41" s="82">
        <f>CP41+288000</f>
        <v>78206887</v>
      </c>
      <c r="CT41" s="82">
        <f>CR41+2346000</f>
        <v>80552887</v>
      </c>
      <c r="CU41" s="82">
        <f>CT41</f>
        <v>80552887</v>
      </c>
      <c r="CV41" s="82">
        <f>CT41</f>
        <v>80552887</v>
      </c>
      <c r="CW41" s="82">
        <f t="shared" si="1086"/>
        <v>80552887</v>
      </c>
      <c r="CX41" s="82">
        <f t="shared" si="1086"/>
        <v>80552887</v>
      </c>
      <c r="CY41" s="82">
        <f t="shared" si="1086"/>
        <v>80552887</v>
      </c>
      <c r="CZ41" s="82">
        <f t="shared" si="1086"/>
        <v>80552887</v>
      </c>
      <c r="DA41" s="82">
        <f t="shared" si="1086"/>
        <v>80552887</v>
      </c>
      <c r="DB41" s="82">
        <f t="shared" si="1086"/>
        <v>80552887</v>
      </c>
      <c r="DC41" s="82">
        <f>DA41</f>
        <v>80552887</v>
      </c>
      <c r="DD41" s="82">
        <f>DB41</f>
        <v>80552887</v>
      </c>
      <c r="DE41" s="82">
        <f>DC41</f>
        <v>80552887</v>
      </c>
      <c r="DF41" s="82">
        <f>DD41</f>
        <v>80552887</v>
      </c>
      <c r="DG41" s="82">
        <f>DE41</f>
        <v>80552887</v>
      </c>
      <c r="DH41" s="82">
        <f>DF41+1184000</f>
        <v>81736887</v>
      </c>
      <c r="DI41" s="82">
        <f>DH41</f>
        <v>81736887</v>
      </c>
      <c r="DJ41" s="82">
        <f>DH41</f>
        <v>81736887</v>
      </c>
      <c r="DK41" s="82">
        <f>DI41</f>
        <v>81736887</v>
      </c>
      <c r="DL41" s="82">
        <f t="shared" si="898"/>
        <v>81736887</v>
      </c>
      <c r="DM41" s="82">
        <f t="shared" si="898"/>
        <v>81736887</v>
      </c>
      <c r="DN41" s="82">
        <f t="shared" si="898"/>
        <v>81736887</v>
      </c>
      <c r="DO41" s="82">
        <f t="shared" si="898"/>
        <v>81736887</v>
      </c>
      <c r="DP41" s="82">
        <f t="shared" si="991"/>
        <v>81736887</v>
      </c>
      <c r="DQ41" s="82">
        <f t="shared" si="991"/>
        <v>81736887</v>
      </c>
      <c r="DR41" s="82">
        <f t="shared" si="991"/>
        <v>81736887</v>
      </c>
      <c r="DS41" s="82">
        <f t="shared" si="991"/>
        <v>81736887</v>
      </c>
      <c r="DT41" s="82">
        <f>DR41</f>
        <v>81736887</v>
      </c>
      <c r="DU41" s="82">
        <f>DS41</f>
        <v>81736887</v>
      </c>
      <c r="DV41" s="82">
        <f t="shared" si="1087"/>
        <v>81736887</v>
      </c>
      <c r="DW41" s="82">
        <f t="shared" si="1087"/>
        <v>81736887</v>
      </c>
      <c r="DX41" s="117"/>
      <c r="DY41" s="82">
        <f>DW41+1158000</f>
        <v>82894887</v>
      </c>
      <c r="DZ41" s="82">
        <f>DY41</f>
        <v>82894887</v>
      </c>
      <c r="EA41" s="82">
        <f t="shared" ref="EA41:FC41" si="1099">DZ41</f>
        <v>82894887</v>
      </c>
      <c r="EB41" s="82">
        <f t="shared" si="1099"/>
        <v>82894887</v>
      </c>
      <c r="EC41" s="82">
        <f t="shared" si="1099"/>
        <v>82894887</v>
      </c>
      <c r="ED41" s="82">
        <f t="shared" si="1099"/>
        <v>82894887</v>
      </c>
      <c r="EE41" s="82">
        <f t="shared" si="1099"/>
        <v>82894887</v>
      </c>
      <c r="EF41" s="82">
        <f t="shared" si="1099"/>
        <v>82894887</v>
      </c>
      <c r="EG41" s="82">
        <f t="shared" si="1099"/>
        <v>82894887</v>
      </c>
      <c r="EH41" s="82">
        <f t="shared" si="1099"/>
        <v>82894887</v>
      </c>
      <c r="EI41" s="82">
        <f t="shared" si="1099"/>
        <v>82894887</v>
      </c>
      <c r="EJ41" s="82">
        <f t="shared" si="1099"/>
        <v>82894887</v>
      </c>
      <c r="EK41" s="82">
        <f t="shared" si="1099"/>
        <v>82894887</v>
      </c>
      <c r="EL41" s="82">
        <f t="shared" si="1099"/>
        <v>82894887</v>
      </c>
      <c r="EM41" s="82">
        <f t="shared" si="1099"/>
        <v>82894887</v>
      </c>
      <c r="EN41" s="82">
        <f t="shared" si="1099"/>
        <v>82894887</v>
      </c>
      <c r="EO41" s="82">
        <f t="shared" si="1099"/>
        <v>82894887</v>
      </c>
      <c r="EP41" s="82">
        <f t="shared" si="1099"/>
        <v>82894887</v>
      </c>
      <c r="EQ41" s="82">
        <f t="shared" si="1099"/>
        <v>82894887</v>
      </c>
      <c r="ER41" s="82">
        <f t="shared" si="1099"/>
        <v>82894887</v>
      </c>
      <c r="ES41" s="82">
        <f t="shared" si="1099"/>
        <v>82894887</v>
      </c>
      <c r="ET41" s="82">
        <f t="shared" si="1099"/>
        <v>82894887</v>
      </c>
      <c r="EU41" s="82">
        <f t="shared" si="1099"/>
        <v>82894887</v>
      </c>
      <c r="EV41" s="82">
        <f t="shared" si="1099"/>
        <v>82894887</v>
      </c>
      <c r="EW41" s="82">
        <f t="shared" si="1099"/>
        <v>82894887</v>
      </c>
      <c r="EX41" s="82">
        <f t="shared" si="1099"/>
        <v>82894887</v>
      </c>
      <c r="EY41" s="82">
        <f t="shared" si="1099"/>
        <v>82894887</v>
      </c>
      <c r="EZ41" s="82">
        <f t="shared" si="1099"/>
        <v>82894887</v>
      </c>
      <c r="FA41" s="82">
        <f t="shared" si="1099"/>
        <v>82894887</v>
      </c>
      <c r="FB41" s="82">
        <f t="shared" si="1099"/>
        <v>82894887</v>
      </c>
      <c r="FC41" s="82">
        <f t="shared" si="1099"/>
        <v>82894887</v>
      </c>
      <c r="FD41" s="126"/>
      <c r="FE41" s="82">
        <f>FC41</f>
        <v>82894887</v>
      </c>
      <c r="FF41" s="82">
        <f>FE41</f>
        <v>82894887</v>
      </c>
      <c r="FG41" s="82">
        <f>FE41</f>
        <v>82894887</v>
      </c>
      <c r="FH41" s="82">
        <f>FF41</f>
        <v>82894887</v>
      </c>
      <c r="FI41" s="82">
        <f>FG41</f>
        <v>82894887</v>
      </c>
      <c r="FJ41" s="82">
        <f t="shared" si="996"/>
        <v>82894887</v>
      </c>
      <c r="FK41" s="82">
        <f t="shared" si="996"/>
        <v>82894887</v>
      </c>
      <c r="FL41" s="82">
        <f t="shared" si="996"/>
        <v>82894887</v>
      </c>
      <c r="FM41" s="82">
        <f t="shared" si="996"/>
        <v>82894887</v>
      </c>
      <c r="FN41" s="82">
        <f t="shared" si="996"/>
        <v>82894887</v>
      </c>
      <c r="FO41" s="82">
        <f t="shared" si="996"/>
        <v>82894887</v>
      </c>
      <c r="FP41" s="82">
        <f t="shared" si="996"/>
        <v>82894887</v>
      </c>
      <c r="FQ41" s="82">
        <f t="shared" si="996"/>
        <v>82894887</v>
      </c>
      <c r="FR41" s="82">
        <f t="shared" si="996"/>
        <v>82894887</v>
      </c>
      <c r="FS41" s="82">
        <f t="shared" si="996"/>
        <v>82894887</v>
      </c>
      <c r="FT41" s="82">
        <f t="shared" si="996"/>
        <v>82894887</v>
      </c>
      <c r="FU41" s="82">
        <f t="shared" si="996"/>
        <v>82894887</v>
      </c>
      <c r="FV41" s="82">
        <f t="shared" si="996"/>
        <v>82894887</v>
      </c>
      <c r="FW41" s="82">
        <f t="shared" si="996"/>
        <v>82894887</v>
      </c>
      <c r="FX41" s="82">
        <f t="shared" si="901"/>
        <v>82894887</v>
      </c>
      <c r="FY41" s="82">
        <f t="shared" si="901"/>
        <v>82894887</v>
      </c>
      <c r="FZ41" s="82">
        <f t="shared" si="901"/>
        <v>82894887</v>
      </c>
      <c r="GA41" s="82">
        <f t="shared" si="997"/>
        <v>82894887</v>
      </c>
      <c r="GB41" s="82">
        <f t="shared" si="997"/>
        <v>82894887</v>
      </c>
      <c r="GC41" s="82">
        <f t="shared" si="997"/>
        <v>82894887</v>
      </c>
      <c r="GD41" s="82">
        <f t="shared" si="902"/>
        <v>82894887</v>
      </c>
      <c r="GE41" s="82">
        <f t="shared" si="902"/>
        <v>82894887</v>
      </c>
      <c r="GF41" s="82">
        <f t="shared" si="902"/>
        <v>82894887</v>
      </c>
      <c r="GG41" s="82">
        <f t="shared" si="998"/>
        <v>82894887</v>
      </c>
      <c r="GH41" s="82">
        <f t="shared" si="998"/>
        <v>82894887</v>
      </c>
      <c r="GI41" s="82">
        <f t="shared" si="998"/>
        <v>82894887</v>
      </c>
      <c r="GJ41" s="130"/>
      <c r="GK41" s="82">
        <f>GI41+2343000</f>
        <v>85237887</v>
      </c>
      <c r="GL41" s="82">
        <f>GK41</f>
        <v>85237887</v>
      </c>
      <c r="GM41" s="82">
        <f t="shared" ref="GM41:HM41" si="1100">GL41</f>
        <v>85237887</v>
      </c>
      <c r="GN41" s="82">
        <f t="shared" si="1100"/>
        <v>85237887</v>
      </c>
      <c r="GO41" s="82">
        <f t="shared" si="1100"/>
        <v>85237887</v>
      </c>
      <c r="GP41" s="82">
        <f t="shared" si="1100"/>
        <v>85237887</v>
      </c>
      <c r="GQ41" s="82">
        <f t="shared" si="1100"/>
        <v>85237887</v>
      </c>
      <c r="GR41" s="82">
        <f t="shared" si="1100"/>
        <v>85237887</v>
      </c>
      <c r="GS41" s="82">
        <f t="shared" si="1100"/>
        <v>85237887</v>
      </c>
      <c r="GT41" s="82">
        <f t="shared" si="1100"/>
        <v>85237887</v>
      </c>
      <c r="GU41" s="82">
        <f t="shared" si="1100"/>
        <v>85237887</v>
      </c>
      <c r="GV41" s="82">
        <f t="shared" si="1100"/>
        <v>85237887</v>
      </c>
      <c r="GW41" s="82">
        <f t="shared" si="1100"/>
        <v>85237887</v>
      </c>
      <c r="GX41" s="82">
        <f t="shared" si="1100"/>
        <v>85237887</v>
      </c>
      <c r="GY41" s="82">
        <f t="shared" si="1100"/>
        <v>85237887</v>
      </c>
      <c r="GZ41" s="82">
        <f t="shared" si="1100"/>
        <v>85237887</v>
      </c>
      <c r="HA41" s="82">
        <f t="shared" si="1100"/>
        <v>85237887</v>
      </c>
      <c r="HB41" s="82">
        <f t="shared" si="1100"/>
        <v>85237887</v>
      </c>
      <c r="HC41" s="82">
        <f t="shared" si="1100"/>
        <v>85237887</v>
      </c>
      <c r="HD41" s="82">
        <f t="shared" si="1100"/>
        <v>85237887</v>
      </c>
      <c r="HE41" s="82">
        <f t="shared" si="1100"/>
        <v>85237887</v>
      </c>
      <c r="HF41" s="82">
        <f t="shared" si="1100"/>
        <v>85237887</v>
      </c>
      <c r="HG41" s="82">
        <f t="shared" si="1100"/>
        <v>85237887</v>
      </c>
      <c r="HH41" s="82">
        <f t="shared" si="1100"/>
        <v>85237887</v>
      </c>
      <c r="HI41" s="82">
        <f t="shared" si="1100"/>
        <v>85237887</v>
      </c>
      <c r="HJ41" s="82">
        <f t="shared" si="1100"/>
        <v>85237887</v>
      </c>
      <c r="HK41" s="82">
        <f t="shared" si="1100"/>
        <v>85237887</v>
      </c>
      <c r="HL41" s="82">
        <f t="shared" si="1100"/>
        <v>85237887</v>
      </c>
      <c r="HM41" s="82">
        <f t="shared" si="1100"/>
        <v>85237887</v>
      </c>
      <c r="HN41" s="130"/>
      <c r="HO41" s="82">
        <f>HM41+588000</f>
        <v>85825887</v>
      </c>
      <c r="HP41" s="82">
        <f>HO41</f>
        <v>85825887</v>
      </c>
      <c r="HQ41" s="82">
        <f>HP41</f>
        <v>85825887</v>
      </c>
      <c r="HR41" s="82">
        <f>HQ41</f>
        <v>85825887</v>
      </c>
      <c r="HS41" s="82">
        <f>HR41</f>
        <v>85825887</v>
      </c>
      <c r="HT41" s="82">
        <f>HS41</f>
        <v>85825887</v>
      </c>
      <c r="HU41" s="82">
        <f>HT41</f>
        <v>85825887</v>
      </c>
      <c r="HV41" s="82">
        <f>HU41+1261852</f>
        <v>87087739</v>
      </c>
      <c r="HW41" s="82">
        <f>HV41</f>
        <v>87087739</v>
      </c>
      <c r="HX41" s="82">
        <f>HW41</f>
        <v>87087739</v>
      </c>
      <c r="HY41" s="82">
        <f>HX41</f>
        <v>87087739</v>
      </c>
      <c r="HZ41" s="82">
        <f>HY41+2220000</f>
        <v>89307739</v>
      </c>
      <c r="IA41" s="82">
        <f t="shared" ref="IA41:IG41" si="1101">HZ41</f>
        <v>89307739</v>
      </c>
      <c r="IB41" s="82">
        <f t="shared" si="1101"/>
        <v>89307739</v>
      </c>
      <c r="IC41" s="82">
        <f t="shared" si="1101"/>
        <v>89307739</v>
      </c>
      <c r="ID41" s="82">
        <f t="shared" si="1101"/>
        <v>89307739</v>
      </c>
      <c r="IE41" s="82">
        <f t="shared" si="1101"/>
        <v>89307739</v>
      </c>
      <c r="IF41" s="82">
        <f t="shared" si="1101"/>
        <v>89307739</v>
      </c>
      <c r="IG41" s="82">
        <f t="shared" si="1101"/>
        <v>89307739</v>
      </c>
      <c r="IH41" s="82">
        <f>IG41-2500</f>
        <v>89305239</v>
      </c>
      <c r="II41" s="82">
        <f t="shared" ref="II41:IS41" si="1102">IH41</f>
        <v>89305239</v>
      </c>
      <c r="IJ41" s="82">
        <f t="shared" si="1102"/>
        <v>89305239</v>
      </c>
      <c r="IK41" s="82">
        <f t="shared" si="1102"/>
        <v>89305239</v>
      </c>
      <c r="IL41" s="82">
        <f t="shared" si="1102"/>
        <v>89305239</v>
      </c>
      <c r="IM41" s="82">
        <f t="shared" si="1102"/>
        <v>89305239</v>
      </c>
      <c r="IN41" s="82">
        <f t="shared" si="1102"/>
        <v>89305239</v>
      </c>
      <c r="IO41" s="82">
        <f t="shared" si="1102"/>
        <v>89305239</v>
      </c>
      <c r="IP41" s="82">
        <f t="shared" si="1102"/>
        <v>89305239</v>
      </c>
      <c r="IQ41" s="82">
        <f t="shared" si="1102"/>
        <v>89305239</v>
      </c>
      <c r="IR41" s="82">
        <f t="shared" si="1102"/>
        <v>89305239</v>
      </c>
      <c r="IS41" s="82">
        <f t="shared" si="1102"/>
        <v>89305239</v>
      </c>
      <c r="IT41" s="130"/>
      <c r="IU41" s="82">
        <f>IS41+3520000</f>
        <v>92825239</v>
      </c>
      <c r="IV41" s="82">
        <f>IU41</f>
        <v>92825239</v>
      </c>
      <c r="IW41" s="82">
        <f>IV41</f>
        <v>92825239</v>
      </c>
      <c r="IX41" s="82">
        <f>IW41</f>
        <v>92825239</v>
      </c>
      <c r="IY41" s="82">
        <f>IX41</f>
        <v>92825239</v>
      </c>
      <c r="IZ41" s="82">
        <f>IY41</f>
        <v>92825239</v>
      </c>
      <c r="JA41" s="82">
        <f>IZ41</f>
        <v>92825239</v>
      </c>
      <c r="JB41" s="82">
        <f>JA41</f>
        <v>92825239</v>
      </c>
      <c r="JC41" s="82">
        <f>JB41</f>
        <v>92825239</v>
      </c>
      <c r="JD41" s="82">
        <f t="shared" si="903"/>
        <v>92825239</v>
      </c>
      <c r="JE41" s="82">
        <f t="shared" si="903"/>
        <v>92825239</v>
      </c>
      <c r="JF41" s="82">
        <f t="shared" si="903"/>
        <v>92825239</v>
      </c>
      <c r="JG41" s="82">
        <f t="shared" si="1007"/>
        <v>92825239</v>
      </c>
      <c r="JH41" s="82">
        <f t="shared" si="1007"/>
        <v>92825239</v>
      </c>
      <c r="JI41" s="82">
        <f>JH41</f>
        <v>92825239</v>
      </c>
      <c r="JJ41" s="82">
        <f>JI41-16051000</f>
        <v>76774239</v>
      </c>
      <c r="JK41" s="82">
        <f>JJ41</f>
        <v>76774239</v>
      </c>
      <c r="JL41" s="82">
        <f>JK41</f>
        <v>76774239</v>
      </c>
      <c r="JM41" s="82">
        <f>JL41</f>
        <v>76774239</v>
      </c>
      <c r="JN41" s="82">
        <f>JM41</f>
        <v>76774239</v>
      </c>
      <c r="JO41" s="82">
        <f t="shared" si="905"/>
        <v>76774239</v>
      </c>
      <c r="JP41" s="82">
        <f t="shared" si="905"/>
        <v>76774239</v>
      </c>
      <c r="JQ41" s="82">
        <f t="shared" si="905"/>
        <v>76774239</v>
      </c>
      <c r="JR41" s="82">
        <f t="shared" si="905"/>
        <v>76774239</v>
      </c>
      <c r="JS41" s="82">
        <f t="shared" si="905"/>
        <v>76774239</v>
      </c>
      <c r="JT41" s="82">
        <f>JS41</f>
        <v>76774239</v>
      </c>
      <c r="JU41" s="82">
        <f t="shared" si="1008"/>
        <v>76774239</v>
      </c>
      <c r="JV41" s="82">
        <f t="shared" si="1008"/>
        <v>76774239</v>
      </c>
      <c r="JW41" s="82">
        <f t="shared" si="906"/>
        <v>76774239</v>
      </c>
      <c r="JX41" s="82">
        <f t="shared" si="906"/>
        <v>76774239</v>
      </c>
      <c r="JY41" s="133"/>
      <c r="JZ41" s="82">
        <f>JX41+1648000</f>
        <v>78422239</v>
      </c>
      <c r="KA41" s="82">
        <f>JZ41</f>
        <v>78422239</v>
      </c>
      <c r="KB41" s="82">
        <f t="shared" ref="KB41:KZ41" si="1103">KA41</f>
        <v>78422239</v>
      </c>
      <c r="KC41" s="82">
        <f t="shared" si="1103"/>
        <v>78422239</v>
      </c>
      <c r="KD41" s="82">
        <f t="shared" si="1103"/>
        <v>78422239</v>
      </c>
      <c r="KE41" s="82">
        <f t="shared" si="1103"/>
        <v>78422239</v>
      </c>
      <c r="KF41" s="82">
        <f t="shared" si="1103"/>
        <v>78422239</v>
      </c>
      <c r="KG41" s="82">
        <f t="shared" si="1103"/>
        <v>78422239</v>
      </c>
      <c r="KH41" s="82">
        <f t="shared" si="1103"/>
        <v>78422239</v>
      </c>
      <c r="KI41" s="82">
        <f t="shared" si="1103"/>
        <v>78422239</v>
      </c>
      <c r="KJ41" s="82">
        <f t="shared" si="1103"/>
        <v>78422239</v>
      </c>
      <c r="KK41" s="82">
        <f t="shared" si="1103"/>
        <v>78422239</v>
      </c>
      <c r="KL41" s="82">
        <f t="shared" si="1103"/>
        <v>78422239</v>
      </c>
      <c r="KM41" s="82">
        <f t="shared" si="1103"/>
        <v>78422239</v>
      </c>
      <c r="KN41" s="82">
        <f t="shared" si="1103"/>
        <v>78422239</v>
      </c>
      <c r="KO41" s="82">
        <f t="shared" si="1103"/>
        <v>78422239</v>
      </c>
      <c r="KP41" s="82">
        <f t="shared" si="1103"/>
        <v>78422239</v>
      </c>
      <c r="KQ41" s="82">
        <f t="shared" si="1103"/>
        <v>78422239</v>
      </c>
      <c r="KR41" s="82">
        <f t="shared" si="1103"/>
        <v>78422239</v>
      </c>
      <c r="KS41" s="82">
        <f t="shared" si="1103"/>
        <v>78422239</v>
      </c>
      <c r="KT41" s="82">
        <f t="shared" si="1103"/>
        <v>78422239</v>
      </c>
      <c r="KU41" s="82">
        <f t="shared" si="1103"/>
        <v>78422239</v>
      </c>
      <c r="KV41" s="82">
        <f t="shared" si="1103"/>
        <v>78422239</v>
      </c>
      <c r="KW41" s="82">
        <f t="shared" si="1103"/>
        <v>78422239</v>
      </c>
      <c r="KX41" s="82">
        <f t="shared" si="1103"/>
        <v>78422239</v>
      </c>
      <c r="KY41" s="82">
        <f t="shared" si="1103"/>
        <v>78422239</v>
      </c>
      <c r="KZ41" s="82">
        <f t="shared" si="1103"/>
        <v>78422239</v>
      </c>
      <c r="LA41" s="82">
        <f>KZ41+15190000</f>
        <v>93612239</v>
      </c>
      <c r="LB41" s="82">
        <f>LA41</f>
        <v>93612239</v>
      </c>
      <c r="LC41" s="82">
        <f>LB41</f>
        <v>93612239</v>
      </c>
      <c r="LD41" s="82">
        <f>LC41</f>
        <v>93612239</v>
      </c>
      <c r="LE41" s="130"/>
      <c r="LF41" s="82">
        <f>LD41+9032000</f>
        <v>102644239</v>
      </c>
      <c r="LG41" s="82">
        <f>LF41</f>
        <v>102644239</v>
      </c>
      <c r="LH41" s="82">
        <f>LG41</f>
        <v>102644239</v>
      </c>
      <c r="LI41" s="82">
        <f t="shared" si="907"/>
        <v>102644239</v>
      </c>
      <c r="LJ41" s="82">
        <f t="shared" si="907"/>
        <v>102644239</v>
      </c>
      <c r="LK41" s="82">
        <f>LJ41</f>
        <v>102644239</v>
      </c>
      <c r="LL41" s="82">
        <f>LK41-26685000</f>
        <v>75959239</v>
      </c>
      <c r="LM41" s="82">
        <f>LL41</f>
        <v>75959239</v>
      </c>
      <c r="LN41" s="82">
        <f>LM41</f>
        <v>75959239</v>
      </c>
      <c r="LO41" s="82">
        <f t="shared" si="1012"/>
        <v>75959239</v>
      </c>
      <c r="LP41" s="82">
        <f t="shared" si="1012"/>
        <v>75959239</v>
      </c>
      <c r="LQ41" s="82">
        <f>LP41</f>
        <v>75959239</v>
      </c>
      <c r="LR41" s="82">
        <f>LQ41</f>
        <v>75959239</v>
      </c>
      <c r="LS41" s="82">
        <f>LR41</f>
        <v>75959239</v>
      </c>
      <c r="LT41" s="82">
        <f t="shared" si="908"/>
        <v>75959239</v>
      </c>
      <c r="LU41" s="82">
        <f t="shared" si="908"/>
        <v>75959239</v>
      </c>
      <c r="LV41" s="82">
        <f t="shared" si="908"/>
        <v>75959239</v>
      </c>
      <c r="LW41" s="82">
        <f t="shared" si="1013"/>
        <v>75959239</v>
      </c>
      <c r="LX41" s="82">
        <f t="shared" si="1013"/>
        <v>75959239</v>
      </c>
      <c r="LY41" s="82">
        <f t="shared" si="1013"/>
        <v>75959239</v>
      </c>
      <c r="LZ41" s="82">
        <f t="shared" si="1013"/>
        <v>75959239</v>
      </c>
      <c r="MA41" s="82">
        <f t="shared" si="909"/>
        <v>75959239</v>
      </c>
      <c r="MB41" s="82">
        <f t="shared" si="909"/>
        <v>75959239</v>
      </c>
      <c r="MC41" s="82">
        <f t="shared" si="909"/>
        <v>75959239</v>
      </c>
      <c r="MD41" s="82">
        <f t="shared" si="1014"/>
        <v>75959239</v>
      </c>
      <c r="ME41" s="82">
        <f t="shared" si="1014"/>
        <v>75959239</v>
      </c>
      <c r="MF41" s="82">
        <f t="shared" si="1014"/>
        <v>75959239</v>
      </c>
      <c r="MG41" s="82">
        <f t="shared" si="910"/>
        <v>75959239</v>
      </c>
      <c r="MH41" s="82">
        <f t="shared" si="910"/>
        <v>75959239</v>
      </c>
      <c r="MI41" s="82">
        <f>MH41</f>
        <v>75959239</v>
      </c>
      <c r="MJ41" s="133"/>
      <c r="MK41" s="82">
        <f>MI41+596000</f>
        <v>76555239</v>
      </c>
      <c r="ML41" s="82">
        <f>MK41</f>
        <v>76555239</v>
      </c>
      <c r="MM41" s="82">
        <f t="shared" ref="MM41:NO41" si="1104">ML41</f>
        <v>76555239</v>
      </c>
      <c r="MN41" s="82">
        <f t="shared" si="1104"/>
        <v>76555239</v>
      </c>
      <c r="MO41" s="82">
        <f t="shared" si="1104"/>
        <v>76555239</v>
      </c>
      <c r="MP41" s="82">
        <f t="shared" si="1104"/>
        <v>76555239</v>
      </c>
      <c r="MQ41" s="82">
        <f t="shared" si="1104"/>
        <v>76555239</v>
      </c>
      <c r="MR41" s="82">
        <f t="shared" si="1104"/>
        <v>76555239</v>
      </c>
      <c r="MS41" s="82">
        <f t="shared" si="1104"/>
        <v>76555239</v>
      </c>
      <c r="MT41" s="82">
        <f t="shared" si="1104"/>
        <v>76555239</v>
      </c>
      <c r="MU41" s="82">
        <f t="shared" si="1104"/>
        <v>76555239</v>
      </c>
      <c r="MV41" s="82">
        <f t="shared" si="1104"/>
        <v>76555239</v>
      </c>
      <c r="MW41" s="82">
        <f t="shared" si="1104"/>
        <v>76555239</v>
      </c>
      <c r="MX41" s="82">
        <f t="shared" si="1104"/>
        <v>76555239</v>
      </c>
      <c r="MY41" s="82">
        <f t="shared" si="1104"/>
        <v>76555239</v>
      </c>
      <c r="MZ41" s="82">
        <f t="shared" si="1104"/>
        <v>76555239</v>
      </c>
      <c r="NA41" s="82">
        <f t="shared" si="1104"/>
        <v>76555239</v>
      </c>
      <c r="NB41" s="82">
        <f t="shared" si="1104"/>
        <v>76555239</v>
      </c>
      <c r="NC41" s="82">
        <f t="shared" si="1104"/>
        <v>76555239</v>
      </c>
      <c r="ND41" s="82">
        <f t="shared" si="1104"/>
        <v>76555239</v>
      </c>
      <c r="NE41" s="82">
        <f t="shared" si="1104"/>
        <v>76555239</v>
      </c>
      <c r="NF41" s="82">
        <f t="shared" si="1104"/>
        <v>76555239</v>
      </c>
      <c r="NG41" s="82">
        <f t="shared" si="1104"/>
        <v>76555239</v>
      </c>
      <c r="NH41" s="82">
        <f t="shared" si="1104"/>
        <v>76555239</v>
      </c>
      <c r="NI41" s="82">
        <f t="shared" si="1104"/>
        <v>76555239</v>
      </c>
      <c r="NJ41" s="82">
        <f t="shared" si="1104"/>
        <v>76555239</v>
      </c>
      <c r="NK41" s="82">
        <f t="shared" si="1104"/>
        <v>76555239</v>
      </c>
      <c r="NL41" s="82">
        <f t="shared" si="1104"/>
        <v>76555239</v>
      </c>
      <c r="NM41" s="82">
        <f t="shared" si="1104"/>
        <v>76555239</v>
      </c>
      <c r="NN41" s="82">
        <f t="shared" si="1104"/>
        <v>76555239</v>
      </c>
      <c r="NO41" s="82">
        <f t="shared" si="1104"/>
        <v>76555239</v>
      </c>
      <c r="NP41" s="133"/>
      <c r="NQ41" s="82">
        <f>NO41+5100000</f>
        <v>81655239</v>
      </c>
      <c r="NR41" s="82">
        <f>NQ41</f>
        <v>81655239</v>
      </c>
      <c r="NS41" s="82">
        <f t="shared" ref="NS41:OJ41" si="1105">NR41</f>
        <v>81655239</v>
      </c>
      <c r="NT41" s="82">
        <f t="shared" si="1105"/>
        <v>81655239</v>
      </c>
      <c r="NU41" s="82">
        <f t="shared" si="1105"/>
        <v>81655239</v>
      </c>
      <c r="NV41" s="82">
        <f t="shared" si="1105"/>
        <v>81655239</v>
      </c>
      <c r="NW41" s="82">
        <f t="shared" si="1105"/>
        <v>81655239</v>
      </c>
      <c r="NX41" s="82">
        <f t="shared" si="1105"/>
        <v>81655239</v>
      </c>
      <c r="NY41" s="82">
        <f t="shared" si="1105"/>
        <v>81655239</v>
      </c>
      <c r="NZ41" s="82">
        <f t="shared" si="1105"/>
        <v>81655239</v>
      </c>
      <c r="OA41" s="82">
        <f t="shared" si="1105"/>
        <v>81655239</v>
      </c>
      <c r="OB41" s="82">
        <f t="shared" si="1105"/>
        <v>81655239</v>
      </c>
      <c r="OC41" s="82">
        <f t="shared" si="1105"/>
        <v>81655239</v>
      </c>
      <c r="OD41" s="82">
        <f t="shared" si="1105"/>
        <v>81655239</v>
      </c>
      <c r="OE41" s="82">
        <f t="shared" si="1105"/>
        <v>81655239</v>
      </c>
      <c r="OF41" s="82">
        <f t="shared" si="1105"/>
        <v>81655239</v>
      </c>
      <c r="OG41" s="82">
        <f t="shared" si="1105"/>
        <v>81655239</v>
      </c>
      <c r="OH41" s="82">
        <f t="shared" si="1105"/>
        <v>81655239</v>
      </c>
      <c r="OI41" s="82">
        <f t="shared" si="1105"/>
        <v>81655239</v>
      </c>
      <c r="OJ41" s="82">
        <f t="shared" si="1105"/>
        <v>81655239</v>
      </c>
      <c r="OK41" s="82">
        <f>OJ41+660000</f>
        <v>82315239</v>
      </c>
      <c r="OL41" s="82">
        <f t="shared" ref="OL41:OT41" si="1106">OK41</f>
        <v>82315239</v>
      </c>
      <c r="OM41" s="82">
        <f t="shared" si="1106"/>
        <v>82315239</v>
      </c>
      <c r="ON41" s="82">
        <f t="shared" si="1106"/>
        <v>82315239</v>
      </c>
      <c r="OO41" s="82">
        <f t="shared" si="1106"/>
        <v>82315239</v>
      </c>
      <c r="OP41" s="82">
        <f t="shared" si="1106"/>
        <v>82315239</v>
      </c>
      <c r="OQ41" s="82">
        <f t="shared" si="1106"/>
        <v>82315239</v>
      </c>
      <c r="OR41" s="82">
        <f t="shared" si="1106"/>
        <v>82315239</v>
      </c>
      <c r="OS41" s="82">
        <f t="shared" si="1106"/>
        <v>82315239</v>
      </c>
      <c r="OT41" s="82">
        <f t="shared" si="1106"/>
        <v>82315239</v>
      </c>
      <c r="OU41" s="82">
        <f>OT41-10000000</f>
        <v>72315239</v>
      </c>
      <c r="OV41" s="130"/>
      <c r="OW41" s="82">
        <f>OU41-16400000+6382000</f>
        <v>62297239</v>
      </c>
      <c r="OX41" s="82">
        <f>OW41</f>
        <v>62297239</v>
      </c>
      <c r="OY41" s="82">
        <f t="shared" ref="OY41:PZ41" si="1107">OX41</f>
        <v>62297239</v>
      </c>
      <c r="OZ41" s="82">
        <f t="shared" si="1107"/>
        <v>62297239</v>
      </c>
      <c r="PA41" s="82">
        <f t="shared" si="1107"/>
        <v>62297239</v>
      </c>
      <c r="PB41" s="82">
        <f t="shared" si="1107"/>
        <v>62297239</v>
      </c>
      <c r="PC41" s="82">
        <f t="shared" si="1107"/>
        <v>62297239</v>
      </c>
      <c r="PD41" s="82">
        <f t="shared" si="1107"/>
        <v>62297239</v>
      </c>
      <c r="PE41" s="82">
        <f t="shared" si="1107"/>
        <v>62297239</v>
      </c>
      <c r="PF41" s="82">
        <f t="shared" si="1107"/>
        <v>62297239</v>
      </c>
      <c r="PG41" s="82">
        <f t="shared" si="1107"/>
        <v>62297239</v>
      </c>
      <c r="PH41" s="82">
        <f t="shared" si="1107"/>
        <v>62297239</v>
      </c>
      <c r="PI41" s="82">
        <f t="shared" si="1107"/>
        <v>62297239</v>
      </c>
      <c r="PJ41" s="82">
        <f t="shared" si="1107"/>
        <v>62297239</v>
      </c>
      <c r="PK41" s="82">
        <f t="shared" si="1107"/>
        <v>62297239</v>
      </c>
      <c r="PL41" s="82">
        <f t="shared" si="1107"/>
        <v>62297239</v>
      </c>
      <c r="PM41" s="82">
        <f t="shared" si="1107"/>
        <v>62297239</v>
      </c>
      <c r="PN41" s="82">
        <f t="shared" si="1107"/>
        <v>62297239</v>
      </c>
      <c r="PO41" s="82">
        <f t="shared" si="1107"/>
        <v>62297239</v>
      </c>
      <c r="PP41" s="82">
        <f t="shared" si="1107"/>
        <v>62297239</v>
      </c>
      <c r="PQ41" s="82">
        <f t="shared" si="1107"/>
        <v>62297239</v>
      </c>
      <c r="PR41" s="82">
        <f t="shared" si="1107"/>
        <v>62297239</v>
      </c>
      <c r="PS41" s="82">
        <f t="shared" si="1107"/>
        <v>62297239</v>
      </c>
      <c r="PT41" s="82">
        <f t="shared" si="1107"/>
        <v>62297239</v>
      </c>
      <c r="PU41" s="82">
        <f t="shared" si="1107"/>
        <v>62297239</v>
      </c>
      <c r="PV41" s="82">
        <f t="shared" si="1107"/>
        <v>62297239</v>
      </c>
      <c r="PW41" s="82">
        <f t="shared" si="1107"/>
        <v>62297239</v>
      </c>
      <c r="PX41" s="82">
        <f t="shared" si="1107"/>
        <v>62297239</v>
      </c>
      <c r="PY41" s="82">
        <f t="shared" si="1107"/>
        <v>62297239</v>
      </c>
      <c r="PZ41" s="82">
        <f t="shared" si="1107"/>
        <v>62297239</v>
      </c>
      <c r="QA41" s="130"/>
      <c r="QB41" s="82">
        <f>PZ41+1362000</f>
        <v>63659239</v>
      </c>
      <c r="QC41" s="82">
        <f t="shared" si="1092"/>
        <v>63659239</v>
      </c>
      <c r="QD41" s="82">
        <f t="shared" si="1092"/>
        <v>63659239</v>
      </c>
      <c r="QE41" s="82">
        <f t="shared" si="1092"/>
        <v>63659239</v>
      </c>
      <c r="QF41" s="82">
        <f t="shared" si="911"/>
        <v>63659239</v>
      </c>
      <c r="QG41" s="82">
        <f t="shared" si="911"/>
        <v>63659239</v>
      </c>
      <c r="QH41" s="82">
        <f t="shared" si="1017"/>
        <v>63659239</v>
      </c>
      <c r="QI41" s="82">
        <f t="shared" si="1017"/>
        <v>63659239</v>
      </c>
      <c r="QJ41" s="82">
        <f t="shared" si="1017"/>
        <v>63659239</v>
      </c>
      <c r="QK41" s="82">
        <f>QJ41</f>
        <v>63659239</v>
      </c>
      <c r="QL41" s="82">
        <f t="shared" si="1018"/>
        <v>63659239</v>
      </c>
      <c r="QM41" s="82">
        <f t="shared" si="1018"/>
        <v>63659239</v>
      </c>
      <c r="QN41" s="82">
        <f>QM41</f>
        <v>63659239</v>
      </c>
      <c r="QO41" s="82">
        <f t="shared" si="1019"/>
        <v>63659239</v>
      </c>
      <c r="QP41" s="82">
        <f t="shared" si="1019"/>
        <v>63659239</v>
      </c>
      <c r="QQ41" s="82">
        <f t="shared" si="1019"/>
        <v>63659239</v>
      </c>
      <c r="QR41" s="82">
        <f t="shared" si="912"/>
        <v>63659239</v>
      </c>
      <c r="QS41" s="82">
        <f t="shared" si="912"/>
        <v>63659239</v>
      </c>
      <c r="QT41" s="82">
        <f t="shared" si="1020"/>
        <v>63659239</v>
      </c>
      <c r="QU41" s="82">
        <f t="shared" si="1020"/>
        <v>63659239</v>
      </c>
      <c r="QV41" s="82">
        <f t="shared" si="1020"/>
        <v>63659239</v>
      </c>
      <c r="QW41" s="82">
        <f t="shared" si="913"/>
        <v>63659239</v>
      </c>
      <c r="QX41" s="82">
        <f t="shared" si="913"/>
        <v>63659239</v>
      </c>
      <c r="QY41" s="82">
        <f>QX41</f>
        <v>63659239</v>
      </c>
      <c r="QZ41" s="82">
        <f>QY41</f>
        <v>63659239</v>
      </c>
      <c r="RA41" s="82">
        <f>QZ41</f>
        <v>63659239</v>
      </c>
      <c r="RB41" s="82">
        <f>RA41</f>
        <v>63659239</v>
      </c>
      <c r="RC41" s="82">
        <f t="shared" si="1021"/>
        <v>63659239</v>
      </c>
      <c r="RD41" s="82">
        <f t="shared" si="1021"/>
        <v>63659239</v>
      </c>
      <c r="RE41" s="82">
        <f t="shared" si="1021"/>
        <v>63659239</v>
      </c>
      <c r="RF41" s="82">
        <f>RE41</f>
        <v>63659239</v>
      </c>
      <c r="RG41" s="130"/>
      <c r="RH41" s="82">
        <f>RF41+5458000</f>
        <v>69117239</v>
      </c>
      <c r="RI41" s="82">
        <f t="shared" si="914"/>
        <v>69117239</v>
      </c>
      <c r="RJ41" s="82">
        <f t="shared" si="914"/>
        <v>69117239</v>
      </c>
      <c r="RK41" s="82">
        <f t="shared" si="914"/>
        <v>69117239</v>
      </c>
      <c r="RL41" s="82">
        <f t="shared" si="1022"/>
        <v>69117239</v>
      </c>
      <c r="RM41" s="82">
        <f t="shared" si="1022"/>
        <v>69117239</v>
      </c>
      <c r="RN41" s="82">
        <f t="shared" si="1022"/>
        <v>69117239</v>
      </c>
      <c r="RO41" s="82">
        <f t="shared" si="915"/>
        <v>69117239</v>
      </c>
      <c r="RP41" s="82">
        <f t="shared" si="915"/>
        <v>69117239</v>
      </c>
      <c r="RQ41" s="82">
        <f>RP41</f>
        <v>69117239</v>
      </c>
      <c r="RR41" s="82">
        <f>RQ41</f>
        <v>69117239</v>
      </c>
      <c r="RS41" s="82">
        <f>RR41+2400000</f>
        <v>71517239</v>
      </c>
      <c r="RT41" s="82">
        <f>RS41</f>
        <v>71517239</v>
      </c>
      <c r="RU41" s="82">
        <f>RT41</f>
        <v>71517239</v>
      </c>
      <c r="RV41" s="82">
        <f>RU41</f>
        <v>71517239</v>
      </c>
      <c r="RW41" s="82">
        <f>RV41</f>
        <v>71517239</v>
      </c>
      <c r="RX41" s="82">
        <f t="shared" si="916"/>
        <v>71517239</v>
      </c>
      <c r="RY41" s="82">
        <f t="shared" si="916"/>
        <v>71517239</v>
      </c>
      <c r="RZ41" s="82">
        <f t="shared" si="916"/>
        <v>71517239</v>
      </c>
      <c r="SA41" s="82">
        <f>RZ41</f>
        <v>71517239</v>
      </c>
      <c r="SB41" s="82">
        <f>SA41</f>
        <v>71517239</v>
      </c>
      <c r="SC41" s="82">
        <f>SB41</f>
        <v>71517239</v>
      </c>
      <c r="SD41" s="82">
        <f>SC41</f>
        <v>71517239</v>
      </c>
      <c r="SE41" s="82">
        <f>SD41</f>
        <v>71517239</v>
      </c>
      <c r="SF41" s="82">
        <f t="shared" si="917"/>
        <v>71517239</v>
      </c>
      <c r="SG41" s="82">
        <f t="shared" si="917"/>
        <v>71517239</v>
      </c>
      <c r="SH41" s="82">
        <f t="shared" si="917"/>
        <v>71517239</v>
      </c>
      <c r="SI41" s="82">
        <f t="shared" si="917"/>
        <v>71517239</v>
      </c>
      <c r="SJ41" s="82">
        <f t="shared" si="917"/>
        <v>71517239</v>
      </c>
      <c r="SK41" s="82">
        <f>SJ41</f>
        <v>71517239</v>
      </c>
      <c r="SL41" s="130"/>
      <c r="SM41" s="82">
        <f>SK41+3337000</f>
        <v>74854239</v>
      </c>
      <c r="SN41" s="82">
        <f t="shared" si="918"/>
        <v>74854239</v>
      </c>
      <c r="SO41" s="82">
        <f t="shared" si="918"/>
        <v>74854239</v>
      </c>
      <c r="SP41" s="82">
        <f>SO41</f>
        <v>74854239</v>
      </c>
      <c r="SQ41" s="82">
        <f>SP41</f>
        <v>74854239</v>
      </c>
      <c r="SR41" s="82">
        <f t="shared" si="1024"/>
        <v>74854239</v>
      </c>
      <c r="SS41" s="82">
        <f t="shared" si="1024"/>
        <v>74854239</v>
      </c>
      <c r="ST41" s="82">
        <f t="shared" si="1024"/>
        <v>74854239</v>
      </c>
      <c r="SU41" s="82">
        <f>ST41</f>
        <v>74854239</v>
      </c>
      <c r="SV41" s="82">
        <f>SU41</f>
        <v>74854239</v>
      </c>
      <c r="SW41" s="82">
        <f>SV41+3000-500</f>
        <v>74856739</v>
      </c>
      <c r="SX41" s="82">
        <f>SW41</f>
        <v>74856739</v>
      </c>
      <c r="SY41" s="82">
        <f t="shared" si="919"/>
        <v>74856739</v>
      </c>
      <c r="SZ41" s="82">
        <f t="shared" si="919"/>
        <v>74856739</v>
      </c>
      <c r="TA41" s="82">
        <f>SZ41</f>
        <v>74856739</v>
      </c>
      <c r="TB41" s="82">
        <f>TA41</f>
        <v>74856739</v>
      </c>
      <c r="TC41" s="82">
        <f>TB41</f>
        <v>74856739</v>
      </c>
      <c r="TD41" s="82">
        <f>TC41</f>
        <v>74856739</v>
      </c>
      <c r="TE41" s="82">
        <f t="shared" si="1026"/>
        <v>74856739</v>
      </c>
      <c r="TF41" s="82">
        <f t="shared" si="1026"/>
        <v>74856739</v>
      </c>
      <c r="TG41" s="82">
        <f t="shared" si="920"/>
        <v>74856739</v>
      </c>
      <c r="TH41" s="82">
        <f t="shared" si="920"/>
        <v>74856739</v>
      </c>
      <c r="TI41" s="82">
        <f t="shared" si="920"/>
        <v>74856739</v>
      </c>
      <c r="TJ41" s="82">
        <f>TI41</f>
        <v>74856739</v>
      </c>
      <c r="TK41" s="82">
        <f t="shared" si="921"/>
        <v>74856739</v>
      </c>
      <c r="TL41" s="82">
        <f t="shared" si="921"/>
        <v>74856739</v>
      </c>
      <c r="TM41" s="82">
        <f t="shared" si="921"/>
        <v>74856739</v>
      </c>
      <c r="TN41" s="82">
        <f>TM41</f>
        <v>74856739</v>
      </c>
      <c r="TO41" s="82">
        <f>TN41</f>
        <v>74856739</v>
      </c>
      <c r="TP41" s="82">
        <f t="shared" si="1027"/>
        <v>74856739</v>
      </c>
      <c r="TQ41" s="82">
        <f t="shared" si="1027"/>
        <v>74856739</v>
      </c>
      <c r="TR41" s="130"/>
      <c r="TS41" s="82">
        <f>TQ41-5000000-9789300</f>
        <v>60067439</v>
      </c>
      <c r="TT41" s="82">
        <f>TS41</f>
        <v>60067439</v>
      </c>
      <c r="TU41" s="82">
        <f>TT41</f>
        <v>60067439</v>
      </c>
      <c r="TV41" s="82">
        <f>TU41</f>
        <v>60067439</v>
      </c>
      <c r="TW41" s="82">
        <f>TV41</f>
        <v>60067439</v>
      </c>
      <c r="TX41" s="82">
        <f>TW41</f>
        <v>60067439</v>
      </c>
      <c r="TY41" s="82">
        <f t="shared" si="1028"/>
        <v>60067439</v>
      </c>
      <c r="TZ41" s="82">
        <f t="shared" si="1028"/>
        <v>60067439</v>
      </c>
      <c r="UA41" s="82">
        <f t="shared" si="1028"/>
        <v>60067439</v>
      </c>
      <c r="UB41" s="82">
        <f t="shared" si="1028"/>
        <v>60067439</v>
      </c>
      <c r="UC41" s="82">
        <f>UB41</f>
        <v>60067439</v>
      </c>
      <c r="UD41" s="82">
        <f>UC41</f>
        <v>60067439</v>
      </c>
      <c r="UE41" s="82">
        <f t="shared" si="922"/>
        <v>60067439</v>
      </c>
      <c r="UF41" s="82">
        <f t="shared" si="922"/>
        <v>60067439</v>
      </c>
      <c r="UG41" s="82">
        <f t="shared" si="922"/>
        <v>60067439</v>
      </c>
      <c r="UH41" s="82">
        <f t="shared" si="922"/>
        <v>60067439</v>
      </c>
      <c r="UI41" s="82">
        <f t="shared" si="1029"/>
        <v>60067439</v>
      </c>
      <c r="UJ41" s="82">
        <f t="shared" si="1029"/>
        <v>60067439</v>
      </c>
      <c r="UK41" s="82">
        <f>UJ41</f>
        <v>60067439</v>
      </c>
      <c r="UL41" s="82">
        <f>UK41</f>
        <v>60067439</v>
      </c>
      <c r="UM41" s="82">
        <f>UL41</f>
        <v>60067439</v>
      </c>
      <c r="UN41" s="82">
        <f>UM41</f>
        <v>60067439</v>
      </c>
      <c r="UO41" s="82">
        <f>UN41</f>
        <v>60067439</v>
      </c>
      <c r="UP41" s="82">
        <f>UO41</f>
        <v>60067439</v>
      </c>
      <c r="UQ41" s="82">
        <f>UP41</f>
        <v>60067439</v>
      </c>
      <c r="UR41" s="82">
        <f>UQ41</f>
        <v>60067439</v>
      </c>
      <c r="US41" s="82">
        <f>UR41</f>
        <v>60067439</v>
      </c>
      <c r="UT41" s="82">
        <f t="shared" si="1030"/>
        <v>60067439</v>
      </c>
      <c r="UU41" s="82">
        <f t="shared" si="1030"/>
        <v>60067439</v>
      </c>
      <c r="UV41" s="82">
        <f t="shared" si="1030"/>
        <v>60067439</v>
      </c>
      <c r="UW41" s="82">
        <f>UV41</f>
        <v>60067439</v>
      </c>
      <c r="UX41" s="130"/>
      <c r="UY41" s="82">
        <f>UW41+4200000</f>
        <v>64267439</v>
      </c>
      <c r="UZ41" s="82">
        <f>UY41</f>
        <v>64267439</v>
      </c>
      <c r="VA41" s="82">
        <f t="shared" ref="VA41:VZ41" si="1108">UZ41</f>
        <v>64267439</v>
      </c>
      <c r="VB41" s="82">
        <f t="shared" si="1108"/>
        <v>64267439</v>
      </c>
      <c r="VC41" s="82">
        <f t="shared" si="1108"/>
        <v>64267439</v>
      </c>
      <c r="VD41" s="82">
        <f t="shared" si="1108"/>
        <v>64267439</v>
      </c>
      <c r="VE41" s="82">
        <f t="shared" si="1108"/>
        <v>64267439</v>
      </c>
      <c r="VF41" s="82">
        <f t="shared" si="1108"/>
        <v>64267439</v>
      </c>
      <c r="VG41" s="82">
        <f t="shared" si="1108"/>
        <v>64267439</v>
      </c>
      <c r="VH41" s="82">
        <f t="shared" si="1108"/>
        <v>64267439</v>
      </c>
      <c r="VI41" s="82">
        <f t="shared" si="1108"/>
        <v>64267439</v>
      </c>
      <c r="VJ41" s="82">
        <f t="shared" si="1108"/>
        <v>64267439</v>
      </c>
      <c r="VK41" s="82">
        <f t="shared" si="1108"/>
        <v>64267439</v>
      </c>
      <c r="VL41" s="82">
        <f t="shared" si="1108"/>
        <v>64267439</v>
      </c>
      <c r="VM41" s="82">
        <f t="shared" si="1108"/>
        <v>64267439</v>
      </c>
      <c r="VN41" s="82">
        <f t="shared" si="1108"/>
        <v>64267439</v>
      </c>
      <c r="VO41" s="82">
        <f t="shared" si="1108"/>
        <v>64267439</v>
      </c>
      <c r="VP41" s="82">
        <f t="shared" si="1108"/>
        <v>64267439</v>
      </c>
      <c r="VQ41" s="82">
        <f t="shared" si="1108"/>
        <v>64267439</v>
      </c>
      <c r="VR41" s="82">
        <f t="shared" si="1108"/>
        <v>64267439</v>
      </c>
      <c r="VS41" s="82">
        <f t="shared" si="1108"/>
        <v>64267439</v>
      </c>
      <c r="VT41" s="82">
        <f t="shared" si="1108"/>
        <v>64267439</v>
      </c>
      <c r="VU41" s="82">
        <f t="shared" si="1108"/>
        <v>64267439</v>
      </c>
      <c r="VV41" s="82">
        <f t="shared" si="1108"/>
        <v>64267439</v>
      </c>
      <c r="VW41" s="82">
        <f t="shared" si="1108"/>
        <v>64267439</v>
      </c>
      <c r="VX41" s="82">
        <f t="shared" si="1108"/>
        <v>64267439</v>
      </c>
      <c r="VY41" s="82">
        <f t="shared" si="1108"/>
        <v>64267439</v>
      </c>
      <c r="VZ41" s="82">
        <f t="shared" si="1108"/>
        <v>64267439</v>
      </c>
      <c r="WA41" s="133"/>
      <c r="WB41" s="82">
        <f>VZ41+5048000</f>
        <v>69315439</v>
      </c>
      <c r="WC41" s="82">
        <f>WB41</f>
        <v>69315439</v>
      </c>
      <c r="WD41" s="82">
        <f t="shared" ref="WD41:XF41" si="1109">WC41</f>
        <v>69315439</v>
      </c>
      <c r="WE41" s="82">
        <f t="shared" si="1109"/>
        <v>69315439</v>
      </c>
      <c r="WF41" s="82">
        <f t="shared" si="1109"/>
        <v>69315439</v>
      </c>
      <c r="WG41" s="82">
        <f t="shared" si="1109"/>
        <v>69315439</v>
      </c>
      <c r="WH41" s="82">
        <f t="shared" si="1109"/>
        <v>69315439</v>
      </c>
      <c r="WI41" s="82">
        <f t="shared" si="1109"/>
        <v>69315439</v>
      </c>
      <c r="WJ41" s="82">
        <f t="shared" si="1109"/>
        <v>69315439</v>
      </c>
      <c r="WK41" s="82">
        <f t="shared" si="1109"/>
        <v>69315439</v>
      </c>
      <c r="WL41" s="82">
        <f t="shared" si="1109"/>
        <v>69315439</v>
      </c>
      <c r="WM41" s="82">
        <f t="shared" si="1109"/>
        <v>69315439</v>
      </c>
      <c r="WN41" s="82">
        <f t="shared" si="1109"/>
        <v>69315439</v>
      </c>
      <c r="WO41" s="82">
        <f t="shared" si="1109"/>
        <v>69315439</v>
      </c>
      <c r="WP41" s="82">
        <f t="shared" si="1109"/>
        <v>69315439</v>
      </c>
      <c r="WQ41" s="82">
        <f t="shared" si="1109"/>
        <v>69315439</v>
      </c>
      <c r="WR41" s="82">
        <f t="shared" si="1109"/>
        <v>69315439</v>
      </c>
      <c r="WS41" s="82">
        <f t="shared" si="1109"/>
        <v>69315439</v>
      </c>
      <c r="WT41" s="82">
        <f t="shared" si="1109"/>
        <v>69315439</v>
      </c>
      <c r="WU41" s="82">
        <f t="shared" si="1109"/>
        <v>69315439</v>
      </c>
      <c r="WV41" s="82">
        <f t="shared" si="1109"/>
        <v>69315439</v>
      </c>
      <c r="WW41" s="82">
        <f t="shared" si="1109"/>
        <v>69315439</v>
      </c>
      <c r="WX41" s="82">
        <f t="shared" si="1109"/>
        <v>69315439</v>
      </c>
      <c r="WY41" s="82">
        <f t="shared" si="1109"/>
        <v>69315439</v>
      </c>
      <c r="WZ41" s="82">
        <f t="shared" si="1109"/>
        <v>69315439</v>
      </c>
      <c r="XA41" s="82">
        <f t="shared" si="1109"/>
        <v>69315439</v>
      </c>
      <c r="XB41" s="82">
        <f t="shared" si="1109"/>
        <v>69315439</v>
      </c>
      <c r="XC41" s="82">
        <f t="shared" si="1109"/>
        <v>69315439</v>
      </c>
      <c r="XD41" s="82">
        <f t="shared" si="1109"/>
        <v>69315439</v>
      </c>
      <c r="XE41" s="82">
        <f t="shared" si="1109"/>
        <v>69315439</v>
      </c>
      <c r="XF41" s="82">
        <f t="shared" si="1109"/>
        <v>69315439</v>
      </c>
      <c r="XG41" s="133"/>
      <c r="XH41" s="82">
        <f>XF41+1537000</f>
        <v>70852439</v>
      </c>
      <c r="XI41" s="82">
        <f>XH41</f>
        <v>70852439</v>
      </c>
      <c r="XJ41" s="82">
        <f t="shared" si="1031"/>
        <v>70852439</v>
      </c>
      <c r="XK41" s="82">
        <f t="shared" si="1031"/>
        <v>70852439</v>
      </c>
      <c r="XL41" s="82">
        <f>XK41</f>
        <v>70852439</v>
      </c>
      <c r="XM41" s="82">
        <f>XL41</f>
        <v>70852439</v>
      </c>
      <c r="XN41" s="82">
        <f t="shared" si="926"/>
        <v>70852439</v>
      </c>
      <c r="XO41" s="82">
        <f t="shared" si="926"/>
        <v>70852439</v>
      </c>
      <c r="XP41" s="82">
        <f>XO41</f>
        <v>70852439</v>
      </c>
      <c r="XQ41" s="82">
        <f>XP41</f>
        <v>70852439</v>
      </c>
      <c r="XR41" s="82">
        <f t="shared" si="1032"/>
        <v>70852439</v>
      </c>
      <c r="XS41" s="82">
        <f t="shared" si="1032"/>
        <v>70852439</v>
      </c>
      <c r="XT41" s="82">
        <f t="shared" si="927"/>
        <v>70852439</v>
      </c>
      <c r="XU41" s="82">
        <f t="shared" si="927"/>
        <v>70852439</v>
      </c>
      <c r="XV41" s="82">
        <f>XU41</f>
        <v>70852439</v>
      </c>
      <c r="XW41" s="82">
        <f>XV41</f>
        <v>70852439</v>
      </c>
      <c r="XX41" s="82">
        <f>XW41+1000000</f>
        <v>71852439</v>
      </c>
      <c r="XY41" s="82">
        <f>XX41</f>
        <v>71852439</v>
      </c>
      <c r="XZ41" s="82">
        <f>XY41</f>
        <v>71852439</v>
      </c>
      <c r="YA41" s="82">
        <f t="shared" si="928"/>
        <v>71852439</v>
      </c>
      <c r="YB41" s="82">
        <f t="shared" si="928"/>
        <v>71852439</v>
      </c>
      <c r="YC41" s="82">
        <f t="shared" si="1034"/>
        <v>71852439</v>
      </c>
      <c r="YD41" s="82">
        <f t="shared" si="1034"/>
        <v>71852439</v>
      </c>
      <c r="YE41" s="82">
        <f t="shared" si="1034"/>
        <v>71852439</v>
      </c>
      <c r="YF41" s="82">
        <f t="shared" si="1034"/>
        <v>71852439</v>
      </c>
      <c r="YG41" s="82">
        <f t="shared" si="1034"/>
        <v>71852439</v>
      </c>
      <c r="YH41" s="82">
        <f t="shared" si="929"/>
        <v>71852439</v>
      </c>
      <c r="YI41" s="82">
        <f t="shared" si="929"/>
        <v>71852439</v>
      </c>
      <c r="YJ41" s="82">
        <f>YI41</f>
        <v>71852439</v>
      </c>
      <c r="YK41" s="82">
        <f>YJ41-8268960</f>
        <v>63583479</v>
      </c>
      <c r="YL41" s="130"/>
      <c r="YM41" s="82">
        <f>YK41+2788000</f>
        <v>66371479</v>
      </c>
      <c r="YN41" s="82">
        <f>YM41</f>
        <v>66371479</v>
      </c>
      <c r="YO41" s="82">
        <f>YN41</f>
        <v>66371479</v>
      </c>
      <c r="YP41" s="82">
        <f>YO41+1289000</f>
        <v>67660479</v>
      </c>
      <c r="YQ41" s="82">
        <f t="shared" si="1035"/>
        <v>67660479</v>
      </c>
      <c r="YR41" s="82">
        <f t="shared" si="1035"/>
        <v>67660479</v>
      </c>
      <c r="YS41" s="82">
        <f>YR41</f>
        <v>67660479</v>
      </c>
      <c r="YT41" s="82">
        <f t="shared" si="1036"/>
        <v>67660479</v>
      </c>
      <c r="YU41" s="82">
        <f t="shared" si="1036"/>
        <v>67660479</v>
      </c>
      <c r="YV41" s="82">
        <f>YU41</f>
        <v>67660479</v>
      </c>
      <c r="YW41" s="82">
        <f>YV41</f>
        <v>67660479</v>
      </c>
      <c r="YX41" s="82">
        <f>YW41</f>
        <v>67660479</v>
      </c>
      <c r="YY41" s="82">
        <f t="shared" si="930"/>
        <v>67660479</v>
      </c>
      <c r="YZ41" s="82">
        <f t="shared" si="930"/>
        <v>67660479</v>
      </c>
      <c r="ZA41" s="82">
        <f t="shared" si="930"/>
        <v>67660479</v>
      </c>
      <c r="ZB41" s="82">
        <f t="shared" si="1037"/>
        <v>67660479</v>
      </c>
      <c r="ZC41" s="82">
        <f t="shared" si="1037"/>
        <v>67660479</v>
      </c>
      <c r="ZD41" s="82">
        <f t="shared" si="931"/>
        <v>67660479</v>
      </c>
      <c r="ZE41" s="82">
        <f t="shared" si="931"/>
        <v>67660479</v>
      </c>
      <c r="ZF41" s="82">
        <f>ZE41</f>
        <v>67660479</v>
      </c>
      <c r="ZG41" s="82">
        <f>ZF41</f>
        <v>67660479</v>
      </c>
      <c r="ZH41" s="82">
        <f t="shared" si="1038"/>
        <v>67660479</v>
      </c>
      <c r="ZI41" s="82">
        <f t="shared" si="1038"/>
        <v>67660479</v>
      </c>
      <c r="ZJ41" s="82">
        <f t="shared" si="1038"/>
        <v>67660479</v>
      </c>
      <c r="ZK41" s="82">
        <f>ZJ41</f>
        <v>67660479</v>
      </c>
      <c r="ZL41" s="82">
        <f t="shared" si="1039"/>
        <v>67660479</v>
      </c>
      <c r="ZM41" s="82">
        <f t="shared" si="1039"/>
        <v>67660479</v>
      </c>
      <c r="ZN41" s="82">
        <f t="shared" si="1039"/>
        <v>67660479</v>
      </c>
      <c r="ZO41" s="82">
        <f t="shared" si="1039"/>
        <v>67660479</v>
      </c>
      <c r="ZP41" s="82">
        <f t="shared" si="932"/>
        <v>67660479</v>
      </c>
      <c r="ZQ41" s="82">
        <f t="shared" si="932"/>
        <v>67660479</v>
      </c>
      <c r="ZR41" s="130"/>
      <c r="ZS41" s="82">
        <f>ZQ41+3599000</f>
        <v>71259479</v>
      </c>
      <c r="ZT41" s="82">
        <f>ZS41</f>
        <v>71259479</v>
      </c>
      <c r="ZU41" s="82">
        <f>ZT41</f>
        <v>71259479</v>
      </c>
      <c r="ZV41" s="82">
        <f>ZU41</f>
        <v>71259479</v>
      </c>
      <c r="ZW41" s="82">
        <f t="shared" si="1040"/>
        <v>71259479</v>
      </c>
      <c r="ZX41" s="82">
        <f t="shared" si="1040"/>
        <v>71259479</v>
      </c>
      <c r="ZY41" s="82">
        <f>ZX41</f>
        <v>71259479</v>
      </c>
      <c r="ZZ41" s="82">
        <f>ZY41</f>
        <v>71259479</v>
      </c>
      <c r="AAA41" s="82">
        <f t="shared" si="933"/>
        <v>71259479</v>
      </c>
      <c r="AAB41" s="82">
        <f t="shared" si="933"/>
        <v>71259479</v>
      </c>
      <c r="AAC41" s="82">
        <f t="shared" si="1041"/>
        <v>71259479</v>
      </c>
      <c r="AAD41" s="82">
        <f t="shared" si="1041"/>
        <v>71259479</v>
      </c>
      <c r="AAE41" s="82">
        <f t="shared" si="934"/>
        <v>71259479</v>
      </c>
      <c r="AAF41" s="82">
        <f t="shared" si="934"/>
        <v>71259479</v>
      </c>
      <c r="AAG41" s="82">
        <f t="shared" si="934"/>
        <v>71259479</v>
      </c>
      <c r="AAH41" s="82">
        <f t="shared" si="1042"/>
        <v>71259479</v>
      </c>
      <c r="AAI41" s="82">
        <f t="shared" si="1042"/>
        <v>71259479</v>
      </c>
      <c r="AAJ41" s="82">
        <f t="shared" si="1042"/>
        <v>71259479</v>
      </c>
      <c r="AAK41" s="82">
        <f t="shared" si="935"/>
        <v>71259479</v>
      </c>
      <c r="AAL41" s="82">
        <f t="shared" si="935"/>
        <v>71259479</v>
      </c>
      <c r="AAM41" s="82">
        <f t="shared" si="935"/>
        <v>71259479</v>
      </c>
      <c r="AAN41" s="82">
        <f t="shared" si="935"/>
        <v>71259479</v>
      </c>
      <c r="AAO41" s="82">
        <f t="shared" si="1043"/>
        <v>71259479</v>
      </c>
      <c r="AAP41" s="82">
        <f t="shared" si="1043"/>
        <v>71259479</v>
      </c>
      <c r="AAQ41" s="82">
        <f>AAP41</f>
        <v>71259479</v>
      </c>
      <c r="AAR41" s="82">
        <f>AAQ41</f>
        <v>71259479</v>
      </c>
      <c r="AAS41" s="82">
        <f t="shared" si="936"/>
        <v>71259479</v>
      </c>
      <c r="AAT41" s="82">
        <f t="shared" si="936"/>
        <v>71259479</v>
      </c>
      <c r="AAU41" s="82">
        <f>AAT41</f>
        <v>71259479</v>
      </c>
      <c r="AAV41" s="82">
        <f>AAU41</f>
        <v>71259479</v>
      </c>
      <c r="AAW41" s="130"/>
      <c r="AAX41" s="82">
        <f>AAV41+6000000</f>
        <v>77259479</v>
      </c>
      <c r="AAY41" s="82">
        <f t="shared" si="937"/>
        <v>77259479</v>
      </c>
      <c r="AAZ41" s="82">
        <f t="shared" si="937"/>
        <v>77259479</v>
      </c>
      <c r="ABA41" s="82">
        <f t="shared" si="1044"/>
        <v>77259479</v>
      </c>
      <c r="ABB41" s="82">
        <f t="shared" si="1044"/>
        <v>77259479</v>
      </c>
      <c r="ABC41" s="82">
        <f t="shared" si="938"/>
        <v>77259479</v>
      </c>
      <c r="ABD41" s="82">
        <f t="shared" si="938"/>
        <v>77259479</v>
      </c>
      <c r="ABE41" s="82">
        <f>ABD41</f>
        <v>77259479</v>
      </c>
      <c r="ABF41" s="82">
        <f>ABE41</f>
        <v>77259479</v>
      </c>
      <c r="ABG41" s="82">
        <f>ABF41</f>
        <v>77259479</v>
      </c>
      <c r="ABH41" s="82">
        <f t="shared" si="939"/>
        <v>77259479</v>
      </c>
      <c r="ABI41" s="82">
        <f t="shared" si="939"/>
        <v>77259479</v>
      </c>
      <c r="ABJ41" s="82">
        <f t="shared" si="1045"/>
        <v>77259479</v>
      </c>
      <c r="ABK41" s="82">
        <f t="shared" si="1045"/>
        <v>77259479</v>
      </c>
      <c r="ABL41" s="82">
        <f>ABK41</f>
        <v>77259479</v>
      </c>
      <c r="ABM41" s="82">
        <f t="shared" si="1046"/>
        <v>77259479</v>
      </c>
      <c r="ABN41" s="82">
        <f t="shared" si="1046"/>
        <v>77259479</v>
      </c>
      <c r="ABO41" s="82">
        <f t="shared" si="1046"/>
        <v>77259479</v>
      </c>
      <c r="ABP41" s="82">
        <f t="shared" si="1046"/>
        <v>77259479</v>
      </c>
      <c r="ABQ41" s="82">
        <f t="shared" si="1046"/>
        <v>77259479</v>
      </c>
      <c r="ABR41" s="82">
        <f t="shared" si="1046"/>
        <v>77259479</v>
      </c>
      <c r="ABS41" s="82">
        <f t="shared" si="940"/>
        <v>77259479</v>
      </c>
      <c r="ABT41" s="82">
        <f t="shared" si="940"/>
        <v>77259479</v>
      </c>
      <c r="ABU41" s="82">
        <f t="shared" si="940"/>
        <v>77259479</v>
      </c>
      <c r="ABV41" s="82">
        <f>ABU41</f>
        <v>77259479</v>
      </c>
      <c r="ABW41" s="82">
        <f t="shared" si="941"/>
        <v>77259479</v>
      </c>
      <c r="ABX41" s="82">
        <f t="shared" si="941"/>
        <v>77259479</v>
      </c>
      <c r="ABY41" s="82">
        <f t="shared" si="1047"/>
        <v>77259479</v>
      </c>
      <c r="ABZ41" s="82">
        <f t="shared" si="1047"/>
        <v>77259479</v>
      </c>
      <c r="ACA41" s="82">
        <f t="shared" si="1047"/>
        <v>77259479</v>
      </c>
      <c r="ACB41" s="82">
        <f>ACA41</f>
        <v>77259479</v>
      </c>
      <c r="ACC41" s="130"/>
      <c r="ACD41" s="82">
        <f>ACB41-3487000</f>
        <v>73772479</v>
      </c>
      <c r="ACE41" s="82">
        <f t="shared" si="942"/>
        <v>73772479</v>
      </c>
      <c r="ACF41" s="82">
        <f t="shared" si="942"/>
        <v>73772479</v>
      </c>
      <c r="ACG41" s="82">
        <f>ACF41</f>
        <v>73772479</v>
      </c>
      <c r="ACH41" s="82">
        <f>ACG41</f>
        <v>73772479</v>
      </c>
      <c r="ACI41" s="82">
        <f t="shared" si="1048"/>
        <v>73772479</v>
      </c>
      <c r="ACJ41" s="82">
        <f t="shared" si="1048"/>
        <v>73772479</v>
      </c>
      <c r="ACK41" s="82">
        <f t="shared" si="1048"/>
        <v>73772479</v>
      </c>
      <c r="ACL41" s="82">
        <f t="shared" si="1048"/>
        <v>73772479</v>
      </c>
      <c r="ACM41" s="82">
        <f t="shared" si="943"/>
        <v>73772479</v>
      </c>
      <c r="ACN41" s="82">
        <f t="shared" si="943"/>
        <v>73772479</v>
      </c>
      <c r="ACO41" s="82">
        <f t="shared" si="943"/>
        <v>73772479</v>
      </c>
      <c r="ACP41" s="82">
        <f t="shared" si="1049"/>
        <v>73772479</v>
      </c>
      <c r="ACQ41" s="82">
        <f t="shared" si="1049"/>
        <v>73772479</v>
      </c>
      <c r="ACR41" s="82">
        <f t="shared" si="944"/>
        <v>73772479</v>
      </c>
      <c r="ACS41" s="82">
        <f t="shared" si="944"/>
        <v>73772479</v>
      </c>
      <c r="ACT41" s="82">
        <f t="shared" si="1050"/>
        <v>73772479</v>
      </c>
      <c r="ACU41" s="82">
        <f t="shared" si="1050"/>
        <v>73772479</v>
      </c>
      <c r="ACV41" s="82">
        <f t="shared" si="1050"/>
        <v>73772479</v>
      </c>
      <c r="ACW41" s="82">
        <f>ACV41</f>
        <v>73772479</v>
      </c>
      <c r="ACX41" s="82">
        <f t="shared" si="1051"/>
        <v>73772479</v>
      </c>
      <c r="ACY41" s="82">
        <f t="shared" si="1051"/>
        <v>73772479</v>
      </c>
      <c r="ACZ41" s="82">
        <f t="shared" si="1051"/>
        <v>73772479</v>
      </c>
      <c r="ADA41" s="82">
        <f>ACZ41</f>
        <v>73772479</v>
      </c>
      <c r="ADB41" s="82">
        <f t="shared" si="1052"/>
        <v>73772479</v>
      </c>
      <c r="ADC41" s="82">
        <f t="shared" si="1052"/>
        <v>73772479</v>
      </c>
      <c r="ADD41" s="82">
        <f t="shared" si="945"/>
        <v>73772479</v>
      </c>
      <c r="ADE41" s="82">
        <f t="shared" si="945"/>
        <v>73772479</v>
      </c>
      <c r="ADF41" s="82">
        <f t="shared" si="1053"/>
        <v>73772479</v>
      </c>
      <c r="ADG41" s="82">
        <f t="shared" si="1053"/>
        <v>73772479</v>
      </c>
      <c r="ADH41" s="82">
        <f>ADG41</f>
        <v>73772479</v>
      </c>
      <c r="ADI41" s="130"/>
      <c r="ADJ41" s="82">
        <f>ADH41+4048000</f>
        <v>77820479</v>
      </c>
      <c r="ADK41" s="82">
        <f t="shared" si="1095"/>
        <v>77820479</v>
      </c>
      <c r="ADL41" s="82">
        <f t="shared" si="1095"/>
        <v>77820479</v>
      </c>
      <c r="ADM41" s="82">
        <f t="shared" si="1095"/>
        <v>77820479</v>
      </c>
      <c r="ADN41" s="82">
        <f t="shared" si="1095"/>
        <v>77820479</v>
      </c>
      <c r="ADO41" s="82">
        <f t="shared" si="1095"/>
        <v>77820479</v>
      </c>
      <c r="ADP41" s="82">
        <f t="shared" si="1095"/>
        <v>77820479</v>
      </c>
      <c r="ADQ41" s="82">
        <f t="shared" si="946"/>
        <v>77820479</v>
      </c>
      <c r="ADR41" s="82">
        <f t="shared" si="946"/>
        <v>77820479</v>
      </c>
      <c r="ADS41" s="82">
        <f t="shared" si="946"/>
        <v>77820479</v>
      </c>
      <c r="ADT41" s="82">
        <f t="shared" si="946"/>
        <v>77820479</v>
      </c>
      <c r="ADU41" s="82">
        <f>ADT41</f>
        <v>77820479</v>
      </c>
      <c r="ADV41" s="82">
        <f>ADU41</f>
        <v>77820479</v>
      </c>
      <c r="ADW41" s="82">
        <f t="shared" si="1055"/>
        <v>77820479</v>
      </c>
      <c r="ADX41" s="82">
        <f t="shared" si="1055"/>
        <v>77820479</v>
      </c>
      <c r="ADY41" s="82">
        <f t="shared" si="1055"/>
        <v>77820479</v>
      </c>
      <c r="ADZ41" s="82">
        <f t="shared" si="947"/>
        <v>77820479</v>
      </c>
      <c r="AEA41" s="82">
        <f t="shared" si="947"/>
        <v>77820479</v>
      </c>
      <c r="AEB41" s="82">
        <f t="shared" si="1056"/>
        <v>77820479</v>
      </c>
      <c r="AEC41" s="82">
        <f t="shared" si="1056"/>
        <v>77820479</v>
      </c>
      <c r="AED41" s="82">
        <f t="shared" si="948"/>
        <v>77820479</v>
      </c>
      <c r="AEE41" s="82">
        <f t="shared" si="948"/>
        <v>77820479</v>
      </c>
      <c r="AEF41" s="82">
        <f t="shared" si="948"/>
        <v>77820479</v>
      </c>
      <c r="AEG41" s="82">
        <f t="shared" si="948"/>
        <v>77820479</v>
      </c>
      <c r="AEH41" s="82">
        <f t="shared" si="1057"/>
        <v>77820479</v>
      </c>
      <c r="AEI41" s="82">
        <f t="shared" si="1057"/>
        <v>77820479</v>
      </c>
      <c r="AEJ41" s="82">
        <f t="shared" si="1057"/>
        <v>77820479</v>
      </c>
      <c r="AEK41" s="82">
        <f t="shared" si="949"/>
        <v>77820479</v>
      </c>
      <c r="AEL41" s="82">
        <f t="shared" si="949"/>
        <v>77820479</v>
      </c>
      <c r="AEM41" s="82">
        <f>AEL41</f>
        <v>77820479</v>
      </c>
      <c r="AEN41" s="130"/>
      <c r="AEO41" s="82">
        <f>AEM41+5865000</f>
        <v>83685479</v>
      </c>
      <c r="AEP41" s="82">
        <f>AEO41</f>
        <v>83685479</v>
      </c>
      <c r="AEQ41" s="82">
        <f t="shared" si="1058"/>
        <v>83685479</v>
      </c>
      <c r="AER41" s="82">
        <f t="shared" si="1058"/>
        <v>83685479</v>
      </c>
      <c r="AES41" s="82">
        <f t="shared" si="1058"/>
        <v>83685479</v>
      </c>
      <c r="AET41" s="82">
        <f>AES41</f>
        <v>83685479</v>
      </c>
      <c r="AEU41" s="82">
        <f t="shared" si="1059"/>
        <v>83685479</v>
      </c>
      <c r="AEV41" s="82">
        <f t="shared" si="1059"/>
        <v>83685479</v>
      </c>
      <c r="AEW41" s="82">
        <f t="shared" si="950"/>
        <v>83685479</v>
      </c>
      <c r="AEX41" s="82">
        <f t="shared" si="950"/>
        <v>83685479</v>
      </c>
      <c r="AEY41" s="82">
        <f>AEX41</f>
        <v>83685479</v>
      </c>
      <c r="AEZ41" s="82">
        <f>AEY41</f>
        <v>83685479</v>
      </c>
      <c r="AFA41" s="82">
        <f t="shared" si="1060"/>
        <v>83685479</v>
      </c>
      <c r="AFB41" s="82">
        <f t="shared" si="1060"/>
        <v>83685479</v>
      </c>
      <c r="AFC41" s="82">
        <f t="shared" si="951"/>
        <v>83685479</v>
      </c>
      <c r="AFD41" s="82">
        <f t="shared" si="951"/>
        <v>83685479</v>
      </c>
      <c r="AFE41" s="82">
        <f t="shared" si="1061"/>
        <v>83685479</v>
      </c>
      <c r="AFF41" s="82">
        <f t="shared" si="1061"/>
        <v>83685479</v>
      </c>
      <c r="AFG41" s="82">
        <f t="shared" si="1061"/>
        <v>83685479</v>
      </c>
      <c r="AFH41" s="82">
        <f t="shared" si="952"/>
        <v>83685479</v>
      </c>
      <c r="AFI41" s="82">
        <f t="shared" si="952"/>
        <v>83685479</v>
      </c>
      <c r="AFJ41" s="82">
        <f t="shared" si="952"/>
        <v>83685479</v>
      </c>
      <c r="AFK41" s="82">
        <f t="shared" si="952"/>
        <v>83685479</v>
      </c>
      <c r="AFL41" s="82">
        <f>AFK41</f>
        <v>83685479</v>
      </c>
      <c r="AFM41" s="82">
        <f t="shared" si="953"/>
        <v>83685479</v>
      </c>
      <c r="AFN41" s="82">
        <f t="shared" si="953"/>
        <v>83685479</v>
      </c>
      <c r="AFO41" s="82">
        <f t="shared" si="953"/>
        <v>83685479</v>
      </c>
      <c r="AFP41" s="82">
        <f t="shared" si="953"/>
        <v>83685479</v>
      </c>
      <c r="AFQ41" s="82">
        <f t="shared" si="1062"/>
        <v>83685479</v>
      </c>
      <c r="AFR41" s="82">
        <f t="shared" si="1062"/>
        <v>83685479</v>
      </c>
      <c r="AFS41" s="82">
        <f>AFR41</f>
        <v>83685479</v>
      </c>
      <c r="AFT41" s="130"/>
      <c r="AFU41" s="82">
        <f>AFS41+2800000</f>
        <v>86485479</v>
      </c>
      <c r="AFV41" s="82">
        <f t="shared" si="954"/>
        <v>86485479</v>
      </c>
      <c r="AFW41" s="82">
        <f t="shared" si="954"/>
        <v>86485479</v>
      </c>
      <c r="AFX41" s="82">
        <f t="shared" si="954"/>
        <v>86485479</v>
      </c>
      <c r="AFY41" s="82">
        <f t="shared" si="954"/>
        <v>86485479</v>
      </c>
      <c r="AFZ41" s="82">
        <f t="shared" si="1063"/>
        <v>86485479</v>
      </c>
      <c r="AGA41" s="82">
        <f t="shared" si="1063"/>
        <v>86485479</v>
      </c>
      <c r="AGB41" s="82">
        <f t="shared" si="955"/>
        <v>86485479</v>
      </c>
      <c r="AGC41" s="82">
        <f t="shared" si="955"/>
        <v>86485479</v>
      </c>
      <c r="AGD41" s="82">
        <f>AGC41</f>
        <v>86485479</v>
      </c>
      <c r="AGE41" s="82">
        <f>AGD41</f>
        <v>86485479</v>
      </c>
      <c r="AGF41" s="82">
        <f>AGE41</f>
        <v>86485479</v>
      </c>
      <c r="AGG41" s="82">
        <f>AGF41</f>
        <v>86485479</v>
      </c>
      <c r="AGH41" s="82">
        <f>AGG41</f>
        <v>86485479</v>
      </c>
      <c r="AGI41" s="82">
        <f t="shared" si="956"/>
        <v>86485479</v>
      </c>
      <c r="AGJ41" s="82">
        <f t="shared" si="956"/>
        <v>86485479</v>
      </c>
      <c r="AGK41" s="82">
        <f>AGJ41</f>
        <v>86485479</v>
      </c>
      <c r="AGL41" s="82">
        <f t="shared" si="957"/>
        <v>86485479</v>
      </c>
      <c r="AGM41" s="82">
        <f t="shared" si="957"/>
        <v>86485479</v>
      </c>
      <c r="AGN41" s="82">
        <f t="shared" si="1064"/>
        <v>86485479</v>
      </c>
      <c r="AGO41" s="82">
        <f t="shared" si="1064"/>
        <v>86485479</v>
      </c>
      <c r="AGP41" s="82">
        <f>AGO41</f>
        <v>86485479</v>
      </c>
      <c r="AGQ41" s="82">
        <f t="shared" si="1065"/>
        <v>86485479</v>
      </c>
      <c r="AGR41" s="82">
        <f t="shared" si="1065"/>
        <v>86485479</v>
      </c>
      <c r="AGS41" s="82">
        <f>AGR41</f>
        <v>86485479</v>
      </c>
      <c r="AGT41" s="82">
        <f>AGS41</f>
        <v>86485479</v>
      </c>
      <c r="AGU41" s="82">
        <f t="shared" si="958"/>
        <v>86485479</v>
      </c>
      <c r="AGV41" s="82">
        <f t="shared" si="958"/>
        <v>86485479</v>
      </c>
      <c r="AGW41" s="82">
        <f t="shared" si="1066"/>
        <v>86485479</v>
      </c>
      <c r="AGX41" s="82">
        <f t="shared" si="1066"/>
        <v>86485479</v>
      </c>
      <c r="AGY41" s="133"/>
      <c r="AGZ41" s="82">
        <f>AGX41+5000000</f>
        <v>91485479</v>
      </c>
      <c r="AHA41" s="82">
        <f>AGZ41</f>
        <v>91485479</v>
      </c>
      <c r="AHB41" s="82">
        <f>AHA41</f>
        <v>91485479</v>
      </c>
      <c r="AHC41" s="82">
        <f>AHB41</f>
        <v>91485479</v>
      </c>
      <c r="AHD41" s="82">
        <f t="shared" si="1067"/>
        <v>91485479</v>
      </c>
      <c r="AHE41" s="82">
        <f t="shared" si="1067"/>
        <v>91485479</v>
      </c>
      <c r="AHF41" s="82">
        <f t="shared" si="959"/>
        <v>91485479</v>
      </c>
      <c r="AHG41" s="82">
        <f t="shared" si="959"/>
        <v>91485479</v>
      </c>
      <c r="AHH41" s="82">
        <f>AHG41</f>
        <v>91485479</v>
      </c>
      <c r="AHI41" s="82">
        <f>AHH41</f>
        <v>91485479</v>
      </c>
      <c r="AHJ41" s="82">
        <f t="shared" si="1068"/>
        <v>91485479</v>
      </c>
      <c r="AHK41" s="82">
        <f t="shared" si="1068"/>
        <v>91485479</v>
      </c>
      <c r="AHL41" s="82">
        <f t="shared" si="960"/>
        <v>91485479</v>
      </c>
      <c r="AHM41" s="82">
        <f t="shared" si="960"/>
        <v>91485479</v>
      </c>
      <c r="AHN41" s="82">
        <f>AHM41</f>
        <v>91485479</v>
      </c>
      <c r="AHO41" s="82">
        <f>AHN41</f>
        <v>91485479</v>
      </c>
      <c r="AHP41" s="82">
        <f>AHO41</f>
        <v>91485479</v>
      </c>
      <c r="AHQ41" s="82">
        <f>AHP41</f>
        <v>91485479</v>
      </c>
      <c r="AHR41" s="82">
        <f t="shared" si="1069"/>
        <v>91485479</v>
      </c>
      <c r="AHS41" s="82">
        <f t="shared" si="1069"/>
        <v>91485479</v>
      </c>
      <c r="AHT41" s="82">
        <f>AHS41</f>
        <v>91485479</v>
      </c>
      <c r="AHU41" s="82">
        <f>AHT41</f>
        <v>91485479</v>
      </c>
      <c r="AHV41" s="82">
        <f>AHU41</f>
        <v>91485479</v>
      </c>
      <c r="AHW41" s="82">
        <f>AHV41</f>
        <v>91485479</v>
      </c>
      <c r="AHX41" s="82">
        <f t="shared" ref="AHX41:AHZ42" si="1110">AHW41</f>
        <v>91485479</v>
      </c>
      <c r="AHY41" s="82">
        <f t="shared" si="1110"/>
        <v>91485479</v>
      </c>
      <c r="AHZ41" s="82">
        <f t="shared" si="1110"/>
        <v>91485479</v>
      </c>
      <c r="AIA41" s="82">
        <f>AHZ41-10000000</f>
        <v>81485479</v>
      </c>
      <c r="AIB41" s="82">
        <f>AIA41</f>
        <v>81485479</v>
      </c>
      <c r="AIC41" s="82">
        <f>AIB41</f>
        <v>81485479</v>
      </c>
      <c r="AID41" s="82">
        <f>AIC41</f>
        <v>81485479</v>
      </c>
      <c r="AIE41" s="130"/>
      <c r="AIF41" s="82">
        <f>AID41+6653000</f>
        <v>88138479</v>
      </c>
      <c r="AIG41" s="82">
        <f t="shared" si="962"/>
        <v>88138479</v>
      </c>
      <c r="AIH41" s="82">
        <f t="shared" si="962"/>
        <v>88138479</v>
      </c>
      <c r="AII41" s="82">
        <f t="shared" si="1070"/>
        <v>88138479</v>
      </c>
      <c r="AIJ41" s="82">
        <f t="shared" si="1070"/>
        <v>88138479</v>
      </c>
      <c r="AIK41" s="82">
        <f t="shared" si="1070"/>
        <v>88138479</v>
      </c>
      <c r="AIL41" s="82">
        <f>AIK41</f>
        <v>88138479</v>
      </c>
      <c r="AIM41" s="82">
        <f>AIL41-8262000-3600000</f>
        <v>76276479</v>
      </c>
      <c r="AIN41" s="82">
        <f>AIM41</f>
        <v>76276479</v>
      </c>
      <c r="AIO41" s="82">
        <f t="shared" si="964"/>
        <v>76276479</v>
      </c>
      <c r="AIP41" s="82">
        <f t="shared" si="964"/>
        <v>76276479</v>
      </c>
      <c r="AIQ41" s="82">
        <f t="shared" si="964"/>
        <v>76276479</v>
      </c>
      <c r="AIR41" s="82">
        <f>AIQ41-6500000</f>
        <v>69776479</v>
      </c>
      <c r="AIS41" s="82">
        <f t="shared" si="965"/>
        <v>69776479</v>
      </c>
      <c r="AIT41" s="82">
        <f t="shared" si="965"/>
        <v>69776479</v>
      </c>
      <c r="AIU41" s="82">
        <f t="shared" si="965"/>
        <v>69776479</v>
      </c>
      <c r="AIV41" s="82">
        <f t="shared" si="965"/>
        <v>69776479</v>
      </c>
      <c r="AIW41" s="82">
        <f t="shared" si="965"/>
        <v>69776479</v>
      </c>
      <c r="AIX41" s="82">
        <f>AIW41</f>
        <v>69776479</v>
      </c>
      <c r="AIY41" s="82">
        <f>AIX41</f>
        <v>69776479</v>
      </c>
      <c r="AIZ41" s="82">
        <f>AIY41</f>
        <v>69776479</v>
      </c>
      <c r="AJA41" s="82">
        <f t="shared" si="1071"/>
        <v>69776479</v>
      </c>
      <c r="AJB41" s="82">
        <f t="shared" si="1071"/>
        <v>69776479</v>
      </c>
      <c r="AJC41" s="82">
        <f t="shared" si="1071"/>
        <v>69776479</v>
      </c>
      <c r="AJD41" s="82">
        <f t="shared" si="1071"/>
        <v>69776479</v>
      </c>
      <c r="AJE41" s="82">
        <f t="shared" si="966"/>
        <v>69776479</v>
      </c>
      <c r="AJF41" s="82">
        <f t="shared" si="966"/>
        <v>69776479</v>
      </c>
      <c r="AJG41" s="82">
        <f t="shared" si="966"/>
        <v>69776479</v>
      </c>
      <c r="AJH41" s="82">
        <f t="shared" si="966"/>
        <v>69776479</v>
      </c>
      <c r="AJI41" s="82">
        <f>AJH41</f>
        <v>69776479</v>
      </c>
      <c r="AJJ41" s="82">
        <f>AJI41</f>
        <v>69776479</v>
      </c>
      <c r="AJK41" s="145"/>
      <c r="AJL41" s="82">
        <f>AJJ41+7400000</f>
        <v>77176479</v>
      </c>
      <c r="AJM41" s="82">
        <f>AJL41</f>
        <v>77176479</v>
      </c>
      <c r="AJN41" s="82">
        <f>AJM41</f>
        <v>77176479</v>
      </c>
      <c r="AJO41" s="82">
        <f>AJN41</f>
        <v>77176479</v>
      </c>
      <c r="AJP41" s="82">
        <f>AJO41</f>
        <v>77176479</v>
      </c>
      <c r="AJQ41" s="82">
        <f t="shared" si="1072"/>
        <v>77176479</v>
      </c>
      <c r="AJR41" s="82">
        <f t="shared" si="1072"/>
        <v>77176479</v>
      </c>
      <c r="AJS41" s="82">
        <f t="shared" si="967"/>
        <v>77176479</v>
      </c>
      <c r="AJT41" s="82">
        <f t="shared" si="967"/>
        <v>77176479</v>
      </c>
      <c r="AJU41" s="82">
        <f t="shared" si="967"/>
        <v>77176479</v>
      </c>
      <c r="AJV41" s="82">
        <f t="shared" si="967"/>
        <v>77176479</v>
      </c>
      <c r="AJW41" s="82">
        <f>AJV41</f>
        <v>77176479</v>
      </c>
      <c r="AJX41" s="82">
        <f>AJW41</f>
        <v>77176479</v>
      </c>
      <c r="AJY41" s="82">
        <f>AJX41</f>
        <v>77176479</v>
      </c>
      <c r="AJZ41" s="82">
        <f>AJY41</f>
        <v>77176479</v>
      </c>
      <c r="AKA41" s="82">
        <f>AJZ41</f>
        <v>77176479</v>
      </c>
      <c r="AKB41" s="82">
        <f t="shared" si="968"/>
        <v>77176479</v>
      </c>
      <c r="AKC41" s="82">
        <f t="shared" si="968"/>
        <v>77176479</v>
      </c>
      <c r="AKD41" s="82">
        <f>AKC41</f>
        <v>77176479</v>
      </c>
      <c r="AKE41" s="82">
        <f>AKD41</f>
        <v>77176479</v>
      </c>
      <c r="AKF41" s="82">
        <f>AKE41</f>
        <v>77176479</v>
      </c>
      <c r="AKG41" s="82">
        <f>AKF41</f>
        <v>77176479</v>
      </c>
      <c r="AKH41" s="82">
        <f>AKG41</f>
        <v>77176479</v>
      </c>
      <c r="AKI41" s="82">
        <f t="shared" si="969"/>
        <v>77176479</v>
      </c>
      <c r="AKJ41" s="82">
        <f t="shared" si="969"/>
        <v>77176479</v>
      </c>
      <c r="AKK41" s="82">
        <f t="shared" si="1073"/>
        <v>77176479</v>
      </c>
      <c r="AKL41" s="82">
        <f t="shared" si="1073"/>
        <v>77176479</v>
      </c>
      <c r="AKM41" s="82">
        <f t="shared" si="1073"/>
        <v>77176479</v>
      </c>
      <c r="AKN41" s="112"/>
      <c r="AKO41" s="82">
        <f>AKM41+2378000-5000000</f>
        <v>74554479</v>
      </c>
      <c r="AKP41" s="82">
        <f t="shared" si="1096"/>
        <v>74554479</v>
      </c>
      <c r="AKQ41" s="82">
        <f t="shared" si="1096"/>
        <v>74554479</v>
      </c>
      <c r="AKR41" s="82">
        <f t="shared" si="970"/>
        <v>74554479</v>
      </c>
      <c r="AKS41" s="82">
        <f t="shared" si="970"/>
        <v>74554479</v>
      </c>
      <c r="AKT41" s="82">
        <f t="shared" si="970"/>
        <v>74554479</v>
      </c>
      <c r="AKU41" s="82">
        <f>AKT41</f>
        <v>74554479</v>
      </c>
      <c r="AKV41" s="82">
        <f>AKU41</f>
        <v>74554479</v>
      </c>
      <c r="AKW41" s="82">
        <f>AKV41</f>
        <v>74554479</v>
      </c>
      <c r="AKX41" s="82">
        <f>AKW41</f>
        <v>74554479</v>
      </c>
      <c r="AKY41" s="82">
        <f>AKX41+1162000</f>
        <v>75716479</v>
      </c>
      <c r="AKZ41" s="82">
        <f>AKY41</f>
        <v>75716479</v>
      </c>
      <c r="ALA41" s="82">
        <f>AKZ41</f>
        <v>75716479</v>
      </c>
      <c r="ALB41" s="82">
        <f>ALA41</f>
        <v>75716479</v>
      </c>
      <c r="ALC41" s="82">
        <f t="shared" si="971"/>
        <v>75716479</v>
      </c>
      <c r="ALD41" s="82">
        <f t="shared" si="971"/>
        <v>75716479</v>
      </c>
      <c r="ALE41" s="82">
        <f t="shared" si="971"/>
        <v>75716479</v>
      </c>
      <c r="ALF41" s="82">
        <f t="shared" si="1075"/>
        <v>75716479</v>
      </c>
      <c r="ALG41" s="82">
        <f t="shared" si="1075"/>
        <v>75716479</v>
      </c>
      <c r="ALH41" s="82">
        <f t="shared" si="1075"/>
        <v>75716479</v>
      </c>
      <c r="ALI41" s="82">
        <f t="shared" si="972"/>
        <v>75716479</v>
      </c>
      <c r="ALJ41" s="82">
        <f t="shared" si="972"/>
        <v>75716479</v>
      </c>
      <c r="ALK41" s="82">
        <f t="shared" si="972"/>
        <v>75716479</v>
      </c>
      <c r="ALL41" s="82">
        <f>ALK41+1500000</f>
        <v>77216479</v>
      </c>
      <c r="ALM41" s="82">
        <f>ALL41</f>
        <v>77216479</v>
      </c>
      <c r="ALN41" s="82">
        <f>ALM41</f>
        <v>77216479</v>
      </c>
      <c r="ALO41" s="82">
        <f>ALN41</f>
        <v>77216479</v>
      </c>
      <c r="ALP41" s="82">
        <f t="shared" si="1076"/>
        <v>77216479</v>
      </c>
      <c r="ALQ41" s="82">
        <f t="shared" si="1076"/>
        <v>77216479</v>
      </c>
      <c r="ALR41" s="82">
        <f t="shared" si="1076"/>
        <v>77216479</v>
      </c>
      <c r="ALS41" s="82">
        <f>ALR41+1338000</f>
        <v>78554479</v>
      </c>
      <c r="ALT41" s="130"/>
      <c r="ALU41" s="82">
        <f>ALS41-11828000+1000000+3555000</f>
        <v>71281479</v>
      </c>
      <c r="ALV41" s="82">
        <f>ALU41</f>
        <v>71281479</v>
      </c>
      <c r="ALW41" s="82">
        <f>ALV41+1544000</f>
        <v>72825479</v>
      </c>
      <c r="ALX41" s="82">
        <f t="shared" si="973"/>
        <v>72825479</v>
      </c>
      <c r="ALY41" s="82">
        <f t="shared" si="973"/>
        <v>72825479</v>
      </c>
      <c r="ALZ41" s="82">
        <f>ALY41</f>
        <v>72825479</v>
      </c>
      <c r="AMA41" s="82">
        <f>ALZ41</f>
        <v>72825479</v>
      </c>
      <c r="AMB41" s="82">
        <f t="shared" si="1077"/>
        <v>72825479</v>
      </c>
      <c r="AMC41" s="82">
        <f t="shared" si="1077"/>
        <v>72825479</v>
      </c>
      <c r="AMD41" s="82">
        <f t="shared" si="1077"/>
        <v>72825479</v>
      </c>
      <c r="AME41" s="82">
        <f>AMD41</f>
        <v>72825479</v>
      </c>
      <c r="AMF41" s="82">
        <f>AME41</f>
        <v>72825479</v>
      </c>
      <c r="AMG41" s="82">
        <f>AMF41</f>
        <v>72825479</v>
      </c>
      <c r="AMH41" s="82">
        <f>AMG41</f>
        <v>72825479</v>
      </c>
      <c r="AMI41" s="82">
        <f>AMH41+1544000</f>
        <v>74369479</v>
      </c>
      <c r="AMJ41" s="82">
        <f>AMI41</f>
        <v>74369479</v>
      </c>
      <c r="AMK41" s="82">
        <f>AMJ41+359000</f>
        <v>74728479</v>
      </c>
      <c r="AML41" s="82">
        <f t="shared" si="974"/>
        <v>74728479</v>
      </c>
      <c r="AMM41" s="82">
        <f t="shared" si="974"/>
        <v>74728479</v>
      </c>
      <c r="AMN41" s="82">
        <f t="shared" si="1079"/>
        <v>74728479</v>
      </c>
      <c r="AMO41" s="82">
        <f t="shared" si="1079"/>
        <v>74728479</v>
      </c>
      <c r="AMP41" s="82">
        <f>AMO41+1189000</f>
        <v>75917479</v>
      </c>
      <c r="AMQ41" s="82">
        <f>AMP41</f>
        <v>75917479</v>
      </c>
      <c r="AMR41" s="82">
        <f>AMQ41+715000</f>
        <v>76632479</v>
      </c>
      <c r="AMS41" s="82">
        <f>AMR41</f>
        <v>76632479</v>
      </c>
      <c r="AMT41" s="82">
        <f t="shared" si="975"/>
        <v>76632479</v>
      </c>
      <c r="AMU41" s="82">
        <f t="shared" si="975"/>
        <v>76632479</v>
      </c>
      <c r="AMV41" s="82">
        <f>AMU41</f>
        <v>76632479</v>
      </c>
      <c r="AMW41" s="82">
        <f>AMV41+941000</f>
        <v>77573479</v>
      </c>
      <c r="AMX41" s="82">
        <f>AMW41</f>
        <v>77573479</v>
      </c>
      <c r="AMY41" s="130"/>
      <c r="AMZ41" s="82">
        <f>AMX41+8400000+6188000</f>
        <v>92161479</v>
      </c>
      <c r="ANA41" s="82">
        <f t="shared" si="976"/>
        <v>92161479</v>
      </c>
      <c r="ANB41" s="82">
        <f t="shared" si="976"/>
        <v>92161479</v>
      </c>
      <c r="ANC41" s="82">
        <f t="shared" si="976"/>
        <v>92161479</v>
      </c>
      <c r="AND41" s="82">
        <f t="shared" si="1082"/>
        <v>92161479</v>
      </c>
      <c r="ANE41" s="82">
        <f t="shared" si="1082"/>
        <v>92161479</v>
      </c>
      <c r="ANF41" s="82">
        <f>ANE41</f>
        <v>92161479</v>
      </c>
      <c r="ANG41" s="82">
        <f>ANF41</f>
        <v>92161479</v>
      </c>
      <c r="ANH41" s="82">
        <f>ANG41</f>
        <v>92161479</v>
      </c>
      <c r="ANI41" s="82">
        <f t="shared" si="1083"/>
        <v>92161479</v>
      </c>
      <c r="ANJ41" s="82">
        <f t="shared" si="1083"/>
        <v>92161479</v>
      </c>
      <c r="ANK41" s="82">
        <f>ANJ41</f>
        <v>92161479</v>
      </c>
      <c r="ANL41" s="82">
        <f t="shared" si="1084"/>
        <v>92161479</v>
      </c>
      <c r="ANM41" s="82">
        <f t="shared" si="1084"/>
        <v>92161479</v>
      </c>
      <c r="ANN41" s="82">
        <f>ANM41</f>
        <v>92161479</v>
      </c>
      <c r="ANO41" s="82">
        <f>ANN41+6700000</f>
        <v>98861479</v>
      </c>
      <c r="ANP41" s="82">
        <f>ANO41+2700000</f>
        <v>101561479</v>
      </c>
      <c r="ANQ41" s="82">
        <f t="shared" si="977"/>
        <v>101561479</v>
      </c>
      <c r="ANR41" s="82">
        <f t="shared" si="977"/>
        <v>101561479</v>
      </c>
      <c r="ANS41" s="82">
        <f>ANR41</f>
        <v>101561479</v>
      </c>
      <c r="ANT41" s="82">
        <f>ANS41</f>
        <v>101561479</v>
      </c>
      <c r="ANU41" s="82">
        <f>ANT41</f>
        <v>101561479</v>
      </c>
      <c r="ANV41" s="82">
        <f>ANU41+6000000</f>
        <v>107561479</v>
      </c>
      <c r="ANW41" s="82">
        <f t="shared" ref="ANW41:ANY42" si="1111">ANV41</f>
        <v>107561479</v>
      </c>
      <c r="ANX41" s="82">
        <f t="shared" si="1111"/>
        <v>107561479</v>
      </c>
      <c r="ANY41" s="82">
        <f t="shared" si="1111"/>
        <v>107561479</v>
      </c>
      <c r="ANZ41" s="82">
        <f>ANY41</f>
        <v>107561479</v>
      </c>
      <c r="AOA41" s="82">
        <f>ANZ41</f>
        <v>107561479</v>
      </c>
      <c r="AOB41" s="82">
        <f>AOA41+1900000</f>
        <v>109461479</v>
      </c>
      <c r="AOC41" s="82">
        <f>AOB41</f>
        <v>109461479</v>
      </c>
    </row>
    <row r="42" spans="1:1069" x14ac:dyDescent="0.2">
      <c r="A42" s="160"/>
      <c r="B42" s="13" t="s">
        <v>1675</v>
      </c>
      <c r="C42" s="52">
        <v>2381726</v>
      </c>
      <c r="D42" s="52">
        <f>C42</f>
        <v>2381726</v>
      </c>
      <c r="E42" s="52">
        <f>10000*19</f>
        <v>190000</v>
      </c>
      <c r="F42" s="52">
        <f>E42</f>
        <v>190000</v>
      </c>
      <c r="G42" s="52">
        <f>F42+7902*19</f>
        <v>340138</v>
      </c>
      <c r="H42" s="52">
        <f>G42</f>
        <v>340138</v>
      </c>
      <c r="I42" s="52">
        <f>H42</f>
        <v>340138</v>
      </c>
      <c r="J42" s="52">
        <f>I42</f>
        <v>340138</v>
      </c>
      <c r="K42" s="52">
        <f>J42+14000*19</f>
        <v>606138</v>
      </c>
      <c r="L42" s="52">
        <f>K42</f>
        <v>606138</v>
      </c>
      <c r="M42" s="52">
        <f>L42+12968*19</f>
        <v>852530</v>
      </c>
      <c r="N42" s="52">
        <f>M42</f>
        <v>852530</v>
      </c>
      <c r="O42" s="52">
        <f>N42</f>
        <v>852530</v>
      </c>
      <c r="P42" s="52">
        <f>O42</f>
        <v>852530</v>
      </c>
      <c r="Q42" s="52">
        <f>P42+12953*19</f>
        <v>1098637</v>
      </c>
      <c r="R42" s="52">
        <f>Q42</f>
        <v>1098637</v>
      </c>
      <c r="S42" s="52">
        <f>R42</f>
        <v>1098637</v>
      </c>
      <c r="T42" s="52">
        <f>S42</f>
        <v>1098637</v>
      </c>
      <c r="U42" s="52">
        <f>T42</f>
        <v>1098637</v>
      </c>
      <c r="V42" s="52">
        <f>U42</f>
        <v>1098637</v>
      </c>
      <c r="W42" s="52">
        <f>V42+319409</f>
        <v>1418046</v>
      </c>
      <c r="X42" s="52">
        <f>W42</f>
        <v>1418046</v>
      </c>
      <c r="Y42" s="52">
        <f>X42</f>
        <v>1418046</v>
      </c>
      <c r="Z42" s="52">
        <f>Y42</f>
        <v>1418046</v>
      </c>
      <c r="AA42" s="52">
        <f>Z42+9956*19</f>
        <v>1607210</v>
      </c>
      <c r="AB42" s="52">
        <f>AA42+9939*19</f>
        <v>1796051</v>
      </c>
      <c r="AC42" s="52">
        <f t="shared" si="895"/>
        <v>1796051</v>
      </c>
      <c r="AD42" s="52">
        <f t="shared" si="895"/>
        <v>1796051</v>
      </c>
      <c r="AE42" s="52">
        <f>AD42</f>
        <v>1796051</v>
      </c>
      <c r="AF42" s="52">
        <f>AE42</f>
        <v>1796051</v>
      </c>
      <c r="AG42" s="52">
        <f>AF42</f>
        <v>1796051</v>
      </c>
      <c r="AH42" s="98">
        <f>AG42</f>
        <v>1796051</v>
      </c>
      <c r="AI42" s="82">
        <f>AG42+9961*19</f>
        <v>1985310</v>
      </c>
      <c r="AJ42" s="82">
        <f>AI42+12849*19</f>
        <v>2229441</v>
      </c>
      <c r="AK42" s="82">
        <f>AJ42</f>
        <v>2229441</v>
      </c>
      <c r="AL42" s="82">
        <f>AJ42</f>
        <v>2229441</v>
      </c>
      <c r="AM42" s="82">
        <f>AK42</f>
        <v>2229441</v>
      </c>
      <c r="AN42" s="82">
        <f>AL42+11942*19</f>
        <v>2456339</v>
      </c>
      <c r="AO42" s="82">
        <f>AN42+9000*19</f>
        <v>2627339</v>
      </c>
      <c r="AP42" s="82">
        <f>AO42</f>
        <v>2627339</v>
      </c>
      <c r="AQ42" s="82">
        <f>AO42+10000*19</f>
        <v>2817339</v>
      </c>
      <c r="AR42" s="82">
        <f>AQ42</f>
        <v>2817339</v>
      </c>
      <c r="AS42" s="82">
        <f>AQ42-2229228</f>
        <v>588111</v>
      </c>
      <c r="AT42" s="82">
        <f>AS42+9978*19</f>
        <v>777693</v>
      </c>
      <c r="AU42" s="82">
        <f>AT42+10965*19</f>
        <v>986028</v>
      </c>
      <c r="AV42" s="82">
        <f>AU42+4000*19+7985*19</f>
        <v>1213743</v>
      </c>
      <c r="AW42" s="82">
        <f>AV42</f>
        <v>1213743</v>
      </c>
      <c r="AX42" s="82">
        <f t="shared" si="896"/>
        <v>1213743</v>
      </c>
      <c r="AY42" s="82">
        <f t="shared" si="896"/>
        <v>1213743</v>
      </c>
      <c r="AZ42" s="82">
        <f>AX42</f>
        <v>1213743</v>
      </c>
      <c r="BA42" s="82">
        <f>AY42</f>
        <v>1213743</v>
      </c>
      <c r="BB42" s="82">
        <f>AZ42+8977*19+12971*19</f>
        <v>1630755</v>
      </c>
      <c r="BC42" s="82">
        <f>BB42</f>
        <v>1630755</v>
      </c>
      <c r="BD42" s="82">
        <f>BB42</f>
        <v>1630755</v>
      </c>
      <c r="BE42" s="82">
        <f t="shared" si="897"/>
        <v>1630755</v>
      </c>
      <c r="BF42" s="82">
        <f t="shared" si="897"/>
        <v>1630755</v>
      </c>
      <c r="BG42" s="82">
        <f t="shared" si="897"/>
        <v>1630755</v>
      </c>
      <c r="BH42" s="82">
        <f>BF42+15818*19</f>
        <v>1931297</v>
      </c>
      <c r="BI42" s="82">
        <f>BH42</f>
        <v>1931297</v>
      </c>
      <c r="BJ42" s="82">
        <f>BH42</f>
        <v>1931297</v>
      </c>
      <c r="BK42" s="82"/>
      <c r="BL42" s="82">
        <f>BJ42+11884*19</f>
        <v>2157093</v>
      </c>
      <c r="BM42" s="106">
        <f>BL42</f>
        <v>2157093</v>
      </c>
      <c r="BN42" s="82">
        <f>BM42+8899*19</f>
        <v>2326174</v>
      </c>
      <c r="BO42" s="82">
        <f>BN42</f>
        <v>2326174</v>
      </c>
      <c r="BP42" s="82">
        <f>BO42</f>
        <v>2326174</v>
      </c>
      <c r="BQ42" s="82">
        <f>BP42</f>
        <v>2326174</v>
      </c>
      <c r="BR42" s="82">
        <f>BQ42</f>
        <v>2326174</v>
      </c>
      <c r="BS42" s="82">
        <f>BR42</f>
        <v>2326174</v>
      </c>
      <c r="BT42" s="82">
        <f>BS42+9961*19</f>
        <v>2515433</v>
      </c>
      <c r="BU42" s="82">
        <f t="shared" ref="BU42:BZ42" si="1112">BT42</f>
        <v>2515433</v>
      </c>
      <c r="BV42" s="82">
        <f t="shared" si="1112"/>
        <v>2515433</v>
      </c>
      <c r="BW42" s="82">
        <f t="shared" si="1112"/>
        <v>2515433</v>
      </c>
      <c r="BX42" s="82">
        <f t="shared" si="1112"/>
        <v>2515433</v>
      </c>
      <c r="BY42" s="82">
        <f t="shared" si="1112"/>
        <v>2515433</v>
      </c>
      <c r="BZ42" s="82">
        <f t="shared" si="1112"/>
        <v>2515433</v>
      </c>
      <c r="CA42" s="82">
        <f>BZ42+10000*19+5000*19-2325849</f>
        <v>474584</v>
      </c>
      <c r="CB42" s="82">
        <f>CA42</f>
        <v>474584</v>
      </c>
      <c r="CC42" s="82">
        <f>CB42</f>
        <v>474584</v>
      </c>
      <c r="CD42" s="82">
        <f>CC42</f>
        <v>474584</v>
      </c>
      <c r="CE42" s="82">
        <f>CD42+6000*19+8908*19</f>
        <v>757836</v>
      </c>
      <c r="CF42" s="82">
        <f>CE42</f>
        <v>757836</v>
      </c>
      <c r="CG42" s="82">
        <f>CF42</f>
        <v>757836</v>
      </c>
      <c r="CH42" s="82">
        <f>CG42+12842*19</f>
        <v>1001834</v>
      </c>
      <c r="CI42" s="82">
        <f>CH42</f>
        <v>1001834</v>
      </c>
      <c r="CJ42" s="82">
        <f>CI42</f>
        <v>1001834</v>
      </c>
      <c r="CK42" s="82">
        <f>CJ42</f>
        <v>1001834</v>
      </c>
      <c r="CL42" s="82">
        <f>CK42+9964*19</f>
        <v>1191150</v>
      </c>
      <c r="CM42" s="82">
        <f>CL42</f>
        <v>1191150</v>
      </c>
      <c r="CN42" s="82">
        <f>CM42</f>
        <v>1191150</v>
      </c>
      <c r="CO42" s="82">
        <f>CN42+8000*19</f>
        <v>1343150</v>
      </c>
      <c r="CP42" s="82">
        <f>CO42</f>
        <v>1343150</v>
      </c>
      <c r="CQ42" s="82">
        <f>CP42</f>
        <v>1343150</v>
      </c>
      <c r="CR42" s="82">
        <f>CQ42</f>
        <v>1343150</v>
      </c>
      <c r="CT42" s="82">
        <f>CR42</f>
        <v>1343150</v>
      </c>
      <c r="CU42" s="82">
        <f>CT42+12000*19</f>
        <v>1571150</v>
      </c>
      <c r="CV42" s="82">
        <f>CU42</f>
        <v>1571150</v>
      </c>
      <c r="CW42" s="82">
        <f>CU42-1342825</f>
        <v>228325</v>
      </c>
      <c r="CX42" s="82">
        <f>CW42</f>
        <v>228325</v>
      </c>
      <c r="CY42" s="82">
        <f>CW42</f>
        <v>228325</v>
      </c>
      <c r="CZ42" s="82">
        <f>CX42</f>
        <v>228325</v>
      </c>
      <c r="DA42" s="82">
        <f>CY42+10000*19+8924*19</f>
        <v>587881</v>
      </c>
      <c r="DB42" s="82">
        <f>DA42</f>
        <v>587881</v>
      </c>
      <c r="DC42" s="82">
        <f>DA42</f>
        <v>587881</v>
      </c>
      <c r="DD42" s="82">
        <f>DB42+10957*19</f>
        <v>796064</v>
      </c>
      <c r="DE42" s="82">
        <f>DD42</f>
        <v>796064</v>
      </c>
      <c r="DF42" s="82">
        <f>DD42</f>
        <v>796064</v>
      </c>
      <c r="DG42" s="82">
        <f>DE42</f>
        <v>796064</v>
      </c>
      <c r="DH42" s="82">
        <f>DF42+8981*19</f>
        <v>966703</v>
      </c>
      <c r="DI42" s="82">
        <f>DH42+12890*19</f>
        <v>1211613</v>
      </c>
      <c r="DJ42" s="82">
        <f>DI42</f>
        <v>1211613</v>
      </c>
      <c r="DK42" s="82">
        <f>DI42</f>
        <v>1211613</v>
      </c>
      <c r="DL42" s="82">
        <f t="shared" si="898"/>
        <v>1211613</v>
      </c>
      <c r="DM42" s="82">
        <f t="shared" si="898"/>
        <v>1211613</v>
      </c>
      <c r="DN42" s="82">
        <f t="shared" si="898"/>
        <v>1211613</v>
      </c>
      <c r="DO42" s="82">
        <f t="shared" si="898"/>
        <v>1211613</v>
      </c>
      <c r="DP42" s="82">
        <f>DN42</f>
        <v>1211613</v>
      </c>
      <c r="DQ42" s="82">
        <f>DO42+8920*19</f>
        <v>1381093</v>
      </c>
      <c r="DR42" s="82">
        <f>DQ42+8953*19</f>
        <v>1551200</v>
      </c>
      <c r="DS42" s="82">
        <f>DR42</f>
        <v>1551200</v>
      </c>
      <c r="DT42" s="82">
        <f>DR42</f>
        <v>1551200</v>
      </c>
      <c r="DU42" s="82">
        <f>DS42</f>
        <v>1551200</v>
      </c>
      <c r="DV42" s="82">
        <f t="shared" si="1087"/>
        <v>1551200</v>
      </c>
      <c r="DW42" s="82">
        <f t="shared" si="1087"/>
        <v>1551200</v>
      </c>
      <c r="DX42" s="117"/>
      <c r="DY42" s="82">
        <f>DW42</f>
        <v>1551200</v>
      </c>
      <c r="DZ42" s="82">
        <f>DY42</f>
        <v>1551200</v>
      </c>
      <c r="EA42" s="82">
        <f>DY42+9924*19</f>
        <v>1739756</v>
      </c>
      <c r="EB42" s="82">
        <f>EA42</f>
        <v>1739756</v>
      </c>
      <c r="EC42" s="82">
        <f>EA42</f>
        <v>1739756</v>
      </c>
      <c r="ED42" s="82">
        <f>EB42</f>
        <v>1739756</v>
      </c>
      <c r="EE42" s="82">
        <f>EC42+7000*19+7000*19</f>
        <v>2005756</v>
      </c>
      <c r="EF42" s="82">
        <f>EE42</f>
        <v>2005756</v>
      </c>
      <c r="EG42" s="82">
        <f>EE42</f>
        <v>2005756</v>
      </c>
      <c r="EH42" s="82">
        <f>EF42</f>
        <v>2005756</v>
      </c>
      <c r="EI42" s="82">
        <f>EG42+11965*19-1738373</f>
        <v>494718</v>
      </c>
      <c r="EJ42" s="82">
        <f>EI42</f>
        <v>494718</v>
      </c>
      <c r="EK42" s="82">
        <f>EI42</f>
        <v>494718</v>
      </c>
      <c r="EL42" s="82">
        <f>EJ42+10000*19</f>
        <v>684718</v>
      </c>
      <c r="EM42" s="82">
        <f>EL42+8979*19</f>
        <v>855319</v>
      </c>
      <c r="EN42" s="82">
        <f>EM42</f>
        <v>855319</v>
      </c>
      <c r="EO42" s="82">
        <f>EM42</f>
        <v>855319</v>
      </c>
      <c r="EP42" s="82">
        <f>EN42</f>
        <v>855319</v>
      </c>
      <c r="EQ42" s="82">
        <f>EO42+10874*19</f>
        <v>1061925</v>
      </c>
      <c r="ER42" s="82">
        <f>EQ42+12941*19</f>
        <v>1307804</v>
      </c>
      <c r="ES42" s="82">
        <f>ER42</f>
        <v>1307804</v>
      </c>
      <c r="ET42" s="82">
        <f>ER42</f>
        <v>1307804</v>
      </c>
      <c r="EU42" s="82">
        <f>ES42+9863*19</f>
        <v>1495201</v>
      </c>
      <c r="EV42" s="82">
        <f>EU42</f>
        <v>1495201</v>
      </c>
      <c r="EW42" s="82">
        <f>EU42</f>
        <v>1495201</v>
      </c>
      <c r="EX42" s="82">
        <f>EV42</f>
        <v>1495201</v>
      </c>
      <c r="EY42" s="82">
        <f>EW42</f>
        <v>1495201</v>
      </c>
      <c r="EZ42" s="82">
        <f>EX42+10840*19</f>
        <v>1701161</v>
      </c>
      <c r="FA42" s="82">
        <f>EZ42+10000*19</f>
        <v>1891161</v>
      </c>
      <c r="FB42" s="82">
        <f>FA42</f>
        <v>1891161</v>
      </c>
      <c r="FC42" s="82">
        <f>FA42</f>
        <v>1891161</v>
      </c>
      <c r="FD42" s="126"/>
      <c r="FE42" s="82">
        <f>FC42</f>
        <v>1891161</v>
      </c>
      <c r="FF42" s="82">
        <f>FE42</f>
        <v>1891161</v>
      </c>
      <c r="FG42" s="82">
        <f>FE42</f>
        <v>1891161</v>
      </c>
      <c r="FH42" s="82">
        <v>0</v>
      </c>
      <c r="FI42" s="82">
        <v>0</v>
      </c>
      <c r="FJ42" s="82">
        <f>13943*19</f>
        <v>264917</v>
      </c>
      <c r="FK42" s="82">
        <f>FJ42</f>
        <v>264917</v>
      </c>
      <c r="FL42" s="82">
        <f>FJ42</f>
        <v>264917</v>
      </c>
      <c r="FM42" s="82">
        <f>FK42</f>
        <v>264917</v>
      </c>
      <c r="FN42" s="82">
        <f>FL42</f>
        <v>264917</v>
      </c>
      <c r="FO42" s="82">
        <f>FM42+11867*19+6941*19</f>
        <v>622269</v>
      </c>
      <c r="FP42" s="82">
        <f>FO42</f>
        <v>622269</v>
      </c>
      <c r="FQ42" s="82">
        <f>FO42</f>
        <v>622269</v>
      </c>
      <c r="FR42" s="82">
        <f>FP42</f>
        <v>622269</v>
      </c>
      <c r="FS42" s="82">
        <f>FQ42</f>
        <v>622269</v>
      </c>
      <c r="FT42" s="82">
        <f>FR42</f>
        <v>622269</v>
      </c>
      <c r="FU42" s="82">
        <f>FS42+10907*19</f>
        <v>829502</v>
      </c>
      <c r="FV42" s="82">
        <f>FU42+7944*19</f>
        <v>980438</v>
      </c>
      <c r="FW42" s="82">
        <f>FV42</f>
        <v>980438</v>
      </c>
      <c r="FX42" s="82">
        <f t="shared" si="901"/>
        <v>980438</v>
      </c>
      <c r="FY42" s="82">
        <f t="shared" si="901"/>
        <v>980438</v>
      </c>
      <c r="FZ42" s="82">
        <f t="shared" si="901"/>
        <v>980438</v>
      </c>
      <c r="GA42" s="82">
        <f>FY42</f>
        <v>980438</v>
      </c>
      <c r="GB42" s="82">
        <f>FZ42+11854*19+7944*19</f>
        <v>1356600</v>
      </c>
      <c r="GC42" s="82">
        <f>GB42</f>
        <v>1356600</v>
      </c>
      <c r="GD42" s="82">
        <f t="shared" si="902"/>
        <v>1356600</v>
      </c>
      <c r="GE42" s="82">
        <f t="shared" si="902"/>
        <v>1356600</v>
      </c>
      <c r="GF42" s="82">
        <f t="shared" si="902"/>
        <v>1356600</v>
      </c>
      <c r="GG42" s="82">
        <f>GE42</f>
        <v>1356600</v>
      </c>
      <c r="GH42" s="82">
        <f>GF42</f>
        <v>1356600</v>
      </c>
      <c r="GI42" s="82">
        <f>GG42+10851*19</f>
        <v>1562769</v>
      </c>
      <c r="GJ42" s="130"/>
      <c r="GK42" s="82">
        <f>GI42+8000*19</f>
        <v>1714769</v>
      </c>
      <c r="GL42" s="82">
        <f>GK42</f>
        <v>1714769</v>
      </c>
      <c r="GM42" s="82">
        <f>GL42</f>
        <v>1714769</v>
      </c>
      <c r="GN42" s="82">
        <f>GM42</f>
        <v>1714769</v>
      </c>
      <c r="GO42" s="82">
        <f>GN42</f>
        <v>1714769</v>
      </c>
      <c r="GP42" s="82">
        <f>GO42+8000*19+9920*19</f>
        <v>2055249</v>
      </c>
      <c r="GQ42" s="82">
        <f>GP42</f>
        <v>2055249</v>
      </c>
      <c r="GR42" s="82">
        <f>GQ42</f>
        <v>2055249</v>
      </c>
      <c r="GS42" s="82">
        <f>GR42</f>
        <v>2055249</v>
      </c>
      <c r="GT42" s="82">
        <f>GS42+11869*19</f>
        <v>2280760</v>
      </c>
      <c r="GU42" s="82">
        <f>GT42-1714769</f>
        <v>565991</v>
      </c>
      <c r="GV42" s="82">
        <f>GU42</f>
        <v>565991</v>
      </c>
      <c r="GW42" s="82">
        <f>GV42</f>
        <v>565991</v>
      </c>
      <c r="GX42" s="82">
        <f>GW42+8000*19</f>
        <v>717991</v>
      </c>
      <c r="GY42" s="82">
        <f>GW42+8000*19</f>
        <v>717991</v>
      </c>
      <c r="GZ42" s="82">
        <f>GY42+12848*19</f>
        <v>962103</v>
      </c>
      <c r="HA42" s="82">
        <f>GZ42</f>
        <v>962103</v>
      </c>
      <c r="HB42" s="82">
        <f>HA42</f>
        <v>962103</v>
      </c>
      <c r="HC42" s="82">
        <f>HB42</f>
        <v>962103</v>
      </c>
      <c r="HD42" s="82">
        <f>HC42+8000*19</f>
        <v>1114103</v>
      </c>
      <c r="HE42" s="82">
        <f>HC42+8000*19</f>
        <v>1114103</v>
      </c>
      <c r="HF42" s="82">
        <f>HE42</f>
        <v>1114103</v>
      </c>
      <c r="HG42" s="82">
        <f>HF42+12841*19</f>
        <v>1358082</v>
      </c>
      <c r="HH42" s="82">
        <f>HG42</f>
        <v>1358082</v>
      </c>
      <c r="HI42" s="82">
        <f>HH42</f>
        <v>1358082</v>
      </c>
      <c r="HJ42" s="82">
        <f>HI42</f>
        <v>1358082</v>
      </c>
      <c r="HK42" s="82">
        <f>HJ42</f>
        <v>1358082</v>
      </c>
      <c r="HL42" s="82">
        <f>HK42+9892*19+12876*19</f>
        <v>1790674</v>
      </c>
      <c r="HM42" s="82">
        <f>HL42</f>
        <v>1790674</v>
      </c>
      <c r="HN42" s="130"/>
      <c r="HO42" s="82">
        <f>HM42</f>
        <v>1790674</v>
      </c>
      <c r="HP42" s="82">
        <f>HO42</f>
        <v>1790674</v>
      </c>
      <c r="HQ42" s="82">
        <f>HO42</f>
        <v>1790674</v>
      </c>
      <c r="HR42" s="82">
        <f>HP42</f>
        <v>1790674</v>
      </c>
      <c r="HS42" s="82">
        <f>HQ42+7000*19+11853*19</f>
        <v>2148881</v>
      </c>
      <c r="HT42" s="82">
        <f>HS42</f>
        <v>2148881</v>
      </c>
      <c r="HU42" s="82">
        <f>HS42-1790674</f>
        <v>358207</v>
      </c>
      <c r="HV42" s="82">
        <f>HU42</f>
        <v>358207</v>
      </c>
      <c r="HW42" s="82">
        <f>HU42</f>
        <v>358207</v>
      </c>
      <c r="HX42" s="82">
        <f>HV42</f>
        <v>358207</v>
      </c>
      <c r="HY42" s="82">
        <f>HW42+11866*19</f>
        <v>583661</v>
      </c>
      <c r="HZ42" s="82">
        <f>HY42</f>
        <v>583661</v>
      </c>
      <c r="IA42" s="82">
        <f>HY42</f>
        <v>583661</v>
      </c>
      <c r="IB42" s="82">
        <f>HZ42</f>
        <v>583661</v>
      </c>
      <c r="IC42" s="82">
        <f>IA42</f>
        <v>583661</v>
      </c>
      <c r="ID42" s="82">
        <f>IB42+8913*19+11847*19</f>
        <v>978101</v>
      </c>
      <c r="IE42" s="82">
        <f>ID42</f>
        <v>978101</v>
      </c>
      <c r="IF42" s="82">
        <f>ID42</f>
        <v>978101</v>
      </c>
      <c r="IG42" s="82">
        <f>IE42</f>
        <v>978101</v>
      </c>
      <c r="IH42" s="82">
        <f>IF42</f>
        <v>978101</v>
      </c>
      <c r="II42" s="82">
        <f>IG42</f>
        <v>978101</v>
      </c>
      <c r="IJ42" s="82">
        <f>IH42</f>
        <v>978101</v>
      </c>
      <c r="IK42" s="82">
        <f>II42+9881*19</f>
        <v>1165840</v>
      </c>
      <c r="IL42" s="82">
        <f>IK42</f>
        <v>1165840</v>
      </c>
      <c r="IM42" s="82">
        <f>IK42</f>
        <v>1165840</v>
      </c>
      <c r="IN42" s="82">
        <f>IL42</f>
        <v>1165840</v>
      </c>
      <c r="IO42" s="82">
        <f>IM42+10888*19</f>
        <v>1372712</v>
      </c>
      <c r="IP42" s="82">
        <f>IO42</f>
        <v>1372712</v>
      </c>
      <c r="IQ42" s="82">
        <f>IO42+12850*19</f>
        <v>1616862</v>
      </c>
      <c r="IR42" s="82">
        <f>IQ42</f>
        <v>1616862</v>
      </c>
      <c r="IS42" s="82">
        <f>IQ42</f>
        <v>1616862</v>
      </c>
      <c r="IT42" s="130"/>
      <c r="IU42" s="82">
        <f>IS42</f>
        <v>1616862</v>
      </c>
      <c r="IV42" s="82">
        <f>IU42</f>
        <v>1616862</v>
      </c>
      <c r="IW42" s="82">
        <v>0</v>
      </c>
      <c r="IX42" s="82">
        <f>IW42</f>
        <v>0</v>
      </c>
      <c r="IY42" s="82">
        <f>8000*19</f>
        <v>152000</v>
      </c>
      <c r="IZ42" s="82">
        <f>IY42</f>
        <v>152000</v>
      </c>
      <c r="JA42" s="82">
        <f>IZ42+11853*19</f>
        <v>377207</v>
      </c>
      <c r="JB42" s="82">
        <f>JA42</f>
        <v>377207</v>
      </c>
      <c r="JC42" s="82">
        <f>JB42+2000*19</f>
        <v>415207</v>
      </c>
      <c r="JD42" s="82">
        <f t="shared" si="903"/>
        <v>415207</v>
      </c>
      <c r="JE42" s="82">
        <f t="shared" si="903"/>
        <v>415207</v>
      </c>
      <c r="JF42" s="82">
        <f t="shared" si="903"/>
        <v>415207</v>
      </c>
      <c r="JG42" s="82">
        <f>JF42+11893*19</f>
        <v>641174</v>
      </c>
      <c r="JH42" s="82">
        <f>JG42+11851*19</f>
        <v>866343</v>
      </c>
      <c r="JI42" s="82">
        <f>JH42</f>
        <v>866343</v>
      </c>
      <c r="JJ42" s="82">
        <f>JI42</f>
        <v>866343</v>
      </c>
      <c r="JK42" s="82">
        <f>JJ42</f>
        <v>866343</v>
      </c>
      <c r="JL42" s="82">
        <f>JK42</f>
        <v>866343</v>
      </c>
      <c r="JM42" s="82">
        <f>JL42</f>
        <v>866343</v>
      </c>
      <c r="JN42" s="82">
        <f>JM42+12892*19</f>
        <v>1111291</v>
      </c>
      <c r="JO42" s="82">
        <f t="shared" si="905"/>
        <v>1111291</v>
      </c>
      <c r="JP42" s="82">
        <f t="shared" si="905"/>
        <v>1111291</v>
      </c>
      <c r="JQ42" s="82">
        <f t="shared" si="905"/>
        <v>1111291</v>
      </c>
      <c r="JR42" s="82">
        <f t="shared" si="905"/>
        <v>1111291</v>
      </c>
      <c r="JS42" s="82">
        <f t="shared" si="905"/>
        <v>1111291</v>
      </c>
      <c r="JT42" s="82">
        <f>JS42</f>
        <v>1111291</v>
      </c>
      <c r="JU42" s="82">
        <f>JT42+9908*19</f>
        <v>1299543</v>
      </c>
      <c r="JV42" s="82">
        <f>JU42+10866*19</f>
        <v>1505997</v>
      </c>
      <c r="JW42" s="82">
        <f t="shared" si="906"/>
        <v>1505997</v>
      </c>
      <c r="JX42" s="82">
        <f t="shared" si="906"/>
        <v>1505997</v>
      </c>
      <c r="JY42" s="133"/>
      <c r="JZ42" s="82">
        <f>JX42</f>
        <v>1505997</v>
      </c>
      <c r="KA42" s="82">
        <f>JZ42</f>
        <v>1505997</v>
      </c>
      <c r="KB42" s="82">
        <f>JZ42+9902*19</f>
        <v>1694135</v>
      </c>
      <c r="KC42" s="82">
        <f>KB42</f>
        <v>1694135</v>
      </c>
      <c r="KD42" s="82">
        <f>KB42</f>
        <v>1694135</v>
      </c>
      <c r="KE42" s="82">
        <f>KC42</f>
        <v>1694135</v>
      </c>
      <c r="KF42" s="82">
        <f>KD42</f>
        <v>1694135</v>
      </c>
      <c r="KG42" s="82">
        <f>KE42-1318296</f>
        <v>375839</v>
      </c>
      <c r="KH42" s="82">
        <f>KG42</f>
        <v>375839</v>
      </c>
      <c r="KI42" s="82">
        <f>KG42+14823*19</f>
        <v>657476</v>
      </c>
      <c r="KJ42" s="82">
        <f>KI42</f>
        <v>657476</v>
      </c>
      <c r="KK42" s="82">
        <f>KI42</f>
        <v>657476</v>
      </c>
      <c r="KL42" s="82">
        <f>KJ42</f>
        <v>657476</v>
      </c>
      <c r="KM42" s="82">
        <f>KK42</f>
        <v>657476</v>
      </c>
      <c r="KN42" s="82">
        <f>KL42</f>
        <v>657476</v>
      </c>
      <c r="KO42" s="82">
        <f>KM42+10000*19</f>
        <v>847476</v>
      </c>
      <c r="KP42" s="82">
        <f>KO42</f>
        <v>847476</v>
      </c>
      <c r="KQ42" s="82">
        <f>KO42</f>
        <v>847476</v>
      </c>
      <c r="KR42" s="82">
        <f>KP42+10000*19</f>
        <v>1037476</v>
      </c>
      <c r="KS42" s="82">
        <f>KR42</f>
        <v>1037476</v>
      </c>
      <c r="KT42" s="82">
        <f>KR42+3000*19</f>
        <v>1094476</v>
      </c>
      <c r="KU42" s="82">
        <f>KT42+6000*19+6000*19</f>
        <v>1322476</v>
      </c>
      <c r="KV42" s="82">
        <f>KU42</f>
        <v>1322476</v>
      </c>
      <c r="KW42" s="82">
        <f>KU42</f>
        <v>1322476</v>
      </c>
      <c r="KX42" s="82">
        <f>KV42+7927*19+7902*19</f>
        <v>1623227</v>
      </c>
      <c r="KY42" s="82">
        <f>KX42</f>
        <v>1623227</v>
      </c>
      <c r="KZ42" s="82">
        <f>KX42</f>
        <v>1623227</v>
      </c>
      <c r="LA42" s="82">
        <f>KY42</f>
        <v>1623227</v>
      </c>
      <c r="LB42" s="82">
        <f>KZ42</f>
        <v>1623227</v>
      </c>
      <c r="LC42" s="82">
        <f>LA42+4966*19+8962*19</f>
        <v>1887859</v>
      </c>
      <c r="LD42" s="82">
        <f>LC42+5000*19</f>
        <v>1982859</v>
      </c>
      <c r="LE42" s="130"/>
      <c r="LF42" s="82">
        <f>LD42</f>
        <v>1982859</v>
      </c>
      <c r="LG42" s="82">
        <f>LF42</f>
        <v>1982859</v>
      </c>
      <c r="LH42" s="82">
        <f>LG42</f>
        <v>1982859</v>
      </c>
      <c r="LI42" s="82">
        <f t="shared" si="907"/>
        <v>1982859</v>
      </c>
      <c r="LJ42" s="82">
        <f t="shared" si="907"/>
        <v>1982859</v>
      </c>
      <c r="LK42" s="82">
        <f>LJ42+11841*19</f>
        <v>2207838</v>
      </c>
      <c r="LL42" s="82">
        <f>LK42+10000*19</f>
        <v>2397838</v>
      </c>
      <c r="LM42" s="82">
        <f>LL42</f>
        <v>2397838</v>
      </c>
      <c r="LN42" s="82">
        <f>LM42</f>
        <v>2397838</v>
      </c>
      <c r="LO42" s="82">
        <f t="shared" si="1012"/>
        <v>2397838</v>
      </c>
      <c r="LP42" s="82">
        <f t="shared" si="1012"/>
        <v>2397838</v>
      </c>
      <c r="LQ42" s="82">
        <f>LP42</f>
        <v>2397838</v>
      </c>
      <c r="LR42" s="82">
        <f>LQ42-1982669</f>
        <v>415169</v>
      </c>
      <c r="LS42" s="82">
        <f>LR42+6939*19+7917*19</f>
        <v>697433</v>
      </c>
      <c r="LT42" s="82">
        <f t="shared" si="908"/>
        <v>697433</v>
      </c>
      <c r="LU42" s="82">
        <f t="shared" si="908"/>
        <v>697433</v>
      </c>
      <c r="LV42" s="82">
        <f t="shared" si="908"/>
        <v>697433</v>
      </c>
      <c r="LW42" s="82">
        <f>LV42</f>
        <v>697433</v>
      </c>
      <c r="LX42" s="82">
        <f>LW42</f>
        <v>697433</v>
      </c>
      <c r="LY42" s="82">
        <f>LX42+8000*19</f>
        <v>849433</v>
      </c>
      <c r="LZ42" s="82">
        <f>LY42+10898*19</f>
        <v>1056495</v>
      </c>
      <c r="MA42" s="82">
        <f t="shared" si="909"/>
        <v>1056495</v>
      </c>
      <c r="MB42" s="82">
        <f t="shared" si="909"/>
        <v>1056495</v>
      </c>
      <c r="MC42" s="82">
        <f t="shared" si="909"/>
        <v>1056495</v>
      </c>
      <c r="MD42" s="82">
        <f>MC42</f>
        <v>1056495</v>
      </c>
      <c r="ME42" s="82">
        <f>MD42+7000*19</f>
        <v>1189495</v>
      </c>
      <c r="MF42" s="82">
        <f>ME42+12827*19</f>
        <v>1433208</v>
      </c>
      <c r="MG42" s="82">
        <f t="shared" si="910"/>
        <v>1433208</v>
      </c>
      <c r="MH42" s="82">
        <f t="shared" si="910"/>
        <v>1433208</v>
      </c>
      <c r="MI42" s="82">
        <f>MH42+8911*19</f>
        <v>1602517</v>
      </c>
      <c r="MJ42" s="133"/>
      <c r="MK42" s="82">
        <f>MI42</f>
        <v>1602517</v>
      </c>
      <c r="ML42" s="82">
        <f>MK42</f>
        <v>1602517</v>
      </c>
      <c r="MM42" s="82">
        <f>MK42+5000*19</f>
        <v>1697517</v>
      </c>
      <c r="MN42" s="82">
        <f>MM42</f>
        <v>1697517</v>
      </c>
      <c r="MO42" s="82">
        <f>MM42</f>
        <v>1697517</v>
      </c>
      <c r="MP42" s="82">
        <f>MN42+7926*19+7909*19</f>
        <v>1998382</v>
      </c>
      <c r="MQ42" s="82">
        <f>MP42+2000*19</f>
        <v>2036382</v>
      </c>
      <c r="MR42" s="82">
        <f>MQ42</f>
        <v>2036382</v>
      </c>
      <c r="MS42" s="82">
        <f>MQ42</f>
        <v>2036382</v>
      </c>
      <c r="MT42" s="82">
        <f>MR42</f>
        <v>2036382</v>
      </c>
      <c r="MU42" s="82">
        <f>MS42</f>
        <v>2036382</v>
      </c>
      <c r="MV42" s="82">
        <f>MT42+14000*19+5000*19</f>
        <v>2397382</v>
      </c>
      <c r="MW42" s="82">
        <f>MV42</f>
        <v>2397382</v>
      </c>
      <c r="MX42" s="82">
        <f>MV42</f>
        <v>2397382</v>
      </c>
      <c r="MY42" s="82">
        <f>MW42</f>
        <v>2397382</v>
      </c>
      <c r="MZ42" s="82">
        <f>MX42</f>
        <v>2397382</v>
      </c>
      <c r="NA42" s="82">
        <f>MY42</f>
        <v>2397382</v>
      </c>
      <c r="NB42" s="82">
        <f>MZ42</f>
        <v>2397382</v>
      </c>
      <c r="NC42" s="82">
        <f>NA42+8000*19</f>
        <v>2549382</v>
      </c>
      <c r="ND42" s="82">
        <f>NC42</f>
        <v>2549382</v>
      </c>
      <c r="NE42" s="82">
        <f>NC42+9975*19</f>
        <v>2738907</v>
      </c>
      <c r="NF42" s="82">
        <f>NE42</f>
        <v>2738907</v>
      </c>
      <c r="NG42" s="82">
        <f>NE42</f>
        <v>2738907</v>
      </c>
      <c r="NH42" s="82">
        <f>NF42-1602517</f>
        <v>1136390</v>
      </c>
      <c r="NI42" s="82">
        <f>NH42+11876*19+10898*19</f>
        <v>1569096</v>
      </c>
      <c r="NJ42" s="82">
        <f>NI42</f>
        <v>1569096</v>
      </c>
      <c r="NK42" s="82">
        <f>NI42</f>
        <v>1569096</v>
      </c>
      <c r="NL42" s="82">
        <f>NJ42</f>
        <v>1569096</v>
      </c>
      <c r="NM42" s="82">
        <f>NK42</f>
        <v>1569096</v>
      </c>
      <c r="NN42" s="82">
        <f>NL42</f>
        <v>1569096</v>
      </c>
      <c r="NO42" s="82">
        <f>NM42+9902*19</f>
        <v>1757234</v>
      </c>
      <c r="NP42" s="133"/>
      <c r="NQ42" s="82">
        <f>NO42</f>
        <v>1757234</v>
      </c>
      <c r="NR42" s="82">
        <f>NQ42</f>
        <v>1757234</v>
      </c>
      <c r="NS42" s="82">
        <f>NQ42+7967*19</f>
        <v>1908607</v>
      </c>
      <c r="NT42" s="82">
        <f>NS42</f>
        <v>1908607</v>
      </c>
      <c r="NU42" s="82">
        <f>NS42</f>
        <v>1908607</v>
      </c>
      <c r="NV42" s="82">
        <f>NT42-1757234</f>
        <v>151373</v>
      </c>
      <c r="NW42" s="82">
        <f>NV42+10000*19</f>
        <v>341373</v>
      </c>
      <c r="NX42" s="82">
        <f>NW42</f>
        <v>341373</v>
      </c>
      <c r="NY42" s="82">
        <f>NW42</f>
        <v>341373</v>
      </c>
      <c r="NZ42" s="82">
        <f>NX42+4000*19</f>
        <v>417373</v>
      </c>
      <c r="OA42" s="82">
        <f>NZ42+9900*19</f>
        <v>605473</v>
      </c>
      <c r="OB42" s="82">
        <f>OA42</f>
        <v>605473</v>
      </c>
      <c r="OC42" s="82">
        <f>OA42</f>
        <v>605473</v>
      </c>
      <c r="OD42" s="82">
        <f>OB42</f>
        <v>605473</v>
      </c>
      <c r="OE42" s="82">
        <f>OC42+6939*19</f>
        <v>737314</v>
      </c>
      <c r="OF42" s="82">
        <f>OE42+8934*19</f>
        <v>907060</v>
      </c>
      <c r="OG42" s="82">
        <f>OF42</f>
        <v>907060</v>
      </c>
      <c r="OH42" s="82">
        <f>OF42</f>
        <v>907060</v>
      </c>
      <c r="OI42" s="82">
        <f>OG42</f>
        <v>907060</v>
      </c>
      <c r="OJ42" s="82">
        <f>OH42</f>
        <v>907060</v>
      </c>
      <c r="OK42" s="82">
        <f>OI42+11933*19+10000*19</f>
        <v>1323787</v>
      </c>
      <c r="OL42" s="82">
        <f>OK42</f>
        <v>1323787</v>
      </c>
      <c r="OM42" s="82">
        <f t="shared" ref="OM42:OS42" si="1113">OK42</f>
        <v>1323787</v>
      </c>
      <c r="ON42" s="82">
        <f t="shared" si="1113"/>
        <v>1323787</v>
      </c>
      <c r="OO42" s="82">
        <f t="shared" si="1113"/>
        <v>1323787</v>
      </c>
      <c r="OP42" s="82">
        <f t="shared" si="1113"/>
        <v>1323787</v>
      </c>
      <c r="OQ42" s="82">
        <f t="shared" si="1113"/>
        <v>1323787</v>
      </c>
      <c r="OR42" s="82">
        <f t="shared" si="1113"/>
        <v>1323787</v>
      </c>
      <c r="OS42" s="82">
        <f t="shared" si="1113"/>
        <v>1323787</v>
      </c>
      <c r="OT42" s="82">
        <f>OR42+11946*19+12443*19</f>
        <v>1787178</v>
      </c>
      <c r="OU42" s="82">
        <f>OT42</f>
        <v>1787178</v>
      </c>
      <c r="OV42" s="130"/>
      <c r="OW42" s="82">
        <f>OU42</f>
        <v>1787178</v>
      </c>
      <c r="OX42" s="82">
        <f>OW42</f>
        <v>1787178</v>
      </c>
      <c r="OY42" s="82">
        <f>OW42</f>
        <v>1787178</v>
      </c>
      <c r="OZ42" s="82">
        <f>OX42+12868*19</f>
        <v>2031670</v>
      </c>
      <c r="PA42" s="82">
        <f>OZ42</f>
        <v>2031670</v>
      </c>
      <c r="PB42" s="82">
        <f>OZ42+9000*19</f>
        <v>2202670</v>
      </c>
      <c r="PC42" s="82">
        <f>PB42</f>
        <v>2202670</v>
      </c>
      <c r="PD42" s="82">
        <f>PB42</f>
        <v>2202670</v>
      </c>
      <c r="PE42" s="82">
        <f>PC42</f>
        <v>2202670</v>
      </c>
      <c r="PF42" s="82">
        <f>PD42</f>
        <v>2202670</v>
      </c>
      <c r="PG42" s="82">
        <f>PE42+6000*19</f>
        <v>2316670</v>
      </c>
      <c r="PH42" s="82">
        <f>PG42-1787178</f>
        <v>529492</v>
      </c>
      <c r="PI42" s="82">
        <f>PH42</f>
        <v>529492</v>
      </c>
      <c r="PJ42" s="82">
        <f>PH42+11871*19</f>
        <v>755041</v>
      </c>
      <c r="PK42" s="82">
        <f>PJ42</f>
        <v>755041</v>
      </c>
      <c r="PL42" s="82">
        <f>PJ42</f>
        <v>755041</v>
      </c>
      <c r="PM42" s="82">
        <f>PK42</f>
        <v>755041</v>
      </c>
      <c r="PN42" s="82">
        <f>PL42+8000*19</f>
        <v>907041</v>
      </c>
      <c r="PO42" s="82">
        <f>PN42</f>
        <v>907041</v>
      </c>
      <c r="PP42" s="82">
        <f>PN42</f>
        <v>907041</v>
      </c>
      <c r="PQ42" s="82">
        <f>PO42+11864*19</f>
        <v>1132457</v>
      </c>
      <c r="PR42" s="82">
        <f>PQ42</f>
        <v>1132457</v>
      </c>
      <c r="PS42" s="82">
        <f>PQ42</f>
        <v>1132457</v>
      </c>
      <c r="PT42" s="82">
        <f>PR42</f>
        <v>1132457</v>
      </c>
      <c r="PU42" s="82">
        <f>PS42+10000*19</f>
        <v>1322457</v>
      </c>
      <c r="PV42" s="82">
        <f>PU42</f>
        <v>1322457</v>
      </c>
      <c r="PW42" s="82">
        <f>PU42</f>
        <v>1322457</v>
      </c>
      <c r="PX42" s="82">
        <f>PV42+9882*19</f>
        <v>1510215</v>
      </c>
      <c r="PY42" s="82">
        <f>PX42</f>
        <v>1510215</v>
      </c>
      <c r="PZ42" s="82">
        <f>PX42</f>
        <v>1510215</v>
      </c>
      <c r="QA42" s="130"/>
      <c r="QB42" s="82">
        <f>PZ42</f>
        <v>1510215</v>
      </c>
      <c r="QC42" s="82">
        <f>QB42</f>
        <v>1510215</v>
      </c>
      <c r="QD42" s="82">
        <f>QC42+8987*19</f>
        <v>1680968</v>
      </c>
      <c r="QE42" s="82">
        <f>QD42+9977*19</f>
        <v>1870531</v>
      </c>
      <c r="QF42" s="82">
        <f t="shared" si="911"/>
        <v>1870531</v>
      </c>
      <c r="QG42" s="82">
        <f t="shared" si="911"/>
        <v>1870531</v>
      </c>
      <c r="QH42" s="82">
        <f>QG42-1510056</f>
        <v>360475</v>
      </c>
      <c r="QI42" s="82">
        <f>QH42</f>
        <v>360475</v>
      </c>
      <c r="QJ42" s="82">
        <f>QI42+9971*19</f>
        <v>549924</v>
      </c>
      <c r="QK42" s="82">
        <f>QJ42</f>
        <v>549924</v>
      </c>
      <c r="QL42" s="82">
        <f>QK42</f>
        <v>549924</v>
      </c>
      <c r="QM42" s="82">
        <f>QL42+10000*19</f>
        <v>739924</v>
      </c>
      <c r="QN42" s="82">
        <f>QM42</f>
        <v>739924</v>
      </c>
      <c r="QO42" s="82">
        <f t="shared" si="1019"/>
        <v>739924</v>
      </c>
      <c r="QP42" s="82">
        <f t="shared" si="1019"/>
        <v>739924</v>
      </c>
      <c r="QQ42" s="82">
        <f t="shared" si="1019"/>
        <v>739924</v>
      </c>
      <c r="QR42" s="82">
        <f t="shared" si="912"/>
        <v>739924</v>
      </c>
      <c r="QS42" s="82">
        <f t="shared" si="912"/>
        <v>739924</v>
      </c>
      <c r="QT42" s="82">
        <f>QS42+6973*19</f>
        <v>872411</v>
      </c>
      <c r="QU42" s="82">
        <f>QT42</f>
        <v>872411</v>
      </c>
      <c r="QV42" s="82">
        <f>QU42</f>
        <v>872411</v>
      </c>
      <c r="QW42" s="82">
        <f t="shared" si="913"/>
        <v>872411</v>
      </c>
      <c r="QX42" s="82">
        <f t="shared" si="913"/>
        <v>872411</v>
      </c>
      <c r="QY42" s="82">
        <f>QX42+11971*19</f>
        <v>1099860</v>
      </c>
      <c r="QZ42" s="82">
        <f>QY42</f>
        <v>1099860</v>
      </c>
      <c r="RA42" s="82">
        <f>QZ42+8976*19</f>
        <v>1270404</v>
      </c>
      <c r="RB42" s="82">
        <f>RA42</f>
        <v>1270404</v>
      </c>
      <c r="RC42" s="82">
        <f>RB42</f>
        <v>1270404</v>
      </c>
      <c r="RD42" s="82">
        <f>RC42</f>
        <v>1270404</v>
      </c>
      <c r="RE42" s="82">
        <f>RD42+12862*19</f>
        <v>1514782</v>
      </c>
      <c r="RF42" s="82">
        <f>RE42</f>
        <v>1514782</v>
      </c>
      <c r="RG42" s="130"/>
      <c r="RH42" s="82">
        <f>RF42</f>
        <v>1514782</v>
      </c>
      <c r="RI42" s="82">
        <f t="shared" si="914"/>
        <v>1514782</v>
      </c>
      <c r="RJ42" s="82">
        <f t="shared" si="914"/>
        <v>1514782</v>
      </c>
      <c r="RK42" s="82">
        <f t="shared" si="914"/>
        <v>1514782</v>
      </c>
      <c r="RL42" s="82">
        <f>RK42</f>
        <v>1514782</v>
      </c>
      <c r="RM42" s="82">
        <f>RL42+8000*19</f>
        <v>1666782</v>
      </c>
      <c r="RN42" s="82">
        <f>RM42+11940*19</f>
        <v>1893642</v>
      </c>
      <c r="RO42" s="82">
        <f t="shared" si="915"/>
        <v>1893642</v>
      </c>
      <c r="RP42" s="82">
        <f t="shared" si="915"/>
        <v>1893642</v>
      </c>
      <c r="RQ42" s="82">
        <f>RP42</f>
        <v>1893642</v>
      </c>
      <c r="RR42" s="82">
        <f>RQ42-1514782</f>
        <v>378860</v>
      </c>
      <c r="RS42" s="82">
        <f>RR42+9887*19</f>
        <v>566713</v>
      </c>
      <c r="RT42" s="82">
        <f>RS42</f>
        <v>566713</v>
      </c>
      <c r="RU42" s="82">
        <f>RT42+10000*19</f>
        <v>756713</v>
      </c>
      <c r="RV42" s="82">
        <f>RU42</f>
        <v>756713</v>
      </c>
      <c r="RW42" s="82">
        <f>RV42</f>
        <v>756713</v>
      </c>
      <c r="RX42" s="82">
        <f t="shared" si="916"/>
        <v>756713</v>
      </c>
      <c r="RY42" s="82">
        <f t="shared" si="916"/>
        <v>756713</v>
      </c>
      <c r="RZ42" s="82">
        <f t="shared" si="916"/>
        <v>756713</v>
      </c>
      <c r="SA42" s="82">
        <f>RZ42+10864*19</f>
        <v>963129</v>
      </c>
      <c r="SB42" s="82">
        <f>SA42</f>
        <v>963129</v>
      </c>
      <c r="SC42" s="82">
        <f>SB42+10000*19</f>
        <v>1153129</v>
      </c>
      <c r="SD42" s="82">
        <f>SC42</f>
        <v>1153129</v>
      </c>
      <c r="SE42" s="82">
        <f>SD42+7904*19</f>
        <v>1303305</v>
      </c>
      <c r="SF42" s="82">
        <f t="shared" si="917"/>
        <v>1303305</v>
      </c>
      <c r="SG42" s="82">
        <f t="shared" si="917"/>
        <v>1303305</v>
      </c>
      <c r="SH42" s="82">
        <f t="shared" si="917"/>
        <v>1303305</v>
      </c>
      <c r="SI42" s="82">
        <f t="shared" si="917"/>
        <v>1303305</v>
      </c>
      <c r="SJ42" s="82">
        <f t="shared" si="917"/>
        <v>1303305</v>
      </c>
      <c r="SK42" s="82">
        <f>SJ42+8000*19</f>
        <v>1455305</v>
      </c>
      <c r="SL42" s="130"/>
      <c r="SM42" s="82">
        <f>SK42+12863*19</f>
        <v>1699702</v>
      </c>
      <c r="SN42" s="82">
        <f t="shared" si="918"/>
        <v>1699702</v>
      </c>
      <c r="SO42" s="82">
        <f t="shared" si="918"/>
        <v>1699702</v>
      </c>
      <c r="SP42" s="82">
        <f>SO42</f>
        <v>1699702</v>
      </c>
      <c r="SQ42" s="82">
        <f>SP42</f>
        <v>1699702</v>
      </c>
      <c r="SR42" s="82">
        <f>SQ42+8906*19-1699702</f>
        <v>169214</v>
      </c>
      <c r="SS42" s="82">
        <f>SR42+5000*19</f>
        <v>264214</v>
      </c>
      <c r="ST42" s="82">
        <f>SS42</f>
        <v>264214</v>
      </c>
      <c r="SU42" s="82">
        <f>ST42</f>
        <v>264214</v>
      </c>
      <c r="SV42" s="82">
        <f>SU42</f>
        <v>264214</v>
      </c>
      <c r="SW42" s="82">
        <f>SV42+12386*19</f>
        <v>499548</v>
      </c>
      <c r="SX42" s="82">
        <f>SW42+7916*19</f>
        <v>649952</v>
      </c>
      <c r="SY42" s="82">
        <f t="shared" si="919"/>
        <v>649952</v>
      </c>
      <c r="SZ42" s="82">
        <f t="shared" si="919"/>
        <v>649952</v>
      </c>
      <c r="TA42" s="82">
        <f>SZ42</f>
        <v>649952</v>
      </c>
      <c r="TB42" s="82">
        <f>TA42</f>
        <v>649952</v>
      </c>
      <c r="TC42" s="82">
        <f>TB42</f>
        <v>649952</v>
      </c>
      <c r="TD42" s="82">
        <f>TC42</f>
        <v>649952</v>
      </c>
      <c r="TE42" s="82">
        <f>TD42+10882*19</f>
        <v>856710</v>
      </c>
      <c r="TF42" s="82">
        <f>TE42+11886*19</f>
        <v>1082544</v>
      </c>
      <c r="TG42" s="82">
        <f t="shared" si="920"/>
        <v>1082544</v>
      </c>
      <c r="TH42" s="82">
        <f t="shared" si="920"/>
        <v>1082544</v>
      </c>
      <c r="TI42" s="82">
        <f t="shared" si="920"/>
        <v>1082544</v>
      </c>
      <c r="TJ42" s="82">
        <f>TI42+14802*19</f>
        <v>1363782</v>
      </c>
      <c r="TK42" s="82">
        <f t="shared" si="921"/>
        <v>1363782</v>
      </c>
      <c r="TL42" s="82">
        <f t="shared" si="921"/>
        <v>1363782</v>
      </c>
      <c r="TM42" s="82">
        <f t="shared" si="921"/>
        <v>1363782</v>
      </c>
      <c r="TN42" s="82">
        <f>TM42</f>
        <v>1363782</v>
      </c>
      <c r="TO42" s="82">
        <f>TN42</f>
        <v>1363782</v>
      </c>
      <c r="TP42" s="82">
        <f t="shared" si="1027"/>
        <v>1363782</v>
      </c>
      <c r="TQ42" s="82">
        <f t="shared" si="1027"/>
        <v>1363782</v>
      </c>
      <c r="TR42" s="130"/>
      <c r="TS42" s="82">
        <f>TQ42+10907*19</f>
        <v>1571015</v>
      </c>
      <c r="TT42" s="82">
        <f>TS42</f>
        <v>1571015</v>
      </c>
      <c r="TU42" s="82">
        <f>TT42</f>
        <v>1571015</v>
      </c>
      <c r="TV42" s="82">
        <f>TU42</f>
        <v>1571015</v>
      </c>
      <c r="TW42" s="82">
        <f>TV42+8871*19</f>
        <v>1739564</v>
      </c>
      <c r="TX42" s="82">
        <f>TW42</f>
        <v>1739564</v>
      </c>
      <c r="TY42" s="82">
        <f>TX42-1571015</f>
        <v>168549</v>
      </c>
      <c r="TZ42" s="82">
        <f>TY42+10900*19</f>
        <v>375649</v>
      </c>
      <c r="UA42" s="82">
        <f>TZ42</f>
        <v>375649</v>
      </c>
      <c r="UB42" s="82">
        <f>UA42</f>
        <v>375649</v>
      </c>
      <c r="UC42" s="82">
        <f>UB42</f>
        <v>375649</v>
      </c>
      <c r="UD42" s="82">
        <f>UC42+8882*19</f>
        <v>544407</v>
      </c>
      <c r="UE42" s="82">
        <f t="shared" si="922"/>
        <v>544407</v>
      </c>
      <c r="UF42" s="82">
        <f t="shared" si="922"/>
        <v>544407</v>
      </c>
      <c r="UG42" s="82">
        <f t="shared" si="922"/>
        <v>544407</v>
      </c>
      <c r="UH42" s="82">
        <f t="shared" si="922"/>
        <v>544407</v>
      </c>
      <c r="UI42" s="82">
        <f>UH42</f>
        <v>544407</v>
      </c>
      <c r="UJ42" s="82">
        <f>UI42+9908*19</f>
        <v>732659</v>
      </c>
      <c r="UK42" s="82">
        <f>UJ42</f>
        <v>732659</v>
      </c>
      <c r="UL42" s="82">
        <f>UK42+9885*19</f>
        <v>920474</v>
      </c>
      <c r="UM42" s="82">
        <f>UL42</f>
        <v>920474</v>
      </c>
      <c r="UN42" s="82">
        <f>UM42</f>
        <v>920474</v>
      </c>
      <c r="UO42" s="82">
        <f>UN42</f>
        <v>920474</v>
      </c>
      <c r="UP42" s="82">
        <f>UO42+7913*19</f>
        <v>1070821</v>
      </c>
      <c r="UQ42" s="82">
        <f>UP42</f>
        <v>1070821</v>
      </c>
      <c r="UR42" s="82">
        <f>UQ42</f>
        <v>1070821</v>
      </c>
      <c r="US42" s="82">
        <f>UR42</f>
        <v>1070821</v>
      </c>
      <c r="UT42" s="82">
        <f>US42</f>
        <v>1070821</v>
      </c>
      <c r="UU42" s="82">
        <f>UT42+10864*19</f>
        <v>1277237</v>
      </c>
      <c r="UV42" s="82">
        <f>UU42+10000*19</f>
        <v>1467237</v>
      </c>
      <c r="UW42" s="82">
        <f>UV42</f>
        <v>1467237</v>
      </c>
      <c r="UX42" s="130"/>
      <c r="UY42" s="82">
        <f>UW42</f>
        <v>1467237</v>
      </c>
      <c r="UZ42" s="82">
        <f>UY42</f>
        <v>1467237</v>
      </c>
      <c r="VA42" s="82">
        <f>UY42</f>
        <v>1467237</v>
      </c>
      <c r="VB42" s="82">
        <f>UZ42+2979*19+12977*19</f>
        <v>1770401</v>
      </c>
      <c r="VC42" s="82">
        <f>VB42</f>
        <v>1770401</v>
      </c>
      <c r="VD42" s="82">
        <f>VB42+4964*19</f>
        <v>1864717</v>
      </c>
      <c r="VE42" s="82">
        <f>VD42-1467237</f>
        <v>397480</v>
      </c>
      <c r="VF42" s="82">
        <f>VE42</f>
        <v>397480</v>
      </c>
      <c r="VG42" s="82">
        <f>VE42</f>
        <v>397480</v>
      </c>
      <c r="VH42" s="82">
        <f>VF42</f>
        <v>397480</v>
      </c>
      <c r="VI42" s="82">
        <f>VG42+12854*19+4976*19+2986*19</f>
        <v>792984</v>
      </c>
      <c r="VJ42" s="82">
        <f>VI42</f>
        <v>792984</v>
      </c>
      <c r="VK42" s="82">
        <f>VI42</f>
        <v>792984</v>
      </c>
      <c r="VL42" s="82">
        <f>VJ42</f>
        <v>792984</v>
      </c>
      <c r="VM42" s="82">
        <f>VK42+7907*19</f>
        <v>943217</v>
      </c>
      <c r="VN42" s="82">
        <f>VM42</f>
        <v>943217</v>
      </c>
      <c r="VO42" s="82">
        <f>VM42</f>
        <v>943217</v>
      </c>
      <c r="VP42" s="82">
        <f>VN42</f>
        <v>943217</v>
      </c>
      <c r="VQ42" s="82">
        <f>VO42+6926*19+7944*19</f>
        <v>1225747</v>
      </c>
      <c r="VR42" s="82">
        <f>VQ42</f>
        <v>1225747</v>
      </c>
      <c r="VS42" s="82">
        <f>VQ42</f>
        <v>1225747</v>
      </c>
      <c r="VT42" s="82">
        <f>VR42+6926*19</f>
        <v>1357341</v>
      </c>
      <c r="VU42" s="82">
        <f>VT42</f>
        <v>1357341</v>
      </c>
      <c r="VV42" s="82">
        <f>VT42</f>
        <v>1357341</v>
      </c>
      <c r="VW42" s="82">
        <f>VU42</f>
        <v>1357341</v>
      </c>
      <c r="VX42" s="82">
        <f>VV42</f>
        <v>1357341</v>
      </c>
      <c r="VY42" s="82">
        <f>VW42+11856*19</f>
        <v>1582605</v>
      </c>
      <c r="VZ42" s="82">
        <f>VY42</f>
        <v>1582605</v>
      </c>
      <c r="WA42" s="133"/>
      <c r="WB42" s="82">
        <f>VZ42</f>
        <v>1582605</v>
      </c>
      <c r="WC42" s="82">
        <f>WB42</f>
        <v>1582605</v>
      </c>
      <c r="WD42" s="82">
        <f>WB42</f>
        <v>1582605</v>
      </c>
      <c r="WE42" s="82">
        <f>WC42</f>
        <v>1582605</v>
      </c>
      <c r="WF42" s="82">
        <f>WD42</f>
        <v>1582605</v>
      </c>
      <c r="WG42" s="82">
        <f>WE42</f>
        <v>1582605</v>
      </c>
      <c r="WH42" s="82">
        <f>WF42+15787*19+3970*19+3971*19</f>
        <v>2033437</v>
      </c>
      <c r="WI42" s="82">
        <f>WH42</f>
        <v>2033437</v>
      </c>
      <c r="WJ42" s="82">
        <f>WH42-1582605</f>
        <v>450832</v>
      </c>
      <c r="WK42" s="82">
        <f>WJ42</f>
        <v>450832</v>
      </c>
      <c r="WL42" s="82">
        <f>WJ42+7947*19</f>
        <v>601825</v>
      </c>
      <c r="WM42" s="82">
        <f>WL42</f>
        <v>601825</v>
      </c>
      <c r="WN42" s="82">
        <f>WL42</f>
        <v>601825</v>
      </c>
      <c r="WO42" s="82">
        <f>WM42</f>
        <v>601825</v>
      </c>
      <c r="WP42" s="82">
        <f>WN42</f>
        <v>601825</v>
      </c>
      <c r="WQ42" s="82">
        <f>WO42+14838*19</f>
        <v>883747</v>
      </c>
      <c r="WR42" s="82">
        <f>WQ42</f>
        <v>883747</v>
      </c>
      <c r="WS42" s="82">
        <f>WQ42</f>
        <v>883747</v>
      </c>
      <c r="WT42" s="82">
        <f>WR42</f>
        <v>883747</v>
      </c>
      <c r="WU42" s="82">
        <f>WS42</f>
        <v>883747</v>
      </c>
      <c r="WV42" s="82">
        <f>WT42+8000*19</f>
        <v>1035747</v>
      </c>
      <c r="WW42" s="82">
        <f>WV42</f>
        <v>1035747</v>
      </c>
      <c r="WX42" s="82">
        <f>WV42</f>
        <v>1035747</v>
      </c>
      <c r="WY42" s="82">
        <f>WW42</f>
        <v>1035747</v>
      </c>
      <c r="WZ42" s="82">
        <f>WX42+8000*19</f>
        <v>1187747</v>
      </c>
      <c r="XA42" s="82">
        <f>WZ42+11873*19</f>
        <v>1413334</v>
      </c>
      <c r="XB42" s="82">
        <f>XA42</f>
        <v>1413334</v>
      </c>
      <c r="XC42" s="82">
        <f>XA42</f>
        <v>1413334</v>
      </c>
      <c r="XD42" s="82">
        <f>XB42</f>
        <v>1413334</v>
      </c>
      <c r="XE42" s="82">
        <f>XC42</f>
        <v>1413334</v>
      </c>
      <c r="XF42" s="82">
        <f>XD42+13867*19</f>
        <v>1676807</v>
      </c>
      <c r="XG42" s="133"/>
      <c r="XH42" s="82">
        <f>XF42+7998*19</f>
        <v>1828769</v>
      </c>
      <c r="XI42" s="82">
        <f>XH42</f>
        <v>1828769</v>
      </c>
      <c r="XJ42" s="82">
        <f t="shared" si="1031"/>
        <v>1828769</v>
      </c>
      <c r="XK42" s="82">
        <f t="shared" si="1031"/>
        <v>1828769</v>
      </c>
      <c r="XL42" s="82">
        <f>XK42</f>
        <v>1828769</v>
      </c>
      <c r="XM42" s="82">
        <f>XL42</f>
        <v>1828769</v>
      </c>
      <c r="XN42" s="82">
        <f t="shared" si="926"/>
        <v>1828769</v>
      </c>
      <c r="XO42" s="82">
        <f t="shared" si="926"/>
        <v>1828769</v>
      </c>
      <c r="XP42" s="82">
        <f>XO42+14000*19-1828700</f>
        <v>266069</v>
      </c>
      <c r="XQ42" s="82">
        <f>XP42</f>
        <v>266069</v>
      </c>
      <c r="XR42" s="82">
        <f>XQ42+7000*19</f>
        <v>399069</v>
      </c>
      <c r="XS42" s="82">
        <f>XR42</f>
        <v>399069</v>
      </c>
      <c r="XT42" s="82">
        <f t="shared" si="927"/>
        <v>399069</v>
      </c>
      <c r="XU42" s="82">
        <f t="shared" si="927"/>
        <v>399069</v>
      </c>
      <c r="XV42" s="82">
        <f>XU42+7904*19</f>
        <v>549245</v>
      </c>
      <c r="XW42" s="82">
        <f>XV42</f>
        <v>549245</v>
      </c>
      <c r="XX42" s="82">
        <f>XW42</f>
        <v>549245</v>
      </c>
      <c r="XY42" s="82">
        <f>XX42+7899*19</f>
        <v>699326</v>
      </c>
      <c r="XZ42" s="82">
        <f>XY42+7000*19</f>
        <v>832326</v>
      </c>
      <c r="YA42" s="82">
        <f t="shared" si="928"/>
        <v>832326</v>
      </c>
      <c r="YB42" s="82">
        <f t="shared" si="928"/>
        <v>832326</v>
      </c>
      <c r="YC42" s="82">
        <f>YB42</f>
        <v>832326</v>
      </c>
      <c r="YD42" s="82">
        <f>YC42+7910*19</f>
        <v>982616</v>
      </c>
      <c r="YE42" s="82">
        <f>YD42</f>
        <v>982616</v>
      </c>
      <c r="YF42" s="82">
        <f>YE42+9942*19</f>
        <v>1171514</v>
      </c>
      <c r="YG42" s="82">
        <f>YF42</f>
        <v>1171514</v>
      </c>
      <c r="YH42" s="82">
        <f t="shared" si="929"/>
        <v>1171514</v>
      </c>
      <c r="YI42" s="82">
        <f t="shared" si="929"/>
        <v>1171514</v>
      </c>
      <c r="YJ42" s="82">
        <f>YI42+8957*19</f>
        <v>1341697</v>
      </c>
      <c r="YK42" s="82">
        <f>YJ42</f>
        <v>1341697</v>
      </c>
      <c r="YL42" s="130"/>
      <c r="YM42" s="82">
        <f>YK42</f>
        <v>1341697</v>
      </c>
      <c r="YN42" s="82">
        <f>YM42</f>
        <v>1341697</v>
      </c>
      <c r="YO42" s="82">
        <f>YN42</f>
        <v>1341697</v>
      </c>
      <c r="YP42" s="82">
        <f>YO42</f>
        <v>1341697</v>
      </c>
      <c r="YQ42" s="82">
        <f t="shared" si="1035"/>
        <v>1341697</v>
      </c>
      <c r="YR42" s="82">
        <f t="shared" si="1035"/>
        <v>1341697</v>
      </c>
      <c r="YS42" s="82">
        <f>YR42</f>
        <v>1341697</v>
      </c>
      <c r="YT42" s="82">
        <f>YS42</f>
        <v>1341697</v>
      </c>
      <c r="YU42" s="82">
        <f>YT42+7000*19+8000*19</f>
        <v>1626697</v>
      </c>
      <c r="YV42" s="82">
        <f>YU42</f>
        <v>1626697</v>
      </c>
      <c r="YW42" s="82">
        <f>YV42+7000*19-1341697</f>
        <v>418000</v>
      </c>
      <c r="YX42" s="82">
        <f>YW42+9914*19</f>
        <v>606366</v>
      </c>
      <c r="YY42" s="82">
        <f t="shared" si="930"/>
        <v>606366</v>
      </c>
      <c r="YZ42" s="82">
        <f t="shared" si="930"/>
        <v>606366</v>
      </c>
      <c r="ZA42" s="82">
        <f t="shared" si="930"/>
        <v>606366</v>
      </c>
      <c r="ZB42" s="82">
        <f>ZA42+12881*19</f>
        <v>851105</v>
      </c>
      <c r="ZC42" s="82">
        <f>ZB42</f>
        <v>851105</v>
      </c>
      <c r="ZD42" s="82">
        <f t="shared" si="931"/>
        <v>851105</v>
      </c>
      <c r="ZE42" s="82">
        <f t="shared" si="931"/>
        <v>851105</v>
      </c>
      <c r="ZF42" s="82">
        <f>ZE42</f>
        <v>851105</v>
      </c>
      <c r="ZG42" s="82">
        <f>ZF42</f>
        <v>851105</v>
      </c>
      <c r="ZH42" s="82">
        <f>ZG42+6938*19</f>
        <v>982927</v>
      </c>
      <c r="ZI42" s="82">
        <f>ZH42+6000*19</f>
        <v>1096927</v>
      </c>
      <c r="ZJ42" s="82">
        <f>ZI42</f>
        <v>1096927</v>
      </c>
      <c r="ZK42" s="82">
        <f>ZJ42</f>
        <v>1096927</v>
      </c>
      <c r="ZL42" s="82">
        <f>ZK42</f>
        <v>1096927</v>
      </c>
      <c r="ZM42" s="82">
        <f>ZL42+12894*19</f>
        <v>1341913</v>
      </c>
      <c r="ZN42" s="82">
        <f>ZM42+9500*19</f>
        <v>1522413</v>
      </c>
      <c r="ZO42" s="82">
        <f>ZN42+7921*19</f>
        <v>1672912</v>
      </c>
      <c r="ZP42" s="82">
        <f t="shared" si="932"/>
        <v>1672912</v>
      </c>
      <c r="ZQ42" s="82">
        <f t="shared" si="932"/>
        <v>1672912</v>
      </c>
      <c r="ZR42" s="130"/>
      <c r="ZS42" s="82">
        <f>ZQ42</f>
        <v>1672912</v>
      </c>
      <c r="ZT42" s="82">
        <f>ZS42</f>
        <v>1672912</v>
      </c>
      <c r="ZU42" s="82">
        <v>0</v>
      </c>
      <c r="ZV42" s="82">
        <f>ZU42</f>
        <v>0</v>
      </c>
      <c r="ZW42" s="82">
        <f>10000*19</f>
        <v>190000</v>
      </c>
      <c r="ZX42" s="82">
        <f>ZW42+12855*19</f>
        <v>434245</v>
      </c>
      <c r="ZY42" s="82">
        <f>ZX42</f>
        <v>434245</v>
      </c>
      <c r="ZZ42" s="82">
        <f>ZY42</f>
        <v>434245</v>
      </c>
      <c r="AAA42" s="82">
        <f t="shared" si="933"/>
        <v>434245</v>
      </c>
      <c r="AAB42" s="82">
        <f t="shared" si="933"/>
        <v>434245</v>
      </c>
      <c r="AAC42" s="82">
        <f>AAB42</f>
        <v>434245</v>
      </c>
      <c r="AAD42" s="82">
        <f>AAC42+12877*19</f>
        <v>678908</v>
      </c>
      <c r="AAE42" s="82">
        <f t="shared" si="934"/>
        <v>678908</v>
      </c>
      <c r="AAF42" s="82">
        <f t="shared" si="934"/>
        <v>678908</v>
      </c>
      <c r="AAG42" s="82">
        <f t="shared" si="934"/>
        <v>678908</v>
      </c>
      <c r="AAH42" s="82">
        <f>AAG42</f>
        <v>678908</v>
      </c>
      <c r="AAI42" s="82">
        <f>AAH42+9941*19</f>
        <v>867787</v>
      </c>
      <c r="AAJ42" s="82">
        <f>AAI42+11933*19</f>
        <v>1094514</v>
      </c>
      <c r="AAK42" s="82">
        <f t="shared" si="935"/>
        <v>1094514</v>
      </c>
      <c r="AAL42" s="82">
        <f t="shared" si="935"/>
        <v>1094514</v>
      </c>
      <c r="AAM42" s="82">
        <f t="shared" si="935"/>
        <v>1094514</v>
      </c>
      <c r="AAN42" s="82">
        <f t="shared" si="935"/>
        <v>1094514</v>
      </c>
      <c r="AAO42" s="82">
        <f>AAN42</f>
        <v>1094514</v>
      </c>
      <c r="AAP42" s="82">
        <f>AAO42+12882*19</f>
        <v>1339272</v>
      </c>
      <c r="AAQ42" s="82">
        <f>AAP42</f>
        <v>1339272</v>
      </c>
      <c r="AAR42" s="82">
        <f>AAQ42+9932*19</f>
        <v>1527980</v>
      </c>
      <c r="AAS42" s="82">
        <f t="shared" si="936"/>
        <v>1527980</v>
      </c>
      <c r="AAT42" s="82">
        <f t="shared" si="936"/>
        <v>1527980</v>
      </c>
      <c r="AAU42" s="82">
        <f>AAT42</f>
        <v>1527980</v>
      </c>
      <c r="AAV42" s="82">
        <f>AAU42</f>
        <v>1527980</v>
      </c>
      <c r="AAW42" s="130"/>
      <c r="AAX42" s="82">
        <f>AAV42+12408*19</f>
        <v>1763732</v>
      </c>
      <c r="AAY42" s="82">
        <f t="shared" si="937"/>
        <v>1763732</v>
      </c>
      <c r="AAZ42" s="82">
        <f t="shared" si="937"/>
        <v>1763732</v>
      </c>
      <c r="ABA42" s="82">
        <f>AAZ42</f>
        <v>1763732</v>
      </c>
      <c r="ABB42" s="82">
        <f>ABA42+8000*19</f>
        <v>1915732</v>
      </c>
      <c r="ABC42" s="82">
        <f t="shared" si="938"/>
        <v>1915732</v>
      </c>
      <c r="ABD42" s="82">
        <f t="shared" si="938"/>
        <v>1915732</v>
      </c>
      <c r="ABE42" s="82">
        <f>ABD42+11887*19</f>
        <v>2141585</v>
      </c>
      <c r="ABF42" s="82">
        <f>ABE42</f>
        <v>2141585</v>
      </c>
      <c r="ABG42" s="82">
        <f>ABF42+6000*19</f>
        <v>2255585</v>
      </c>
      <c r="ABH42" s="82">
        <f t="shared" si="939"/>
        <v>2255585</v>
      </c>
      <c r="ABI42" s="82">
        <f t="shared" si="939"/>
        <v>2255585</v>
      </c>
      <c r="ABJ42" s="82">
        <f t="shared" si="1045"/>
        <v>2255585</v>
      </c>
      <c r="ABK42" s="82">
        <f t="shared" si="1045"/>
        <v>2255585</v>
      </c>
      <c r="ABL42" s="82">
        <f>ABK42</f>
        <v>2255585</v>
      </c>
      <c r="ABM42" s="82">
        <f>ABL42+14901*19</f>
        <v>2538704</v>
      </c>
      <c r="ABN42" s="82">
        <f>ABM42-1763732</f>
        <v>774972</v>
      </c>
      <c r="ABO42" s="82">
        <f>ABN42</f>
        <v>774972</v>
      </c>
      <c r="ABP42" s="82">
        <f>ABO42+8000*19</f>
        <v>926972</v>
      </c>
      <c r="ABQ42" s="82">
        <f>ABP42+8000*19+1963*19</f>
        <v>1116269</v>
      </c>
      <c r="ABR42" s="82">
        <f>ABQ42</f>
        <v>1116269</v>
      </c>
      <c r="ABS42" s="82">
        <f t="shared" si="940"/>
        <v>1116269</v>
      </c>
      <c r="ABT42" s="82">
        <f t="shared" si="940"/>
        <v>1116269</v>
      </c>
      <c r="ABU42" s="82">
        <f t="shared" si="940"/>
        <v>1116269</v>
      </c>
      <c r="ABV42" s="82">
        <f>ABU42+12350*19</f>
        <v>1350919</v>
      </c>
      <c r="ABW42" s="82">
        <f t="shared" si="941"/>
        <v>1350919</v>
      </c>
      <c r="ABX42" s="82">
        <f t="shared" si="941"/>
        <v>1350919</v>
      </c>
      <c r="ABY42" s="82">
        <f>ABX42</f>
        <v>1350919</v>
      </c>
      <c r="ABZ42" s="82">
        <f>ABY42+7933*19</f>
        <v>1501646</v>
      </c>
      <c r="ACA42" s="82">
        <f>ABZ42+11904*19</f>
        <v>1727822</v>
      </c>
      <c r="ACB42" s="82">
        <f>ACA42</f>
        <v>1727822</v>
      </c>
      <c r="ACC42" s="130"/>
      <c r="ACD42" s="82">
        <f>ACB42</f>
        <v>1727822</v>
      </c>
      <c r="ACE42" s="82">
        <f t="shared" si="942"/>
        <v>1727822</v>
      </c>
      <c r="ACF42" s="82">
        <f t="shared" si="942"/>
        <v>1727822</v>
      </c>
      <c r="ACG42" s="82">
        <f>ACF42</f>
        <v>1727822</v>
      </c>
      <c r="ACH42" s="82">
        <f>ACG42</f>
        <v>1727822</v>
      </c>
      <c r="ACI42" s="82">
        <f>ACH42+12983*19-1727822</f>
        <v>246677</v>
      </c>
      <c r="ACJ42" s="82">
        <f>ACI42</f>
        <v>246677</v>
      </c>
      <c r="ACK42" s="82">
        <f>ACJ42</f>
        <v>246677</v>
      </c>
      <c r="ACL42" s="82">
        <f>ACK42+7943*19</f>
        <v>397594</v>
      </c>
      <c r="ACM42" s="82">
        <f t="shared" si="943"/>
        <v>397594</v>
      </c>
      <c r="ACN42" s="82">
        <f t="shared" si="943"/>
        <v>397594</v>
      </c>
      <c r="ACO42" s="82">
        <f t="shared" si="943"/>
        <v>397594</v>
      </c>
      <c r="ACP42" s="82">
        <f>ACO42+16978*19</f>
        <v>720176</v>
      </c>
      <c r="ACQ42" s="82">
        <f>ACP42</f>
        <v>720176</v>
      </c>
      <c r="ACR42" s="82">
        <f t="shared" si="944"/>
        <v>720176</v>
      </c>
      <c r="ACS42" s="82">
        <f t="shared" si="944"/>
        <v>720176</v>
      </c>
      <c r="ACT42" s="82">
        <f>ACS42</f>
        <v>720176</v>
      </c>
      <c r="ACU42" s="82">
        <f>ACT42</f>
        <v>720176</v>
      </c>
      <c r="ACV42" s="82">
        <f>ACU42+10380*19</f>
        <v>917396</v>
      </c>
      <c r="ACW42" s="82">
        <f>ACV42</f>
        <v>917396</v>
      </c>
      <c r="ACX42" s="82">
        <f>ACW42</f>
        <v>917396</v>
      </c>
      <c r="ACY42" s="82">
        <f>ACX42+9927*19</f>
        <v>1106009</v>
      </c>
      <c r="ACZ42" s="82">
        <f>ACY42</f>
        <v>1106009</v>
      </c>
      <c r="ADA42" s="82">
        <f>ACZ42</f>
        <v>1106009</v>
      </c>
      <c r="ADB42" s="82">
        <f>ADA42+8946*19</f>
        <v>1275983</v>
      </c>
      <c r="ADC42" s="82">
        <f>ADB42+9931*19</f>
        <v>1464672</v>
      </c>
      <c r="ADD42" s="82">
        <f t="shared" si="945"/>
        <v>1464672</v>
      </c>
      <c r="ADE42" s="82">
        <f t="shared" si="945"/>
        <v>1464672</v>
      </c>
      <c r="ADF42" s="82">
        <f>ADE42</f>
        <v>1464672</v>
      </c>
      <c r="ADG42" s="82">
        <f>ADF42+7910*19</f>
        <v>1614962</v>
      </c>
      <c r="ADH42" s="82">
        <f>ADG42</f>
        <v>1614962</v>
      </c>
      <c r="ADI42" s="130"/>
      <c r="ADJ42" s="82">
        <f>ADH42</f>
        <v>1614962</v>
      </c>
      <c r="ADK42" s="82">
        <f>ADJ42</f>
        <v>1614962</v>
      </c>
      <c r="ADL42" s="82">
        <f>ADK42</f>
        <v>1614962</v>
      </c>
      <c r="ADM42" s="82">
        <f>ADL42</f>
        <v>1614962</v>
      </c>
      <c r="ADN42" s="82">
        <f>ADM42+11865*19</f>
        <v>1840397</v>
      </c>
      <c r="ADO42" s="82">
        <f>ADN42+8000*19</f>
        <v>1992397</v>
      </c>
      <c r="ADP42" s="82">
        <f>ADO42</f>
        <v>1992397</v>
      </c>
      <c r="ADQ42" s="82">
        <f t="shared" si="946"/>
        <v>1992397</v>
      </c>
      <c r="ADR42" s="82">
        <f t="shared" si="946"/>
        <v>1992397</v>
      </c>
      <c r="ADS42" s="82">
        <f t="shared" si="946"/>
        <v>1992397</v>
      </c>
      <c r="ADT42" s="82">
        <f t="shared" si="946"/>
        <v>1992397</v>
      </c>
      <c r="ADU42" s="82">
        <f>ADT42+12870*19</f>
        <v>2236927</v>
      </c>
      <c r="ADV42" s="82">
        <f>ADU42</f>
        <v>2236927</v>
      </c>
      <c r="ADW42" s="82">
        <f>ADV42-1614962</f>
        <v>621965</v>
      </c>
      <c r="ADX42" s="82">
        <f>ADW42</f>
        <v>621965</v>
      </c>
      <c r="ADY42" s="82">
        <f>ADX42+7968*19</f>
        <v>773357</v>
      </c>
      <c r="ADZ42" s="82">
        <f t="shared" si="947"/>
        <v>773357</v>
      </c>
      <c r="AEA42" s="82">
        <f t="shared" si="947"/>
        <v>773357</v>
      </c>
      <c r="AEB42" s="82">
        <f>AEA42</f>
        <v>773357</v>
      </c>
      <c r="AEC42" s="82">
        <f>AEB42+10908*19</f>
        <v>980609</v>
      </c>
      <c r="AED42" s="82">
        <f t="shared" si="948"/>
        <v>980609</v>
      </c>
      <c r="AEE42" s="82">
        <f t="shared" si="948"/>
        <v>980609</v>
      </c>
      <c r="AEF42" s="82">
        <f t="shared" si="948"/>
        <v>980609</v>
      </c>
      <c r="AEG42" s="82">
        <f t="shared" si="948"/>
        <v>980609</v>
      </c>
      <c r="AEH42" s="82">
        <f>AEG42</f>
        <v>980609</v>
      </c>
      <c r="AEI42" s="82">
        <f>AEH42+8000*19</f>
        <v>1132609</v>
      </c>
      <c r="AEJ42" s="82">
        <f>AEI42+7973*19</f>
        <v>1284096</v>
      </c>
      <c r="AEK42" s="82">
        <f t="shared" si="949"/>
        <v>1284096</v>
      </c>
      <c r="AEL42" s="82">
        <f t="shared" si="949"/>
        <v>1284096</v>
      </c>
      <c r="AEM42" s="82">
        <f>AEL42+8914*19</f>
        <v>1453462</v>
      </c>
      <c r="AEN42" s="130"/>
      <c r="AEO42" s="82">
        <f>AEM42</f>
        <v>1453462</v>
      </c>
      <c r="AEP42" s="82">
        <f>AEO42</f>
        <v>1453462</v>
      </c>
      <c r="AEQ42" s="82">
        <f>AEP42+4973*19</f>
        <v>1547949</v>
      </c>
      <c r="AER42" s="82">
        <f>AEQ42</f>
        <v>1547949</v>
      </c>
      <c r="AES42" s="82">
        <f>AER42</f>
        <v>1547949</v>
      </c>
      <c r="AET42" s="82">
        <f>AES42</f>
        <v>1547949</v>
      </c>
      <c r="AEU42" s="82">
        <f>AET42-1453462</f>
        <v>94487</v>
      </c>
      <c r="AEV42" s="82">
        <f>AEU42+7896*19</f>
        <v>244511</v>
      </c>
      <c r="AEW42" s="82">
        <f t="shared" si="950"/>
        <v>244511</v>
      </c>
      <c r="AEX42" s="82">
        <f t="shared" si="950"/>
        <v>244511</v>
      </c>
      <c r="AEY42" s="82">
        <f>AEX42+7950*19</f>
        <v>395561</v>
      </c>
      <c r="AEZ42" s="82">
        <f>AEY42</f>
        <v>395561</v>
      </c>
      <c r="AFA42" s="82">
        <f>AEZ42</f>
        <v>395561</v>
      </c>
      <c r="AFB42" s="82">
        <f>AFA42+12891*19</f>
        <v>640490</v>
      </c>
      <c r="AFC42" s="82">
        <f t="shared" si="951"/>
        <v>640490</v>
      </c>
      <c r="AFD42" s="82">
        <f t="shared" si="951"/>
        <v>640490</v>
      </c>
      <c r="AFE42" s="82">
        <f>AFD42+7954*19</f>
        <v>791616</v>
      </c>
      <c r="AFF42" s="82">
        <f>AFE42+7914*19</f>
        <v>941982</v>
      </c>
      <c r="AFG42" s="82">
        <f>AFF42</f>
        <v>941982</v>
      </c>
      <c r="AFH42" s="82">
        <f t="shared" si="952"/>
        <v>941982</v>
      </c>
      <c r="AFI42" s="82">
        <f t="shared" si="952"/>
        <v>941982</v>
      </c>
      <c r="AFJ42" s="82">
        <f t="shared" si="952"/>
        <v>941982</v>
      </c>
      <c r="AFK42" s="82">
        <f t="shared" si="952"/>
        <v>941982</v>
      </c>
      <c r="AFL42" s="82">
        <f>AFK42+8000*19</f>
        <v>1093982</v>
      </c>
      <c r="AFM42" s="82">
        <f t="shared" si="953"/>
        <v>1093982</v>
      </c>
      <c r="AFN42" s="82">
        <f t="shared" si="953"/>
        <v>1093982</v>
      </c>
      <c r="AFO42" s="82">
        <f t="shared" si="953"/>
        <v>1093982</v>
      </c>
      <c r="AFP42" s="82">
        <f t="shared" si="953"/>
        <v>1093982</v>
      </c>
      <c r="AFQ42" s="82">
        <f t="shared" si="1062"/>
        <v>1093982</v>
      </c>
      <c r="AFR42" s="82">
        <f t="shared" si="1062"/>
        <v>1093982</v>
      </c>
      <c r="AFS42" s="82">
        <f>AFR42</f>
        <v>1093982</v>
      </c>
      <c r="AFT42" s="130"/>
      <c r="AFU42" s="82">
        <f>AFS42+12932*19+11846*19</f>
        <v>1564764</v>
      </c>
      <c r="AFV42" s="82">
        <f t="shared" si="954"/>
        <v>1564764</v>
      </c>
      <c r="AFW42" s="82">
        <f t="shared" si="954"/>
        <v>1564764</v>
      </c>
      <c r="AFX42" s="82">
        <f t="shared" si="954"/>
        <v>1564764</v>
      </c>
      <c r="AFY42" s="82">
        <f t="shared" si="954"/>
        <v>1564764</v>
      </c>
      <c r="AFZ42" s="82">
        <f>AFY42+9915*19</f>
        <v>1753149</v>
      </c>
      <c r="AGA42" s="82">
        <f>AFZ42</f>
        <v>1753149</v>
      </c>
      <c r="AGB42" s="82">
        <f t="shared" si="955"/>
        <v>1753149</v>
      </c>
      <c r="AGC42" s="82">
        <f t="shared" si="955"/>
        <v>1753149</v>
      </c>
      <c r="AGD42" s="82">
        <f>9915*19</f>
        <v>188385</v>
      </c>
      <c r="AGE42" s="82">
        <f>AGD42</f>
        <v>188385</v>
      </c>
      <c r="AGF42" s="82">
        <f>AGE42+12839*19</f>
        <v>432326</v>
      </c>
      <c r="AGG42" s="82">
        <f>AGF42</f>
        <v>432326</v>
      </c>
      <c r="AGH42" s="82">
        <f>AGG42+7943*19</f>
        <v>583243</v>
      </c>
      <c r="AGI42" s="82">
        <f t="shared" si="956"/>
        <v>583243</v>
      </c>
      <c r="AGJ42" s="82">
        <f t="shared" si="956"/>
        <v>583243</v>
      </c>
      <c r="AGK42" s="82">
        <f>AGJ42</f>
        <v>583243</v>
      </c>
      <c r="AGL42" s="82">
        <f t="shared" si="957"/>
        <v>583243</v>
      </c>
      <c r="AGM42" s="82">
        <f t="shared" si="957"/>
        <v>583243</v>
      </c>
      <c r="AGN42" s="82">
        <f>AGM42</f>
        <v>583243</v>
      </c>
      <c r="AGO42" s="82">
        <f>AGN42+12802*19</f>
        <v>826481</v>
      </c>
      <c r="AGP42" s="82">
        <f>AGO42</f>
        <v>826481</v>
      </c>
      <c r="AGQ42" s="82">
        <f>AGP42+4966*19</f>
        <v>920835</v>
      </c>
      <c r="AGR42" s="82">
        <f>AGQ42</f>
        <v>920835</v>
      </c>
      <c r="AGS42" s="82">
        <f>AGR42</f>
        <v>920835</v>
      </c>
      <c r="AGT42" s="82">
        <f>AGS42+8852*19</f>
        <v>1089023</v>
      </c>
      <c r="AGU42" s="82">
        <f t="shared" si="958"/>
        <v>1089023</v>
      </c>
      <c r="AGV42" s="82">
        <f t="shared" si="958"/>
        <v>1089023</v>
      </c>
      <c r="AGW42" s="82">
        <f>AGV42+6952*19</f>
        <v>1221111</v>
      </c>
      <c r="AGX42" s="82">
        <f>AGW42</f>
        <v>1221111</v>
      </c>
      <c r="AGY42" s="133"/>
      <c r="AGZ42" s="82">
        <f>AGX42</f>
        <v>1221111</v>
      </c>
      <c r="AHA42" s="82">
        <f>AGZ42</f>
        <v>1221111</v>
      </c>
      <c r="AHB42" s="82">
        <f>AHA42+12798*19</f>
        <v>1464273</v>
      </c>
      <c r="AHC42" s="82">
        <f>AHB42</f>
        <v>1464273</v>
      </c>
      <c r="AHD42" s="82">
        <f>AHC42</f>
        <v>1464273</v>
      </c>
      <c r="AHE42" s="82">
        <f>AHD42+7941*19</f>
        <v>1615152</v>
      </c>
      <c r="AHF42" s="82">
        <f t="shared" si="959"/>
        <v>1615152</v>
      </c>
      <c r="AHG42" s="82">
        <f t="shared" si="959"/>
        <v>1615152</v>
      </c>
      <c r="AHH42" s="82">
        <f>AHG42</f>
        <v>1615152</v>
      </c>
      <c r="AHI42" s="82">
        <f>AHH42</f>
        <v>1615152</v>
      </c>
      <c r="AHJ42" s="82">
        <f>AHI42+8000*19+12802*19</f>
        <v>2010390</v>
      </c>
      <c r="AHK42" s="82">
        <f>AHJ42-1221111</f>
        <v>789279</v>
      </c>
      <c r="AHL42" s="82">
        <f t="shared" si="960"/>
        <v>789279</v>
      </c>
      <c r="AHM42" s="82">
        <f t="shared" si="960"/>
        <v>789279</v>
      </c>
      <c r="AHN42" s="82">
        <f>AHM42</f>
        <v>789279</v>
      </c>
      <c r="AHO42" s="82">
        <f>AHN42</f>
        <v>789279</v>
      </c>
      <c r="AHP42" s="82">
        <f>AHO42+13926*19</f>
        <v>1053873</v>
      </c>
      <c r="AHQ42" s="82">
        <f>AHP42</f>
        <v>1053873</v>
      </c>
      <c r="AHR42" s="82">
        <f t="shared" si="1069"/>
        <v>1053873</v>
      </c>
      <c r="AHS42" s="82">
        <f t="shared" si="1069"/>
        <v>1053873</v>
      </c>
      <c r="AHT42" s="82">
        <f>AHS42</f>
        <v>1053873</v>
      </c>
      <c r="AHU42" s="82">
        <f>AHT42</f>
        <v>1053873</v>
      </c>
      <c r="AHV42" s="82">
        <f>AHU42</f>
        <v>1053873</v>
      </c>
      <c r="AHW42" s="82">
        <f>AHV42+7951*19+13843*19</f>
        <v>1467959</v>
      </c>
      <c r="AHX42" s="82">
        <f t="shared" si="1110"/>
        <v>1467959</v>
      </c>
      <c r="AHY42" s="82">
        <f t="shared" si="1110"/>
        <v>1467959</v>
      </c>
      <c r="AHZ42" s="82">
        <f t="shared" si="1110"/>
        <v>1467959</v>
      </c>
      <c r="AIA42" s="82">
        <f>AHZ42</f>
        <v>1467959</v>
      </c>
      <c r="AIB42" s="82">
        <f>AIA42</f>
        <v>1467959</v>
      </c>
      <c r="AIC42" s="82">
        <f>AIB42</f>
        <v>1467959</v>
      </c>
      <c r="AID42" s="82">
        <f>AIC42+4984*19+2988*19+4973*19</f>
        <v>1713914</v>
      </c>
      <c r="AIE42" s="130"/>
      <c r="AIF42" s="82">
        <f>AID42</f>
        <v>1713914</v>
      </c>
      <c r="AIG42" s="82">
        <f t="shared" si="962"/>
        <v>1713914</v>
      </c>
      <c r="AIH42" s="82">
        <f t="shared" si="962"/>
        <v>1713914</v>
      </c>
      <c r="AII42" s="82">
        <f>AIH42+2982*19</f>
        <v>1770572</v>
      </c>
      <c r="AIJ42" s="82">
        <f>AII42</f>
        <v>1770572</v>
      </c>
      <c r="AIK42" s="82">
        <f>AIJ42+9927*19</f>
        <v>1959185</v>
      </c>
      <c r="AIL42" s="82">
        <f>AIK42</f>
        <v>1959185</v>
      </c>
      <c r="AIM42" s="82">
        <f>AIL42</f>
        <v>1959185</v>
      </c>
      <c r="AIN42" s="82">
        <f>AIM42+8420*19</f>
        <v>2119165</v>
      </c>
      <c r="AIO42" s="82">
        <f t="shared" si="964"/>
        <v>2119165</v>
      </c>
      <c r="AIP42" s="82">
        <f t="shared" si="964"/>
        <v>2119165</v>
      </c>
      <c r="AIQ42" s="82">
        <f t="shared" si="964"/>
        <v>2119165</v>
      </c>
      <c r="AIR42" s="82">
        <f>AIQ42+4969*19</f>
        <v>2213576</v>
      </c>
      <c r="AIS42" s="82">
        <f t="shared" si="965"/>
        <v>2213576</v>
      </c>
      <c r="AIT42" s="82">
        <f t="shared" si="965"/>
        <v>2213576</v>
      </c>
      <c r="AIU42" s="82">
        <f t="shared" si="965"/>
        <v>2213576</v>
      </c>
      <c r="AIV42" s="82">
        <f t="shared" si="965"/>
        <v>2213576</v>
      </c>
      <c r="AIW42" s="82">
        <f t="shared" si="965"/>
        <v>2213576</v>
      </c>
      <c r="AIX42" s="82">
        <f>AIW42+4942*19-1713914</f>
        <v>593560</v>
      </c>
      <c r="AIY42" s="82">
        <f>AIX42</f>
        <v>593560</v>
      </c>
      <c r="AIZ42" s="82">
        <f>AIY42</f>
        <v>593560</v>
      </c>
      <c r="AJA42" s="82">
        <f>AIZ42+10864*19</f>
        <v>799976</v>
      </c>
      <c r="AJB42" s="82">
        <f>AJA42+9927*19</f>
        <v>988589</v>
      </c>
      <c r="AJC42" s="82">
        <f>AJB42</f>
        <v>988589</v>
      </c>
      <c r="AJD42" s="82">
        <f>AJC42+5000*19</f>
        <v>1083589</v>
      </c>
      <c r="AJE42" s="82">
        <f t="shared" si="966"/>
        <v>1083589</v>
      </c>
      <c r="AJF42" s="82">
        <f t="shared" si="966"/>
        <v>1083589</v>
      </c>
      <c r="AJG42" s="82">
        <f t="shared" si="966"/>
        <v>1083589</v>
      </c>
      <c r="AJH42" s="82">
        <f t="shared" si="966"/>
        <v>1083589</v>
      </c>
      <c r="AJI42" s="82">
        <f>AJH42+6933*19+9395*19</f>
        <v>1393821</v>
      </c>
      <c r="AJJ42" s="82">
        <f>AJI42</f>
        <v>1393821</v>
      </c>
      <c r="AJK42" s="145"/>
      <c r="AJL42" s="82">
        <f>AJJ42</f>
        <v>1393821</v>
      </c>
      <c r="AJM42" s="82">
        <f>AJL42</f>
        <v>1393821</v>
      </c>
      <c r="AJN42" s="82">
        <f>AJM42</f>
        <v>1393821</v>
      </c>
      <c r="AJO42" s="82">
        <f>AJN42</f>
        <v>1393821</v>
      </c>
      <c r="AJP42" s="82">
        <f>AJO42</f>
        <v>1393821</v>
      </c>
      <c r="AJQ42" s="82">
        <f>AJP42+8913*19</f>
        <v>1563168</v>
      </c>
      <c r="AJR42" s="82">
        <f>AJQ42+7969*19</f>
        <v>1714579</v>
      </c>
      <c r="AJS42" s="82">
        <f t="shared" si="967"/>
        <v>1714579</v>
      </c>
      <c r="AJT42" s="82">
        <f t="shared" si="967"/>
        <v>1714579</v>
      </c>
      <c r="AJU42" s="82">
        <f t="shared" si="967"/>
        <v>1714579</v>
      </c>
      <c r="AJV42" s="82">
        <f t="shared" si="967"/>
        <v>1714579</v>
      </c>
      <c r="AJW42" s="82">
        <f>AJV42+4974*19</f>
        <v>1809085</v>
      </c>
      <c r="AJX42" s="82">
        <f>AJW42</f>
        <v>1809085</v>
      </c>
      <c r="AJY42" s="82">
        <f>AJX42+11924*19</f>
        <v>2035641</v>
      </c>
      <c r="AJZ42" s="82">
        <f>AJY42</f>
        <v>2035641</v>
      </c>
      <c r="AKA42" s="82">
        <f>AJZ42</f>
        <v>2035641</v>
      </c>
      <c r="AKB42" s="82">
        <f t="shared" si="968"/>
        <v>2035641</v>
      </c>
      <c r="AKC42" s="82">
        <f t="shared" si="968"/>
        <v>2035641</v>
      </c>
      <c r="AKD42" s="82">
        <f>AKC42+7459*19+7907*19</f>
        <v>2327595</v>
      </c>
      <c r="AKE42" s="82">
        <f>AKD42</f>
        <v>2327595</v>
      </c>
      <c r="AKF42" s="82">
        <f>AKE42</f>
        <v>2327595</v>
      </c>
      <c r="AKG42" s="82">
        <f>AKF42</f>
        <v>2327595</v>
      </c>
      <c r="AKH42" s="82">
        <f>AKG42</f>
        <v>2327595</v>
      </c>
      <c r="AKI42" s="82">
        <f t="shared" si="969"/>
        <v>2327595</v>
      </c>
      <c r="AKJ42" s="82">
        <f t="shared" si="969"/>
        <v>2327595</v>
      </c>
      <c r="AKK42" s="82">
        <f>AKJ42+4977*19</f>
        <v>2422158</v>
      </c>
      <c r="AKL42" s="82">
        <f>AKK42-1393821</f>
        <v>1028337</v>
      </c>
      <c r="AKM42" s="82">
        <f>AKL42+12868*19</f>
        <v>1272829</v>
      </c>
      <c r="AKN42" s="112"/>
      <c r="AKO42" s="82">
        <f>AKM42</f>
        <v>1272829</v>
      </c>
      <c r="AKP42" s="82">
        <f t="shared" si="1096"/>
        <v>1272829</v>
      </c>
      <c r="AKQ42" s="82">
        <f t="shared" si="1096"/>
        <v>1272829</v>
      </c>
      <c r="AKR42" s="82">
        <f t="shared" si="970"/>
        <v>1272829</v>
      </c>
      <c r="AKS42" s="82">
        <f t="shared" si="970"/>
        <v>1272829</v>
      </c>
      <c r="AKT42" s="82">
        <f t="shared" si="970"/>
        <v>1272829</v>
      </c>
      <c r="AKU42" s="82">
        <f>AKT42+5980*19+10962*19</f>
        <v>1594727</v>
      </c>
      <c r="AKV42" s="82">
        <f>AKU42</f>
        <v>1594727</v>
      </c>
      <c r="AKW42" s="82">
        <f>AKV42</f>
        <v>1594727</v>
      </c>
      <c r="AKX42" s="82">
        <f>AKW42+9958*19</f>
        <v>1783929</v>
      </c>
      <c r="AKY42" s="82">
        <f>AKX42-1272829</f>
        <v>511100</v>
      </c>
      <c r="AKZ42" s="82">
        <f>AKY42</f>
        <v>511100</v>
      </c>
      <c r="ALA42" s="82">
        <f>AKZ42+9842*19</f>
        <v>698098</v>
      </c>
      <c r="ALB42" s="82">
        <f>ALA42</f>
        <v>698098</v>
      </c>
      <c r="ALC42" s="82">
        <f t="shared" si="971"/>
        <v>698098</v>
      </c>
      <c r="ALD42" s="82">
        <f t="shared" si="971"/>
        <v>698098</v>
      </c>
      <c r="ALE42" s="82">
        <f t="shared" si="971"/>
        <v>698098</v>
      </c>
      <c r="ALF42" s="82">
        <f>ALE42</f>
        <v>698098</v>
      </c>
      <c r="ALG42" s="82">
        <f>ALF42+4970*19</f>
        <v>792528</v>
      </c>
      <c r="ALH42" s="82">
        <f>ALG42+12898*19</f>
        <v>1037590</v>
      </c>
      <c r="ALI42" s="82">
        <f t="shared" si="972"/>
        <v>1037590</v>
      </c>
      <c r="ALJ42" s="82">
        <f t="shared" si="972"/>
        <v>1037590</v>
      </c>
      <c r="ALK42" s="82">
        <f t="shared" si="972"/>
        <v>1037590</v>
      </c>
      <c r="ALL42" s="82">
        <f>ALK42</f>
        <v>1037590</v>
      </c>
      <c r="ALM42" s="82">
        <f>ALL42</f>
        <v>1037590</v>
      </c>
      <c r="ALN42" s="82">
        <f>ALM42+7946*19+11945*19</f>
        <v>1415519</v>
      </c>
      <c r="ALO42" s="82">
        <f>ALN42</f>
        <v>1415519</v>
      </c>
      <c r="ALP42" s="82">
        <f>ALO42+7446*19</f>
        <v>1556993</v>
      </c>
      <c r="ALQ42" s="82">
        <f>ALP42</f>
        <v>1556993</v>
      </c>
      <c r="ALR42" s="82">
        <f>ALQ42</f>
        <v>1556993</v>
      </c>
      <c r="ALS42" s="82">
        <f>ALR42</f>
        <v>1556993</v>
      </c>
      <c r="ALT42" s="130"/>
      <c r="ALU42" s="82">
        <f>ALS42</f>
        <v>1556993</v>
      </c>
      <c r="ALV42" s="82">
        <f>ALU42+7457*19+7415*19</f>
        <v>1839561</v>
      </c>
      <c r="ALW42" s="82">
        <f>ALV42+5000*19</f>
        <v>1934561</v>
      </c>
      <c r="ALX42" s="82">
        <f t="shared" si="973"/>
        <v>1934561</v>
      </c>
      <c r="ALY42" s="82">
        <f t="shared" si="973"/>
        <v>1934561</v>
      </c>
      <c r="ALZ42" s="82">
        <f>ALY42</f>
        <v>1934561</v>
      </c>
      <c r="AMA42" s="82">
        <f>ALZ42</f>
        <v>1934561</v>
      </c>
      <c r="AMB42" s="82">
        <f>AMA42</f>
        <v>1934561</v>
      </c>
      <c r="AMC42" s="82">
        <f>AMB42</f>
        <v>1934561</v>
      </c>
      <c r="AMD42" s="82">
        <f>AMC42+4971*19</f>
        <v>2029010</v>
      </c>
      <c r="AME42" s="82">
        <f>AMD42</f>
        <v>2029010</v>
      </c>
      <c r="AMF42" s="82">
        <f>AME42+9910*19</f>
        <v>2217300</v>
      </c>
      <c r="AMG42" s="82">
        <f>AMF42</f>
        <v>2217300</v>
      </c>
      <c r="AMH42" s="82">
        <f>AMG42+7870*19-1839561</f>
        <v>527269</v>
      </c>
      <c r="AMI42" s="82">
        <f>AMH42</f>
        <v>527269</v>
      </c>
      <c r="AMJ42" s="82">
        <f>AMI42</f>
        <v>527269</v>
      </c>
      <c r="AMK42" s="82">
        <f>AMJ42+7945*19</f>
        <v>678224</v>
      </c>
      <c r="AML42" s="82">
        <f t="shared" si="974"/>
        <v>678224</v>
      </c>
      <c r="AMM42" s="82">
        <f t="shared" si="974"/>
        <v>678224</v>
      </c>
      <c r="AMN42" s="82">
        <f>AMM42</f>
        <v>678224</v>
      </c>
      <c r="AMO42" s="82">
        <f>AMN42+8834*19+7961*19</f>
        <v>997329</v>
      </c>
      <c r="AMP42" s="82">
        <f>AMO42</f>
        <v>997329</v>
      </c>
      <c r="AMQ42" s="82">
        <f>AMP42</f>
        <v>997329</v>
      </c>
      <c r="AMR42" s="82">
        <f>AMQ42+12852*19</f>
        <v>1241517</v>
      </c>
      <c r="AMS42" s="82">
        <f>AMR42+7964*19</f>
        <v>1392833</v>
      </c>
      <c r="AMT42" s="82">
        <f t="shared" si="975"/>
        <v>1392833</v>
      </c>
      <c r="AMU42" s="82">
        <f t="shared" si="975"/>
        <v>1392833</v>
      </c>
      <c r="AMV42" s="82">
        <f>AMU42+7940*19</f>
        <v>1543693</v>
      </c>
      <c r="AMW42" s="82">
        <f>AMV42</f>
        <v>1543693</v>
      </c>
      <c r="AMX42" s="82">
        <f>AMW42+9850*19</f>
        <v>1730843</v>
      </c>
      <c r="AMY42" s="130"/>
      <c r="AMZ42" s="82">
        <f>AMX42+7974*19</f>
        <v>1882349</v>
      </c>
      <c r="ANA42" s="82">
        <f t="shared" si="976"/>
        <v>1882349</v>
      </c>
      <c r="ANB42" s="82">
        <f t="shared" si="976"/>
        <v>1882349</v>
      </c>
      <c r="ANC42" s="82">
        <f t="shared" si="976"/>
        <v>1882349</v>
      </c>
      <c r="AND42" s="82">
        <f>ANC42+7930*19</f>
        <v>2033019</v>
      </c>
      <c r="ANE42" s="82">
        <f>AND42</f>
        <v>2033019</v>
      </c>
      <c r="ANF42" s="82">
        <f>ANE42</f>
        <v>2033019</v>
      </c>
      <c r="ANG42" s="82">
        <f>ANF42+6933*19</f>
        <v>2164746</v>
      </c>
      <c r="ANH42" s="82">
        <f>ANG42</f>
        <v>2164746</v>
      </c>
      <c r="ANI42" s="82">
        <v>2259175</v>
      </c>
      <c r="ANJ42" s="82">
        <f>ANI42</f>
        <v>2259175</v>
      </c>
      <c r="ANK42" s="82">
        <f>ANJ42</f>
        <v>2259175</v>
      </c>
      <c r="ANL42" s="82">
        <f>ANK42-1882348</f>
        <v>376827</v>
      </c>
      <c r="ANM42" s="82">
        <f>ANL42+4966*19+6911*19</f>
        <v>602490</v>
      </c>
      <c r="ANN42" s="82">
        <f>ANM42</f>
        <v>602490</v>
      </c>
      <c r="ANO42" s="82">
        <f>ANN42</f>
        <v>602490</v>
      </c>
      <c r="ANP42" s="82">
        <f>ANO42+4913*19</f>
        <v>695837</v>
      </c>
      <c r="ANQ42" s="82">
        <f t="shared" si="977"/>
        <v>695837</v>
      </c>
      <c r="ANR42" s="82">
        <f t="shared" si="977"/>
        <v>695837</v>
      </c>
      <c r="ANS42" s="82">
        <f>ANR42+9836*19</f>
        <v>882721</v>
      </c>
      <c r="ANT42" s="82">
        <f>ANS42</f>
        <v>882721</v>
      </c>
      <c r="ANU42" s="82">
        <f>ANT42+4974*19</f>
        <v>977227</v>
      </c>
      <c r="ANV42" s="82">
        <f>ANU42</f>
        <v>977227</v>
      </c>
      <c r="ANW42" s="82">
        <f t="shared" si="1111"/>
        <v>977227</v>
      </c>
      <c r="ANX42" s="82">
        <f t="shared" si="1111"/>
        <v>977227</v>
      </c>
      <c r="ANY42" s="82">
        <f t="shared" si="1111"/>
        <v>977227</v>
      </c>
      <c r="ANZ42" s="82">
        <f>ANY42+8846*19</f>
        <v>1145301</v>
      </c>
      <c r="AOA42" s="82">
        <f>ANZ42</f>
        <v>1145301</v>
      </c>
      <c r="AOB42" s="82">
        <f>AOA42</f>
        <v>1145301</v>
      </c>
      <c r="AOC42" s="82">
        <f>AOB42+3934*19+7961*19+2950*19</f>
        <v>1427356</v>
      </c>
    </row>
    <row r="43" spans="1:1069" x14ac:dyDescent="0.2">
      <c r="A43" s="160"/>
      <c r="B43" s="13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98"/>
      <c r="BM43" s="105"/>
      <c r="DX43" s="117"/>
      <c r="FD43" s="126"/>
      <c r="GJ43" s="130"/>
      <c r="HN43" s="130"/>
      <c r="IT43" s="130"/>
      <c r="JY43" s="130"/>
      <c r="LE43" s="130"/>
      <c r="MJ43" s="130"/>
      <c r="NP43" s="130"/>
      <c r="OV43" s="130"/>
      <c r="QA43" s="130"/>
      <c r="RG43" s="130"/>
      <c r="SL43" s="130"/>
      <c r="TR43" s="130"/>
      <c r="UX43" s="130"/>
      <c r="WA43" s="130"/>
      <c r="XG43" s="130"/>
      <c r="YL43" s="130"/>
      <c r="ZR43" s="130"/>
      <c r="AAW43" s="130"/>
      <c r="ACC43" s="130"/>
      <c r="ADI43" s="130"/>
      <c r="AEN43" s="130"/>
      <c r="AFT43" s="130"/>
      <c r="AGY43" s="130"/>
      <c r="AIE43" s="130"/>
      <c r="AJK43" s="145"/>
      <c r="AKN43" s="145"/>
      <c r="ALT43" s="130"/>
      <c r="AMY43" s="130"/>
    </row>
    <row r="44" spans="1:1069" x14ac:dyDescent="0.2">
      <c r="A44" s="160"/>
      <c r="B44" s="66" t="s">
        <v>1676</v>
      </c>
      <c r="C44" s="67">
        <f t="shared" ref="C44:AH44" si="1114">SUM(C38:C43)</f>
        <v>331459261</v>
      </c>
      <c r="D44" s="67">
        <f t="shared" si="1114"/>
        <v>331459261</v>
      </c>
      <c r="E44" s="67">
        <f t="shared" si="1114"/>
        <v>189221071</v>
      </c>
      <c r="F44" s="67">
        <f t="shared" si="1114"/>
        <v>189221071</v>
      </c>
      <c r="G44" s="67">
        <f t="shared" si="1114"/>
        <v>158879509</v>
      </c>
      <c r="H44" s="67">
        <f t="shared" si="1114"/>
        <v>158879509</v>
      </c>
      <c r="I44" s="67">
        <f t="shared" si="1114"/>
        <v>158879509</v>
      </c>
      <c r="J44" s="67">
        <f t="shared" si="1114"/>
        <v>161930574</v>
      </c>
      <c r="K44" s="67">
        <f t="shared" si="1114"/>
        <v>229256574</v>
      </c>
      <c r="L44" s="67">
        <f t="shared" si="1114"/>
        <v>229751574</v>
      </c>
      <c r="M44" s="67">
        <f t="shared" si="1114"/>
        <v>178812648</v>
      </c>
      <c r="N44" s="67">
        <f t="shared" si="1114"/>
        <v>178812648</v>
      </c>
      <c r="O44" s="67">
        <f t="shared" si="1114"/>
        <v>178812648</v>
      </c>
      <c r="P44" s="67">
        <f t="shared" si="1114"/>
        <v>123812648</v>
      </c>
      <c r="Q44" s="67">
        <f t="shared" si="1114"/>
        <v>186435625</v>
      </c>
      <c r="R44" s="67">
        <f t="shared" si="1114"/>
        <v>186435625</v>
      </c>
      <c r="S44" s="67">
        <f t="shared" si="1114"/>
        <v>186645625</v>
      </c>
      <c r="T44" s="67">
        <f t="shared" si="1114"/>
        <v>120645625</v>
      </c>
      <c r="U44" s="67">
        <f t="shared" si="1114"/>
        <v>109923625</v>
      </c>
      <c r="V44" s="67">
        <f t="shared" si="1114"/>
        <v>109923625</v>
      </c>
      <c r="W44" s="67">
        <f t="shared" si="1114"/>
        <v>191232724</v>
      </c>
      <c r="X44" s="67">
        <f t="shared" si="1114"/>
        <v>192624004</v>
      </c>
      <c r="Y44" s="67">
        <f t="shared" si="1114"/>
        <v>147624004</v>
      </c>
      <c r="Z44" s="67">
        <f t="shared" si="1114"/>
        <v>147624004</v>
      </c>
      <c r="AA44" s="67">
        <f t="shared" si="1114"/>
        <v>193112968</v>
      </c>
      <c r="AB44" s="67">
        <f t="shared" si="1114"/>
        <v>241704739</v>
      </c>
      <c r="AC44" s="67">
        <f t="shared" si="1114"/>
        <v>241704739</v>
      </c>
      <c r="AD44" s="67">
        <f t="shared" si="1114"/>
        <v>241704739</v>
      </c>
      <c r="AE44" s="67">
        <f t="shared" si="1114"/>
        <v>166116739</v>
      </c>
      <c r="AF44" s="67">
        <f t="shared" si="1114"/>
        <v>170827066</v>
      </c>
      <c r="AG44" s="67">
        <f t="shared" si="1114"/>
        <v>131448522</v>
      </c>
      <c r="AH44" s="67">
        <f t="shared" si="1114"/>
        <v>131448522</v>
      </c>
      <c r="AI44" s="67">
        <f t="shared" ref="AI44:BN44" si="1115">SUM(AI38:AI43)</f>
        <v>182134771</v>
      </c>
      <c r="AJ44" s="67">
        <f t="shared" si="1115"/>
        <v>246623902</v>
      </c>
      <c r="AK44" s="67">
        <f t="shared" si="1115"/>
        <v>246623902</v>
      </c>
      <c r="AL44" s="67">
        <f t="shared" si="1115"/>
        <v>246623902</v>
      </c>
      <c r="AM44" s="67">
        <f t="shared" si="1115"/>
        <v>199110154</v>
      </c>
      <c r="AN44" s="67">
        <f t="shared" si="1115"/>
        <v>260121832</v>
      </c>
      <c r="AO44" s="67">
        <f t="shared" si="1115"/>
        <v>306102832</v>
      </c>
      <c r="AP44" s="67">
        <f t="shared" si="1115"/>
        <v>262102832</v>
      </c>
      <c r="AQ44" s="67">
        <f t="shared" si="1115"/>
        <v>266392832</v>
      </c>
      <c r="AR44" s="67">
        <f t="shared" si="1115"/>
        <v>266392832</v>
      </c>
      <c r="AS44" s="67">
        <f t="shared" si="1115"/>
        <v>144425805</v>
      </c>
      <c r="AT44" s="67">
        <f t="shared" si="1115"/>
        <v>196926207</v>
      </c>
      <c r="AU44" s="67">
        <f t="shared" si="1115"/>
        <v>254700792</v>
      </c>
      <c r="AV44" s="67">
        <f t="shared" si="1115"/>
        <v>268332757</v>
      </c>
      <c r="AW44" s="67">
        <f t="shared" si="1115"/>
        <v>268332757</v>
      </c>
      <c r="AX44" s="67">
        <f t="shared" si="1115"/>
        <v>268332757</v>
      </c>
      <c r="AY44" s="67">
        <f t="shared" si="1115"/>
        <v>268332757</v>
      </c>
      <c r="AZ44" s="67">
        <f t="shared" si="1115"/>
        <v>201332757</v>
      </c>
      <c r="BA44" s="67">
        <f t="shared" si="1115"/>
        <v>201332757</v>
      </c>
      <c r="BB44" s="67">
        <f t="shared" si="1115"/>
        <v>312638819</v>
      </c>
      <c r="BC44" s="67">
        <f t="shared" si="1115"/>
        <v>267638819</v>
      </c>
      <c r="BD44" s="67">
        <f t="shared" si="1115"/>
        <v>267638819</v>
      </c>
      <c r="BE44" s="67">
        <f t="shared" si="1115"/>
        <v>267638819</v>
      </c>
      <c r="BF44" s="67">
        <f t="shared" si="1115"/>
        <v>267638819</v>
      </c>
      <c r="BG44" s="67">
        <f t="shared" si="1115"/>
        <v>267638819</v>
      </c>
      <c r="BH44" s="67">
        <f t="shared" si="1115"/>
        <v>276616581</v>
      </c>
      <c r="BI44" s="67">
        <f t="shared" si="1115"/>
        <v>276616581</v>
      </c>
      <c r="BJ44" s="67">
        <f t="shared" si="1115"/>
        <v>259968581</v>
      </c>
      <c r="BK44" s="67">
        <f t="shared" si="1115"/>
        <v>258037284</v>
      </c>
      <c r="BL44" s="67">
        <f t="shared" si="1115"/>
        <v>317831777</v>
      </c>
      <c r="BM44" s="67">
        <f t="shared" si="1115"/>
        <v>317831777</v>
      </c>
      <c r="BN44" s="67">
        <f t="shared" si="1115"/>
        <v>369449568</v>
      </c>
      <c r="BO44" s="67">
        <f t="shared" ref="BO44:CT44" si="1116">SUM(BO38:BO43)</f>
        <v>369449568</v>
      </c>
      <c r="BP44" s="67">
        <f t="shared" si="1116"/>
        <v>369449568</v>
      </c>
      <c r="BQ44" s="67">
        <f t="shared" si="1116"/>
        <v>370406568</v>
      </c>
      <c r="BR44" s="67">
        <f t="shared" si="1116"/>
        <v>300406568</v>
      </c>
      <c r="BS44" s="67">
        <f t="shared" si="1116"/>
        <v>300406568</v>
      </c>
      <c r="BT44" s="67">
        <f t="shared" si="1116"/>
        <v>353289517</v>
      </c>
      <c r="BU44" s="67">
        <f t="shared" si="1116"/>
        <v>353289517</v>
      </c>
      <c r="BV44" s="67">
        <f t="shared" si="1116"/>
        <v>353289517</v>
      </c>
      <c r="BW44" s="67">
        <f t="shared" si="1116"/>
        <v>353289517</v>
      </c>
      <c r="BX44" s="67">
        <f t="shared" si="1116"/>
        <v>353289517</v>
      </c>
      <c r="BY44" s="67">
        <f t="shared" si="1116"/>
        <v>296289517</v>
      </c>
      <c r="BZ44" s="67">
        <f t="shared" si="1116"/>
        <v>334234425</v>
      </c>
      <c r="CA44" s="67">
        <f t="shared" si="1116"/>
        <v>213264233</v>
      </c>
      <c r="CB44" s="67">
        <f t="shared" si="1116"/>
        <v>213264233</v>
      </c>
      <c r="CC44" s="67">
        <f t="shared" si="1116"/>
        <v>143264233</v>
      </c>
      <c r="CD44" s="67">
        <f t="shared" si="1116"/>
        <v>143264233</v>
      </c>
      <c r="CE44" s="67">
        <f t="shared" si="1116"/>
        <v>218491285</v>
      </c>
      <c r="CF44" s="67">
        <f t="shared" si="1116"/>
        <v>224476283</v>
      </c>
      <c r="CG44" s="67">
        <f t="shared" si="1116"/>
        <v>179476283</v>
      </c>
      <c r="CH44" s="67">
        <f t="shared" si="1116"/>
        <v>247654461</v>
      </c>
      <c r="CI44" s="67">
        <f t="shared" si="1116"/>
        <v>247654461</v>
      </c>
      <c r="CJ44" s="67">
        <f t="shared" si="1116"/>
        <v>247654461</v>
      </c>
      <c r="CK44" s="67">
        <f t="shared" si="1116"/>
        <v>247654461</v>
      </c>
      <c r="CL44" s="67">
        <f t="shared" si="1116"/>
        <v>226169177</v>
      </c>
      <c r="CM44" s="67">
        <f t="shared" si="1116"/>
        <v>226169177</v>
      </c>
      <c r="CN44" s="67">
        <f t="shared" si="1116"/>
        <v>226169177</v>
      </c>
      <c r="CO44" s="67">
        <f t="shared" si="1116"/>
        <v>268641177</v>
      </c>
      <c r="CP44" s="67">
        <f t="shared" si="1116"/>
        <v>268641177</v>
      </c>
      <c r="CQ44" s="67">
        <f t="shared" si="1116"/>
        <v>268641177</v>
      </c>
      <c r="CR44" s="67">
        <f t="shared" si="1116"/>
        <v>268929177</v>
      </c>
      <c r="CS44" s="82">
        <f>SUM(BN44:CR44)</f>
        <v>8556018801</v>
      </c>
      <c r="CT44" s="67">
        <f t="shared" ref="CT44:DW44" si="1117">SUM(CT38:CT43)</f>
        <v>212875177</v>
      </c>
      <c r="CU44" s="67">
        <f t="shared" si="1117"/>
        <v>276925583</v>
      </c>
      <c r="CV44" s="67">
        <f t="shared" si="1117"/>
        <v>276925583</v>
      </c>
      <c r="CW44" s="67">
        <f t="shared" si="1117"/>
        <v>176887621</v>
      </c>
      <c r="CX44" s="67">
        <f t="shared" si="1117"/>
        <v>116887621</v>
      </c>
      <c r="CY44" s="67">
        <f t="shared" si="1117"/>
        <v>116887621</v>
      </c>
      <c r="CZ44" s="67">
        <f t="shared" si="1117"/>
        <v>213032857</v>
      </c>
      <c r="DA44" s="67">
        <f t="shared" si="1117"/>
        <v>213962413</v>
      </c>
      <c r="DB44" s="67">
        <f t="shared" si="1117"/>
        <v>213962413</v>
      </c>
      <c r="DC44" s="67">
        <f t="shared" si="1117"/>
        <v>157426413</v>
      </c>
      <c r="DD44" s="67">
        <f t="shared" si="1117"/>
        <v>216344019</v>
      </c>
      <c r="DE44" s="67">
        <f t="shared" si="1117"/>
        <v>216344019</v>
      </c>
      <c r="DF44" s="67">
        <f t="shared" si="1117"/>
        <v>136344019</v>
      </c>
      <c r="DG44" s="67">
        <f t="shared" si="1117"/>
        <v>139589498</v>
      </c>
      <c r="DH44" s="67">
        <f t="shared" si="1117"/>
        <v>184861227</v>
      </c>
      <c r="DI44" s="67">
        <f t="shared" si="1117"/>
        <v>255356637</v>
      </c>
      <c r="DJ44" s="67">
        <f t="shared" si="1117"/>
        <v>225356637</v>
      </c>
      <c r="DK44" s="67">
        <f t="shared" si="1117"/>
        <v>225356637</v>
      </c>
      <c r="DL44" s="67">
        <f t="shared" si="1117"/>
        <v>225356637</v>
      </c>
      <c r="DM44" s="67">
        <f t="shared" si="1117"/>
        <v>225356637</v>
      </c>
      <c r="DN44" s="67">
        <f t="shared" si="1117"/>
        <v>225356637</v>
      </c>
      <c r="DO44" s="67">
        <f t="shared" si="1117"/>
        <v>225356637</v>
      </c>
      <c r="DP44" s="67">
        <f t="shared" si="1117"/>
        <v>226781637</v>
      </c>
      <c r="DQ44" s="67">
        <f t="shared" si="1117"/>
        <v>195565117</v>
      </c>
      <c r="DR44" s="67">
        <f t="shared" si="1117"/>
        <v>239515394</v>
      </c>
      <c r="DS44" s="67">
        <f t="shared" si="1117"/>
        <v>239515394</v>
      </c>
      <c r="DT44" s="67">
        <f t="shared" si="1117"/>
        <v>239515394</v>
      </c>
      <c r="DU44" s="67">
        <f t="shared" si="1117"/>
        <v>192093394</v>
      </c>
      <c r="DV44" s="67">
        <f t="shared" si="1117"/>
        <v>195238394</v>
      </c>
      <c r="DW44" s="67">
        <f t="shared" si="1117"/>
        <v>195238394</v>
      </c>
      <c r="DX44" s="67">
        <f>DW44</f>
        <v>195238394</v>
      </c>
      <c r="DY44" s="67">
        <f t="shared" ref="DY44:FC44" si="1118">SUM(DY38:DY43)</f>
        <v>196396394</v>
      </c>
      <c r="DZ44" s="67">
        <f t="shared" si="1118"/>
        <v>196396394</v>
      </c>
      <c r="EA44" s="67">
        <f t="shared" si="1118"/>
        <v>250174800</v>
      </c>
      <c r="EB44" s="67">
        <f t="shared" si="1118"/>
        <v>250174800</v>
      </c>
      <c r="EC44" s="67">
        <f t="shared" si="1118"/>
        <v>250174800</v>
      </c>
      <c r="ED44" s="67">
        <f t="shared" si="1118"/>
        <v>250174800</v>
      </c>
      <c r="EE44" s="67">
        <f t="shared" si="1118"/>
        <v>320720800</v>
      </c>
      <c r="EF44" s="67">
        <f t="shared" si="1118"/>
        <v>320720800</v>
      </c>
      <c r="EG44" s="67">
        <f t="shared" si="1118"/>
        <v>225720800</v>
      </c>
      <c r="EH44" s="67">
        <f t="shared" si="1118"/>
        <v>225720800</v>
      </c>
      <c r="EI44" s="67">
        <f t="shared" si="1118"/>
        <v>141506178</v>
      </c>
      <c r="EJ44" s="67">
        <f t="shared" si="1118"/>
        <v>141506178</v>
      </c>
      <c r="EK44" s="67">
        <f t="shared" si="1118"/>
        <v>142677178</v>
      </c>
      <c r="EL44" s="67">
        <f t="shared" si="1118"/>
        <v>140367178</v>
      </c>
      <c r="EM44" s="67">
        <f t="shared" si="1118"/>
        <v>188036689</v>
      </c>
      <c r="EN44" s="67">
        <f t="shared" si="1118"/>
        <v>188186689</v>
      </c>
      <c r="EO44" s="67">
        <f t="shared" si="1118"/>
        <v>188186689</v>
      </c>
      <c r="EP44" s="67">
        <f t="shared" si="1118"/>
        <v>106186689</v>
      </c>
      <c r="EQ44" s="67">
        <f t="shared" si="1118"/>
        <v>163916755</v>
      </c>
      <c r="ER44" s="67">
        <f t="shared" si="1118"/>
        <v>225632384</v>
      </c>
      <c r="ES44" s="67">
        <f t="shared" si="1118"/>
        <v>229919102</v>
      </c>
      <c r="ET44" s="67">
        <f t="shared" si="1118"/>
        <v>229919102</v>
      </c>
      <c r="EU44" s="67">
        <f t="shared" si="1118"/>
        <v>283094769</v>
      </c>
      <c r="EV44" s="67">
        <f t="shared" si="1118"/>
        <v>283094769</v>
      </c>
      <c r="EW44" s="67">
        <f t="shared" si="1118"/>
        <v>283094769</v>
      </c>
      <c r="EX44" s="67">
        <f t="shared" si="1118"/>
        <v>283094769</v>
      </c>
      <c r="EY44" s="67">
        <f t="shared" si="1118"/>
        <v>283094769</v>
      </c>
      <c r="EZ44" s="67">
        <f t="shared" si="1118"/>
        <v>340697229</v>
      </c>
      <c r="FA44" s="67">
        <f t="shared" si="1118"/>
        <v>388387229</v>
      </c>
      <c r="FB44" s="67">
        <f t="shared" si="1118"/>
        <v>389514229</v>
      </c>
      <c r="FC44" s="67">
        <f t="shared" si="1118"/>
        <v>286514229</v>
      </c>
      <c r="FD44" s="126"/>
      <c r="FE44" s="67">
        <f t="shared" ref="FE44:GI44" si="1119">SUM(FE38:FE43)</f>
        <v>286514229</v>
      </c>
      <c r="FF44" s="67">
        <f t="shared" si="1119"/>
        <v>236786229</v>
      </c>
      <c r="FG44" s="67">
        <f t="shared" si="1119"/>
        <v>236786229</v>
      </c>
      <c r="FH44" s="67">
        <f t="shared" si="1119"/>
        <v>122854474</v>
      </c>
      <c r="FI44" s="67">
        <f t="shared" si="1119"/>
        <v>122854474</v>
      </c>
      <c r="FJ44" s="67">
        <f t="shared" si="1119"/>
        <v>196877861</v>
      </c>
      <c r="FK44" s="67">
        <f t="shared" si="1119"/>
        <v>196877861</v>
      </c>
      <c r="FL44" s="67">
        <f t="shared" si="1119"/>
        <v>111877861</v>
      </c>
      <c r="FM44" s="67">
        <f t="shared" si="1119"/>
        <v>111877861</v>
      </c>
      <c r="FN44" s="67">
        <f t="shared" si="1119"/>
        <v>113668613</v>
      </c>
      <c r="FO44" s="67">
        <f t="shared" si="1119"/>
        <v>210683145</v>
      </c>
      <c r="FP44" s="67">
        <f t="shared" si="1119"/>
        <v>210683145</v>
      </c>
      <c r="FQ44" s="67">
        <f t="shared" si="1119"/>
        <v>213615344</v>
      </c>
      <c r="FR44" s="67">
        <f t="shared" si="1119"/>
        <v>213615344</v>
      </c>
      <c r="FS44" s="67">
        <f t="shared" si="1119"/>
        <v>123615344</v>
      </c>
      <c r="FT44" s="67">
        <f t="shared" si="1119"/>
        <v>123615344</v>
      </c>
      <c r="FU44" s="67">
        <f t="shared" si="1119"/>
        <v>181520607</v>
      </c>
      <c r="FV44" s="67">
        <f t="shared" si="1119"/>
        <v>220138543</v>
      </c>
      <c r="FW44" s="67">
        <f t="shared" si="1119"/>
        <v>220138543</v>
      </c>
      <c r="FX44" s="67">
        <f t="shared" si="1119"/>
        <v>220138543</v>
      </c>
      <c r="FY44" s="67">
        <f t="shared" si="1119"/>
        <v>220138543</v>
      </c>
      <c r="FZ44" s="67">
        <f t="shared" si="1119"/>
        <v>220138543</v>
      </c>
      <c r="GA44" s="67">
        <f t="shared" si="1119"/>
        <v>237267347</v>
      </c>
      <c r="GB44" s="67">
        <f t="shared" si="1119"/>
        <v>238085169</v>
      </c>
      <c r="GC44" s="67">
        <f t="shared" si="1119"/>
        <v>238085169</v>
      </c>
      <c r="GD44" s="67">
        <f t="shared" si="1119"/>
        <v>238085169</v>
      </c>
      <c r="GE44" s="67">
        <f t="shared" si="1119"/>
        <v>238085169</v>
      </c>
      <c r="GF44" s="67">
        <f t="shared" si="1119"/>
        <v>238085169</v>
      </c>
      <c r="GG44" s="67">
        <f t="shared" si="1119"/>
        <v>148085169</v>
      </c>
      <c r="GH44" s="67">
        <f t="shared" si="1119"/>
        <v>148085169</v>
      </c>
      <c r="GI44" s="67">
        <f t="shared" si="1119"/>
        <v>204608028</v>
      </c>
      <c r="GJ44" s="130"/>
      <c r="GK44" s="67">
        <f t="shared" ref="GK44:HM44" si="1120">SUM(GK38:GK43)</f>
        <v>245103028</v>
      </c>
      <c r="GL44" s="67">
        <f t="shared" si="1120"/>
        <v>245103028</v>
      </c>
      <c r="GM44" s="67">
        <f t="shared" si="1120"/>
        <v>245103028</v>
      </c>
      <c r="GN44" s="67">
        <f t="shared" si="1120"/>
        <v>245103028</v>
      </c>
      <c r="GO44" s="67">
        <f t="shared" si="1120"/>
        <v>158146107</v>
      </c>
      <c r="GP44" s="67">
        <f t="shared" si="1120"/>
        <v>247971387</v>
      </c>
      <c r="GQ44" s="67">
        <f t="shared" si="1120"/>
        <v>248171387</v>
      </c>
      <c r="GR44" s="67">
        <f t="shared" si="1120"/>
        <v>248171387</v>
      </c>
      <c r="GS44" s="67">
        <f t="shared" si="1120"/>
        <v>196171387</v>
      </c>
      <c r="GT44" s="67">
        <f t="shared" si="1120"/>
        <v>257997008</v>
      </c>
      <c r="GU44" s="67">
        <f t="shared" si="1120"/>
        <v>157052218</v>
      </c>
      <c r="GV44" s="67">
        <f t="shared" si="1120"/>
        <v>157052218</v>
      </c>
      <c r="GW44" s="67">
        <f t="shared" si="1120"/>
        <v>119052218</v>
      </c>
      <c r="GX44" s="67">
        <f t="shared" si="1120"/>
        <v>157204218</v>
      </c>
      <c r="GY44" s="67">
        <f t="shared" si="1120"/>
        <v>137204218</v>
      </c>
      <c r="GZ44" s="67">
        <f t="shared" si="1120"/>
        <v>212630155</v>
      </c>
      <c r="HA44" s="67">
        <f t="shared" si="1120"/>
        <v>212830155</v>
      </c>
      <c r="HB44" s="67">
        <f t="shared" si="1120"/>
        <v>212830155</v>
      </c>
      <c r="HC44" s="67">
        <f t="shared" si="1120"/>
        <v>174830155</v>
      </c>
      <c r="HD44" s="67">
        <f t="shared" si="1120"/>
        <v>212982155</v>
      </c>
      <c r="HE44" s="67">
        <f t="shared" si="1120"/>
        <v>213276155</v>
      </c>
      <c r="HF44" s="67">
        <f t="shared" si="1120"/>
        <v>213276155</v>
      </c>
      <c r="HG44" s="67">
        <f t="shared" si="1120"/>
        <v>283230362</v>
      </c>
      <c r="HH44" s="67">
        <f t="shared" si="1120"/>
        <v>283230362</v>
      </c>
      <c r="HI44" s="67">
        <f t="shared" si="1120"/>
        <v>369780362</v>
      </c>
      <c r="HJ44" s="67">
        <f t="shared" si="1120"/>
        <v>369780362</v>
      </c>
      <c r="HK44" s="67">
        <f t="shared" si="1120"/>
        <v>369780362</v>
      </c>
      <c r="HL44" s="67">
        <f t="shared" si="1120"/>
        <v>402713434</v>
      </c>
      <c r="HM44" s="67">
        <f t="shared" si="1120"/>
        <v>404475434</v>
      </c>
      <c r="HN44" s="130"/>
      <c r="HO44" s="67">
        <f t="shared" ref="HO44:IS44" si="1121">SUM(HO38:HO43)</f>
        <v>405063434</v>
      </c>
      <c r="HP44" s="67">
        <f t="shared" si="1121"/>
        <v>405063434</v>
      </c>
      <c r="HQ44" s="67">
        <f t="shared" si="1121"/>
        <v>408653753</v>
      </c>
      <c r="HR44" s="67">
        <f t="shared" si="1121"/>
        <v>408653753</v>
      </c>
      <c r="HS44" s="67">
        <f t="shared" si="1121"/>
        <v>414477750</v>
      </c>
      <c r="HT44" s="67">
        <f t="shared" si="1121"/>
        <v>414477750</v>
      </c>
      <c r="HU44" s="67">
        <f t="shared" si="1121"/>
        <v>310466870</v>
      </c>
      <c r="HV44" s="67">
        <f t="shared" si="1121"/>
        <v>311998722</v>
      </c>
      <c r="HW44" s="67">
        <f t="shared" si="1121"/>
        <v>261998722</v>
      </c>
      <c r="HX44" s="67">
        <f t="shared" si="1121"/>
        <v>261998722</v>
      </c>
      <c r="HY44" s="67">
        <f t="shared" si="1121"/>
        <v>323741246</v>
      </c>
      <c r="HZ44" s="67">
        <f t="shared" si="1121"/>
        <v>325961246</v>
      </c>
      <c r="IA44" s="67">
        <f t="shared" si="1121"/>
        <v>328166246</v>
      </c>
      <c r="IB44" s="67">
        <f t="shared" si="1121"/>
        <v>304566246</v>
      </c>
      <c r="IC44" s="67">
        <f t="shared" si="1121"/>
        <v>214566246</v>
      </c>
      <c r="ID44" s="67">
        <f t="shared" si="1121"/>
        <v>320385486</v>
      </c>
      <c r="IE44" s="67">
        <f t="shared" si="1121"/>
        <v>320385486</v>
      </c>
      <c r="IF44" s="67">
        <f t="shared" si="1121"/>
        <v>320385486</v>
      </c>
      <c r="IG44" s="67">
        <f t="shared" si="1121"/>
        <v>320385486</v>
      </c>
      <c r="IH44" s="67">
        <f t="shared" si="1121"/>
        <v>296382986</v>
      </c>
      <c r="II44" s="67">
        <f t="shared" si="1121"/>
        <v>250979216</v>
      </c>
      <c r="IJ44" s="67">
        <f t="shared" si="1121"/>
        <v>250979216</v>
      </c>
      <c r="IK44" s="67">
        <f t="shared" si="1121"/>
        <v>303042205</v>
      </c>
      <c r="IL44" s="67">
        <f t="shared" si="1121"/>
        <v>303042205</v>
      </c>
      <c r="IM44" s="67">
        <f t="shared" si="1121"/>
        <v>253192205</v>
      </c>
      <c r="IN44" s="67">
        <f t="shared" si="1121"/>
        <v>229192205</v>
      </c>
      <c r="IO44" s="67">
        <f t="shared" si="1121"/>
        <v>282641397</v>
      </c>
      <c r="IP44" s="67">
        <f t="shared" si="1121"/>
        <v>282641397</v>
      </c>
      <c r="IQ44" s="67">
        <f t="shared" si="1121"/>
        <v>290348047</v>
      </c>
      <c r="IR44" s="67">
        <f t="shared" si="1121"/>
        <v>290348047</v>
      </c>
      <c r="IS44" s="67">
        <f t="shared" si="1121"/>
        <v>290348047</v>
      </c>
      <c r="IT44" s="130"/>
      <c r="IU44" s="67">
        <f t="shared" ref="IU44:JX44" si="1122">SUM(IU38:IU43)</f>
        <v>293868047</v>
      </c>
      <c r="IV44" s="67">
        <f t="shared" si="1122"/>
        <v>294368047</v>
      </c>
      <c r="IW44" s="67">
        <f t="shared" si="1122"/>
        <v>138677209</v>
      </c>
      <c r="IX44" s="67">
        <f t="shared" si="1122"/>
        <v>138677209</v>
      </c>
      <c r="IY44" s="67">
        <f t="shared" si="1122"/>
        <v>177949209</v>
      </c>
      <c r="IZ44" s="67">
        <f t="shared" si="1122"/>
        <v>177949209</v>
      </c>
      <c r="JA44" s="67">
        <f t="shared" si="1122"/>
        <v>241163666</v>
      </c>
      <c r="JB44" s="67">
        <f t="shared" si="1122"/>
        <v>241163666</v>
      </c>
      <c r="JC44" s="67">
        <f t="shared" si="1122"/>
        <v>250981666</v>
      </c>
      <c r="JD44" s="67">
        <f t="shared" si="1122"/>
        <v>250981666</v>
      </c>
      <c r="JE44" s="67">
        <f t="shared" si="1122"/>
        <v>250981666</v>
      </c>
      <c r="JF44" s="67">
        <f t="shared" si="1122"/>
        <v>250981666</v>
      </c>
      <c r="JG44" s="67">
        <f t="shared" si="1122"/>
        <v>217081247</v>
      </c>
      <c r="JH44" s="67">
        <f t="shared" si="1122"/>
        <v>279524166</v>
      </c>
      <c r="JI44" s="67">
        <f t="shared" si="1122"/>
        <v>279524166</v>
      </c>
      <c r="JJ44" s="67">
        <f t="shared" si="1122"/>
        <v>263473166</v>
      </c>
      <c r="JK44" s="67">
        <f t="shared" si="1122"/>
        <v>263473166</v>
      </c>
      <c r="JL44" s="67">
        <f t="shared" si="1122"/>
        <v>264125166</v>
      </c>
      <c r="JM44" s="67">
        <f t="shared" si="1122"/>
        <v>264125166</v>
      </c>
      <c r="JN44" s="67">
        <f t="shared" si="1122"/>
        <v>277053114</v>
      </c>
      <c r="JO44" s="67">
        <f t="shared" si="1122"/>
        <v>277053114</v>
      </c>
      <c r="JP44" s="67">
        <f t="shared" si="1122"/>
        <v>277053114</v>
      </c>
      <c r="JQ44" s="67">
        <f t="shared" si="1122"/>
        <v>277053114</v>
      </c>
      <c r="JR44" s="67">
        <f t="shared" si="1122"/>
        <v>277053114</v>
      </c>
      <c r="JS44" s="67">
        <f t="shared" si="1122"/>
        <v>277053114</v>
      </c>
      <c r="JT44" s="67">
        <f t="shared" si="1122"/>
        <v>153803114</v>
      </c>
      <c r="JU44" s="67">
        <f t="shared" si="1122"/>
        <v>201252526</v>
      </c>
      <c r="JV44" s="67">
        <f t="shared" si="1122"/>
        <v>258288160</v>
      </c>
      <c r="JW44" s="67">
        <f t="shared" si="1122"/>
        <v>258288160</v>
      </c>
      <c r="JX44" s="67">
        <f t="shared" si="1122"/>
        <v>258288160</v>
      </c>
      <c r="JY44" s="140"/>
      <c r="JZ44" s="67">
        <f t="shared" ref="JZ44:LD44" si="1123">SUM(JZ38:JZ43)</f>
        <v>259936160</v>
      </c>
      <c r="KA44" s="67">
        <f t="shared" si="1123"/>
        <v>201957160</v>
      </c>
      <c r="KB44" s="67">
        <f t="shared" si="1123"/>
        <v>249377838</v>
      </c>
      <c r="KC44" s="67">
        <f t="shared" si="1123"/>
        <v>287245008</v>
      </c>
      <c r="KD44" s="67">
        <f t="shared" si="1123"/>
        <v>287245008</v>
      </c>
      <c r="KE44" s="67">
        <f t="shared" si="1123"/>
        <v>287245008</v>
      </c>
      <c r="KF44" s="67">
        <f t="shared" si="1123"/>
        <v>301779926</v>
      </c>
      <c r="KG44" s="67">
        <f t="shared" si="1123"/>
        <v>180712099</v>
      </c>
      <c r="KH44" s="67">
        <f t="shared" si="1123"/>
        <v>120712099</v>
      </c>
      <c r="KI44" s="67">
        <f t="shared" si="1123"/>
        <v>198518026</v>
      </c>
      <c r="KJ44" s="67">
        <f t="shared" si="1123"/>
        <v>198518026</v>
      </c>
      <c r="KK44" s="67">
        <f t="shared" si="1123"/>
        <v>213045944</v>
      </c>
      <c r="KL44" s="67">
        <f t="shared" si="1123"/>
        <v>173045944</v>
      </c>
      <c r="KM44" s="67">
        <f t="shared" si="1123"/>
        <v>134227224</v>
      </c>
      <c r="KN44" s="67">
        <f t="shared" si="1123"/>
        <v>134227224</v>
      </c>
      <c r="KO44" s="67">
        <f t="shared" si="1123"/>
        <v>182117224</v>
      </c>
      <c r="KP44" s="67">
        <f t="shared" si="1123"/>
        <v>186354224</v>
      </c>
      <c r="KQ44" s="67">
        <f t="shared" si="1123"/>
        <v>186942752</v>
      </c>
      <c r="KR44" s="67">
        <f t="shared" si="1123"/>
        <v>239432752</v>
      </c>
      <c r="KS44" s="67">
        <f t="shared" si="1123"/>
        <v>239432752</v>
      </c>
      <c r="KT44" s="67">
        <f t="shared" si="1123"/>
        <v>175179752</v>
      </c>
      <c r="KU44" s="67">
        <f t="shared" si="1123"/>
        <v>237023992</v>
      </c>
      <c r="KV44" s="67">
        <f t="shared" si="1123"/>
        <v>237023992</v>
      </c>
      <c r="KW44" s="67">
        <f t="shared" si="1123"/>
        <v>211023992</v>
      </c>
      <c r="KX44" s="67">
        <f t="shared" si="1123"/>
        <v>289672793</v>
      </c>
      <c r="KY44" s="67">
        <f t="shared" si="1123"/>
        <v>289672793</v>
      </c>
      <c r="KZ44" s="67">
        <f t="shared" si="1123"/>
        <v>290431793</v>
      </c>
      <c r="LA44" s="67">
        <f t="shared" si="1123"/>
        <v>221871793</v>
      </c>
      <c r="LB44" s="67">
        <f t="shared" si="1123"/>
        <v>221871793</v>
      </c>
      <c r="LC44" s="67">
        <f t="shared" si="1123"/>
        <v>254959145</v>
      </c>
      <c r="LD44" s="67">
        <f t="shared" si="1123"/>
        <v>278704145</v>
      </c>
      <c r="LE44" s="130"/>
      <c r="LF44" s="67">
        <f t="shared" ref="LF44:MI44" si="1124">SUM(LF38:LF43)</f>
        <v>287736145</v>
      </c>
      <c r="LG44" s="67">
        <f t="shared" si="1124"/>
        <v>287736145</v>
      </c>
      <c r="LH44" s="67">
        <f t="shared" si="1124"/>
        <v>291218786</v>
      </c>
      <c r="LI44" s="67">
        <f t="shared" si="1124"/>
        <v>291218786</v>
      </c>
      <c r="LJ44" s="67">
        <f t="shared" si="1124"/>
        <v>291218786</v>
      </c>
      <c r="LK44" s="67">
        <f t="shared" si="1124"/>
        <v>267713435</v>
      </c>
      <c r="LL44" s="67">
        <f t="shared" si="1124"/>
        <v>288518435</v>
      </c>
      <c r="LM44" s="67">
        <f t="shared" si="1124"/>
        <v>296630998</v>
      </c>
      <c r="LN44" s="67">
        <f t="shared" si="1124"/>
        <v>296630998</v>
      </c>
      <c r="LO44" s="67">
        <f t="shared" si="1124"/>
        <v>261630998</v>
      </c>
      <c r="LP44" s="67">
        <f t="shared" si="1124"/>
        <v>312803658</v>
      </c>
      <c r="LQ44" s="67">
        <f t="shared" si="1124"/>
        <v>312803658</v>
      </c>
      <c r="LR44" s="67">
        <f t="shared" si="1124"/>
        <v>105884641</v>
      </c>
      <c r="LS44" s="67">
        <f t="shared" si="1124"/>
        <v>179919265</v>
      </c>
      <c r="LT44" s="67">
        <f t="shared" si="1124"/>
        <v>179919265</v>
      </c>
      <c r="LU44" s="67">
        <f t="shared" si="1124"/>
        <v>179919265</v>
      </c>
      <c r="LV44" s="67">
        <f t="shared" si="1124"/>
        <v>179919265</v>
      </c>
      <c r="LW44" s="67">
        <f t="shared" si="1124"/>
        <v>114919265</v>
      </c>
      <c r="LX44" s="67">
        <f t="shared" si="1124"/>
        <v>119231864</v>
      </c>
      <c r="LY44" s="67">
        <f t="shared" si="1124"/>
        <v>157223864</v>
      </c>
      <c r="LZ44" s="67">
        <f t="shared" si="1124"/>
        <v>213773586</v>
      </c>
      <c r="MA44" s="67">
        <f t="shared" si="1124"/>
        <v>213773586</v>
      </c>
      <c r="MB44" s="67">
        <f t="shared" si="1124"/>
        <v>213773586</v>
      </c>
      <c r="MC44" s="67">
        <f t="shared" si="1124"/>
        <v>213773586</v>
      </c>
      <c r="MD44" s="67">
        <f t="shared" si="1124"/>
        <v>215091586</v>
      </c>
      <c r="ME44" s="67">
        <f t="shared" si="1124"/>
        <v>162334586</v>
      </c>
      <c r="MF44" s="67">
        <f t="shared" si="1124"/>
        <v>228893889</v>
      </c>
      <c r="MG44" s="67">
        <f t="shared" si="1124"/>
        <v>228893889</v>
      </c>
      <c r="MH44" s="67">
        <f t="shared" si="1124"/>
        <v>228893889</v>
      </c>
      <c r="MI44" s="67">
        <f t="shared" si="1124"/>
        <v>275133068</v>
      </c>
      <c r="MJ44" s="140"/>
      <c r="MK44" s="67">
        <f t="shared" ref="MK44:NO44" si="1125">SUM(MK38:MK43)</f>
        <v>275729068</v>
      </c>
      <c r="ML44" s="67">
        <f t="shared" si="1125"/>
        <v>243729068</v>
      </c>
      <c r="MM44" s="67">
        <f t="shared" si="1125"/>
        <v>267474068</v>
      </c>
      <c r="MN44" s="67">
        <f t="shared" si="1125"/>
        <v>267474068</v>
      </c>
      <c r="MO44" s="67">
        <f t="shared" si="1125"/>
        <v>276163667</v>
      </c>
      <c r="MP44" s="67">
        <f t="shared" si="1125"/>
        <v>284439816</v>
      </c>
      <c r="MQ44" s="67">
        <f t="shared" si="1125"/>
        <v>294817816</v>
      </c>
      <c r="MR44" s="67">
        <f t="shared" si="1125"/>
        <v>294817816</v>
      </c>
      <c r="MS44" s="67">
        <f t="shared" si="1125"/>
        <v>294817816</v>
      </c>
      <c r="MT44" s="67">
        <f t="shared" si="1125"/>
        <v>294817816</v>
      </c>
      <c r="MU44" s="67">
        <f t="shared" si="1125"/>
        <v>214817816</v>
      </c>
      <c r="MV44" s="67">
        <f t="shared" si="1125"/>
        <v>314313654</v>
      </c>
      <c r="MW44" s="67">
        <f t="shared" si="1125"/>
        <v>314313654</v>
      </c>
      <c r="MX44" s="67">
        <f t="shared" si="1125"/>
        <v>314313654</v>
      </c>
      <c r="MY44" s="67">
        <f t="shared" si="1125"/>
        <v>314313654</v>
      </c>
      <c r="MZ44" s="67">
        <f t="shared" si="1125"/>
        <v>314313654</v>
      </c>
      <c r="NA44" s="67">
        <f t="shared" si="1125"/>
        <v>314313654</v>
      </c>
      <c r="NB44" s="67">
        <f t="shared" si="1125"/>
        <v>250313654</v>
      </c>
      <c r="NC44" s="67">
        <f t="shared" si="1125"/>
        <v>287897654</v>
      </c>
      <c r="ND44" s="67">
        <f t="shared" si="1125"/>
        <v>287897654</v>
      </c>
      <c r="NE44" s="67">
        <f t="shared" si="1125"/>
        <v>339979929</v>
      </c>
      <c r="NF44" s="67">
        <f t="shared" si="1125"/>
        <v>261979929</v>
      </c>
      <c r="NG44" s="67">
        <f t="shared" si="1125"/>
        <v>267520251</v>
      </c>
      <c r="NH44" s="67">
        <f t="shared" si="1125"/>
        <v>133879773</v>
      </c>
      <c r="NI44" s="67">
        <f t="shared" si="1125"/>
        <v>244495601</v>
      </c>
      <c r="NJ44" s="67">
        <f t="shared" si="1125"/>
        <v>249216774</v>
      </c>
      <c r="NK44" s="67">
        <f t="shared" si="1125"/>
        <v>249216774</v>
      </c>
      <c r="NL44" s="67">
        <f t="shared" si="1125"/>
        <v>249216774</v>
      </c>
      <c r="NM44" s="67">
        <f t="shared" si="1125"/>
        <v>189216774</v>
      </c>
      <c r="NN44" s="67">
        <f t="shared" si="1125"/>
        <v>189216774</v>
      </c>
      <c r="NO44" s="67">
        <f t="shared" si="1125"/>
        <v>242688073</v>
      </c>
      <c r="NP44" s="140"/>
      <c r="NQ44" s="67">
        <f t="shared" ref="NQ44:OU44" si="1126">SUM(NQ38:NQ43)</f>
        <v>247788073</v>
      </c>
      <c r="NR44" s="67">
        <f t="shared" si="1126"/>
        <v>247788073</v>
      </c>
      <c r="NS44" s="67">
        <f t="shared" si="1126"/>
        <v>284818689</v>
      </c>
      <c r="NT44" s="67">
        <f t="shared" si="1126"/>
        <v>254323589</v>
      </c>
      <c r="NU44" s="67">
        <f t="shared" si="1126"/>
        <v>205323589</v>
      </c>
      <c r="NV44" s="67">
        <f t="shared" si="1126"/>
        <v>74011077</v>
      </c>
      <c r="NW44" s="67">
        <f t="shared" si="1126"/>
        <v>124501077</v>
      </c>
      <c r="NX44" s="67">
        <f t="shared" si="1126"/>
        <v>124501077</v>
      </c>
      <c r="NY44" s="67">
        <f t="shared" si="1126"/>
        <v>124501077</v>
      </c>
      <c r="NZ44" s="67">
        <f t="shared" si="1126"/>
        <v>143093077</v>
      </c>
      <c r="OA44" s="67">
        <f t="shared" si="1126"/>
        <v>193078177</v>
      </c>
      <c r="OB44" s="67">
        <f t="shared" si="1126"/>
        <v>150078177</v>
      </c>
      <c r="OC44" s="67">
        <f t="shared" si="1126"/>
        <v>111095177</v>
      </c>
      <c r="OD44" s="67">
        <f t="shared" si="1126"/>
        <v>111095177</v>
      </c>
      <c r="OE44" s="67">
        <f t="shared" si="1126"/>
        <v>143347649</v>
      </c>
      <c r="OF44" s="67">
        <f t="shared" si="1126"/>
        <v>188455415</v>
      </c>
      <c r="OG44" s="67">
        <f t="shared" si="1126"/>
        <v>193860734</v>
      </c>
      <c r="OH44" s="67">
        <f t="shared" si="1126"/>
        <v>154946020</v>
      </c>
      <c r="OI44" s="67">
        <f t="shared" si="1126"/>
        <v>114946020</v>
      </c>
      <c r="OJ44" s="67">
        <f t="shared" si="1126"/>
        <v>114946020</v>
      </c>
      <c r="OK44" s="67">
        <f t="shared" si="1126"/>
        <v>222335737</v>
      </c>
      <c r="OL44" s="67">
        <f t="shared" si="1126"/>
        <v>222654737</v>
      </c>
      <c r="OM44" s="67">
        <f t="shared" si="1126"/>
        <v>222654737</v>
      </c>
      <c r="ON44" s="67">
        <f t="shared" si="1126"/>
        <v>223427737</v>
      </c>
      <c r="OO44" s="67">
        <f t="shared" si="1126"/>
        <v>223427737</v>
      </c>
      <c r="OP44" s="67">
        <f t="shared" si="1126"/>
        <v>223427737</v>
      </c>
      <c r="OQ44" s="67">
        <f t="shared" si="1126"/>
        <v>223427737</v>
      </c>
      <c r="OR44" s="67">
        <f t="shared" si="1126"/>
        <v>125939695</v>
      </c>
      <c r="OS44" s="67">
        <f t="shared" si="1126"/>
        <v>125939695</v>
      </c>
      <c r="OT44" s="67">
        <f t="shared" si="1126"/>
        <v>244567953</v>
      </c>
      <c r="OU44" s="67">
        <f t="shared" si="1126"/>
        <v>234567953</v>
      </c>
      <c r="OV44" s="130"/>
      <c r="OW44" s="67">
        <f t="shared" ref="OW44:PZ44" si="1127">SUM(OW38:OW43)</f>
        <v>228922473</v>
      </c>
      <c r="OX44" s="67">
        <f t="shared" si="1127"/>
        <v>228922473</v>
      </c>
      <c r="OY44" s="67">
        <f t="shared" si="1127"/>
        <v>180922473</v>
      </c>
      <c r="OZ44" s="67">
        <f t="shared" si="1127"/>
        <v>246407725</v>
      </c>
      <c r="PA44" s="67">
        <f t="shared" si="1127"/>
        <v>246407725</v>
      </c>
      <c r="PB44" s="67">
        <f t="shared" si="1127"/>
        <v>291908689</v>
      </c>
      <c r="PC44" s="67">
        <f t="shared" si="1127"/>
        <v>291908689</v>
      </c>
      <c r="PD44" s="67">
        <f t="shared" si="1127"/>
        <v>251908689</v>
      </c>
      <c r="PE44" s="67">
        <f t="shared" si="1127"/>
        <v>216908689</v>
      </c>
      <c r="PF44" s="67">
        <f t="shared" si="1127"/>
        <v>218175689</v>
      </c>
      <c r="PG44" s="67">
        <f t="shared" si="1127"/>
        <v>202699419</v>
      </c>
      <c r="PH44" s="67">
        <f t="shared" si="1127"/>
        <v>87655481</v>
      </c>
      <c r="PI44" s="67">
        <f t="shared" si="1127"/>
        <v>87655481</v>
      </c>
      <c r="PJ44" s="67">
        <f t="shared" si="1127"/>
        <v>148067000</v>
      </c>
      <c r="PK44" s="67">
        <f t="shared" si="1127"/>
        <v>97067000</v>
      </c>
      <c r="PL44" s="67">
        <f t="shared" si="1127"/>
        <v>97067000</v>
      </c>
      <c r="PM44" s="67">
        <f t="shared" si="1127"/>
        <v>97067000</v>
      </c>
      <c r="PN44" s="67">
        <f t="shared" si="1127"/>
        <v>137280399</v>
      </c>
      <c r="PO44" s="67">
        <f t="shared" si="1127"/>
        <v>137280399</v>
      </c>
      <c r="PP44" s="67">
        <f t="shared" si="1127"/>
        <v>137280399</v>
      </c>
      <c r="PQ44" s="67">
        <f t="shared" si="1127"/>
        <v>164656295</v>
      </c>
      <c r="PR44" s="67">
        <f t="shared" si="1127"/>
        <v>164656295</v>
      </c>
      <c r="PS44" s="67">
        <f t="shared" si="1127"/>
        <v>144656295</v>
      </c>
      <c r="PT44" s="67">
        <f t="shared" si="1127"/>
        <v>144656295</v>
      </c>
      <c r="PU44" s="67">
        <f t="shared" si="1127"/>
        <v>192081295</v>
      </c>
      <c r="PV44" s="67">
        <f t="shared" si="1127"/>
        <v>142081295</v>
      </c>
      <c r="PW44" s="67">
        <f t="shared" si="1127"/>
        <v>142081295</v>
      </c>
      <c r="PX44" s="67">
        <f t="shared" si="1127"/>
        <v>192370793</v>
      </c>
      <c r="PY44" s="67">
        <f t="shared" si="1127"/>
        <v>195143187</v>
      </c>
      <c r="PZ44" s="67">
        <f t="shared" si="1127"/>
        <v>195143187</v>
      </c>
      <c r="QA44" s="130"/>
      <c r="QB44" s="67">
        <f t="shared" ref="QB44:RF44" si="1128">SUM(QB38:QB43)</f>
        <v>196505187</v>
      </c>
      <c r="QC44" s="67">
        <f t="shared" si="1128"/>
        <v>146505187</v>
      </c>
      <c r="QD44" s="67">
        <f t="shared" si="1128"/>
        <v>189740206</v>
      </c>
      <c r="QE44" s="67">
        <f t="shared" si="1128"/>
        <v>236849301</v>
      </c>
      <c r="QF44" s="67">
        <f t="shared" si="1128"/>
        <v>236849301</v>
      </c>
      <c r="QG44" s="67">
        <f t="shared" si="1128"/>
        <v>236849301</v>
      </c>
      <c r="QH44" s="67">
        <f t="shared" si="1128"/>
        <v>126276810</v>
      </c>
      <c r="QI44" s="67">
        <f t="shared" si="1128"/>
        <v>88072650</v>
      </c>
      <c r="QJ44" s="67">
        <f t="shared" si="1128"/>
        <v>135424029</v>
      </c>
      <c r="QK44" s="67">
        <f t="shared" si="1128"/>
        <v>135424029</v>
      </c>
      <c r="QL44" s="67">
        <f t="shared" si="1128"/>
        <v>97424029</v>
      </c>
      <c r="QM44" s="67">
        <f t="shared" si="1128"/>
        <v>146161506</v>
      </c>
      <c r="QN44" s="67">
        <f t="shared" si="1128"/>
        <v>146161506</v>
      </c>
      <c r="QO44" s="67">
        <f t="shared" si="1128"/>
        <v>94179193</v>
      </c>
      <c r="QP44" s="67">
        <f t="shared" si="1128"/>
        <v>94673193</v>
      </c>
      <c r="QQ44" s="67">
        <f t="shared" si="1128"/>
        <v>157991193</v>
      </c>
      <c r="QR44" s="67">
        <f t="shared" si="1128"/>
        <v>157991193</v>
      </c>
      <c r="QS44" s="67">
        <f t="shared" si="1128"/>
        <v>157991193</v>
      </c>
      <c r="QT44" s="67">
        <f t="shared" si="1128"/>
        <v>159355747</v>
      </c>
      <c r="QU44" s="67">
        <f t="shared" si="1128"/>
        <v>160036747</v>
      </c>
      <c r="QV44" s="67">
        <f t="shared" si="1128"/>
        <v>108036747</v>
      </c>
      <c r="QW44" s="67">
        <f t="shared" si="1128"/>
        <v>108036747</v>
      </c>
      <c r="QX44" s="67">
        <f t="shared" si="1128"/>
        <v>108036747</v>
      </c>
      <c r="QY44" s="67">
        <f t="shared" si="1128"/>
        <v>135550995</v>
      </c>
      <c r="QZ44" s="67">
        <f t="shared" si="1128"/>
        <v>135550995</v>
      </c>
      <c r="RA44" s="67">
        <f t="shared" si="1128"/>
        <v>175925043</v>
      </c>
      <c r="RB44" s="67">
        <f t="shared" si="1128"/>
        <v>175925043</v>
      </c>
      <c r="RC44" s="67">
        <f t="shared" si="1128"/>
        <v>179516683</v>
      </c>
      <c r="RD44" s="67">
        <f t="shared" si="1128"/>
        <v>138711683</v>
      </c>
      <c r="RE44" s="67">
        <f t="shared" si="1128"/>
        <v>202032139</v>
      </c>
      <c r="RF44" s="67">
        <f t="shared" si="1128"/>
        <v>202032139</v>
      </c>
      <c r="RG44" s="130"/>
      <c r="RH44" s="67">
        <f t="shared" ref="RH44:SK44" si="1129">SUM(RH38:RH43)</f>
        <v>207490139</v>
      </c>
      <c r="RI44" s="67">
        <f t="shared" si="1129"/>
        <v>207490139</v>
      </c>
      <c r="RJ44" s="67">
        <f t="shared" si="1129"/>
        <v>207490139</v>
      </c>
      <c r="RK44" s="67">
        <f t="shared" si="1129"/>
        <v>207490139</v>
      </c>
      <c r="RL44" s="67">
        <f t="shared" si="1129"/>
        <v>126508739</v>
      </c>
      <c r="RM44" s="67">
        <f t="shared" si="1129"/>
        <v>161460739</v>
      </c>
      <c r="RN44" s="67">
        <f t="shared" si="1129"/>
        <v>218641399</v>
      </c>
      <c r="RO44" s="67">
        <f t="shared" si="1129"/>
        <v>218641399</v>
      </c>
      <c r="RP44" s="67">
        <f t="shared" si="1129"/>
        <v>218641399</v>
      </c>
      <c r="RQ44" s="67">
        <f t="shared" si="1129"/>
        <v>222637717</v>
      </c>
      <c r="RR44" s="67">
        <f t="shared" si="1129"/>
        <v>107257538</v>
      </c>
      <c r="RS44" s="67">
        <f t="shared" si="1129"/>
        <v>77006381</v>
      </c>
      <c r="RT44" s="67">
        <f t="shared" si="1129"/>
        <v>77006381</v>
      </c>
      <c r="RU44" s="67">
        <f t="shared" si="1129"/>
        <v>120696381</v>
      </c>
      <c r="RV44" s="67">
        <f t="shared" si="1129"/>
        <v>120696381</v>
      </c>
      <c r="RW44" s="67">
        <f t="shared" si="1129"/>
        <v>122654099</v>
      </c>
      <c r="RX44" s="67">
        <f t="shared" si="1129"/>
        <v>122654099</v>
      </c>
      <c r="RY44" s="67">
        <f t="shared" si="1129"/>
        <v>122654099</v>
      </c>
      <c r="RZ44" s="67">
        <f t="shared" si="1129"/>
        <v>122654099</v>
      </c>
      <c r="SA44" s="67">
        <f t="shared" si="1129"/>
        <v>97681795</v>
      </c>
      <c r="SB44" s="67">
        <f t="shared" si="1129"/>
        <v>97681795</v>
      </c>
      <c r="SC44" s="67">
        <f t="shared" si="1129"/>
        <v>141371795</v>
      </c>
      <c r="SD44" s="67">
        <f t="shared" si="1129"/>
        <v>141371795</v>
      </c>
      <c r="SE44" s="67">
        <f t="shared" si="1129"/>
        <v>182643851</v>
      </c>
      <c r="SF44" s="67">
        <f t="shared" si="1129"/>
        <v>182643851</v>
      </c>
      <c r="SG44" s="67">
        <f t="shared" si="1129"/>
        <v>182643851</v>
      </c>
      <c r="SH44" s="67">
        <f t="shared" si="1129"/>
        <v>182643851</v>
      </c>
      <c r="SI44" s="67">
        <f t="shared" si="1129"/>
        <v>182643851</v>
      </c>
      <c r="SJ44" s="67">
        <f t="shared" si="1129"/>
        <v>182643851</v>
      </c>
      <c r="SK44" s="67">
        <f t="shared" si="1129"/>
        <v>153301610</v>
      </c>
      <c r="SL44" s="130"/>
      <c r="SM44" s="67">
        <f t="shared" ref="SM44:TQ44" si="1130">SUM(SM38:SM43)</f>
        <v>218239517</v>
      </c>
      <c r="SN44" s="67">
        <f t="shared" si="1130"/>
        <v>218239517</v>
      </c>
      <c r="SO44" s="67">
        <f t="shared" si="1130"/>
        <v>218239517</v>
      </c>
      <c r="SP44" s="67">
        <f t="shared" si="1130"/>
        <v>163391517</v>
      </c>
      <c r="SQ44" s="67">
        <f t="shared" si="1130"/>
        <v>163391517</v>
      </c>
      <c r="SR44" s="67">
        <f t="shared" si="1130"/>
        <v>103010062</v>
      </c>
      <c r="SS44" s="67">
        <f t="shared" si="1130"/>
        <v>124855062</v>
      </c>
      <c r="ST44" s="67">
        <f t="shared" si="1130"/>
        <v>125252502</v>
      </c>
      <c r="SU44" s="67">
        <f t="shared" si="1130"/>
        <v>125252502</v>
      </c>
      <c r="SV44" s="67">
        <f t="shared" si="1130"/>
        <v>71183700</v>
      </c>
      <c r="SW44" s="67">
        <f t="shared" si="1130"/>
        <v>125300634</v>
      </c>
      <c r="SX44" s="67">
        <f t="shared" si="1130"/>
        <v>163210358</v>
      </c>
      <c r="SY44" s="67">
        <f t="shared" si="1130"/>
        <v>163210358</v>
      </c>
      <c r="SZ44" s="67">
        <f t="shared" si="1130"/>
        <v>163210358</v>
      </c>
      <c r="TA44" s="67">
        <f t="shared" si="1130"/>
        <v>164247358</v>
      </c>
      <c r="TB44" s="67">
        <f t="shared" si="1130"/>
        <v>164247358</v>
      </c>
      <c r="TC44" s="67">
        <f t="shared" si="1130"/>
        <v>119247358</v>
      </c>
      <c r="TD44" s="67">
        <f t="shared" si="1130"/>
        <v>119247358</v>
      </c>
      <c r="TE44" s="67">
        <f t="shared" si="1130"/>
        <v>171361256</v>
      </c>
      <c r="TF44" s="67">
        <f t="shared" si="1130"/>
        <v>158291190</v>
      </c>
      <c r="TG44" s="67">
        <f t="shared" si="1130"/>
        <v>158291190</v>
      </c>
      <c r="TH44" s="67">
        <f t="shared" si="1130"/>
        <v>158291190</v>
      </c>
      <c r="TI44" s="67">
        <f t="shared" si="1130"/>
        <v>158291190</v>
      </c>
      <c r="TJ44" s="67">
        <f t="shared" si="1130"/>
        <v>204177968</v>
      </c>
      <c r="TK44" s="67">
        <f t="shared" si="1130"/>
        <v>204177968</v>
      </c>
      <c r="TL44" s="67">
        <f t="shared" si="1130"/>
        <v>204177968</v>
      </c>
      <c r="TM44" s="67">
        <f t="shared" si="1130"/>
        <v>204177968</v>
      </c>
      <c r="TN44" s="67">
        <f t="shared" si="1130"/>
        <v>208520366</v>
      </c>
      <c r="TO44" s="67">
        <f t="shared" si="1130"/>
        <v>208520366</v>
      </c>
      <c r="TP44" s="67">
        <f t="shared" si="1130"/>
        <v>133520366</v>
      </c>
      <c r="TQ44" s="67">
        <f t="shared" si="1130"/>
        <v>163970366</v>
      </c>
      <c r="TR44" s="130"/>
      <c r="TS44" s="67">
        <f t="shared" ref="TS44:UW44" si="1131">SUM(TS38:TS43)</f>
        <v>201414689</v>
      </c>
      <c r="TT44" s="67">
        <f t="shared" si="1131"/>
        <v>201414689</v>
      </c>
      <c r="TU44" s="67">
        <f t="shared" si="1131"/>
        <v>202884685</v>
      </c>
      <c r="TV44" s="67">
        <f t="shared" si="1131"/>
        <v>202884685</v>
      </c>
      <c r="TW44" s="67">
        <f t="shared" si="1131"/>
        <v>245367904</v>
      </c>
      <c r="TX44" s="67">
        <f t="shared" si="1131"/>
        <v>245367904</v>
      </c>
      <c r="TY44" s="67">
        <f t="shared" si="1131"/>
        <v>120982096</v>
      </c>
      <c r="TZ44" s="67">
        <f t="shared" si="1131"/>
        <v>168604196</v>
      </c>
      <c r="UA44" s="67">
        <f t="shared" si="1131"/>
        <v>116604196</v>
      </c>
      <c r="UB44" s="67">
        <f t="shared" si="1131"/>
        <v>124662994</v>
      </c>
      <c r="UC44" s="67">
        <f t="shared" si="1131"/>
        <v>124662994</v>
      </c>
      <c r="UD44" s="67">
        <f t="shared" si="1131"/>
        <v>146198892</v>
      </c>
      <c r="UE44" s="67">
        <f t="shared" si="1131"/>
        <v>146198892</v>
      </c>
      <c r="UF44" s="67">
        <f t="shared" si="1131"/>
        <v>146198892</v>
      </c>
      <c r="UG44" s="67">
        <f t="shared" si="1131"/>
        <v>146198892</v>
      </c>
      <c r="UH44" s="67">
        <f t="shared" si="1131"/>
        <v>146198892</v>
      </c>
      <c r="UI44" s="67">
        <f t="shared" si="1131"/>
        <v>71198892</v>
      </c>
      <c r="UJ44" s="67">
        <f t="shared" si="1131"/>
        <v>114685104</v>
      </c>
      <c r="UK44" s="67">
        <f t="shared" si="1131"/>
        <v>114685104</v>
      </c>
      <c r="UL44" s="67">
        <f t="shared" si="1131"/>
        <v>162024369</v>
      </c>
      <c r="UM44" s="67">
        <f t="shared" si="1131"/>
        <v>162024369</v>
      </c>
      <c r="UN44" s="67">
        <f t="shared" si="1131"/>
        <v>163555369</v>
      </c>
      <c r="UO44" s="67">
        <f t="shared" si="1131"/>
        <v>163555369</v>
      </c>
      <c r="UP44" s="67">
        <f t="shared" si="1131"/>
        <v>164450726</v>
      </c>
      <c r="UQ44" s="67">
        <f t="shared" si="1131"/>
        <v>164450726</v>
      </c>
      <c r="UR44" s="67">
        <f t="shared" si="1131"/>
        <v>99450726</v>
      </c>
      <c r="US44" s="67">
        <f t="shared" si="1131"/>
        <v>99450726</v>
      </c>
      <c r="UT44" s="67">
        <f t="shared" si="1131"/>
        <v>115735324</v>
      </c>
      <c r="UU44" s="67">
        <f t="shared" si="1131"/>
        <v>167763020</v>
      </c>
      <c r="UV44" s="67">
        <f t="shared" si="1131"/>
        <v>211453020</v>
      </c>
      <c r="UW44" s="67">
        <f t="shared" si="1131"/>
        <v>211453020</v>
      </c>
      <c r="UX44" s="130"/>
      <c r="UY44" s="67">
        <f t="shared" ref="UY44:VZ44" si="1132">SUM(UY38:UY43)</f>
        <v>222161820</v>
      </c>
      <c r="UZ44" s="67">
        <f t="shared" si="1132"/>
        <v>222161820</v>
      </c>
      <c r="VA44" s="67">
        <f t="shared" si="1132"/>
        <v>222161820</v>
      </c>
      <c r="VB44" s="67">
        <f t="shared" si="1132"/>
        <v>297383504</v>
      </c>
      <c r="VC44" s="67">
        <f t="shared" si="1132"/>
        <v>297383504</v>
      </c>
      <c r="VD44" s="67">
        <f t="shared" si="1132"/>
        <v>244170500</v>
      </c>
      <c r="VE44" s="67">
        <f t="shared" si="1132"/>
        <v>124208769</v>
      </c>
      <c r="VF44" s="67">
        <f t="shared" si="1132"/>
        <v>124208769</v>
      </c>
      <c r="VG44" s="67">
        <f t="shared" si="1132"/>
        <v>129329407</v>
      </c>
      <c r="VH44" s="67">
        <f t="shared" si="1132"/>
        <v>59329407</v>
      </c>
      <c r="VI44" s="67">
        <f t="shared" si="1132"/>
        <v>156721151</v>
      </c>
      <c r="VJ44" s="67">
        <f t="shared" si="1132"/>
        <v>156721151</v>
      </c>
      <c r="VK44" s="67">
        <f t="shared" si="1132"/>
        <v>160559392</v>
      </c>
      <c r="VL44" s="67">
        <f t="shared" si="1132"/>
        <v>160559392</v>
      </c>
      <c r="VM44" s="67">
        <f t="shared" si="1132"/>
        <v>163497178</v>
      </c>
      <c r="VN44" s="67">
        <f t="shared" si="1132"/>
        <v>163497178</v>
      </c>
      <c r="VO44" s="67">
        <f t="shared" si="1132"/>
        <v>163497178</v>
      </c>
      <c r="VP44" s="67">
        <f t="shared" si="1132"/>
        <v>163497178</v>
      </c>
      <c r="VQ44" s="67">
        <f t="shared" si="1132"/>
        <v>176974018</v>
      </c>
      <c r="VR44" s="67">
        <f t="shared" si="1132"/>
        <v>176974018</v>
      </c>
      <c r="VS44" s="67">
        <f t="shared" si="1132"/>
        <v>156974018</v>
      </c>
      <c r="VT44" s="67">
        <f t="shared" si="1132"/>
        <v>187787792</v>
      </c>
      <c r="VU44" s="67">
        <f t="shared" si="1132"/>
        <v>187787792</v>
      </c>
      <c r="VV44" s="67">
        <f t="shared" si="1132"/>
        <v>187787792</v>
      </c>
      <c r="VW44" s="67">
        <f t="shared" si="1132"/>
        <v>193669114</v>
      </c>
      <c r="VX44" s="67">
        <f t="shared" si="1132"/>
        <v>193669114</v>
      </c>
      <c r="VY44" s="67">
        <f t="shared" si="1132"/>
        <v>250388218</v>
      </c>
      <c r="VZ44" s="67">
        <f t="shared" si="1132"/>
        <v>250388218</v>
      </c>
      <c r="WA44" s="140"/>
      <c r="WB44" s="67">
        <f t="shared" ref="WB44:XF44" si="1133">SUM(WB38:WB43)</f>
        <v>205801218</v>
      </c>
      <c r="WC44" s="67">
        <f t="shared" si="1133"/>
        <v>205801218</v>
      </c>
      <c r="WD44" s="67">
        <f t="shared" si="1133"/>
        <v>178598018</v>
      </c>
      <c r="WE44" s="67">
        <f t="shared" si="1133"/>
        <v>178598018</v>
      </c>
      <c r="WF44" s="67">
        <f t="shared" si="1133"/>
        <v>178598018</v>
      </c>
      <c r="WG44" s="67">
        <f t="shared" si="1133"/>
        <v>178598018</v>
      </c>
      <c r="WH44" s="67">
        <f t="shared" si="1133"/>
        <v>224452535</v>
      </c>
      <c r="WI44" s="67">
        <f t="shared" si="1133"/>
        <v>224452535</v>
      </c>
      <c r="WJ44" s="67">
        <f t="shared" si="1133"/>
        <v>116623129</v>
      </c>
      <c r="WK44" s="67">
        <f t="shared" si="1133"/>
        <v>116623129</v>
      </c>
      <c r="WL44" s="67">
        <f t="shared" si="1133"/>
        <v>131729811</v>
      </c>
      <c r="WM44" s="67">
        <f t="shared" si="1133"/>
        <v>131729811</v>
      </c>
      <c r="WN44" s="67">
        <f t="shared" si="1133"/>
        <v>131729811</v>
      </c>
      <c r="WO44" s="67">
        <f t="shared" si="1133"/>
        <v>133336809</v>
      </c>
      <c r="WP44" s="67">
        <f t="shared" si="1133"/>
        <v>133336809</v>
      </c>
      <c r="WQ44" s="67">
        <f t="shared" si="1133"/>
        <v>204321801</v>
      </c>
      <c r="WR44" s="67">
        <f t="shared" si="1133"/>
        <v>141821801</v>
      </c>
      <c r="WS44" s="67">
        <f t="shared" si="1133"/>
        <v>141821801</v>
      </c>
      <c r="WT44" s="67">
        <f t="shared" si="1133"/>
        <v>141821801</v>
      </c>
      <c r="WU44" s="67">
        <f t="shared" si="1133"/>
        <v>148464999</v>
      </c>
      <c r="WV44" s="67">
        <f t="shared" si="1133"/>
        <v>184056999</v>
      </c>
      <c r="WW44" s="67">
        <f t="shared" si="1133"/>
        <v>184056999</v>
      </c>
      <c r="WX44" s="67">
        <f t="shared" si="1133"/>
        <v>184056999</v>
      </c>
      <c r="WY44" s="67">
        <f t="shared" si="1133"/>
        <v>184056999</v>
      </c>
      <c r="WZ44" s="67">
        <f t="shared" si="1133"/>
        <v>219648999</v>
      </c>
      <c r="XA44" s="67">
        <f t="shared" si="1133"/>
        <v>276903431</v>
      </c>
      <c r="XB44" s="67">
        <f t="shared" si="1133"/>
        <v>276903431</v>
      </c>
      <c r="XC44" s="67">
        <f t="shared" si="1133"/>
        <v>155903431</v>
      </c>
      <c r="XD44" s="67">
        <f t="shared" si="1133"/>
        <v>162767588</v>
      </c>
      <c r="XE44" s="67">
        <f t="shared" si="1133"/>
        <v>125767588</v>
      </c>
      <c r="XF44" s="67">
        <f t="shared" si="1133"/>
        <v>192107316</v>
      </c>
      <c r="XG44" s="140"/>
      <c r="XH44" s="67">
        <f t="shared" ref="XH44:YK44" si="1134">SUM(XH38:XH43)</f>
        <v>229547338</v>
      </c>
      <c r="XI44" s="67">
        <f t="shared" si="1134"/>
        <v>229547338</v>
      </c>
      <c r="XJ44" s="67">
        <f t="shared" si="1134"/>
        <v>230288338</v>
      </c>
      <c r="XK44" s="67">
        <f t="shared" si="1134"/>
        <v>233085138</v>
      </c>
      <c r="XL44" s="67">
        <f t="shared" si="1134"/>
        <v>233085138</v>
      </c>
      <c r="XM44" s="67">
        <f t="shared" si="1134"/>
        <v>233991638</v>
      </c>
      <c r="XN44" s="67">
        <f t="shared" si="1134"/>
        <v>233991638</v>
      </c>
      <c r="XO44" s="67">
        <f t="shared" si="1134"/>
        <v>233991638</v>
      </c>
      <c r="XP44" s="67">
        <f t="shared" si="1134"/>
        <v>118940062</v>
      </c>
      <c r="XQ44" s="67">
        <f t="shared" si="1134"/>
        <v>118940062</v>
      </c>
      <c r="XR44" s="67">
        <f t="shared" si="1134"/>
        <v>150363062</v>
      </c>
      <c r="XS44" s="67">
        <f t="shared" si="1134"/>
        <v>151450562</v>
      </c>
      <c r="XT44" s="67">
        <f t="shared" si="1134"/>
        <v>151450562</v>
      </c>
      <c r="XU44" s="67">
        <f t="shared" si="1134"/>
        <v>151450562</v>
      </c>
      <c r="XV44" s="67">
        <f t="shared" si="1134"/>
        <v>189263298</v>
      </c>
      <c r="XW44" s="67">
        <f t="shared" si="1134"/>
        <v>119263298</v>
      </c>
      <c r="XX44" s="67">
        <f t="shared" si="1134"/>
        <v>85263298</v>
      </c>
      <c r="XY44" s="67">
        <f t="shared" si="1134"/>
        <v>123565549</v>
      </c>
      <c r="XZ44" s="67">
        <f t="shared" si="1134"/>
        <v>155408549</v>
      </c>
      <c r="YA44" s="67">
        <f t="shared" si="1134"/>
        <v>155408549</v>
      </c>
      <c r="YB44" s="67">
        <f t="shared" si="1134"/>
        <v>155408549</v>
      </c>
      <c r="YC44" s="67">
        <f t="shared" si="1134"/>
        <v>161886985</v>
      </c>
      <c r="YD44" s="67">
        <f t="shared" si="1134"/>
        <v>147242575</v>
      </c>
      <c r="YE44" s="67">
        <f t="shared" si="1134"/>
        <v>147836075</v>
      </c>
      <c r="YF44" s="67">
        <f t="shared" si="1134"/>
        <v>193062233</v>
      </c>
      <c r="YG44" s="67">
        <f t="shared" si="1134"/>
        <v>198832630</v>
      </c>
      <c r="YH44" s="67">
        <f t="shared" si="1134"/>
        <v>198832630</v>
      </c>
      <c r="YI44" s="67">
        <f t="shared" si="1134"/>
        <v>198832630</v>
      </c>
      <c r="YJ44" s="67">
        <f t="shared" si="1134"/>
        <v>242265123</v>
      </c>
      <c r="YK44" s="67">
        <f t="shared" si="1134"/>
        <v>155996163</v>
      </c>
      <c r="YL44" s="130"/>
      <c r="YM44" s="67">
        <f t="shared" ref="YM44:ZQ44" si="1135">SUM(YM38:YM43)</f>
        <v>158784163</v>
      </c>
      <c r="YN44" s="67">
        <f t="shared" si="1135"/>
        <v>158784163</v>
      </c>
      <c r="YO44" s="67">
        <f t="shared" si="1135"/>
        <v>158784163</v>
      </c>
      <c r="YP44" s="67">
        <f t="shared" si="1135"/>
        <v>160950163</v>
      </c>
      <c r="YQ44" s="67">
        <f t="shared" si="1135"/>
        <v>161715163</v>
      </c>
      <c r="YR44" s="67">
        <f t="shared" si="1135"/>
        <v>161715163</v>
      </c>
      <c r="YS44" s="67">
        <f t="shared" si="1135"/>
        <v>162593163</v>
      </c>
      <c r="YT44" s="67">
        <f t="shared" si="1135"/>
        <v>162593163</v>
      </c>
      <c r="YU44" s="67">
        <f t="shared" si="1135"/>
        <v>233228163</v>
      </c>
      <c r="YV44" s="67">
        <f t="shared" si="1135"/>
        <v>234215163</v>
      </c>
      <c r="YW44" s="67">
        <f t="shared" si="1135"/>
        <v>179369254</v>
      </c>
      <c r="YX44" s="67">
        <f t="shared" si="1135"/>
        <v>225344440</v>
      </c>
      <c r="YY44" s="67">
        <f t="shared" si="1135"/>
        <v>225344440</v>
      </c>
      <c r="YZ44" s="67">
        <f t="shared" si="1135"/>
        <v>225344440</v>
      </c>
      <c r="ZA44" s="67">
        <f t="shared" si="1135"/>
        <v>225344440</v>
      </c>
      <c r="ZB44" s="67">
        <f t="shared" si="1135"/>
        <v>159902012</v>
      </c>
      <c r="ZC44" s="67">
        <f t="shared" si="1135"/>
        <v>160582812</v>
      </c>
      <c r="ZD44" s="67">
        <f t="shared" si="1135"/>
        <v>160582812</v>
      </c>
      <c r="ZE44" s="67">
        <f t="shared" si="1135"/>
        <v>160582812</v>
      </c>
      <c r="ZF44" s="67">
        <f t="shared" si="1135"/>
        <v>130582812</v>
      </c>
      <c r="ZG44" s="67">
        <f t="shared" si="1135"/>
        <v>130582812</v>
      </c>
      <c r="ZH44" s="67">
        <f t="shared" si="1135"/>
        <v>168454574</v>
      </c>
      <c r="ZI44" s="67">
        <f t="shared" si="1135"/>
        <v>195748574</v>
      </c>
      <c r="ZJ44" s="67">
        <f t="shared" si="1135"/>
        <v>198398169</v>
      </c>
      <c r="ZK44" s="67">
        <f t="shared" si="1135"/>
        <v>198398169</v>
      </c>
      <c r="ZL44" s="67">
        <f t="shared" si="1135"/>
        <v>200998766</v>
      </c>
      <c r="ZM44" s="67">
        <f t="shared" si="1135"/>
        <v>144037532</v>
      </c>
      <c r="ZN44" s="67">
        <f t="shared" si="1135"/>
        <v>187253032</v>
      </c>
      <c r="ZO44" s="67">
        <f t="shared" si="1135"/>
        <v>225978801</v>
      </c>
      <c r="ZP44" s="67">
        <f t="shared" si="1135"/>
        <v>225978801</v>
      </c>
      <c r="ZQ44" s="67">
        <f t="shared" si="1135"/>
        <v>225978801</v>
      </c>
      <c r="ZR44" s="130"/>
      <c r="ZS44" s="67">
        <f t="shared" ref="ZS44:AAV44" si="1136">SUM(ZS38:ZS43)</f>
        <v>229577801</v>
      </c>
      <c r="ZT44" s="67">
        <f t="shared" si="1136"/>
        <v>229577801</v>
      </c>
      <c r="ZU44" s="67">
        <f t="shared" si="1136"/>
        <v>123677396</v>
      </c>
      <c r="ZV44" s="67">
        <f t="shared" si="1136"/>
        <v>123677396</v>
      </c>
      <c r="ZW44" s="67">
        <f t="shared" si="1136"/>
        <v>169167396</v>
      </c>
      <c r="ZX44" s="67">
        <f t="shared" si="1136"/>
        <v>232015491</v>
      </c>
      <c r="ZY44" s="67">
        <f t="shared" si="1136"/>
        <v>232015491</v>
      </c>
      <c r="ZZ44" s="67">
        <f t="shared" si="1136"/>
        <v>85868491</v>
      </c>
      <c r="AAA44" s="67">
        <f t="shared" si="1136"/>
        <v>85868491</v>
      </c>
      <c r="AAB44" s="67">
        <f t="shared" si="1136"/>
        <v>85868491</v>
      </c>
      <c r="AAC44" s="67">
        <f t="shared" si="1136"/>
        <v>97598590</v>
      </c>
      <c r="AAD44" s="67">
        <f t="shared" si="1136"/>
        <v>130554243</v>
      </c>
      <c r="AAE44" s="67">
        <f t="shared" si="1136"/>
        <v>130554243</v>
      </c>
      <c r="AAF44" s="67">
        <f t="shared" si="1136"/>
        <v>130554243</v>
      </c>
      <c r="AAG44" s="67">
        <f t="shared" si="1136"/>
        <v>130554243</v>
      </c>
      <c r="AAH44" s="67">
        <f t="shared" si="1136"/>
        <v>131895737</v>
      </c>
      <c r="AAI44" s="67">
        <f t="shared" si="1136"/>
        <v>117117346</v>
      </c>
      <c r="AAJ44" s="67">
        <f t="shared" si="1136"/>
        <v>175457783</v>
      </c>
      <c r="AAK44" s="67">
        <f t="shared" si="1136"/>
        <v>175457783</v>
      </c>
      <c r="AAL44" s="67">
        <f t="shared" si="1136"/>
        <v>175457783</v>
      </c>
      <c r="AAM44" s="67">
        <f t="shared" si="1136"/>
        <v>175457783</v>
      </c>
      <c r="AAN44" s="67">
        <f t="shared" si="1136"/>
        <v>175457783</v>
      </c>
      <c r="AAO44" s="67">
        <f t="shared" si="1136"/>
        <v>176000783</v>
      </c>
      <c r="AAP44" s="67">
        <f t="shared" si="1136"/>
        <v>158980881</v>
      </c>
      <c r="AAQ44" s="67">
        <f t="shared" si="1136"/>
        <v>158980881</v>
      </c>
      <c r="AAR44" s="67">
        <f t="shared" si="1136"/>
        <v>204161549</v>
      </c>
      <c r="AAS44" s="67">
        <f t="shared" si="1136"/>
        <v>204161549</v>
      </c>
      <c r="AAT44" s="67">
        <f t="shared" si="1136"/>
        <v>204161549</v>
      </c>
      <c r="AAU44" s="67">
        <f t="shared" si="1136"/>
        <v>168305548</v>
      </c>
      <c r="AAV44" s="67">
        <f t="shared" si="1136"/>
        <v>168305548</v>
      </c>
      <c r="AAW44" s="130"/>
      <c r="AAX44" s="67">
        <f t="shared" ref="AAX44:ACB44" si="1137">SUM(AAX38:AAX43)</f>
        <v>234968260</v>
      </c>
      <c r="AAY44" s="67">
        <f t="shared" si="1137"/>
        <v>234968260</v>
      </c>
      <c r="AAZ44" s="67">
        <f t="shared" si="1137"/>
        <v>234968260</v>
      </c>
      <c r="ABA44" s="67">
        <f t="shared" si="1137"/>
        <v>204968260</v>
      </c>
      <c r="ABB44" s="67">
        <f t="shared" si="1137"/>
        <v>242220760</v>
      </c>
      <c r="ABC44" s="67">
        <f t="shared" si="1137"/>
        <v>242220760</v>
      </c>
      <c r="ABD44" s="67">
        <f t="shared" si="1137"/>
        <v>242220760</v>
      </c>
      <c r="ABE44" s="67">
        <f t="shared" si="1137"/>
        <v>219336303</v>
      </c>
      <c r="ABF44" s="67">
        <f t="shared" si="1137"/>
        <v>219336303</v>
      </c>
      <c r="ABG44" s="67">
        <f t="shared" si="1137"/>
        <v>246630303</v>
      </c>
      <c r="ABH44" s="67">
        <f t="shared" si="1137"/>
        <v>246630303</v>
      </c>
      <c r="ABI44" s="67">
        <f t="shared" si="1137"/>
        <v>246630303</v>
      </c>
      <c r="ABJ44" s="67">
        <f t="shared" si="1137"/>
        <v>250101705</v>
      </c>
      <c r="ABK44" s="67">
        <f t="shared" si="1137"/>
        <v>200101705</v>
      </c>
      <c r="ABL44" s="67">
        <f t="shared" si="1137"/>
        <v>200101705</v>
      </c>
      <c r="ABM44" s="67">
        <f t="shared" si="1137"/>
        <v>272952694</v>
      </c>
      <c r="ABN44" s="67">
        <f t="shared" si="1137"/>
        <v>160212760</v>
      </c>
      <c r="ABO44" s="67">
        <f t="shared" si="1137"/>
        <v>160801760</v>
      </c>
      <c r="ABP44" s="67">
        <f t="shared" si="1137"/>
        <v>199913760</v>
      </c>
      <c r="ABQ44" s="67">
        <f t="shared" si="1137"/>
        <v>245235447</v>
      </c>
      <c r="ABR44" s="67">
        <f t="shared" si="1137"/>
        <v>142235447</v>
      </c>
      <c r="ABS44" s="67">
        <f t="shared" si="1137"/>
        <v>142235447</v>
      </c>
      <c r="ABT44" s="67">
        <f t="shared" si="1137"/>
        <v>142235447</v>
      </c>
      <c r="ABU44" s="67">
        <f t="shared" si="1137"/>
        <v>142235447</v>
      </c>
      <c r="ABV44" s="67">
        <f t="shared" si="1137"/>
        <v>202614597</v>
      </c>
      <c r="ABW44" s="67">
        <f t="shared" si="1137"/>
        <v>202614597</v>
      </c>
      <c r="ABX44" s="67">
        <f t="shared" si="1137"/>
        <v>202614597</v>
      </c>
      <c r="ABY44" s="67">
        <f t="shared" si="1137"/>
        <v>203470597</v>
      </c>
      <c r="ABZ44" s="67">
        <f t="shared" si="1137"/>
        <v>242255034</v>
      </c>
      <c r="ACA44" s="67">
        <f t="shared" si="1137"/>
        <v>296406330</v>
      </c>
      <c r="ACB44" s="67">
        <f t="shared" si="1137"/>
        <v>296406330</v>
      </c>
      <c r="ACC44" s="130"/>
      <c r="ACD44" s="67">
        <f t="shared" ref="ACD44:ADH44" si="1138">SUM(ACD38:ACD43)</f>
        <v>305216725</v>
      </c>
      <c r="ACE44" s="67">
        <f t="shared" si="1138"/>
        <v>305216725</v>
      </c>
      <c r="ACF44" s="67">
        <f t="shared" si="1138"/>
        <v>305216725</v>
      </c>
      <c r="ACG44" s="67">
        <f t="shared" si="1138"/>
        <v>179216725</v>
      </c>
      <c r="ACH44" s="67">
        <f t="shared" si="1138"/>
        <v>179216725</v>
      </c>
      <c r="ACI44" s="67">
        <f t="shared" si="1138"/>
        <v>128639977</v>
      </c>
      <c r="ACJ44" s="67">
        <f t="shared" si="1138"/>
        <v>98639977</v>
      </c>
      <c r="ACK44" s="67">
        <f t="shared" si="1138"/>
        <v>99136977</v>
      </c>
      <c r="ACL44" s="67">
        <f t="shared" si="1138"/>
        <v>135269684</v>
      </c>
      <c r="ACM44" s="67">
        <f t="shared" si="1138"/>
        <v>135269684</v>
      </c>
      <c r="ACN44" s="67">
        <f t="shared" si="1138"/>
        <v>135269684</v>
      </c>
      <c r="ACO44" s="67">
        <f t="shared" si="1138"/>
        <v>135269684</v>
      </c>
      <c r="ACP44" s="67">
        <f t="shared" si="1138"/>
        <v>227275645</v>
      </c>
      <c r="ACQ44" s="67">
        <f t="shared" si="1138"/>
        <v>161275645</v>
      </c>
      <c r="ACR44" s="67">
        <f t="shared" si="1138"/>
        <v>161275645</v>
      </c>
      <c r="ACS44" s="67">
        <f t="shared" si="1138"/>
        <v>161275645</v>
      </c>
      <c r="ACT44" s="67">
        <f t="shared" si="1138"/>
        <v>94275645</v>
      </c>
      <c r="ACU44" s="67">
        <f t="shared" si="1138"/>
        <v>95958637</v>
      </c>
      <c r="ACV44" s="67">
        <f t="shared" si="1138"/>
        <v>147007477</v>
      </c>
      <c r="ACW44" s="67">
        <f t="shared" si="1138"/>
        <v>147007477</v>
      </c>
      <c r="ACX44" s="67">
        <f t="shared" si="1138"/>
        <v>147600977</v>
      </c>
      <c r="ACY44" s="67">
        <f t="shared" si="1138"/>
        <v>192758900</v>
      </c>
      <c r="ACZ44" s="67">
        <f t="shared" si="1138"/>
        <v>117758900</v>
      </c>
      <c r="ADA44" s="67">
        <f t="shared" si="1138"/>
        <v>117758900</v>
      </c>
      <c r="ADB44" s="67">
        <f t="shared" si="1138"/>
        <v>161755328</v>
      </c>
      <c r="ADC44" s="67">
        <f t="shared" si="1138"/>
        <v>213813044</v>
      </c>
      <c r="ADD44" s="67">
        <f t="shared" si="1138"/>
        <v>213813044</v>
      </c>
      <c r="ADE44" s="67">
        <f t="shared" si="1138"/>
        <v>213813044</v>
      </c>
      <c r="ADF44" s="67">
        <f t="shared" si="1138"/>
        <v>178813044</v>
      </c>
      <c r="ADG44" s="67">
        <f t="shared" si="1138"/>
        <v>217714424</v>
      </c>
      <c r="ADH44" s="67">
        <f t="shared" si="1138"/>
        <v>217714424</v>
      </c>
      <c r="ADI44" s="130"/>
      <c r="ADJ44" s="67">
        <f t="shared" ref="ADJ44:AEM44" si="1139">SUM(ADJ38:ADJ43)</f>
        <v>223429418</v>
      </c>
      <c r="ADK44" s="67">
        <f t="shared" si="1139"/>
        <v>173429418</v>
      </c>
      <c r="ADL44" s="67">
        <f t="shared" si="1139"/>
        <v>123429418</v>
      </c>
      <c r="ADM44" s="67">
        <f t="shared" si="1139"/>
        <v>73429418</v>
      </c>
      <c r="ADN44" s="67">
        <f t="shared" si="1139"/>
        <v>81781488</v>
      </c>
      <c r="ADO44" s="67">
        <f t="shared" si="1139"/>
        <v>68173488</v>
      </c>
      <c r="ADP44" s="67">
        <f t="shared" si="1139"/>
        <v>-44071162</v>
      </c>
      <c r="ADQ44" s="67">
        <f t="shared" si="1139"/>
        <v>-44071162</v>
      </c>
      <c r="ADR44" s="67">
        <f t="shared" si="1139"/>
        <v>-44071162</v>
      </c>
      <c r="ADS44" s="67">
        <f t="shared" si="1139"/>
        <v>-44071162</v>
      </c>
      <c r="ADT44" s="67">
        <f t="shared" si="1139"/>
        <v>-44071162</v>
      </c>
      <c r="ADU44" s="67">
        <f t="shared" si="1139"/>
        <v>19223498</v>
      </c>
      <c r="ADV44" s="67">
        <f t="shared" si="1139"/>
        <v>19223498</v>
      </c>
      <c r="ADW44" s="67">
        <f t="shared" si="1139"/>
        <v>129295164</v>
      </c>
      <c r="ADX44" s="67">
        <f t="shared" si="1139"/>
        <v>129703164</v>
      </c>
      <c r="ADY44" s="67">
        <f t="shared" si="1139"/>
        <v>171403349</v>
      </c>
      <c r="ADZ44" s="67">
        <f t="shared" si="1139"/>
        <v>171403349</v>
      </c>
      <c r="AEA44" s="67">
        <f t="shared" si="1139"/>
        <v>171403349</v>
      </c>
      <c r="AEB44" s="67">
        <f t="shared" si="1139"/>
        <v>121403349</v>
      </c>
      <c r="AEC44" s="67">
        <f t="shared" si="1139"/>
        <v>182374794</v>
      </c>
      <c r="AED44" s="67">
        <f t="shared" si="1139"/>
        <v>182374794</v>
      </c>
      <c r="AEE44" s="67">
        <f t="shared" si="1139"/>
        <v>182374794</v>
      </c>
      <c r="AEF44" s="67">
        <f t="shared" si="1139"/>
        <v>182374794</v>
      </c>
      <c r="AEG44" s="67">
        <f t="shared" si="1139"/>
        <v>182374794</v>
      </c>
      <c r="AEH44" s="67">
        <f t="shared" si="1139"/>
        <v>112374794</v>
      </c>
      <c r="AEI44" s="67">
        <f t="shared" si="1139"/>
        <v>148766794</v>
      </c>
      <c r="AEJ44" s="67">
        <f t="shared" si="1139"/>
        <v>187818548</v>
      </c>
      <c r="AEK44" s="67">
        <f t="shared" si="1139"/>
        <v>187818548</v>
      </c>
      <c r="AEL44" s="67">
        <f t="shared" si="1139"/>
        <v>187818548</v>
      </c>
      <c r="AEM44" s="67">
        <f t="shared" si="1139"/>
        <v>231479320</v>
      </c>
      <c r="AEN44" s="130"/>
      <c r="AEO44" s="67">
        <f t="shared" ref="AEO44:AFS44" si="1140">SUM(AEO38:AEO43)</f>
        <v>197344320</v>
      </c>
      <c r="AEP44" s="67">
        <f t="shared" si="1140"/>
        <v>197344320</v>
      </c>
      <c r="AEQ44" s="67">
        <f t="shared" si="1140"/>
        <v>220282497</v>
      </c>
      <c r="AER44" s="67">
        <f t="shared" si="1140"/>
        <v>232561070</v>
      </c>
      <c r="AES44" s="67">
        <f t="shared" si="1140"/>
        <v>175561070</v>
      </c>
      <c r="AET44" s="67">
        <f t="shared" si="1140"/>
        <v>175561070</v>
      </c>
      <c r="AEU44" s="67">
        <f t="shared" si="1140"/>
        <v>42269775</v>
      </c>
      <c r="AEV44" s="67">
        <f t="shared" si="1140"/>
        <v>80944383</v>
      </c>
      <c r="AEW44" s="67">
        <f t="shared" si="1140"/>
        <v>80944383</v>
      </c>
      <c r="AEX44" s="67">
        <f t="shared" si="1140"/>
        <v>80944383</v>
      </c>
      <c r="AEY44" s="67">
        <f t="shared" si="1140"/>
        <v>117108933</v>
      </c>
      <c r="AEZ44" s="67">
        <f t="shared" si="1140"/>
        <v>117108933</v>
      </c>
      <c r="AFA44" s="67">
        <f t="shared" si="1140"/>
        <v>117965933</v>
      </c>
      <c r="AFB44" s="67">
        <f t="shared" si="1140"/>
        <v>134106051</v>
      </c>
      <c r="AFC44" s="67">
        <f t="shared" si="1140"/>
        <v>134106051</v>
      </c>
      <c r="AFD44" s="67">
        <f t="shared" si="1140"/>
        <v>134106051</v>
      </c>
      <c r="AFE44" s="67">
        <f t="shared" si="1140"/>
        <v>170288797</v>
      </c>
      <c r="AFF44" s="67">
        <f t="shared" si="1140"/>
        <v>209051569</v>
      </c>
      <c r="AFG44" s="67">
        <f t="shared" si="1140"/>
        <v>170377551</v>
      </c>
      <c r="AFH44" s="67">
        <f t="shared" si="1140"/>
        <v>170377551</v>
      </c>
      <c r="AFI44" s="67">
        <f t="shared" si="1140"/>
        <v>170377551</v>
      </c>
      <c r="AFJ44" s="67">
        <f t="shared" si="1140"/>
        <v>170377551</v>
      </c>
      <c r="AFK44" s="67">
        <f t="shared" si="1140"/>
        <v>170377551</v>
      </c>
      <c r="AFL44" s="67">
        <f t="shared" si="1140"/>
        <v>175561551</v>
      </c>
      <c r="AFM44" s="67">
        <f t="shared" si="1140"/>
        <v>175561551</v>
      </c>
      <c r="AFN44" s="67">
        <f t="shared" si="1140"/>
        <v>175561551</v>
      </c>
      <c r="AFO44" s="67">
        <f t="shared" si="1140"/>
        <v>175561551</v>
      </c>
      <c r="AFP44" s="67">
        <f t="shared" si="1140"/>
        <v>175561551</v>
      </c>
      <c r="AFQ44" s="67">
        <f t="shared" si="1140"/>
        <v>85880551</v>
      </c>
      <c r="AFR44" s="67">
        <f t="shared" si="1140"/>
        <v>94299945</v>
      </c>
      <c r="AFS44" s="67">
        <f t="shared" si="1140"/>
        <v>94299945</v>
      </c>
      <c r="AFT44" s="130"/>
      <c r="AFU44" s="67">
        <f t="shared" ref="AFU44:AGX44" si="1141">SUM(AFU38:AFU43)</f>
        <v>214345021</v>
      </c>
      <c r="AFV44" s="67">
        <f t="shared" si="1141"/>
        <v>214345021</v>
      </c>
      <c r="AFW44" s="67">
        <f t="shared" si="1141"/>
        <v>214345021</v>
      </c>
      <c r="AFX44" s="67">
        <f t="shared" si="1141"/>
        <v>214345021</v>
      </c>
      <c r="AFY44" s="67">
        <f t="shared" si="1141"/>
        <v>214345021</v>
      </c>
      <c r="AFZ44" s="67">
        <f t="shared" si="1141"/>
        <v>262412941</v>
      </c>
      <c r="AGA44" s="67">
        <f t="shared" si="1141"/>
        <v>212911538</v>
      </c>
      <c r="AGB44" s="67">
        <f t="shared" si="1141"/>
        <v>212911538</v>
      </c>
      <c r="AGC44" s="67">
        <f t="shared" si="1141"/>
        <v>212911538</v>
      </c>
      <c r="AGD44" s="67">
        <f t="shared" si="1141"/>
        <v>113093674</v>
      </c>
      <c r="AGE44" s="67">
        <f t="shared" si="1141"/>
        <v>113093674</v>
      </c>
      <c r="AGF44" s="67">
        <f t="shared" si="1141"/>
        <v>98337146</v>
      </c>
      <c r="AGG44" s="67">
        <f t="shared" si="1141"/>
        <v>98337146</v>
      </c>
      <c r="AGH44" s="67">
        <f t="shared" si="1141"/>
        <v>133667610</v>
      </c>
      <c r="AGI44" s="67">
        <f t="shared" si="1141"/>
        <v>133667610</v>
      </c>
      <c r="AGJ44" s="67">
        <f t="shared" si="1141"/>
        <v>133667610</v>
      </c>
      <c r="AGK44" s="67">
        <f t="shared" si="1141"/>
        <v>134164610</v>
      </c>
      <c r="AGL44" s="67">
        <f t="shared" si="1141"/>
        <v>134164610</v>
      </c>
      <c r="AGM44" s="67">
        <f t="shared" si="1141"/>
        <v>134164610</v>
      </c>
      <c r="AGN44" s="67">
        <f t="shared" si="1141"/>
        <v>79537427</v>
      </c>
      <c r="AGO44" s="67">
        <f t="shared" si="1141"/>
        <v>141601523</v>
      </c>
      <c r="AGP44" s="67">
        <f t="shared" si="1141"/>
        <v>141601523</v>
      </c>
      <c r="AGQ44" s="67">
        <f t="shared" si="1141"/>
        <v>163690291</v>
      </c>
      <c r="AGR44" s="67">
        <f t="shared" si="1141"/>
        <v>107147727</v>
      </c>
      <c r="AGS44" s="67">
        <f t="shared" si="1141"/>
        <v>107147727</v>
      </c>
      <c r="AGT44" s="67">
        <f t="shared" si="1141"/>
        <v>150062223</v>
      </c>
      <c r="AGU44" s="67">
        <f t="shared" si="1141"/>
        <v>150062223</v>
      </c>
      <c r="AGV44" s="67">
        <f t="shared" si="1141"/>
        <v>150062223</v>
      </c>
      <c r="AGW44" s="67">
        <f t="shared" si="1141"/>
        <v>156984719</v>
      </c>
      <c r="AGX44" s="67">
        <f t="shared" si="1141"/>
        <v>97616719</v>
      </c>
      <c r="AGY44" s="140"/>
      <c r="AGZ44" s="67">
        <f t="shared" ref="AGZ44:AID44" si="1142">SUM(AGZ38:AGZ43)</f>
        <v>106230480</v>
      </c>
      <c r="AHA44" s="67">
        <f t="shared" si="1142"/>
        <v>106230480</v>
      </c>
      <c r="AHB44" s="67">
        <f t="shared" si="1142"/>
        <v>168275184</v>
      </c>
      <c r="AHC44" s="67">
        <f t="shared" si="1142"/>
        <v>168275184</v>
      </c>
      <c r="AHD44" s="67">
        <f t="shared" si="1142"/>
        <v>137275184</v>
      </c>
      <c r="AHE44" s="67">
        <f t="shared" si="1142"/>
        <v>174396392</v>
      </c>
      <c r="AHF44" s="67">
        <f t="shared" si="1142"/>
        <v>174396392</v>
      </c>
      <c r="AHG44" s="67">
        <f t="shared" si="1142"/>
        <v>174396392</v>
      </c>
      <c r="AHH44" s="67">
        <f t="shared" si="1142"/>
        <v>180913029</v>
      </c>
      <c r="AHI44" s="67">
        <f t="shared" si="1142"/>
        <v>180913029</v>
      </c>
      <c r="AHJ44" s="67">
        <f t="shared" si="1142"/>
        <v>278881125</v>
      </c>
      <c r="AHK44" s="67">
        <f t="shared" si="1142"/>
        <v>151485793</v>
      </c>
      <c r="AHL44" s="67">
        <f t="shared" si="1142"/>
        <v>151485793</v>
      </c>
      <c r="AHM44" s="67">
        <f t="shared" si="1142"/>
        <v>151485793</v>
      </c>
      <c r="AHN44" s="67">
        <f t="shared" si="1142"/>
        <v>89485793</v>
      </c>
      <c r="AHO44" s="67">
        <f t="shared" si="1142"/>
        <v>89485793</v>
      </c>
      <c r="AHP44" s="67">
        <f t="shared" si="1142"/>
        <v>157404041</v>
      </c>
      <c r="AHQ44" s="67">
        <f t="shared" si="1142"/>
        <v>157724041</v>
      </c>
      <c r="AHR44" s="67">
        <f t="shared" si="1142"/>
        <v>157724041</v>
      </c>
      <c r="AHS44" s="67">
        <f t="shared" si="1142"/>
        <v>157174041</v>
      </c>
      <c r="AHT44" s="67">
        <f t="shared" si="1142"/>
        <v>157174041</v>
      </c>
      <c r="AHU44" s="67">
        <f t="shared" si="1142"/>
        <v>169143670</v>
      </c>
      <c r="AHV44" s="67">
        <f t="shared" si="1142"/>
        <v>169143670</v>
      </c>
      <c r="AHW44" s="67">
        <f t="shared" si="1142"/>
        <v>176931861</v>
      </c>
      <c r="AHX44" s="67">
        <f t="shared" si="1142"/>
        <v>176931861</v>
      </c>
      <c r="AHY44" s="67">
        <f t="shared" si="1142"/>
        <v>176931861</v>
      </c>
      <c r="AHZ44" s="67">
        <f t="shared" si="1142"/>
        <v>176931861</v>
      </c>
      <c r="AIA44" s="67">
        <f t="shared" si="1142"/>
        <v>166931861</v>
      </c>
      <c r="AIB44" s="67">
        <f t="shared" si="1142"/>
        <v>166931861</v>
      </c>
      <c r="AIC44" s="67">
        <f t="shared" si="1142"/>
        <v>166931861</v>
      </c>
      <c r="AID44" s="67">
        <f t="shared" si="1142"/>
        <v>228613541</v>
      </c>
      <c r="AIE44" s="130"/>
      <c r="AIF44" s="67">
        <f t="shared" ref="AIF44:AJJ44" si="1143">SUM(AIF38:AIF43)</f>
        <v>160266541</v>
      </c>
      <c r="AIG44" s="67">
        <f t="shared" si="1143"/>
        <v>160266541</v>
      </c>
      <c r="AIH44" s="67">
        <f t="shared" si="1143"/>
        <v>160266541</v>
      </c>
      <c r="AII44" s="67">
        <f t="shared" si="1143"/>
        <v>173649757</v>
      </c>
      <c r="AIJ44" s="67">
        <f t="shared" si="1143"/>
        <v>141666787</v>
      </c>
      <c r="AIK44" s="67">
        <f t="shared" si="1143"/>
        <v>148792883</v>
      </c>
      <c r="AIL44" s="67">
        <f t="shared" si="1143"/>
        <v>148792883</v>
      </c>
      <c r="AIM44" s="67">
        <f t="shared" si="1143"/>
        <v>136930883</v>
      </c>
      <c r="AIN44" s="67">
        <f t="shared" si="1143"/>
        <v>177751043</v>
      </c>
      <c r="AIO44" s="67">
        <f t="shared" si="1143"/>
        <v>177751043</v>
      </c>
      <c r="AIP44" s="67">
        <f t="shared" si="1143"/>
        <v>177751043</v>
      </c>
      <c r="AIQ44" s="67">
        <f t="shared" si="1143"/>
        <v>177751043</v>
      </c>
      <c r="AIR44" s="67">
        <f t="shared" si="1143"/>
        <v>151375415</v>
      </c>
      <c r="AIS44" s="67">
        <f t="shared" si="1143"/>
        <v>151375415</v>
      </c>
      <c r="AIT44" s="67">
        <f t="shared" si="1143"/>
        <v>151375415</v>
      </c>
      <c r="AIU44" s="67">
        <f t="shared" si="1143"/>
        <v>151375415</v>
      </c>
      <c r="AIV44" s="67">
        <f t="shared" si="1143"/>
        <v>151375415</v>
      </c>
      <c r="AIW44" s="67">
        <f t="shared" si="1143"/>
        <v>151375415</v>
      </c>
      <c r="AIX44" s="67">
        <f t="shared" si="1143"/>
        <v>103638241</v>
      </c>
      <c r="AIY44" s="67">
        <f t="shared" si="1143"/>
        <v>104910741</v>
      </c>
      <c r="AIZ44" s="67">
        <f t="shared" si="1143"/>
        <v>104910741</v>
      </c>
      <c r="AJA44" s="67">
        <f t="shared" si="1143"/>
        <v>158122613</v>
      </c>
      <c r="AJB44" s="67">
        <f t="shared" si="1143"/>
        <v>202774259</v>
      </c>
      <c r="AJC44" s="67">
        <f t="shared" si="1143"/>
        <v>210609175</v>
      </c>
      <c r="AJD44" s="67">
        <f t="shared" si="1143"/>
        <v>235099175</v>
      </c>
      <c r="AJE44" s="67">
        <f t="shared" si="1143"/>
        <v>235099175</v>
      </c>
      <c r="AJF44" s="67">
        <f t="shared" si="1143"/>
        <v>235099175</v>
      </c>
      <c r="AJG44" s="67">
        <f t="shared" si="1143"/>
        <v>235099175</v>
      </c>
      <c r="AJH44" s="67">
        <f t="shared" si="1143"/>
        <v>235099175</v>
      </c>
      <c r="AJI44" s="67">
        <f t="shared" si="1143"/>
        <v>218770269</v>
      </c>
      <c r="AJJ44" s="67">
        <f t="shared" si="1143"/>
        <v>218770269</v>
      </c>
      <c r="AJK44" s="145"/>
      <c r="AJL44" s="67">
        <f t="shared" ref="AJL44:AKM44" si="1144">SUM(AJL38:AJL43)</f>
        <v>168670269</v>
      </c>
      <c r="AJM44" s="67">
        <f t="shared" si="1144"/>
        <v>173244087</v>
      </c>
      <c r="AJN44" s="67">
        <f t="shared" si="1144"/>
        <v>173244087</v>
      </c>
      <c r="AJO44" s="67">
        <f t="shared" si="1144"/>
        <v>173790087</v>
      </c>
      <c r="AJP44" s="67">
        <f t="shared" si="1144"/>
        <v>173790087</v>
      </c>
      <c r="AJQ44" s="67">
        <f t="shared" si="1144"/>
        <v>218034111</v>
      </c>
      <c r="AJR44" s="67">
        <f t="shared" si="1144"/>
        <v>257464723</v>
      </c>
      <c r="AJS44" s="67">
        <f t="shared" si="1144"/>
        <v>257464723</v>
      </c>
      <c r="AJT44" s="67">
        <f t="shared" si="1144"/>
        <v>257464723</v>
      </c>
      <c r="AJU44" s="67">
        <f t="shared" si="1144"/>
        <v>257464723</v>
      </c>
      <c r="AJV44" s="67">
        <f t="shared" si="1144"/>
        <v>257464723</v>
      </c>
      <c r="AJW44" s="67">
        <f t="shared" si="1144"/>
        <v>279837775</v>
      </c>
      <c r="AJX44" s="67">
        <f t="shared" si="1144"/>
        <v>279837775</v>
      </c>
      <c r="AJY44" s="67">
        <f t="shared" si="1144"/>
        <v>349290550</v>
      </c>
      <c r="AJZ44" s="67">
        <f t="shared" si="1144"/>
        <v>349290550</v>
      </c>
      <c r="AKA44" s="67">
        <f t="shared" si="1144"/>
        <v>358348649</v>
      </c>
      <c r="AKB44" s="67">
        <f t="shared" si="1144"/>
        <v>358348649</v>
      </c>
      <c r="AKC44" s="67">
        <f t="shared" si="1144"/>
        <v>358348649</v>
      </c>
      <c r="AKD44" s="67">
        <f t="shared" si="1144"/>
        <v>431023067</v>
      </c>
      <c r="AKE44" s="67">
        <f t="shared" si="1144"/>
        <v>431023067</v>
      </c>
      <c r="AKF44" s="67">
        <f t="shared" si="1144"/>
        <v>431925067</v>
      </c>
      <c r="AKG44" s="67">
        <f t="shared" si="1144"/>
        <v>431925067</v>
      </c>
      <c r="AKH44" s="67">
        <f t="shared" si="1144"/>
        <v>199925067</v>
      </c>
      <c r="AKI44" s="67">
        <f t="shared" si="1144"/>
        <v>199925067</v>
      </c>
      <c r="AKJ44" s="67">
        <f t="shared" si="1144"/>
        <v>199925067</v>
      </c>
      <c r="AKK44" s="67">
        <f t="shared" si="1144"/>
        <v>222311613</v>
      </c>
      <c r="AKL44" s="67">
        <f t="shared" si="1144"/>
        <v>122945500</v>
      </c>
      <c r="AKM44" s="67">
        <f t="shared" si="1144"/>
        <v>186616364</v>
      </c>
      <c r="AKN44" s="53"/>
      <c r="AKO44" s="67">
        <f t="shared" ref="AKO44:ALS44" si="1145">SUM(AKO38:AKO43)</f>
        <v>183994364</v>
      </c>
      <c r="AKP44" s="67">
        <f t="shared" si="1145"/>
        <v>194289020</v>
      </c>
      <c r="AKQ44" s="67">
        <f t="shared" si="1145"/>
        <v>111289020</v>
      </c>
      <c r="AKR44" s="67">
        <f t="shared" si="1145"/>
        <v>111289020</v>
      </c>
      <c r="AKS44" s="67">
        <f t="shared" si="1145"/>
        <v>111289020</v>
      </c>
      <c r="AKT44" s="67">
        <f t="shared" si="1145"/>
        <v>111289020</v>
      </c>
      <c r="AKU44" s="67">
        <f t="shared" si="1145"/>
        <v>192427036</v>
      </c>
      <c r="AKV44" s="67">
        <f t="shared" si="1145"/>
        <v>192427036</v>
      </c>
      <c r="AKW44" s="67">
        <f t="shared" si="1145"/>
        <v>98427036</v>
      </c>
      <c r="AKX44" s="67">
        <f t="shared" si="1145"/>
        <v>143218120</v>
      </c>
      <c r="AKY44" s="67">
        <f t="shared" si="1145"/>
        <v>125920457</v>
      </c>
      <c r="AKZ44" s="67">
        <f t="shared" si="1145"/>
        <v>133498425</v>
      </c>
      <c r="ALA44" s="67">
        <f t="shared" si="1145"/>
        <v>182688741</v>
      </c>
      <c r="ALB44" s="67">
        <f t="shared" si="1145"/>
        <v>185316263</v>
      </c>
      <c r="ALC44" s="67">
        <f t="shared" si="1145"/>
        <v>185316263</v>
      </c>
      <c r="ALD44" s="67">
        <f t="shared" si="1145"/>
        <v>185316263</v>
      </c>
      <c r="ALE44" s="67">
        <f t="shared" si="1145"/>
        <v>185316263</v>
      </c>
      <c r="ALF44" s="67">
        <f t="shared" si="1145"/>
        <v>103957863</v>
      </c>
      <c r="ALG44" s="67">
        <f t="shared" si="1145"/>
        <v>126809923</v>
      </c>
      <c r="ALH44" s="67">
        <f t="shared" si="1145"/>
        <v>191919027</v>
      </c>
      <c r="ALI44" s="67">
        <f t="shared" si="1145"/>
        <v>191919027</v>
      </c>
      <c r="ALJ44" s="67">
        <f t="shared" si="1145"/>
        <v>191919027</v>
      </c>
      <c r="ALK44" s="67">
        <f t="shared" si="1145"/>
        <v>191919027</v>
      </c>
      <c r="ALL44" s="67">
        <f t="shared" si="1145"/>
        <v>73591853</v>
      </c>
      <c r="ALM44" s="67">
        <f t="shared" si="1145"/>
        <v>73591853</v>
      </c>
      <c r="ALN44" s="67">
        <f t="shared" si="1145"/>
        <v>172619116</v>
      </c>
      <c r="ALO44" s="67">
        <f t="shared" si="1145"/>
        <v>172619116</v>
      </c>
      <c r="ALP44" s="67">
        <f t="shared" si="1145"/>
        <v>210578824</v>
      </c>
      <c r="ALQ44" s="67">
        <f t="shared" si="1145"/>
        <v>217037227</v>
      </c>
      <c r="ALR44" s="67">
        <f t="shared" si="1145"/>
        <v>113037227</v>
      </c>
      <c r="ALS44" s="67">
        <f t="shared" si="1145"/>
        <v>114375227</v>
      </c>
      <c r="ALT44" s="130"/>
      <c r="ALU44" s="67">
        <f t="shared" ref="ALU44:AMX44" si="1146">SUM(ALU38:ALU43)</f>
        <v>88102227</v>
      </c>
      <c r="ALV44" s="67">
        <f t="shared" si="1146"/>
        <v>170828058</v>
      </c>
      <c r="ALW44" s="67">
        <f t="shared" si="1146"/>
        <v>198312058</v>
      </c>
      <c r="ALX44" s="67">
        <f t="shared" si="1146"/>
        <v>198312058</v>
      </c>
      <c r="ALY44" s="67">
        <f t="shared" si="1146"/>
        <v>198312058</v>
      </c>
      <c r="ALZ44" s="67">
        <f t="shared" si="1146"/>
        <v>201352620</v>
      </c>
      <c r="AMA44" s="67">
        <f t="shared" si="1146"/>
        <v>201352620</v>
      </c>
      <c r="AMB44" s="67">
        <f t="shared" si="1146"/>
        <v>124352620</v>
      </c>
      <c r="AMC44" s="67">
        <f t="shared" si="1146"/>
        <v>126705002</v>
      </c>
      <c r="AMD44" s="67">
        <f t="shared" si="1146"/>
        <v>151798610</v>
      </c>
      <c r="AME44" s="67">
        <f t="shared" si="1146"/>
        <v>151798610</v>
      </c>
      <c r="AMF44" s="67">
        <f t="shared" si="1146"/>
        <v>203211690</v>
      </c>
      <c r="AMG44" s="67">
        <f t="shared" si="1146"/>
        <v>167280190</v>
      </c>
      <c r="AMH44" s="67">
        <f t="shared" si="1146"/>
        <v>128399500</v>
      </c>
      <c r="AMI44" s="67">
        <f t="shared" si="1146"/>
        <v>137831599</v>
      </c>
      <c r="AMJ44" s="67">
        <f t="shared" si="1146"/>
        <v>137831599</v>
      </c>
      <c r="AMK44" s="67">
        <f t="shared" si="1146"/>
        <v>180203759</v>
      </c>
      <c r="AML44" s="67">
        <f t="shared" si="1146"/>
        <v>180203759</v>
      </c>
      <c r="AMM44" s="67">
        <f t="shared" si="1146"/>
        <v>180203759</v>
      </c>
      <c r="AMN44" s="67">
        <f t="shared" si="1146"/>
        <v>89203759</v>
      </c>
      <c r="AMO44" s="67">
        <f t="shared" si="1146"/>
        <v>176901179</v>
      </c>
      <c r="AMP44" s="67">
        <f t="shared" si="1146"/>
        <v>178090179</v>
      </c>
      <c r="AMQ44" s="67">
        <f t="shared" si="1146"/>
        <v>21606179</v>
      </c>
      <c r="AMR44" s="67">
        <f t="shared" si="1146"/>
        <v>92760275</v>
      </c>
      <c r="AMS44" s="67">
        <f t="shared" si="1146"/>
        <v>143499879</v>
      </c>
      <c r="AMT44" s="67">
        <f t="shared" si="1146"/>
        <v>143499879</v>
      </c>
      <c r="AMU44" s="67">
        <f t="shared" si="1146"/>
        <v>143499879</v>
      </c>
      <c r="AMV44" s="67">
        <f t="shared" si="1146"/>
        <v>186359999</v>
      </c>
      <c r="AMW44" s="67">
        <f t="shared" si="1146"/>
        <v>68300999</v>
      </c>
      <c r="AMX44" s="67">
        <f t="shared" si="1146"/>
        <v>128441971</v>
      </c>
      <c r="AMY44" s="130"/>
      <c r="AMZ44" s="67">
        <f t="shared" ref="AMZ44:AOC44" si="1147">SUM(AMZ38:AMZ43)</f>
        <v>186073623</v>
      </c>
      <c r="ANA44" s="67">
        <f t="shared" si="1147"/>
        <v>186073623</v>
      </c>
      <c r="ANB44" s="67">
        <f t="shared" si="1147"/>
        <v>186073623</v>
      </c>
      <c r="ANC44" s="67">
        <f t="shared" si="1147"/>
        <v>186073623</v>
      </c>
      <c r="AND44" s="67">
        <f t="shared" si="1147"/>
        <v>234371066</v>
      </c>
      <c r="ANE44" s="67">
        <f t="shared" si="1147"/>
        <v>261750796</v>
      </c>
      <c r="ANF44" s="67">
        <f t="shared" si="1147"/>
        <v>261750796</v>
      </c>
      <c r="ANG44" s="67">
        <f t="shared" si="1147"/>
        <v>300561730</v>
      </c>
      <c r="ANH44" s="67">
        <f t="shared" si="1147"/>
        <v>300561730</v>
      </c>
      <c r="ANI44" s="67">
        <f t="shared" si="1147"/>
        <v>212656159</v>
      </c>
      <c r="ANJ44" s="67">
        <f t="shared" si="1147"/>
        <v>215105859</v>
      </c>
      <c r="ANK44" s="67">
        <f t="shared" si="1147"/>
        <v>215105859</v>
      </c>
      <c r="ANL44" s="67">
        <f t="shared" si="1147"/>
        <v>94887303</v>
      </c>
      <c r="ANM44" s="67">
        <f t="shared" si="1147"/>
        <v>161027129</v>
      </c>
      <c r="ANN44" s="67">
        <f t="shared" si="1147"/>
        <v>161027129</v>
      </c>
      <c r="ANO44" s="67">
        <f t="shared" si="1147"/>
        <v>174295925</v>
      </c>
      <c r="ANP44" s="67">
        <f t="shared" si="1147"/>
        <v>204498899</v>
      </c>
      <c r="ANQ44" s="67">
        <f t="shared" si="1147"/>
        <v>204498899</v>
      </c>
      <c r="ANR44" s="67">
        <f t="shared" si="1147"/>
        <v>204498899</v>
      </c>
      <c r="ANS44" s="67">
        <f t="shared" si="1147"/>
        <v>265399963</v>
      </c>
      <c r="ANT44" s="67">
        <f t="shared" si="1147"/>
        <v>265399963</v>
      </c>
      <c r="ANU44" s="67">
        <f t="shared" si="1147"/>
        <v>294244189</v>
      </c>
      <c r="ANV44" s="67">
        <f t="shared" si="1147"/>
        <v>300244189</v>
      </c>
      <c r="ANW44" s="67">
        <f t="shared" si="1147"/>
        <v>300244189</v>
      </c>
      <c r="ANX44" s="67">
        <f t="shared" si="1147"/>
        <v>300244189</v>
      </c>
      <c r="ANY44" s="67">
        <f t="shared" si="1147"/>
        <v>300244189</v>
      </c>
      <c r="ANZ44" s="67">
        <f t="shared" si="1147"/>
        <v>299638243</v>
      </c>
      <c r="AOA44" s="67">
        <f t="shared" si="1147"/>
        <v>299638243</v>
      </c>
      <c r="AOB44" s="67">
        <f t="shared" si="1147"/>
        <v>301538243</v>
      </c>
      <c r="AOC44" s="67">
        <f t="shared" si="1147"/>
        <v>395694548</v>
      </c>
    </row>
    <row r="45" spans="1:1069" x14ac:dyDescent="0.2">
      <c r="A45" s="56"/>
      <c r="B45" s="68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67"/>
      <c r="BM45" s="105"/>
      <c r="DX45" s="117"/>
      <c r="FD45" s="126"/>
      <c r="GJ45" s="130"/>
      <c r="HN45" s="130"/>
      <c r="IT45" s="130"/>
      <c r="JY45" s="130"/>
      <c r="LE45" s="130"/>
      <c r="MJ45" s="130"/>
      <c r="NP45" s="130"/>
      <c r="OI45" s="52">
        <f>OV46+BALANCING!OW29-10000000</f>
        <v>1205000</v>
      </c>
      <c r="OV45" s="130"/>
      <c r="QA45" s="130"/>
      <c r="RG45" s="130"/>
      <c r="SL45" s="130"/>
      <c r="TR45" s="130"/>
      <c r="UX45" s="130"/>
      <c r="WA45" s="130"/>
      <c r="XG45" s="130"/>
      <c r="YL45" s="130"/>
      <c r="ZR45" s="130"/>
      <c r="AAW45" s="130"/>
      <c r="ACC45" s="130"/>
      <c r="ADI45" s="130"/>
      <c r="AEN45" s="130"/>
      <c r="AFT45" s="130"/>
      <c r="AGY45" s="130"/>
      <c r="AIE45" s="130"/>
      <c r="AJK45" s="145"/>
      <c r="AKN45" s="145"/>
      <c r="ALT45" s="130"/>
      <c r="AMY45" s="130"/>
    </row>
    <row r="46" spans="1:1069" x14ac:dyDescent="0.2">
      <c r="A46" s="171" t="s">
        <v>1677</v>
      </c>
      <c r="B46" t="s">
        <v>1678</v>
      </c>
      <c r="C46" s="52">
        <v>119181755</v>
      </c>
      <c r="D46" s="52">
        <f>C46+BALANCING!D28</f>
        <v>129399826.0000003</v>
      </c>
      <c r="E46" s="52">
        <f>D46+BALANCING!E28</f>
        <v>140315496.80000007</v>
      </c>
      <c r="F46" s="52">
        <f>E46+BALANCING!F28</f>
        <v>152909257.98000038</v>
      </c>
      <c r="G46" s="52">
        <f>F46+BALANCING!G28-31000000-37000000</f>
        <v>99086793.750000268</v>
      </c>
      <c r="H46" s="52">
        <f>G46+BALANCING!H29</f>
        <v>111526793.75000027</v>
      </c>
      <c r="I46" s="52">
        <f>H46+BALANCING!I29</f>
        <v>125416793.75000027</v>
      </c>
      <c r="J46" s="52">
        <f>I46+BALANCING!J29</f>
        <v>136386793.75000027</v>
      </c>
      <c r="K46" s="52">
        <f>J46+BALANCING!K29</f>
        <v>145251793.75000027</v>
      </c>
      <c r="L46" s="52">
        <f>K46+BALANCING!L29</f>
        <v>157390793.75000027</v>
      </c>
      <c r="M46" s="52">
        <f>L46+BALANCING!M29-25000000-40000000-50000000</f>
        <v>53698793.750000268</v>
      </c>
      <c r="N46" s="52">
        <f>M46+BALANCING!N29</f>
        <v>66695793.750000268</v>
      </c>
      <c r="O46" s="52">
        <f>N46+BALANCING!O29-52000</f>
        <v>79430793.750000268</v>
      </c>
      <c r="P46" s="52">
        <f>O46+BALANCING!P29-55000000+3360934-3425638</f>
        <v>38410089.750000268</v>
      </c>
      <c r="Q46" s="52">
        <f>P46+BALANCING!Q29</f>
        <v>49958089.750000268</v>
      </c>
      <c r="R46" s="52">
        <f>Q46+BALANCING!R29</f>
        <v>62988089.750000268</v>
      </c>
      <c r="S46" s="52">
        <f>R46+BALANCING!S29</f>
        <v>75634089.750000268</v>
      </c>
      <c r="T46" s="52">
        <f>S46+BALANCING!T29-20000000-46000000</f>
        <v>24092089.750000268</v>
      </c>
      <c r="U46" s="52">
        <f>T46+BALANCING!U29-11000000</f>
        <v>24807089.750000268</v>
      </c>
      <c r="V46" s="52">
        <f>U46+BALANCING!V29</f>
        <v>37407089.750000268</v>
      </c>
      <c r="W46" s="52">
        <f>V46+BALANCING!W29</f>
        <v>47679089.750000268</v>
      </c>
      <c r="X46" s="52">
        <f>W46+BALANCING!X29</f>
        <v>59741089.750000268</v>
      </c>
      <c r="Y46" s="52">
        <f>X46+BALANCING!Y29-45000000</f>
        <v>25055089.750000268</v>
      </c>
      <c r="Z46" s="52">
        <f>Y46+BALANCING!Z29-36800</f>
        <v>36295289.750000268</v>
      </c>
      <c r="AA46" s="52">
        <f>Z46+BALANCING!AA29</f>
        <v>51070289.750000268</v>
      </c>
      <c r="AB46" s="52">
        <f>AA46+BALANCING!AB29</f>
        <v>67369289.750000268</v>
      </c>
      <c r="AC46" s="52">
        <f>AB46+BALANCING!AC29</f>
        <v>78719289.750000268</v>
      </c>
      <c r="AD46" s="52">
        <f>AC46+BALANCING!AD29</f>
        <v>91585289.750000268</v>
      </c>
      <c r="AE46" s="52">
        <f>AD46+BALANCING!AE29-76000000</f>
        <v>28646289.750000268</v>
      </c>
      <c r="AF46" s="52">
        <f>AE46+BALANCING!AF29</f>
        <v>42877289.750000268</v>
      </c>
      <c r="AG46" s="52">
        <f>AF46+BALANCING!AG29-42000000</f>
        <v>16122289.750000268</v>
      </c>
      <c r="AH46" s="67">
        <f>AG46</f>
        <v>16122289.750000268</v>
      </c>
      <c r="AI46" s="52">
        <f>AG46+BALANCING!AI29</f>
        <v>33303289.750000268</v>
      </c>
      <c r="AJ46" s="52">
        <f>AI46+BALANCING!AJ29</f>
        <v>50812289.750000268</v>
      </c>
      <c r="AK46" s="52">
        <f>AJ46+BALANCING!AK29</f>
        <v>66058289.750000268</v>
      </c>
      <c r="AL46" s="52">
        <f>AK46+BALANCING!AL29</f>
        <v>78797289.750000268</v>
      </c>
      <c r="AM46" s="52">
        <f>AL46+BALANCING!AM29-50000000</f>
        <v>44244289.750000268</v>
      </c>
      <c r="AN46" s="52">
        <f>AM46+BALANCING!AN29</f>
        <v>53027289.750000268</v>
      </c>
      <c r="AO46" s="52">
        <f>AN46+BALANCING!AO29</f>
        <v>69494289.750000268</v>
      </c>
      <c r="AP46" s="52">
        <f>AO46+BALANCING!AP29-44000000</f>
        <v>45316289.750000268</v>
      </c>
      <c r="AQ46" s="52">
        <f>AP46+BALANCING!AQ29-45000000</f>
        <v>16098289.750000268</v>
      </c>
      <c r="AR46" s="52">
        <f>AQ46+BALANCING!AR29</f>
        <v>29892289.750000268</v>
      </c>
      <c r="AS46" s="52">
        <f>AR46+BALANCING!AS29</f>
        <v>44869289.750000268</v>
      </c>
      <c r="AT46" s="52">
        <f>AS46+BALANCING!AT29</f>
        <v>57862289.750000268</v>
      </c>
      <c r="AU46" s="52">
        <f>AT46+BALANCING!AU29</f>
        <v>70328289.750000268</v>
      </c>
      <c r="AV46" s="52">
        <f>AU46+BALANCING!AV29-52000-3583536+3131988-50000000</f>
        <v>32022741.750000268</v>
      </c>
      <c r="AW46" s="52">
        <f>AV46+BALANCING!AW29</f>
        <v>45103741.750000268</v>
      </c>
      <c r="AX46" s="52">
        <f>AW46+BALANCING!AX29</f>
        <v>58610741.750000268</v>
      </c>
      <c r="AY46" s="52">
        <f>AX46+BALANCING!AY29</f>
        <v>71431741.750000268</v>
      </c>
      <c r="AZ46" s="52">
        <f>AY46+BALANCING!AZ29-22000000-45000000</f>
        <v>17851741.750000268</v>
      </c>
      <c r="BA46" s="52">
        <f>AZ46+BALANCING!BA29</f>
        <v>29773741.750000268</v>
      </c>
      <c r="BB46" s="52">
        <f>BA46+BALANCING!BB29</f>
        <v>42059741.750000268</v>
      </c>
      <c r="BC46" s="52">
        <f>BB46+BALANCING!BC29+114000-45000000</f>
        <v>10121741.750000268</v>
      </c>
      <c r="BD46" s="52">
        <f>BC46+BALANCING!BD29</f>
        <v>25268741.750000268</v>
      </c>
      <c r="BE46" s="52">
        <f>BD46+BALANCING!BE29</f>
        <v>40613741.750000268</v>
      </c>
      <c r="BF46" s="52">
        <f>BE46+BALANCING!BF29-36800</f>
        <v>53069941.750000268</v>
      </c>
      <c r="BG46" s="52">
        <f>BF46+BALANCING!BG29</f>
        <v>66411941.750000268</v>
      </c>
      <c r="BH46" s="52">
        <f>BG46+BALANCING!BH29-30000000-45000000</f>
        <v>3867941.7500002682</v>
      </c>
      <c r="BI46" s="52">
        <f>BH46+BALANCING!BI29</f>
        <v>17778941.750000268</v>
      </c>
      <c r="BJ46" s="52">
        <f>BI46+BALANCING!BJ29-17000000</f>
        <v>13250941.750000268</v>
      </c>
      <c r="BK46" s="52">
        <f>BJ46+BALANCING!BK29</f>
        <v>26650941.750000268</v>
      </c>
      <c r="BL46" s="52">
        <f>BK46+BALANCING!BL29</f>
        <v>40463941.750000268</v>
      </c>
      <c r="BM46" s="106">
        <f>BL46</f>
        <v>40463941.750000268</v>
      </c>
      <c r="BN46" s="52">
        <f>BM46+BALANCING!BN29</f>
        <v>52580941.750000268</v>
      </c>
      <c r="BO46" s="52">
        <f>BN46+BALANCING!BO29</f>
        <v>65453941.750000268</v>
      </c>
      <c r="BP46" s="52">
        <f>BO46+BALANCING!BP29</f>
        <v>74750941.750000268</v>
      </c>
      <c r="BQ46" s="52">
        <f>BP46+BALANCING!BQ29</f>
        <v>87949941.750000268</v>
      </c>
      <c r="BR46" s="52">
        <f>BQ46+BALANCING!BR29-70000000</f>
        <v>30832941.750000268</v>
      </c>
      <c r="BS46" s="52">
        <f>BR46+BALANCING!BS29</f>
        <v>44964941.750000268</v>
      </c>
      <c r="BT46" s="52">
        <f>BS46+BALANCING!BT29</f>
        <v>56785941.750000268</v>
      </c>
      <c r="BU46" s="52">
        <f>BT46+BALANCING!BU29</f>
        <v>69564941.750000268</v>
      </c>
      <c r="BV46" s="52">
        <f>BU46+BALANCING!BV29</f>
        <v>81298941.750000268</v>
      </c>
      <c r="BW46" s="52">
        <f>BV46+BALANCING!BW29</f>
        <v>92623941.750000268</v>
      </c>
      <c r="BX46" s="52">
        <f>BW46+BALANCING!BX29</f>
        <v>104239941.75000027</v>
      </c>
      <c r="BY46" s="52">
        <f>BX46+BALANCING!BY29-57000000-400000</f>
        <v>57819941.750000268</v>
      </c>
      <c r="BZ46" s="52">
        <f>BY46+BALANCING!BZ29</f>
        <v>70797941.750000268</v>
      </c>
      <c r="CA46" s="52">
        <f>BZ46+BALANCING!CA29-3369776-52000+2981299</f>
        <v>82382464.750000268</v>
      </c>
      <c r="CB46" s="52">
        <f>CA46+BALANCING!CB29</f>
        <v>94024464.750000268</v>
      </c>
      <c r="CC46" s="52">
        <f>CB46+BALANCING!CC29-40000000-30000000</f>
        <v>36140464.750000268</v>
      </c>
      <c r="CD46" s="52">
        <f>CC46+BALANCING!CD29</f>
        <v>49966464.750000268</v>
      </c>
      <c r="CE46" s="52">
        <f>CD46+BALANCING!CE29</f>
        <v>60459464.750000268</v>
      </c>
      <c r="CF46" s="52">
        <f>CE46+BALANCING!CF29</f>
        <v>70758464.750000268</v>
      </c>
      <c r="CG46" s="52">
        <f>CF46+BALANCING!CG29-45000000</f>
        <v>38344464.750000268</v>
      </c>
      <c r="CH46" s="52">
        <f>CG46+BALANCING!CH29</f>
        <v>51064464.750000268</v>
      </c>
      <c r="CI46" s="52">
        <f>CH46+BALANCING!CI29</f>
        <v>63972464.750000268</v>
      </c>
      <c r="CJ46" s="52">
        <f>CI46+BALANCING!CJ29</f>
        <v>76053464.750000268</v>
      </c>
      <c r="CK46" s="52">
        <f>CJ46+BALANCING!CK29</f>
        <v>89249464.750000268</v>
      </c>
      <c r="CL46" s="52">
        <f>CK46+BALANCING!CL29-30000000-40000000</f>
        <v>29162464.750000268</v>
      </c>
      <c r="CM46" s="52">
        <f>CL46+BALANCING!CM29</f>
        <v>39860464.750000268</v>
      </c>
      <c r="CN46" s="52">
        <f>CM46+BALANCING!CN29</f>
        <v>51161464.750000268</v>
      </c>
      <c r="CO46" s="52">
        <f>CN46+BALANCING!CO29</f>
        <v>65355464.750000268</v>
      </c>
      <c r="CP46" s="52">
        <f>CO46+BALANCING!CP29</f>
        <v>77792464.750000268</v>
      </c>
      <c r="CQ46" s="52">
        <f>CP46+BALANCING!CQ29</f>
        <v>90083464.750000268</v>
      </c>
      <c r="CR46" s="52">
        <f>CQ46+BALANCING!CR29</f>
        <v>102250464.75000027</v>
      </c>
      <c r="CT46" s="52">
        <f>CR46+BALANCING!CT29-60000000-36800</f>
        <v>55068664.750000268</v>
      </c>
      <c r="CU46" s="52">
        <f>CT46+BALANCING!CU29</f>
        <v>65816664.750000268</v>
      </c>
      <c r="CV46" s="52">
        <f>CU46+BALANCING!CV29</f>
        <v>76649664.750000268</v>
      </c>
      <c r="CW46" s="52">
        <f>CV46+BALANCING!CW29</f>
        <v>95315664.750000268</v>
      </c>
      <c r="CX46" s="52">
        <f>CW46+BALANCING!CX29-60000000</f>
        <v>49701664.750000268</v>
      </c>
      <c r="CY46" s="52">
        <f>CX46+BALANCING!CY29</f>
        <v>61614664.750000268</v>
      </c>
      <c r="CZ46" s="52">
        <f>CY46+BALANCING!CZ29</f>
        <v>72889664.750000268</v>
      </c>
      <c r="DA46" s="52">
        <f>CZ46+BALANCING!DA29</f>
        <v>87522664.750000268</v>
      </c>
      <c r="DB46" s="52">
        <f>DA46+BALANCING!DB29</f>
        <v>99849664.750000268</v>
      </c>
      <c r="DC46" s="52">
        <f>DB46+BALANCING!DC29-58000000</f>
        <v>55432664.750000268</v>
      </c>
      <c r="DD46" s="52">
        <f>DC46+BALANCING!DD29</f>
        <v>70884664.750000268</v>
      </c>
      <c r="DE46" s="52">
        <f>DD46+BALANCING!DE29</f>
        <v>82580664.750000268</v>
      </c>
      <c r="DF46" s="52">
        <f>DE46+BALANCING!DF29-80000000-52000</f>
        <v>11967664.750000268</v>
      </c>
      <c r="DG46" s="52">
        <f>DF46+BALANCING!DG29</f>
        <v>24996664.750000268</v>
      </c>
      <c r="DH46" s="52">
        <f>DG46+BALANCING!DH29</f>
        <v>35371664.750000268</v>
      </c>
      <c r="DI46" s="52">
        <f>DH46+BALANCING!DI29</f>
        <v>44050664.750000268</v>
      </c>
      <c r="DJ46" s="52">
        <f>DI46+BALANCING!DJ29+3290084-3681005-30000000</f>
        <v>23615743.750000268</v>
      </c>
      <c r="DK46" s="52">
        <f>DJ46+BALANCING!DK29</f>
        <v>36768743.750000268</v>
      </c>
      <c r="DL46" s="52">
        <f>DK46+BALANCING!DL29</f>
        <v>46306743.750000268</v>
      </c>
      <c r="DM46" s="52">
        <f>DL46+BALANCING!DM29</f>
        <v>58356743.750000268</v>
      </c>
      <c r="DN46" s="52">
        <f>DM46+BALANCING!DN29</f>
        <v>68104743.750000268</v>
      </c>
      <c r="DO46" s="52">
        <f>DN46+BALANCING!DO29</f>
        <v>80179743.750000268</v>
      </c>
      <c r="DP46" s="52">
        <f>DO46+BALANCING!DP29</f>
        <v>91133743.750000268</v>
      </c>
      <c r="DQ46" s="52">
        <f>DP46+BALANCING!DQ29-50000000-30000000-36500</f>
        <v>24332243.750000268</v>
      </c>
      <c r="DR46" s="52">
        <f>DQ46+BALANCING!DR29</f>
        <v>36816243.750000268</v>
      </c>
      <c r="DS46" s="52">
        <f>DR46+BALANCING!DS29</f>
        <v>48650243.750000268</v>
      </c>
      <c r="DT46" s="52">
        <f>DS46+BALANCING!DT29</f>
        <v>56406243.750000268</v>
      </c>
      <c r="DU46" s="52">
        <f>DT46+BALANCING!DU29-48000000</f>
        <v>19391243.750000268</v>
      </c>
      <c r="DV46" s="52">
        <f>DU46+BALANCING!DV29+3145000</f>
        <v>34413243.750000268</v>
      </c>
      <c r="DW46" s="52">
        <f>DV46+BALANCING!DW29</f>
        <v>46659243.750000268</v>
      </c>
      <c r="DX46" s="117"/>
      <c r="DY46" s="52">
        <f>DW46+BALANCING!DY29</f>
        <v>58119243.750000268</v>
      </c>
      <c r="DZ46" s="52">
        <f>DY46+BALANCING!DZ29</f>
        <v>69696243.750000268</v>
      </c>
      <c r="EA46" s="52">
        <f>DZ46+BALANCING!EA29</f>
        <v>80407243.750000268</v>
      </c>
      <c r="EB46" s="52">
        <f>EA46+BALANCING!EB29</f>
        <v>89993243.750000268</v>
      </c>
      <c r="EC46" s="52">
        <f>EB46+BALANCING!EC29</f>
        <v>100315243.75000027</v>
      </c>
      <c r="ED46" s="52">
        <f>EC46+BALANCING!ED29</f>
        <v>112373243.75000027</v>
      </c>
      <c r="EE46" s="52">
        <f>ED46+BALANCING!EE29</f>
        <v>125331243.75000027</v>
      </c>
      <c r="EF46" s="52">
        <f>EE46+BALANCING!EF29</f>
        <v>139197243.75000027</v>
      </c>
      <c r="EG46" s="52">
        <f>EF46+BALANCING!EG29-45000000-50000000</f>
        <v>59214243.750000268</v>
      </c>
      <c r="EH46" s="52">
        <f>EG46+BALANCING!EH29</f>
        <v>71797243.750000268</v>
      </c>
      <c r="EI46" s="52">
        <f>EH46+BALANCING!EI29+3853803-3736447-1234988-40000000</f>
        <v>41824611.750000268</v>
      </c>
      <c r="EJ46" s="52">
        <f>EI46+BALANCING!EJ29</f>
        <v>54982611.750000268</v>
      </c>
      <c r="EK46" s="52">
        <f>EJ46+BALANCING!EK29</f>
        <v>66859611.750000268</v>
      </c>
      <c r="EL46" s="52">
        <f>EK46+BALANCING!EL29-50000000-52000</f>
        <v>31384611.750000268</v>
      </c>
      <c r="EM46" s="52">
        <f>EL46+BALANCING!EM29</f>
        <v>45711611.750000268</v>
      </c>
      <c r="EN46" s="52">
        <f>EM46+BALANCING!EN29</f>
        <v>60768611.750000268</v>
      </c>
      <c r="EO46" s="52">
        <f>EN46+BALANCING!EO29</f>
        <v>74311611.750000268</v>
      </c>
      <c r="EP46" s="52">
        <f>EO46+BALANCING!EP29-30000000-52000000-1000000-1481000</f>
        <v>4644611.7500002682</v>
      </c>
      <c r="EQ46" s="52">
        <f>EP46+BALANCING!EQ29</f>
        <v>16795611.750000268</v>
      </c>
      <c r="ER46" s="52">
        <f>EQ46+BALANCING!ER29</f>
        <v>32613611.750000268</v>
      </c>
      <c r="ES46" s="52">
        <f>ER46+BALANCING!ES29</f>
        <v>48652611.750000268</v>
      </c>
      <c r="ET46" s="52">
        <f>ES46+BALANCING!ET29</f>
        <v>68817611.750000268</v>
      </c>
      <c r="EU46" s="52">
        <f>ET46+BALANCING!EU29</f>
        <v>89854611.750000268</v>
      </c>
      <c r="EV46" s="52">
        <f>EU46+BALANCING!EV29</f>
        <v>106862611.75000027</v>
      </c>
      <c r="EW46" s="52">
        <f>EV46+BALANCING!EW29</f>
        <v>116130611.75000027</v>
      </c>
      <c r="EX46" s="52">
        <f>EW46+BALANCING!EX29</f>
        <v>126863611.75000027</v>
      </c>
      <c r="EY46" s="52">
        <f>EX46+BALANCING!EY29</f>
        <v>138660611.75000027</v>
      </c>
      <c r="EZ46" s="52">
        <f>EY46+BALANCING!EZ29</f>
        <v>149255611.75000027</v>
      </c>
      <c r="FA46" s="52">
        <f>EZ46+BALANCING!FA29</f>
        <v>160864611.75000027</v>
      </c>
      <c r="FB46" s="52">
        <f>FA46+BALANCING!FB29</f>
        <v>173864611.75000027</v>
      </c>
      <c r="FC46" s="52">
        <f>FB46+BALANCING!FC29-23000000-80000000-2574000+4982018+200000-32000-4800-4000-600-300-2000-300+1480662</f>
        <v>88079291.750000268</v>
      </c>
      <c r="FD46" s="126"/>
      <c r="FE46" s="52">
        <f>FC46+BALANCING!FE29</f>
        <v>100141291.75000027</v>
      </c>
      <c r="FF46" s="52">
        <f>FE46+BALANCING!FF29-52000000</f>
        <v>59433291.750000268</v>
      </c>
      <c r="FG46" s="52">
        <f>FF46+BALANCING!FG29</f>
        <v>70247291.750000268</v>
      </c>
      <c r="FH46" s="52">
        <f>FG46+BALANCING!FH29</f>
        <v>81754291.750000268</v>
      </c>
      <c r="FI46" s="52">
        <f>FH46+BALANCING!FI29</f>
        <v>96000291.750000268</v>
      </c>
      <c r="FJ46" s="52">
        <f>FI46+BALANCING!FJ29</f>
        <v>109429291.75000027</v>
      </c>
      <c r="FK46" s="52">
        <f>FJ46+BALANCING!FK29</f>
        <v>121834291.75000027</v>
      </c>
      <c r="FL46" s="52">
        <f>FK46+BALANCING!FL29-85000000</f>
        <v>48934291.750000268</v>
      </c>
      <c r="FM46" s="52">
        <f>FL46+BALANCING!FM29</f>
        <v>62566291.750000268</v>
      </c>
      <c r="FN46" s="52">
        <f>FM46+BALANCING!FN29</f>
        <v>72655291.750000268</v>
      </c>
      <c r="FO46" s="52">
        <f>FN46+BALANCING!FO29</f>
        <v>84336291.750000268</v>
      </c>
      <c r="FP46" s="52">
        <f>FO46+BALANCING!FP29</f>
        <v>97531291.750000268</v>
      </c>
      <c r="FQ46" s="52">
        <f>FP46+BALANCING!FQ29</f>
        <v>110324291.75000027</v>
      </c>
      <c r="FR46" s="52">
        <f>FQ46+BALANCING!FR29</f>
        <v>122615291.75000027</v>
      </c>
      <c r="FS46" s="52">
        <f>FR46+BALANCING!FS29-90000000-52000</f>
        <v>43843291.750000268</v>
      </c>
      <c r="FT46" s="52">
        <f>FS46+BALANCING!FT29</f>
        <v>56988291.750000268</v>
      </c>
      <c r="FU46" s="52">
        <f>FT46+BALANCING!FU29</f>
        <v>66937291.750000268</v>
      </c>
      <c r="FV46" s="52">
        <f>FU46+BALANCING!FV29</f>
        <v>77767291.750000268</v>
      </c>
      <c r="FW46" s="52">
        <f>FV46+BALANCING!FW29</f>
        <v>92678291.750000268</v>
      </c>
      <c r="FX46" s="52">
        <f>FW46+BALANCING!FX29-3860617+3639512</f>
        <v>108213186.75000027</v>
      </c>
      <c r="FY46" s="52">
        <f>FX46+BALANCING!FY29</f>
        <v>120391186.75000027</v>
      </c>
      <c r="FZ46" s="52">
        <f>FY46+BALANCING!FZ29</f>
        <v>132164186.75000027</v>
      </c>
      <c r="GA46" s="52">
        <f>FZ46+BALANCING!GA29</f>
        <v>144484186.75000027</v>
      </c>
      <c r="GB46" s="52">
        <f>GA46+BALANCING!GB29-100000000-36800</f>
        <v>55090386.750000268</v>
      </c>
      <c r="GC46" s="52">
        <f>GB46+BALANCING!GC29</f>
        <v>68452386.750000268</v>
      </c>
      <c r="GD46" s="52">
        <f>GC46+BALANCING!GD29</f>
        <v>81022386.750000268</v>
      </c>
      <c r="GE46" s="52">
        <f>GD46+BALANCING!GE29</f>
        <v>92829386.750000268</v>
      </c>
      <c r="GF46" s="52">
        <f>GE46+BALANCING!GF29</f>
        <v>104339386.75000027</v>
      </c>
      <c r="GG46" s="52">
        <f>GF46+BALANCING!GG29-52000000-38000000</f>
        <v>28775386.750000268</v>
      </c>
      <c r="GH46" s="52">
        <f>GG46+BALANCING!GH29</f>
        <v>41596386.750000268</v>
      </c>
      <c r="GI46" s="52">
        <f>GH46+BALANCING!GI29</f>
        <v>51991386.750000268</v>
      </c>
      <c r="GJ46" s="130"/>
      <c r="GK46" s="52">
        <f>GI46+BALANCING!GK29</f>
        <v>63400386.750000268</v>
      </c>
      <c r="GL46" s="52">
        <f>GK46+BALANCING!GL29</f>
        <v>76382386.750000268</v>
      </c>
      <c r="GM46" s="52">
        <f>GL46+BALANCING!GM29</f>
        <v>93109386.750000268</v>
      </c>
      <c r="GN46" s="52">
        <f>GM46+BALANCING!GN29</f>
        <v>106860386.75000027</v>
      </c>
      <c r="GO46" s="52">
        <f>GN46+BALANCING!GO29-90000000</f>
        <v>27593386.750000268</v>
      </c>
      <c r="GP46" s="52">
        <f>GO46+BALANCING!GP29</f>
        <v>39017386.750000268</v>
      </c>
      <c r="GQ46" s="52">
        <f>GP46+BALANCING!GQ29</f>
        <v>52825386.750000268</v>
      </c>
      <c r="GR46" s="52">
        <f>GQ46+BALANCING!GR29</f>
        <v>65077386.750000268</v>
      </c>
      <c r="GS46" s="52">
        <f>GR46+BALANCING!GS29-52000000</f>
        <v>25069386.750000268</v>
      </c>
      <c r="GT46" s="52">
        <f>GS46+BALANCING!GT29</f>
        <v>37071386.750000268</v>
      </c>
      <c r="GU46" s="52">
        <f>GT46+BALANCING!GU29</f>
        <v>48627386.750000268</v>
      </c>
      <c r="GV46" s="52">
        <f>GU46+BALANCING!GV29</f>
        <v>62269386.750000268</v>
      </c>
      <c r="GW46" s="52">
        <f>GV46+BALANCING!GW29-38000000</f>
        <v>37756386.750000268</v>
      </c>
      <c r="GX46" s="52">
        <f>GW46+BALANCING!GX29</f>
        <v>49455386.750000268</v>
      </c>
      <c r="GY46" s="52">
        <f>GX46+BALANCING!GY29-20000000</f>
        <v>40732386.750000268</v>
      </c>
      <c r="GZ46" s="52">
        <f>GY46+BALANCING!GZ29</f>
        <v>53813386.750000268</v>
      </c>
      <c r="HA46" s="52">
        <f>GZ46+BALANCING!HA29</f>
        <v>66346386.750000268</v>
      </c>
      <c r="HB46" s="52">
        <f>HA46+BALANCING!HB29</f>
        <v>77901386.750000268</v>
      </c>
      <c r="HC46" s="52">
        <f>HB46+BALANCING!HC29-38000000-52000-3952390+3484619+64400</f>
        <v>51520015.750000268</v>
      </c>
      <c r="HD46" s="52">
        <f>HC46+BALANCING!HD29</f>
        <v>62319015.750000268</v>
      </c>
      <c r="HE46" s="52">
        <f>HD46+BALANCING!HE29</f>
        <v>73830015.750000268</v>
      </c>
      <c r="HF46" s="52">
        <f>HE46+BALANCING!HF29</f>
        <v>87100015.750000268</v>
      </c>
      <c r="HG46" s="52">
        <f>HF46+BALANCING!HG29</f>
        <v>98716015.750000268</v>
      </c>
      <c r="HH46" s="52">
        <f>HG46+BALANCING!HH29</f>
        <v>112421015.75000027</v>
      </c>
      <c r="HI46" s="52">
        <f>HH46+BALANCING!HI29+169400000-22850000-2875-60000000</f>
        <v>209586140.75000024</v>
      </c>
      <c r="HJ46" s="52">
        <f>HI46+BALANCING!HJ29</f>
        <v>222794140.75000024</v>
      </c>
      <c r="HK46" s="52">
        <f>HJ46+BALANCING!HK29</f>
        <v>234933140.75000024</v>
      </c>
      <c r="HL46" s="52">
        <f>HK46+BALANCING!HL29-14000000-66000000</f>
        <v>164687140.75000024</v>
      </c>
      <c r="HM46" s="52">
        <f>HL46+BALANCING!HM29</f>
        <v>177329140.75000024</v>
      </c>
      <c r="HN46" s="130"/>
      <c r="HO46" s="52">
        <f>HM46+BALANCING!HO29-36800</f>
        <v>190056340.75000024</v>
      </c>
      <c r="HP46" s="52">
        <f>HO46+BALANCING!HP29</f>
        <v>204780340.75000024</v>
      </c>
      <c r="HQ46" s="52">
        <f>HP46+BALANCING!HQ29</f>
        <v>218999340.75000024</v>
      </c>
      <c r="HR46" s="52">
        <f>HQ46+BALANCING!HR29</f>
        <v>229199340.75000024</v>
      </c>
      <c r="HS46" s="52">
        <f>HR46+BALANCING!HS29-90000000</f>
        <v>150636340.75000024</v>
      </c>
      <c r="HT46" s="52">
        <f>HS46+BALANCING!HT29</f>
        <v>164918340.75000024</v>
      </c>
      <c r="HU46" s="52">
        <f>HT46+BALANCING!HU29</f>
        <v>180123340.75000024</v>
      </c>
      <c r="HV46" s="52">
        <f>HU46+BALANCING!HV29</f>
        <v>192204340.75000024</v>
      </c>
      <c r="HW46" s="52">
        <f>HV46+BALANCING!HW29-50000000</f>
        <v>154788340.75000024</v>
      </c>
      <c r="HX46" s="52">
        <f>HW46+BALANCING!HX29</f>
        <v>167605340.75000024</v>
      </c>
      <c r="HY46" s="52">
        <f>HX46+BALANCING!HY29</f>
        <v>180973340.75000024</v>
      </c>
      <c r="HZ46" s="52">
        <f>HY46+BALANCING!HZ29</f>
        <v>193556340.75000024</v>
      </c>
      <c r="IA46" s="52">
        <f>HZ46+BALANCING!IA29</f>
        <v>204016340.75000024</v>
      </c>
      <c r="IB46" s="52">
        <f>IA46+BALANCING!IB29-23750000</f>
        <v>191233340.75000024</v>
      </c>
      <c r="IC46" s="52">
        <f>IB46+BALANCING!IC29-90000000+3554219-2875-3952369-52000</f>
        <v>112461315.75000024</v>
      </c>
      <c r="ID46" s="52">
        <f>IC46+BALANCING!ID29</f>
        <v>124290315.75000024</v>
      </c>
      <c r="IE46" s="52">
        <f>ID46+BALANCING!IE29</f>
        <v>136485315.75000024</v>
      </c>
      <c r="IF46" s="52">
        <f>IE46+BALANCING!IF29</f>
        <v>150068315.75000024</v>
      </c>
      <c r="IG46" s="52">
        <f>IF46+BALANCING!IG29</f>
        <v>161563315.75000024</v>
      </c>
      <c r="IH46" s="52">
        <f>IG46+BALANCING!IH29-24000000</f>
        <v>148932315.75000024</v>
      </c>
      <c r="II46" s="52">
        <f>IH46+BALANCING!II29-57000000</f>
        <v>102626315.75000024</v>
      </c>
      <c r="IJ46" s="52">
        <f>II46+BALANCING!IJ29</f>
        <v>116062315.75000024</v>
      </c>
      <c r="IK46" s="52">
        <f>IJ46+BALANCING!IK29</f>
        <v>130245315.75000024</v>
      </c>
      <c r="IL46" s="52">
        <f>IK46+BALANCING!IL29</f>
        <v>141505315.75000024</v>
      </c>
      <c r="IM46" s="52">
        <f>IL46+BALANCING!IM29-50000000-10000</f>
        <v>103232315.75000024</v>
      </c>
      <c r="IN46" s="52">
        <f>IM46+BALANCING!IN29-24000000</f>
        <v>90793315.750000238</v>
      </c>
      <c r="IO46" s="52">
        <f>IN46+BALANCING!IO29</f>
        <v>104056315.75000024</v>
      </c>
      <c r="IP46" s="52">
        <f>IO46+BALANCING!IP29</f>
        <v>116778315.75000024</v>
      </c>
      <c r="IQ46" s="52">
        <f>IP46+BALANCING!IQ29-60000000</f>
        <v>69853315.750000238</v>
      </c>
      <c r="IR46" s="52">
        <f>IQ46+BALANCING!IR29</f>
        <v>81300315.750000238</v>
      </c>
      <c r="IS46" s="52">
        <f>IR46+BALANCING!IS29</f>
        <v>90904315.750000238</v>
      </c>
      <c r="IT46" s="130"/>
      <c r="IU46" s="52">
        <f>IS46+BALANCING!IU29+24690</f>
        <v>100863005.75000024</v>
      </c>
      <c r="IV46" s="52">
        <f>IU46+BALANCING!IV29</f>
        <v>112186005.75000024</v>
      </c>
      <c r="IW46" s="52">
        <f>IV46+BALANCING!IW29-40000000</f>
        <v>82484005.750000238</v>
      </c>
      <c r="IX46" s="52">
        <f>IW46+BALANCING!IX29</f>
        <v>93185005.750000238</v>
      </c>
      <c r="IY46" s="52">
        <f>IX46+BALANCING!IY29</f>
        <v>105448005.75000024</v>
      </c>
      <c r="IZ46" s="52">
        <f>IY46+BALANCING!IZ29</f>
        <v>116844005.75000024</v>
      </c>
      <c r="JA46" s="52">
        <f>IZ46+BALANCING!JA29</f>
        <v>126549005.75000024</v>
      </c>
      <c r="JB46" s="52">
        <f>JA46+BALANCING!JB29</f>
        <v>138056005.75000024</v>
      </c>
      <c r="JC46" s="52">
        <f>JB46+BALANCING!JC29</f>
        <v>148615005.75000024</v>
      </c>
      <c r="JD46" s="52">
        <f>JC46+BALANCING!JD29</f>
        <v>161594005.75000024</v>
      </c>
      <c r="JE46" s="52">
        <f>JD46+BALANCING!JE29</f>
        <v>172271005.75000024</v>
      </c>
      <c r="JF46" s="52">
        <f>JE46+BALANCING!JF29</f>
        <v>183704005.75000024</v>
      </c>
      <c r="JG46" s="52">
        <f>JF46+BALANCING!JG29-100000000</f>
        <v>93504005.750000238</v>
      </c>
      <c r="JH46" s="52">
        <f>JG46+BALANCING!JH29</f>
        <v>102152005.75000024</v>
      </c>
      <c r="JI46" s="52">
        <f>JH46+BALANCING!JI29</f>
        <v>115238005.75000024</v>
      </c>
      <c r="JJ46" s="52">
        <f>JI46+BALANCING!JJ29+3752388-4226679-52000-15681000</f>
        <v>110016714.75000024</v>
      </c>
      <c r="JK46" s="52">
        <f>JJ46+BALANCING!JK29</f>
        <v>120734714.75000024</v>
      </c>
      <c r="JL46" s="52">
        <f>JK46+BALANCING!JL29</f>
        <v>131594714.75000024</v>
      </c>
      <c r="JM46" s="52">
        <f>JL46+BALANCING!JM29</f>
        <v>143070714.75000024</v>
      </c>
      <c r="JN46" s="52">
        <f>JM46+BALANCING!JN29-55000000-369940</f>
        <v>100136774.75000024</v>
      </c>
      <c r="JO46" s="52">
        <f>JN46+BALANCING!JO29</f>
        <v>108995774.75000024</v>
      </c>
      <c r="JP46" s="52">
        <f>JO46+BALANCING!JP29</f>
        <v>117482774.75000024</v>
      </c>
      <c r="JQ46" s="52">
        <f>JP46+BALANCING!JQ29</f>
        <v>127651774.75000024</v>
      </c>
      <c r="JR46" s="52">
        <f>JQ46+BALANCING!JR29</f>
        <v>138778774.75000024</v>
      </c>
      <c r="JS46" s="52">
        <f>JR46+BALANCING!JS29</f>
        <v>149420774.75000024</v>
      </c>
      <c r="JT46" s="52">
        <f>JS46+BALANCING!JT29-23250000-55000000-45000000</f>
        <v>38378774.750000238</v>
      </c>
      <c r="JU46" s="52">
        <f>JT46+BALANCING!JU29</f>
        <v>50481774.750000238</v>
      </c>
      <c r="JV46" s="52">
        <f>JU46+BALANCING!JV29-29675</f>
        <v>62216099.750000238</v>
      </c>
      <c r="JW46" s="52">
        <f>JV46+BALANCING!JW29</f>
        <v>71329099.750000238</v>
      </c>
      <c r="JX46" s="52">
        <f>JW46+BALANCING!JX29</f>
        <v>82482099.750000238</v>
      </c>
      <c r="JY46" s="139"/>
      <c r="JZ46" s="52">
        <f>JX46+BALANCING!JZ29</f>
        <v>92477099.750000238</v>
      </c>
      <c r="KA46" s="52">
        <f>JZ46+BALANCING!KA29-60000000</f>
        <v>43869099.750000238</v>
      </c>
      <c r="KB46" s="52">
        <f>KA46+BALANCING!KB29</f>
        <v>53788099.750000238</v>
      </c>
      <c r="KC46" s="52">
        <f>KB46+BALANCING!KC29-13800000</f>
        <v>51019099.750000238</v>
      </c>
      <c r="KD46" s="52">
        <f>KC46+BALANCING!KD29</f>
        <v>63248099.750000238</v>
      </c>
      <c r="KE46" s="52">
        <f>KD46+BALANCING!KE29</f>
        <v>73964099.750000238</v>
      </c>
      <c r="KF46" s="52">
        <f>KE46+BALANCING!KF29</f>
        <v>82729099.750000238</v>
      </c>
      <c r="KG46" s="52">
        <f>KF46+BALANCING!KG29</f>
        <v>93301099.750000238</v>
      </c>
      <c r="KH46" s="52">
        <f>KG46+BALANCING!KH29-60000000</f>
        <v>45620099.750000238</v>
      </c>
      <c r="KI46" s="52">
        <f>KH46+BALANCING!KI29+2050000</f>
        <v>59830099.750000238</v>
      </c>
      <c r="KJ46" s="52">
        <f>KI46+BALANCING!KJ29</f>
        <v>73599099.750000238</v>
      </c>
      <c r="KK46" s="52">
        <f>KJ46+BALANCING!KK29</f>
        <v>85231099.750000238</v>
      </c>
      <c r="KL46" s="52">
        <f>KK46+BALANCING!KL29-40000000</f>
        <v>55727099.750000238</v>
      </c>
      <c r="KM46" s="52">
        <f>KL46+BALANCING!KM29-40000000</f>
        <v>26516099.750000238</v>
      </c>
      <c r="KN46" s="52">
        <f>KM46+BALANCING!KN29-535271</f>
        <v>35816828.750000238</v>
      </c>
      <c r="KO46" s="52">
        <f>KN46+BALANCING!KO29</f>
        <v>44404828.750000238</v>
      </c>
      <c r="KP46" s="52">
        <f>KO46+BALANCING!KP29</f>
        <v>57884828.750000238</v>
      </c>
      <c r="KQ46" s="52">
        <f>KP46+BALANCING!KQ29</f>
        <v>69940828.750000238</v>
      </c>
      <c r="KR46" s="52">
        <f>KQ46+BALANCING!KR29</f>
        <v>81394828.750000238</v>
      </c>
      <c r="KS46" s="52">
        <f>KR46+BALANCING!KS29</f>
        <v>93910828.750000238</v>
      </c>
      <c r="KT46" s="52">
        <f>KS46+BALANCING!KT29-80000000</f>
        <v>24133828.750000238</v>
      </c>
      <c r="KU46" s="52">
        <f>KT46+BALANCING!KU29</f>
        <v>34392828.750000238</v>
      </c>
      <c r="KV46" s="52">
        <f>KU46+BALANCING!KV29</f>
        <v>48092828.750000238</v>
      </c>
      <c r="KW46" s="52">
        <f>KV46+BALANCING!KW29-26000000</f>
        <v>35268828.750000238</v>
      </c>
      <c r="KX46" s="52">
        <f>KW46+BALANCING!KX29</f>
        <v>46958828.750000238</v>
      </c>
      <c r="KY46" s="52">
        <f>KX46+BALANCING!KY29</f>
        <v>58953828.750000238</v>
      </c>
      <c r="KZ46" s="52">
        <f>KY46+BALANCING!KZ29</f>
        <v>70042828.750000238</v>
      </c>
      <c r="LA46" s="52">
        <f>KZ46+BALANCING!LA29-46000000</f>
        <v>36175828.750000238</v>
      </c>
      <c r="LB46" s="52">
        <f>LA46+BALANCING!LB29</f>
        <v>48435828.750000238</v>
      </c>
      <c r="LC46" s="52">
        <f>LB46+BALANCING!LC29-37000000+2524000</f>
        <v>23617828.750000238</v>
      </c>
      <c r="LD46" s="52">
        <f>LC46+BALANCING!LD29</f>
        <v>38496828.750000238</v>
      </c>
      <c r="LE46" s="130"/>
      <c r="LF46" s="52">
        <f>LD46+BALANCING!LF29-43900</f>
        <v>52200928.750000238</v>
      </c>
      <c r="LG46" s="52">
        <f>LF46+BALANCING!LG29</f>
        <v>64043928.750000238</v>
      </c>
      <c r="LH46" s="52">
        <f>LG46+BALANCING!LH29</f>
        <v>77078928.750000238</v>
      </c>
      <c r="LI46" s="52">
        <f>LH46+BALANCING!LI29</f>
        <v>90531928.750000238</v>
      </c>
      <c r="LJ46" s="52">
        <f>LI46+BALANCING!LJ29</f>
        <v>103188928.75000024</v>
      </c>
      <c r="LK46" s="52">
        <f>LJ46+BALANCING!LK29-50000000-35000000</f>
        <v>30356928.750000238</v>
      </c>
      <c r="LL46" s="52">
        <f>LK46+BALANCING!LL29-20035000</f>
        <v>24589928.750000238</v>
      </c>
      <c r="LM46" s="52">
        <f>LL46+BALANCING!LM29</f>
        <v>40322928.750000238</v>
      </c>
      <c r="LN46" s="52">
        <f>LM46+BALANCING!LN29</f>
        <v>53878928.750000238</v>
      </c>
      <c r="LO46" s="52">
        <f>LN46+BALANCING!LO29-35000000</f>
        <v>33175928.750000238</v>
      </c>
      <c r="LP46" s="52">
        <f>LO46+BALANCING!LP29</f>
        <v>45219928.750000238</v>
      </c>
      <c r="LQ46" s="52">
        <f>LP46+BALANCING!LQ29</f>
        <v>58059928.750000238</v>
      </c>
      <c r="LR46" s="52">
        <f>LQ46+BALANCING!LR29-25000000-33000000</f>
        <v>13424928.750000238</v>
      </c>
      <c r="LS46" s="52">
        <f>LR46+BALANCING!LS29</f>
        <v>28275928.750000238</v>
      </c>
      <c r="LT46" s="52">
        <f>LS46+BALANCING!LT29</f>
        <v>42827928.750000238</v>
      </c>
      <c r="LU46" s="52">
        <f>LT46+BALANCING!LU29</f>
        <v>56082928.750000238</v>
      </c>
      <c r="LV46" s="52">
        <f>LU46+BALANCING!LV29</f>
        <v>67083928.750000238</v>
      </c>
      <c r="LW46" s="52">
        <f>LV46+BALANCING!LW29-65000000-310000-52000-4266751+3631645</f>
        <v>11840822.750000238</v>
      </c>
      <c r="LX46" s="52">
        <f>LW46+BALANCING!LX29</f>
        <v>23769822.750000238</v>
      </c>
      <c r="LY46" s="52">
        <f>LX46+BALANCING!LY29</f>
        <v>37070822.750000238</v>
      </c>
      <c r="LZ46" s="52">
        <f>LY46+BALANCING!LZ29</f>
        <v>48230822.750000238</v>
      </c>
      <c r="MA46" s="52">
        <f>LZ46+BALANCING!MA29</f>
        <v>61971822.750000238</v>
      </c>
      <c r="MB46" s="52">
        <f>MA46+BALANCING!MB29</f>
        <v>74979822.750000238</v>
      </c>
      <c r="MC46" s="52">
        <f>MB46+BALANCING!MC29+1815000</f>
        <v>90125822.750000238</v>
      </c>
      <c r="MD46" s="52">
        <f>MC46+BALANCING!MD29</f>
        <v>103019822.75000024</v>
      </c>
      <c r="ME46" s="52">
        <f>MD46+BALANCING!ME29-1821362-86000000</f>
        <v>27239460.750000238</v>
      </c>
      <c r="MF46" s="52">
        <f>ME46+BALANCING!MF29</f>
        <v>39954460.750000238</v>
      </c>
      <c r="MG46" s="52">
        <f>MF46+BALANCING!MG29</f>
        <v>50469460.750000238</v>
      </c>
      <c r="MH46" s="52">
        <f>MG46+BALANCING!MH29</f>
        <v>64102460.750000238</v>
      </c>
      <c r="MI46" s="52">
        <f>MH46+BALANCING!MI29</f>
        <v>76484460.750000238</v>
      </c>
      <c r="MJ46" s="139"/>
      <c r="MK46" s="52">
        <f>MI46+BALANCING!MK29</f>
        <v>89389460.750000238</v>
      </c>
      <c r="ML46" s="52">
        <f>MK46+BALANCING!ML29-32000000-43700</f>
        <v>68729760.750000238</v>
      </c>
      <c r="MM46" s="52">
        <f>ML46+BALANCING!MM29</f>
        <v>76973760.750000238</v>
      </c>
      <c r="MN46" s="52">
        <f>MM46+BALANCING!MN29</f>
        <v>89673760.750000238</v>
      </c>
      <c r="MO46" s="52">
        <f>MN46+BALANCING!MO29</f>
        <v>102498760.75000024</v>
      </c>
      <c r="MP46" s="52">
        <f>MO46+BALANCING!MP29-70000000+160000+100000</f>
        <v>44693760.750000238</v>
      </c>
      <c r="MQ46" s="52">
        <f>MP46+BALANCING!MQ29</f>
        <v>58677760.750000238</v>
      </c>
      <c r="MR46" s="52">
        <f>MQ46+BALANCING!MR29</f>
        <v>69861760.750000238</v>
      </c>
      <c r="MS46" s="52">
        <f>MR46+BALANCING!MS29</f>
        <v>80704760.750000238</v>
      </c>
      <c r="MT46" s="52">
        <f>MS46+BALANCING!MT29</f>
        <v>88759760.750000238</v>
      </c>
      <c r="MU46" s="52">
        <f>MT46+BALANCING!MU29-80000000</f>
        <v>19278760.750000238</v>
      </c>
      <c r="MV46" s="52">
        <f>MU46+BALANCING!MV29</f>
        <v>30155760.750000238</v>
      </c>
      <c r="MW46" s="52">
        <f>MV46+BALANCING!MW29</f>
        <v>43779760.750000238</v>
      </c>
      <c r="MX46" s="52">
        <f>MW46+BALANCING!MX29</f>
        <v>54135760.750000238</v>
      </c>
      <c r="MY46" s="52">
        <f>MX46+BALANCING!MY29-4196557+3900000+100000+120000</f>
        <v>64774203.750000238</v>
      </c>
      <c r="MZ46" s="52">
        <f>MY46+BALANCING!MZ29</f>
        <v>77469203.750000238</v>
      </c>
      <c r="NA46" s="52">
        <f>MZ46+BALANCING!NA29</f>
        <v>89147203.750000238</v>
      </c>
      <c r="NB46" s="52">
        <f>NA46+BALANCING!NB29-64000000</f>
        <v>37835203.750000238</v>
      </c>
      <c r="NC46" s="52">
        <f>NB46+BALANCING!NC29</f>
        <v>50378203.750000238</v>
      </c>
      <c r="ND46" s="52">
        <f>NC46+BALANCING!ND29</f>
        <v>63693203.750000238</v>
      </c>
      <c r="NE46" s="52">
        <f>ND46+BALANCING!NE29</f>
        <v>72499203.750000238</v>
      </c>
      <c r="NF46" s="52">
        <f>NE46+BALANCING!NF29-78000000</f>
        <v>4635203.7500002384</v>
      </c>
      <c r="NG46" s="52">
        <f>NF46+BALANCING!NG29</f>
        <v>13748203.750000238</v>
      </c>
      <c r="NH46" s="52">
        <f>NG46+BALANCING!NH29-13250</f>
        <v>23862953.750000238</v>
      </c>
      <c r="NI46" s="52">
        <f>NH46+BALANCING!NI29</f>
        <v>35308953.750000238</v>
      </c>
      <c r="NJ46" s="52">
        <f>NI46+BALANCING!NJ29</f>
        <v>47172953.750000238</v>
      </c>
      <c r="NK46" s="52">
        <f>NJ46+BALANCING!NK29</f>
        <v>59907953.750000238</v>
      </c>
      <c r="NL46" s="52">
        <f>NK46+BALANCING!NL29</f>
        <v>70983953.750000238</v>
      </c>
      <c r="NM46" s="52">
        <f>NL46+BALANCING!NM29-60000000</f>
        <v>22791953.750000238</v>
      </c>
      <c r="NN46" s="52">
        <f>NM46+BALANCING!NN29</f>
        <v>33828953.750000238</v>
      </c>
      <c r="NO46" s="52">
        <f>NN46+BALANCING!NO29-52000-25000</f>
        <v>43150953.750000238</v>
      </c>
      <c r="NP46" s="139"/>
      <c r="NQ46" s="52">
        <f>NO46+BALANCING!NQ29</f>
        <v>54594953.750000238</v>
      </c>
      <c r="NR46" s="52">
        <f>NQ46+BALANCING!NR29</f>
        <v>63010953.750000238</v>
      </c>
      <c r="NS46" s="52">
        <f>NR46+BALANCING!NS29</f>
        <v>73337953.750000238</v>
      </c>
      <c r="NT46" s="52">
        <f>NS46+BALANCING!NT29-30000000+1347000+1327000+1559000-13800</f>
        <v>57181153.750000238</v>
      </c>
      <c r="NU46" s="52">
        <f>NT46+BALANCING!NU29-49000000-330000</f>
        <v>18979153.750000238</v>
      </c>
      <c r="NV46" s="52">
        <f>NU46+BALANCING!NV29</f>
        <v>32252153.750000238</v>
      </c>
      <c r="NW46" s="52">
        <f>NV46+BALANCING!NW29</f>
        <v>43609153.750000238</v>
      </c>
      <c r="NX46" s="52">
        <f>NW46+BALANCING!NX29</f>
        <v>54902153.750000238</v>
      </c>
      <c r="NY46" s="52">
        <f>NX46+BALANCING!NY29</f>
        <v>66164153.750000238</v>
      </c>
      <c r="NZ46" s="52">
        <f>NY46+BALANCING!NZ29</f>
        <v>78528153.750000238</v>
      </c>
      <c r="OA46" s="52">
        <f>NZ46+BALANCING!OA29</f>
        <v>89556153.750000238</v>
      </c>
      <c r="OB46" s="52">
        <f>OA46+BALANCING!OB29-43000000</f>
        <v>56393153.750000238</v>
      </c>
      <c r="OC46" s="52">
        <f>OB46+BALANCING!OC29-40000000</f>
        <v>29104153.750000238</v>
      </c>
      <c r="OD46" s="52">
        <f>OC46+BALANCING!OD29</f>
        <v>41251153.750000238</v>
      </c>
      <c r="OE46" s="52">
        <f>OD46+BALANCING!OE29</f>
        <v>53507153.750000238</v>
      </c>
      <c r="OF46" s="52">
        <f>OE46+BALANCING!OF29</f>
        <v>64592153.750000238</v>
      </c>
      <c r="OG46" s="52">
        <f>OF46+BALANCING!OG29</f>
        <v>76642153.750000238</v>
      </c>
      <c r="OH46" s="52">
        <f>OG46+BALANCING!OH29-40000000</f>
        <v>48861153.750000238</v>
      </c>
      <c r="OI46" s="52">
        <f>OH46+BALANCING!OI29-40000000</f>
        <v>22735153.750000238</v>
      </c>
      <c r="OJ46" s="52">
        <f>OI46+BALANCING!OJ29-52000-3401812+3265092</f>
        <v>34691433.750000238</v>
      </c>
      <c r="OK46" s="52">
        <f>OJ46+BALANCING!OK29</f>
        <v>45710433.750000238</v>
      </c>
      <c r="OL46" s="52">
        <f>OK46+BALANCING!OL29-5550</f>
        <v>60243883.750000238</v>
      </c>
      <c r="OM46" s="52">
        <f>OL46+BALANCING!OM29</f>
        <v>74011883.750000238</v>
      </c>
      <c r="ON46" s="52">
        <f>OM46+BALANCING!ON29</f>
        <v>87899883.750000238</v>
      </c>
      <c r="OO46" s="52">
        <f>ON46+BALANCING!OO29</f>
        <v>98215883.750000238</v>
      </c>
      <c r="OP46" s="52">
        <f>OO46+BALANCING!OP29</f>
        <v>108750883.75000024</v>
      </c>
      <c r="OQ46" s="52">
        <f>OP46+BALANCING!OQ29</f>
        <v>119896883.75000024</v>
      </c>
      <c r="OR46" s="52">
        <f>OQ46+BALANCING!OR29-102000000</f>
        <v>29479883.750000238</v>
      </c>
      <c r="OS46" s="52">
        <f>OR46+BALANCING!OS29</f>
        <v>41787883.750000238</v>
      </c>
      <c r="OT46" s="52">
        <f>OS46+BALANCING!OT29</f>
        <v>54650883.750000238</v>
      </c>
      <c r="OU46" s="52">
        <f>OT46+BALANCING!OU29-10000000</f>
        <v>58550883.750000238</v>
      </c>
      <c r="OV46" s="130"/>
      <c r="OW46" s="52">
        <f>OU46+BALANCING!OW29</f>
        <v>69755883.750000238</v>
      </c>
      <c r="OX46" s="52">
        <f>OW46+BALANCING!OX29</f>
        <v>81379883.750000238</v>
      </c>
      <c r="OY46" s="52">
        <f>OX46+BALANCING!OY29-42000000-6000000</f>
        <v>44676883.750000238</v>
      </c>
      <c r="OZ46" s="52">
        <f>OY46+BALANCING!OZ29</f>
        <v>54752883.750000238</v>
      </c>
      <c r="PA46" s="52">
        <f>OZ46+BALANCING!PA29</f>
        <v>66927883.750000238</v>
      </c>
      <c r="PB46" s="52">
        <f>PA46+BALANCING!PB29</f>
        <v>79585883.750000238</v>
      </c>
      <c r="PC46" s="52">
        <f>PB46+BALANCING!PC29</f>
        <v>93372883.750000238</v>
      </c>
      <c r="PD46" s="52">
        <f>PC46+BALANCING!PD29-40000000-36800</f>
        <v>64811083.750000238</v>
      </c>
      <c r="PE46" s="52">
        <f>PD46+BALANCING!PE29-35000000-81500</f>
        <v>40529583.750000238</v>
      </c>
      <c r="PF46" s="52">
        <f>PE46+BALANCING!PF29</f>
        <v>50812583.750000238</v>
      </c>
      <c r="PG46" s="52">
        <f>PF46+BALANCING!PG29-50000000</f>
        <v>11341583.750000238</v>
      </c>
      <c r="PH46" s="52">
        <f>PG46+BALANCING!PH29</f>
        <v>22060583.750000238</v>
      </c>
      <c r="PI46" s="52">
        <f>PH46+BALANCING!PI29</f>
        <v>35003583.750000238</v>
      </c>
      <c r="PJ46" s="52">
        <f>PI46+BALANCING!PJ29</f>
        <v>49230583.750000238</v>
      </c>
      <c r="PK46" s="52">
        <f>PJ46+BALANCING!PK29-36000000-15000000-3655999+3339105</f>
        <v>7995689.7500002384</v>
      </c>
      <c r="PL46" s="52">
        <f>PK46+BALANCING!PL29</f>
        <v>20246689.750000238</v>
      </c>
      <c r="PM46" s="52">
        <f>PL46+BALANCING!PM29</f>
        <v>31729689.750000238</v>
      </c>
      <c r="PN46" s="52">
        <f>PM46+BALANCING!PN29</f>
        <v>40669689.750000238</v>
      </c>
      <c r="PO46" s="52">
        <f>PN46+BALANCING!PO29+2000000</f>
        <v>54429689.750000238</v>
      </c>
      <c r="PP46" s="52">
        <f>PO46+BALANCING!PP29</f>
        <v>63851689.750000238</v>
      </c>
      <c r="PQ46" s="52">
        <f>PP46+BALANCING!PQ29-13800-33000000</f>
        <v>41238889.750000238</v>
      </c>
      <c r="PR46" s="52">
        <f>PQ46+BALANCING!PR29</f>
        <v>50082889.750000238</v>
      </c>
      <c r="PS46" s="52">
        <f>PR46+BALANCING!PS29-20000000</f>
        <v>42006889.750000238</v>
      </c>
      <c r="PT46" s="52">
        <f>PS46+BALANCING!PT29-36800</f>
        <v>52043089.750000238</v>
      </c>
      <c r="PU46" s="52">
        <f>PT46+BALANCING!PU29</f>
        <v>62080089.750000238</v>
      </c>
      <c r="PV46" s="52">
        <f>PU46+BALANCING!PV29-50000000</f>
        <v>21373089.750000238</v>
      </c>
      <c r="PW46" s="52">
        <f>PV46+BALANCING!PW29</f>
        <v>33213089.750000238</v>
      </c>
      <c r="PX46" s="52">
        <f>PW46+BALANCING!PX29</f>
        <v>44357089.750000238</v>
      </c>
      <c r="PY46" s="52">
        <f>PX46+BALANCING!PY29</f>
        <v>50375089.750000238</v>
      </c>
      <c r="PZ46" s="52">
        <f>PY46+BALANCING!PZ29</f>
        <v>61124089.750000238</v>
      </c>
      <c r="QA46" s="130"/>
      <c r="QB46" s="52">
        <f>PZ46+BALANCING!QB29</f>
        <v>72735089.750000238</v>
      </c>
      <c r="QC46" s="52">
        <f>QB46+BALANCING!QC29-50000000</f>
        <v>30082089.750000238</v>
      </c>
      <c r="QD46" s="52">
        <f>QC46+BALANCING!QD29</f>
        <v>38976089.750000238</v>
      </c>
      <c r="QE46" s="52">
        <f>QD46+BALANCING!QE29</f>
        <v>51188089.750000238</v>
      </c>
      <c r="QF46" s="52">
        <f>QE46+BALANCING!QF29</f>
        <v>64384089.750000238</v>
      </c>
      <c r="QG46" s="52">
        <f>QF46+BALANCING!QG29</f>
        <v>73114089.750000238</v>
      </c>
      <c r="QH46" s="52">
        <f>QG46+BALANCING!QH29</f>
        <v>85426089.750000238</v>
      </c>
      <c r="QI46" s="52">
        <f>QH46+BALANCING!QI29-40000000</f>
        <v>57310089.750000238</v>
      </c>
      <c r="QJ46" s="52">
        <f>QI46+BALANCING!QJ29</f>
        <v>69194089.750000238</v>
      </c>
      <c r="QK46" s="52">
        <f>QJ46+BALANCING!QK29</f>
        <v>80764089.750000238</v>
      </c>
      <c r="QL46" s="52">
        <f>QK46+BALANCING!QL29-38000000</f>
        <v>55598089.750000238</v>
      </c>
      <c r="QM46" s="52">
        <f>QL46+BALANCING!QM29</f>
        <v>68343089.750000238</v>
      </c>
      <c r="QN46" s="52">
        <f>QM46+BALANCING!QN29</f>
        <v>78712089.750000238</v>
      </c>
      <c r="QO46" s="52">
        <f>QN46+BALANCING!QO29-55000000</f>
        <v>35932089.750000238</v>
      </c>
      <c r="QP46" s="52">
        <f>QO46+BALANCING!QP29</f>
        <v>47364089.750000238</v>
      </c>
      <c r="QQ46" s="52">
        <f>QP46+BALANCING!QQ29+3034798-3225735-81500</f>
        <v>54430652.750000238</v>
      </c>
      <c r="QR46" s="52">
        <f>QQ46+BALANCING!QR29</f>
        <v>64638652.750000238</v>
      </c>
      <c r="QS46" s="52">
        <f>QR46+BALANCING!QS29</f>
        <v>79916652.750000238</v>
      </c>
      <c r="QT46" s="52">
        <f>QS46+BALANCING!QT29-30000000</f>
        <v>59081652.750000238</v>
      </c>
      <c r="QU46" s="52">
        <f>QT46+BALANCING!QU29</f>
        <v>68521652.750000238</v>
      </c>
      <c r="QV46" s="52">
        <f>QU46+BALANCING!QV29-52000000</f>
        <v>27311652.750000238</v>
      </c>
      <c r="QW46" s="52">
        <f>QV46+BALANCING!QW29</f>
        <v>37038652.750000238</v>
      </c>
      <c r="QX46" s="52">
        <f>QW46+BALANCING!QX29</f>
        <v>47762652.750000238</v>
      </c>
      <c r="QY46" s="52">
        <f>QX46+BALANCING!QY29-31000000</f>
        <v>27324652.750000238</v>
      </c>
      <c r="QZ46" s="52">
        <f>QY46+BALANCING!QZ29</f>
        <v>39525652.750000238</v>
      </c>
      <c r="RA46" s="52">
        <f>QZ46+BALANCING!RA29</f>
        <v>49589652.750000238</v>
      </c>
      <c r="RB46" s="52">
        <f>RA46+BALANCING!RB29</f>
        <v>59517652.750000238</v>
      </c>
      <c r="RC46" s="52">
        <f>RB46+BALANCING!RC29</f>
        <v>67261652.750000238</v>
      </c>
      <c r="RD46" s="52">
        <f>RC46+BALANCING!RD29-41000000</f>
        <v>35438652.750000238</v>
      </c>
      <c r="RE46" s="52">
        <f>RD46+BALANCING!RE29</f>
        <v>43758652.750000238</v>
      </c>
      <c r="RF46" s="52">
        <f>RE46+BALANCING!RF29</f>
        <v>54941652.750000238</v>
      </c>
      <c r="RG46" s="130"/>
      <c r="RH46" s="52">
        <f>RF46+BALANCING!RH29</f>
        <v>66695652.750000238</v>
      </c>
      <c r="RI46" s="52">
        <f>RH46+BALANCING!RI29</f>
        <v>76976652.750000238</v>
      </c>
      <c r="RJ46" s="52">
        <f>RI46+BALANCING!RJ29</f>
        <v>87324652.750000238</v>
      </c>
      <c r="RK46" s="52">
        <f>RJ46+BALANCING!RK29</f>
        <v>98409652.750000238</v>
      </c>
      <c r="RL46" s="52">
        <f>RK46+BALANCING!RL29-85000000</f>
        <v>24590652.750000238</v>
      </c>
      <c r="RM46" s="52">
        <f>RL46+BALANCING!RM29</f>
        <v>32443652.750000238</v>
      </c>
      <c r="RN46" s="52">
        <f>RM46+BALANCING!RN29</f>
        <v>39645652.750000238</v>
      </c>
      <c r="RO46" s="52">
        <f>RN46+BALANCING!RO29</f>
        <v>50462652.750000238</v>
      </c>
      <c r="RP46" s="52">
        <f>RO46+BALANCING!RP29</f>
        <v>61229652.750000238</v>
      </c>
      <c r="RQ46" s="52">
        <f>RP46+BALANCING!RQ29</f>
        <v>71567652.750000238</v>
      </c>
      <c r="RR46" s="52">
        <f>RQ46+BALANCING!RR29</f>
        <v>82119652.750000238</v>
      </c>
      <c r="RS46" s="52">
        <f>RR46+BALANCING!RS29-40000000-40000000</f>
        <v>9704652.7500002384</v>
      </c>
      <c r="RT46" s="52">
        <f>RS46+BALANCING!RT29</f>
        <v>20365652.750000238</v>
      </c>
      <c r="RU46" s="52">
        <f>RT46+BALANCING!RU29</f>
        <v>29477652.750000238</v>
      </c>
      <c r="RV46" s="52">
        <f>RU46+BALANCING!RV29-36200</f>
        <v>40119452.750000238</v>
      </c>
      <c r="RW46" s="52">
        <f>RV46+BALANCING!RW29</f>
        <v>50060452.750000238</v>
      </c>
      <c r="RX46" s="52">
        <f>RW46+BALANCING!RX29</f>
        <v>58807452.750000238</v>
      </c>
      <c r="RY46" s="52">
        <f>RX46+BALANCING!RY29</f>
        <v>66899452.750000238</v>
      </c>
      <c r="RZ46" s="52">
        <f>RY46+BALANCING!RZ29</f>
        <v>75507452.750000238</v>
      </c>
      <c r="SA46" s="52">
        <f>RZ46+BALANCING!SA29-47000000-30000000-81500-3150527+3121349</f>
        <v>5534774.7500002384</v>
      </c>
      <c r="SB46" s="52">
        <f>SA46+BALANCING!SB29+1129800</f>
        <v>15762574.750000238</v>
      </c>
      <c r="SC46" s="52">
        <f>SB46+BALANCING!SC29</f>
        <v>27094574.750000238</v>
      </c>
      <c r="SD46" s="52">
        <f>SC46+BALANCING!SD29</f>
        <v>39313574.750000238</v>
      </c>
      <c r="SE46" s="52">
        <f>SD46+BALANCING!SE29</f>
        <v>47413574.750000238</v>
      </c>
      <c r="SF46" s="52">
        <f>SE46+BALANCING!SF29</f>
        <v>55370574.750000238</v>
      </c>
      <c r="SG46" s="52">
        <f>SF46+BALANCING!SG29</f>
        <v>67091574.750000238</v>
      </c>
      <c r="SH46" s="52">
        <f>SG46+BALANCING!SH29</f>
        <v>75885574.750000238</v>
      </c>
      <c r="SI46" s="52">
        <f>SH46+BALANCING!SI29</f>
        <v>88261574.750000238</v>
      </c>
      <c r="SJ46" s="52">
        <f>SI46+BALANCING!SJ29</f>
        <v>99396574.750000238</v>
      </c>
      <c r="SK46" s="52">
        <f>SJ46+BALANCING!SK29-36800-70000000</f>
        <v>41194774.750000238</v>
      </c>
      <c r="SL46" s="130"/>
      <c r="SM46" s="52">
        <f>SK46+BALANCING!SM29</f>
        <v>49829774.750000238</v>
      </c>
      <c r="SN46" s="52">
        <f>SM46+BALANCING!SN29</f>
        <v>61334774.750000238</v>
      </c>
      <c r="SO46" s="52">
        <f>SN46+BALANCING!SO29</f>
        <v>71142774.750000238</v>
      </c>
      <c r="SP46" s="52">
        <f>SO46+BALANCING!SP29-56000000</f>
        <v>23335774.750000238</v>
      </c>
      <c r="SQ46" s="52">
        <f>SP46+BALANCING!SQ29</f>
        <v>32907774.750000238</v>
      </c>
      <c r="SR46" s="52">
        <f>SQ46+BALANCING!SR29</f>
        <v>43949774.750000238</v>
      </c>
      <c r="SS46" s="52">
        <f>SR46+BALANCING!SS29</f>
        <v>55900774.750000238</v>
      </c>
      <c r="ST46" s="52">
        <f>SS46+BALANCING!ST29</f>
        <v>66924774.750000238</v>
      </c>
      <c r="SU46" s="52">
        <f>ST46+BALANCING!SU29</f>
        <v>78307774.750000238</v>
      </c>
      <c r="SV46" s="52">
        <f>SU46+BALANCING!SV29-73000000</f>
        <v>15312774.750000238</v>
      </c>
      <c r="SW46" s="52">
        <f>SV46+BALANCING!SW29</f>
        <v>25085774.750000238</v>
      </c>
      <c r="SX46" s="52">
        <f>SW46+BALANCING!SX29</f>
        <v>35057774.750000238</v>
      </c>
      <c r="SY46" s="52">
        <f>SX46+BALANCING!SY29</f>
        <v>47085774.750000238</v>
      </c>
      <c r="SZ46" s="52">
        <f>SY46+BALANCING!SZ29</f>
        <v>60032774.750000238</v>
      </c>
      <c r="TA46" s="52">
        <f>SZ46+BALANCING!TA29-81500</f>
        <v>69036274.750000238</v>
      </c>
      <c r="TB46" s="52">
        <f>TA46+BALANCING!TB29</f>
        <v>79043274.750000238</v>
      </c>
      <c r="TC46" s="52">
        <f>TB46+BALANCING!TC29-45000000+3000000-3226904+681295</f>
        <v>44529665.750000238</v>
      </c>
      <c r="TD46" s="52">
        <f>TC46+BALANCING!TD29</f>
        <v>55883665.750000238</v>
      </c>
      <c r="TE46" s="52">
        <f>TD46+BALANCING!TE29</f>
        <v>65467665.750000238</v>
      </c>
      <c r="TF46" s="52">
        <f>TE46+BALANCING!TF29-40000000-25000000</f>
        <v>13432665.750000238</v>
      </c>
      <c r="TG46" s="52">
        <f>TF46+BALANCING!TG29</f>
        <v>26683665.750000238</v>
      </c>
      <c r="TH46" s="52">
        <f>TG46+BALANCING!TH29</f>
        <v>38648665.750000238</v>
      </c>
      <c r="TI46" s="52">
        <f>TH46+BALANCING!TI29</f>
        <v>51311665.750000238</v>
      </c>
      <c r="TJ46" s="52">
        <f>TI46+BALANCING!TJ29-25000000-1812000-788124</f>
        <v>35885541.750000238</v>
      </c>
      <c r="TK46" s="52">
        <f>TJ46+BALANCING!TK29</f>
        <v>43925541.750000238</v>
      </c>
      <c r="TL46" s="52">
        <f>TK46+BALANCING!TL29</f>
        <v>53843541.750000238</v>
      </c>
      <c r="TM46" s="52">
        <f>TL46+BALANCING!TM29</f>
        <v>63234541.750000238</v>
      </c>
      <c r="TN46" s="52">
        <f>TM46+BALANCING!TN29</f>
        <v>72296541.750000238</v>
      </c>
      <c r="TO46" s="52">
        <f>TN46+BALANCING!TO29</f>
        <v>80387541.750000238</v>
      </c>
      <c r="TP46" s="52">
        <f>TO46+BALANCING!TP29-75000000</f>
        <v>16354541.750000238</v>
      </c>
      <c r="TQ46" s="52">
        <f>TP46+BALANCING!TQ29-1500000</f>
        <v>24182541.750000238</v>
      </c>
      <c r="TR46" s="130"/>
      <c r="TS46" s="52">
        <f>TQ46+BALANCING!TS29-36800</f>
        <v>26553741.750000238</v>
      </c>
      <c r="TT46" s="52">
        <f>TS46+BALANCING!TT29</f>
        <v>36244741.750000238</v>
      </c>
      <c r="TU46" s="52">
        <f>TT46+BALANCING!TU29</f>
        <v>44041741.750000238</v>
      </c>
      <c r="TV46" s="52">
        <f>TU46+BALANCING!TV29</f>
        <v>54375741.750000238</v>
      </c>
      <c r="TW46" s="52">
        <f>TV46+BALANCING!TW29</f>
        <v>61635741.750000238</v>
      </c>
      <c r="TX46" s="52">
        <f>TW46+BALANCING!TX29</f>
        <v>72470741.750000238</v>
      </c>
      <c r="TY46" s="52">
        <f>TX46+BALANCING!TY29</f>
        <v>83588741.750000238</v>
      </c>
      <c r="TZ46" s="52">
        <f>TY46+BALANCING!TZ29</f>
        <v>92922741.750000238</v>
      </c>
      <c r="UA46" s="52">
        <f>TZ46+BALANCING!UA29-22000000-30000000</f>
        <v>51380741.750000238</v>
      </c>
      <c r="UB46" s="52">
        <f>UA46+BALANCING!UB29</f>
        <v>60972741.750000238</v>
      </c>
      <c r="UC46" s="52">
        <f>UB46+BALANCING!UC29</f>
        <v>72747741.750000238</v>
      </c>
      <c r="UD46" s="52">
        <f>UC46+BALANCING!UD29-21000000</f>
        <v>61048741.750000238</v>
      </c>
      <c r="UE46" s="52">
        <f>UD46+BALANCING!UE29</f>
        <v>73138741.750000238</v>
      </c>
      <c r="UF46" s="52">
        <f>UE46+BALANCING!UF29</f>
        <v>81444741.750000238</v>
      </c>
      <c r="UG46" s="52">
        <f>UF46+BALANCING!UG29</f>
        <v>91403741.750000238</v>
      </c>
      <c r="UH46" s="52">
        <f>UG46+BALANCING!UH29</f>
        <v>101032741.75000024</v>
      </c>
      <c r="UI46" s="52">
        <f>UH46+BALANCING!UI29-75000000-81500-3389893+3122392</f>
        <v>37703740.750000238</v>
      </c>
      <c r="UJ46" s="52">
        <f>UI46+BALANCING!UJ29</f>
        <v>48244740.750000238</v>
      </c>
      <c r="UK46" s="52">
        <f>UJ46+BALANCING!UK29</f>
        <v>59540740.750000238</v>
      </c>
      <c r="UL46" s="52">
        <f>UK46+BALANCING!UL29</f>
        <v>69464740.750000238</v>
      </c>
      <c r="UM46" s="52">
        <f>UL46+BALANCING!UM29</f>
        <v>79498740.750000238</v>
      </c>
      <c r="UN46" s="52">
        <f>UM46+BALANCING!UN29</f>
        <v>91323740.750000238</v>
      </c>
      <c r="UO46" s="52">
        <f>UN46+BALANCING!UO29</f>
        <v>101004740.75000024</v>
      </c>
      <c r="UP46" s="52">
        <f>UO46+BALANCING!UP29-37000000</f>
        <v>76549740.750000238</v>
      </c>
      <c r="UQ46" s="52">
        <f>UP46+BALANCING!UQ29</f>
        <v>87826740.750000238</v>
      </c>
      <c r="UR46" s="52">
        <f>UQ46+BALANCING!UR29-65000000</f>
        <v>33559740.750000238</v>
      </c>
      <c r="US46" s="52">
        <f>UR46+BALANCING!US29</f>
        <v>42701740.750000238</v>
      </c>
      <c r="UT46" s="52">
        <f>US46+BALANCING!UT29</f>
        <v>52078740.750000238</v>
      </c>
      <c r="UU46" s="52">
        <f>UT46+BALANCING!UU29</f>
        <v>59145740.750000238</v>
      </c>
      <c r="UV46" s="52">
        <f>UU46+BALANCING!UV29</f>
        <v>68917740.750000238</v>
      </c>
      <c r="UW46" s="52">
        <f>UV46+BALANCING!UW29</f>
        <v>81422740.750000238</v>
      </c>
      <c r="UX46" s="130"/>
      <c r="UY46" s="52">
        <f>UW46+BALANCING!UY29</f>
        <v>92929740.750000238</v>
      </c>
      <c r="UZ46" s="52">
        <f>UY46+BALANCING!UZ29</f>
        <v>102662740.75000024</v>
      </c>
      <c r="VA46" s="52">
        <f>UZ46+BALANCING!VA29</f>
        <v>112914740.75000024</v>
      </c>
      <c r="VB46" s="52">
        <f>VA46+BALANCING!VB29</f>
        <v>120722740.75000024</v>
      </c>
      <c r="VC46" s="52">
        <f>VB46+BALANCING!VC29</f>
        <v>131780740.75000024</v>
      </c>
      <c r="VD46" s="52">
        <f>VC46+BALANCING!VD29-75000000</f>
        <v>66872740.750000238</v>
      </c>
      <c r="VE46" s="52">
        <f>VD46+BALANCING!VE29</f>
        <v>79395740.750000238</v>
      </c>
      <c r="VF46" s="52">
        <f>VE46+BALANCING!VF29</f>
        <v>91262740.750000238</v>
      </c>
      <c r="VG46" s="52">
        <f>VF46+BALANCING!VG29</f>
        <v>100791740.75000024</v>
      </c>
      <c r="VH46" s="52">
        <f>VG46+BALANCING!VH29-70000000</f>
        <v>41565740.750000238</v>
      </c>
      <c r="VI46" s="52">
        <f>VH46+BALANCING!VI29</f>
        <v>49780740.750000238</v>
      </c>
      <c r="VJ46" s="52">
        <f>VI46+BALANCING!VJ29</f>
        <v>60385740.750000238</v>
      </c>
      <c r="VK46" s="52">
        <f>VJ46+BALANCING!VK29</f>
        <v>71450740.750000238</v>
      </c>
      <c r="VL46" s="52">
        <f>VK46+BALANCING!VL29</f>
        <v>85641740.750000238</v>
      </c>
      <c r="VM46" s="52">
        <f>VL46+BALANCING!VM29-35000000-37800</f>
        <v>60246940.750000238</v>
      </c>
      <c r="VN46" s="52">
        <f>VM46+BALANCING!VN29</f>
        <v>69578940.750000238</v>
      </c>
      <c r="VO46" s="52">
        <f>VN46+BALANCING!VO29</f>
        <v>81421940.750000238</v>
      </c>
      <c r="VP46" s="52">
        <f>VO46+BALANCING!VP29</f>
        <v>92660940.750000238</v>
      </c>
      <c r="VQ46" s="52">
        <f>VP46+BALANCING!VQ29-30000000-25000000</f>
        <v>49547940.750000238</v>
      </c>
      <c r="VR46" s="52">
        <f>VQ46+BALANCING!VR29-3041425+2866699</f>
        <v>60020214.750000238</v>
      </c>
      <c r="VS46" s="52">
        <f>VR46+BALANCING!VS29-20000000-158750</f>
        <v>50280464.750000238</v>
      </c>
      <c r="VT46" s="52">
        <f>VS46+BALANCING!VT29</f>
        <v>61937464.750000238</v>
      </c>
      <c r="VU46" s="52">
        <f>VT46+BALANCING!VU29</f>
        <v>71701464.750000238</v>
      </c>
      <c r="VV46" s="52">
        <f>VU46+BALANCING!VV29</f>
        <v>82461464.750000238</v>
      </c>
      <c r="VW46" s="52">
        <f>VV46+BALANCING!VW29</f>
        <v>90509464.750000238</v>
      </c>
      <c r="VX46" s="52">
        <f>VW46+BALANCING!VX29</f>
        <v>100547464.75000024</v>
      </c>
      <c r="VY46" s="52">
        <f>VX46+BALANCING!VY29</f>
        <v>109125464.75000024</v>
      </c>
      <c r="VZ46" s="52">
        <f>VY46+BALANCING!VZ29</f>
        <v>119320464.75000024</v>
      </c>
      <c r="WA46" s="139"/>
      <c r="WB46" s="52">
        <f>VZ46+BALANCING!WB29-50000000-4800</f>
        <v>81389664.750000238</v>
      </c>
      <c r="WC46" s="52">
        <f>WB46+BALANCING!WC29</f>
        <v>90619664.750000238</v>
      </c>
      <c r="WD46" s="52">
        <f>WC46+BALANCING!WD29-30000000</f>
        <v>67830664.750000238</v>
      </c>
      <c r="WE46" s="52">
        <f>WD46+BALANCING!WE29</f>
        <v>75333664.750000238</v>
      </c>
      <c r="WF46" s="52">
        <f>WE46+BALANCING!WF29</f>
        <v>83667664.750000238</v>
      </c>
      <c r="WG46" s="52">
        <f>WF46+BALANCING!WG29</f>
        <v>90021664.750000238</v>
      </c>
      <c r="WH46" s="52">
        <f>WG46+BALANCING!WH29-65000000</f>
        <v>34734664.750000238</v>
      </c>
      <c r="WI46" s="52">
        <f>WH46+BALANCING!WI29</f>
        <v>46165664.750000238</v>
      </c>
      <c r="WJ46" s="52">
        <f>WI46+BALANCING!WJ29</f>
        <v>56382664.750000238</v>
      </c>
      <c r="WK46" s="52">
        <f>WJ46+BALANCING!WK29</f>
        <v>66820664.750000238</v>
      </c>
      <c r="WL46" s="52">
        <f>WK46+BALANCING!WL29-23000000</f>
        <v>53559664.750000238</v>
      </c>
      <c r="WM46" s="52">
        <f>WL46+BALANCING!WM29</f>
        <v>62786664.750000238</v>
      </c>
      <c r="WN46" s="52">
        <f>WM46+BALANCING!WN29</f>
        <v>71547664.750000238</v>
      </c>
      <c r="WO46" s="52">
        <f>WN46+BALANCING!WO29</f>
        <v>81281664.750000238</v>
      </c>
      <c r="WP46" s="52">
        <f>WO46+BALANCING!WP29</f>
        <v>92961664.750000238</v>
      </c>
      <c r="WQ46" s="52">
        <f>WP46+BALANCING!WQ29</f>
        <v>100462664.75000024</v>
      </c>
      <c r="WR46" s="52">
        <f>WQ46+BALANCING!WR29-63000000+418247</f>
        <v>48648911.750000238</v>
      </c>
      <c r="WS46" s="52">
        <f>WR46+BALANCING!WS29</f>
        <v>59017911.750000238</v>
      </c>
      <c r="WT46" s="52">
        <f>WS46+BALANCING!WT29</f>
        <v>70079911.750000238</v>
      </c>
      <c r="WU46" s="52">
        <f>WT46+BALANCING!WU29</f>
        <v>80340911.750000238</v>
      </c>
      <c r="WV46" s="52">
        <f>WU46+BALANCING!WV29</f>
        <v>90319911.750000238</v>
      </c>
      <c r="WW46" s="52">
        <f>WV46+BALANCING!WW29</f>
        <v>99821911.750000238</v>
      </c>
      <c r="WX46" s="52">
        <f>WW46+BALANCING!WX29</f>
        <v>109512911.75000024</v>
      </c>
      <c r="WY46" s="52">
        <f>WX46+BALANCING!WY29</f>
        <v>119520911.75000024</v>
      </c>
      <c r="WZ46" s="52">
        <f>WY46+BALANCING!WZ29</f>
        <v>128677911.75000024</v>
      </c>
      <c r="XA46" s="52">
        <f>WZ46+BALANCING!XA29</f>
        <v>137776911.75000024</v>
      </c>
      <c r="XB46" s="52">
        <f>XA46+BALANCING!XB29</f>
        <v>148830911.75000024</v>
      </c>
      <c r="XC46" s="52">
        <f>XB46+BALANCING!XC29-55000000-66000000</f>
        <v>39508911.750000238</v>
      </c>
      <c r="XD46" s="52">
        <f>XC46+BALANCING!XD29</f>
        <v>53293911.750000238</v>
      </c>
      <c r="XE46" s="52">
        <f>XD46+BALANCING!XE29-37000000</f>
        <v>26053911.750000238</v>
      </c>
      <c r="XF46" s="52">
        <f>XE46+BALANCING!XF29</f>
        <v>35857911.750000238</v>
      </c>
      <c r="XG46" s="139"/>
      <c r="XH46" s="52">
        <f>XF46+BALANCING!XH29</f>
        <v>44915911.750000238</v>
      </c>
      <c r="XI46" s="52">
        <f>XH46+BALANCING!XI29</f>
        <v>54488911.750000238</v>
      </c>
      <c r="XJ46" s="52">
        <f>XI46+BALANCING!XJ29</f>
        <v>63256911.750000238</v>
      </c>
      <c r="XK46" s="52">
        <f>XJ46+BALANCING!XK29</f>
        <v>71768911.750000238</v>
      </c>
      <c r="XL46" s="52">
        <f>XK46+BALANCING!XL29</f>
        <v>83761911.750000238</v>
      </c>
      <c r="XM46" s="52">
        <f>XL46+BALANCING!XM29</f>
        <v>92772911.750000238</v>
      </c>
      <c r="XN46" s="52">
        <f>XM46+BALANCING!XN29</f>
        <v>104390911.75000024</v>
      </c>
      <c r="XO46" s="52">
        <f>XN46+BALANCING!XO29</f>
        <v>114630911.75000024</v>
      </c>
      <c r="XP46" s="52">
        <f>XO46+BALANCING!XP29-47000000-21000000</f>
        <v>55947911.750000238</v>
      </c>
      <c r="XQ46" s="52">
        <f>XP46+BALANCING!XQ29</f>
        <v>67576911.750000238</v>
      </c>
      <c r="XR46" s="52">
        <f>XQ46+BALANCING!XR29</f>
        <v>77047911.750000238</v>
      </c>
      <c r="XS46" s="52">
        <f>XR46+BALANCING!XS29-41791</f>
        <v>87283120.750000238</v>
      </c>
      <c r="XT46" s="52">
        <f>XS46+BALANCING!XT29</f>
        <v>97264120.750000238</v>
      </c>
      <c r="XU46" s="52">
        <f>XT46+BALANCING!XU29</f>
        <v>107090120.75000024</v>
      </c>
      <c r="XV46" s="52">
        <f>XU46+BALANCING!XV29</f>
        <v>117338120.75000024</v>
      </c>
      <c r="XW46" s="52">
        <f>XV46+BALANCING!XW29-70000000</f>
        <v>59182120.750000238</v>
      </c>
      <c r="XX46" s="52">
        <f>XW46+BALANCING!XX29+3971978-2745803-81500-1332600-35000000</f>
        <v>34779195.750000238</v>
      </c>
      <c r="XY46" s="52">
        <f>XX46+BALANCING!XY29</f>
        <v>44446195.750000238</v>
      </c>
      <c r="XZ46" s="52">
        <f>XY46+BALANCING!XZ29</f>
        <v>55612195.750000238</v>
      </c>
      <c r="YA46" s="52">
        <f>XZ46+BALANCING!YA29</f>
        <v>63183195.750000238</v>
      </c>
      <c r="YB46" s="52">
        <f>YA46+BALANCING!YB29</f>
        <v>72212195.750000238</v>
      </c>
      <c r="YC46" s="52">
        <f>YB46+BALANCING!YC29</f>
        <v>82706195.750000238</v>
      </c>
      <c r="YD46" s="52">
        <f>YC46+BALANCING!YD29-30000000-23000000</f>
        <v>38493195.750000238</v>
      </c>
      <c r="YE46" s="52">
        <f>YD46+BALANCING!YE29</f>
        <v>48773195.750000238</v>
      </c>
      <c r="YF46" s="52">
        <f>YE46+BALANCING!YF29</f>
        <v>58013195.750000238</v>
      </c>
      <c r="YG46" s="52">
        <f>YF46+BALANCING!YG29</f>
        <v>68759195.750000238</v>
      </c>
      <c r="YH46" s="52">
        <f>YG46+BALANCING!YH29</f>
        <v>78544195.750000238</v>
      </c>
      <c r="YI46" s="52">
        <f>YH46+BALANCING!YI29</f>
        <v>88646195.750000238</v>
      </c>
      <c r="YJ46" s="52">
        <f>YI46+BALANCING!YJ29</f>
        <v>98692195.750000238</v>
      </c>
      <c r="YK46" s="52">
        <f>YJ46+BALANCING!YK29-40000000-38000000-6936360-1332600</f>
        <v>22086235.750000238</v>
      </c>
      <c r="YL46" s="130"/>
      <c r="YM46" s="52">
        <f>YK46+BALANCING!YM29</f>
        <v>30189235.750000238</v>
      </c>
      <c r="YN46" s="52">
        <f>YM46+BALANCING!YN29</f>
        <v>41493235.750000238</v>
      </c>
      <c r="YO46" s="52">
        <f>YN46+BALANCING!YO29</f>
        <v>52616235.750000238</v>
      </c>
      <c r="YP46" s="52">
        <f>YO46+BALANCING!YP29+1289800</f>
        <v>66240035.750000238</v>
      </c>
      <c r="YQ46" s="52">
        <f>YP46+BALANCING!YQ29</f>
        <v>77884035.750000238</v>
      </c>
      <c r="YR46" s="52">
        <f>YQ46+BALANCING!YR29</f>
        <v>87859035.750000238</v>
      </c>
      <c r="YS46" s="52">
        <f>YR46+BALANCING!YS29</f>
        <v>97027035.750000238</v>
      </c>
      <c r="YT46" s="52">
        <f>YS46+BALANCING!YT29</f>
        <v>98805035.750000238</v>
      </c>
      <c r="YU46" s="52">
        <f>YT46+BALANCING!YU29</f>
        <v>106846035.75000024</v>
      </c>
      <c r="YV46" s="52">
        <f>YU46+BALANCING!YV29</f>
        <v>118621035.75000024</v>
      </c>
      <c r="YW46" s="52">
        <f>YV46+BALANCING!YW29</f>
        <v>127024035.75000024</v>
      </c>
      <c r="YX46" s="52">
        <f>YW46+BALANCING!YX29</f>
        <v>136864035.75000024</v>
      </c>
      <c r="YY46" s="52">
        <f>YX46+BALANCING!YY29</f>
        <v>146515035.75000024</v>
      </c>
      <c r="YZ46" s="52">
        <f>YY46+BALANCING!YZ29</f>
        <v>157795035.75000024</v>
      </c>
      <c r="ZA46" s="52">
        <f>YZ46+BALANCING!ZA29</f>
        <v>167258035.75000024</v>
      </c>
      <c r="ZB46" s="52">
        <f>ZA46+BALANCING!ZB29-85000000-45000000</f>
        <v>46810035.750000238</v>
      </c>
      <c r="ZC46" s="52">
        <f>ZB46+BALANCING!ZC29</f>
        <v>59705035.750000238</v>
      </c>
      <c r="ZD46" s="52">
        <f>ZC46+BALANCING!ZD29</f>
        <v>69699035.750000238</v>
      </c>
      <c r="ZE46" s="52">
        <f>ZD46+BALANCING!ZE29</f>
        <v>81500035.750000238</v>
      </c>
      <c r="ZF46" s="52">
        <f>ZE46+BALANCING!ZF29-30000000-81500+3001251-3074427</f>
        <v>61806359.750000238</v>
      </c>
      <c r="ZG46" s="52">
        <f>ZF46+BALANCING!ZG29</f>
        <v>72146359.750000238</v>
      </c>
      <c r="ZH46" s="52">
        <f>ZG46+BALANCING!ZH29</f>
        <v>84010359.750000238</v>
      </c>
      <c r="ZI46" s="52">
        <f>ZH46+BALANCING!ZI29</f>
        <v>96737359.750000238</v>
      </c>
      <c r="ZJ46" s="52">
        <f>ZI46+BALANCING!ZJ29</f>
        <v>111120359.75000024</v>
      </c>
      <c r="ZK46" s="52">
        <f>ZJ46+BALANCING!ZK29</f>
        <v>123670359.75000024</v>
      </c>
      <c r="ZL46" s="52">
        <f>ZK46+BALANCING!ZL29</f>
        <v>135455359.75000024</v>
      </c>
      <c r="ZM46" s="52">
        <f>ZL46+BALANCING!ZM29-90000000-30000000</f>
        <v>27204359.750000238</v>
      </c>
      <c r="ZN46" s="52">
        <f>ZM46+BALANCING!ZN29</f>
        <v>39941359.750000238</v>
      </c>
      <c r="ZO46" s="52">
        <f>ZN46+BALANCING!ZO29</f>
        <v>49983359.750000238</v>
      </c>
      <c r="ZP46" s="52">
        <f>ZO46+BALANCING!ZP29</f>
        <v>62383359.750000238</v>
      </c>
      <c r="ZQ46" s="52">
        <f>ZP46+BALANCING!ZQ29</f>
        <v>75430359.750000238</v>
      </c>
      <c r="ZR46" s="130"/>
      <c r="ZS46" s="52">
        <f>ZQ46+BALANCING!ZS29-36800</f>
        <v>85666559.750000238</v>
      </c>
      <c r="ZT46" s="52">
        <f>ZS46+BALANCING!ZT29</f>
        <v>95457559.750000238</v>
      </c>
      <c r="ZU46" s="52">
        <f>ZT46+BALANCING!ZU29</f>
        <v>105202559.75000024</v>
      </c>
      <c r="ZV46" s="52">
        <f>ZU46+BALANCING!ZV29</f>
        <v>114322559.75000024</v>
      </c>
      <c r="ZW46" s="52">
        <f>ZV46+BALANCING!ZW29</f>
        <v>126408559.75000024</v>
      </c>
      <c r="ZX46" s="52">
        <f>ZW46+BALANCING!ZX29</f>
        <v>137473559.75000024</v>
      </c>
      <c r="ZY46" s="52">
        <f>ZX46+BALANCING!ZY29</f>
        <v>150911559.75000024</v>
      </c>
      <c r="ZZ46" s="52">
        <f>ZY46+BALANCING!ZZ29-92000000-55000000</f>
        <v>16609559.750000238</v>
      </c>
      <c r="AAA46" s="52">
        <f>ZZ46+BALANCING!AAA29</f>
        <v>26922559.750000238</v>
      </c>
      <c r="AAB46" s="52">
        <f>AAA46+BALANCING!AAB29</f>
        <v>38600559.750000238</v>
      </c>
      <c r="AAC46" s="52">
        <f>AAB46+BALANCING!AAC29</f>
        <v>49788559.750000238</v>
      </c>
      <c r="AAD46" s="52">
        <f>AAC46+BALANCING!AAD29-30000000</f>
        <v>29914559.750000238</v>
      </c>
      <c r="AAE46" s="52">
        <f>AAD46+BALANCING!AAE29</f>
        <v>43666559.750000238</v>
      </c>
      <c r="AAF46" s="52">
        <f>AAE46+BALANCING!AAF29+3036695-2943369</f>
        <v>55578885.750000238</v>
      </c>
      <c r="AAG46" s="52">
        <f>AAF46+BALANCING!AAG29</f>
        <v>66068885.750000238</v>
      </c>
      <c r="AAH46" s="52">
        <f>AAG46+BALANCING!AAH29</f>
        <v>78289885.750000238</v>
      </c>
      <c r="AAI46" s="52">
        <f>AAH46+BALANCING!AAI29-60000000</f>
        <v>29307885.750000238</v>
      </c>
      <c r="AAJ46" s="52">
        <f>AAI46+BALANCING!AAJ29</f>
        <v>43168885.750000238</v>
      </c>
      <c r="AAK46" s="52">
        <f>AAJ46+BALANCING!AAK29</f>
        <v>53337885.750000238</v>
      </c>
      <c r="AAL46" s="52">
        <f>AAK46+BALANCING!AAL29</f>
        <v>61916885.750000238</v>
      </c>
      <c r="AAM46" s="52">
        <f>AAL46+BALANCING!AAM29</f>
        <v>75178885.750000238</v>
      </c>
      <c r="AAN46" s="52">
        <f>AAM46+BALANCING!AAN29</f>
        <v>83085885.750000238</v>
      </c>
      <c r="AAO46" s="52">
        <f>AAN46+BALANCING!AAO29</f>
        <v>95467885.750000238</v>
      </c>
      <c r="AAP46" s="52">
        <f>AAO46+BALANCING!AAP29-55000000-25000000-81500</f>
        <v>26086385.750000238</v>
      </c>
      <c r="AAQ46" s="52">
        <f>AAP46+BALANCING!AAQ29</f>
        <v>37524385.750000238</v>
      </c>
      <c r="AAR46" s="52">
        <f>AAQ46+BALANCING!AAR29</f>
        <v>47982385.750000238</v>
      </c>
      <c r="AAS46" s="52">
        <f>AAR46+BALANCING!AAS29</f>
        <v>60001385.750000238</v>
      </c>
      <c r="AAT46" s="52">
        <f>AAS46+BALANCING!AAT29-1812000</f>
        <v>69838385.750000238</v>
      </c>
      <c r="AAU46" s="52">
        <f>AAT46+BALANCING!AAU29-48000000</f>
        <v>32197385.750000238</v>
      </c>
      <c r="AAV46" s="52">
        <f>AAU46+BALANCING!AAV29</f>
        <v>42413385.750000238</v>
      </c>
      <c r="AAW46" s="130"/>
      <c r="AAX46" s="52">
        <f>AAV46+BALANCING!AAX29-32800</f>
        <v>52461585.750000238</v>
      </c>
      <c r="AAY46" s="52">
        <f>AAX46+BALANCING!AAY29</f>
        <v>59920585.750000238</v>
      </c>
      <c r="AAZ46" s="52">
        <f>AAY46+BALANCING!AAZ29</f>
        <v>71979585.750000238</v>
      </c>
      <c r="ABA46" s="52">
        <f>AAZ46+BALANCING!ABA29-30000000</f>
        <v>53155585.750000238</v>
      </c>
      <c r="ABB46" s="52">
        <f>ABA46+BALANCING!ABB29</f>
        <v>66345585.750000238</v>
      </c>
      <c r="ABC46" s="52">
        <f>ABB46+BALANCING!ABC29</f>
        <v>77463585.750000238</v>
      </c>
      <c r="ABD46" s="52">
        <f>ABC46+BALANCING!ABD29</f>
        <v>90667585.750000238</v>
      </c>
      <c r="ABE46" s="52">
        <f>ABD46+BALANCING!ABE29-53000000-28000000</f>
        <v>20797585.750000238</v>
      </c>
      <c r="ABF46" s="52">
        <f>ABE46+BALANCING!ABF29</f>
        <v>31902585.750000238</v>
      </c>
      <c r="ABG46" s="52">
        <f>ABF46+BALANCING!ABG29</f>
        <v>45658585.750000238</v>
      </c>
      <c r="ABH46" s="52">
        <f>ABG46+BALANCING!ABH29</f>
        <v>56751585.750000238</v>
      </c>
      <c r="ABI46" s="52">
        <f>ABH46+BALANCING!ABI29</f>
        <v>63485585.750000238</v>
      </c>
      <c r="ABJ46" s="52">
        <f>ABI46+BALANCING!ABJ29</f>
        <v>74210585.750000238</v>
      </c>
      <c r="ABK46" s="52">
        <f>ABJ46+BALANCING!ABK29-50000000</f>
        <v>35548585.750000238</v>
      </c>
      <c r="ABL46" s="52">
        <f>ABK46+BALANCING!ABL29</f>
        <v>47060585.750000238</v>
      </c>
      <c r="ABM46" s="52">
        <f>ABL46+BALANCING!ABM29</f>
        <v>59227585.750000238</v>
      </c>
      <c r="ABN46" s="52">
        <f>ABM46+BALANCING!ABN29</f>
        <v>70717585.750000238</v>
      </c>
      <c r="ABO46" s="52">
        <f>ABN46+BALANCING!ABO29</f>
        <v>82961585.750000238</v>
      </c>
      <c r="ABP46" s="52">
        <f>ABO46+BALANCING!ABP29</f>
        <v>94391585.750000238</v>
      </c>
      <c r="ABQ46" s="52">
        <f>ABP46+BALANCING!ABQ29</f>
        <v>105811585.75000024</v>
      </c>
      <c r="ABR46" s="52">
        <f>ABQ46+BALANCING!ABR29-58000000-45000000</f>
        <v>13277585.750000238</v>
      </c>
      <c r="ABS46" s="52">
        <f>ABR46+BALANCING!ABS29</f>
        <v>22966585.750000238</v>
      </c>
      <c r="ABT46" s="52">
        <f>ABS46+BALANCING!ABT29</f>
        <v>34926585.750000238</v>
      </c>
      <c r="ABU46" s="52">
        <f>ABT46+BALANCING!ABU29</f>
        <v>47663585.750000238</v>
      </c>
      <c r="ABV46" s="52">
        <f>ABU46+BALANCING!ABV29</f>
        <v>60395585.750000238</v>
      </c>
      <c r="ABW46" s="52">
        <f>ABV46+BALANCING!ABW29</f>
        <v>71802585.750000238</v>
      </c>
      <c r="ABX46" s="52">
        <f>ABW46+BALANCING!ABX29</f>
        <v>82771585.750000238</v>
      </c>
      <c r="ABY46" s="52">
        <f>ABX46+BALANCING!ABY29</f>
        <v>94024585.750000238</v>
      </c>
      <c r="ABZ46" s="52">
        <f>ABY46+BALANCING!ABZ29</f>
        <v>104521585.75000024</v>
      </c>
      <c r="ACA46" s="52">
        <f>ABZ46+BALANCING!ACA29</f>
        <v>114891585.75000024</v>
      </c>
      <c r="ACB46" s="52">
        <f>ACA46+BALANCING!ACB29-2644344</f>
        <v>123037241.75000024</v>
      </c>
      <c r="ACC46" s="130"/>
      <c r="ACD46" s="52">
        <f>ACB46+BALANCING!ACD29</f>
        <v>136274241.75000024</v>
      </c>
      <c r="ACE46" s="52">
        <f>ACD46+BALANCING!ACE29</f>
        <v>148774241.75000024</v>
      </c>
      <c r="ACF46" s="52">
        <f>ACE46+BALANCING!ACF29</f>
        <v>161948241.75000024</v>
      </c>
      <c r="ACG46" s="52">
        <f>ACF46+BALANCING!ACG29-69000000-57000000-81500</f>
        <v>43091741.750000238</v>
      </c>
      <c r="ACH46" s="52">
        <f>ACG46+BALANCING!ACH29</f>
        <v>56254741.750000238</v>
      </c>
      <c r="ACI46" s="52">
        <f>ACH46+BALANCING!ACI29</f>
        <v>65620741.750000238</v>
      </c>
      <c r="ACJ46" s="52">
        <f>ACI46+BALANCING!ACJ29-30000000-2794642-38800</f>
        <v>43510299.750000238</v>
      </c>
      <c r="ACK46" s="52">
        <f>ACJ46+BALANCING!ACK29</f>
        <v>55038299.750000238</v>
      </c>
      <c r="ACL46" s="52">
        <f>ACK46+BALANCING!ACL29</f>
        <v>66796299.750000238</v>
      </c>
      <c r="ACM46" s="52">
        <f>ACL46+BALANCING!ACM29</f>
        <v>77083299.750000238</v>
      </c>
      <c r="ACN46" s="52">
        <f>ACM46+BALANCING!ACN29</f>
        <v>90434299.750000238</v>
      </c>
      <c r="ACO46" s="52">
        <f>ACN46+BALANCING!ACO29</f>
        <v>100731299.75000024</v>
      </c>
      <c r="ACP46" s="52">
        <f>ACO46+BALANCING!ACP29</f>
        <v>109403299.75000024</v>
      </c>
      <c r="ACQ46" s="52">
        <f>ACP46+BALANCING!ACQ29-66000000-1200000</f>
        <v>54584299.750000238</v>
      </c>
      <c r="ACR46" s="52">
        <f>ACQ46+BALANCING!ACR29</f>
        <v>66965299.750000238</v>
      </c>
      <c r="ACS46" s="52">
        <f>ACR46+BALANCING!ACS29</f>
        <v>76608299.750000238</v>
      </c>
      <c r="ACT46" s="52">
        <f>ACS46+BALANCING!ACT29-67000000+500000</f>
        <v>19327299.750000238</v>
      </c>
      <c r="ACU46" s="52">
        <f>ACT46+BALANCING!ACU29</f>
        <v>30806299.750000238</v>
      </c>
      <c r="ACV46" s="52">
        <f>ACU46+BALANCING!ACV29</f>
        <v>40729299.750000238</v>
      </c>
      <c r="ACW46" s="52">
        <f>ACV46+BALANCING!ACW29</f>
        <v>52032299.750000238</v>
      </c>
      <c r="ACX46" s="52">
        <f>ACW46+BALANCING!ACX29+1000000+1236606</f>
        <v>64706905.750000238</v>
      </c>
      <c r="ACY46" s="52">
        <f>ACX46+BALANCING!ACY29</f>
        <v>75828905.750000238</v>
      </c>
      <c r="ACZ46" s="52">
        <f>ACY46+BALANCING!ACZ29-75000000</f>
        <v>11967905.750000238</v>
      </c>
      <c r="ADA46" s="52">
        <f>ACZ46+BALANCING!ADA29</f>
        <v>21748905.750000238</v>
      </c>
      <c r="ADB46" s="52">
        <f>ADA46+BALANCING!ADB29</f>
        <v>30519905.750000238</v>
      </c>
      <c r="ADC46" s="52">
        <f>ADB46+BALANCING!ADC29</f>
        <v>40939905.750000238</v>
      </c>
      <c r="ADD46" s="52">
        <f>ADC46+BALANCING!ADD29</f>
        <v>52469905.750000238</v>
      </c>
      <c r="ADE46" s="52">
        <f>ADD46+BALANCING!ADE29</f>
        <v>62450905.750000238</v>
      </c>
      <c r="ADF46" s="52">
        <f>ADE46+BALANCING!ADF29-35000000</f>
        <v>38440905.750000238</v>
      </c>
      <c r="ADG46" s="52">
        <f>ADF46+BALANCING!ADG29</f>
        <v>49839905.750000238</v>
      </c>
      <c r="ADH46" s="52">
        <f>ADG46+BALANCING!ADH29</f>
        <v>59491905.750000238</v>
      </c>
      <c r="ADI46" s="130"/>
      <c r="ADJ46" s="52">
        <f>ADH46+BALANCING!ADJ29</f>
        <v>68676905.750000238</v>
      </c>
      <c r="ADK46" s="52">
        <f>ADJ46+BALANCING!ADK29-50000000</f>
        <v>27711905.750000238</v>
      </c>
      <c r="ADL46" s="52">
        <f>ADK46+BALANCING!ADL29-50000000</f>
        <v>-14693094.249999762</v>
      </c>
      <c r="ADM46" s="52">
        <f>ADL46+BALANCING!ADM29-50000000</f>
        <v>-52470094.249999762</v>
      </c>
      <c r="ADN46" s="52">
        <f>ADM46+BALANCING!ADN29-50000000</f>
        <v>-90158094.249999762</v>
      </c>
      <c r="ADO46" s="52">
        <f>ADN46+BALANCING!ADO29-50000000</f>
        <v>-127957094.24999976</v>
      </c>
      <c r="ADP46" s="52">
        <f>ADO46+BALANCING!ADP29-50000000-32000000-40000000</f>
        <v>-239389094.24999976</v>
      </c>
      <c r="ADQ46" s="52">
        <f>ADP46+BALANCING!ADQ29</f>
        <v>-229730094.24999976</v>
      </c>
      <c r="ADR46" s="52">
        <f>ADQ46+BALANCING!ADR29</f>
        <v>-220203094.24999976</v>
      </c>
      <c r="ADS46" s="52">
        <f>ADR46+BALANCING!ADS29</f>
        <v>-211816094.24999976</v>
      </c>
      <c r="ADT46" s="52">
        <f>ADS46+BALANCING!ADT29</f>
        <v>-202286094.24999976</v>
      </c>
      <c r="ADU46" s="52">
        <f>ADT46+BALANCING!ADU29</f>
        <v>-192916094.24999976</v>
      </c>
      <c r="ADV46" s="52">
        <f>ADU46+BALANCING!ADV29</f>
        <v>-180716094.24999976</v>
      </c>
      <c r="ADW46" s="52">
        <f>ADV46+BALANCING!ADW29-50000000+266092527</f>
        <v>43719432.750000238</v>
      </c>
      <c r="ADX46" s="52">
        <f>ADW46+BALANCING!ADX29</f>
        <v>54929432.750000238</v>
      </c>
      <c r="ADY46" s="52">
        <f>ADX46+BALANCING!ADY29</f>
        <v>66078432.750000238</v>
      </c>
      <c r="ADZ46" s="52">
        <f>ADY46+BALANCING!ADZ29</f>
        <v>74477432.750000238</v>
      </c>
      <c r="AEA46" s="52">
        <f>ADZ46+BALANCING!AEA29</f>
        <v>84052432.750000238</v>
      </c>
      <c r="AEB46" s="52">
        <f>AEA46+BALANCING!AEB29-50000000+1000000+1000000+297500</f>
        <v>45014932.750000238</v>
      </c>
      <c r="AEC46" s="52">
        <f>AEB46+BALANCING!AEC29</f>
        <v>55161932.750000238</v>
      </c>
      <c r="AED46" s="52">
        <f>AEC46+BALANCING!AED29</f>
        <v>64058932.750000238</v>
      </c>
      <c r="AEE46" s="52">
        <f>AED46+BALANCING!AEE29</f>
        <v>74470932.750000238</v>
      </c>
      <c r="AEF46" s="52">
        <f>AEE46+BALANCING!AEF29</f>
        <v>84209932.750000238</v>
      </c>
      <c r="AEG46" s="52">
        <f>AEF46+BALANCING!AEG29</f>
        <v>92666932.750000238</v>
      </c>
      <c r="AEH46" s="52">
        <f>AEG46+BALANCING!AEH29-70000000</f>
        <v>30675932.750000238</v>
      </c>
      <c r="AEI46" s="52">
        <f>AEH46+BALANCING!AEI29</f>
        <v>42020932.750000238</v>
      </c>
      <c r="AEJ46" s="52">
        <f>AEI46+BALANCING!AEJ29</f>
        <v>52965932.750000238</v>
      </c>
      <c r="AEK46" s="52">
        <f>AEJ46+BALANCING!AEK29</f>
        <v>62178932.750000238</v>
      </c>
      <c r="AEL46" s="52">
        <f>AEK46+BALANCING!AEL29</f>
        <v>72354932.750000238</v>
      </c>
      <c r="AEM46" s="52">
        <f>AEL46+BALANCING!AEM29</f>
        <v>80511932.750000238</v>
      </c>
      <c r="AEN46" s="130"/>
      <c r="AEO46" s="52">
        <f>AEM46+BALANCING!AEO29-40000000-39100</f>
        <v>50006832.750000238</v>
      </c>
      <c r="AEP46" s="52">
        <f>AEO46+BALANCING!AEP29</f>
        <v>59496832.750000238</v>
      </c>
      <c r="AEQ46" s="52">
        <f>AEP46+BALANCING!AEQ29</f>
        <v>70632832.750000238</v>
      </c>
      <c r="AER46" s="52">
        <f>AEQ46+BALANCING!AER29</f>
        <v>79034832.750000238</v>
      </c>
      <c r="AES46" s="52">
        <f>AER46+BALANCING!AES29-25000000-32000000</f>
        <v>31128832.750000238</v>
      </c>
      <c r="AET46" s="52">
        <f>AES46+BALANCING!AET29</f>
        <v>42455832.750000238</v>
      </c>
      <c r="AEU46" s="52">
        <f>AET46+BALANCING!AEU29-32000000-355000</f>
        <v>20407832.750000238</v>
      </c>
      <c r="AEV46" s="52">
        <f>AEU46+BALANCING!AEV29</f>
        <v>28824832.750000238</v>
      </c>
      <c r="AEW46" s="52">
        <f>AEV46+BALANCING!AEW29</f>
        <v>37435832.750000238</v>
      </c>
      <c r="AEX46" s="52">
        <f>AEW46+BALANCING!AEX29</f>
        <v>47517832.750000238</v>
      </c>
      <c r="AEY46" s="52">
        <f>AEX46+BALANCING!AEY29</f>
        <v>56901832.750000238</v>
      </c>
      <c r="AEZ46" s="52">
        <f>AEY46+BALANCING!AEZ29</f>
        <v>65028832.750000238</v>
      </c>
      <c r="AFA46" s="52">
        <f>AEZ46+BALANCING!AFA29</f>
        <v>73220832.750000238</v>
      </c>
      <c r="AFB46" s="52">
        <f>AFA46+BALANCING!AFB29-47000000-1200000-81500</f>
        <v>33812332.750000238</v>
      </c>
      <c r="AFC46" s="52">
        <f>AFB46+BALANCING!AFC29</f>
        <v>44138332.750000238</v>
      </c>
      <c r="AFD46" s="52">
        <f>AFC46+BALANCING!AFD29</f>
        <v>55301332.750000238</v>
      </c>
      <c r="AFE46" s="52">
        <f>AFD46+BALANCING!AFE29</f>
        <v>65951332.750000238</v>
      </c>
      <c r="AFF46" s="52">
        <f>AFE46+BALANCING!AFF29</f>
        <v>76318332.750000238</v>
      </c>
      <c r="AFG46" s="52">
        <f>AFF46+BALANCING!AFG29-44000000</f>
        <v>42375332.750000238</v>
      </c>
      <c r="AFH46" s="52">
        <f>AFG46+BALANCING!AFH29</f>
        <v>52759332.750000238</v>
      </c>
      <c r="AFI46" s="52">
        <f>AFH46+BALANCING!AFI29</f>
        <v>64009332.750000238</v>
      </c>
      <c r="AFJ46" s="52">
        <f>AFI46+BALANCING!AFJ29</f>
        <v>72047332.750000238</v>
      </c>
      <c r="AFK46" s="52">
        <f>AFJ46+BALANCING!AFK29</f>
        <v>80045332.750000238</v>
      </c>
      <c r="AFL46" s="52">
        <f>AFK46+BALANCING!AFL29+2674900-2706179-34000000</f>
        <v>54884053.750000238</v>
      </c>
      <c r="AFM46" s="52">
        <f>AFL46+BALANCING!AFM29</f>
        <v>66424053.750000238</v>
      </c>
      <c r="AFN46" s="52">
        <f>AFM46+BALANCING!AFN29</f>
        <v>74359053.750000238</v>
      </c>
      <c r="AFO46" s="52">
        <f>AFN46+BALANCING!AFO29</f>
        <v>84874053.750000238</v>
      </c>
      <c r="AFP46" s="52">
        <f>AFO46+BALANCING!AFP29</f>
        <v>95013053.750000238</v>
      </c>
      <c r="AFQ46" s="52">
        <f>AFP46+BALANCING!AFQ29-75000000-15000000</f>
        <v>12855053.750000238</v>
      </c>
      <c r="AFR46" s="52">
        <f>AFQ46+BALANCING!AFR29</f>
        <v>21085053.750000238</v>
      </c>
      <c r="AFS46" s="52">
        <f>AFR46+BALANCING!AFS29</f>
        <v>30871053.750000238</v>
      </c>
      <c r="AFT46" s="130"/>
      <c r="AFU46" s="52">
        <f>AFS46+BALANCING!AFU29-39100</f>
        <v>38916953.750000238</v>
      </c>
      <c r="AFV46" s="52">
        <f>AFU46+BALANCING!AFV29</f>
        <v>48719953.750000238</v>
      </c>
      <c r="AFW46" s="52">
        <f>AFV46+BALANCING!AFW29</f>
        <v>58501953.750000238</v>
      </c>
      <c r="AFX46" s="52">
        <f>AFW46+BALANCING!AFX29</f>
        <v>67934953.750000238</v>
      </c>
      <c r="AFY46" s="52">
        <f>AFX46+BALANCING!AFY29</f>
        <v>74984953.750000238</v>
      </c>
      <c r="AFZ46" s="52">
        <f>AFY46+BALANCING!AFZ29</f>
        <v>83716953.750000238</v>
      </c>
      <c r="AGA46" s="52">
        <f>AFZ46+BALANCING!AGA29-55000000</f>
        <v>40600953.750000238</v>
      </c>
      <c r="AGB46" s="52">
        <f>AGA46+BALANCING!AGB29</f>
        <v>52893953.750000238</v>
      </c>
      <c r="AGC46" s="52">
        <f>AGB46+BALANCING!AGC29</f>
        <v>65255953.750000238</v>
      </c>
      <c r="AGD46" s="52">
        <f>AGC46+BALANCING!AGD29</f>
        <v>77618953.750000238</v>
      </c>
      <c r="AGE46" s="52">
        <f>AGD46+BALANCING!AGE29</f>
        <v>89664953.750000238</v>
      </c>
      <c r="AGF46" s="52">
        <f>AGE46+BALANCING!AGF29-52000000-25000000-81500</f>
        <v>23115453.750000238</v>
      </c>
      <c r="AGG46" s="52">
        <f>AGF46+BALANCING!AGG29</f>
        <v>34588453.750000238</v>
      </c>
      <c r="AGH46" s="52">
        <f>AGG46+BALANCING!AGH29</f>
        <v>46231453.750000238</v>
      </c>
      <c r="AGI46" s="52">
        <f>AGH46+BALANCING!AGI29</f>
        <v>57342453.750000238</v>
      </c>
      <c r="AGJ46" s="52">
        <f>AGI46+BALANCING!AGJ29</f>
        <v>67732453.750000238</v>
      </c>
      <c r="AGK46" s="52">
        <f>AGJ46+BALANCING!AGK29</f>
        <v>79568453.750000238</v>
      </c>
      <c r="AGL46" s="52">
        <f>AGK46+BALANCING!AGL29</f>
        <v>91579453.750000238</v>
      </c>
      <c r="AGM46" s="52">
        <f>AGL46+BALANCING!AGM29</f>
        <v>103920453.75000024</v>
      </c>
      <c r="AGN46" s="52">
        <f>AGM46+BALANCING!AGN29-61000000+2833465-2778474-1200000</f>
        <v>55256444.750000238</v>
      </c>
      <c r="AGO46" s="52">
        <f>AGN46+BALANCING!AGO29</f>
        <v>68703444.750000238</v>
      </c>
      <c r="AGP46" s="52">
        <f>AGO46+BALANCING!AGP29</f>
        <v>84531444.750000238</v>
      </c>
      <c r="AGQ46" s="52">
        <f>AGP46+BALANCING!AGQ29</f>
        <v>96199444.750000238</v>
      </c>
      <c r="AGR46" s="52">
        <f>AGQ46+BALANCING!AGR29-42000000-20000000</f>
        <v>45341444.750000238</v>
      </c>
      <c r="AGS46" s="52">
        <f>AGR46+BALANCING!AGS29</f>
        <v>57734444.750000238</v>
      </c>
      <c r="AGT46" s="52">
        <f>AGS46+BALANCING!AGT29</f>
        <v>72013444.750000238</v>
      </c>
      <c r="AGU46" s="52">
        <f>AGT46+BALANCING!AGU29</f>
        <v>85025444.750000238</v>
      </c>
      <c r="AGV46" s="52">
        <f>AGU46+BALANCING!AGV29</f>
        <v>101784444.75000024</v>
      </c>
      <c r="AGW46" s="52">
        <f>AGV46+BALANCING!AGW29-24000000</f>
        <v>93115444.750000238</v>
      </c>
      <c r="AGX46" s="52">
        <f>AGW46+BALANCING!AGX29-60000000</f>
        <v>45796444.750000238</v>
      </c>
      <c r="AGY46" s="139"/>
      <c r="AGZ46" s="52">
        <f>AGX46+BALANCING!AGZ29</f>
        <v>58849444.750000238</v>
      </c>
      <c r="AHA46" s="52">
        <f>AGZ46+BALANCING!AHA29</f>
        <v>72139444.750000238</v>
      </c>
      <c r="AHB46" s="52">
        <f>AHA46+BALANCING!AHB29</f>
        <v>83412444.750000238</v>
      </c>
      <c r="AHC46" s="52">
        <f>AHB46+BALANCING!AHC29</f>
        <v>97484444.750000238</v>
      </c>
      <c r="AHD46" s="52">
        <f>AHC46+BALANCING!AHD29-31000000</f>
        <v>83289444.750000238</v>
      </c>
      <c r="AHE46" s="52">
        <f>AHD46+BALANCING!AHE29-142100</f>
        <v>95488344.750000238</v>
      </c>
      <c r="AHF46" s="52">
        <f>AHE46+BALANCING!AHF29</f>
        <v>107665344.75000024</v>
      </c>
      <c r="AHG46" s="52">
        <f>AHF46+BALANCING!AHG29</f>
        <v>121336344.75000024</v>
      </c>
      <c r="AHH46" s="52">
        <f>AHG46+BALANCING!AHH29</f>
        <v>134104344.75000024</v>
      </c>
      <c r="AHI46" s="52">
        <f>AHH46+BALANCING!AHI29</f>
        <v>146379344.75000024</v>
      </c>
      <c r="AHJ46" s="52">
        <f>AHI46+BALANCING!AHJ29</f>
        <v>159140344.75000024</v>
      </c>
      <c r="AHK46" s="52">
        <f>AHJ46+BALANCING!AHK29-60000000-31000000-2000</f>
        <v>83598344.750000238</v>
      </c>
      <c r="AHL46" s="52">
        <f>AHK46+BALANCING!AHL29+1939000-3076686-81500-1200000</f>
        <v>95495158.750000238</v>
      </c>
      <c r="AHM46" s="52">
        <f>AHL46+BALANCING!AHM29</f>
        <v>106496158.75000024</v>
      </c>
      <c r="AHN46" s="52">
        <f>AHM46+BALANCING!AHN29-62000000</f>
        <v>58031158.750000238</v>
      </c>
      <c r="AHO46" s="52">
        <f>AHN46+BALANCING!AHO29</f>
        <v>70932158.750000238</v>
      </c>
      <c r="AHP46" s="52">
        <f>AHO46+BALANCING!AHP29</f>
        <v>83687158.750000238</v>
      </c>
      <c r="AHQ46" s="52">
        <f>AHP46+BALANCING!AHQ29</f>
        <v>99179158.750000238</v>
      </c>
      <c r="AHR46" s="52">
        <f>AHQ46+BALANCING!AHR29</f>
        <v>115094158.75000024</v>
      </c>
      <c r="AHS46" s="52">
        <f>AHR46+BALANCING!AHS29-550000+872518</f>
        <v>129216676.75000024</v>
      </c>
      <c r="AHT46" s="52">
        <f>AHS46+BALANCING!AHT29</f>
        <v>143073676.75000024</v>
      </c>
      <c r="AHU46" s="52">
        <f>AHT46+BALANCING!AHU29</f>
        <v>158368676.75000024</v>
      </c>
      <c r="AHV46" s="52">
        <f>AHU46+BALANCING!AHV29</f>
        <v>176467676.75000024</v>
      </c>
      <c r="AHW46" s="52">
        <f>AHV46+BALANCING!AHW29-95000000-2400000</f>
        <v>96215676.750000238</v>
      </c>
      <c r="AHX46" s="52">
        <f>AHW46+BALANCING!AHX29</f>
        <v>107886676.75000024</v>
      </c>
      <c r="AHY46" s="52">
        <f>AHX46+BALANCING!AHY29</f>
        <v>118888676.75000024</v>
      </c>
      <c r="AHZ46" s="52">
        <f>AHY46+BALANCING!AHZ29</f>
        <v>129751676.75000024</v>
      </c>
      <c r="AIA46" s="52">
        <f>AHZ46+BALANCING!AIA29-10000000-19000</f>
        <v>128940676.75000024</v>
      </c>
      <c r="AIB46" s="52">
        <f>AIA46+BALANCING!AIB29</f>
        <v>140480676.75000024</v>
      </c>
      <c r="AIC46" s="52">
        <f>AIB46+BALANCING!AIC29</f>
        <v>152294676.75000024</v>
      </c>
      <c r="AID46" s="52">
        <f>AIC46+BALANCING!AID29</f>
        <v>167142676.75000024</v>
      </c>
      <c r="AIE46" s="130"/>
      <c r="AIF46" s="52">
        <f>AID46+BALANCING!AIF29-75000000</f>
        <v>103172676.75000024</v>
      </c>
      <c r="AIG46" s="52">
        <f>AIF46+BALANCING!AIG29</f>
        <v>114952676.75000024</v>
      </c>
      <c r="AIH46" s="52">
        <f>AIG46+BALANCING!AIH29</f>
        <v>127295676.75000024</v>
      </c>
      <c r="AII46" s="52">
        <f>AIH46+BALANCING!AII29</f>
        <v>137499676.75000024</v>
      </c>
      <c r="AIJ46" s="52">
        <f>AII46+BALANCING!AIJ29-45000000</f>
        <v>105139676.75000024</v>
      </c>
      <c r="AIK46" s="52">
        <f>AIJ46+BALANCING!AIK29-41000000</f>
        <v>78356676.750000238</v>
      </c>
      <c r="AIL46" s="52">
        <f>AIK46+BALANCING!AIL29</f>
        <v>87850676.750000238</v>
      </c>
      <c r="AIM46" s="52">
        <f>AIL46+BALANCING!AIM29-8262000</f>
        <v>89481676.750000238</v>
      </c>
      <c r="AIN46" s="52">
        <f>AIM46+BALANCING!AIN29</f>
        <v>101940676.75000024</v>
      </c>
      <c r="AIO46" s="52">
        <f>AIN46+BALANCING!AIO29</f>
        <v>117127676.75000024</v>
      </c>
      <c r="AIP46" s="52">
        <f>AIO46+BALANCING!AIP29+32000</f>
        <v>129653676.75000024</v>
      </c>
      <c r="AIQ46" s="52">
        <f>AIP46+BALANCING!AIQ29</f>
        <v>140175676.75000024</v>
      </c>
      <c r="AIR46" s="52">
        <f>AIQ46+BALANCING!AIR29-43000000-1200000-81500-3596776+3132242</f>
        <v>101780642.75000024</v>
      </c>
      <c r="AIS46" s="52">
        <f>AIR46+BALANCING!AIS29</f>
        <v>114675642.75000024</v>
      </c>
      <c r="AIT46" s="52">
        <f>AIS46+BALANCING!AIT29</f>
        <v>121715642.75000024</v>
      </c>
      <c r="AIU46" s="52">
        <f>AIT46+BALANCING!AIU29</f>
        <v>130583642.75000024</v>
      </c>
      <c r="AIV46" s="52">
        <f>AIU46+BALANCING!AIV29</f>
        <v>136610642.75000024</v>
      </c>
      <c r="AIW46" s="52">
        <f>AIV46+BALANCING!AIW29</f>
        <v>143906642.75000024</v>
      </c>
      <c r="AIX46" s="52">
        <f>AIW46+BALANCING!AIX29-51000000-7000</f>
        <v>104220642.75000024</v>
      </c>
      <c r="AIY46" s="52">
        <f>AIX46+BALANCING!AIY29</f>
        <v>116604642.75000024</v>
      </c>
      <c r="AIZ46" s="52">
        <f>AIY46+BALANCING!AIZ29</f>
        <v>129993642.75000024</v>
      </c>
      <c r="AJA46" s="52">
        <f>AIZ46+BALANCING!AJA29</f>
        <v>141945642.75000024</v>
      </c>
      <c r="AJB46" s="52">
        <f>AJA46+BALANCING!AJB29</f>
        <v>155157642.75000024</v>
      </c>
      <c r="AJC46" s="52">
        <f>AJB46+BALANCING!AJC29</f>
        <v>169011642.75000024</v>
      </c>
      <c r="AJD46" s="52">
        <f>AJC46+BALANCING!AJD29</f>
        <v>180740642.75000024</v>
      </c>
      <c r="AJE46" s="52">
        <f>AJD46+BALANCING!AJE29</f>
        <v>192124642.75000024</v>
      </c>
      <c r="AJF46" s="52">
        <f>AJE46+BALANCING!AJF29</f>
        <v>205301642.75000024</v>
      </c>
      <c r="AJG46" s="52">
        <f>AJF46+BALANCING!AJG29</f>
        <v>216439642.75000024</v>
      </c>
      <c r="AJH46" s="52">
        <f>AJG46+BALANCING!AJH29</f>
        <v>228923642.75000024</v>
      </c>
      <c r="AJI46" s="52">
        <f>AJH46+BALANCING!AJI29-42000000-30000000-22000000</f>
        <v>146578642.75000024</v>
      </c>
      <c r="AJJ46" s="52">
        <f>AJI46+BALANCING!AJJ29</f>
        <v>159669642.75000024</v>
      </c>
      <c r="AJK46" s="145"/>
      <c r="AJL46" s="52">
        <f>AJJ46+BALANCING!AJL29-42000000-15500000</f>
        <v>113103642.75000024</v>
      </c>
      <c r="AJM46" s="52">
        <f>AJL46+BALANCING!AJM29</f>
        <v>126513642.75000024</v>
      </c>
      <c r="AJN46" s="52">
        <f>AJM46+BALANCING!AJN29</f>
        <v>139057642.75000024</v>
      </c>
      <c r="AJO46" s="52">
        <f>AJN46+BALANCING!AJO29</f>
        <v>149500642.75000024</v>
      </c>
      <c r="AJP46" s="52">
        <f>AJO46+BALANCING!AJP29</f>
        <v>162915642.75000024</v>
      </c>
      <c r="AJQ46" s="52">
        <f>AJP46+BALANCING!AJQ29</f>
        <v>174069642.75000024</v>
      </c>
      <c r="AJR46" s="52">
        <f>AJQ46+BALANCING!AJR29</f>
        <v>187386642.75000024</v>
      </c>
      <c r="AJS46" s="52">
        <f>AJR46+BALANCING!AJS29</f>
        <v>199747642.75000024</v>
      </c>
      <c r="AJT46" s="52">
        <f>AJS46+BALANCING!AJT29</f>
        <v>213594642.75000024</v>
      </c>
      <c r="AJU46" s="52">
        <f>AJT46+BALANCING!AJU29</f>
        <v>228583642.75000024</v>
      </c>
      <c r="AJV46" s="52">
        <f>AJU46+BALANCING!AJV29</f>
        <v>241435642.75000024</v>
      </c>
      <c r="AJW46" s="52">
        <f>AJV46+BALANCING!AJW29</f>
        <v>256639642.75000024</v>
      </c>
      <c r="AJX46" s="52">
        <f>AJW46+BALANCING!AJX29</f>
        <v>271946642.75000024</v>
      </c>
      <c r="AJY46" s="52">
        <f>AJX46+BALANCING!AJY29</f>
        <v>284343642.75000024</v>
      </c>
      <c r="AJZ46" s="52">
        <f>AJY46+BALANCING!AJZ29</f>
        <v>295915642.75000024</v>
      </c>
      <c r="AKA46" s="52">
        <f>AJZ46+BALANCING!AKA29</f>
        <v>308081642.75000024</v>
      </c>
      <c r="AKB46" s="52">
        <f>AKA46+BALANCING!AKB29</f>
        <v>320909642.75000024</v>
      </c>
      <c r="AKC46" s="52">
        <f>AKB46+BALANCING!AKC29</f>
        <v>332719642.75000024</v>
      </c>
      <c r="AKD46" s="52">
        <f>AKC46+BALANCING!AKD29</f>
        <v>343590642.75000024</v>
      </c>
      <c r="AKE46" s="52">
        <f>AKD46+BALANCING!AKE29</f>
        <v>354619642.75000024</v>
      </c>
      <c r="AKF46" s="52">
        <f>AKE46+BALANCING!AKF29</f>
        <v>366789642.75000024</v>
      </c>
      <c r="AKG46" s="52">
        <f>AKF46+BALANCING!AKG29</f>
        <v>376611642.75000024</v>
      </c>
      <c r="AKH46" s="52">
        <f>AKG46+BALANCING!AKH29-235335291</f>
        <v>154456351.75000024</v>
      </c>
      <c r="AKI46" s="52">
        <f>AKH46+BALANCING!AKI29</f>
        <v>166322351.75000024</v>
      </c>
      <c r="AKJ46" s="52">
        <f>AKI46+BALANCING!AKJ29</f>
        <v>178803351.75000024</v>
      </c>
      <c r="AKK46" s="52">
        <f>AKJ46+BALANCING!AKK29</f>
        <v>189590351.75000024</v>
      </c>
      <c r="AKL46" s="52">
        <f>AKK46+BALANCING!AKL29-80000000</f>
        <v>121060351.75000024</v>
      </c>
      <c r="AKM46" s="52">
        <f>AKL46+BALANCING!AKM29</f>
        <v>132728351.75000024</v>
      </c>
      <c r="AKN46" s="151"/>
      <c r="AKO46" s="52">
        <f>AKM46+BALANCING!AKO29</f>
        <v>138136351.75000024</v>
      </c>
      <c r="AKP46" s="52">
        <f>AKO46+BALANCING!AKP29</f>
        <v>149960351.75000024</v>
      </c>
      <c r="AKQ46" s="52">
        <f>AKP46+BALANCING!AKQ29-83000000</f>
        <v>78248351.750000238</v>
      </c>
      <c r="AKR46" s="52">
        <f>AKQ46+BALANCING!AKR29</f>
        <v>86089351.750000238</v>
      </c>
      <c r="AKS46" s="52">
        <f>AKR46+BALANCING!AKS29</f>
        <v>97477351.750000238</v>
      </c>
      <c r="AKT46" s="52">
        <f>AKS46+BALANCING!AKT29</f>
        <v>107882351.75000024</v>
      </c>
      <c r="AKU46" s="52">
        <f>AKT46+BALANCING!AKU29</f>
        <v>120344351.75000024</v>
      </c>
      <c r="AKV46" s="52">
        <f>AKU46+BALANCING!AKV29</f>
        <v>133431351.75000024</v>
      </c>
      <c r="AKW46" s="52">
        <f>AKV46+BALANCING!AKW29-94000000-1200000</f>
        <v>49690351.750000238</v>
      </c>
      <c r="AKX46" s="52">
        <f>AKW46+BALANCING!AKX29</f>
        <v>59435351.750000238</v>
      </c>
      <c r="AKY46" s="52">
        <f>AKX46+BALANCING!AKY29</f>
        <v>70526351.750000238</v>
      </c>
      <c r="AKZ46" s="52">
        <f>AKY46+BALANCING!AKZ29</f>
        <v>81906351.750000238</v>
      </c>
      <c r="ALA46" s="52">
        <f>AKZ46+BALANCING!ALA29</f>
        <v>95743351.750000238</v>
      </c>
      <c r="ALB46" s="52">
        <f>ALA46+BALANCING!ALB29</f>
        <v>110280600.75000024</v>
      </c>
      <c r="ALC46" s="52">
        <f>ALB46+BALANCING!ALC29</f>
        <v>123227600.75000024</v>
      </c>
      <c r="ALD46" s="52">
        <f>ALC46+BALANCING!ALD29</f>
        <v>137950600.75000024</v>
      </c>
      <c r="ALE46" s="52">
        <f>ALD46+BALANCING!ALE29</f>
        <v>151667600.75000024</v>
      </c>
      <c r="ALF46" s="52">
        <f>ALE46+BALANCING!ALF29+3279682-3799320-3700000-81500-65000000-15000000</f>
        <v>80016462.750000238</v>
      </c>
      <c r="ALG46" s="52">
        <f>ALF46+BALANCING!ALG29</f>
        <v>93644462.750000238</v>
      </c>
      <c r="ALH46" s="52">
        <f>ALG46+BALANCING!ALH29</f>
        <v>105677462.75000024</v>
      </c>
      <c r="ALI46" s="52">
        <f>ALH46+BALANCING!ALI29</f>
        <v>119926462.75000024</v>
      </c>
      <c r="ALJ46" s="52">
        <f>ALI46+BALANCING!ALJ29</f>
        <v>133369462.75000024</v>
      </c>
      <c r="ALK46" s="52">
        <f>ALJ46+BALANCING!ALK29</f>
        <v>167874462.75000024</v>
      </c>
      <c r="ALL46" s="52">
        <f>ALK46+BALANCING!ALL29-122000000-2000000</f>
        <v>57633462.750000238</v>
      </c>
      <c r="ALM46" s="52">
        <f>ALL46+BALANCING!ALM29</f>
        <v>71898462.750000238</v>
      </c>
      <c r="ALN46" s="52">
        <f>ALM46+BALANCING!ALN29</f>
        <v>85840462.750000238</v>
      </c>
      <c r="ALO46" s="52">
        <f>ALN46+BALANCING!ALO29</f>
        <v>100585462.75000024</v>
      </c>
      <c r="ALP46" s="52">
        <f>ALO46+BALANCING!ALP29</f>
        <v>115706462.75000024</v>
      </c>
      <c r="ALQ46" s="52">
        <f>ALP46+BALANCING!ALQ29</f>
        <v>132152462.75000024</v>
      </c>
      <c r="ALR46" s="52">
        <f>ALQ46+BALANCING!ALR29-30000000-74000000</f>
        <v>44279462.750000238</v>
      </c>
      <c r="ALS46" s="52">
        <f>ALR46+BALANCING!ALS29</f>
        <v>57976462.750000238</v>
      </c>
      <c r="ALT46" s="130"/>
      <c r="ALU46" s="52">
        <f>ALS46+BALANCING!ALU29-11828000-19000000+1000000</f>
        <v>44921462.750000238</v>
      </c>
      <c r="ALV46" s="52">
        <f>ALU46+BALANCING!ALV29+41927</f>
        <v>58853389.750000238</v>
      </c>
      <c r="ALW46" s="52">
        <f>ALV46+BALANCING!ALW29</f>
        <v>71916389.750000238</v>
      </c>
      <c r="ALX46" s="52">
        <f>ALW46+BALANCING!ALX29</f>
        <v>88098389.750000238</v>
      </c>
      <c r="ALY46" s="52">
        <f>ALX46+BALANCING!ALY29</f>
        <v>97485389.750000238</v>
      </c>
      <c r="ALZ46" s="52">
        <f>ALY46+BALANCING!ALZ29</f>
        <v>107721389.75000024</v>
      </c>
      <c r="AMA46" s="52">
        <f>ALZ46+BALANCING!AMA29</f>
        <v>122884389.75000024</v>
      </c>
      <c r="AMB46" s="52">
        <f>AMA46+BALANCING!AMB29-77000000</f>
        <v>60422389.750000238</v>
      </c>
      <c r="AMC46" s="52">
        <f>AMB46+BALANCING!AMC29</f>
        <v>75617389.750000238</v>
      </c>
      <c r="AMD46" s="52">
        <f>AMC46+BALANCING!AMD29</f>
        <v>91500389.750000238</v>
      </c>
      <c r="AME46" s="52">
        <f>AMD46+BALANCING!AME29</f>
        <v>109759389.75000024</v>
      </c>
      <c r="AMF46" s="52">
        <f>AME46+BALANCING!AMF29</f>
        <v>125668389.75000024</v>
      </c>
      <c r="AMG46" s="52">
        <f>AMF46+BALANCING!AMG29-35000000-1200000-81500</f>
        <v>104242889.75000024</v>
      </c>
      <c r="AMH46" s="52">
        <f>AMG46+BALANCING!AMH29-57000000+3661910+3440082-5848919-8050</f>
        <v>61488912.750000238</v>
      </c>
      <c r="AMI46" s="52">
        <f>AMH46+BALANCING!AMI29</f>
        <v>76494912.750000238</v>
      </c>
      <c r="AMJ46" s="52">
        <f>AMI46+BALANCING!AMJ29</f>
        <v>91885912.750000238</v>
      </c>
      <c r="AMK46" s="52">
        <f>AMJ46+BALANCING!AMK29</f>
        <v>106714912.75000024</v>
      </c>
      <c r="AML46" s="52">
        <f>AMK46+BALANCING!AML29</f>
        <v>123664912.75000024</v>
      </c>
      <c r="AMM46" s="52">
        <f>AML46+BALANCING!AMM29</f>
        <v>140092912.75000024</v>
      </c>
      <c r="AMN46" s="52">
        <f>AMM46+BALANCING!AMN29-91000000</f>
        <v>73913912.750000238</v>
      </c>
      <c r="AMO46" s="52">
        <f>AMN46+BALANCING!AMO29</f>
        <v>103545912.75000024</v>
      </c>
      <c r="AMP46" s="52">
        <f>AMO46+BALANCING!AMP29</f>
        <v>125511912.75000024</v>
      </c>
      <c r="AMQ46" s="52">
        <f>AMP46+BALANCING!AMQ29-63000000-38000000-54000000-2000000</f>
        <v>-1707087.2499997616</v>
      </c>
      <c r="AMR46" s="52">
        <f>AMQ46+BALANCING!AMR29</f>
        <v>29337912.750000238</v>
      </c>
      <c r="AMS46" s="52">
        <f>AMR46+BALANCING!AMS29</f>
        <v>61421912.750000238</v>
      </c>
      <c r="AMT46" s="52">
        <f>AMS46+BALANCING!AMT29</f>
        <v>89489912.750000238</v>
      </c>
      <c r="AMU46" s="52">
        <f>AMT46+BALANCING!AMU29</f>
        <v>105392912.75000024</v>
      </c>
      <c r="AMV46" s="52">
        <f>AMU46+BALANCING!AMV29</f>
        <v>120936912.75000024</v>
      </c>
      <c r="AMW46" s="52">
        <f>AMV46+BALANCING!AMW29-50000000-69000000</f>
        <v>28931912.750000238</v>
      </c>
      <c r="AMX46" s="52">
        <f>AMW46+BALANCING!AMX29</f>
        <v>51642912.750000238</v>
      </c>
      <c r="AMY46" s="130"/>
      <c r="AMZ46" s="52">
        <f>AMX46+BALANCING!AMZ29</f>
        <v>65310912.750000238</v>
      </c>
      <c r="ANA46" s="52">
        <f>AMZ46+BALANCING!ANA29</f>
        <v>79915912.750000238</v>
      </c>
      <c r="ANB46" s="52">
        <f>ANA46+BALANCING!ANB29</f>
        <v>92326912.750000238</v>
      </c>
      <c r="ANC46" s="52">
        <f>ANB46+BALANCING!ANC29</f>
        <v>106234912.75000024</v>
      </c>
      <c r="AND46" s="52">
        <f>ANC46+BALANCING!AND29</f>
        <v>120056912.75000024</v>
      </c>
      <c r="ANE46" s="52">
        <f>AND46+BALANCING!ANE29</f>
        <v>135966912.75000024</v>
      </c>
      <c r="ANF46" s="52">
        <f>ANE46+BALANCING!ANF29</f>
        <v>148134912.75000024</v>
      </c>
      <c r="ANG46" s="52">
        <f>ANF46+BALANCING!ANG29</f>
        <v>163410912.75000024</v>
      </c>
      <c r="ANH46" s="52">
        <f>ANG46+BALANCING!ANH29</f>
        <v>180087912.75000024</v>
      </c>
      <c r="ANI46" s="52">
        <f>ANH46+BALANCING!ANI29-44000000-44000000</f>
        <v>106455912.75000024</v>
      </c>
      <c r="ANJ46" s="52">
        <f>ANI46+BALANCING!ANJ29</f>
        <v>121468912.75000024</v>
      </c>
      <c r="ANK46" s="52">
        <f>ANJ46+BALANCING!ANK29</f>
        <v>133952912.75000024</v>
      </c>
      <c r="ANL46" s="52">
        <f>ANK46+BALANCING!ANL29-93686731</f>
        <v>55995181.750000238</v>
      </c>
      <c r="ANM46" s="52">
        <f>ANL46+BALANCING!ANM29</f>
        <v>72838181.750000238</v>
      </c>
      <c r="ANN46" s="52">
        <f>ANM46+BALANCING!ANN29</f>
        <v>90887181.750000238</v>
      </c>
      <c r="ANO46" s="52">
        <f>ANN46+BALANCING!ANO29</f>
        <v>105298181.75000024</v>
      </c>
      <c r="ANP46" s="52">
        <f>ANO46+BALANCING!ANP29</f>
        <v>115408181.75000024</v>
      </c>
      <c r="ANQ46" s="52">
        <f>ANP46+BALANCING!ANQ29</f>
        <v>127984181.75000024</v>
      </c>
      <c r="ANR46" s="52">
        <f>ANQ46+BALANCING!ANR29</f>
        <v>139384181.75000024</v>
      </c>
      <c r="ANS46" s="52">
        <f>ANR46+BALANCING!ANS29</f>
        <v>151403181.75000024</v>
      </c>
      <c r="ANT46" s="52">
        <f>ANS46+BALANCING!ANT29</f>
        <v>162031181.75000024</v>
      </c>
      <c r="ANU46" s="52">
        <f>ANT46+BALANCING!ANU29</f>
        <v>178961181.75000024</v>
      </c>
      <c r="ANV46" s="52">
        <f>ANU46+BALANCING!ANV29</f>
        <v>192413181.75000024</v>
      </c>
      <c r="ANW46" s="52">
        <f>ANV46+BALANCING!ANW29</f>
        <v>204898181.75000024</v>
      </c>
      <c r="ANX46" s="52">
        <f>ANW46+BALANCING!ANX29</f>
        <v>218476181.75000024</v>
      </c>
      <c r="ANY46" s="52">
        <f>ANX46+BALANCING!ANY29</f>
        <v>235059181.75000024</v>
      </c>
      <c r="ANZ46" s="52">
        <f>ANY46+BALANCING!ANZ29-55000000</f>
        <v>192559181.75000024</v>
      </c>
      <c r="AOA46" s="52">
        <f>ANZ46+BALANCING!AOA29</f>
        <v>204537181.75000024</v>
      </c>
      <c r="AOB46" s="52">
        <f>AOA46+BALANCING!AOB29</f>
        <v>220302181.75000024</v>
      </c>
      <c r="AOC46" s="52">
        <f>AOB46+BALANCING!AOC29</f>
        <v>235971181.75000024</v>
      </c>
    </row>
    <row r="47" spans="1:1069" x14ac:dyDescent="0.2">
      <c r="A47" s="160"/>
      <c r="B47" t="s">
        <v>1679</v>
      </c>
      <c r="C47" s="52">
        <v>0</v>
      </c>
      <c r="D47" s="52">
        <v>0</v>
      </c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67">
        <f>SUM(C47:AE47)</f>
        <v>0</v>
      </c>
      <c r="BM47" s="105"/>
      <c r="DX47" s="117"/>
      <c r="FD47" s="126"/>
      <c r="GJ47" s="130"/>
      <c r="HN47" s="130"/>
      <c r="IT47" s="130"/>
      <c r="JY47" s="130"/>
      <c r="LE47" s="130"/>
      <c r="MJ47" s="130"/>
      <c r="NP47" s="130"/>
      <c r="OV47" s="130"/>
      <c r="QA47" s="130"/>
      <c r="RG47" s="130"/>
      <c r="SL47" s="130"/>
      <c r="TR47" s="130"/>
      <c r="UX47" s="130"/>
      <c r="WA47" s="130"/>
      <c r="XG47" s="130"/>
      <c r="YL47" s="130"/>
      <c r="ZR47" s="130"/>
      <c r="AAW47" s="130"/>
      <c r="ACC47" s="130"/>
      <c r="ADI47" s="130"/>
      <c r="AEN47" s="130"/>
      <c r="AFT47" s="130"/>
      <c r="AGY47" s="130"/>
      <c r="AIE47" s="130"/>
      <c r="AJK47" s="145"/>
      <c r="AKN47" s="145"/>
      <c r="ALT47" s="130"/>
      <c r="AMY47" s="130"/>
    </row>
    <row r="48" spans="1:1069" x14ac:dyDescent="0.2">
      <c r="A48" s="160"/>
      <c r="B48" t="s">
        <v>1680</v>
      </c>
      <c r="C48" s="52">
        <v>20000000</v>
      </c>
      <c r="D48" s="52">
        <f t="shared" ref="D48:AH48" si="1148">C48</f>
        <v>20000000</v>
      </c>
      <c r="E48" s="52">
        <f t="shared" si="1148"/>
        <v>20000000</v>
      </c>
      <c r="F48" s="52">
        <f t="shared" si="1148"/>
        <v>20000000</v>
      </c>
      <c r="G48" s="52">
        <f t="shared" si="1148"/>
        <v>20000000</v>
      </c>
      <c r="H48" s="52">
        <f t="shared" si="1148"/>
        <v>20000000</v>
      </c>
      <c r="I48" s="52">
        <f t="shared" si="1148"/>
        <v>20000000</v>
      </c>
      <c r="J48" s="52">
        <f t="shared" si="1148"/>
        <v>20000000</v>
      </c>
      <c r="K48" s="52">
        <f t="shared" si="1148"/>
        <v>20000000</v>
      </c>
      <c r="L48" s="52">
        <f t="shared" si="1148"/>
        <v>20000000</v>
      </c>
      <c r="M48" s="52">
        <f t="shared" si="1148"/>
        <v>20000000</v>
      </c>
      <c r="N48" s="52">
        <f t="shared" si="1148"/>
        <v>20000000</v>
      </c>
      <c r="O48" s="52">
        <f t="shared" si="1148"/>
        <v>20000000</v>
      </c>
      <c r="P48" s="52">
        <f t="shared" si="1148"/>
        <v>20000000</v>
      </c>
      <c r="Q48" s="52">
        <f t="shared" si="1148"/>
        <v>20000000</v>
      </c>
      <c r="R48" s="52">
        <f t="shared" si="1148"/>
        <v>20000000</v>
      </c>
      <c r="S48" s="52">
        <f t="shared" si="1148"/>
        <v>20000000</v>
      </c>
      <c r="T48" s="52">
        <f t="shared" si="1148"/>
        <v>20000000</v>
      </c>
      <c r="U48" s="52">
        <f t="shared" si="1148"/>
        <v>20000000</v>
      </c>
      <c r="V48" s="52">
        <f t="shared" si="1148"/>
        <v>20000000</v>
      </c>
      <c r="W48" s="52">
        <f t="shared" si="1148"/>
        <v>20000000</v>
      </c>
      <c r="X48" s="52">
        <f t="shared" si="1148"/>
        <v>20000000</v>
      </c>
      <c r="Y48" s="52">
        <f t="shared" si="1148"/>
        <v>20000000</v>
      </c>
      <c r="Z48" s="52">
        <f t="shared" si="1148"/>
        <v>20000000</v>
      </c>
      <c r="AA48" s="52">
        <f t="shared" si="1148"/>
        <v>20000000</v>
      </c>
      <c r="AB48" s="52">
        <f t="shared" si="1148"/>
        <v>20000000</v>
      </c>
      <c r="AC48" s="52">
        <f t="shared" si="1148"/>
        <v>20000000</v>
      </c>
      <c r="AD48" s="52">
        <f t="shared" si="1148"/>
        <v>20000000</v>
      </c>
      <c r="AE48" s="52">
        <f t="shared" si="1148"/>
        <v>20000000</v>
      </c>
      <c r="AF48" s="52">
        <f t="shared" si="1148"/>
        <v>20000000</v>
      </c>
      <c r="AG48" s="52">
        <f t="shared" si="1148"/>
        <v>20000000</v>
      </c>
      <c r="AH48" s="98">
        <f t="shared" si="1148"/>
        <v>20000000</v>
      </c>
      <c r="AI48" s="82">
        <f t="shared" ref="AI48:BL48" si="1149">AG48</f>
        <v>20000000</v>
      </c>
      <c r="AJ48" s="82">
        <f t="shared" si="1149"/>
        <v>20000000</v>
      </c>
      <c r="AK48" s="82">
        <f t="shared" si="1149"/>
        <v>20000000</v>
      </c>
      <c r="AL48" s="82">
        <f t="shared" si="1149"/>
        <v>20000000</v>
      </c>
      <c r="AM48" s="82">
        <f t="shared" si="1149"/>
        <v>20000000</v>
      </c>
      <c r="AN48" s="82">
        <f t="shared" si="1149"/>
        <v>20000000</v>
      </c>
      <c r="AO48" s="82">
        <f t="shared" si="1149"/>
        <v>20000000</v>
      </c>
      <c r="AP48" s="82">
        <f t="shared" si="1149"/>
        <v>20000000</v>
      </c>
      <c r="AQ48" s="82">
        <f t="shared" si="1149"/>
        <v>20000000</v>
      </c>
      <c r="AR48" s="82">
        <f t="shared" si="1149"/>
        <v>20000000</v>
      </c>
      <c r="AS48" s="82">
        <f t="shared" si="1149"/>
        <v>20000000</v>
      </c>
      <c r="AT48" s="82">
        <f t="shared" si="1149"/>
        <v>20000000</v>
      </c>
      <c r="AU48" s="82">
        <f t="shared" si="1149"/>
        <v>20000000</v>
      </c>
      <c r="AV48" s="82">
        <f t="shared" si="1149"/>
        <v>20000000</v>
      </c>
      <c r="AW48" s="82">
        <f t="shared" si="1149"/>
        <v>20000000</v>
      </c>
      <c r="AX48" s="82">
        <f t="shared" si="1149"/>
        <v>20000000</v>
      </c>
      <c r="AY48" s="82">
        <f t="shared" si="1149"/>
        <v>20000000</v>
      </c>
      <c r="AZ48" s="82">
        <f t="shared" si="1149"/>
        <v>20000000</v>
      </c>
      <c r="BA48" s="82">
        <f t="shared" si="1149"/>
        <v>20000000</v>
      </c>
      <c r="BB48" s="82">
        <f t="shared" si="1149"/>
        <v>20000000</v>
      </c>
      <c r="BC48" s="82">
        <f t="shared" si="1149"/>
        <v>20000000</v>
      </c>
      <c r="BD48" s="82">
        <f t="shared" si="1149"/>
        <v>20000000</v>
      </c>
      <c r="BE48" s="82">
        <f t="shared" si="1149"/>
        <v>20000000</v>
      </c>
      <c r="BF48" s="82">
        <f t="shared" si="1149"/>
        <v>20000000</v>
      </c>
      <c r="BG48" s="82">
        <f t="shared" si="1149"/>
        <v>20000000</v>
      </c>
      <c r="BH48" s="82">
        <f t="shared" si="1149"/>
        <v>20000000</v>
      </c>
      <c r="BI48" s="82">
        <f t="shared" si="1149"/>
        <v>20000000</v>
      </c>
      <c r="BJ48" s="82">
        <f t="shared" si="1149"/>
        <v>20000000</v>
      </c>
      <c r="BK48" s="82">
        <f t="shared" si="1149"/>
        <v>20000000</v>
      </c>
      <c r="BL48" s="82">
        <f t="shared" si="1149"/>
        <v>20000000</v>
      </c>
      <c r="BM48" s="106">
        <f>BL48</f>
        <v>20000000</v>
      </c>
      <c r="BN48" s="82">
        <f t="shared" ref="BN48:CR48" si="1150">BL48</f>
        <v>20000000</v>
      </c>
      <c r="BO48" s="82">
        <f t="shared" si="1150"/>
        <v>20000000</v>
      </c>
      <c r="BP48" s="82">
        <f t="shared" si="1150"/>
        <v>20000000</v>
      </c>
      <c r="BQ48" s="82">
        <f t="shared" si="1150"/>
        <v>20000000</v>
      </c>
      <c r="BR48" s="82">
        <f t="shared" si="1150"/>
        <v>20000000</v>
      </c>
      <c r="BS48" s="82">
        <f t="shared" si="1150"/>
        <v>20000000</v>
      </c>
      <c r="BT48" s="82">
        <f t="shared" si="1150"/>
        <v>20000000</v>
      </c>
      <c r="BU48" s="82">
        <f t="shared" si="1150"/>
        <v>20000000</v>
      </c>
      <c r="BV48" s="82">
        <f t="shared" si="1150"/>
        <v>20000000</v>
      </c>
      <c r="BW48" s="82">
        <f t="shared" si="1150"/>
        <v>20000000</v>
      </c>
      <c r="BX48" s="82">
        <f t="shared" si="1150"/>
        <v>20000000</v>
      </c>
      <c r="BY48" s="82">
        <f t="shared" si="1150"/>
        <v>20000000</v>
      </c>
      <c r="BZ48" s="82">
        <f t="shared" si="1150"/>
        <v>20000000</v>
      </c>
      <c r="CA48" s="82">
        <f t="shared" si="1150"/>
        <v>20000000</v>
      </c>
      <c r="CB48" s="82">
        <f t="shared" si="1150"/>
        <v>20000000</v>
      </c>
      <c r="CC48" s="82">
        <f t="shared" si="1150"/>
        <v>20000000</v>
      </c>
      <c r="CD48" s="82">
        <f t="shared" si="1150"/>
        <v>20000000</v>
      </c>
      <c r="CE48" s="82">
        <f t="shared" si="1150"/>
        <v>20000000</v>
      </c>
      <c r="CF48" s="82">
        <f t="shared" si="1150"/>
        <v>20000000</v>
      </c>
      <c r="CG48" s="82">
        <f t="shared" si="1150"/>
        <v>20000000</v>
      </c>
      <c r="CH48" s="82">
        <f t="shared" si="1150"/>
        <v>20000000</v>
      </c>
      <c r="CI48" s="82">
        <f t="shared" si="1150"/>
        <v>20000000</v>
      </c>
      <c r="CJ48" s="82">
        <f t="shared" si="1150"/>
        <v>20000000</v>
      </c>
      <c r="CK48" s="82">
        <f t="shared" si="1150"/>
        <v>20000000</v>
      </c>
      <c r="CL48" s="82">
        <f t="shared" si="1150"/>
        <v>20000000</v>
      </c>
      <c r="CM48" s="82">
        <f t="shared" si="1150"/>
        <v>20000000</v>
      </c>
      <c r="CN48" s="82">
        <f t="shared" si="1150"/>
        <v>20000000</v>
      </c>
      <c r="CO48" s="82">
        <f t="shared" si="1150"/>
        <v>20000000</v>
      </c>
      <c r="CP48" s="82">
        <f t="shared" si="1150"/>
        <v>20000000</v>
      </c>
      <c r="CQ48" s="82">
        <f t="shared" si="1150"/>
        <v>20000000</v>
      </c>
      <c r="CR48" s="82">
        <f t="shared" si="1150"/>
        <v>20000000</v>
      </c>
      <c r="CT48" s="82">
        <f>CR48</f>
        <v>20000000</v>
      </c>
      <c r="CU48" s="82">
        <f>CT48</f>
        <v>20000000</v>
      </c>
      <c r="CV48" s="82">
        <f t="shared" ref="CV48:DW48" si="1151">CT48</f>
        <v>20000000</v>
      </c>
      <c r="CW48" s="82">
        <f t="shared" si="1151"/>
        <v>20000000</v>
      </c>
      <c r="CX48" s="82">
        <f t="shared" si="1151"/>
        <v>20000000</v>
      </c>
      <c r="CY48" s="82">
        <f t="shared" si="1151"/>
        <v>20000000</v>
      </c>
      <c r="CZ48" s="82">
        <f t="shared" si="1151"/>
        <v>20000000</v>
      </c>
      <c r="DA48" s="82">
        <f t="shared" si="1151"/>
        <v>20000000</v>
      </c>
      <c r="DB48" s="82">
        <f t="shared" si="1151"/>
        <v>20000000</v>
      </c>
      <c r="DC48" s="82">
        <f t="shared" si="1151"/>
        <v>20000000</v>
      </c>
      <c r="DD48" s="82">
        <f t="shared" si="1151"/>
        <v>20000000</v>
      </c>
      <c r="DE48" s="82">
        <f t="shared" si="1151"/>
        <v>20000000</v>
      </c>
      <c r="DF48" s="82">
        <f t="shared" si="1151"/>
        <v>20000000</v>
      </c>
      <c r="DG48" s="82">
        <f t="shared" si="1151"/>
        <v>20000000</v>
      </c>
      <c r="DH48" s="82">
        <f t="shared" si="1151"/>
        <v>20000000</v>
      </c>
      <c r="DI48" s="82">
        <f t="shared" si="1151"/>
        <v>20000000</v>
      </c>
      <c r="DJ48" s="82">
        <f t="shared" si="1151"/>
        <v>20000000</v>
      </c>
      <c r="DK48" s="82">
        <f t="shared" si="1151"/>
        <v>20000000</v>
      </c>
      <c r="DL48" s="82">
        <f t="shared" si="1151"/>
        <v>20000000</v>
      </c>
      <c r="DM48" s="82">
        <f t="shared" si="1151"/>
        <v>20000000</v>
      </c>
      <c r="DN48" s="82">
        <f t="shared" si="1151"/>
        <v>20000000</v>
      </c>
      <c r="DO48" s="82">
        <f t="shared" si="1151"/>
        <v>20000000</v>
      </c>
      <c r="DP48" s="82">
        <f t="shared" si="1151"/>
        <v>20000000</v>
      </c>
      <c r="DQ48" s="82">
        <f t="shared" si="1151"/>
        <v>20000000</v>
      </c>
      <c r="DR48" s="82">
        <f t="shared" si="1151"/>
        <v>20000000</v>
      </c>
      <c r="DS48" s="82">
        <f t="shared" si="1151"/>
        <v>20000000</v>
      </c>
      <c r="DT48" s="82">
        <f t="shared" si="1151"/>
        <v>20000000</v>
      </c>
      <c r="DU48" s="82">
        <f t="shared" si="1151"/>
        <v>20000000</v>
      </c>
      <c r="DV48" s="82">
        <f t="shared" si="1151"/>
        <v>20000000</v>
      </c>
      <c r="DW48" s="82">
        <f t="shared" si="1151"/>
        <v>20000000</v>
      </c>
      <c r="DX48" s="117"/>
      <c r="DY48" s="82">
        <f>DW48</f>
        <v>20000000</v>
      </c>
      <c r="DZ48" s="82">
        <f>DY48</f>
        <v>20000000</v>
      </c>
      <c r="EA48" s="82">
        <f t="shared" ref="EA48:FC48" si="1152">DY48</f>
        <v>20000000</v>
      </c>
      <c r="EB48" s="82">
        <f t="shared" si="1152"/>
        <v>20000000</v>
      </c>
      <c r="EC48" s="82">
        <f t="shared" si="1152"/>
        <v>20000000</v>
      </c>
      <c r="ED48" s="82">
        <f t="shared" si="1152"/>
        <v>20000000</v>
      </c>
      <c r="EE48" s="82">
        <f t="shared" si="1152"/>
        <v>20000000</v>
      </c>
      <c r="EF48" s="82">
        <f t="shared" si="1152"/>
        <v>20000000</v>
      </c>
      <c r="EG48" s="82">
        <f t="shared" si="1152"/>
        <v>20000000</v>
      </c>
      <c r="EH48" s="82">
        <f t="shared" si="1152"/>
        <v>20000000</v>
      </c>
      <c r="EI48" s="82">
        <f t="shared" si="1152"/>
        <v>20000000</v>
      </c>
      <c r="EJ48" s="82">
        <f t="shared" si="1152"/>
        <v>20000000</v>
      </c>
      <c r="EK48" s="82">
        <f t="shared" si="1152"/>
        <v>20000000</v>
      </c>
      <c r="EL48" s="82">
        <f t="shared" si="1152"/>
        <v>20000000</v>
      </c>
      <c r="EM48" s="82">
        <f t="shared" si="1152"/>
        <v>20000000</v>
      </c>
      <c r="EN48" s="82">
        <f t="shared" si="1152"/>
        <v>20000000</v>
      </c>
      <c r="EO48" s="82">
        <f t="shared" si="1152"/>
        <v>20000000</v>
      </c>
      <c r="EP48" s="82">
        <f t="shared" si="1152"/>
        <v>20000000</v>
      </c>
      <c r="EQ48" s="82">
        <f t="shared" si="1152"/>
        <v>20000000</v>
      </c>
      <c r="ER48" s="82">
        <f t="shared" si="1152"/>
        <v>20000000</v>
      </c>
      <c r="ES48" s="82">
        <f t="shared" si="1152"/>
        <v>20000000</v>
      </c>
      <c r="ET48" s="82">
        <f t="shared" si="1152"/>
        <v>20000000</v>
      </c>
      <c r="EU48" s="82">
        <f t="shared" si="1152"/>
        <v>20000000</v>
      </c>
      <c r="EV48" s="82">
        <f t="shared" si="1152"/>
        <v>20000000</v>
      </c>
      <c r="EW48" s="82">
        <f t="shared" si="1152"/>
        <v>20000000</v>
      </c>
      <c r="EX48" s="82">
        <f t="shared" si="1152"/>
        <v>20000000</v>
      </c>
      <c r="EY48" s="82">
        <f t="shared" si="1152"/>
        <v>20000000</v>
      </c>
      <c r="EZ48" s="82">
        <f t="shared" si="1152"/>
        <v>20000000</v>
      </c>
      <c r="FA48" s="82">
        <f t="shared" si="1152"/>
        <v>20000000</v>
      </c>
      <c r="FB48" s="82">
        <f t="shared" si="1152"/>
        <v>20000000</v>
      </c>
      <c r="FC48" s="82">
        <f t="shared" si="1152"/>
        <v>20000000</v>
      </c>
      <c r="FD48" s="126"/>
      <c r="FE48" s="82">
        <f>FC48</f>
        <v>20000000</v>
      </c>
      <c r="FF48" s="82">
        <f>FE48</f>
        <v>20000000</v>
      </c>
      <c r="FG48" s="82">
        <f t="shared" ref="FG48:GI48" si="1153">FE48</f>
        <v>20000000</v>
      </c>
      <c r="FH48" s="82">
        <f t="shared" si="1153"/>
        <v>20000000</v>
      </c>
      <c r="FI48" s="82">
        <f t="shared" si="1153"/>
        <v>20000000</v>
      </c>
      <c r="FJ48" s="82">
        <f t="shared" si="1153"/>
        <v>20000000</v>
      </c>
      <c r="FK48" s="82">
        <f t="shared" si="1153"/>
        <v>20000000</v>
      </c>
      <c r="FL48" s="82">
        <f t="shared" si="1153"/>
        <v>20000000</v>
      </c>
      <c r="FM48" s="82">
        <f t="shared" si="1153"/>
        <v>20000000</v>
      </c>
      <c r="FN48" s="82">
        <f t="shared" si="1153"/>
        <v>20000000</v>
      </c>
      <c r="FO48" s="82">
        <f t="shared" si="1153"/>
        <v>20000000</v>
      </c>
      <c r="FP48" s="82">
        <f t="shared" si="1153"/>
        <v>20000000</v>
      </c>
      <c r="FQ48" s="82">
        <f t="shared" si="1153"/>
        <v>20000000</v>
      </c>
      <c r="FR48" s="82">
        <f t="shared" si="1153"/>
        <v>20000000</v>
      </c>
      <c r="FS48" s="82">
        <f t="shared" si="1153"/>
        <v>20000000</v>
      </c>
      <c r="FT48" s="82">
        <f t="shared" si="1153"/>
        <v>20000000</v>
      </c>
      <c r="FU48" s="82">
        <f t="shared" si="1153"/>
        <v>20000000</v>
      </c>
      <c r="FV48" s="82">
        <f t="shared" si="1153"/>
        <v>20000000</v>
      </c>
      <c r="FW48" s="82">
        <f t="shared" si="1153"/>
        <v>20000000</v>
      </c>
      <c r="FX48" s="82">
        <f t="shared" si="1153"/>
        <v>20000000</v>
      </c>
      <c r="FY48" s="82">
        <f t="shared" si="1153"/>
        <v>20000000</v>
      </c>
      <c r="FZ48" s="82">
        <f t="shared" si="1153"/>
        <v>20000000</v>
      </c>
      <c r="GA48" s="82">
        <f t="shared" si="1153"/>
        <v>20000000</v>
      </c>
      <c r="GB48" s="82">
        <f t="shared" si="1153"/>
        <v>20000000</v>
      </c>
      <c r="GC48" s="82">
        <f t="shared" si="1153"/>
        <v>20000000</v>
      </c>
      <c r="GD48" s="82">
        <f t="shared" si="1153"/>
        <v>20000000</v>
      </c>
      <c r="GE48" s="82">
        <f t="shared" si="1153"/>
        <v>20000000</v>
      </c>
      <c r="GF48" s="82">
        <f t="shared" si="1153"/>
        <v>20000000</v>
      </c>
      <c r="GG48" s="82">
        <f t="shared" si="1153"/>
        <v>20000000</v>
      </c>
      <c r="GH48" s="82">
        <f t="shared" si="1153"/>
        <v>20000000</v>
      </c>
      <c r="GI48" s="82">
        <f t="shared" si="1153"/>
        <v>20000000</v>
      </c>
      <c r="GJ48" s="130"/>
      <c r="GK48" s="82">
        <f>GI48</f>
        <v>20000000</v>
      </c>
      <c r="GL48" s="82">
        <f>GK48</f>
        <v>20000000</v>
      </c>
      <c r="GM48" s="82">
        <f t="shared" ref="GM48:HM48" si="1154">GK48</f>
        <v>20000000</v>
      </c>
      <c r="GN48" s="82">
        <f t="shared" si="1154"/>
        <v>20000000</v>
      </c>
      <c r="GO48" s="82">
        <f t="shared" si="1154"/>
        <v>20000000</v>
      </c>
      <c r="GP48" s="82">
        <f t="shared" si="1154"/>
        <v>20000000</v>
      </c>
      <c r="GQ48" s="82">
        <f t="shared" si="1154"/>
        <v>20000000</v>
      </c>
      <c r="GR48" s="82">
        <f t="shared" si="1154"/>
        <v>20000000</v>
      </c>
      <c r="GS48" s="82">
        <f t="shared" si="1154"/>
        <v>20000000</v>
      </c>
      <c r="GT48" s="82">
        <f t="shared" si="1154"/>
        <v>20000000</v>
      </c>
      <c r="GU48" s="82">
        <f t="shared" si="1154"/>
        <v>20000000</v>
      </c>
      <c r="GV48" s="82">
        <f t="shared" si="1154"/>
        <v>20000000</v>
      </c>
      <c r="GW48" s="82">
        <f t="shared" si="1154"/>
        <v>20000000</v>
      </c>
      <c r="GX48" s="82">
        <f t="shared" si="1154"/>
        <v>20000000</v>
      </c>
      <c r="GY48" s="82">
        <f t="shared" si="1154"/>
        <v>20000000</v>
      </c>
      <c r="GZ48" s="82">
        <f t="shared" si="1154"/>
        <v>20000000</v>
      </c>
      <c r="HA48" s="82">
        <f t="shared" si="1154"/>
        <v>20000000</v>
      </c>
      <c r="HB48" s="82">
        <f t="shared" si="1154"/>
        <v>20000000</v>
      </c>
      <c r="HC48" s="82">
        <f t="shared" si="1154"/>
        <v>20000000</v>
      </c>
      <c r="HD48" s="82">
        <f t="shared" si="1154"/>
        <v>20000000</v>
      </c>
      <c r="HE48" s="82">
        <f t="shared" si="1154"/>
        <v>20000000</v>
      </c>
      <c r="HF48" s="82">
        <f t="shared" si="1154"/>
        <v>20000000</v>
      </c>
      <c r="HG48" s="82">
        <f t="shared" si="1154"/>
        <v>20000000</v>
      </c>
      <c r="HH48" s="82">
        <f t="shared" si="1154"/>
        <v>20000000</v>
      </c>
      <c r="HI48" s="82">
        <f t="shared" si="1154"/>
        <v>20000000</v>
      </c>
      <c r="HJ48" s="82">
        <f t="shared" si="1154"/>
        <v>20000000</v>
      </c>
      <c r="HK48" s="82">
        <f t="shared" si="1154"/>
        <v>20000000</v>
      </c>
      <c r="HL48" s="82">
        <f t="shared" si="1154"/>
        <v>20000000</v>
      </c>
      <c r="HM48" s="82">
        <f t="shared" si="1154"/>
        <v>20000000</v>
      </c>
      <c r="HN48" s="130"/>
      <c r="HO48" s="82">
        <f>HM48</f>
        <v>20000000</v>
      </c>
      <c r="HP48" s="82">
        <f>HO48</f>
        <v>20000000</v>
      </c>
      <c r="HQ48" s="82">
        <f t="shared" ref="HQ48:IS48" si="1155">HO48</f>
        <v>20000000</v>
      </c>
      <c r="HR48" s="82">
        <f t="shared" si="1155"/>
        <v>20000000</v>
      </c>
      <c r="HS48" s="82">
        <f t="shared" si="1155"/>
        <v>20000000</v>
      </c>
      <c r="HT48" s="82">
        <f t="shared" si="1155"/>
        <v>20000000</v>
      </c>
      <c r="HU48" s="82">
        <f t="shared" si="1155"/>
        <v>20000000</v>
      </c>
      <c r="HV48" s="82">
        <f t="shared" si="1155"/>
        <v>20000000</v>
      </c>
      <c r="HW48" s="82">
        <f t="shared" si="1155"/>
        <v>20000000</v>
      </c>
      <c r="HX48" s="82">
        <f t="shared" si="1155"/>
        <v>20000000</v>
      </c>
      <c r="HY48" s="82">
        <f t="shared" si="1155"/>
        <v>20000000</v>
      </c>
      <c r="HZ48" s="82">
        <f t="shared" si="1155"/>
        <v>20000000</v>
      </c>
      <c r="IA48" s="82">
        <f t="shared" si="1155"/>
        <v>20000000</v>
      </c>
      <c r="IB48" s="82">
        <f t="shared" si="1155"/>
        <v>20000000</v>
      </c>
      <c r="IC48" s="82">
        <f t="shared" si="1155"/>
        <v>20000000</v>
      </c>
      <c r="ID48" s="82">
        <f t="shared" si="1155"/>
        <v>20000000</v>
      </c>
      <c r="IE48" s="82">
        <f t="shared" si="1155"/>
        <v>20000000</v>
      </c>
      <c r="IF48" s="82">
        <f t="shared" si="1155"/>
        <v>20000000</v>
      </c>
      <c r="IG48" s="82">
        <f t="shared" si="1155"/>
        <v>20000000</v>
      </c>
      <c r="IH48" s="82">
        <f t="shared" si="1155"/>
        <v>20000000</v>
      </c>
      <c r="II48" s="82">
        <f t="shared" si="1155"/>
        <v>20000000</v>
      </c>
      <c r="IJ48" s="82">
        <f t="shared" si="1155"/>
        <v>20000000</v>
      </c>
      <c r="IK48" s="82">
        <f t="shared" si="1155"/>
        <v>20000000</v>
      </c>
      <c r="IL48" s="82">
        <f t="shared" si="1155"/>
        <v>20000000</v>
      </c>
      <c r="IM48" s="82">
        <f t="shared" si="1155"/>
        <v>20000000</v>
      </c>
      <c r="IN48" s="82">
        <f t="shared" si="1155"/>
        <v>20000000</v>
      </c>
      <c r="IO48" s="82">
        <f t="shared" si="1155"/>
        <v>20000000</v>
      </c>
      <c r="IP48" s="82">
        <f t="shared" si="1155"/>
        <v>20000000</v>
      </c>
      <c r="IQ48" s="82">
        <f t="shared" si="1155"/>
        <v>20000000</v>
      </c>
      <c r="IR48" s="82">
        <f t="shared" si="1155"/>
        <v>20000000</v>
      </c>
      <c r="IS48" s="82">
        <f t="shared" si="1155"/>
        <v>20000000</v>
      </c>
      <c r="IT48" s="130"/>
      <c r="IU48" s="82">
        <f>IS48</f>
        <v>20000000</v>
      </c>
      <c r="IV48" s="82">
        <f t="shared" ref="IV48:JX48" si="1156">IU48</f>
        <v>20000000</v>
      </c>
      <c r="IW48" s="82">
        <f t="shared" si="1156"/>
        <v>20000000</v>
      </c>
      <c r="IX48" s="82">
        <f t="shared" si="1156"/>
        <v>20000000</v>
      </c>
      <c r="IY48" s="82">
        <f t="shared" si="1156"/>
        <v>20000000</v>
      </c>
      <c r="IZ48" s="82">
        <f t="shared" si="1156"/>
        <v>20000000</v>
      </c>
      <c r="JA48" s="82">
        <f t="shared" si="1156"/>
        <v>20000000</v>
      </c>
      <c r="JB48" s="82">
        <f t="shared" si="1156"/>
        <v>20000000</v>
      </c>
      <c r="JC48" s="82">
        <f t="shared" si="1156"/>
        <v>20000000</v>
      </c>
      <c r="JD48" s="82">
        <f t="shared" si="1156"/>
        <v>20000000</v>
      </c>
      <c r="JE48" s="82">
        <f t="shared" si="1156"/>
        <v>20000000</v>
      </c>
      <c r="JF48" s="82">
        <f t="shared" si="1156"/>
        <v>20000000</v>
      </c>
      <c r="JG48" s="82">
        <f t="shared" si="1156"/>
        <v>20000000</v>
      </c>
      <c r="JH48" s="82">
        <f t="shared" si="1156"/>
        <v>20000000</v>
      </c>
      <c r="JI48" s="82">
        <f t="shared" si="1156"/>
        <v>20000000</v>
      </c>
      <c r="JJ48" s="82">
        <f t="shared" si="1156"/>
        <v>20000000</v>
      </c>
      <c r="JK48" s="82">
        <f t="shared" si="1156"/>
        <v>20000000</v>
      </c>
      <c r="JL48" s="82">
        <f t="shared" si="1156"/>
        <v>20000000</v>
      </c>
      <c r="JM48" s="82">
        <f t="shared" si="1156"/>
        <v>20000000</v>
      </c>
      <c r="JN48" s="82">
        <f t="shared" si="1156"/>
        <v>20000000</v>
      </c>
      <c r="JO48" s="82">
        <f t="shared" si="1156"/>
        <v>20000000</v>
      </c>
      <c r="JP48" s="82">
        <f t="shared" si="1156"/>
        <v>20000000</v>
      </c>
      <c r="JQ48" s="82">
        <f t="shared" si="1156"/>
        <v>20000000</v>
      </c>
      <c r="JR48" s="82">
        <f t="shared" si="1156"/>
        <v>20000000</v>
      </c>
      <c r="JS48" s="82">
        <f t="shared" si="1156"/>
        <v>20000000</v>
      </c>
      <c r="JT48" s="82">
        <f t="shared" si="1156"/>
        <v>20000000</v>
      </c>
      <c r="JU48" s="82">
        <f t="shared" si="1156"/>
        <v>20000000</v>
      </c>
      <c r="JV48" s="82">
        <f t="shared" si="1156"/>
        <v>20000000</v>
      </c>
      <c r="JW48" s="82">
        <f t="shared" si="1156"/>
        <v>20000000</v>
      </c>
      <c r="JX48" s="82">
        <f t="shared" si="1156"/>
        <v>20000000</v>
      </c>
      <c r="JY48" s="133"/>
      <c r="JZ48" s="82">
        <f>JX48</f>
        <v>20000000</v>
      </c>
      <c r="KA48" s="82">
        <f>JZ48</f>
        <v>20000000</v>
      </c>
      <c r="KB48" s="82">
        <f t="shared" ref="KB48:LD48" si="1157">JZ48</f>
        <v>20000000</v>
      </c>
      <c r="KC48" s="82">
        <f t="shared" si="1157"/>
        <v>20000000</v>
      </c>
      <c r="KD48" s="82">
        <f t="shared" si="1157"/>
        <v>20000000</v>
      </c>
      <c r="KE48" s="82">
        <f t="shared" si="1157"/>
        <v>20000000</v>
      </c>
      <c r="KF48" s="82">
        <f t="shared" si="1157"/>
        <v>20000000</v>
      </c>
      <c r="KG48" s="82">
        <f t="shared" si="1157"/>
        <v>20000000</v>
      </c>
      <c r="KH48" s="82">
        <f t="shared" si="1157"/>
        <v>20000000</v>
      </c>
      <c r="KI48" s="82">
        <f t="shared" si="1157"/>
        <v>20000000</v>
      </c>
      <c r="KJ48" s="82">
        <f t="shared" si="1157"/>
        <v>20000000</v>
      </c>
      <c r="KK48" s="82">
        <f t="shared" si="1157"/>
        <v>20000000</v>
      </c>
      <c r="KL48" s="82">
        <f t="shared" si="1157"/>
        <v>20000000</v>
      </c>
      <c r="KM48" s="82">
        <f t="shared" si="1157"/>
        <v>20000000</v>
      </c>
      <c r="KN48" s="82">
        <f t="shared" si="1157"/>
        <v>20000000</v>
      </c>
      <c r="KO48" s="82">
        <f t="shared" si="1157"/>
        <v>20000000</v>
      </c>
      <c r="KP48" s="82">
        <f t="shared" si="1157"/>
        <v>20000000</v>
      </c>
      <c r="KQ48" s="82">
        <f t="shared" si="1157"/>
        <v>20000000</v>
      </c>
      <c r="KR48" s="82">
        <f t="shared" si="1157"/>
        <v>20000000</v>
      </c>
      <c r="KS48" s="82">
        <f t="shared" si="1157"/>
        <v>20000000</v>
      </c>
      <c r="KT48" s="82">
        <f t="shared" si="1157"/>
        <v>20000000</v>
      </c>
      <c r="KU48" s="82">
        <f t="shared" si="1157"/>
        <v>20000000</v>
      </c>
      <c r="KV48" s="82">
        <f t="shared" si="1157"/>
        <v>20000000</v>
      </c>
      <c r="KW48" s="82">
        <f t="shared" si="1157"/>
        <v>20000000</v>
      </c>
      <c r="KX48" s="82">
        <f t="shared" si="1157"/>
        <v>20000000</v>
      </c>
      <c r="KY48" s="82">
        <f t="shared" si="1157"/>
        <v>20000000</v>
      </c>
      <c r="KZ48" s="82">
        <f t="shared" si="1157"/>
        <v>20000000</v>
      </c>
      <c r="LA48" s="82">
        <f t="shared" si="1157"/>
        <v>20000000</v>
      </c>
      <c r="LB48" s="82">
        <f t="shared" si="1157"/>
        <v>20000000</v>
      </c>
      <c r="LC48" s="82">
        <f t="shared" si="1157"/>
        <v>20000000</v>
      </c>
      <c r="LD48" s="82">
        <f t="shared" si="1157"/>
        <v>20000000</v>
      </c>
      <c r="LE48" s="130"/>
      <c r="LF48" s="82">
        <f>LD48</f>
        <v>20000000</v>
      </c>
      <c r="LG48" s="82">
        <f t="shared" ref="LG48:MI48" si="1158">LF48</f>
        <v>20000000</v>
      </c>
      <c r="LH48" s="82">
        <f t="shared" si="1158"/>
        <v>20000000</v>
      </c>
      <c r="LI48" s="82">
        <f t="shared" si="1158"/>
        <v>20000000</v>
      </c>
      <c r="LJ48" s="82">
        <f t="shared" si="1158"/>
        <v>20000000</v>
      </c>
      <c r="LK48" s="82">
        <f t="shared" si="1158"/>
        <v>20000000</v>
      </c>
      <c r="LL48" s="82">
        <f t="shared" si="1158"/>
        <v>20000000</v>
      </c>
      <c r="LM48" s="82">
        <f t="shared" si="1158"/>
        <v>20000000</v>
      </c>
      <c r="LN48" s="82">
        <f t="shared" si="1158"/>
        <v>20000000</v>
      </c>
      <c r="LO48" s="82">
        <f t="shared" si="1158"/>
        <v>20000000</v>
      </c>
      <c r="LP48" s="82">
        <f t="shared" si="1158"/>
        <v>20000000</v>
      </c>
      <c r="LQ48" s="82">
        <f t="shared" si="1158"/>
        <v>20000000</v>
      </c>
      <c r="LR48" s="82">
        <f t="shared" si="1158"/>
        <v>20000000</v>
      </c>
      <c r="LS48" s="82">
        <f t="shared" si="1158"/>
        <v>20000000</v>
      </c>
      <c r="LT48" s="82">
        <f t="shared" si="1158"/>
        <v>20000000</v>
      </c>
      <c r="LU48" s="82">
        <f t="shared" si="1158"/>
        <v>20000000</v>
      </c>
      <c r="LV48" s="82">
        <f t="shared" si="1158"/>
        <v>20000000</v>
      </c>
      <c r="LW48" s="82">
        <f t="shared" si="1158"/>
        <v>20000000</v>
      </c>
      <c r="LX48" s="82">
        <f t="shared" si="1158"/>
        <v>20000000</v>
      </c>
      <c r="LY48" s="82">
        <f t="shared" si="1158"/>
        <v>20000000</v>
      </c>
      <c r="LZ48" s="82">
        <f t="shared" si="1158"/>
        <v>20000000</v>
      </c>
      <c r="MA48" s="82">
        <f t="shared" si="1158"/>
        <v>20000000</v>
      </c>
      <c r="MB48" s="82">
        <f t="shared" si="1158"/>
        <v>20000000</v>
      </c>
      <c r="MC48" s="82">
        <f t="shared" si="1158"/>
        <v>20000000</v>
      </c>
      <c r="MD48" s="82">
        <f t="shared" si="1158"/>
        <v>20000000</v>
      </c>
      <c r="ME48" s="82">
        <f t="shared" si="1158"/>
        <v>20000000</v>
      </c>
      <c r="MF48" s="82">
        <f t="shared" si="1158"/>
        <v>20000000</v>
      </c>
      <c r="MG48" s="82">
        <f t="shared" si="1158"/>
        <v>20000000</v>
      </c>
      <c r="MH48" s="82">
        <f t="shared" si="1158"/>
        <v>20000000</v>
      </c>
      <c r="MI48" s="82">
        <f t="shared" si="1158"/>
        <v>20000000</v>
      </c>
      <c r="MJ48" s="133"/>
      <c r="MK48" s="82">
        <f>MI48</f>
        <v>20000000</v>
      </c>
      <c r="ML48" s="82">
        <f>MK48</f>
        <v>20000000</v>
      </c>
      <c r="MM48" s="82">
        <f t="shared" ref="MM48:NO48" si="1159">MK48</f>
        <v>20000000</v>
      </c>
      <c r="MN48" s="82">
        <f t="shared" si="1159"/>
        <v>20000000</v>
      </c>
      <c r="MO48" s="82">
        <f t="shared" si="1159"/>
        <v>20000000</v>
      </c>
      <c r="MP48" s="82">
        <f t="shared" si="1159"/>
        <v>20000000</v>
      </c>
      <c r="MQ48" s="82">
        <f t="shared" si="1159"/>
        <v>20000000</v>
      </c>
      <c r="MR48" s="82">
        <f t="shared" si="1159"/>
        <v>20000000</v>
      </c>
      <c r="MS48" s="82">
        <f t="shared" si="1159"/>
        <v>20000000</v>
      </c>
      <c r="MT48" s="82">
        <f t="shared" si="1159"/>
        <v>20000000</v>
      </c>
      <c r="MU48" s="82">
        <f t="shared" si="1159"/>
        <v>20000000</v>
      </c>
      <c r="MV48" s="82">
        <f t="shared" si="1159"/>
        <v>20000000</v>
      </c>
      <c r="MW48" s="82">
        <f t="shared" si="1159"/>
        <v>20000000</v>
      </c>
      <c r="MX48" s="82">
        <f t="shared" si="1159"/>
        <v>20000000</v>
      </c>
      <c r="MY48" s="82">
        <f t="shared" si="1159"/>
        <v>20000000</v>
      </c>
      <c r="MZ48" s="82">
        <f t="shared" si="1159"/>
        <v>20000000</v>
      </c>
      <c r="NA48" s="82">
        <f t="shared" si="1159"/>
        <v>20000000</v>
      </c>
      <c r="NB48" s="82">
        <f t="shared" si="1159"/>
        <v>20000000</v>
      </c>
      <c r="NC48" s="82">
        <f t="shared" si="1159"/>
        <v>20000000</v>
      </c>
      <c r="ND48" s="82">
        <f t="shared" si="1159"/>
        <v>20000000</v>
      </c>
      <c r="NE48" s="82">
        <f t="shared" si="1159"/>
        <v>20000000</v>
      </c>
      <c r="NF48" s="82">
        <f t="shared" si="1159"/>
        <v>20000000</v>
      </c>
      <c r="NG48" s="82">
        <f t="shared" si="1159"/>
        <v>20000000</v>
      </c>
      <c r="NH48" s="82">
        <f t="shared" si="1159"/>
        <v>20000000</v>
      </c>
      <c r="NI48" s="82">
        <f t="shared" si="1159"/>
        <v>20000000</v>
      </c>
      <c r="NJ48" s="82">
        <f t="shared" si="1159"/>
        <v>20000000</v>
      </c>
      <c r="NK48" s="82">
        <f t="shared" si="1159"/>
        <v>20000000</v>
      </c>
      <c r="NL48" s="82">
        <f t="shared" si="1159"/>
        <v>20000000</v>
      </c>
      <c r="NM48" s="82">
        <f t="shared" si="1159"/>
        <v>20000000</v>
      </c>
      <c r="NN48" s="82">
        <f t="shared" si="1159"/>
        <v>20000000</v>
      </c>
      <c r="NO48" s="82">
        <f t="shared" si="1159"/>
        <v>20000000</v>
      </c>
      <c r="NP48" s="133"/>
      <c r="NQ48" s="82">
        <f>NO48</f>
        <v>20000000</v>
      </c>
      <c r="NR48" s="82">
        <f>NQ48</f>
        <v>20000000</v>
      </c>
      <c r="NS48" s="82">
        <f t="shared" ref="NS48:OU48" si="1160">NQ48</f>
        <v>20000000</v>
      </c>
      <c r="NT48" s="82">
        <f t="shared" si="1160"/>
        <v>20000000</v>
      </c>
      <c r="NU48" s="82">
        <f t="shared" si="1160"/>
        <v>20000000</v>
      </c>
      <c r="NV48" s="82">
        <f t="shared" si="1160"/>
        <v>20000000</v>
      </c>
      <c r="NW48" s="82">
        <f t="shared" si="1160"/>
        <v>20000000</v>
      </c>
      <c r="NX48" s="82">
        <f t="shared" si="1160"/>
        <v>20000000</v>
      </c>
      <c r="NY48" s="82">
        <f t="shared" si="1160"/>
        <v>20000000</v>
      </c>
      <c r="NZ48" s="82">
        <f t="shared" si="1160"/>
        <v>20000000</v>
      </c>
      <c r="OA48" s="82">
        <f t="shared" si="1160"/>
        <v>20000000</v>
      </c>
      <c r="OB48" s="82">
        <f t="shared" si="1160"/>
        <v>20000000</v>
      </c>
      <c r="OC48" s="82">
        <f t="shared" si="1160"/>
        <v>20000000</v>
      </c>
      <c r="OD48" s="82">
        <f t="shared" si="1160"/>
        <v>20000000</v>
      </c>
      <c r="OE48" s="82">
        <f t="shared" si="1160"/>
        <v>20000000</v>
      </c>
      <c r="OF48" s="82">
        <f t="shared" si="1160"/>
        <v>20000000</v>
      </c>
      <c r="OG48" s="82">
        <f t="shared" si="1160"/>
        <v>20000000</v>
      </c>
      <c r="OH48" s="82">
        <f t="shared" si="1160"/>
        <v>20000000</v>
      </c>
      <c r="OI48" s="82">
        <f t="shared" si="1160"/>
        <v>20000000</v>
      </c>
      <c r="OJ48" s="82">
        <f t="shared" si="1160"/>
        <v>20000000</v>
      </c>
      <c r="OK48" s="82">
        <f t="shared" si="1160"/>
        <v>20000000</v>
      </c>
      <c r="OL48" s="82">
        <f t="shared" si="1160"/>
        <v>20000000</v>
      </c>
      <c r="OM48" s="82">
        <f t="shared" si="1160"/>
        <v>20000000</v>
      </c>
      <c r="ON48" s="82">
        <f t="shared" si="1160"/>
        <v>20000000</v>
      </c>
      <c r="OO48" s="82">
        <f t="shared" si="1160"/>
        <v>20000000</v>
      </c>
      <c r="OP48" s="82">
        <f t="shared" si="1160"/>
        <v>20000000</v>
      </c>
      <c r="OQ48" s="82">
        <f t="shared" si="1160"/>
        <v>20000000</v>
      </c>
      <c r="OR48" s="82">
        <f t="shared" si="1160"/>
        <v>20000000</v>
      </c>
      <c r="OS48" s="82">
        <f t="shared" si="1160"/>
        <v>20000000</v>
      </c>
      <c r="OT48" s="82">
        <f t="shared" si="1160"/>
        <v>20000000</v>
      </c>
      <c r="OU48" s="82">
        <f t="shared" si="1160"/>
        <v>20000000</v>
      </c>
      <c r="OV48" s="130"/>
      <c r="OW48" s="82">
        <f>OU48</f>
        <v>20000000</v>
      </c>
      <c r="OX48" s="82">
        <f>OW48</f>
        <v>20000000</v>
      </c>
      <c r="OY48" s="82">
        <f t="shared" ref="OY48:PZ48" si="1161">OW48</f>
        <v>20000000</v>
      </c>
      <c r="OZ48" s="82">
        <f t="shared" si="1161"/>
        <v>20000000</v>
      </c>
      <c r="PA48" s="82">
        <f t="shared" si="1161"/>
        <v>20000000</v>
      </c>
      <c r="PB48" s="82">
        <f t="shared" si="1161"/>
        <v>20000000</v>
      </c>
      <c r="PC48" s="82">
        <f t="shared" si="1161"/>
        <v>20000000</v>
      </c>
      <c r="PD48" s="82">
        <f t="shared" si="1161"/>
        <v>20000000</v>
      </c>
      <c r="PE48" s="82">
        <f t="shared" si="1161"/>
        <v>20000000</v>
      </c>
      <c r="PF48" s="82">
        <f t="shared" si="1161"/>
        <v>20000000</v>
      </c>
      <c r="PG48" s="82">
        <f t="shared" si="1161"/>
        <v>20000000</v>
      </c>
      <c r="PH48" s="82">
        <f t="shared" si="1161"/>
        <v>20000000</v>
      </c>
      <c r="PI48" s="82">
        <f t="shared" si="1161"/>
        <v>20000000</v>
      </c>
      <c r="PJ48" s="82">
        <f t="shared" si="1161"/>
        <v>20000000</v>
      </c>
      <c r="PK48" s="82">
        <f t="shared" si="1161"/>
        <v>20000000</v>
      </c>
      <c r="PL48" s="82">
        <f t="shared" si="1161"/>
        <v>20000000</v>
      </c>
      <c r="PM48" s="82">
        <f t="shared" si="1161"/>
        <v>20000000</v>
      </c>
      <c r="PN48" s="82">
        <f t="shared" si="1161"/>
        <v>20000000</v>
      </c>
      <c r="PO48" s="82">
        <f t="shared" si="1161"/>
        <v>20000000</v>
      </c>
      <c r="PP48" s="82">
        <f t="shared" si="1161"/>
        <v>20000000</v>
      </c>
      <c r="PQ48" s="82">
        <f t="shared" si="1161"/>
        <v>20000000</v>
      </c>
      <c r="PR48" s="82">
        <f t="shared" si="1161"/>
        <v>20000000</v>
      </c>
      <c r="PS48" s="82">
        <f t="shared" si="1161"/>
        <v>20000000</v>
      </c>
      <c r="PT48" s="82">
        <f t="shared" si="1161"/>
        <v>20000000</v>
      </c>
      <c r="PU48" s="82">
        <f t="shared" si="1161"/>
        <v>20000000</v>
      </c>
      <c r="PV48" s="82">
        <f t="shared" si="1161"/>
        <v>20000000</v>
      </c>
      <c r="PW48" s="82">
        <f t="shared" si="1161"/>
        <v>20000000</v>
      </c>
      <c r="PX48" s="82">
        <f t="shared" si="1161"/>
        <v>20000000</v>
      </c>
      <c r="PY48" s="82">
        <f t="shared" si="1161"/>
        <v>20000000</v>
      </c>
      <c r="PZ48" s="82">
        <f t="shared" si="1161"/>
        <v>20000000</v>
      </c>
      <c r="QA48" s="130"/>
      <c r="QB48" s="82">
        <f>PZ48</f>
        <v>20000000</v>
      </c>
      <c r="QC48" s="82">
        <f t="shared" ref="QC48:RF48" si="1162">QB48</f>
        <v>20000000</v>
      </c>
      <c r="QD48" s="82">
        <f t="shared" si="1162"/>
        <v>20000000</v>
      </c>
      <c r="QE48" s="82">
        <f t="shared" si="1162"/>
        <v>20000000</v>
      </c>
      <c r="QF48" s="82">
        <f t="shared" si="1162"/>
        <v>20000000</v>
      </c>
      <c r="QG48" s="82">
        <f t="shared" si="1162"/>
        <v>20000000</v>
      </c>
      <c r="QH48" s="82">
        <f t="shared" si="1162"/>
        <v>20000000</v>
      </c>
      <c r="QI48" s="82">
        <f t="shared" si="1162"/>
        <v>20000000</v>
      </c>
      <c r="QJ48" s="82">
        <f t="shared" si="1162"/>
        <v>20000000</v>
      </c>
      <c r="QK48" s="82">
        <f t="shared" si="1162"/>
        <v>20000000</v>
      </c>
      <c r="QL48" s="82">
        <f t="shared" si="1162"/>
        <v>20000000</v>
      </c>
      <c r="QM48" s="82">
        <f t="shared" si="1162"/>
        <v>20000000</v>
      </c>
      <c r="QN48" s="82">
        <f t="shared" si="1162"/>
        <v>20000000</v>
      </c>
      <c r="QO48" s="82">
        <f t="shared" si="1162"/>
        <v>20000000</v>
      </c>
      <c r="QP48" s="82">
        <f t="shared" si="1162"/>
        <v>20000000</v>
      </c>
      <c r="QQ48" s="82">
        <f t="shared" si="1162"/>
        <v>20000000</v>
      </c>
      <c r="QR48" s="82">
        <f t="shared" si="1162"/>
        <v>20000000</v>
      </c>
      <c r="QS48" s="82">
        <f t="shared" si="1162"/>
        <v>20000000</v>
      </c>
      <c r="QT48" s="82">
        <f t="shared" si="1162"/>
        <v>20000000</v>
      </c>
      <c r="QU48" s="82">
        <f t="shared" si="1162"/>
        <v>20000000</v>
      </c>
      <c r="QV48" s="82">
        <f t="shared" si="1162"/>
        <v>20000000</v>
      </c>
      <c r="QW48" s="82">
        <f t="shared" si="1162"/>
        <v>20000000</v>
      </c>
      <c r="QX48" s="82">
        <f t="shared" si="1162"/>
        <v>20000000</v>
      </c>
      <c r="QY48" s="82">
        <f t="shared" si="1162"/>
        <v>20000000</v>
      </c>
      <c r="QZ48" s="82">
        <f t="shared" si="1162"/>
        <v>20000000</v>
      </c>
      <c r="RA48" s="82">
        <f t="shared" si="1162"/>
        <v>20000000</v>
      </c>
      <c r="RB48" s="82">
        <f t="shared" si="1162"/>
        <v>20000000</v>
      </c>
      <c r="RC48" s="82">
        <f t="shared" si="1162"/>
        <v>20000000</v>
      </c>
      <c r="RD48" s="82">
        <f t="shared" si="1162"/>
        <v>20000000</v>
      </c>
      <c r="RE48" s="82">
        <f t="shared" si="1162"/>
        <v>20000000</v>
      </c>
      <c r="RF48" s="82">
        <f t="shared" si="1162"/>
        <v>20000000</v>
      </c>
      <c r="RG48" s="130"/>
      <c r="RH48" s="82">
        <f>RF48</f>
        <v>20000000</v>
      </c>
      <c r="RI48" s="82">
        <f t="shared" ref="RI48:SK48" si="1163">RH48</f>
        <v>20000000</v>
      </c>
      <c r="RJ48" s="82">
        <f t="shared" si="1163"/>
        <v>20000000</v>
      </c>
      <c r="RK48" s="82">
        <f t="shared" si="1163"/>
        <v>20000000</v>
      </c>
      <c r="RL48" s="82">
        <f t="shared" si="1163"/>
        <v>20000000</v>
      </c>
      <c r="RM48" s="82">
        <f t="shared" si="1163"/>
        <v>20000000</v>
      </c>
      <c r="RN48" s="82">
        <f t="shared" si="1163"/>
        <v>20000000</v>
      </c>
      <c r="RO48" s="82">
        <f t="shared" si="1163"/>
        <v>20000000</v>
      </c>
      <c r="RP48" s="82">
        <f t="shared" si="1163"/>
        <v>20000000</v>
      </c>
      <c r="RQ48" s="82">
        <f t="shared" si="1163"/>
        <v>20000000</v>
      </c>
      <c r="RR48" s="82">
        <f t="shared" si="1163"/>
        <v>20000000</v>
      </c>
      <c r="RS48" s="82">
        <f t="shared" si="1163"/>
        <v>20000000</v>
      </c>
      <c r="RT48" s="82">
        <f t="shared" si="1163"/>
        <v>20000000</v>
      </c>
      <c r="RU48" s="82">
        <f t="shared" si="1163"/>
        <v>20000000</v>
      </c>
      <c r="RV48" s="82">
        <f t="shared" si="1163"/>
        <v>20000000</v>
      </c>
      <c r="RW48" s="82">
        <f t="shared" si="1163"/>
        <v>20000000</v>
      </c>
      <c r="RX48" s="82">
        <f t="shared" si="1163"/>
        <v>20000000</v>
      </c>
      <c r="RY48" s="82">
        <f t="shared" si="1163"/>
        <v>20000000</v>
      </c>
      <c r="RZ48" s="82">
        <f t="shared" si="1163"/>
        <v>20000000</v>
      </c>
      <c r="SA48" s="82">
        <f t="shared" si="1163"/>
        <v>20000000</v>
      </c>
      <c r="SB48" s="82">
        <f t="shared" si="1163"/>
        <v>20000000</v>
      </c>
      <c r="SC48" s="82">
        <f t="shared" si="1163"/>
        <v>20000000</v>
      </c>
      <c r="SD48" s="82">
        <f t="shared" si="1163"/>
        <v>20000000</v>
      </c>
      <c r="SE48" s="82">
        <f t="shared" si="1163"/>
        <v>20000000</v>
      </c>
      <c r="SF48" s="82">
        <f t="shared" si="1163"/>
        <v>20000000</v>
      </c>
      <c r="SG48" s="82">
        <f t="shared" si="1163"/>
        <v>20000000</v>
      </c>
      <c r="SH48" s="82">
        <f t="shared" si="1163"/>
        <v>20000000</v>
      </c>
      <c r="SI48" s="82">
        <f t="shared" si="1163"/>
        <v>20000000</v>
      </c>
      <c r="SJ48" s="82">
        <f t="shared" si="1163"/>
        <v>20000000</v>
      </c>
      <c r="SK48" s="82">
        <f t="shared" si="1163"/>
        <v>20000000</v>
      </c>
      <c r="SL48" s="130"/>
      <c r="SM48" s="82">
        <f>SK48</f>
        <v>20000000</v>
      </c>
      <c r="SN48" s="82">
        <f t="shared" ref="SN48:TQ48" si="1164">SM48</f>
        <v>20000000</v>
      </c>
      <c r="SO48" s="82">
        <f t="shared" si="1164"/>
        <v>20000000</v>
      </c>
      <c r="SP48" s="82">
        <f t="shared" si="1164"/>
        <v>20000000</v>
      </c>
      <c r="SQ48" s="82">
        <f t="shared" si="1164"/>
        <v>20000000</v>
      </c>
      <c r="SR48" s="82">
        <f t="shared" si="1164"/>
        <v>20000000</v>
      </c>
      <c r="SS48" s="82">
        <f t="shared" si="1164"/>
        <v>20000000</v>
      </c>
      <c r="ST48" s="82">
        <f t="shared" si="1164"/>
        <v>20000000</v>
      </c>
      <c r="SU48" s="82">
        <f t="shared" si="1164"/>
        <v>20000000</v>
      </c>
      <c r="SV48" s="82">
        <f t="shared" si="1164"/>
        <v>20000000</v>
      </c>
      <c r="SW48" s="82">
        <f t="shared" si="1164"/>
        <v>20000000</v>
      </c>
      <c r="SX48" s="82">
        <f t="shared" si="1164"/>
        <v>20000000</v>
      </c>
      <c r="SY48" s="82">
        <f t="shared" si="1164"/>
        <v>20000000</v>
      </c>
      <c r="SZ48" s="82">
        <f t="shared" si="1164"/>
        <v>20000000</v>
      </c>
      <c r="TA48" s="82">
        <f t="shared" si="1164"/>
        <v>20000000</v>
      </c>
      <c r="TB48" s="82">
        <f t="shared" si="1164"/>
        <v>20000000</v>
      </c>
      <c r="TC48" s="82">
        <f t="shared" si="1164"/>
        <v>20000000</v>
      </c>
      <c r="TD48" s="82">
        <f t="shared" si="1164"/>
        <v>20000000</v>
      </c>
      <c r="TE48" s="82">
        <f t="shared" si="1164"/>
        <v>20000000</v>
      </c>
      <c r="TF48" s="82">
        <f t="shared" si="1164"/>
        <v>20000000</v>
      </c>
      <c r="TG48" s="82">
        <f t="shared" si="1164"/>
        <v>20000000</v>
      </c>
      <c r="TH48" s="82">
        <f t="shared" si="1164"/>
        <v>20000000</v>
      </c>
      <c r="TI48" s="82">
        <f t="shared" si="1164"/>
        <v>20000000</v>
      </c>
      <c r="TJ48" s="82">
        <f t="shared" si="1164"/>
        <v>20000000</v>
      </c>
      <c r="TK48" s="82">
        <f t="shared" si="1164"/>
        <v>20000000</v>
      </c>
      <c r="TL48" s="82">
        <f t="shared" si="1164"/>
        <v>20000000</v>
      </c>
      <c r="TM48" s="82">
        <f t="shared" si="1164"/>
        <v>20000000</v>
      </c>
      <c r="TN48" s="82">
        <f t="shared" si="1164"/>
        <v>20000000</v>
      </c>
      <c r="TO48" s="82">
        <f t="shared" si="1164"/>
        <v>20000000</v>
      </c>
      <c r="TP48" s="82">
        <f t="shared" si="1164"/>
        <v>20000000</v>
      </c>
      <c r="TQ48" s="82">
        <f t="shared" si="1164"/>
        <v>20000000</v>
      </c>
      <c r="TR48" s="130"/>
      <c r="TS48" s="82">
        <f>TQ48</f>
        <v>20000000</v>
      </c>
      <c r="TT48" s="82">
        <f t="shared" ref="TT48:UW48" si="1165">TS48</f>
        <v>20000000</v>
      </c>
      <c r="TU48" s="82">
        <f t="shared" si="1165"/>
        <v>20000000</v>
      </c>
      <c r="TV48" s="82">
        <f t="shared" si="1165"/>
        <v>20000000</v>
      </c>
      <c r="TW48" s="82">
        <f t="shared" si="1165"/>
        <v>20000000</v>
      </c>
      <c r="TX48" s="82">
        <f t="shared" si="1165"/>
        <v>20000000</v>
      </c>
      <c r="TY48" s="82">
        <f t="shared" si="1165"/>
        <v>20000000</v>
      </c>
      <c r="TZ48" s="82">
        <f t="shared" si="1165"/>
        <v>20000000</v>
      </c>
      <c r="UA48" s="82">
        <f t="shared" si="1165"/>
        <v>20000000</v>
      </c>
      <c r="UB48" s="82">
        <f t="shared" si="1165"/>
        <v>20000000</v>
      </c>
      <c r="UC48" s="82">
        <f t="shared" si="1165"/>
        <v>20000000</v>
      </c>
      <c r="UD48" s="82">
        <f t="shared" si="1165"/>
        <v>20000000</v>
      </c>
      <c r="UE48" s="82">
        <f t="shared" si="1165"/>
        <v>20000000</v>
      </c>
      <c r="UF48" s="82">
        <f t="shared" si="1165"/>
        <v>20000000</v>
      </c>
      <c r="UG48" s="82">
        <f t="shared" si="1165"/>
        <v>20000000</v>
      </c>
      <c r="UH48" s="82">
        <f t="shared" si="1165"/>
        <v>20000000</v>
      </c>
      <c r="UI48" s="82">
        <f t="shared" si="1165"/>
        <v>20000000</v>
      </c>
      <c r="UJ48" s="82">
        <f t="shared" si="1165"/>
        <v>20000000</v>
      </c>
      <c r="UK48" s="82">
        <f t="shared" si="1165"/>
        <v>20000000</v>
      </c>
      <c r="UL48" s="82">
        <f t="shared" si="1165"/>
        <v>20000000</v>
      </c>
      <c r="UM48" s="82">
        <f t="shared" si="1165"/>
        <v>20000000</v>
      </c>
      <c r="UN48" s="82">
        <f t="shared" si="1165"/>
        <v>20000000</v>
      </c>
      <c r="UO48" s="82">
        <f t="shared" si="1165"/>
        <v>20000000</v>
      </c>
      <c r="UP48" s="82">
        <f t="shared" si="1165"/>
        <v>20000000</v>
      </c>
      <c r="UQ48" s="82">
        <f t="shared" si="1165"/>
        <v>20000000</v>
      </c>
      <c r="UR48" s="82">
        <f t="shared" si="1165"/>
        <v>20000000</v>
      </c>
      <c r="US48" s="82">
        <f t="shared" si="1165"/>
        <v>20000000</v>
      </c>
      <c r="UT48" s="82">
        <f t="shared" si="1165"/>
        <v>20000000</v>
      </c>
      <c r="UU48" s="82">
        <f t="shared" si="1165"/>
        <v>20000000</v>
      </c>
      <c r="UV48" s="82">
        <f t="shared" si="1165"/>
        <v>20000000</v>
      </c>
      <c r="UW48" s="82">
        <f t="shared" si="1165"/>
        <v>20000000</v>
      </c>
      <c r="UX48" s="130"/>
      <c r="UY48" s="82">
        <f>UW48</f>
        <v>20000000</v>
      </c>
      <c r="UZ48" s="82">
        <f>UY48</f>
        <v>20000000</v>
      </c>
      <c r="VA48" s="82">
        <f t="shared" ref="VA48:VZ48" si="1166">UY48</f>
        <v>20000000</v>
      </c>
      <c r="VB48" s="82">
        <f t="shared" si="1166"/>
        <v>20000000</v>
      </c>
      <c r="VC48" s="82">
        <f t="shared" si="1166"/>
        <v>20000000</v>
      </c>
      <c r="VD48" s="82">
        <f t="shared" si="1166"/>
        <v>20000000</v>
      </c>
      <c r="VE48" s="82">
        <f t="shared" si="1166"/>
        <v>20000000</v>
      </c>
      <c r="VF48" s="82">
        <f t="shared" si="1166"/>
        <v>20000000</v>
      </c>
      <c r="VG48" s="82">
        <f t="shared" si="1166"/>
        <v>20000000</v>
      </c>
      <c r="VH48" s="82">
        <f t="shared" si="1166"/>
        <v>20000000</v>
      </c>
      <c r="VI48" s="82">
        <f t="shared" si="1166"/>
        <v>20000000</v>
      </c>
      <c r="VJ48" s="82">
        <f t="shared" si="1166"/>
        <v>20000000</v>
      </c>
      <c r="VK48" s="82">
        <f t="shared" si="1166"/>
        <v>20000000</v>
      </c>
      <c r="VL48" s="82">
        <f t="shared" si="1166"/>
        <v>20000000</v>
      </c>
      <c r="VM48" s="82">
        <f t="shared" si="1166"/>
        <v>20000000</v>
      </c>
      <c r="VN48" s="82">
        <f t="shared" si="1166"/>
        <v>20000000</v>
      </c>
      <c r="VO48" s="82">
        <f t="shared" si="1166"/>
        <v>20000000</v>
      </c>
      <c r="VP48" s="82">
        <f t="shared" si="1166"/>
        <v>20000000</v>
      </c>
      <c r="VQ48" s="82">
        <f t="shared" si="1166"/>
        <v>20000000</v>
      </c>
      <c r="VR48" s="82">
        <f t="shared" si="1166"/>
        <v>20000000</v>
      </c>
      <c r="VS48" s="82">
        <f t="shared" si="1166"/>
        <v>20000000</v>
      </c>
      <c r="VT48" s="82">
        <f t="shared" si="1166"/>
        <v>20000000</v>
      </c>
      <c r="VU48" s="82">
        <f t="shared" si="1166"/>
        <v>20000000</v>
      </c>
      <c r="VV48" s="82">
        <f t="shared" si="1166"/>
        <v>20000000</v>
      </c>
      <c r="VW48" s="82">
        <f t="shared" si="1166"/>
        <v>20000000</v>
      </c>
      <c r="VX48" s="82">
        <f t="shared" si="1166"/>
        <v>20000000</v>
      </c>
      <c r="VY48" s="82">
        <f t="shared" si="1166"/>
        <v>20000000</v>
      </c>
      <c r="VZ48" s="82">
        <f t="shared" si="1166"/>
        <v>20000000</v>
      </c>
      <c r="WA48" s="133"/>
      <c r="WB48" s="82">
        <f>VZ48</f>
        <v>20000000</v>
      </c>
      <c r="WC48" s="82">
        <f>WB48</f>
        <v>20000000</v>
      </c>
      <c r="WD48" s="82">
        <f t="shared" ref="WD48:XF48" si="1167">WB48</f>
        <v>20000000</v>
      </c>
      <c r="WE48" s="82">
        <f t="shared" si="1167"/>
        <v>20000000</v>
      </c>
      <c r="WF48" s="82">
        <f t="shared" si="1167"/>
        <v>20000000</v>
      </c>
      <c r="WG48" s="82">
        <f t="shared" si="1167"/>
        <v>20000000</v>
      </c>
      <c r="WH48" s="82">
        <f t="shared" si="1167"/>
        <v>20000000</v>
      </c>
      <c r="WI48" s="82">
        <f t="shared" si="1167"/>
        <v>20000000</v>
      </c>
      <c r="WJ48" s="82">
        <f t="shared" si="1167"/>
        <v>20000000</v>
      </c>
      <c r="WK48" s="82">
        <f t="shared" si="1167"/>
        <v>20000000</v>
      </c>
      <c r="WL48" s="82">
        <f t="shared" si="1167"/>
        <v>20000000</v>
      </c>
      <c r="WM48" s="82">
        <f t="shared" si="1167"/>
        <v>20000000</v>
      </c>
      <c r="WN48" s="82">
        <f t="shared" si="1167"/>
        <v>20000000</v>
      </c>
      <c r="WO48" s="82">
        <f t="shared" si="1167"/>
        <v>20000000</v>
      </c>
      <c r="WP48" s="82">
        <f t="shared" si="1167"/>
        <v>20000000</v>
      </c>
      <c r="WQ48" s="82">
        <f t="shared" si="1167"/>
        <v>20000000</v>
      </c>
      <c r="WR48" s="82">
        <f t="shared" si="1167"/>
        <v>20000000</v>
      </c>
      <c r="WS48" s="82">
        <f t="shared" si="1167"/>
        <v>20000000</v>
      </c>
      <c r="WT48" s="82">
        <f t="shared" si="1167"/>
        <v>20000000</v>
      </c>
      <c r="WU48" s="82">
        <f t="shared" si="1167"/>
        <v>20000000</v>
      </c>
      <c r="WV48" s="82">
        <f t="shared" si="1167"/>
        <v>20000000</v>
      </c>
      <c r="WW48" s="82">
        <f t="shared" si="1167"/>
        <v>20000000</v>
      </c>
      <c r="WX48" s="82">
        <f t="shared" si="1167"/>
        <v>20000000</v>
      </c>
      <c r="WY48" s="82">
        <f t="shared" si="1167"/>
        <v>20000000</v>
      </c>
      <c r="WZ48" s="82">
        <f t="shared" si="1167"/>
        <v>20000000</v>
      </c>
      <c r="XA48" s="82">
        <f t="shared" si="1167"/>
        <v>20000000</v>
      </c>
      <c r="XB48" s="82">
        <f t="shared" si="1167"/>
        <v>20000000</v>
      </c>
      <c r="XC48" s="82">
        <f t="shared" si="1167"/>
        <v>20000000</v>
      </c>
      <c r="XD48" s="82">
        <f t="shared" si="1167"/>
        <v>20000000</v>
      </c>
      <c r="XE48" s="82">
        <f t="shared" si="1167"/>
        <v>20000000</v>
      </c>
      <c r="XF48" s="82">
        <f t="shared" si="1167"/>
        <v>20000000</v>
      </c>
      <c r="XG48" s="133"/>
      <c r="XH48" s="82">
        <f>XF48</f>
        <v>20000000</v>
      </c>
      <c r="XI48" s="82">
        <f t="shared" ref="XI48:YK48" si="1168">XH48</f>
        <v>20000000</v>
      </c>
      <c r="XJ48" s="82">
        <f t="shared" si="1168"/>
        <v>20000000</v>
      </c>
      <c r="XK48" s="82">
        <f t="shared" si="1168"/>
        <v>20000000</v>
      </c>
      <c r="XL48" s="82">
        <f t="shared" si="1168"/>
        <v>20000000</v>
      </c>
      <c r="XM48" s="82">
        <f t="shared" si="1168"/>
        <v>20000000</v>
      </c>
      <c r="XN48" s="82">
        <f t="shared" si="1168"/>
        <v>20000000</v>
      </c>
      <c r="XO48" s="82">
        <f t="shared" si="1168"/>
        <v>20000000</v>
      </c>
      <c r="XP48" s="82">
        <f t="shared" si="1168"/>
        <v>20000000</v>
      </c>
      <c r="XQ48" s="82">
        <f t="shared" si="1168"/>
        <v>20000000</v>
      </c>
      <c r="XR48" s="82">
        <f t="shared" si="1168"/>
        <v>20000000</v>
      </c>
      <c r="XS48" s="82">
        <f t="shared" si="1168"/>
        <v>20000000</v>
      </c>
      <c r="XT48" s="82">
        <f t="shared" si="1168"/>
        <v>20000000</v>
      </c>
      <c r="XU48" s="82">
        <f t="shared" si="1168"/>
        <v>20000000</v>
      </c>
      <c r="XV48" s="82">
        <f t="shared" si="1168"/>
        <v>20000000</v>
      </c>
      <c r="XW48" s="82">
        <f t="shared" si="1168"/>
        <v>20000000</v>
      </c>
      <c r="XX48" s="82">
        <f t="shared" si="1168"/>
        <v>20000000</v>
      </c>
      <c r="XY48" s="82">
        <f t="shared" si="1168"/>
        <v>20000000</v>
      </c>
      <c r="XZ48" s="82">
        <f t="shared" si="1168"/>
        <v>20000000</v>
      </c>
      <c r="YA48" s="82">
        <f t="shared" si="1168"/>
        <v>20000000</v>
      </c>
      <c r="YB48" s="82">
        <f t="shared" si="1168"/>
        <v>20000000</v>
      </c>
      <c r="YC48" s="82">
        <f t="shared" si="1168"/>
        <v>20000000</v>
      </c>
      <c r="YD48" s="82">
        <f t="shared" si="1168"/>
        <v>20000000</v>
      </c>
      <c r="YE48" s="82">
        <f t="shared" si="1168"/>
        <v>20000000</v>
      </c>
      <c r="YF48" s="82">
        <f t="shared" si="1168"/>
        <v>20000000</v>
      </c>
      <c r="YG48" s="82">
        <f t="shared" si="1168"/>
        <v>20000000</v>
      </c>
      <c r="YH48" s="82">
        <f t="shared" si="1168"/>
        <v>20000000</v>
      </c>
      <c r="YI48" s="82">
        <f t="shared" si="1168"/>
        <v>20000000</v>
      </c>
      <c r="YJ48" s="82">
        <f t="shared" si="1168"/>
        <v>20000000</v>
      </c>
      <c r="YK48" s="82">
        <f t="shared" si="1168"/>
        <v>20000000</v>
      </c>
      <c r="YL48" s="130"/>
      <c r="YM48" s="82">
        <f>YK48</f>
        <v>20000000</v>
      </c>
      <c r="YN48" s="82">
        <f t="shared" ref="YN48:ZQ48" si="1169">YM48</f>
        <v>20000000</v>
      </c>
      <c r="YO48" s="82">
        <f t="shared" si="1169"/>
        <v>20000000</v>
      </c>
      <c r="YP48" s="82">
        <f t="shared" si="1169"/>
        <v>20000000</v>
      </c>
      <c r="YQ48" s="82">
        <f t="shared" si="1169"/>
        <v>20000000</v>
      </c>
      <c r="YR48" s="82">
        <f t="shared" si="1169"/>
        <v>20000000</v>
      </c>
      <c r="YS48" s="82">
        <f t="shared" si="1169"/>
        <v>20000000</v>
      </c>
      <c r="YT48" s="82">
        <f t="shared" si="1169"/>
        <v>20000000</v>
      </c>
      <c r="YU48" s="82">
        <f t="shared" si="1169"/>
        <v>20000000</v>
      </c>
      <c r="YV48" s="82">
        <f t="shared" si="1169"/>
        <v>20000000</v>
      </c>
      <c r="YW48" s="82">
        <f t="shared" si="1169"/>
        <v>20000000</v>
      </c>
      <c r="YX48" s="82">
        <f t="shared" si="1169"/>
        <v>20000000</v>
      </c>
      <c r="YY48" s="82">
        <f t="shared" si="1169"/>
        <v>20000000</v>
      </c>
      <c r="YZ48" s="82">
        <f t="shared" si="1169"/>
        <v>20000000</v>
      </c>
      <c r="ZA48" s="82">
        <f t="shared" si="1169"/>
        <v>20000000</v>
      </c>
      <c r="ZB48" s="82">
        <f t="shared" si="1169"/>
        <v>20000000</v>
      </c>
      <c r="ZC48" s="82">
        <f t="shared" si="1169"/>
        <v>20000000</v>
      </c>
      <c r="ZD48" s="82">
        <f t="shared" si="1169"/>
        <v>20000000</v>
      </c>
      <c r="ZE48" s="82">
        <f t="shared" si="1169"/>
        <v>20000000</v>
      </c>
      <c r="ZF48" s="82">
        <f t="shared" si="1169"/>
        <v>20000000</v>
      </c>
      <c r="ZG48" s="82">
        <f t="shared" si="1169"/>
        <v>20000000</v>
      </c>
      <c r="ZH48" s="82">
        <f t="shared" si="1169"/>
        <v>20000000</v>
      </c>
      <c r="ZI48" s="82">
        <f t="shared" si="1169"/>
        <v>20000000</v>
      </c>
      <c r="ZJ48" s="82">
        <f t="shared" si="1169"/>
        <v>20000000</v>
      </c>
      <c r="ZK48" s="82">
        <f t="shared" si="1169"/>
        <v>20000000</v>
      </c>
      <c r="ZL48" s="82">
        <f t="shared" si="1169"/>
        <v>20000000</v>
      </c>
      <c r="ZM48" s="82">
        <f t="shared" si="1169"/>
        <v>20000000</v>
      </c>
      <c r="ZN48" s="82">
        <f t="shared" si="1169"/>
        <v>20000000</v>
      </c>
      <c r="ZO48" s="82">
        <f t="shared" si="1169"/>
        <v>20000000</v>
      </c>
      <c r="ZP48" s="82">
        <f t="shared" si="1169"/>
        <v>20000000</v>
      </c>
      <c r="ZQ48" s="82">
        <f t="shared" si="1169"/>
        <v>20000000</v>
      </c>
      <c r="ZR48" s="130"/>
      <c r="ZS48" s="82">
        <f>ZQ48</f>
        <v>20000000</v>
      </c>
      <c r="ZT48" s="82">
        <f t="shared" ref="ZT48:AAV48" si="1170">ZS48</f>
        <v>20000000</v>
      </c>
      <c r="ZU48" s="82">
        <f t="shared" si="1170"/>
        <v>20000000</v>
      </c>
      <c r="ZV48" s="82">
        <f t="shared" si="1170"/>
        <v>20000000</v>
      </c>
      <c r="ZW48" s="82">
        <f t="shared" si="1170"/>
        <v>20000000</v>
      </c>
      <c r="ZX48" s="82">
        <f t="shared" si="1170"/>
        <v>20000000</v>
      </c>
      <c r="ZY48" s="82">
        <f t="shared" si="1170"/>
        <v>20000000</v>
      </c>
      <c r="ZZ48" s="82">
        <f t="shared" si="1170"/>
        <v>20000000</v>
      </c>
      <c r="AAA48" s="82">
        <f t="shared" si="1170"/>
        <v>20000000</v>
      </c>
      <c r="AAB48" s="82">
        <f t="shared" si="1170"/>
        <v>20000000</v>
      </c>
      <c r="AAC48" s="82">
        <f t="shared" si="1170"/>
        <v>20000000</v>
      </c>
      <c r="AAD48" s="82">
        <f t="shared" si="1170"/>
        <v>20000000</v>
      </c>
      <c r="AAE48" s="82">
        <f t="shared" si="1170"/>
        <v>20000000</v>
      </c>
      <c r="AAF48" s="82">
        <f t="shared" si="1170"/>
        <v>20000000</v>
      </c>
      <c r="AAG48" s="82">
        <f t="shared" si="1170"/>
        <v>20000000</v>
      </c>
      <c r="AAH48" s="82">
        <f t="shared" si="1170"/>
        <v>20000000</v>
      </c>
      <c r="AAI48" s="82">
        <f t="shared" si="1170"/>
        <v>20000000</v>
      </c>
      <c r="AAJ48" s="82">
        <f t="shared" si="1170"/>
        <v>20000000</v>
      </c>
      <c r="AAK48" s="82">
        <f t="shared" si="1170"/>
        <v>20000000</v>
      </c>
      <c r="AAL48" s="82">
        <f t="shared" si="1170"/>
        <v>20000000</v>
      </c>
      <c r="AAM48" s="82">
        <f t="shared" si="1170"/>
        <v>20000000</v>
      </c>
      <c r="AAN48" s="82">
        <f t="shared" si="1170"/>
        <v>20000000</v>
      </c>
      <c r="AAO48" s="82">
        <f t="shared" si="1170"/>
        <v>20000000</v>
      </c>
      <c r="AAP48" s="82">
        <f t="shared" si="1170"/>
        <v>20000000</v>
      </c>
      <c r="AAQ48" s="82">
        <f t="shared" si="1170"/>
        <v>20000000</v>
      </c>
      <c r="AAR48" s="82">
        <f t="shared" si="1170"/>
        <v>20000000</v>
      </c>
      <c r="AAS48" s="82">
        <f t="shared" si="1170"/>
        <v>20000000</v>
      </c>
      <c r="AAT48" s="82">
        <f t="shared" si="1170"/>
        <v>20000000</v>
      </c>
      <c r="AAU48" s="82">
        <f t="shared" si="1170"/>
        <v>20000000</v>
      </c>
      <c r="AAV48" s="82">
        <f t="shared" si="1170"/>
        <v>20000000</v>
      </c>
      <c r="AAW48" s="130"/>
      <c r="AAX48" s="82">
        <f>AAV48</f>
        <v>20000000</v>
      </c>
      <c r="AAY48" s="82">
        <f t="shared" ref="AAY48:ACB48" si="1171">AAX48</f>
        <v>20000000</v>
      </c>
      <c r="AAZ48" s="82">
        <f t="shared" si="1171"/>
        <v>20000000</v>
      </c>
      <c r="ABA48" s="82">
        <f t="shared" si="1171"/>
        <v>20000000</v>
      </c>
      <c r="ABB48" s="82">
        <f t="shared" si="1171"/>
        <v>20000000</v>
      </c>
      <c r="ABC48" s="82">
        <f t="shared" si="1171"/>
        <v>20000000</v>
      </c>
      <c r="ABD48" s="82">
        <f t="shared" si="1171"/>
        <v>20000000</v>
      </c>
      <c r="ABE48" s="82">
        <f t="shared" si="1171"/>
        <v>20000000</v>
      </c>
      <c r="ABF48" s="82">
        <f t="shared" si="1171"/>
        <v>20000000</v>
      </c>
      <c r="ABG48" s="82">
        <f t="shared" si="1171"/>
        <v>20000000</v>
      </c>
      <c r="ABH48" s="82">
        <f t="shared" si="1171"/>
        <v>20000000</v>
      </c>
      <c r="ABI48" s="82">
        <f t="shared" si="1171"/>
        <v>20000000</v>
      </c>
      <c r="ABJ48" s="82">
        <f t="shared" si="1171"/>
        <v>20000000</v>
      </c>
      <c r="ABK48" s="82">
        <f t="shared" si="1171"/>
        <v>20000000</v>
      </c>
      <c r="ABL48" s="82">
        <f t="shared" si="1171"/>
        <v>20000000</v>
      </c>
      <c r="ABM48" s="82">
        <f t="shared" si="1171"/>
        <v>20000000</v>
      </c>
      <c r="ABN48" s="82">
        <f t="shared" si="1171"/>
        <v>20000000</v>
      </c>
      <c r="ABO48" s="82">
        <f t="shared" si="1171"/>
        <v>20000000</v>
      </c>
      <c r="ABP48" s="82">
        <f t="shared" si="1171"/>
        <v>20000000</v>
      </c>
      <c r="ABQ48" s="82">
        <f t="shared" si="1171"/>
        <v>20000000</v>
      </c>
      <c r="ABR48" s="82">
        <f t="shared" si="1171"/>
        <v>20000000</v>
      </c>
      <c r="ABS48" s="82">
        <f t="shared" si="1171"/>
        <v>20000000</v>
      </c>
      <c r="ABT48" s="82">
        <f t="shared" si="1171"/>
        <v>20000000</v>
      </c>
      <c r="ABU48" s="82">
        <f t="shared" si="1171"/>
        <v>20000000</v>
      </c>
      <c r="ABV48" s="82">
        <f t="shared" si="1171"/>
        <v>20000000</v>
      </c>
      <c r="ABW48" s="82">
        <f t="shared" si="1171"/>
        <v>20000000</v>
      </c>
      <c r="ABX48" s="82">
        <f t="shared" si="1171"/>
        <v>20000000</v>
      </c>
      <c r="ABY48" s="82">
        <f t="shared" si="1171"/>
        <v>20000000</v>
      </c>
      <c r="ABZ48" s="82">
        <f t="shared" si="1171"/>
        <v>20000000</v>
      </c>
      <c r="ACA48" s="82">
        <f t="shared" si="1171"/>
        <v>20000000</v>
      </c>
      <c r="ACB48" s="82">
        <f t="shared" si="1171"/>
        <v>20000000</v>
      </c>
      <c r="ACC48" s="130"/>
      <c r="ACD48" s="82">
        <f>ACB48</f>
        <v>20000000</v>
      </c>
      <c r="ACE48" s="82">
        <f t="shared" ref="ACE48:ADH48" si="1172">ACD48</f>
        <v>20000000</v>
      </c>
      <c r="ACF48" s="82">
        <f t="shared" si="1172"/>
        <v>20000000</v>
      </c>
      <c r="ACG48" s="82">
        <f t="shared" si="1172"/>
        <v>20000000</v>
      </c>
      <c r="ACH48" s="82">
        <f t="shared" si="1172"/>
        <v>20000000</v>
      </c>
      <c r="ACI48" s="82">
        <f t="shared" si="1172"/>
        <v>20000000</v>
      </c>
      <c r="ACJ48" s="82">
        <f t="shared" si="1172"/>
        <v>20000000</v>
      </c>
      <c r="ACK48" s="82">
        <f t="shared" si="1172"/>
        <v>20000000</v>
      </c>
      <c r="ACL48" s="82">
        <f t="shared" si="1172"/>
        <v>20000000</v>
      </c>
      <c r="ACM48" s="82">
        <f t="shared" si="1172"/>
        <v>20000000</v>
      </c>
      <c r="ACN48" s="82">
        <f t="shared" si="1172"/>
        <v>20000000</v>
      </c>
      <c r="ACO48" s="82">
        <f t="shared" si="1172"/>
        <v>20000000</v>
      </c>
      <c r="ACP48" s="82">
        <f t="shared" si="1172"/>
        <v>20000000</v>
      </c>
      <c r="ACQ48" s="82">
        <f t="shared" si="1172"/>
        <v>20000000</v>
      </c>
      <c r="ACR48" s="82">
        <f t="shared" si="1172"/>
        <v>20000000</v>
      </c>
      <c r="ACS48" s="82">
        <f t="shared" si="1172"/>
        <v>20000000</v>
      </c>
      <c r="ACT48" s="82">
        <f t="shared" si="1172"/>
        <v>20000000</v>
      </c>
      <c r="ACU48" s="82">
        <f t="shared" si="1172"/>
        <v>20000000</v>
      </c>
      <c r="ACV48" s="82">
        <f t="shared" si="1172"/>
        <v>20000000</v>
      </c>
      <c r="ACW48" s="82">
        <f t="shared" si="1172"/>
        <v>20000000</v>
      </c>
      <c r="ACX48" s="82">
        <f t="shared" si="1172"/>
        <v>20000000</v>
      </c>
      <c r="ACY48" s="82">
        <f t="shared" si="1172"/>
        <v>20000000</v>
      </c>
      <c r="ACZ48" s="82">
        <f t="shared" si="1172"/>
        <v>20000000</v>
      </c>
      <c r="ADA48" s="82">
        <f t="shared" si="1172"/>
        <v>20000000</v>
      </c>
      <c r="ADB48" s="82">
        <f t="shared" si="1172"/>
        <v>20000000</v>
      </c>
      <c r="ADC48" s="82">
        <f t="shared" si="1172"/>
        <v>20000000</v>
      </c>
      <c r="ADD48" s="82">
        <f t="shared" si="1172"/>
        <v>20000000</v>
      </c>
      <c r="ADE48" s="82">
        <f t="shared" si="1172"/>
        <v>20000000</v>
      </c>
      <c r="ADF48" s="82">
        <f t="shared" si="1172"/>
        <v>20000000</v>
      </c>
      <c r="ADG48" s="82">
        <f t="shared" si="1172"/>
        <v>20000000</v>
      </c>
      <c r="ADH48" s="82">
        <f t="shared" si="1172"/>
        <v>20000000</v>
      </c>
      <c r="ADI48" s="130"/>
      <c r="ADJ48" s="82">
        <f>ADH48</f>
        <v>20000000</v>
      </c>
      <c r="ADK48" s="82">
        <f t="shared" ref="ADK48:AEM48" si="1173">ADJ48</f>
        <v>20000000</v>
      </c>
      <c r="ADL48" s="82">
        <f t="shared" si="1173"/>
        <v>20000000</v>
      </c>
      <c r="ADM48" s="82">
        <f t="shared" si="1173"/>
        <v>20000000</v>
      </c>
      <c r="ADN48" s="82">
        <f t="shared" si="1173"/>
        <v>20000000</v>
      </c>
      <c r="ADO48" s="82">
        <f t="shared" si="1173"/>
        <v>20000000</v>
      </c>
      <c r="ADP48" s="82">
        <f t="shared" si="1173"/>
        <v>20000000</v>
      </c>
      <c r="ADQ48" s="82">
        <f t="shared" si="1173"/>
        <v>20000000</v>
      </c>
      <c r="ADR48" s="82">
        <f t="shared" si="1173"/>
        <v>20000000</v>
      </c>
      <c r="ADS48" s="82">
        <f t="shared" si="1173"/>
        <v>20000000</v>
      </c>
      <c r="ADT48" s="82">
        <f t="shared" si="1173"/>
        <v>20000000</v>
      </c>
      <c r="ADU48" s="82">
        <f t="shared" si="1173"/>
        <v>20000000</v>
      </c>
      <c r="ADV48" s="82">
        <f t="shared" si="1173"/>
        <v>20000000</v>
      </c>
      <c r="ADW48" s="82">
        <f t="shared" si="1173"/>
        <v>20000000</v>
      </c>
      <c r="ADX48" s="82">
        <f t="shared" si="1173"/>
        <v>20000000</v>
      </c>
      <c r="ADY48" s="82">
        <f t="shared" si="1173"/>
        <v>20000000</v>
      </c>
      <c r="ADZ48" s="82">
        <f t="shared" si="1173"/>
        <v>20000000</v>
      </c>
      <c r="AEA48" s="82">
        <f t="shared" si="1173"/>
        <v>20000000</v>
      </c>
      <c r="AEB48" s="82">
        <f t="shared" si="1173"/>
        <v>20000000</v>
      </c>
      <c r="AEC48" s="82">
        <f t="shared" si="1173"/>
        <v>20000000</v>
      </c>
      <c r="AED48" s="82">
        <f t="shared" si="1173"/>
        <v>20000000</v>
      </c>
      <c r="AEE48" s="82">
        <f t="shared" si="1173"/>
        <v>20000000</v>
      </c>
      <c r="AEF48" s="82">
        <f t="shared" si="1173"/>
        <v>20000000</v>
      </c>
      <c r="AEG48" s="82">
        <f t="shared" si="1173"/>
        <v>20000000</v>
      </c>
      <c r="AEH48" s="82">
        <f t="shared" si="1173"/>
        <v>20000000</v>
      </c>
      <c r="AEI48" s="82">
        <f t="shared" si="1173"/>
        <v>20000000</v>
      </c>
      <c r="AEJ48" s="82">
        <f t="shared" si="1173"/>
        <v>20000000</v>
      </c>
      <c r="AEK48" s="82">
        <f t="shared" si="1173"/>
        <v>20000000</v>
      </c>
      <c r="AEL48" s="82">
        <f t="shared" si="1173"/>
        <v>20000000</v>
      </c>
      <c r="AEM48" s="82">
        <f t="shared" si="1173"/>
        <v>20000000</v>
      </c>
      <c r="AEN48" s="130"/>
      <c r="AEO48" s="82">
        <f>AEM48</f>
        <v>20000000</v>
      </c>
      <c r="AEP48" s="82">
        <f t="shared" ref="AEP48:AFS48" si="1174">AEO48</f>
        <v>20000000</v>
      </c>
      <c r="AEQ48" s="82">
        <f t="shared" si="1174"/>
        <v>20000000</v>
      </c>
      <c r="AER48" s="82">
        <f t="shared" si="1174"/>
        <v>20000000</v>
      </c>
      <c r="AES48" s="82">
        <f t="shared" si="1174"/>
        <v>20000000</v>
      </c>
      <c r="AET48" s="82">
        <f t="shared" si="1174"/>
        <v>20000000</v>
      </c>
      <c r="AEU48" s="82">
        <f t="shared" si="1174"/>
        <v>20000000</v>
      </c>
      <c r="AEV48" s="82">
        <f t="shared" si="1174"/>
        <v>20000000</v>
      </c>
      <c r="AEW48" s="82">
        <f t="shared" si="1174"/>
        <v>20000000</v>
      </c>
      <c r="AEX48" s="82">
        <f t="shared" si="1174"/>
        <v>20000000</v>
      </c>
      <c r="AEY48" s="82">
        <f t="shared" si="1174"/>
        <v>20000000</v>
      </c>
      <c r="AEZ48" s="82">
        <f t="shared" si="1174"/>
        <v>20000000</v>
      </c>
      <c r="AFA48" s="82">
        <f t="shared" si="1174"/>
        <v>20000000</v>
      </c>
      <c r="AFB48" s="82">
        <f t="shared" si="1174"/>
        <v>20000000</v>
      </c>
      <c r="AFC48" s="82">
        <f t="shared" si="1174"/>
        <v>20000000</v>
      </c>
      <c r="AFD48" s="82">
        <f t="shared" si="1174"/>
        <v>20000000</v>
      </c>
      <c r="AFE48" s="82">
        <f t="shared" si="1174"/>
        <v>20000000</v>
      </c>
      <c r="AFF48" s="82">
        <f t="shared" si="1174"/>
        <v>20000000</v>
      </c>
      <c r="AFG48" s="82">
        <f t="shared" si="1174"/>
        <v>20000000</v>
      </c>
      <c r="AFH48" s="82">
        <f t="shared" si="1174"/>
        <v>20000000</v>
      </c>
      <c r="AFI48" s="82">
        <f t="shared" si="1174"/>
        <v>20000000</v>
      </c>
      <c r="AFJ48" s="82">
        <f t="shared" si="1174"/>
        <v>20000000</v>
      </c>
      <c r="AFK48" s="82">
        <f t="shared" si="1174"/>
        <v>20000000</v>
      </c>
      <c r="AFL48" s="82">
        <f t="shared" si="1174"/>
        <v>20000000</v>
      </c>
      <c r="AFM48" s="82">
        <f t="shared" si="1174"/>
        <v>20000000</v>
      </c>
      <c r="AFN48" s="82">
        <f t="shared" si="1174"/>
        <v>20000000</v>
      </c>
      <c r="AFO48" s="82">
        <f t="shared" si="1174"/>
        <v>20000000</v>
      </c>
      <c r="AFP48" s="82">
        <f t="shared" si="1174"/>
        <v>20000000</v>
      </c>
      <c r="AFQ48" s="82">
        <f t="shared" si="1174"/>
        <v>20000000</v>
      </c>
      <c r="AFR48" s="82">
        <f t="shared" si="1174"/>
        <v>20000000</v>
      </c>
      <c r="AFS48" s="82">
        <f t="shared" si="1174"/>
        <v>20000000</v>
      </c>
      <c r="AFT48" s="130"/>
      <c r="AFU48" s="82">
        <f>AFS48</f>
        <v>20000000</v>
      </c>
      <c r="AFV48" s="82">
        <f t="shared" ref="AFV48:AGX48" si="1175">AFU48</f>
        <v>20000000</v>
      </c>
      <c r="AFW48" s="82">
        <f t="shared" si="1175"/>
        <v>20000000</v>
      </c>
      <c r="AFX48" s="82">
        <f t="shared" si="1175"/>
        <v>20000000</v>
      </c>
      <c r="AFY48" s="82">
        <f t="shared" si="1175"/>
        <v>20000000</v>
      </c>
      <c r="AFZ48" s="82">
        <f t="shared" si="1175"/>
        <v>20000000</v>
      </c>
      <c r="AGA48" s="82">
        <f t="shared" si="1175"/>
        <v>20000000</v>
      </c>
      <c r="AGB48" s="82">
        <f t="shared" si="1175"/>
        <v>20000000</v>
      </c>
      <c r="AGC48" s="82">
        <f t="shared" si="1175"/>
        <v>20000000</v>
      </c>
      <c r="AGD48" s="82">
        <f t="shared" si="1175"/>
        <v>20000000</v>
      </c>
      <c r="AGE48" s="82">
        <f t="shared" si="1175"/>
        <v>20000000</v>
      </c>
      <c r="AGF48" s="82">
        <f t="shared" si="1175"/>
        <v>20000000</v>
      </c>
      <c r="AGG48" s="82">
        <f t="shared" si="1175"/>
        <v>20000000</v>
      </c>
      <c r="AGH48" s="82">
        <f t="shared" si="1175"/>
        <v>20000000</v>
      </c>
      <c r="AGI48" s="82">
        <f t="shared" si="1175"/>
        <v>20000000</v>
      </c>
      <c r="AGJ48" s="82">
        <f t="shared" si="1175"/>
        <v>20000000</v>
      </c>
      <c r="AGK48" s="82">
        <f t="shared" si="1175"/>
        <v>20000000</v>
      </c>
      <c r="AGL48" s="82">
        <f t="shared" si="1175"/>
        <v>20000000</v>
      </c>
      <c r="AGM48" s="82">
        <f t="shared" si="1175"/>
        <v>20000000</v>
      </c>
      <c r="AGN48" s="82">
        <f t="shared" si="1175"/>
        <v>20000000</v>
      </c>
      <c r="AGO48" s="82">
        <f t="shared" si="1175"/>
        <v>20000000</v>
      </c>
      <c r="AGP48" s="82">
        <f t="shared" si="1175"/>
        <v>20000000</v>
      </c>
      <c r="AGQ48" s="82">
        <f t="shared" si="1175"/>
        <v>20000000</v>
      </c>
      <c r="AGR48" s="82">
        <f t="shared" si="1175"/>
        <v>20000000</v>
      </c>
      <c r="AGS48" s="82">
        <f t="shared" si="1175"/>
        <v>20000000</v>
      </c>
      <c r="AGT48" s="82">
        <f t="shared" si="1175"/>
        <v>20000000</v>
      </c>
      <c r="AGU48" s="82">
        <f t="shared" si="1175"/>
        <v>20000000</v>
      </c>
      <c r="AGV48" s="82">
        <f t="shared" si="1175"/>
        <v>20000000</v>
      </c>
      <c r="AGW48" s="82">
        <f t="shared" si="1175"/>
        <v>20000000</v>
      </c>
      <c r="AGX48" s="82">
        <f t="shared" si="1175"/>
        <v>20000000</v>
      </c>
      <c r="AGY48" s="133"/>
      <c r="AGZ48" s="82">
        <f>AGX48</f>
        <v>20000000</v>
      </c>
      <c r="AHA48" s="82">
        <f t="shared" ref="AHA48:AID48" si="1176">AGZ48</f>
        <v>20000000</v>
      </c>
      <c r="AHB48" s="82">
        <f t="shared" si="1176"/>
        <v>20000000</v>
      </c>
      <c r="AHC48" s="82">
        <f t="shared" si="1176"/>
        <v>20000000</v>
      </c>
      <c r="AHD48" s="82">
        <f t="shared" si="1176"/>
        <v>20000000</v>
      </c>
      <c r="AHE48" s="82">
        <f t="shared" si="1176"/>
        <v>20000000</v>
      </c>
      <c r="AHF48" s="82">
        <f t="shared" si="1176"/>
        <v>20000000</v>
      </c>
      <c r="AHG48" s="82">
        <f t="shared" si="1176"/>
        <v>20000000</v>
      </c>
      <c r="AHH48" s="82">
        <f t="shared" si="1176"/>
        <v>20000000</v>
      </c>
      <c r="AHI48" s="82">
        <f t="shared" si="1176"/>
        <v>20000000</v>
      </c>
      <c r="AHJ48" s="82">
        <f t="shared" si="1176"/>
        <v>20000000</v>
      </c>
      <c r="AHK48" s="82">
        <f t="shared" si="1176"/>
        <v>20000000</v>
      </c>
      <c r="AHL48" s="82">
        <f t="shared" si="1176"/>
        <v>20000000</v>
      </c>
      <c r="AHM48" s="82">
        <f t="shared" si="1176"/>
        <v>20000000</v>
      </c>
      <c r="AHN48" s="82">
        <f t="shared" si="1176"/>
        <v>20000000</v>
      </c>
      <c r="AHO48" s="82">
        <f t="shared" si="1176"/>
        <v>20000000</v>
      </c>
      <c r="AHP48" s="82">
        <f t="shared" si="1176"/>
        <v>20000000</v>
      </c>
      <c r="AHQ48" s="82">
        <f t="shared" si="1176"/>
        <v>20000000</v>
      </c>
      <c r="AHR48" s="82">
        <f t="shared" si="1176"/>
        <v>20000000</v>
      </c>
      <c r="AHS48" s="82">
        <f t="shared" si="1176"/>
        <v>20000000</v>
      </c>
      <c r="AHT48" s="82">
        <f t="shared" si="1176"/>
        <v>20000000</v>
      </c>
      <c r="AHU48" s="82">
        <f t="shared" si="1176"/>
        <v>20000000</v>
      </c>
      <c r="AHV48" s="82">
        <f t="shared" si="1176"/>
        <v>20000000</v>
      </c>
      <c r="AHW48" s="82">
        <f t="shared" si="1176"/>
        <v>20000000</v>
      </c>
      <c r="AHX48" s="82">
        <f t="shared" si="1176"/>
        <v>20000000</v>
      </c>
      <c r="AHY48" s="82">
        <f t="shared" si="1176"/>
        <v>20000000</v>
      </c>
      <c r="AHZ48" s="82">
        <f t="shared" si="1176"/>
        <v>20000000</v>
      </c>
      <c r="AIA48" s="82">
        <f t="shared" si="1176"/>
        <v>20000000</v>
      </c>
      <c r="AIB48" s="82">
        <f t="shared" si="1176"/>
        <v>20000000</v>
      </c>
      <c r="AIC48" s="82">
        <f t="shared" si="1176"/>
        <v>20000000</v>
      </c>
      <c r="AID48" s="82">
        <f t="shared" si="1176"/>
        <v>20000000</v>
      </c>
      <c r="AIE48" s="130"/>
      <c r="AIF48" s="82">
        <f>AID48</f>
        <v>20000000</v>
      </c>
      <c r="AIG48" s="82">
        <f t="shared" ref="AIG48:AJJ48" si="1177">AIF48</f>
        <v>20000000</v>
      </c>
      <c r="AIH48" s="82">
        <f t="shared" si="1177"/>
        <v>20000000</v>
      </c>
      <c r="AII48" s="82">
        <f t="shared" si="1177"/>
        <v>20000000</v>
      </c>
      <c r="AIJ48" s="82">
        <f t="shared" si="1177"/>
        <v>20000000</v>
      </c>
      <c r="AIK48" s="82">
        <f t="shared" si="1177"/>
        <v>20000000</v>
      </c>
      <c r="AIL48" s="82">
        <f t="shared" si="1177"/>
        <v>20000000</v>
      </c>
      <c r="AIM48" s="82">
        <f t="shared" si="1177"/>
        <v>20000000</v>
      </c>
      <c r="AIN48" s="82">
        <f t="shared" si="1177"/>
        <v>20000000</v>
      </c>
      <c r="AIO48" s="82">
        <f t="shared" si="1177"/>
        <v>20000000</v>
      </c>
      <c r="AIP48" s="82">
        <f t="shared" si="1177"/>
        <v>20000000</v>
      </c>
      <c r="AIQ48" s="82">
        <f t="shared" si="1177"/>
        <v>20000000</v>
      </c>
      <c r="AIR48" s="82">
        <f t="shared" si="1177"/>
        <v>20000000</v>
      </c>
      <c r="AIS48" s="82">
        <f t="shared" si="1177"/>
        <v>20000000</v>
      </c>
      <c r="AIT48" s="82">
        <f t="shared" si="1177"/>
        <v>20000000</v>
      </c>
      <c r="AIU48" s="82">
        <f t="shared" si="1177"/>
        <v>20000000</v>
      </c>
      <c r="AIV48" s="82">
        <f t="shared" si="1177"/>
        <v>20000000</v>
      </c>
      <c r="AIW48" s="82">
        <f t="shared" si="1177"/>
        <v>20000000</v>
      </c>
      <c r="AIX48" s="82">
        <f t="shared" si="1177"/>
        <v>20000000</v>
      </c>
      <c r="AIY48" s="82">
        <f t="shared" si="1177"/>
        <v>20000000</v>
      </c>
      <c r="AIZ48" s="82">
        <f t="shared" si="1177"/>
        <v>20000000</v>
      </c>
      <c r="AJA48" s="82">
        <f t="shared" si="1177"/>
        <v>20000000</v>
      </c>
      <c r="AJB48" s="82">
        <f t="shared" si="1177"/>
        <v>20000000</v>
      </c>
      <c r="AJC48" s="82">
        <f t="shared" si="1177"/>
        <v>20000000</v>
      </c>
      <c r="AJD48" s="82">
        <f t="shared" si="1177"/>
        <v>20000000</v>
      </c>
      <c r="AJE48" s="82">
        <f t="shared" si="1177"/>
        <v>20000000</v>
      </c>
      <c r="AJF48" s="82">
        <f t="shared" si="1177"/>
        <v>20000000</v>
      </c>
      <c r="AJG48" s="82">
        <f t="shared" si="1177"/>
        <v>20000000</v>
      </c>
      <c r="AJH48" s="82">
        <f t="shared" si="1177"/>
        <v>20000000</v>
      </c>
      <c r="AJI48" s="82">
        <f t="shared" si="1177"/>
        <v>20000000</v>
      </c>
      <c r="AJJ48" s="82">
        <f t="shared" si="1177"/>
        <v>20000000</v>
      </c>
      <c r="AJK48" s="145"/>
      <c r="AJL48" s="82">
        <f>AJJ48</f>
        <v>20000000</v>
      </c>
      <c r="AJM48" s="82">
        <f t="shared" ref="AJM48:AKM48" si="1178">AJL48</f>
        <v>20000000</v>
      </c>
      <c r="AJN48" s="82">
        <f t="shared" si="1178"/>
        <v>20000000</v>
      </c>
      <c r="AJO48" s="82">
        <f t="shared" si="1178"/>
        <v>20000000</v>
      </c>
      <c r="AJP48" s="82">
        <f t="shared" si="1178"/>
        <v>20000000</v>
      </c>
      <c r="AJQ48" s="82">
        <f t="shared" si="1178"/>
        <v>20000000</v>
      </c>
      <c r="AJR48" s="82">
        <f t="shared" si="1178"/>
        <v>20000000</v>
      </c>
      <c r="AJS48" s="82">
        <f t="shared" si="1178"/>
        <v>20000000</v>
      </c>
      <c r="AJT48" s="82">
        <f t="shared" si="1178"/>
        <v>20000000</v>
      </c>
      <c r="AJU48" s="82">
        <f t="shared" si="1178"/>
        <v>20000000</v>
      </c>
      <c r="AJV48" s="82">
        <f t="shared" si="1178"/>
        <v>20000000</v>
      </c>
      <c r="AJW48" s="82">
        <f t="shared" si="1178"/>
        <v>20000000</v>
      </c>
      <c r="AJX48" s="82">
        <f t="shared" si="1178"/>
        <v>20000000</v>
      </c>
      <c r="AJY48" s="82">
        <f t="shared" si="1178"/>
        <v>20000000</v>
      </c>
      <c r="AJZ48" s="82">
        <f t="shared" si="1178"/>
        <v>20000000</v>
      </c>
      <c r="AKA48" s="82">
        <f t="shared" si="1178"/>
        <v>20000000</v>
      </c>
      <c r="AKB48" s="82">
        <f t="shared" si="1178"/>
        <v>20000000</v>
      </c>
      <c r="AKC48" s="82">
        <f t="shared" si="1178"/>
        <v>20000000</v>
      </c>
      <c r="AKD48" s="82">
        <f t="shared" si="1178"/>
        <v>20000000</v>
      </c>
      <c r="AKE48" s="82">
        <f t="shared" si="1178"/>
        <v>20000000</v>
      </c>
      <c r="AKF48" s="82">
        <f t="shared" si="1178"/>
        <v>20000000</v>
      </c>
      <c r="AKG48" s="82">
        <f t="shared" si="1178"/>
        <v>20000000</v>
      </c>
      <c r="AKH48" s="82">
        <f t="shared" si="1178"/>
        <v>20000000</v>
      </c>
      <c r="AKI48" s="82">
        <f t="shared" si="1178"/>
        <v>20000000</v>
      </c>
      <c r="AKJ48" s="82">
        <f t="shared" si="1178"/>
        <v>20000000</v>
      </c>
      <c r="AKK48" s="82">
        <f t="shared" si="1178"/>
        <v>20000000</v>
      </c>
      <c r="AKL48" s="82">
        <f t="shared" si="1178"/>
        <v>20000000</v>
      </c>
      <c r="AKM48" s="82">
        <f t="shared" si="1178"/>
        <v>20000000</v>
      </c>
      <c r="AKN48" s="112"/>
      <c r="AKO48" s="82">
        <f>AKM48</f>
        <v>20000000</v>
      </c>
      <c r="AKP48" s="82">
        <f t="shared" ref="AKP48:ALS48" si="1179">AKO48</f>
        <v>20000000</v>
      </c>
      <c r="AKQ48" s="82">
        <f t="shared" si="1179"/>
        <v>20000000</v>
      </c>
      <c r="AKR48" s="82">
        <f t="shared" si="1179"/>
        <v>20000000</v>
      </c>
      <c r="AKS48" s="82">
        <f t="shared" si="1179"/>
        <v>20000000</v>
      </c>
      <c r="AKT48" s="82">
        <f t="shared" si="1179"/>
        <v>20000000</v>
      </c>
      <c r="AKU48" s="82">
        <f t="shared" si="1179"/>
        <v>20000000</v>
      </c>
      <c r="AKV48" s="82">
        <f t="shared" si="1179"/>
        <v>20000000</v>
      </c>
      <c r="AKW48" s="82">
        <f t="shared" si="1179"/>
        <v>20000000</v>
      </c>
      <c r="AKX48" s="82">
        <f t="shared" si="1179"/>
        <v>20000000</v>
      </c>
      <c r="AKY48" s="82">
        <f t="shared" si="1179"/>
        <v>20000000</v>
      </c>
      <c r="AKZ48" s="82">
        <f t="shared" si="1179"/>
        <v>20000000</v>
      </c>
      <c r="ALA48" s="82">
        <f t="shared" si="1179"/>
        <v>20000000</v>
      </c>
      <c r="ALB48" s="82">
        <f t="shared" si="1179"/>
        <v>20000000</v>
      </c>
      <c r="ALC48" s="82">
        <f t="shared" si="1179"/>
        <v>20000000</v>
      </c>
      <c r="ALD48" s="82">
        <f t="shared" si="1179"/>
        <v>20000000</v>
      </c>
      <c r="ALE48" s="82">
        <f t="shared" si="1179"/>
        <v>20000000</v>
      </c>
      <c r="ALF48" s="82">
        <f t="shared" si="1179"/>
        <v>20000000</v>
      </c>
      <c r="ALG48" s="82">
        <f t="shared" si="1179"/>
        <v>20000000</v>
      </c>
      <c r="ALH48" s="82">
        <f t="shared" si="1179"/>
        <v>20000000</v>
      </c>
      <c r="ALI48" s="82">
        <f t="shared" si="1179"/>
        <v>20000000</v>
      </c>
      <c r="ALJ48" s="82">
        <f t="shared" si="1179"/>
        <v>20000000</v>
      </c>
      <c r="ALK48" s="82">
        <f t="shared" si="1179"/>
        <v>20000000</v>
      </c>
      <c r="ALL48" s="82">
        <f t="shared" si="1179"/>
        <v>20000000</v>
      </c>
      <c r="ALM48" s="82">
        <f t="shared" si="1179"/>
        <v>20000000</v>
      </c>
      <c r="ALN48" s="82">
        <f t="shared" si="1179"/>
        <v>20000000</v>
      </c>
      <c r="ALO48" s="82">
        <f t="shared" si="1179"/>
        <v>20000000</v>
      </c>
      <c r="ALP48" s="82">
        <f t="shared" si="1179"/>
        <v>20000000</v>
      </c>
      <c r="ALQ48" s="82">
        <f t="shared" si="1179"/>
        <v>20000000</v>
      </c>
      <c r="ALR48" s="82">
        <f t="shared" si="1179"/>
        <v>20000000</v>
      </c>
      <c r="ALS48" s="82">
        <f t="shared" si="1179"/>
        <v>20000000</v>
      </c>
      <c r="ALT48" s="130"/>
      <c r="ALU48" s="82">
        <f>ALS48</f>
        <v>20000000</v>
      </c>
      <c r="ALV48" s="82">
        <f t="shared" ref="ALV48:AMX48" si="1180">ALU48</f>
        <v>20000000</v>
      </c>
      <c r="ALW48" s="82">
        <f t="shared" si="1180"/>
        <v>20000000</v>
      </c>
      <c r="ALX48" s="82">
        <f t="shared" si="1180"/>
        <v>20000000</v>
      </c>
      <c r="ALY48" s="82">
        <f t="shared" si="1180"/>
        <v>20000000</v>
      </c>
      <c r="ALZ48" s="82">
        <f t="shared" si="1180"/>
        <v>20000000</v>
      </c>
      <c r="AMA48" s="82">
        <f t="shared" si="1180"/>
        <v>20000000</v>
      </c>
      <c r="AMB48" s="82">
        <f t="shared" si="1180"/>
        <v>20000000</v>
      </c>
      <c r="AMC48" s="82">
        <f t="shared" si="1180"/>
        <v>20000000</v>
      </c>
      <c r="AMD48" s="82">
        <f t="shared" si="1180"/>
        <v>20000000</v>
      </c>
      <c r="AME48" s="82">
        <f t="shared" si="1180"/>
        <v>20000000</v>
      </c>
      <c r="AMF48" s="82">
        <f t="shared" si="1180"/>
        <v>20000000</v>
      </c>
      <c r="AMG48" s="82">
        <f t="shared" si="1180"/>
        <v>20000000</v>
      </c>
      <c r="AMH48" s="82">
        <f t="shared" si="1180"/>
        <v>20000000</v>
      </c>
      <c r="AMI48" s="82">
        <f t="shared" si="1180"/>
        <v>20000000</v>
      </c>
      <c r="AMJ48" s="82">
        <f t="shared" si="1180"/>
        <v>20000000</v>
      </c>
      <c r="AMK48" s="82">
        <f t="shared" si="1180"/>
        <v>20000000</v>
      </c>
      <c r="AML48" s="82">
        <f t="shared" si="1180"/>
        <v>20000000</v>
      </c>
      <c r="AMM48" s="82">
        <f t="shared" si="1180"/>
        <v>20000000</v>
      </c>
      <c r="AMN48" s="82">
        <f t="shared" si="1180"/>
        <v>20000000</v>
      </c>
      <c r="AMO48" s="82">
        <f t="shared" si="1180"/>
        <v>20000000</v>
      </c>
      <c r="AMP48" s="82">
        <f t="shared" si="1180"/>
        <v>20000000</v>
      </c>
      <c r="AMQ48" s="82">
        <f t="shared" si="1180"/>
        <v>20000000</v>
      </c>
      <c r="AMR48" s="82">
        <f t="shared" si="1180"/>
        <v>20000000</v>
      </c>
      <c r="AMS48" s="82">
        <f t="shared" si="1180"/>
        <v>20000000</v>
      </c>
      <c r="AMT48" s="82">
        <f t="shared" si="1180"/>
        <v>20000000</v>
      </c>
      <c r="AMU48" s="82">
        <f t="shared" si="1180"/>
        <v>20000000</v>
      </c>
      <c r="AMV48" s="82">
        <f t="shared" si="1180"/>
        <v>20000000</v>
      </c>
      <c r="AMW48" s="82">
        <f t="shared" si="1180"/>
        <v>20000000</v>
      </c>
      <c r="AMX48" s="82">
        <f t="shared" si="1180"/>
        <v>20000000</v>
      </c>
      <c r="AMY48" s="130"/>
      <c r="AMZ48" s="82">
        <f>AMX48</f>
        <v>20000000</v>
      </c>
      <c r="ANA48" s="82">
        <f t="shared" ref="ANA48:AOC48" si="1181">AMZ48</f>
        <v>20000000</v>
      </c>
      <c r="ANB48" s="82">
        <f t="shared" si="1181"/>
        <v>20000000</v>
      </c>
      <c r="ANC48" s="82">
        <f t="shared" si="1181"/>
        <v>20000000</v>
      </c>
      <c r="AND48" s="82">
        <f t="shared" si="1181"/>
        <v>20000000</v>
      </c>
      <c r="ANE48" s="82">
        <f t="shared" si="1181"/>
        <v>20000000</v>
      </c>
      <c r="ANF48" s="82">
        <f t="shared" si="1181"/>
        <v>20000000</v>
      </c>
      <c r="ANG48" s="82">
        <f t="shared" si="1181"/>
        <v>20000000</v>
      </c>
      <c r="ANH48" s="82">
        <f t="shared" si="1181"/>
        <v>20000000</v>
      </c>
      <c r="ANI48" s="82">
        <f t="shared" si="1181"/>
        <v>20000000</v>
      </c>
      <c r="ANJ48" s="82">
        <f t="shared" si="1181"/>
        <v>20000000</v>
      </c>
      <c r="ANK48" s="82">
        <f t="shared" si="1181"/>
        <v>20000000</v>
      </c>
      <c r="ANL48" s="82">
        <f t="shared" si="1181"/>
        <v>20000000</v>
      </c>
      <c r="ANM48" s="82">
        <f t="shared" si="1181"/>
        <v>20000000</v>
      </c>
      <c r="ANN48" s="82">
        <f t="shared" si="1181"/>
        <v>20000000</v>
      </c>
      <c r="ANO48" s="82">
        <f t="shared" si="1181"/>
        <v>20000000</v>
      </c>
      <c r="ANP48" s="82">
        <f t="shared" si="1181"/>
        <v>20000000</v>
      </c>
      <c r="ANQ48" s="82">
        <f t="shared" si="1181"/>
        <v>20000000</v>
      </c>
      <c r="ANR48" s="82">
        <f t="shared" si="1181"/>
        <v>20000000</v>
      </c>
      <c r="ANS48" s="82">
        <f t="shared" si="1181"/>
        <v>20000000</v>
      </c>
      <c r="ANT48" s="82">
        <f t="shared" si="1181"/>
        <v>20000000</v>
      </c>
      <c r="ANU48" s="82">
        <f t="shared" si="1181"/>
        <v>20000000</v>
      </c>
      <c r="ANV48" s="82">
        <f t="shared" si="1181"/>
        <v>20000000</v>
      </c>
      <c r="ANW48" s="82">
        <f t="shared" si="1181"/>
        <v>20000000</v>
      </c>
      <c r="ANX48" s="82">
        <f t="shared" si="1181"/>
        <v>20000000</v>
      </c>
      <c r="ANY48" s="82">
        <f t="shared" si="1181"/>
        <v>20000000</v>
      </c>
      <c r="ANZ48" s="82">
        <f t="shared" si="1181"/>
        <v>20000000</v>
      </c>
      <c r="AOA48" s="82">
        <f t="shared" si="1181"/>
        <v>20000000</v>
      </c>
      <c r="AOB48" s="82">
        <f t="shared" si="1181"/>
        <v>20000000</v>
      </c>
      <c r="AOC48" s="82">
        <f t="shared" si="1181"/>
        <v>20000000</v>
      </c>
    </row>
    <row r="49" spans="1:1069" x14ac:dyDescent="0.2">
      <c r="A49" s="160"/>
      <c r="B49" s="69" t="s">
        <v>1681</v>
      </c>
      <c r="C49" s="53">
        <f t="shared" ref="C49:AH49" si="1182">C48+C47+C46</f>
        <v>139181755</v>
      </c>
      <c r="D49" s="53">
        <f t="shared" si="1182"/>
        <v>149399826.0000003</v>
      </c>
      <c r="E49" s="53">
        <f t="shared" si="1182"/>
        <v>160315496.80000007</v>
      </c>
      <c r="F49" s="53">
        <f t="shared" si="1182"/>
        <v>172909257.98000038</v>
      </c>
      <c r="G49" s="53">
        <f t="shared" si="1182"/>
        <v>119086793.75000027</v>
      </c>
      <c r="H49" s="53">
        <f t="shared" si="1182"/>
        <v>131526793.75000027</v>
      </c>
      <c r="I49" s="53">
        <f t="shared" si="1182"/>
        <v>145416793.75000027</v>
      </c>
      <c r="J49" s="53">
        <f t="shared" si="1182"/>
        <v>156386793.75000027</v>
      </c>
      <c r="K49" s="53">
        <f t="shared" si="1182"/>
        <v>165251793.75000027</v>
      </c>
      <c r="L49" s="53">
        <f t="shared" si="1182"/>
        <v>177390793.75000027</v>
      </c>
      <c r="M49" s="53">
        <f t="shared" si="1182"/>
        <v>73698793.750000268</v>
      </c>
      <c r="N49" s="53">
        <f t="shared" si="1182"/>
        <v>86695793.750000268</v>
      </c>
      <c r="O49" s="53">
        <f t="shared" si="1182"/>
        <v>99430793.750000268</v>
      </c>
      <c r="P49" s="53">
        <f t="shared" si="1182"/>
        <v>58410089.750000268</v>
      </c>
      <c r="Q49" s="53">
        <f t="shared" si="1182"/>
        <v>69958089.750000268</v>
      </c>
      <c r="R49" s="53">
        <f t="shared" si="1182"/>
        <v>82988089.750000268</v>
      </c>
      <c r="S49" s="53">
        <f t="shared" si="1182"/>
        <v>95634089.750000268</v>
      </c>
      <c r="T49" s="53">
        <f t="shared" si="1182"/>
        <v>44092089.750000268</v>
      </c>
      <c r="U49" s="53">
        <f t="shared" si="1182"/>
        <v>44807089.750000268</v>
      </c>
      <c r="V49" s="53">
        <f t="shared" si="1182"/>
        <v>57407089.750000268</v>
      </c>
      <c r="W49" s="53">
        <f t="shared" si="1182"/>
        <v>67679089.750000268</v>
      </c>
      <c r="X49" s="53">
        <f t="shared" si="1182"/>
        <v>79741089.750000268</v>
      </c>
      <c r="Y49" s="53">
        <f t="shared" si="1182"/>
        <v>45055089.750000268</v>
      </c>
      <c r="Z49" s="53">
        <f t="shared" si="1182"/>
        <v>56295289.750000268</v>
      </c>
      <c r="AA49" s="53">
        <f t="shared" si="1182"/>
        <v>71070289.750000268</v>
      </c>
      <c r="AB49" s="53">
        <f t="shared" si="1182"/>
        <v>87369289.750000268</v>
      </c>
      <c r="AC49" s="53">
        <f t="shared" si="1182"/>
        <v>98719289.750000268</v>
      </c>
      <c r="AD49" s="53">
        <f t="shared" si="1182"/>
        <v>111585289.75000027</v>
      </c>
      <c r="AE49" s="53">
        <f t="shared" si="1182"/>
        <v>48646289.750000268</v>
      </c>
      <c r="AF49" s="53">
        <f t="shared" si="1182"/>
        <v>62877289.750000268</v>
      </c>
      <c r="AG49" s="53">
        <f t="shared" si="1182"/>
        <v>36122289.750000268</v>
      </c>
      <c r="AH49" s="67">
        <f t="shared" si="1182"/>
        <v>36122289.750000268</v>
      </c>
      <c r="AI49" s="53">
        <f t="shared" ref="AI49:BN49" si="1183">AI48+AI47+AI46</f>
        <v>53303289.750000268</v>
      </c>
      <c r="AJ49" s="53">
        <f t="shared" si="1183"/>
        <v>70812289.750000268</v>
      </c>
      <c r="AK49" s="53">
        <f t="shared" si="1183"/>
        <v>86058289.750000268</v>
      </c>
      <c r="AL49" s="53">
        <f t="shared" si="1183"/>
        <v>98797289.750000268</v>
      </c>
      <c r="AM49" s="53">
        <f t="shared" si="1183"/>
        <v>64244289.750000268</v>
      </c>
      <c r="AN49" s="53">
        <f t="shared" si="1183"/>
        <v>73027289.750000268</v>
      </c>
      <c r="AO49" s="53">
        <f t="shared" si="1183"/>
        <v>89494289.750000268</v>
      </c>
      <c r="AP49" s="53">
        <f t="shared" si="1183"/>
        <v>65316289.750000268</v>
      </c>
      <c r="AQ49" s="53">
        <f t="shared" si="1183"/>
        <v>36098289.750000268</v>
      </c>
      <c r="AR49" s="53">
        <f t="shared" si="1183"/>
        <v>49892289.750000268</v>
      </c>
      <c r="AS49" s="53">
        <f t="shared" si="1183"/>
        <v>64869289.750000268</v>
      </c>
      <c r="AT49" s="53">
        <f t="shared" si="1183"/>
        <v>77862289.750000268</v>
      </c>
      <c r="AU49" s="53">
        <f t="shared" si="1183"/>
        <v>90328289.750000268</v>
      </c>
      <c r="AV49" s="53">
        <f t="shared" si="1183"/>
        <v>52022741.750000268</v>
      </c>
      <c r="AW49" s="53">
        <f t="shared" si="1183"/>
        <v>65103741.750000268</v>
      </c>
      <c r="AX49" s="53">
        <f t="shared" si="1183"/>
        <v>78610741.750000268</v>
      </c>
      <c r="AY49" s="53">
        <f t="shared" si="1183"/>
        <v>91431741.750000268</v>
      </c>
      <c r="AZ49" s="53">
        <f t="shared" si="1183"/>
        <v>37851741.750000268</v>
      </c>
      <c r="BA49" s="53">
        <f t="shared" si="1183"/>
        <v>49773741.750000268</v>
      </c>
      <c r="BB49" s="53">
        <f t="shared" si="1183"/>
        <v>62059741.750000268</v>
      </c>
      <c r="BC49" s="53">
        <f t="shared" si="1183"/>
        <v>30121741.750000268</v>
      </c>
      <c r="BD49" s="53">
        <f t="shared" si="1183"/>
        <v>45268741.750000268</v>
      </c>
      <c r="BE49" s="53">
        <f t="shared" si="1183"/>
        <v>60613741.750000268</v>
      </c>
      <c r="BF49" s="53">
        <f t="shared" si="1183"/>
        <v>73069941.750000268</v>
      </c>
      <c r="BG49" s="53">
        <f t="shared" si="1183"/>
        <v>86411941.750000268</v>
      </c>
      <c r="BH49" s="53">
        <f t="shared" si="1183"/>
        <v>23867941.750000268</v>
      </c>
      <c r="BI49" s="53">
        <f t="shared" si="1183"/>
        <v>37778941.750000268</v>
      </c>
      <c r="BJ49" s="53">
        <f t="shared" si="1183"/>
        <v>33250941.750000268</v>
      </c>
      <c r="BK49" s="53">
        <f t="shared" si="1183"/>
        <v>46650941.750000268</v>
      </c>
      <c r="BL49" s="53">
        <f t="shared" si="1183"/>
        <v>60463941.750000268</v>
      </c>
      <c r="BM49" s="53">
        <f t="shared" si="1183"/>
        <v>60463941.750000268</v>
      </c>
      <c r="BN49" s="53">
        <f t="shared" si="1183"/>
        <v>72580941.750000268</v>
      </c>
      <c r="BO49" s="53">
        <f t="shared" ref="BO49:CT49" si="1184">BO48+BO47+BO46</f>
        <v>85453941.750000268</v>
      </c>
      <c r="BP49" s="53">
        <f t="shared" si="1184"/>
        <v>94750941.750000268</v>
      </c>
      <c r="BQ49" s="53">
        <f t="shared" si="1184"/>
        <v>107949941.75000027</v>
      </c>
      <c r="BR49" s="53">
        <f t="shared" si="1184"/>
        <v>50832941.750000268</v>
      </c>
      <c r="BS49" s="53">
        <f t="shared" si="1184"/>
        <v>64964941.750000268</v>
      </c>
      <c r="BT49" s="53">
        <f t="shared" si="1184"/>
        <v>76785941.750000268</v>
      </c>
      <c r="BU49" s="53">
        <f t="shared" si="1184"/>
        <v>89564941.750000268</v>
      </c>
      <c r="BV49" s="53">
        <f t="shared" si="1184"/>
        <v>101298941.75000027</v>
      </c>
      <c r="BW49" s="53">
        <f t="shared" si="1184"/>
        <v>112623941.75000027</v>
      </c>
      <c r="BX49" s="53">
        <f t="shared" si="1184"/>
        <v>124239941.75000027</v>
      </c>
      <c r="BY49" s="53">
        <f t="shared" si="1184"/>
        <v>77819941.750000268</v>
      </c>
      <c r="BZ49" s="53">
        <f t="shared" si="1184"/>
        <v>90797941.750000268</v>
      </c>
      <c r="CA49" s="53">
        <f t="shared" si="1184"/>
        <v>102382464.75000027</v>
      </c>
      <c r="CB49" s="53">
        <f t="shared" si="1184"/>
        <v>114024464.75000027</v>
      </c>
      <c r="CC49" s="53">
        <f t="shared" si="1184"/>
        <v>56140464.750000268</v>
      </c>
      <c r="CD49" s="53">
        <f t="shared" si="1184"/>
        <v>69966464.750000268</v>
      </c>
      <c r="CE49" s="53">
        <f t="shared" si="1184"/>
        <v>80459464.750000268</v>
      </c>
      <c r="CF49" s="53">
        <f t="shared" si="1184"/>
        <v>90758464.750000268</v>
      </c>
      <c r="CG49" s="53">
        <f t="shared" si="1184"/>
        <v>58344464.750000268</v>
      </c>
      <c r="CH49" s="53">
        <f t="shared" si="1184"/>
        <v>71064464.750000268</v>
      </c>
      <c r="CI49" s="53">
        <f t="shared" si="1184"/>
        <v>83972464.750000268</v>
      </c>
      <c r="CJ49" s="53">
        <f t="shared" si="1184"/>
        <v>96053464.750000268</v>
      </c>
      <c r="CK49" s="53">
        <f t="shared" si="1184"/>
        <v>109249464.75000027</v>
      </c>
      <c r="CL49" s="53">
        <f t="shared" si="1184"/>
        <v>49162464.750000268</v>
      </c>
      <c r="CM49" s="53">
        <f t="shared" si="1184"/>
        <v>59860464.750000268</v>
      </c>
      <c r="CN49" s="53">
        <f t="shared" si="1184"/>
        <v>71161464.750000268</v>
      </c>
      <c r="CO49" s="53">
        <f t="shared" si="1184"/>
        <v>85355464.750000268</v>
      </c>
      <c r="CP49" s="53">
        <f t="shared" si="1184"/>
        <v>97792464.750000268</v>
      </c>
      <c r="CQ49" s="53">
        <f t="shared" si="1184"/>
        <v>110083464.75000027</v>
      </c>
      <c r="CR49" s="53">
        <f t="shared" si="1184"/>
        <v>122250464.75000027</v>
      </c>
      <c r="CS49" s="82">
        <f>SUM(BN49:CR49)</f>
        <v>2677747608.2500091</v>
      </c>
      <c r="CT49" s="53">
        <f t="shared" ref="CT49:DW49" si="1185">CT48+CT47+CT46</f>
        <v>75068664.750000268</v>
      </c>
      <c r="CU49" s="53">
        <f t="shared" si="1185"/>
        <v>85816664.750000268</v>
      </c>
      <c r="CV49" s="53">
        <f t="shared" si="1185"/>
        <v>96649664.750000268</v>
      </c>
      <c r="CW49" s="53">
        <f t="shared" si="1185"/>
        <v>115315664.75000027</v>
      </c>
      <c r="CX49" s="53">
        <f t="shared" si="1185"/>
        <v>69701664.750000268</v>
      </c>
      <c r="CY49" s="53">
        <f t="shared" si="1185"/>
        <v>81614664.750000268</v>
      </c>
      <c r="CZ49" s="53">
        <f t="shared" si="1185"/>
        <v>92889664.750000268</v>
      </c>
      <c r="DA49" s="53">
        <f t="shared" si="1185"/>
        <v>107522664.75000027</v>
      </c>
      <c r="DB49" s="53">
        <f t="shared" si="1185"/>
        <v>119849664.75000027</v>
      </c>
      <c r="DC49" s="53">
        <f t="shared" si="1185"/>
        <v>75432664.750000268</v>
      </c>
      <c r="DD49" s="53">
        <f t="shared" si="1185"/>
        <v>90884664.750000268</v>
      </c>
      <c r="DE49" s="53">
        <f t="shared" si="1185"/>
        <v>102580664.75000027</v>
      </c>
      <c r="DF49" s="53">
        <f t="shared" si="1185"/>
        <v>31967664.750000268</v>
      </c>
      <c r="DG49" s="53">
        <f t="shared" si="1185"/>
        <v>44996664.750000268</v>
      </c>
      <c r="DH49" s="53">
        <f t="shared" si="1185"/>
        <v>55371664.750000268</v>
      </c>
      <c r="DI49" s="53">
        <f t="shared" si="1185"/>
        <v>64050664.750000268</v>
      </c>
      <c r="DJ49" s="53">
        <f t="shared" si="1185"/>
        <v>43615743.750000268</v>
      </c>
      <c r="DK49" s="53">
        <f t="shared" si="1185"/>
        <v>56768743.750000268</v>
      </c>
      <c r="DL49" s="53">
        <f t="shared" si="1185"/>
        <v>66306743.750000268</v>
      </c>
      <c r="DM49" s="53">
        <f t="shared" si="1185"/>
        <v>78356743.750000268</v>
      </c>
      <c r="DN49" s="53">
        <f t="shared" si="1185"/>
        <v>88104743.750000268</v>
      </c>
      <c r="DO49" s="53">
        <f t="shared" si="1185"/>
        <v>100179743.75000027</v>
      </c>
      <c r="DP49" s="53">
        <f t="shared" si="1185"/>
        <v>111133743.75000027</v>
      </c>
      <c r="DQ49" s="53">
        <f t="shared" si="1185"/>
        <v>44332243.750000268</v>
      </c>
      <c r="DR49" s="53">
        <f t="shared" si="1185"/>
        <v>56816243.750000268</v>
      </c>
      <c r="DS49" s="53">
        <f t="shared" si="1185"/>
        <v>68650243.750000268</v>
      </c>
      <c r="DT49" s="53">
        <f t="shared" si="1185"/>
        <v>76406243.750000268</v>
      </c>
      <c r="DU49" s="53">
        <f t="shared" si="1185"/>
        <v>39391243.750000268</v>
      </c>
      <c r="DV49" s="53">
        <f t="shared" si="1185"/>
        <v>54413243.750000268</v>
      </c>
      <c r="DW49" s="53">
        <f t="shared" si="1185"/>
        <v>66659243.750000268</v>
      </c>
      <c r="DX49" s="53">
        <f>DW49</f>
        <v>66659243.750000268</v>
      </c>
      <c r="DY49" s="53">
        <f t="shared" ref="DY49:FC49" si="1186">DY48+DY47+DY46</f>
        <v>78119243.750000268</v>
      </c>
      <c r="DZ49" s="53">
        <f t="shared" si="1186"/>
        <v>89696243.750000268</v>
      </c>
      <c r="EA49" s="53">
        <f t="shared" si="1186"/>
        <v>100407243.75000027</v>
      </c>
      <c r="EB49" s="53">
        <f t="shared" si="1186"/>
        <v>109993243.75000027</v>
      </c>
      <c r="EC49" s="53">
        <f t="shared" si="1186"/>
        <v>120315243.75000027</v>
      </c>
      <c r="ED49" s="53">
        <f t="shared" si="1186"/>
        <v>132373243.75000027</v>
      </c>
      <c r="EE49" s="53">
        <f t="shared" si="1186"/>
        <v>145331243.75000027</v>
      </c>
      <c r="EF49" s="53">
        <f t="shared" si="1186"/>
        <v>159197243.75000027</v>
      </c>
      <c r="EG49" s="53">
        <f t="shared" si="1186"/>
        <v>79214243.750000268</v>
      </c>
      <c r="EH49" s="53">
        <f t="shared" si="1186"/>
        <v>91797243.750000268</v>
      </c>
      <c r="EI49" s="53">
        <f t="shared" si="1186"/>
        <v>61824611.750000268</v>
      </c>
      <c r="EJ49" s="53">
        <f t="shared" si="1186"/>
        <v>74982611.750000268</v>
      </c>
      <c r="EK49" s="53">
        <f t="shared" si="1186"/>
        <v>86859611.750000268</v>
      </c>
      <c r="EL49" s="53">
        <f t="shared" si="1186"/>
        <v>51384611.750000268</v>
      </c>
      <c r="EM49" s="53">
        <f t="shared" si="1186"/>
        <v>65711611.750000268</v>
      </c>
      <c r="EN49" s="53">
        <f t="shared" si="1186"/>
        <v>80768611.750000268</v>
      </c>
      <c r="EO49" s="53">
        <f t="shared" si="1186"/>
        <v>94311611.750000268</v>
      </c>
      <c r="EP49" s="53">
        <f t="shared" si="1186"/>
        <v>24644611.750000268</v>
      </c>
      <c r="EQ49" s="53">
        <f t="shared" si="1186"/>
        <v>36795611.750000268</v>
      </c>
      <c r="ER49" s="53">
        <f t="shared" si="1186"/>
        <v>52613611.750000268</v>
      </c>
      <c r="ES49" s="53">
        <f t="shared" si="1186"/>
        <v>68652611.750000268</v>
      </c>
      <c r="ET49" s="53">
        <f t="shared" si="1186"/>
        <v>88817611.750000268</v>
      </c>
      <c r="EU49" s="53">
        <f t="shared" si="1186"/>
        <v>109854611.75000027</v>
      </c>
      <c r="EV49" s="53">
        <f t="shared" si="1186"/>
        <v>126862611.75000027</v>
      </c>
      <c r="EW49" s="53">
        <f t="shared" si="1186"/>
        <v>136130611.75000027</v>
      </c>
      <c r="EX49" s="53">
        <f t="shared" si="1186"/>
        <v>146863611.75000027</v>
      </c>
      <c r="EY49" s="53">
        <f t="shared" si="1186"/>
        <v>158660611.75000027</v>
      </c>
      <c r="EZ49" s="53">
        <f t="shared" si="1186"/>
        <v>169255611.75000027</v>
      </c>
      <c r="FA49" s="53">
        <f t="shared" si="1186"/>
        <v>180864611.75000027</v>
      </c>
      <c r="FB49" s="53">
        <f t="shared" si="1186"/>
        <v>193864611.75000027</v>
      </c>
      <c r="FC49" s="53">
        <f t="shared" si="1186"/>
        <v>108079291.75000027</v>
      </c>
      <c r="FD49" s="126"/>
      <c r="FE49" s="53">
        <f t="shared" ref="FE49:GI49" si="1187">FE48+FE47+FE46</f>
        <v>120141291.75000027</v>
      </c>
      <c r="FF49" s="53">
        <f t="shared" si="1187"/>
        <v>79433291.750000268</v>
      </c>
      <c r="FG49" s="53">
        <f t="shared" si="1187"/>
        <v>90247291.750000268</v>
      </c>
      <c r="FH49" s="53">
        <f t="shared" si="1187"/>
        <v>101754291.75000027</v>
      </c>
      <c r="FI49" s="53">
        <f t="shared" si="1187"/>
        <v>116000291.75000027</v>
      </c>
      <c r="FJ49" s="53">
        <f t="shared" si="1187"/>
        <v>129429291.75000027</v>
      </c>
      <c r="FK49" s="53">
        <f t="shared" si="1187"/>
        <v>141834291.75000027</v>
      </c>
      <c r="FL49" s="53">
        <f t="shared" si="1187"/>
        <v>68934291.750000268</v>
      </c>
      <c r="FM49" s="53">
        <f t="shared" si="1187"/>
        <v>82566291.750000268</v>
      </c>
      <c r="FN49" s="53">
        <f t="shared" si="1187"/>
        <v>92655291.750000268</v>
      </c>
      <c r="FO49" s="53">
        <f t="shared" si="1187"/>
        <v>104336291.75000027</v>
      </c>
      <c r="FP49" s="53">
        <f t="shared" si="1187"/>
        <v>117531291.75000027</v>
      </c>
      <c r="FQ49" s="53">
        <f t="shared" si="1187"/>
        <v>130324291.75000027</v>
      </c>
      <c r="FR49" s="53">
        <f t="shared" si="1187"/>
        <v>142615291.75000027</v>
      </c>
      <c r="FS49" s="53">
        <f t="shared" si="1187"/>
        <v>63843291.750000268</v>
      </c>
      <c r="FT49" s="53">
        <f t="shared" si="1187"/>
        <v>76988291.750000268</v>
      </c>
      <c r="FU49" s="53">
        <f t="shared" si="1187"/>
        <v>86937291.750000268</v>
      </c>
      <c r="FV49" s="53">
        <f t="shared" si="1187"/>
        <v>97767291.750000268</v>
      </c>
      <c r="FW49" s="53">
        <f t="shared" si="1187"/>
        <v>112678291.75000027</v>
      </c>
      <c r="FX49" s="53">
        <f t="shared" si="1187"/>
        <v>128213186.75000027</v>
      </c>
      <c r="FY49" s="53">
        <f t="shared" si="1187"/>
        <v>140391186.75000027</v>
      </c>
      <c r="FZ49" s="53">
        <f t="shared" si="1187"/>
        <v>152164186.75000027</v>
      </c>
      <c r="GA49" s="53">
        <f t="shared" si="1187"/>
        <v>164484186.75000027</v>
      </c>
      <c r="GB49" s="53">
        <f t="shared" si="1187"/>
        <v>75090386.750000268</v>
      </c>
      <c r="GC49" s="53">
        <f t="shared" si="1187"/>
        <v>88452386.750000268</v>
      </c>
      <c r="GD49" s="53">
        <f t="shared" si="1187"/>
        <v>101022386.75000027</v>
      </c>
      <c r="GE49" s="53">
        <f t="shared" si="1187"/>
        <v>112829386.75000027</v>
      </c>
      <c r="GF49" s="53">
        <f t="shared" si="1187"/>
        <v>124339386.75000027</v>
      </c>
      <c r="GG49" s="53">
        <f t="shared" si="1187"/>
        <v>48775386.750000268</v>
      </c>
      <c r="GH49" s="53">
        <f t="shared" si="1187"/>
        <v>61596386.750000268</v>
      </c>
      <c r="GI49" s="53">
        <f t="shared" si="1187"/>
        <v>71991386.750000268</v>
      </c>
      <c r="GJ49" s="130"/>
      <c r="GK49" s="53">
        <f t="shared" ref="GK49:HM49" si="1188">GK48+GK47+GK46</f>
        <v>83400386.750000268</v>
      </c>
      <c r="GL49" s="53">
        <f t="shared" si="1188"/>
        <v>96382386.750000268</v>
      </c>
      <c r="GM49" s="53">
        <f t="shared" si="1188"/>
        <v>113109386.75000027</v>
      </c>
      <c r="GN49" s="53">
        <f t="shared" si="1188"/>
        <v>126860386.75000027</v>
      </c>
      <c r="GO49" s="53">
        <f t="shared" si="1188"/>
        <v>47593386.750000268</v>
      </c>
      <c r="GP49" s="53">
        <f t="shared" si="1188"/>
        <v>59017386.750000268</v>
      </c>
      <c r="GQ49" s="53">
        <f t="shared" si="1188"/>
        <v>72825386.750000268</v>
      </c>
      <c r="GR49" s="53">
        <f t="shared" si="1188"/>
        <v>85077386.750000268</v>
      </c>
      <c r="GS49" s="53">
        <f t="shared" si="1188"/>
        <v>45069386.750000268</v>
      </c>
      <c r="GT49" s="53">
        <f t="shared" si="1188"/>
        <v>57071386.750000268</v>
      </c>
      <c r="GU49" s="53">
        <f t="shared" si="1188"/>
        <v>68627386.750000268</v>
      </c>
      <c r="GV49" s="53">
        <f t="shared" si="1188"/>
        <v>82269386.750000268</v>
      </c>
      <c r="GW49" s="53">
        <f t="shared" si="1188"/>
        <v>57756386.750000268</v>
      </c>
      <c r="GX49" s="53">
        <f t="shared" si="1188"/>
        <v>69455386.750000268</v>
      </c>
      <c r="GY49" s="53">
        <f t="shared" si="1188"/>
        <v>60732386.750000268</v>
      </c>
      <c r="GZ49" s="53">
        <f t="shared" si="1188"/>
        <v>73813386.750000268</v>
      </c>
      <c r="HA49" s="53">
        <f t="shared" si="1188"/>
        <v>86346386.750000268</v>
      </c>
      <c r="HB49" s="53">
        <f t="shared" si="1188"/>
        <v>97901386.750000268</v>
      </c>
      <c r="HC49" s="53">
        <f t="shared" si="1188"/>
        <v>71520015.750000268</v>
      </c>
      <c r="HD49" s="53">
        <f t="shared" si="1188"/>
        <v>82319015.750000268</v>
      </c>
      <c r="HE49" s="53">
        <f t="shared" si="1188"/>
        <v>93830015.750000268</v>
      </c>
      <c r="HF49" s="53">
        <f t="shared" si="1188"/>
        <v>107100015.75000027</v>
      </c>
      <c r="HG49" s="53">
        <f t="shared" si="1188"/>
        <v>118716015.75000027</v>
      </c>
      <c r="HH49" s="53">
        <f t="shared" si="1188"/>
        <v>132421015.75000027</v>
      </c>
      <c r="HI49" s="53">
        <f t="shared" si="1188"/>
        <v>229586140.75000024</v>
      </c>
      <c r="HJ49" s="53">
        <f t="shared" si="1188"/>
        <v>242794140.75000024</v>
      </c>
      <c r="HK49" s="53">
        <f t="shared" si="1188"/>
        <v>254933140.75000024</v>
      </c>
      <c r="HL49" s="53">
        <f t="shared" si="1188"/>
        <v>184687140.75000024</v>
      </c>
      <c r="HM49" s="53">
        <f t="shared" si="1188"/>
        <v>197329140.75000024</v>
      </c>
      <c r="HN49" s="130"/>
      <c r="HO49" s="53">
        <f t="shared" ref="HO49:IS49" si="1189">HO48+HO47+HO46</f>
        <v>210056340.75000024</v>
      </c>
      <c r="HP49" s="53">
        <f t="shared" si="1189"/>
        <v>224780340.75000024</v>
      </c>
      <c r="HQ49" s="53">
        <f t="shared" si="1189"/>
        <v>238999340.75000024</v>
      </c>
      <c r="HR49" s="53">
        <f t="shared" si="1189"/>
        <v>249199340.75000024</v>
      </c>
      <c r="HS49" s="53">
        <f t="shared" si="1189"/>
        <v>170636340.75000024</v>
      </c>
      <c r="HT49" s="53">
        <f t="shared" si="1189"/>
        <v>184918340.75000024</v>
      </c>
      <c r="HU49" s="53">
        <f t="shared" si="1189"/>
        <v>200123340.75000024</v>
      </c>
      <c r="HV49" s="53">
        <f t="shared" si="1189"/>
        <v>212204340.75000024</v>
      </c>
      <c r="HW49" s="53">
        <f t="shared" si="1189"/>
        <v>174788340.75000024</v>
      </c>
      <c r="HX49" s="53">
        <f t="shared" si="1189"/>
        <v>187605340.75000024</v>
      </c>
      <c r="HY49" s="53">
        <f t="shared" si="1189"/>
        <v>200973340.75000024</v>
      </c>
      <c r="HZ49" s="53">
        <f t="shared" si="1189"/>
        <v>213556340.75000024</v>
      </c>
      <c r="IA49" s="53">
        <f t="shared" si="1189"/>
        <v>224016340.75000024</v>
      </c>
      <c r="IB49" s="53">
        <f t="shared" si="1189"/>
        <v>211233340.75000024</v>
      </c>
      <c r="IC49" s="53">
        <f t="shared" si="1189"/>
        <v>132461315.75000024</v>
      </c>
      <c r="ID49" s="53">
        <f t="shared" si="1189"/>
        <v>144290315.75000024</v>
      </c>
      <c r="IE49" s="53">
        <f t="shared" si="1189"/>
        <v>156485315.75000024</v>
      </c>
      <c r="IF49" s="53">
        <f t="shared" si="1189"/>
        <v>170068315.75000024</v>
      </c>
      <c r="IG49" s="53">
        <f t="shared" si="1189"/>
        <v>181563315.75000024</v>
      </c>
      <c r="IH49" s="53">
        <f t="shared" si="1189"/>
        <v>168932315.75000024</v>
      </c>
      <c r="II49" s="53">
        <f t="shared" si="1189"/>
        <v>122626315.75000024</v>
      </c>
      <c r="IJ49" s="53">
        <f t="shared" si="1189"/>
        <v>136062315.75000024</v>
      </c>
      <c r="IK49" s="53">
        <f t="shared" si="1189"/>
        <v>150245315.75000024</v>
      </c>
      <c r="IL49" s="53">
        <f t="shared" si="1189"/>
        <v>161505315.75000024</v>
      </c>
      <c r="IM49" s="53">
        <f t="shared" si="1189"/>
        <v>123232315.75000024</v>
      </c>
      <c r="IN49" s="53">
        <f t="shared" si="1189"/>
        <v>110793315.75000024</v>
      </c>
      <c r="IO49" s="53">
        <f t="shared" si="1189"/>
        <v>124056315.75000024</v>
      </c>
      <c r="IP49" s="53">
        <f t="shared" si="1189"/>
        <v>136778315.75000024</v>
      </c>
      <c r="IQ49" s="53">
        <f t="shared" si="1189"/>
        <v>89853315.750000238</v>
      </c>
      <c r="IR49" s="53">
        <f t="shared" si="1189"/>
        <v>101300315.75000024</v>
      </c>
      <c r="IS49" s="53">
        <f t="shared" si="1189"/>
        <v>110904315.75000024</v>
      </c>
      <c r="IT49" s="130"/>
      <c r="IU49" s="53">
        <f t="shared" ref="IU49:JX49" si="1190">IU48+IU47+IU46</f>
        <v>120863005.75000024</v>
      </c>
      <c r="IV49" s="53">
        <f t="shared" si="1190"/>
        <v>132186005.75000024</v>
      </c>
      <c r="IW49" s="53">
        <f t="shared" si="1190"/>
        <v>102484005.75000024</v>
      </c>
      <c r="IX49" s="53">
        <f t="shared" si="1190"/>
        <v>113185005.75000024</v>
      </c>
      <c r="IY49" s="53">
        <f t="shared" si="1190"/>
        <v>125448005.75000024</v>
      </c>
      <c r="IZ49" s="53">
        <f t="shared" si="1190"/>
        <v>136844005.75000024</v>
      </c>
      <c r="JA49" s="53">
        <f t="shared" si="1190"/>
        <v>146549005.75000024</v>
      </c>
      <c r="JB49" s="53">
        <f t="shared" si="1190"/>
        <v>158056005.75000024</v>
      </c>
      <c r="JC49" s="53">
        <f t="shared" si="1190"/>
        <v>168615005.75000024</v>
      </c>
      <c r="JD49" s="53">
        <f t="shared" si="1190"/>
        <v>181594005.75000024</v>
      </c>
      <c r="JE49" s="53">
        <f t="shared" si="1190"/>
        <v>192271005.75000024</v>
      </c>
      <c r="JF49" s="53">
        <f t="shared" si="1190"/>
        <v>203704005.75000024</v>
      </c>
      <c r="JG49" s="53">
        <f t="shared" si="1190"/>
        <v>113504005.75000024</v>
      </c>
      <c r="JH49" s="53">
        <f t="shared" si="1190"/>
        <v>122152005.75000024</v>
      </c>
      <c r="JI49" s="53">
        <f t="shared" si="1190"/>
        <v>135238005.75000024</v>
      </c>
      <c r="JJ49" s="53">
        <f t="shared" si="1190"/>
        <v>130016714.75000024</v>
      </c>
      <c r="JK49" s="53">
        <f t="shared" si="1190"/>
        <v>140734714.75000024</v>
      </c>
      <c r="JL49" s="53">
        <f t="shared" si="1190"/>
        <v>151594714.75000024</v>
      </c>
      <c r="JM49" s="53">
        <f t="shared" si="1190"/>
        <v>163070714.75000024</v>
      </c>
      <c r="JN49" s="53">
        <f t="shared" si="1190"/>
        <v>120136774.75000024</v>
      </c>
      <c r="JO49" s="53">
        <f t="shared" si="1190"/>
        <v>128995774.75000024</v>
      </c>
      <c r="JP49" s="53">
        <f t="shared" si="1190"/>
        <v>137482774.75000024</v>
      </c>
      <c r="JQ49" s="53">
        <f t="shared" si="1190"/>
        <v>147651774.75000024</v>
      </c>
      <c r="JR49" s="53">
        <f t="shared" si="1190"/>
        <v>158778774.75000024</v>
      </c>
      <c r="JS49" s="53">
        <f t="shared" si="1190"/>
        <v>169420774.75000024</v>
      </c>
      <c r="JT49" s="53">
        <f t="shared" si="1190"/>
        <v>58378774.750000238</v>
      </c>
      <c r="JU49" s="53">
        <f t="shared" si="1190"/>
        <v>70481774.750000238</v>
      </c>
      <c r="JV49" s="53">
        <f t="shared" si="1190"/>
        <v>82216099.750000238</v>
      </c>
      <c r="JW49" s="53">
        <f t="shared" si="1190"/>
        <v>91329099.750000238</v>
      </c>
      <c r="JX49" s="53">
        <f t="shared" si="1190"/>
        <v>102482099.75000024</v>
      </c>
      <c r="JY49" s="140"/>
      <c r="JZ49" s="53">
        <f t="shared" ref="JZ49:LD49" si="1191">JZ48+JZ47+JZ46</f>
        <v>112477099.75000024</v>
      </c>
      <c r="KA49" s="53">
        <f t="shared" si="1191"/>
        <v>63869099.750000238</v>
      </c>
      <c r="KB49" s="53">
        <f t="shared" si="1191"/>
        <v>73788099.750000238</v>
      </c>
      <c r="KC49" s="53">
        <f t="shared" si="1191"/>
        <v>71019099.750000238</v>
      </c>
      <c r="KD49" s="53">
        <f t="shared" si="1191"/>
        <v>83248099.750000238</v>
      </c>
      <c r="KE49" s="53">
        <f t="shared" si="1191"/>
        <v>93964099.750000238</v>
      </c>
      <c r="KF49" s="53">
        <f t="shared" si="1191"/>
        <v>102729099.75000024</v>
      </c>
      <c r="KG49" s="53">
        <f t="shared" si="1191"/>
        <v>113301099.75000024</v>
      </c>
      <c r="KH49" s="53">
        <f t="shared" si="1191"/>
        <v>65620099.750000238</v>
      </c>
      <c r="KI49" s="53">
        <f t="shared" si="1191"/>
        <v>79830099.750000238</v>
      </c>
      <c r="KJ49" s="53">
        <f t="shared" si="1191"/>
        <v>93599099.750000238</v>
      </c>
      <c r="KK49" s="53">
        <f t="shared" si="1191"/>
        <v>105231099.75000024</v>
      </c>
      <c r="KL49" s="53">
        <f t="shared" si="1191"/>
        <v>75727099.750000238</v>
      </c>
      <c r="KM49" s="53">
        <f t="shared" si="1191"/>
        <v>46516099.750000238</v>
      </c>
      <c r="KN49" s="53">
        <f t="shared" si="1191"/>
        <v>55816828.750000238</v>
      </c>
      <c r="KO49" s="53">
        <f t="shared" si="1191"/>
        <v>64404828.750000238</v>
      </c>
      <c r="KP49" s="53">
        <f t="shared" si="1191"/>
        <v>77884828.750000238</v>
      </c>
      <c r="KQ49" s="53">
        <f t="shared" si="1191"/>
        <v>89940828.750000238</v>
      </c>
      <c r="KR49" s="53">
        <f t="shared" si="1191"/>
        <v>101394828.75000024</v>
      </c>
      <c r="KS49" s="53">
        <f t="shared" si="1191"/>
        <v>113910828.75000024</v>
      </c>
      <c r="KT49" s="53">
        <f t="shared" si="1191"/>
        <v>44133828.750000238</v>
      </c>
      <c r="KU49" s="53">
        <f t="shared" si="1191"/>
        <v>54392828.750000238</v>
      </c>
      <c r="KV49" s="53">
        <f t="shared" si="1191"/>
        <v>68092828.750000238</v>
      </c>
      <c r="KW49" s="53">
        <f t="shared" si="1191"/>
        <v>55268828.750000238</v>
      </c>
      <c r="KX49" s="53">
        <f t="shared" si="1191"/>
        <v>66958828.750000238</v>
      </c>
      <c r="KY49" s="53">
        <f t="shared" si="1191"/>
        <v>78953828.750000238</v>
      </c>
      <c r="KZ49" s="53">
        <f t="shared" si="1191"/>
        <v>90042828.750000238</v>
      </c>
      <c r="LA49" s="53">
        <f t="shared" si="1191"/>
        <v>56175828.750000238</v>
      </c>
      <c r="LB49" s="53">
        <f t="shared" si="1191"/>
        <v>68435828.750000238</v>
      </c>
      <c r="LC49" s="53">
        <f t="shared" si="1191"/>
        <v>43617828.750000238</v>
      </c>
      <c r="LD49" s="53">
        <f t="shared" si="1191"/>
        <v>58496828.750000238</v>
      </c>
      <c r="LE49" s="130"/>
      <c r="LF49" s="53">
        <f t="shared" ref="LF49:MI49" si="1192">LF48+LF47+LF46</f>
        <v>72200928.750000238</v>
      </c>
      <c r="LG49" s="53">
        <f t="shared" si="1192"/>
        <v>84043928.750000238</v>
      </c>
      <c r="LH49" s="53">
        <f t="shared" si="1192"/>
        <v>97078928.750000238</v>
      </c>
      <c r="LI49" s="53">
        <f t="shared" si="1192"/>
        <v>110531928.75000024</v>
      </c>
      <c r="LJ49" s="53">
        <f t="shared" si="1192"/>
        <v>123188928.75000024</v>
      </c>
      <c r="LK49" s="53">
        <f t="shared" si="1192"/>
        <v>50356928.750000238</v>
      </c>
      <c r="LL49" s="53">
        <f t="shared" si="1192"/>
        <v>44589928.750000238</v>
      </c>
      <c r="LM49" s="53">
        <f t="shared" si="1192"/>
        <v>60322928.750000238</v>
      </c>
      <c r="LN49" s="53">
        <f t="shared" si="1192"/>
        <v>73878928.750000238</v>
      </c>
      <c r="LO49" s="53">
        <f t="shared" si="1192"/>
        <v>53175928.750000238</v>
      </c>
      <c r="LP49" s="53">
        <f t="shared" si="1192"/>
        <v>65219928.750000238</v>
      </c>
      <c r="LQ49" s="53">
        <f t="shared" si="1192"/>
        <v>78059928.750000238</v>
      </c>
      <c r="LR49" s="53">
        <f t="shared" si="1192"/>
        <v>33424928.750000238</v>
      </c>
      <c r="LS49" s="53">
        <f t="shared" si="1192"/>
        <v>48275928.750000238</v>
      </c>
      <c r="LT49" s="53">
        <f t="shared" si="1192"/>
        <v>62827928.750000238</v>
      </c>
      <c r="LU49" s="53">
        <f t="shared" si="1192"/>
        <v>76082928.750000238</v>
      </c>
      <c r="LV49" s="53">
        <f t="shared" si="1192"/>
        <v>87083928.750000238</v>
      </c>
      <c r="LW49" s="53">
        <f t="shared" si="1192"/>
        <v>31840822.750000238</v>
      </c>
      <c r="LX49" s="53">
        <f t="shared" si="1192"/>
        <v>43769822.750000238</v>
      </c>
      <c r="LY49" s="53">
        <f t="shared" si="1192"/>
        <v>57070822.750000238</v>
      </c>
      <c r="LZ49" s="53">
        <f t="shared" si="1192"/>
        <v>68230822.750000238</v>
      </c>
      <c r="MA49" s="53">
        <f t="shared" si="1192"/>
        <v>81971822.750000238</v>
      </c>
      <c r="MB49" s="53">
        <f t="shared" si="1192"/>
        <v>94979822.750000238</v>
      </c>
      <c r="MC49" s="53">
        <f t="shared" si="1192"/>
        <v>110125822.75000024</v>
      </c>
      <c r="MD49" s="53">
        <f t="shared" si="1192"/>
        <v>123019822.75000024</v>
      </c>
      <c r="ME49" s="53">
        <f t="shared" si="1192"/>
        <v>47239460.750000238</v>
      </c>
      <c r="MF49" s="53">
        <f t="shared" si="1192"/>
        <v>59954460.750000238</v>
      </c>
      <c r="MG49" s="53">
        <f t="shared" si="1192"/>
        <v>70469460.750000238</v>
      </c>
      <c r="MH49" s="53">
        <f t="shared" si="1192"/>
        <v>84102460.750000238</v>
      </c>
      <c r="MI49" s="53">
        <f t="shared" si="1192"/>
        <v>96484460.750000238</v>
      </c>
      <c r="MJ49" s="140"/>
      <c r="MK49" s="53">
        <f t="shared" ref="MK49:NO49" si="1193">MK48+MK47+MK46</f>
        <v>109389460.75000024</v>
      </c>
      <c r="ML49" s="53">
        <f t="shared" si="1193"/>
        <v>88729760.750000238</v>
      </c>
      <c r="MM49" s="53">
        <f t="shared" si="1193"/>
        <v>96973760.750000238</v>
      </c>
      <c r="MN49" s="53">
        <f t="shared" si="1193"/>
        <v>109673760.75000024</v>
      </c>
      <c r="MO49" s="53">
        <f t="shared" si="1193"/>
        <v>122498760.75000024</v>
      </c>
      <c r="MP49" s="53">
        <f t="shared" si="1193"/>
        <v>64693760.750000238</v>
      </c>
      <c r="MQ49" s="53">
        <f t="shared" si="1193"/>
        <v>78677760.750000238</v>
      </c>
      <c r="MR49" s="53">
        <f t="shared" si="1193"/>
        <v>89861760.750000238</v>
      </c>
      <c r="MS49" s="53">
        <f t="shared" si="1193"/>
        <v>100704760.75000024</v>
      </c>
      <c r="MT49" s="53">
        <f t="shared" si="1193"/>
        <v>108759760.75000024</v>
      </c>
      <c r="MU49" s="53">
        <f t="shared" si="1193"/>
        <v>39278760.750000238</v>
      </c>
      <c r="MV49" s="53">
        <f t="shared" si="1193"/>
        <v>50155760.750000238</v>
      </c>
      <c r="MW49" s="53">
        <f t="shared" si="1193"/>
        <v>63779760.750000238</v>
      </c>
      <c r="MX49" s="53">
        <f t="shared" si="1193"/>
        <v>74135760.750000238</v>
      </c>
      <c r="MY49" s="53">
        <f t="shared" si="1193"/>
        <v>84774203.750000238</v>
      </c>
      <c r="MZ49" s="53">
        <f t="shared" si="1193"/>
        <v>97469203.750000238</v>
      </c>
      <c r="NA49" s="53">
        <f t="shared" si="1193"/>
        <v>109147203.75000024</v>
      </c>
      <c r="NB49" s="53">
        <f t="shared" si="1193"/>
        <v>57835203.750000238</v>
      </c>
      <c r="NC49" s="53">
        <f t="shared" si="1193"/>
        <v>70378203.750000238</v>
      </c>
      <c r="ND49" s="53">
        <f t="shared" si="1193"/>
        <v>83693203.750000238</v>
      </c>
      <c r="NE49" s="53">
        <f t="shared" si="1193"/>
        <v>92499203.750000238</v>
      </c>
      <c r="NF49" s="53">
        <f t="shared" si="1193"/>
        <v>24635203.750000238</v>
      </c>
      <c r="NG49" s="53">
        <f t="shared" si="1193"/>
        <v>33748203.750000238</v>
      </c>
      <c r="NH49" s="53">
        <f t="shared" si="1193"/>
        <v>43862953.750000238</v>
      </c>
      <c r="NI49" s="53">
        <f t="shared" si="1193"/>
        <v>55308953.750000238</v>
      </c>
      <c r="NJ49" s="53">
        <f t="shared" si="1193"/>
        <v>67172953.750000238</v>
      </c>
      <c r="NK49" s="53">
        <f t="shared" si="1193"/>
        <v>79907953.750000238</v>
      </c>
      <c r="NL49" s="53">
        <f t="shared" si="1193"/>
        <v>90983953.750000238</v>
      </c>
      <c r="NM49" s="53">
        <f t="shared" si="1193"/>
        <v>42791953.750000238</v>
      </c>
      <c r="NN49" s="53">
        <f t="shared" si="1193"/>
        <v>53828953.750000238</v>
      </c>
      <c r="NO49" s="53">
        <f t="shared" si="1193"/>
        <v>63150953.750000238</v>
      </c>
      <c r="NP49" s="140"/>
      <c r="NQ49" s="53">
        <f t="shared" ref="NQ49:OU49" si="1194">NQ48+NQ47+NQ46</f>
        <v>74594953.750000238</v>
      </c>
      <c r="NR49" s="53">
        <f t="shared" si="1194"/>
        <v>83010953.750000238</v>
      </c>
      <c r="NS49" s="53">
        <f t="shared" si="1194"/>
        <v>93337953.750000238</v>
      </c>
      <c r="NT49" s="53">
        <f t="shared" si="1194"/>
        <v>77181153.750000238</v>
      </c>
      <c r="NU49" s="53">
        <f t="shared" si="1194"/>
        <v>38979153.750000238</v>
      </c>
      <c r="NV49" s="53">
        <f t="shared" si="1194"/>
        <v>52252153.750000238</v>
      </c>
      <c r="NW49" s="53">
        <f t="shared" si="1194"/>
        <v>63609153.750000238</v>
      </c>
      <c r="NX49" s="53">
        <f t="shared" si="1194"/>
        <v>74902153.750000238</v>
      </c>
      <c r="NY49" s="53">
        <f t="shared" si="1194"/>
        <v>86164153.750000238</v>
      </c>
      <c r="NZ49" s="53">
        <f t="shared" si="1194"/>
        <v>98528153.750000238</v>
      </c>
      <c r="OA49" s="53">
        <f t="shared" si="1194"/>
        <v>109556153.75000024</v>
      </c>
      <c r="OB49" s="53">
        <f t="shared" si="1194"/>
        <v>76393153.750000238</v>
      </c>
      <c r="OC49" s="53">
        <f t="shared" si="1194"/>
        <v>49104153.750000238</v>
      </c>
      <c r="OD49" s="53">
        <f t="shared" si="1194"/>
        <v>61251153.750000238</v>
      </c>
      <c r="OE49" s="53">
        <f t="shared" si="1194"/>
        <v>73507153.750000238</v>
      </c>
      <c r="OF49" s="53">
        <f t="shared" si="1194"/>
        <v>84592153.750000238</v>
      </c>
      <c r="OG49" s="53">
        <f t="shared" si="1194"/>
        <v>96642153.750000238</v>
      </c>
      <c r="OH49" s="53">
        <f t="shared" si="1194"/>
        <v>68861153.750000238</v>
      </c>
      <c r="OI49" s="53">
        <f t="shared" si="1194"/>
        <v>42735153.750000238</v>
      </c>
      <c r="OJ49" s="53">
        <f t="shared" si="1194"/>
        <v>54691433.750000238</v>
      </c>
      <c r="OK49" s="53">
        <f t="shared" si="1194"/>
        <v>65710433.750000238</v>
      </c>
      <c r="OL49" s="53">
        <f t="shared" si="1194"/>
        <v>80243883.750000238</v>
      </c>
      <c r="OM49" s="53">
        <f t="shared" si="1194"/>
        <v>94011883.750000238</v>
      </c>
      <c r="ON49" s="53">
        <f t="shared" si="1194"/>
        <v>107899883.75000024</v>
      </c>
      <c r="OO49" s="53">
        <f t="shared" si="1194"/>
        <v>118215883.75000024</v>
      </c>
      <c r="OP49" s="53">
        <f t="shared" si="1194"/>
        <v>128750883.75000024</v>
      </c>
      <c r="OQ49" s="53">
        <f t="shared" si="1194"/>
        <v>139896883.75000024</v>
      </c>
      <c r="OR49" s="53">
        <f t="shared" si="1194"/>
        <v>49479883.750000238</v>
      </c>
      <c r="OS49" s="53">
        <f t="shared" si="1194"/>
        <v>61787883.750000238</v>
      </c>
      <c r="OT49" s="53">
        <f t="shared" si="1194"/>
        <v>74650883.750000238</v>
      </c>
      <c r="OU49" s="53">
        <f t="shared" si="1194"/>
        <v>78550883.750000238</v>
      </c>
      <c r="OV49" s="130"/>
      <c r="OW49" s="53">
        <f t="shared" ref="OW49:PZ49" si="1195">OW48+OW47+OW46</f>
        <v>89755883.750000238</v>
      </c>
      <c r="OX49" s="53">
        <f t="shared" si="1195"/>
        <v>101379883.75000024</v>
      </c>
      <c r="OY49" s="53">
        <f t="shared" si="1195"/>
        <v>64676883.750000238</v>
      </c>
      <c r="OZ49" s="53">
        <f t="shared" si="1195"/>
        <v>74752883.750000238</v>
      </c>
      <c r="PA49" s="53">
        <f t="shared" si="1195"/>
        <v>86927883.750000238</v>
      </c>
      <c r="PB49" s="53">
        <f t="shared" si="1195"/>
        <v>99585883.750000238</v>
      </c>
      <c r="PC49" s="53">
        <f t="shared" si="1195"/>
        <v>113372883.75000024</v>
      </c>
      <c r="PD49" s="53">
        <f t="shared" si="1195"/>
        <v>84811083.750000238</v>
      </c>
      <c r="PE49" s="53">
        <f t="shared" si="1195"/>
        <v>60529583.750000238</v>
      </c>
      <c r="PF49" s="53">
        <f t="shared" si="1195"/>
        <v>70812583.750000238</v>
      </c>
      <c r="PG49" s="53">
        <f t="shared" si="1195"/>
        <v>31341583.750000238</v>
      </c>
      <c r="PH49" s="53">
        <f t="shared" si="1195"/>
        <v>42060583.750000238</v>
      </c>
      <c r="PI49" s="53">
        <f t="shared" si="1195"/>
        <v>55003583.750000238</v>
      </c>
      <c r="PJ49" s="53">
        <f t="shared" si="1195"/>
        <v>69230583.750000238</v>
      </c>
      <c r="PK49" s="53">
        <f t="shared" si="1195"/>
        <v>27995689.750000238</v>
      </c>
      <c r="PL49" s="53">
        <f t="shared" si="1195"/>
        <v>40246689.750000238</v>
      </c>
      <c r="PM49" s="53">
        <f t="shared" si="1195"/>
        <v>51729689.750000238</v>
      </c>
      <c r="PN49" s="53">
        <f t="shared" si="1195"/>
        <v>60669689.750000238</v>
      </c>
      <c r="PO49" s="53">
        <f t="shared" si="1195"/>
        <v>74429689.750000238</v>
      </c>
      <c r="PP49" s="53">
        <f t="shared" si="1195"/>
        <v>83851689.750000238</v>
      </c>
      <c r="PQ49" s="53">
        <f t="shared" si="1195"/>
        <v>61238889.750000238</v>
      </c>
      <c r="PR49" s="53">
        <f t="shared" si="1195"/>
        <v>70082889.750000238</v>
      </c>
      <c r="PS49" s="53">
        <f t="shared" si="1195"/>
        <v>62006889.750000238</v>
      </c>
      <c r="PT49" s="53">
        <f t="shared" si="1195"/>
        <v>72043089.750000238</v>
      </c>
      <c r="PU49" s="53">
        <f t="shared" si="1195"/>
        <v>82080089.750000238</v>
      </c>
      <c r="PV49" s="53">
        <f t="shared" si="1195"/>
        <v>41373089.750000238</v>
      </c>
      <c r="PW49" s="53">
        <f t="shared" si="1195"/>
        <v>53213089.750000238</v>
      </c>
      <c r="PX49" s="53">
        <f t="shared" si="1195"/>
        <v>64357089.750000238</v>
      </c>
      <c r="PY49" s="53">
        <f t="shared" si="1195"/>
        <v>70375089.750000238</v>
      </c>
      <c r="PZ49" s="53">
        <f t="shared" si="1195"/>
        <v>81124089.750000238</v>
      </c>
      <c r="QA49" s="130"/>
      <c r="QB49" s="53">
        <f t="shared" ref="QB49:RF49" si="1196">QB48+QB47+QB46</f>
        <v>92735089.750000238</v>
      </c>
      <c r="QC49" s="53">
        <f t="shared" si="1196"/>
        <v>50082089.750000238</v>
      </c>
      <c r="QD49" s="53">
        <f t="shared" si="1196"/>
        <v>58976089.750000238</v>
      </c>
      <c r="QE49" s="53">
        <f t="shared" si="1196"/>
        <v>71188089.750000238</v>
      </c>
      <c r="QF49" s="53">
        <f t="shared" si="1196"/>
        <v>84384089.750000238</v>
      </c>
      <c r="QG49" s="53">
        <f t="shared" si="1196"/>
        <v>93114089.750000238</v>
      </c>
      <c r="QH49" s="53">
        <f t="shared" si="1196"/>
        <v>105426089.75000024</v>
      </c>
      <c r="QI49" s="53">
        <f t="shared" si="1196"/>
        <v>77310089.750000238</v>
      </c>
      <c r="QJ49" s="53">
        <f t="shared" si="1196"/>
        <v>89194089.750000238</v>
      </c>
      <c r="QK49" s="53">
        <f t="shared" si="1196"/>
        <v>100764089.75000024</v>
      </c>
      <c r="QL49" s="53">
        <f t="shared" si="1196"/>
        <v>75598089.750000238</v>
      </c>
      <c r="QM49" s="53">
        <f t="shared" si="1196"/>
        <v>88343089.750000238</v>
      </c>
      <c r="QN49" s="53">
        <f t="shared" si="1196"/>
        <v>98712089.750000238</v>
      </c>
      <c r="QO49" s="53">
        <f t="shared" si="1196"/>
        <v>55932089.750000238</v>
      </c>
      <c r="QP49" s="53">
        <f t="shared" si="1196"/>
        <v>67364089.750000238</v>
      </c>
      <c r="QQ49" s="53">
        <f t="shared" si="1196"/>
        <v>74430652.750000238</v>
      </c>
      <c r="QR49" s="53">
        <f t="shared" si="1196"/>
        <v>84638652.750000238</v>
      </c>
      <c r="QS49" s="53">
        <f t="shared" si="1196"/>
        <v>99916652.750000238</v>
      </c>
      <c r="QT49" s="53">
        <f t="shared" si="1196"/>
        <v>79081652.750000238</v>
      </c>
      <c r="QU49" s="53">
        <f t="shared" si="1196"/>
        <v>88521652.750000238</v>
      </c>
      <c r="QV49" s="53">
        <f t="shared" si="1196"/>
        <v>47311652.750000238</v>
      </c>
      <c r="QW49" s="53">
        <f t="shared" si="1196"/>
        <v>57038652.750000238</v>
      </c>
      <c r="QX49" s="53">
        <f t="shared" si="1196"/>
        <v>67762652.750000238</v>
      </c>
      <c r="QY49" s="53">
        <f t="shared" si="1196"/>
        <v>47324652.750000238</v>
      </c>
      <c r="QZ49" s="53">
        <f t="shared" si="1196"/>
        <v>59525652.750000238</v>
      </c>
      <c r="RA49" s="53">
        <f t="shared" si="1196"/>
        <v>69589652.750000238</v>
      </c>
      <c r="RB49" s="53">
        <f t="shared" si="1196"/>
        <v>79517652.750000238</v>
      </c>
      <c r="RC49" s="53">
        <f t="shared" si="1196"/>
        <v>87261652.750000238</v>
      </c>
      <c r="RD49" s="53">
        <f t="shared" si="1196"/>
        <v>55438652.750000238</v>
      </c>
      <c r="RE49" s="53">
        <f t="shared" si="1196"/>
        <v>63758652.750000238</v>
      </c>
      <c r="RF49" s="53">
        <f t="shared" si="1196"/>
        <v>74941652.750000238</v>
      </c>
      <c r="RG49" s="130"/>
      <c r="RH49" s="53">
        <f t="shared" ref="RH49:SK49" si="1197">RH48+RH47+RH46</f>
        <v>86695652.750000238</v>
      </c>
      <c r="RI49" s="53">
        <f t="shared" si="1197"/>
        <v>96976652.750000238</v>
      </c>
      <c r="RJ49" s="53">
        <f t="shared" si="1197"/>
        <v>107324652.75000024</v>
      </c>
      <c r="RK49" s="53">
        <f t="shared" si="1197"/>
        <v>118409652.75000024</v>
      </c>
      <c r="RL49" s="53">
        <f t="shared" si="1197"/>
        <v>44590652.750000238</v>
      </c>
      <c r="RM49" s="53">
        <f t="shared" si="1197"/>
        <v>52443652.750000238</v>
      </c>
      <c r="RN49" s="53">
        <f t="shared" si="1197"/>
        <v>59645652.750000238</v>
      </c>
      <c r="RO49" s="53">
        <f t="shared" si="1197"/>
        <v>70462652.750000238</v>
      </c>
      <c r="RP49" s="53">
        <f t="shared" si="1197"/>
        <v>81229652.750000238</v>
      </c>
      <c r="RQ49" s="53">
        <f t="shared" si="1197"/>
        <v>91567652.750000238</v>
      </c>
      <c r="RR49" s="53">
        <f t="shared" si="1197"/>
        <v>102119652.75000024</v>
      </c>
      <c r="RS49" s="53">
        <f t="shared" si="1197"/>
        <v>29704652.750000238</v>
      </c>
      <c r="RT49" s="53">
        <f t="shared" si="1197"/>
        <v>40365652.750000238</v>
      </c>
      <c r="RU49" s="53">
        <f t="shared" si="1197"/>
        <v>49477652.750000238</v>
      </c>
      <c r="RV49" s="53">
        <f t="shared" si="1197"/>
        <v>60119452.750000238</v>
      </c>
      <c r="RW49" s="53">
        <f t="shared" si="1197"/>
        <v>70060452.750000238</v>
      </c>
      <c r="RX49" s="53">
        <f t="shared" si="1197"/>
        <v>78807452.750000238</v>
      </c>
      <c r="RY49" s="53">
        <f t="shared" si="1197"/>
        <v>86899452.750000238</v>
      </c>
      <c r="RZ49" s="53">
        <f t="shared" si="1197"/>
        <v>95507452.750000238</v>
      </c>
      <c r="SA49" s="53">
        <f t="shared" si="1197"/>
        <v>25534774.750000238</v>
      </c>
      <c r="SB49" s="53">
        <f t="shared" si="1197"/>
        <v>35762574.750000238</v>
      </c>
      <c r="SC49" s="53">
        <f t="shared" si="1197"/>
        <v>47094574.750000238</v>
      </c>
      <c r="SD49" s="53">
        <f t="shared" si="1197"/>
        <v>59313574.750000238</v>
      </c>
      <c r="SE49" s="53">
        <f t="shared" si="1197"/>
        <v>67413574.750000238</v>
      </c>
      <c r="SF49" s="53">
        <f t="shared" si="1197"/>
        <v>75370574.750000238</v>
      </c>
      <c r="SG49" s="53">
        <f t="shared" si="1197"/>
        <v>87091574.750000238</v>
      </c>
      <c r="SH49" s="53">
        <f t="shared" si="1197"/>
        <v>95885574.750000238</v>
      </c>
      <c r="SI49" s="53">
        <f t="shared" si="1197"/>
        <v>108261574.75000024</v>
      </c>
      <c r="SJ49" s="53">
        <f t="shared" si="1197"/>
        <v>119396574.75000024</v>
      </c>
      <c r="SK49" s="53">
        <f t="shared" si="1197"/>
        <v>61194774.750000238</v>
      </c>
      <c r="SL49" s="130"/>
      <c r="SM49" s="53">
        <f t="shared" ref="SM49:TQ49" si="1198">SM48+SM47+SM46</f>
        <v>69829774.750000238</v>
      </c>
      <c r="SN49" s="53">
        <f t="shared" si="1198"/>
        <v>81334774.750000238</v>
      </c>
      <c r="SO49" s="53">
        <f t="shared" si="1198"/>
        <v>91142774.750000238</v>
      </c>
      <c r="SP49" s="53">
        <f t="shared" si="1198"/>
        <v>43335774.750000238</v>
      </c>
      <c r="SQ49" s="53">
        <f t="shared" si="1198"/>
        <v>52907774.750000238</v>
      </c>
      <c r="SR49" s="53">
        <f t="shared" si="1198"/>
        <v>63949774.750000238</v>
      </c>
      <c r="SS49" s="53">
        <f t="shared" si="1198"/>
        <v>75900774.750000238</v>
      </c>
      <c r="ST49" s="53">
        <f t="shared" si="1198"/>
        <v>86924774.750000238</v>
      </c>
      <c r="SU49" s="53">
        <f t="shared" si="1198"/>
        <v>98307774.750000238</v>
      </c>
      <c r="SV49" s="53">
        <f t="shared" si="1198"/>
        <v>35312774.750000238</v>
      </c>
      <c r="SW49" s="53">
        <f t="shared" si="1198"/>
        <v>45085774.750000238</v>
      </c>
      <c r="SX49" s="53">
        <f t="shared" si="1198"/>
        <v>55057774.750000238</v>
      </c>
      <c r="SY49" s="53">
        <f t="shared" si="1198"/>
        <v>67085774.750000238</v>
      </c>
      <c r="SZ49" s="53">
        <f t="shared" si="1198"/>
        <v>80032774.750000238</v>
      </c>
      <c r="TA49" s="53">
        <f t="shared" si="1198"/>
        <v>89036274.750000238</v>
      </c>
      <c r="TB49" s="53">
        <f t="shared" si="1198"/>
        <v>99043274.750000238</v>
      </c>
      <c r="TC49" s="53">
        <f t="shared" si="1198"/>
        <v>64529665.750000238</v>
      </c>
      <c r="TD49" s="53">
        <f t="shared" si="1198"/>
        <v>75883665.750000238</v>
      </c>
      <c r="TE49" s="53">
        <f t="shared" si="1198"/>
        <v>85467665.750000238</v>
      </c>
      <c r="TF49" s="53">
        <f t="shared" si="1198"/>
        <v>33432665.750000238</v>
      </c>
      <c r="TG49" s="53">
        <f t="shared" si="1198"/>
        <v>46683665.750000238</v>
      </c>
      <c r="TH49" s="53">
        <f t="shared" si="1198"/>
        <v>58648665.750000238</v>
      </c>
      <c r="TI49" s="53">
        <f t="shared" si="1198"/>
        <v>71311665.750000238</v>
      </c>
      <c r="TJ49" s="53">
        <f t="shared" si="1198"/>
        <v>55885541.750000238</v>
      </c>
      <c r="TK49" s="53">
        <f t="shared" si="1198"/>
        <v>63925541.750000238</v>
      </c>
      <c r="TL49" s="53">
        <f t="shared" si="1198"/>
        <v>73843541.750000238</v>
      </c>
      <c r="TM49" s="53">
        <f t="shared" si="1198"/>
        <v>83234541.750000238</v>
      </c>
      <c r="TN49" s="53">
        <f t="shared" si="1198"/>
        <v>92296541.750000238</v>
      </c>
      <c r="TO49" s="53">
        <f t="shared" si="1198"/>
        <v>100387541.75000024</v>
      </c>
      <c r="TP49" s="53">
        <f t="shared" si="1198"/>
        <v>36354541.750000238</v>
      </c>
      <c r="TQ49" s="53">
        <f t="shared" si="1198"/>
        <v>44182541.750000238</v>
      </c>
      <c r="TR49" s="130"/>
      <c r="TS49" s="53">
        <f t="shared" ref="TS49:UW49" si="1199">TS48+TS47+TS46</f>
        <v>46553741.750000238</v>
      </c>
      <c r="TT49" s="53">
        <f t="shared" si="1199"/>
        <v>56244741.750000238</v>
      </c>
      <c r="TU49" s="53">
        <f t="shared" si="1199"/>
        <v>64041741.750000238</v>
      </c>
      <c r="TV49" s="53">
        <f t="shared" si="1199"/>
        <v>74375741.750000238</v>
      </c>
      <c r="TW49" s="53">
        <f t="shared" si="1199"/>
        <v>81635741.750000238</v>
      </c>
      <c r="TX49" s="53">
        <f t="shared" si="1199"/>
        <v>92470741.750000238</v>
      </c>
      <c r="TY49" s="53">
        <f t="shared" si="1199"/>
        <v>103588741.75000024</v>
      </c>
      <c r="TZ49" s="53">
        <f t="shared" si="1199"/>
        <v>112922741.75000024</v>
      </c>
      <c r="UA49" s="53">
        <f t="shared" si="1199"/>
        <v>71380741.750000238</v>
      </c>
      <c r="UB49" s="53">
        <f t="shared" si="1199"/>
        <v>80972741.750000238</v>
      </c>
      <c r="UC49" s="53">
        <f t="shared" si="1199"/>
        <v>92747741.750000238</v>
      </c>
      <c r="UD49" s="53">
        <f t="shared" si="1199"/>
        <v>81048741.750000238</v>
      </c>
      <c r="UE49" s="53">
        <f t="shared" si="1199"/>
        <v>93138741.750000238</v>
      </c>
      <c r="UF49" s="53">
        <f t="shared" si="1199"/>
        <v>101444741.75000024</v>
      </c>
      <c r="UG49" s="53">
        <f t="shared" si="1199"/>
        <v>111403741.75000024</v>
      </c>
      <c r="UH49" s="53">
        <f t="shared" si="1199"/>
        <v>121032741.75000024</v>
      </c>
      <c r="UI49" s="53">
        <f t="shared" si="1199"/>
        <v>57703740.750000238</v>
      </c>
      <c r="UJ49" s="53">
        <f t="shared" si="1199"/>
        <v>68244740.750000238</v>
      </c>
      <c r="UK49" s="53">
        <f t="shared" si="1199"/>
        <v>79540740.750000238</v>
      </c>
      <c r="UL49" s="53">
        <f t="shared" si="1199"/>
        <v>89464740.750000238</v>
      </c>
      <c r="UM49" s="53">
        <f t="shared" si="1199"/>
        <v>99498740.750000238</v>
      </c>
      <c r="UN49" s="53">
        <f t="shared" si="1199"/>
        <v>111323740.75000024</v>
      </c>
      <c r="UO49" s="53">
        <f t="shared" si="1199"/>
        <v>121004740.75000024</v>
      </c>
      <c r="UP49" s="53">
        <f t="shared" si="1199"/>
        <v>96549740.750000238</v>
      </c>
      <c r="UQ49" s="53">
        <f t="shared" si="1199"/>
        <v>107826740.75000024</v>
      </c>
      <c r="UR49" s="53">
        <f t="shared" si="1199"/>
        <v>53559740.750000238</v>
      </c>
      <c r="US49" s="53">
        <f t="shared" si="1199"/>
        <v>62701740.750000238</v>
      </c>
      <c r="UT49" s="53">
        <f t="shared" si="1199"/>
        <v>72078740.750000238</v>
      </c>
      <c r="UU49" s="53">
        <f t="shared" si="1199"/>
        <v>79145740.750000238</v>
      </c>
      <c r="UV49" s="53">
        <f t="shared" si="1199"/>
        <v>88917740.750000238</v>
      </c>
      <c r="UW49" s="53">
        <f t="shared" si="1199"/>
        <v>101422740.75000024</v>
      </c>
      <c r="UX49" s="130"/>
      <c r="UY49" s="53">
        <f t="shared" ref="UY49:VZ49" si="1200">UY48+UY47+UY46</f>
        <v>112929740.75000024</v>
      </c>
      <c r="UZ49" s="53">
        <f t="shared" si="1200"/>
        <v>122662740.75000024</v>
      </c>
      <c r="VA49" s="53">
        <f t="shared" si="1200"/>
        <v>132914740.75000024</v>
      </c>
      <c r="VB49" s="53">
        <f t="shared" si="1200"/>
        <v>140722740.75000024</v>
      </c>
      <c r="VC49" s="53">
        <f t="shared" si="1200"/>
        <v>151780740.75000024</v>
      </c>
      <c r="VD49" s="53">
        <f t="shared" si="1200"/>
        <v>86872740.750000238</v>
      </c>
      <c r="VE49" s="53">
        <f t="shared" si="1200"/>
        <v>99395740.750000238</v>
      </c>
      <c r="VF49" s="53">
        <f t="shared" si="1200"/>
        <v>111262740.75000024</v>
      </c>
      <c r="VG49" s="53">
        <f t="shared" si="1200"/>
        <v>120791740.75000024</v>
      </c>
      <c r="VH49" s="53">
        <f t="shared" si="1200"/>
        <v>61565740.750000238</v>
      </c>
      <c r="VI49" s="53">
        <f t="shared" si="1200"/>
        <v>69780740.750000238</v>
      </c>
      <c r="VJ49" s="53">
        <f t="shared" si="1200"/>
        <v>80385740.750000238</v>
      </c>
      <c r="VK49" s="53">
        <f t="shared" si="1200"/>
        <v>91450740.750000238</v>
      </c>
      <c r="VL49" s="53">
        <f t="shared" si="1200"/>
        <v>105641740.75000024</v>
      </c>
      <c r="VM49" s="53">
        <f t="shared" si="1200"/>
        <v>80246940.750000238</v>
      </c>
      <c r="VN49" s="53">
        <f t="shared" si="1200"/>
        <v>89578940.750000238</v>
      </c>
      <c r="VO49" s="53">
        <f t="shared" si="1200"/>
        <v>101421940.75000024</v>
      </c>
      <c r="VP49" s="53">
        <f t="shared" si="1200"/>
        <v>112660940.75000024</v>
      </c>
      <c r="VQ49" s="53">
        <f t="shared" si="1200"/>
        <v>69547940.750000238</v>
      </c>
      <c r="VR49" s="53">
        <f t="shared" si="1200"/>
        <v>80020214.750000238</v>
      </c>
      <c r="VS49" s="53">
        <f t="shared" si="1200"/>
        <v>70280464.750000238</v>
      </c>
      <c r="VT49" s="53">
        <f t="shared" si="1200"/>
        <v>81937464.750000238</v>
      </c>
      <c r="VU49" s="53">
        <f t="shared" si="1200"/>
        <v>91701464.750000238</v>
      </c>
      <c r="VV49" s="53">
        <f t="shared" si="1200"/>
        <v>102461464.75000024</v>
      </c>
      <c r="VW49" s="53">
        <f t="shared" si="1200"/>
        <v>110509464.75000024</v>
      </c>
      <c r="VX49" s="53">
        <f t="shared" si="1200"/>
        <v>120547464.75000024</v>
      </c>
      <c r="VY49" s="53">
        <f t="shared" si="1200"/>
        <v>129125464.75000024</v>
      </c>
      <c r="VZ49" s="53">
        <f t="shared" si="1200"/>
        <v>139320464.75000024</v>
      </c>
      <c r="WA49" s="140"/>
      <c r="WB49" s="53">
        <f t="shared" ref="WB49:XF49" si="1201">WB48+WB47+WB46</f>
        <v>101389664.75000024</v>
      </c>
      <c r="WC49" s="53">
        <f t="shared" si="1201"/>
        <v>110619664.75000024</v>
      </c>
      <c r="WD49" s="53">
        <f t="shared" si="1201"/>
        <v>87830664.750000238</v>
      </c>
      <c r="WE49" s="53">
        <f t="shared" si="1201"/>
        <v>95333664.750000238</v>
      </c>
      <c r="WF49" s="53">
        <f t="shared" si="1201"/>
        <v>103667664.75000024</v>
      </c>
      <c r="WG49" s="53">
        <f t="shared" si="1201"/>
        <v>110021664.75000024</v>
      </c>
      <c r="WH49" s="53">
        <f t="shared" si="1201"/>
        <v>54734664.750000238</v>
      </c>
      <c r="WI49" s="53">
        <f t="shared" si="1201"/>
        <v>66165664.750000238</v>
      </c>
      <c r="WJ49" s="53">
        <f t="shared" si="1201"/>
        <v>76382664.750000238</v>
      </c>
      <c r="WK49" s="53">
        <f t="shared" si="1201"/>
        <v>86820664.750000238</v>
      </c>
      <c r="WL49" s="53">
        <f t="shared" si="1201"/>
        <v>73559664.750000238</v>
      </c>
      <c r="WM49" s="53">
        <f t="shared" si="1201"/>
        <v>82786664.750000238</v>
      </c>
      <c r="WN49" s="53">
        <f t="shared" si="1201"/>
        <v>91547664.750000238</v>
      </c>
      <c r="WO49" s="53">
        <f t="shared" si="1201"/>
        <v>101281664.75000024</v>
      </c>
      <c r="WP49" s="53">
        <f t="shared" si="1201"/>
        <v>112961664.75000024</v>
      </c>
      <c r="WQ49" s="53">
        <f t="shared" si="1201"/>
        <v>120462664.75000024</v>
      </c>
      <c r="WR49" s="53">
        <f t="shared" si="1201"/>
        <v>68648911.750000238</v>
      </c>
      <c r="WS49" s="53">
        <f t="shared" si="1201"/>
        <v>79017911.750000238</v>
      </c>
      <c r="WT49" s="53">
        <f t="shared" si="1201"/>
        <v>90079911.750000238</v>
      </c>
      <c r="WU49" s="53">
        <f t="shared" si="1201"/>
        <v>100340911.75000024</v>
      </c>
      <c r="WV49" s="53">
        <f t="shared" si="1201"/>
        <v>110319911.75000024</v>
      </c>
      <c r="WW49" s="53">
        <f t="shared" si="1201"/>
        <v>119821911.75000024</v>
      </c>
      <c r="WX49" s="53">
        <f t="shared" si="1201"/>
        <v>129512911.75000024</v>
      </c>
      <c r="WY49" s="53">
        <f t="shared" si="1201"/>
        <v>139520911.75000024</v>
      </c>
      <c r="WZ49" s="53">
        <f t="shared" si="1201"/>
        <v>148677911.75000024</v>
      </c>
      <c r="XA49" s="53">
        <f t="shared" si="1201"/>
        <v>157776911.75000024</v>
      </c>
      <c r="XB49" s="53">
        <f t="shared" si="1201"/>
        <v>168830911.75000024</v>
      </c>
      <c r="XC49" s="53">
        <f t="shared" si="1201"/>
        <v>59508911.750000238</v>
      </c>
      <c r="XD49" s="53">
        <f t="shared" si="1201"/>
        <v>73293911.750000238</v>
      </c>
      <c r="XE49" s="53">
        <f t="shared" si="1201"/>
        <v>46053911.750000238</v>
      </c>
      <c r="XF49" s="53">
        <f t="shared" si="1201"/>
        <v>55857911.750000238</v>
      </c>
      <c r="XG49" s="140"/>
      <c r="XH49" s="53">
        <f t="shared" ref="XH49:YK49" si="1202">XH48+XH47+XH46</f>
        <v>64915911.750000238</v>
      </c>
      <c r="XI49" s="53">
        <f t="shared" si="1202"/>
        <v>74488911.750000238</v>
      </c>
      <c r="XJ49" s="53">
        <f t="shared" si="1202"/>
        <v>83256911.750000238</v>
      </c>
      <c r="XK49" s="53">
        <f t="shared" si="1202"/>
        <v>91768911.750000238</v>
      </c>
      <c r="XL49" s="53">
        <f t="shared" si="1202"/>
        <v>103761911.75000024</v>
      </c>
      <c r="XM49" s="53">
        <f t="shared" si="1202"/>
        <v>112772911.75000024</v>
      </c>
      <c r="XN49" s="53">
        <f t="shared" si="1202"/>
        <v>124390911.75000024</v>
      </c>
      <c r="XO49" s="53">
        <f t="shared" si="1202"/>
        <v>134630911.75000024</v>
      </c>
      <c r="XP49" s="53">
        <f t="shared" si="1202"/>
        <v>75947911.750000238</v>
      </c>
      <c r="XQ49" s="53">
        <f t="shared" si="1202"/>
        <v>87576911.750000238</v>
      </c>
      <c r="XR49" s="53">
        <f t="shared" si="1202"/>
        <v>97047911.750000238</v>
      </c>
      <c r="XS49" s="53">
        <f t="shared" si="1202"/>
        <v>107283120.75000024</v>
      </c>
      <c r="XT49" s="53">
        <f t="shared" si="1202"/>
        <v>117264120.75000024</v>
      </c>
      <c r="XU49" s="53">
        <f t="shared" si="1202"/>
        <v>127090120.75000024</v>
      </c>
      <c r="XV49" s="53">
        <f t="shared" si="1202"/>
        <v>137338120.75000024</v>
      </c>
      <c r="XW49" s="53">
        <f t="shared" si="1202"/>
        <v>79182120.750000238</v>
      </c>
      <c r="XX49" s="53">
        <f t="shared" si="1202"/>
        <v>54779195.750000238</v>
      </c>
      <c r="XY49" s="53">
        <f t="shared" si="1202"/>
        <v>64446195.750000238</v>
      </c>
      <c r="XZ49" s="53">
        <f t="shared" si="1202"/>
        <v>75612195.750000238</v>
      </c>
      <c r="YA49" s="53">
        <f t="shared" si="1202"/>
        <v>83183195.750000238</v>
      </c>
      <c r="YB49" s="53">
        <f t="shared" si="1202"/>
        <v>92212195.750000238</v>
      </c>
      <c r="YC49" s="53">
        <f t="shared" si="1202"/>
        <v>102706195.75000024</v>
      </c>
      <c r="YD49" s="53">
        <f t="shared" si="1202"/>
        <v>58493195.750000238</v>
      </c>
      <c r="YE49" s="53">
        <f t="shared" si="1202"/>
        <v>68773195.750000238</v>
      </c>
      <c r="YF49" s="53">
        <f t="shared" si="1202"/>
        <v>78013195.750000238</v>
      </c>
      <c r="YG49" s="53">
        <f t="shared" si="1202"/>
        <v>88759195.750000238</v>
      </c>
      <c r="YH49" s="53">
        <f t="shared" si="1202"/>
        <v>98544195.750000238</v>
      </c>
      <c r="YI49" s="53">
        <f t="shared" si="1202"/>
        <v>108646195.75000024</v>
      </c>
      <c r="YJ49" s="53">
        <f t="shared" si="1202"/>
        <v>118692195.75000024</v>
      </c>
      <c r="YK49" s="53">
        <f t="shared" si="1202"/>
        <v>42086235.750000238</v>
      </c>
      <c r="YL49" s="130"/>
      <c r="YM49" s="53">
        <f t="shared" ref="YM49:ZQ49" si="1203">YM48+YM47+YM46</f>
        <v>50189235.750000238</v>
      </c>
      <c r="YN49" s="53">
        <f t="shared" si="1203"/>
        <v>61493235.750000238</v>
      </c>
      <c r="YO49" s="53">
        <f t="shared" si="1203"/>
        <v>72616235.750000238</v>
      </c>
      <c r="YP49" s="53">
        <f t="shared" si="1203"/>
        <v>86240035.750000238</v>
      </c>
      <c r="YQ49" s="53">
        <f t="shared" si="1203"/>
        <v>97884035.750000238</v>
      </c>
      <c r="YR49" s="53">
        <f t="shared" si="1203"/>
        <v>107859035.75000024</v>
      </c>
      <c r="YS49" s="53">
        <f t="shared" si="1203"/>
        <v>117027035.75000024</v>
      </c>
      <c r="YT49" s="53">
        <f t="shared" si="1203"/>
        <v>118805035.75000024</v>
      </c>
      <c r="YU49" s="53">
        <f t="shared" si="1203"/>
        <v>126846035.75000024</v>
      </c>
      <c r="YV49" s="53">
        <f t="shared" si="1203"/>
        <v>138621035.75000024</v>
      </c>
      <c r="YW49" s="53">
        <f t="shared" si="1203"/>
        <v>147024035.75000024</v>
      </c>
      <c r="YX49" s="53">
        <f t="shared" si="1203"/>
        <v>156864035.75000024</v>
      </c>
      <c r="YY49" s="53">
        <f t="shared" si="1203"/>
        <v>166515035.75000024</v>
      </c>
      <c r="YZ49" s="53">
        <f t="shared" si="1203"/>
        <v>177795035.75000024</v>
      </c>
      <c r="ZA49" s="53">
        <f t="shared" si="1203"/>
        <v>187258035.75000024</v>
      </c>
      <c r="ZB49" s="53">
        <f t="shared" si="1203"/>
        <v>66810035.750000238</v>
      </c>
      <c r="ZC49" s="53">
        <f t="shared" si="1203"/>
        <v>79705035.750000238</v>
      </c>
      <c r="ZD49" s="53">
        <f t="shared" si="1203"/>
        <v>89699035.750000238</v>
      </c>
      <c r="ZE49" s="53">
        <f t="shared" si="1203"/>
        <v>101500035.75000024</v>
      </c>
      <c r="ZF49" s="53">
        <f t="shared" si="1203"/>
        <v>81806359.750000238</v>
      </c>
      <c r="ZG49" s="53">
        <f t="shared" si="1203"/>
        <v>92146359.750000238</v>
      </c>
      <c r="ZH49" s="53">
        <f t="shared" si="1203"/>
        <v>104010359.75000024</v>
      </c>
      <c r="ZI49" s="53">
        <f t="shared" si="1203"/>
        <v>116737359.75000024</v>
      </c>
      <c r="ZJ49" s="53">
        <f t="shared" si="1203"/>
        <v>131120359.75000024</v>
      </c>
      <c r="ZK49" s="53">
        <f t="shared" si="1203"/>
        <v>143670359.75000024</v>
      </c>
      <c r="ZL49" s="53">
        <f t="shared" si="1203"/>
        <v>155455359.75000024</v>
      </c>
      <c r="ZM49" s="53">
        <f t="shared" si="1203"/>
        <v>47204359.750000238</v>
      </c>
      <c r="ZN49" s="53">
        <f t="shared" si="1203"/>
        <v>59941359.750000238</v>
      </c>
      <c r="ZO49" s="53">
        <f t="shared" si="1203"/>
        <v>69983359.750000238</v>
      </c>
      <c r="ZP49" s="53">
        <f t="shared" si="1203"/>
        <v>82383359.750000238</v>
      </c>
      <c r="ZQ49" s="53">
        <f t="shared" si="1203"/>
        <v>95430359.750000238</v>
      </c>
      <c r="ZR49" s="130"/>
      <c r="ZS49" s="53">
        <f t="shared" ref="ZS49:AAV49" si="1204">ZS48+ZS47+ZS46</f>
        <v>105666559.75000024</v>
      </c>
      <c r="ZT49" s="53">
        <f t="shared" si="1204"/>
        <v>115457559.75000024</v>
      </c>
      <c r="ZU49" s="53">
        <f t="shared" si="1204"/>
        <v>125202559.75000024</v>
      </c>
      <c r="ZV49" s="53">
        <f t="shared" si="1204"/>
        <v>134322559.75000024</v>
      </c>
      <c r="ZW49" s="53">
        <f t="shared" si="1204"/>
        <v>146408559.75000024</v>
      </c>
      <c r="ZX49" s="53">
        <f t="shared" si="1204"/>
        <v>157473559.75000024</v>
      </c>
      <c r="ZY49" s="53">
        <f t="shared" si="1204"/>
        <v>170911559.75000024</v>
      </c>
      <c r="ZZ49" s="53">
        <f t="shared" si="1204"/>
        <v>36609559.750000238</v>
      </c>
      <c r="AAA49" s="53">
        <f t="shared" si="1204"/>
        <v>46922559.750000238</v>
      </c>
      <c r="AAB49" s="53">
        <f t="shared" si="1204"/>
        <v>58600559.750000238</v>
      </c>
      <c r="AAC49" s="53">
        <f t="shared" si="1204"/>
        <v>69788559.750000238</v>
      </c>
      <c r="AAD49" s="53">
        <f t="shared" si="1204"/>
        <v>49914559.750000238</v>
      </c>
      <c r="AAE49" s="53">
        <f t="shared" si="1204"/>
        <v>63666559.750000238</v>
      </c>
      <c r="AAF49" s="53">
        <f t="shared" si="1204"/>
        <v>75578885.750000238</v>
      </c>
      <c r="AAG49" s="53">
        <f t="shared" si="1204"/>
        <v>86068885.750000238</v>
      </c>
      <c r="AAH49" s="53">
        <f t="shared" si="1204"/>
        <v>98289885.750000238</v>
      </c>
      <c r="AAI49" s="53">
        <f t="shared" si="1204"/>
        <v>49307885.750000238</v>
      </c>
      <c r="AAJ49" s="53">
        <f t="shared" si="1204"/>
        <v>63168885.750000238</v>
      </c>
      <c r="AAK49" s="53">
        <f t="shared" si="1204"/>
        <v>73337885.750000238</v>
      </c>
      <c r="AAL49" s="53">
        <f t="shared" si="1204"/>
        <v>81916885.750000238</v>
      </c>
      <c r="AAM49" s="53">
        <f t="shared" si="1204"/>
        <v>95178885.750000238</v>
      </c>
      <c r="AAN49" s="53">
        <f t="shared" si="1204"/>
        <v>103085885.75000024</v>
      </c>
      <c r="AAO49" s="53">
        <f t="shared" si="1204"/>
        <v>115467885.75000024</v>
      </c>
      <c r="AAP49" s="53">
        <f t="shared" si="1204"/>
        <v>46086385.750000238</v>
      </c>
      <c r="AAQ49" s="53">
        <f t="shared" si="1204"/>
        <v>57524385.750000238</v>
      </c>
      <c r="AAR49" s="53">
        <f t="shared" si="1204"/>
        <v>67982385.750000238</v>
      </c>
      <c r="AAS49" s="53">
        <f t="shared" si="1204"/>
        <v>80001385.750000238</v>
      </c>
      <c r="AAT49" s="53">
        <f t="shared" si="1204"/>
        <v>89838385.750000238</v>
      </c>
      <c r="AAU49" s="53">
        <f t="shared" si="1204"/>
        <v>52197385.750000238</v>
      </c>
      <c r="AAV49" s="53">
        <f t="shared" si="1204"/>
        <v>62413385.750000238</v>
      </c>
      <c r="AAW49" s="130"/>
      <c r="AAX49" s="53">
        <f t="shared" ref="AAX49:ACB49" si="1205">AAX48+AAX47+AAX46</f>
        <v>72461585.750000238</v>
      </c>
      <c r="AAY49" s="53">
        <f t="shared" si="1205"/>
        <v>79920585.750000238</v>
      </c>
      <c r="AAZ49" s="53">
        <f t="shared" si="1205"/>
        <v>91979585.750000238</v>
      </c>
      <c r="ABA49" s="53">
        <f t="shared" si="1205"/>
        <v>73155585.750000238</v>
      </c>
      <c r="ABB49" s="53">
        <f t="shared" si="1205"/>
        <v>86345585.750000238</v>
      </c>
      <c r="ABC49" s="53">
        <f t="shared" si="1205"/>
        <v>97463585.750000238</v>
      </c>
      <c r="ABD49" s="53">
        <f t="shared" si="1205"/>
        <v>110667585.75000024</v>
      </c>
      <c r="ABE49" s="53">
        <f t="shared" si="1205"/>
        <v>40797585.750000238</v>
      </c>
      <c r="ABF49" s="53">
        <f t="shared" si="1205"/>
        <v>51902585.750000238</v>
      </c>
      <c r="ABG49" s="53">
        <f t="shared" si="1205"/>
        <v>65658585.750000238</v>
      </c>
      <c r="ABH49" s="53">
        <f t="shared" si="1205"/>
        <v>76751585.750000238</v>
      </c>
      <c r="ABI49" s="53">
        <f t="shared" si="1205"/>
        <v>83485585.750000238</v>
      </c>
      <c r="ABJ49" s="53">
        <f t="shared" si="1205"/>
        <v>94210585.750000238</v>
      </c>
      <c r="ABK49" s="53">
        <f t="shared" si="1205"/>
        <v>55548585.750000238</v>
      </c>
      <c r="ABL49" s="53">
        <f t="shared" si="1205"/>
        <v>67060585.750000238</v>
      </c>
      <c r="ABM49" s="53">
        <f t="shared" si="1205"/>
        <v>79227585.750000238</v>
      </c>
      <c r="ABN49" s="53">
        <f t="shared" si="1205"/>
        <v>90717585.750000238</v>
      </c>
      <c r="ABO49" s="53">
        <f t="shared" si="1205"/>
        <v>102961585.75000024</v>
      </c>
      <c r="ABP49" s="53">
        <f t="shared" si="1205"/>
        <v>114391585.75000024</v>
      </c>
      <c r="ABQ49" s="53">
        <f t="shared" si="1205"/>
        <v>125811585.75000024</v>
      </c>
      <c r="ABR49" s="53">
        <f t="shared" si="1205"/>
        <v>33277585.750000238</v>
      </c>
      <c r="ABS49" s="53">
        <f t="shared" si="1205"/>
        <v>42966585.750000238</v>
      </c>
      <c r="ABT49" s="53">
        <f t="shared" si="1205"/>
        <v>54926585.750000238</v>
      </c>
      <c r="ABU49" s="53">
        <f t="shared" si="1205"/>
        <v>67663585.750000238</v>
      </c>
      <c r="ABV49" s="53">
        <f t="shared" si="1205"/>
        <v>80395585.750000238</v>
      </c>
      <c r="ABW49" s="53">
        <f t="shared" si="1205"/>
        <v>91802585.750000238</v>
      </c>
      <c r="ABX49" s="53">
        <f t="shared" si="1205"/>
        <v>102771585.75000024</v>
      </c>
      <c r="ABY49" s="53">
        <f t="shared" si="1205"/>
        <v>114024585.75000024</v>
      </c>
      <c r="ABZ49" s="53">
        <f t="shared" si="1205"/>
        <v>124521585.75000024</v>
      </c>
      <c r="ACA49" s="53">
        <f t="shared" si="1205"/>
        <v>134891585.75000024</v>
      </c>
      <c r="ACB49" s="53">
        <f t="shared" si="1205"/>
        <v>143037241.75000024</v>
      </c>
      <c r="ACC49" s="130"/>
      <c r="ACD49" s="53">
        <f t="shared" ref="ACD49:ADH49" si="1206">ACD48+ACD47+ACD46</f>
        <v>156274241.75000024</v>
      </c>
      <c r="ACE49" s="53">
        <f t="shared" si="1206"/>
        <v>168774241.75000024</v>
      </c>
      <c r="ACF49" s="53">
        <f t="shared" si="1206"/>
        <v>181948241.75000024</v>
      </c>
      <c r="ACG49" s="53">
        <f t="shared" si="1206"/>
        <v>63091741.750000238</v>
      </c>
      <c r="ACH49" s="53">
        <f t="shared" si="1206"/>
        <v>76254741.750000238</v>
      </c>
      <c r="ACI49" s="53">
        <f t="shared" si="1206"/>
        <v>85620741.750000238</v>
      </c>
      <c r="ACJ49" s="53">
        <f t="shared" si="1206"/>
        <v>63510299.750000238</v>
      </c>
      <c r="ACK49" s="53">
        <f t="shared" si="1206"/>
        <v>75038299.750000238</v>
      </c>
      <c r="ACL49" s="53">
        <f t="shared" si="1206"/>
        <v>86796299.750000238</v>
      </c>
      <c r="ACM49" s="53">
        <f t="shared" si="1206"/>
        <v>97083299.750000238</v>
      </c>
      <c r="ACN49" s="53">
        <f t="shared" si="1206"/>
        <v>110434299.75000024</v>
      </c>
      <c r="ACO49" s="53">
        <f t="shared" si="1206"/>
        <v>120731299.75000024</v>
      </c>
      <c r="ACP49" s="53">
        <f t="shared" si="1206"/>
        <v>129403299.75000024</v>
      </c>
      <c r="ACQ49" s="53">
        <f t="shared" si="1206"/>
        <v>74584299.750000238</v>
      </c>
      <c r="ACR49" s="53">
        <f t="shared" si="1206"/>
        <v>86965299.750000238</v>
      </c>
      <c r="ACS49" s="53">
        <f t="shared" si="1206"/>
        <v>96608299.750000238</v>
      </c>
      <c r="ACT49" s="53">
        <f t="shared" si="1206"/>
        <v>39327299.750000238</v>
      </c>
      <c r="ACU49" s="53">
        <f t="shared" si="1206"/>
        <v>50806299.750000238</v>
      </c>
      <c r="ACV49" s="53">
        <f t="shared" si="1206"/>
        <v>60729299.750000238</v>
      </c>
      <c r="ACW49" s="53">
        <f t="shared" si="1206"/>
        <v>72032299.750000238</v>
      </c>
      <c r="ACX49" s="53">
        <f t="shared" si="1206"/>
        <v>84706905.750000238</v>
      </c>
      <c r="ACY49" s="53">
        <f t="shared" si="1206"/>
        <v>95828905.750000238</v>
      </c>
      <c r="ACZ49" s="53">
        <f t="shared" si="1206"/>
        <v>31967905.750000238</v>
      </c>
      <c r="ADA49" s="53">
        <f t="shared" si="1206"/>
        <v>41748905.750000238</v>
      </c>
      <c r="ADB49" s="53">
        <f t="shared" si="1206"/>
        <v>50519905.750000238</v>
      </c>
      <c r="ADC49" s="53">
        <f t="shared" si="1206"/>
        <v>60939905.750000238</v>
      </c>
      <c r="ADD49" s="53">
        <f t="shared" si="1206"/>
        <v>72469905.750000238</v>
      </c>
      <c r="ADE49" s="53">
        <f t="shared" si="1206"/>
        <v>82450905.750000238</v>
      </c>
      <c r="ADF49" s="53">
        <f t="shared" si="1206"/>
        <v>58440905.750000238</v>
      </c>
      <c r="ADG49" s="53">
        <f t="shared" si="1206"/>
        <v>69839905.750000238</v>
      </c>
      <c r="ADH49" s="53">
        <f t="shared" si="1206"/>
        <v>79491905.750000238</v>
      </c>
      <c r="ADI49" s="130"/>
      <c r="ADJ49" s="53">
        <f t="shared" ref="ADJ49:AEM49" si="1207">ADJ48+ADJ47+ADJ46</f>
        <v>88676905.750000238</v>
      </c>
      <c r="ADK49" s="53">
        <f t="shared" si="1207"/>
        <v>47711905.750000238</v>
      </c>
      <c r="ADL49" s="53">
        <f t="shared" si="1207"/>
        <v>5306905.7500002384</v>
      </c>
      <c r="ADM49" s="53">
        <f t="shared" si="1207"/>
        <v>-32470094.249999762</v>
      </c>
      <c r="ADN49" s="53">
        <f t="shared" si="1207"/>
        <v>-70158094.249999762</v>
      </c>
      <c r="ADO49" s="53">
        <f t="shared" si="1207"/>
        <v>-107957094.24999976</v>
      </c>
      <c r="ADP49" s="53">
        <f t="shared" si="1207"/>
        <v>-219389094.24999976</v>
      </c>
      <c r="ADQ49" s="53">
        <f t="shared" si="1207"/>
        <v>-209730094.24999976</v>
      </c>
      <c r="ADR49" s="53">
        <f t="shared" si="1207"/>
        <v>-200203094.24999976</v>
      </c>
      <c r="ADS49" s="53">
        <f t="shared" si="1207"/>
        <v>-191816094.24999976</v>
      </c>
      <c r="ADT49" s="53">
        <f t="shared" si="1207"/>
        <v>-182286094.24999976</v>
      </c>
      <c r="ADU49" s="53">
        <f t="shared" si="1207"/>
        <v>-172916094.24999976</v>
      </c>
      <c r="ADV49" s="53">
        <f t="shared" si="1207"/>
        <v>-160716094.24999976</v>
      </c>
      <c r="ADW49" s="53">
        <f t="shared" si="1207"/>
        <v>63719432.750000238</v>
      </c>
      <c r="ADX49" s="53">
        <f t="shared" si="1207"/>
        <v>74929432.750000238</v>
      </c>
      <c r="ADY49" s="53">
        <f t="shared" si="1207"/>
        <v>86078432.750000238</v>
      </c>
      <c r="ADZ49" s="53">
        <f t="shared" si="1207"/>
        <v>94477432.750000238</v>
      </c>
      <c r="AEA49" s="53">
        <f t="shared" si="1207"/>
        <v>104052432.75000024</v>
      </c>
      <c r="AEB49" s="53">
        <f t="shared" si="1207"/>
        <v>65014932.750000238</v>
      </c>
      <c r="AEC49" s="53">
        <f t="shared" si="1207"/>
        <v>75161932.750000238</v>
      </c>
      <c r="AED49" s="53">
        <f t="shared" si="1207"/>
        <v>84058932.750000238</v>
      </c>
      <c r="AEE49" s="53">
        <f t="shared" si="1207"/>
        <v>94470932.750000238</v>
      </c>
      <c r="AEF49" s="53">
        <f t="shared" si="1207"/>
        <v>104209932.75000024</v>
      </c>
      <c r="AEG49" s="53">
        <f t="shared" si="1207"/>
        <v>112666932.75000024</v>
      </c>
      <c r="AEH49" s="53">
        <f t="shared" si="1207"/>
        <v>50675932.750000238</v>
      </c>
      <c r="AEI49" s="53">
        <f t="shared" si="1207"/>
        <v>62020932.750000238</v>
      </c>
      <c r="AEJ49" s="53">
        <f t="shared" si="1207"/>
        <v>72965932.750000238</v>
      </c>
      <c r="AEK49" s="53">
        <f t="shared" si="1207"/>
        <v>82178932.750000238</v>
      </c>
      <c r="AEL49" s="53">
        <f t="shared" si="1207"/>
        <v>92354932.750000238</v>
      </c>
      <c r="AEM49" s="53">
        <f t="shared" si="1207"/>
        <v>100511932.75000024</v>
      </c>
      <c r="AEN49" s="130"/>
      <c r="AEO49" s="53">
        <f t="shared" ref="AEO49:AFS49" si="1208">AEO48+AEO47+AEO46</f>
        <v>70006832.750000238</v>
      </c>
      <c r="AEP49" s="53">
        <f t="shared" si="1208"/>
        <v>79496832.750000238</v>
      </c>
      <c r="AEQ49" s="53">
        <f t="shared" si="1208"/>
        <v>90632832.750000238</v>
      </c>
      <c r="AER49" s="53">
        <f t="shared" si="1208"/>
        <v>99034832.750000238</v>
      </c>
      <c r="AES49" s="53">
        <f t="shared" si="1208"/>
        <v>51128832.750000238</v>
      </c>
      <c r="AET49" s="53">
        <f t="shared" si="1208"/>
        <v>62455832.750000238</v>
      </c>
      <c r="AEU49" s="53">
        <f t="shared" si="1208"/>
        <v>40407832.750000238</v>
      </c>
      <c r="AEV49" s="53">
        <f t="shared" si="1208"/>
        <v>48824832.750000238</v>
      </c>
      <c r="AEW49" s="53">
        <f t="shared" si="1208"/>
        <v>57435832.750000238</v>
      </c>
      <c r="AEX49" s="53">
        <f t="shared" si="1208"/>
        <v>67517832.750000238</v>
      </c>
      <c r="AEY49" s="53">
        <f t="shared" si="1208"/>
        <v>76901832.750000238</v>
      </c>
      <c r="AEZ49" s="53">
        <f t="shared" si="1208"/>
        <v>85028832.750000238</v>
      </c>
      <c r="AFA49" s="53">
        <f t="shared" si="1208"/>
        <v>93220832.750000238</v>
      </c>
      <c r="AFB49" s="53">
        <f t="shared" si="1208"/>
        <v>53812332.750000238</v>
      </c>
      <c r="AFC49" s="53">
        <f t="shared" si="1208"/>
        <v>64138332.750000238</v>
      </c>
      <c r="AFD49" s="53">
        <f t="shared" si="1208"/>
        <v>75301332.750000238</v>
      </c>
      <c r="AFE49" s="53">
        <f t="shared" si="1208"/>
        <v>85951332.750000238</v>
      </c>
      <c r="AFF49" s="53">
        <f t="shared" si="1208"/>
        <v>96318332.750000238</v>
      </c>
      <c r="AFG49" s="53">
        <f t="shared" si="1208"/>
        <v>62375332.750000238</v>
      </c>
      <c r="AFH49" s="53">
        <f t="shared" si="1208"/>
        <v>72759332.750000238</v>
      </c>
      <c r="AFI49" s="53">
        <f t="shared" si="1208"/>
        <v>84009332.750000238</v>
      </c>
      <c r="AFJ49" s="53">
        <f t="shared" si="1208"/>
        <v>92047332.750000238</v>
      </c>
      <c r="AFK49" s="53">
        <f t="shared" si="1208"/>
        <v>100045332.75000024</v>
      </c>
      <c r="AFL49" s="53">
        <f t="shared" si="1208"/>
        <v>74884053.750000238</v>
      </c>
      <c r="AFM49" s="53">
        <f t="shared" si="1208"/>
        <v>86424053.750000238</v>
      </c>
      <c r="AFN49" s="53">
        <f t="shared" si="1208"/>
        <v>94359053.750000238</v>
      </c>
      <c r="AFO49" s="53">
        <f t="shared" si="1208"/>
        <v>104874053.75000024</v>
      </c>
      <c r="AFP49" s="53">
        <f t="shared" si="1208"/>
        <v>115013053.75000024</v>
      </c>
      <c r="AFQ49" s="53">
        <f t="shared" si="1208"/>
        <v>32855053.750000238</v>
      </c>
      <c r="AFR49" s="53">
        <f t="shared" si="1208"/>
        <v>41085053.750000238</v>
      </c>
      <c r="AFS49" s="53">
        <f t="shared" si="1208"/>
        <v>50871053.750000238</v>
      </c>
      <c r="AFT49" s="130"/>
      <c r="AFU49" s="53">
        <f t="shared" ref="AFU49:AGX49" si="1209">AFU48+AFU47+AFU46</f>
        <v>58916953.750000238</v>
      </c>
      <c r="AFV49" s="53">
        <f t="shared" si="1209"/>
        <v>68719953.750000238</v>
      </c>
      <c r="AFW49" s="53">
        <f t="shared" si="1209"/>
        <v>78501953.750000238</v>
      </c>
      <c r="AFX49" s="53">
        <f t="shared" si="1209"/>
        <v>87934953.750000238</v>
      </c>
      <c r="AFY49" s="53">
        <f t="shared" si="1209"/>
        <v>94984953.750000238</v>
      </c>
      <c r="AFZ49" s="53">
        <f t="shared" si="1209"/>
        <v>103716953.75000024</v>
      </c>
      <c r="AGA49" s="53">
        <f t="shared" si="1209"/>
        <v>60600953.750000238</v>
      </c>
      <c r="AGB49" s="53">
        <f t="shared" si="1209"/>
        <v>72893953.750000238</v>
      </c>
      <c r="AGC49" s="53">
        <f t="shared" si="1209"/>
        <v>85255953.750000238</v>
      </c>
      <c r="AGD49" s="53">
        <f t="shared" si="1209"/>
        <v>97618953.750000238</v>
      </c>
      <c r="AGE49" s="53">
        <f t="shared" si="1209"/>
        <v>109664953.75000024</v>
      </c>
      <c r="AGF49" s="53">
        <f t="shared" si="1209"/>
        <v>43115453.750000238</v>
      </c>
      <c r="AGG49" s="53">
        <f t="shared" si="1209"/>
        <v>54588453.750000238</v>
      </c>
      <c r="AGH49" s="53">
        <f t="shared" si="1209"/>
        <v>66231453.750000238</v>
      </c>
      <c r="AGI49" s="53">
        <f t="shared" si="1209"/>
        <v>77342453.750000238</v>
      </c>
      <c r="AGJ49" s="53">
        <f t="shared" si="1209"/>
        <v>87732453.750000238</v>
      </c>
      <c r="AGK49" s="53">
        <f t="shared" si="1209"/>
        <v>99568453.750000238</v>
      </c>
      <c r="AGL49" s="53">
        <f t="shared" si="1209"/>
        <v>111579453.75000024</v>
      </c>
      <c r="AGM49" s="53">
        <f t="shared" si="1209"/>
        <v>123920453.75000024</v>
      </c>
      <c r="AGN49" s="53">
        <f t="shared" si="1209"/>
        <v>75256444.750000238</v>
      </c>
      <c r="AGO49" s="53">
        <f t="shared" si="1209"/>
        <v>88703444.750000238</v>
      </c>
      <c r="AGP49" s="53">
        <f t="shared" si="1209"/>
        <v>104531444.75000024</v>
      </c>
      <c r="AGQ49" s="53">
        <f t="shared" si="1209"/>
        <v>116199444.75000024</v>
      </c>
      <c r="AGR49" s="53">
        <f t="shared" si="1209"/>
        <v>65341444.750000238</v>
      </c>
      <c r="AGS49" s="53">
        <f t="shared" si="1209"/>
        <v>77734444.750000238</v>
      </c>
      <c r="AGT49" s="53">
        <f t="shared" si="1209"/>
        <v>92013444.750000238</v>
      </c>
      <c r="AGU49" s="53">
        <f t="shared" si="1209"/>
        <v>105025444.75000024</v>
      </c>
      <c r="AGV49" s="53">
        <f t="shared" si="1209"/>
        <v>121784444.75000024</v>
      </c>
      <c r="AGW49" s="53">
        <f t="shared" si="1209"/>
        <v>113115444.75000024</v>
      </c>
      <c r="AGX49" s="53">
        <f t="shared" si="1209"/>
        <v>65796444.750000238</v>
      </c>
      <c r="AGY49" s="140"/>
      <c r="AGZ49" s="53">
        <f t="shared" ref="AGZ49:AID49" si="1210">AGZ48+AGZ47+AGZ46</f>
        <v>78849444.750000238</v>
      </c>
      <c r="AHA49" s="53">
        <f t="shared" si="1210"/>
        <v>92139444.750000238</v>
      </c>
      <c r="AHB49" s="53">
        <f t="shared" si="1210"/>
        <v>103412444.75000024</v>
      </c>
      <c r="AHC49" s="53">
        <f t="shared" si="1210"/>
        <v>117484444.75000024</v>
      </c>
      <c r="AHD49" s="53">
        <f t="shared" si="1210"/>
        <v>103289444.75000024</v>
      </c>
      <c r="AHE49" s="53">
        <f t="shared" si="1210"/>
        <v>115488344.75000024</v>
      </c>
      <c r="AHF49" s="53">
        <f t="shared" si="1210"/>
        <v>127665344.75000024</v>
      </c>
      <c r="AHG49" s="53">
        <f t="shared" si="1210"/>
        <v>141336344.75000024</v>
      </c>
      <c r="AHH49" s="53">
        <f t="shared" si="1210"/>
        <v>154104344.75000024</v>
      </c>
      <c r="AHI49" s="53">
        <f t="shared" si="1210"/>
        <v>166379344.75000024</v>
      </c>
      <c r="AHJ49" s="53">
        <f t="shared" si="1210"/>
        <v>179140344.75000024</v>
      </c>
      <c r="AHK49" s="53">
        <f t="shared" si="1210"/>
        <v>103598344.75000024</v>
      </c>
      <c r="AHL49" s="53">
        <f t="shared" si="1210"/>
        <v>115495158.75000024</v>
      </c>
      <c r="AHM49" s="53">
        <f t="shared" si="1210"/>
        <v>126496158.75000024</v>
      </c>
      <c r="AHN49" s="53">
        <f t="shared" si="1210"/>
        <v>78031158.750000238</v>
      </c>
      <c r="AHO49" s="53">
        <f t="shared" si="1210"/>
        <v>90932158.750000238</v>
      </c>
      <c r="AHP49" s="53">
        <f t="shared" si="1210"/>
        <v>103687158.75000024</v>
      </c>
      <c r="AHQ49" s="53">
        <f t="shared" si="1210"/>
        <v>119179158.75000024</v>
      </c>
      <c r="AHR49" s="53">
        <f t="shared" si="1210"/>
        <v>135094158.75000024</v>
      </c>
      <c r="AHS49" s="53">
        <f t="shared" si="1210"/>
        <v>149216676.75000024</v>
      </c>
      <c r="AHT49" s="53">
        <f t="shared" si="1210"/>
        <v>163073676.75000024</v>
      </c>
      <c r="AHU49" s="53">
        <f t="shared" si="1210"/>
        <v>178368676.75000024</v>
      </c>
      <c r="AHV49" s="53">
        <f t="shared" si="1210"/>
        <v>196467676.75000024</v>
      </c>
      <c r="AHW49" s="53">
        <f t="shared" si="1210"/>
        <v>116215676.75000024</v>
      </c>
      <c r="AHX49" s="53">
        <f t="shared" si="1210"/>
        <v>127886676.75000024</v>
      </c>
      <c r="AHY49" s="53">
        <f t="shared" si="1210"/>
        <v>138888676.75000024</v>
      </c>
      <c r="AHZ49" s="53">
        <f t="shared" si="1210"/>
        <v>149751676.75000024</v>
      </c>
      <c r="AIA49" s="53">
        <f t="shared" si="1210"/>
        <v>148940676.75000024</v>
      </c>
      <c r="AIB49" s="53">
        <f t="shared" si="1210"/>
        <v>160480676.75000024</v>
      </c>
      <c r="AIC49" s="53">
        <f t="shared" si="1210"/>
        <v>172294676.75000024</v>
      </c>
      <c r="AID49" s="53">
        <f t="shared" si="1210"/>
        <v>187142676.75000024</v>
      </c>
      <c r="AIE49" s="130"/>
      <c r="AIF49" s="53">
        <f t="shared" ref="AIF49:AJJ49" si="1211">AIF48+AIF47+AIF46</f>
        <v>123172676.75000024</v>
      </c>
      <c r="AIG49" s="53">
        <f t="shared" si="1211"/>
        <v>134952676.75000024</v>
      </c>
      <c r="AIH49" s="53">
        <f t="shared" si="1211"/>
        <v>147295676.75000024</v>
      </c>
      <c r="AII49" s="53">
        <f t="shared" si="1211"/>
        <v>157499676.75000024</v>
      </c>
      <c r="AIJ49" s="53">
        <f t="shared" si="1211"/>
        <v>125139676.75000024</v>
      </c>
      <c r="AIK49" s="53">
        <f t="shared" si="1211"/>
        <v>98356676.750000238</v>
      </c>
      <c r="AIL49" s="53">
        <f t="shared" si="1211"/>
        <v>107850676.75000024</v>
      </c>
      <c r="AIM49" s="53">
        <f t="shared" si="1211"/>
        <v>109481676.75000024</v>
      </c>
      <c r="AIN49" s="53">
        <f t="shared" si="1211"/>
        <v>121940676.75000024</v>
      </c>
      <c r="AIO49" s="53">
        <f t="shared" si="1211"/>
        <v>137127676.75000024</v>
      </c>
      <c r="AIP49" s="53">
        <f t="shared" si="1211"/>
        <v>149653676.75000024</v>
      </c>
      <c r="AIQ49" s="53">
        <f t="shared" si="1211"/>
        <v>160175676.75000024</v>
      </c>
      <c r="AIR49" s="53">
        <f t="shared" si="1211"/>
        <v>121780642.75000024</v>
      </c>
      <c r="AIS49" s="53">
        <f t="shared" si="1211"/>
        <v>134675642.75000024</v>
      </c>
      <c r="AIT49" s="53">
        <f t="shared" si="1211"/>
        <v>141715642.75000024</v>
      </c>
      <c r="AIU49" s="53">
        <f t="shared" si="1211"/>
        <v>150583642.75000024</v>
      </c>
      <c r="AIV49" s="53">
        <f t="shared" si="1211"/>
        <v>156610642.75000024</v>
      </c>
      <c r="AIW49" s="53">
        <f t="shared" si="1211"/>
        <v>163906642.75000024</v>
      </c>
      <c r="AIX49" s="53">
        <f t="shared" si="1211"/>
        <v>124220642.75000024</v>
      </c>
      <c r="AIY49" s="53">
        <f t="shared" si="1211"/>
        <v>136604642.75000024</v>
      </c>
      <c r="AIZ49" s="53">
        <f t="shared" si="1211"/>
        <v>149993642.75000024</v>
      </c>
      <c r="AJA49" s="53">
        <f t="shared" si="1211"/>
        <v>161945642.75000024</v>
      </c>
      <c r="AJB49" s="53">
        <f t="shared" si="1211"/>
        <v>175157642.75000024</v>
      </c>
      <c r="AJC49" s="53">
        <f t="shared" si="1211"/>
        <v>189011642.75000024</v>
      </c>
      <c r="AJD49" s="53">
        <f t="shared" si="1211"/>
        <v>200740642.75000024</v>
      </c>
      <c r="AJE49" s="53">
        <f t="shared" si="1211"/>
        <v>212124642.75000024</v>
      </c>
      <c r="AJF49" s="53">
        <f t="shared" si="1211"/>
        <v>225301642.75000024</v>
      </c>
      <c r="AJG49" s="53">
        <f t="shared" si="1211"/>
        <v>236439642.75000024</v>
      </c>
      <c r="AJH49" s="53">
        <f t="shared" si="1211"/>
        <v>248923642.75000024</v>
      </c>
      <c r="AJI49" s="53">
        <f t="shared" si="1211"/>
        <v>166578642.75000024</v>
      </c>
      <c r="AJJ49" s="53">
        <f t="shared" si="1211"/>
        <v>179669642.75000024</v>
      </c>
      <c r="AJK49" s="145"/>
      <c r="AJL49" s="53">
        <f t="shared" ref="AJL49:AKM49" si="1212">AJL48+AJL47+AJL46</f>
        <v>133103642.75000024</v>
      </c>
      <c r="AJM49" s="53">
        <f t="shared" si="1212"/>
        <v>146513642.75000024</v>
      </c>
      <c r="AJN49" s="53">
        <f t="shared" si="1212"/>
        <v>159057642.75000024</v>
      </c>
      <c r="AJO49" s="53">
        <f t="shared" si="1212"/>
        <v>169500642.75000024</v>
      </c>
      <c r="AJP49" s="53">
        <f t="shared" si="1212"/>
        <v>182915642.75000024</v>
      </c>
      <c r="AJQ49" s="53">
        <f t="shared" si="1212"/>
        <v>194069642.75000024</v>
      </c>
      <c r="AJR49" s="53">
        <f t="shared" si="1212"/>
        <v>207386642.75000024</v>
      </c>
      <c r="AJS49" s="53">
        <f t="shared" si="1212"/>
        <v>219747642.75000024</v>
      </c>
      <c r="AJT49" s="53">
        <f t="shared" si="1212"/>
        <v>233594642.75000024</v>
      </c>
      <c r="AJU49" s="53">
        <f t="shared" si="1212"/>
        <v>248583642.75000024</v>
      </c>
      <c r="AJV49" s="53">
        <f t="shared" si="1212"/>
        <v>261435642.75000024</v>
      </c>
      <c r="AJW49" s="53">
        <f t="shared" si="1212"/>
        <v>276639642.75000024</v>
      </c>
      <c r="AJX49" s="53">
        <f t="shared" si="1212"/>
        <v>291946642.75000024</v>
      </c>
      <c r="AJY49" s="53">
        <f t="shared" si="1212"/>
        <v>304343642.75000024</v>
      </c>
      <c r="AJZ49" s="53">
        <f t="shared" si="1212"/>
        <v>315915642.75000024</v>
      </c>
      <c r="AKA49" s="53">
        <f t="shared" si="1212"/>
        <v>328081642.75000024</v>
      </c>
      <c r="AKB49" s="53">
        <f t="shared" si="1212"/>
        <v>340909642.75000024</v>
      </c>
      <c r="AKC49" s="53">
        <f t="shared" si="1212"/>
        <v>352719642.75000024</v>
      </c>
      <c r="AKD49" s="53">
        <f t="shared" si="1212"/>
        <v>363590642.75000024</v>
      </c>
      <c r="AKE49" s="53">
        <f t="shared" si="1212"/>
        <v>374619642.75000024</v>
      </c>
      <c r="AKF49" s="53">
        <f t="shared" si="1212"/>
        <v>386789642.75000024</v>
      </c>
      <c r="AKG49" s="53">
        <f t="shared" si="1212"/>
        <v>396611642.75000024</v>
      </c>
      <c r="AKH49" s="53">
        <f t="shared" si="1212"/>
        <v>174456351.75000024</v>
      </c>
      <c r="AKI49" s="53">
        <f t="shared" si="1212"/>
        <v>186322351.75000024</v>
      </c>
      <c r="AKJ49" s="53">
        <f t="shared" si="1212"/>
        <v>198803351.75000024</v>
      </c>
      <c r="AKK49" s="53">
        <f t="shared" si="1212"/>
        <v>209590351.75000024</v>
      </c>
      <c r="AKL49" s="53">
        <f t="shared" si="1212"/>
        <v>141060351.75000024</v>
      </c>
      <c r="AKM49" s="53">
        <f t="shared" si="1212"/>
        <v>152728351.75000024</v>
      </c>
      <c r="AKN49" s="53"/>
      <c r="AKO49" s="53">
        <f t="shared" ref="AKO49:ALS49" si="1213">AKO48+AKO47+AKO46</f>
        <v>158136351.75000024</v>
      </c>
      <c r="AKP49" s="53">
        <f t="shared" si="1213"/>
        <v>169960351.75000024</v>
      </c>
      <c r="AKQ49" s="53">
        <f t="shared" si="1213"/>
        <v>98248351.750000238</v>
      </c>
      <c r="AKR49" s="53">
        <f t="shared" si="1213"/>
        <v>106089351.75000024</v>
      </c>
      <c r="AKS49" s="53">
        <f t="shared" si="1213"/>
        <v>117477351.75000024</v>
      </c>
      <c r="AKT49" s="53">
        <f t="shared" si="1213"/>
        <v>127882351.75000024</v>
      </c>
      <c r="AKU49" s="53">
        <f t="shared" si="1213"/>
        <v>140344351.75000024</v>
      </c>
      <c r="AKV49" s="53">
        <f t="shared" si="1213"/>
        <v>153431351.75000024</v>
      </c>
      <c r="AKW49" s="53">
        <f t="shared" si="1213"/>
        <v>69690351.750000238</v>
      </c>
      <c r="AKX49" s="53">
        <f t="shared" si="1213"/>
        <v>79435351.750000238</v>
      </c>
      <c r="AKY49" s="53">
        <f t="shared" si="1213"/>
        <v>90526351.750000238</v>
      </c>
      <c r="AKZ49" s="53">
        <f t="shared" si="1213"/>
        <v>101906351.75000024</v>
      </c>
      <c r="ALA49" s="53">
        <f t="shared" si="1213"/>
        <v>115743351.75000024</v>
      </c>
      <c r="ALB49" s="53">
        <f t="shared" si="1213"/>
        <v>130280600.75000024</v>
      </c>
      <c r="ALC49" s="53">
        <f t="shared" si="1213"/>
        <v>143227600.75000024</v>
      </c>
      <c r="ALD49" s="53">
        <f t="shared" si="1213"/>
        <v>157950600.75000024</v>
      </c>
      <c r="ALE49" s="53">
        <f t="shared" si="1213"/>
        <v>171667600.75000024</v>
      </c>
      <c r="ALF49" s="53">
        <f t="shared" si="1213"/>
        <v>100016462.75000024</v>
      </c>
      <c r="ALG49" s="53">
        <f t="shared" si="1213"/>
        <v>113644462.75000024</v>
      </c>
      <c r="ALH49" s="53">
        <f t="shared" si="1213"/>
        <v>125677462.75000024</v>
      </c>
      <c r="ALI49" s="53">
        <f t="shared" si="1213"/>
        <v>139926462.75000024</v>
      </c>
      <c r="ALJ49" s="53">
        <f t="shared" si="1213"/>
        <v>153369462.75000024</v>
      </c>
      <c r="ALK49" s="53">
        <f t="shared" si="1213"/>
        <v>187874462.75000024</v>
      </c>
      <c r="ALL49" s="53">
        <f t="shared" si="1213"/>
        <v>77633462.750000238</v>
      </c>
      <c r="ALM49" s="53">
        <f t="shared" si="1213"/>
        <v>91898462.750000238</v>
      </c>
      <c r="ALN49" s="53">
        <f t="shared" si="1213"/>
        <v>105840462.75000024</v>
      </c>
      <c r="ALO49" s="53">
        <f t="shared" si="1213"/>
        <v>120585462.75000024</v>
      </c>
      <c r="ALP49" s="53">
        <f t="shared" si="1213"/>
        <v>135706462.75000024</v>
      </c>
      <c r="ALQ49" s="53">
        <f t="shared" si="1213"/>
        <v>152152462.75000024</v>
      </c>
      <c r="ALR49" s="53">
        <f t="shared" si="1213"/>
        <v>64279462.750000238</v>
      </c>
      <c r="ALS49" s="53">
        <f t="shared" si="1213"/>
        <v>77976462.750000238</v>
      </c>
      <c r="ALT49" s="130"/>
      <c r="ALU49" s="53">
        <f t="shared" ref="ALU49:AMX49" si="1214">ALU48+ALU47+ALU46</f>
        <v>64921462.750000238</v>
      </c>
      <c r="ALV49" s="53">
        <f t="shared" si="1214"/>
        <v>78853389.750000238</v>
      </c>
      <c r="ALW49" s="53">
        <f t="shared" si="1214"/>
        <v>91916389.750000238</v>
      </c>
      <c r="ALX49" s="53">
        <f t="shared" si="1214"/>
        <v>108098389.75000024</v>
      </c>
      <c r="ALY49" s="53">
        <f t="shared" si="1214"/>
        <v>117485389.75000024</v>
      </c>
      <c r="ALZ49" s="53">
        <f t="shared" si="1214"/>
        <v>127721389.75000024</v>
      </c>
      <c r="AMA49" s="53">
        <f t="shared" si="1214"/>
        <v>142884389.75000024</v>
      </c>
      <c r="AMB49" s="53">
        <f t="shared" si="1214"/>
        <v>80422389.750000238</v>
      </c>
      <c r="AMC49" s="53">
        <f t="shared" si="1214"/>
        <v>95617389.750000238</v>
      </c>
      <c r="AMD49" s="53">
        <f t="shared" si="1214"/>
        <v>111500389.75000024</v>
      </c>
      <c r="AME49" s="53">
        <f t="shared" si="1214"/>
        <v>129759389.75000024</v>
      </c>
      <c r="AMF49" s="53">
        <f t="shared" si="1214"/>
        <v>145668389.75000024</v>
      </c>
      <c r="AMG49" s="53">
        <f t="shared" si="1214"/>
        <v>124242889.75000024</v>
      </c>
      <c r="AMH49" s="53">
        <f t="shared" si="1214"/>
        <v>81488912.750000238</v>
      </c>
      <c r="AMI49" s="53">
        <f t="shared" si="1214"/>
        <v>96494912.750000238</v>
      </c>
      <c r="AMJ49" s="53">
        <f t="shared" si="1214"/>
        <v>111885912.75000024</v>
      </c>
      <c r="AMK49" s="53">
        <f t="shared" si="1214"/>
        <v>126714912.75000024</v>
      </c>
      <c r="AML49" s="53">
        <f t="shared" si="1214"/>
        <v>143664912.75000024</v>
      </c>
      <c r="AMM49" s="53">
        <f t="shared" si="1214"/>
        <v>160092912.75000024</v>
      </c>
      <c r="AMN49" s="53">
        <f t="shared" si="1214"/>
        <v>93913912.750000238</v>
      </c>
      <c r="AMO49" s="53">
        <f t="shared" si="1214"/>
        <v>123545912.75000024</v>
      </c>
      <c r="AMP49" s="53">
        <f t="shared" si="1214"/>
        <v>145511912.75000024</v>
      </c>
      <c r="AMQ49" s="53">
        <f t="shared" si="1214"/>
        <v>18292912.750000238</v>
      </c>
      <c r="AMR49" s="53">
        <f t="shared" si="1214"/>
        <v>49337912.750000238</v>
      </c>
      <c r="AMS49" s="53">
        <f t="shared" si="1214"/>
        <v>81421912.750000238</v>
      </c>
      <c r="AMT49" s="53">
        <f t="shared" si="1214"/>
        <v>109489912.75000024</v>
      </c>
      <c r="AMU49" s="53">
        <f t="shared" si="1214"/>
        <v>125392912.75000024</v>
      </c>
      <c r="AMV49" s="53">
        <f t="shared" si="1214"/>
        <v>140936912.75000024</v>
      </c>
      <c r="AMW49" s="53">
        <f t="shared" si="1214"/>
        <v>48931912.750000238</v>
      </c>
      <c r="AMX49" s="53">
        <f t="shared" si="1214"/>
        <v>71642912.750000238</v>
      </c>
      <c r="AMY49" s="130"/>
      <c r="AMZ49" s="53">
        <f t="shared" ref="AMZ49:AOC49" si="1215">AMZ48+AMZ47+AMZ46</f>
        <v>85310912.750000238</v>
      </c>
      <c r="ANA49" s="53">
        <f t="shared" si="1215"/>
        <v>99915912.750000238</v>
      </c>
      <c r="ANB49" s="53">
        <f t="shared" si="1215"/>
        <v>112326912.75000024</v>
      </c>
      <c r="ANC49" s="53">
        <f t="shared" si="1215"/>
        <v>126234912.75000024</v>
      </c>
      <c r="AND49" s="53">
        <f t="shared" si="1215"/>
        <v>140056912.75000024</v>
      </c>
      <c r="ANE49" s="53">
        <f t="shared" si="1215"/>
        <v>155966912.75000024</v>
      </c>
      <c r="ANF49" s="53">
        <f t="shared" si="1215"/>
        <v>168134912.75000024</v>
      </c>
      <c r="ANG49" s="53">
        <f t="shared" si="1215"/>
        <v>183410912.75000024</v>
      </c>
      <c r="ANH49" s="53">
        <f t="shared" si="1215"/>
        <v>200087912.75000024</v>
      </c>
      <c r="ANI49" s="53">
        <f t="shared" si="1215"/>
        <v>126455912.75000024</v>
      </c>
      <c r="ANJ49" s="53">
        <f t="shared" si="1215"/>
        <v>141468912.75000024</v>
      </c>
      <c r="ANK49" s="53">
        <f t="shared" si="1215"/>
        <v>153952912.75000024</v>
      </c>
      <c r="ANL49" s="53">
        <f t="shared" si="1215"/>
        <v>75995181.750000238</v>
      </c>
      <c r="ANM49" s="53">
        <f t="shared" si="1215"/>
        <v>92838181.750000238</v>
      </c>
      <c r="ANN49" s="53">
        <f t="shared" si="1215"/>
        <v>110887181.75000024</v>
      </c>
      <c r="ANO49" s="53">
        <f t="shared" si="1215"/>
        <v>125298181.75000024</v>
      </c>
      <c r="ANP49" s="53">
        <f t="shared" si="1215"/>
        <v>135408181.75000024</v>
      </c>
      <c r="ANQ49" s="53">
        <f t="shared" si="1215"/>
        <v>147984181.75000024</v>
      </c>
      <c r="ANR49" s="53">
        <f t="shared" si="1215"/>
        <v>159384181.75000024</v>
      </c>
      <c r="ANS49" s="53">
        <f t="shared" si="1215"/>
        <v>171403181.75000024</v>
      </c>
      <c r="ANT49" s="53">
        <f t="shared" si="1215"/>
        <v>182031181.75000024</v>
      </c>
      <c r="ANU49" s="53">
        <f t="shared" si="1215"/>
        <v>198961181.75000024</v>
      </c>
      <c r="ANV49" s="53">
        <f t="shared" si="1215"/>
        <v>212413181.75000024</v>
      </c>
      <c r="ANW49" s="53">
        <f t="shared" si="1215"/>
        <v>224898181.75000024</v>
      </c>
      <c r="ANX49" s="53">
        <f t="shared" si="1215"/>
        <v>238476181.75000024</v>
      </c>
      <c r="ANY49" s="53">
        <f t="shared" si="1215"/>
        <v>255059181.75000024</v>
      </c>
      <c r="ANZ49" s="53">
        <f t="shared" si="1215"/>
        <v>212559181.75000024</v>
      </c>
      <c r="AOA49" s="53">
        <f t="shared" si="1215"/>
        <v>224537181.75000024</v>
      </c>
      <c r="AOB49" s="53">
        <f t="shared" si="1215"/>
        <v>240302181.75000024</v>
      </c>
      <c r="AOC49" s="53">
        <f t="shared" si="1215"/>
        <v>255971181.75000024</v>
      </c>
    </row>
    <row r="50" spans="1:1069" x14ac:dyDescent="0.2">
      <c r="A50" s="70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98"/>
      <c r="BM50" s="105"/>
      <c r="DX50" s="117"/>
      <c r="FD50" s="126"/>
      <c r="GJ50" s="130"/>
      <c r="HN50" s="130"/>
      <c r="IT50" s="130"/>
      <c r="JY50" s="130"/>
      <c r="LE50" s="130"/>
      <c r="MJ50" s="130"/>
      <c r="NP50" s="130"/>
      <c r="OV50" s="130"/>
      <c r="QA50" s="130"/>
      <c r="RG50" s="130"/>
      <c r="SL50" s="130"/>
      <c r="TR50" s="130"/>
      <c r="UX50" s="130"/>
      <c r="WA50" s="130"/>
      <c r="XG50" s="130"/>
      <c r="YL50" s="130"/>
      <c r="ZR50" s="130"/>
      <c r="AAW50" s="130"/>
      <c r="ACC50" s="130"/>
      <c r="ADI50" s="130"/>
      <c r="AEN50" s="130"/>
      <c r="AFT50" s="130"/>
      <c r="AGY50" s="130"/>
      <c r="AIE50" s="130"/>
      <c r="AJK50" s="145"/>
      <c r="AKN50" s="145"/>
      <c r="ALT50" s="130"/>
      <c r="AMY50" s="130"/>
    </row>
    <row r="51" spans="1:1069" x14ac:dyDescent="0.2">
      <c r="B51" s="70" t="s">
        <v>1682</v>
      </c>
      <c r="C51" s="71">
        <f t="shared" ref="C51:AG51" si="1216">C13+C37+C49-C44</f>
        <v>130696459.69999999</v>
      </c>
      <c r="D51" s="71">
        <f t="shared" si="1216"/>
        <v>128836014.0000003</v>
      </c>
      <c r="E51" s="71">
        <f t="shared" si="1216"/>
        <v>128309403.80000007</v>
      </c>
      <c r="F51" s="71">
        <f t="shared" si="1216"/>
        <v>128592735.98000038</v>
      </c>
      <c r="G51" s="71">
        <f t="shared" si="1216"/>
        <v>127940892.15000027</v>
      </c>
      <c r="H51" s="71">
        <f t="shared" si="1216"/>
        <v>128248413.75000024</v>
      </c>
      <c r="I51" s="71">
        <f t="shared" si="1216"/>
        <v>128839568.75000024</v>
      </c>
      <c r="J51" s="71">
        <f t="shared" si="1216"/>
        <v>128787679.75000024</v>
      </c>
      <c r="K51" s="71">
        <f t="shared" si="1216"/>
        <v>128176940.75000024</v>
      </c>
      <c r="L51" s="71">
        <f t="shared" si="1216"/>
        <v>128587940.75000024</v>
      </c>
      <c r="M51" s="71">
        <f t="shared" si="1216"/>
        <v>128941750.75000024</v>
      </c>
      <c r="N51" s="71">
        <f t="shared" si="1216"/>
        <v>129025521.75000024</v>
      </c>
      <c r="O51" s="71">
        <f t="shared" si="1216"/>
        <v>129481830.75000024</v>
      </c>
      <c r="P51" s="71">
        <f t="shared" si="1216"/>
        <v>129613664.75000027</v>
      </c>
      <c r="Q51" s="71">
        <f t="shared" si="1216"/>
        <v>130017173.75000024</v>
      </c>
      <c r="R51" s="71">
        <f t="shared" si="1216"/>
        <v>130835092.75000024</v>
      </c>
      <c r="S51" s="71">
        <f t="shared" si="1216"/>
        <v>130650055.75000024</v>
      </c>
      <c r="T51" s="71">
        <f t="shared" si="1216"/>
        <v>130896427.75000027</v>
      </c>
      <c r="U51" s="71">
        <f t="shared" si="1216"/>
        <v>130846439.75000027</v>
      </c>
      <c r="V51" s="71">
        <f t="shared" si="1216"/>
        <v>131625516.75000027</v>
      </c>
      <c r="W51" s="71">
        <f t="shared" si="1216"/>
        <v>132471289.75000024</v>
      </c>
      <c r="X51" s="71">
        <f t="shared" si="1216"/>
        <v>131162874.75000024</v>
      </c>
      <c r="Y51" s="71">
        <f t="shared" si="1216"/>
        <v>132153287.75000024</v>
      </c>
      <c r="Z51" s="71">
        <f t="shared" si="1216"/>
        <v>132160389.75000024</v>
      </c>
      <c r="AA51" s="71">
        <f t="shared" si="1216"/>
        <v>132534272.75000024</v>
      </c>
      <c r="AB51" s="71">
        <f t="shared" si="1216"/>
        <v>132659791.75000024</v>
      </c>
      <c r="AC51" s="71">
        <f t="shared" si="1216"/>
        <v>132861124.75000024</v>
      </c>
      <c r="AD51" s="71">
        <f t="shared" si="1216"/>
        <v>133308843.75000024</v>
      </c>
      <c r="AE51" s="71">
        <f t="shared" si="1216"/>
        <v>133780059.75000024</v>
      </c>
      <c r="AF51" s="71">
        <f t="shared" si="1216"/>
        <v>134355218.75000024</v>
      </c>
      <c r="AG51" s="71">
        <f t="shared" si="1216"/>
        <v>134776988.75000027</v>
      </c>
      <c r="AH51" s="67">
        <f>AG51</f>
        <v>134776988.75000027</v>
      </c>
      <c r="AI51" s="71">
        <f t="shared" ref="AI51:BL51" si="1217">AI13+AI37+AI49-AI44</f>
        <v>129957445.75000024</v>
      </c>
      <c r="AJ51" s="71">
        <f t="shared" si="1217"/>
        <v>130673104.75000024</v>
      </c>
      <c r="AK51" s="71">
        <f t="shared" si="1217"/>
        <v>131034071.75000024</v>
      </c>
      <c r="AL51" s="71">
        <f t="shared" si="1217"/>
        <v>129333091.75000024</v>
      </c>
      <c r="AM51" s="71">
        <f t="shared" si="1217"/>
        <v>129506457.75000024</v>
      </c>
      <c r="AN51" s="71">
        <f t="shared" si="1217"/>
        <v>128388238.75000024</v>
      </c>
      <c r="AO51" s="71">
        <f t="shared" si="1217"/>
        <v>129179817.75000024</v>
      </c>
      <c r="AP51" s="71">
        <f t="shared" si="1217"/>
        <v>129496192.75000024</v>
      </c>
      <c r="AQ51" s="71">
        <f t="shared" si="1217"/>
        <v>129338000.75000024</v>
      </c>
      <c r="AR51" s="71">
        <f t="shared" si="1217"/>
        <v>129626496.75000024</v>
      </c>
      <c r="AS51" s="71">
        <f t="shared" si="1217"/>
        <v>129936846.75000024</v>
      </c>
      <c r="AT51" s="71">
        <f t="shared" si="1217"/>
        <v>130658302.75000024</v>
      </c>
      <c r="AU51" s="71">
        <f t="shared" si="1217"/>
        <v>131509019.75000024</v>
      </c>
      <c r="AV51" s="71">
        <f t="shared" si="1217"/>
        <v>130510315.75000024</v>
      </c>
      <c r="AW51" s="71">
        <f t="shared" si="1217"/>
        <v>130959153.75000024</v>
      </c>
      <c r="AX51" s="71">
        <f t="shared" si="1217"/>
        <v>131072318.75000024</v>
      </c>
      <c r="AY51" s="71">
        <f t="shared" si="1217"/>
        <v>130850827.75000024</v>
      </c>
      <c r="AZ51" s="71">
        <f t="shared" si="1217"/>
        <v>131496464.75000024</v>
      </c>
      <c r="BA51" s="71">
        <f t="shared" si="1217"/>
        <v>131559402.75000024</v>
      </c>
      <c r="BB51" s="71">
        <f t="shared" si="1217"/>
        <v>131119415.75000024</v>
      </c>
      <c r="BC51" s="71">
        <f t="shared" si="1217"/>
        <v>131621128.75000024</v>
      </c>
      <c r="BD51" s="71">
        <f t="shared" si="1217"/>
        <v>132023568.75000024</v>
      </c>
      <c r="BE51" s="71">
        <f t="shared" si="1217"/>
        <v>132114204.75000024</v>
      </c>
      <c r="BF51" s="71">
        <f t="shared" si="1217"/>
        <v>132309096.75000024</v>
      </c>
      <c r="BG51" s="71">
        <f t="shared" si="1217"/>
        <v>132676373.75000024</v>
      </c>
      <c r="BH51" s="71">
        <f t="shared" si="1217"/>
        <v>133076854.75000024</v>
      </c>
      <c r="BI51" s="71">
        <f t="shared" si="1217"/>
        <v>133481525.75000024</v>
      </c>
      <c r="BJ51" s="71">
        <f t="shared" si="1217"/>
        <v>133812276.75000024</v>
      </c>
      <c r="BK51" s="71">
        <f t="shared" si="1217"/>
        <v>136082976.75000024</v>
      </c>
      <c r="BL51" s="71">
        <f t="shared" si="1217"/>
        <v>134372893.75000024</v>
      </c>
      <c r="BM51" s="106">
        <f>BL51</f>
        <v>134372893.75000024</v>
      </c>
      <c r="BN51" s="71">
        <f t="shared" ref="BN51:CR51" si="1218">BN13+BN37+BN49-BN44</f>
        <v>129565253.75000024</v>
      </c>
      <c r="BO51" s="71">
        <f t="shared" si="1218"/>
        <v>129957979.75000024</v>
      </c>
      <c r="BP51" s="71">
        <f t="shared" si="1218"/>
        <v>126357278.75000024</v>
      </c>
      <c r="BQ51" s="71">
        <f t="shared" si="1218"/>
        <v>126583947.75000024</v>
      </c>
      <c r="BR51" s="71">
        <f t="shared" si="1218"/>
        <v>127184175.75000024</v>
      </c>
      <c r="BS51" s="71">
        <f t="shared" si="1218"/>
        <v>127250764.75000024</v>
      </c>
      <c r="BT51" s="71">
        <f t="shared" si="1218"/>
        <v>127885875.75000024</v>
      </c>
      <c r="BU51" s="71">
        <f t="shared" si="1218"/>
        <v>128366482.75000024</v>
      </c>
      <c r="BV51" s="71">
        <f t="shared" si="1218"/>
        <v>128704805.75000024</v>
      </c>
      <c r="BW51" s="71">
        <f t="shared" si="1218"/>
        <v>128452260.75000024</v>
      </c>
      <c r="BX51" s="71">
        <f t="shared" si="1218"/>
        <v>128740627.75000024</v>
      </c>
      <c r="BY51" s="71">
        <f t="shared" si="1218"/>
        <v>58717695.750000238</v>
      </c>
      <c r="BZ51" s="71">
        <f t="shared" si="1218"/>
        <v>129630957.75000024</v>
      </c>
      <c r="CA51" s="71">
        <f t="shared" si="1218"/>
        <v>129222585.75000024</v>
      </c>
      <c r="CB51" s="71">
        <f t="shared" si="1218"/>
        <v>129457970.75000024</v>
      </c>
      <c r="CC51" s="71">
        <f t="shared" si="1218"/>
        <v>129683446.75000024</v>
      </c>
      <c r="CD51" s="71">
        <f t="shared" si="1218"/>
        <v>129816440.75000024</v>
      </c>
      <c r="CE51" s="71">
        <f t="shared" si="1218"/>
        <v>129543613.75000024</v>
      </c>
      <c r="CF51" s="71">
        <f t="shared" si="1218"/>
        <v>129949109.75000024</v>
      </c>
      <c r="CG51" s="71">
        <f t="shared" si="1218"/>
        <v>130261833.75000024</v>
      </c>
      <c r="CH51" s="71">
        <f t="shared" si="1218"/>
        <v>130360029.75000024</v>
      </c>
      <c r="CI51" s="71">
        <f t="shared" si="1218"/>
        <v>130701739.75000024</v>
      </c>
      <c r="CJ51" s="71">
        <f t="shared" si="1218"/>
        <v>130914909.75000024</v>
      </c>
      <c r="CK51" s="71">
        <f t="shared" si="1218"/>
        <v>131356526.75000024</v>
      </c>
      <c r="CL51" s="71">
        <f t="shared" si="1218"/>
        <v>131452943.75000024</v>
      </c>
      <c r="CM51" s="71">
        <f t="shared" si="1218"/>
        <v>131920043.75000024</v>
      </c>
      <c r="CN51" s="71">
        <f t="shared" si="1218"/>
        <v>132095912.75000024</v>
      </c>
      <c r="CO51" s="71">
        <f t="shared" si="1218"/>
        <v>130311224.75000024</v>
      </c>
      <c r="CP51" s="71">
        <f t="shared" si="1218"/>
        <v>132077155.75000024</v>
      </c>
      <c r="CQ51" s="71">
        <f t="shared" si="1218"/>
        <v>132292767.75000024</v>
      </c>
      <c r="CR51" s="71">
        <f t="shared" si="1218"/>
        <v>132346668.75000024</v>
      </c>
      <c r="CS51" s="82">
        <f>SUM(BN51:CR51)</f>
        <v>3951163031.2500048</v>
      </c>
      <c r="CT51" s="71">
        <f t="shared" ref="CT51:DY51" si="1219">CT13+CT37+CT49-CT44</f>
        <v>130240040.75000024</v>
      </c>
      <c r="CU51" s="71">
        <f t="shared" si="1219"/>
        <v>130066375.75000024</v>
      </c>
      <c r="CV51" s="71">
        <f t="shared" si="1219"/>
        <v>127640574.75000024</v>
      </c>
      <c r="CW51" s="71">
        <f t="shared" si="1219"/>
        <v>127892374.75000024</v>
      </c>
      <c r="CX51" s="71">
        <f t="shared" si="1219"/>
        <v>128312138.75000027</v>
      </c>
      <c r="CY51" s="71">
        <f t="shared" si="1219"/>
        <v>128872098.75000027</v>
      </c>
      <c r="CZ51" s="71">
        <f t="shared" si="1219"/>
        <v>127691802.75000024</v>
      </c>
      <c r="DA51" s="71">
        <f t="shared" si="1219"/>
        <v>127450667.75000024</v>
      </c>
      <c r="DB51" s="71">
        <f t="shared" si="1219"/>
        <v>126881271.75000024</v>
      </c>
      <c r="DC51" s="71">
        <f t="shared" si="1219"/>
        <v>127140275.75000024</v>
      </c>
      <c r="DD51" s="71">
        <f t="shared" si="1219"/>
        <v>127559069.75000024</v>
      </c>
      <c r="DE51" s="71">
        <f t="shared" si="1219"/>
        <v>127704970.75000024</v>
      </c>
      <c r="DF51" s="71">
        <f t="shared" si="1219"/>
        <v>128035951.75000027</v>
      </c>
      <c r="DG51" s="71">
        <f t="shared" si="1219"/>
        <v>128165225.75000027</v>
      </c>
      <c r="DH51" s="71">
        <f t="shared" si="1219"/>
        <v>128458175.75000024</v>
      </c>
      <c r="DI51" s="71">
        <f t="shared" si="1219"/>
        <v>128346811.75000024</v>
      </c>
      <c r="DJ51" s="71">
        <f t="shared" si="1219"/>
        <v>128406766.75000024</v>
      </c>
      <c r="DK51" s="71">
        <f t="shared" si="1219"/>
        <v>129046930.75000024</v>
      </c>
      <c r="DL51" s="71">
        <f t="shared" si="1219"/>
        <v>129005366.75000024</v>
      </c>
      <c r="DM51" s="71">
        <f t="shared" si="1219"/>
        <v>129257680.75000024</v>
      </c>
      <c r="DN51" s="71">
        <f t="shared" si="1219"/>
        <v>129456984.75000024</v>
      </c>
      <c r="DO51" s="71">
        <f t="shared" si="1219"/>
        <v>129698949.75000024</v>
      </c>
      <c r="DP51" s="71">
        <f t="shared" si="1219"/>
        <v>129782314.75000024</v>
      </c>
      <c r="DQ51" s="71">
        <f t="shared" si="1219"/>
        <v>130084820.75000024</v>
      </c>
      <c r="DR51" s="71">
        <f t="shared" si="1219"/>
        <v>131113716.75000024</v>
      </c>
      <c r="DS51" s="71">
        <f t="shared" si="1219"/>
        <v>130794517.75000024</v>
      </c>
      <c r="DT51" s="71">
        <f t="shared" si="1219"/>
        <v>130784244.75000024</v>
      </c>
      <c r="DU51" s="71">
        <f t="shared" si="1219"/>
        <v>130514113.75000024</v>
      </c>
      <c r="DV51" s="71">
        <f t="shared" si="1219"/>
        <v>130449136.75000024</v>
      </c>
      <c r="DW51" s="71">
        <f t="shared" si="1219"/>
        <v>131404134.75000024</v>
      </c>
      <c r="DX51" s="71">
        <f t="shared" si="1219"/>
        <v>92621923.750000238</v>
      </c>
      <c r="DY51" s="71">
        <f t="shared" si="1219"/>
        <v>130035425.75000024</v>
      </c>
      <c r="DZ51" s="71">
        <f t="shared" ref="DZ51:FC51" si="1220">DZ13+DZ37+DZ49-DZ44</f>
        <v>130436447.75000024</v>
      </c>
      <c r="EA51" s="71">
        <f t="shared" si="1220"/>
        <v>130837533.75000024</v>
      </c>
      <c r="EB51" s="71">
        <f t="shared" si="1220"/>
        <v>128973448.75000024</v>
      </c>
      <c r="EC51" s="71">
        <f t="shared" si="1220"/>
        <v>127806763.75000024</v>
      </c>
      <c r="ED51" s="71">
        <f t="shared" si="1220"/>
        <v>127878441.75000024</v>
      </c>
      <c r="EE51" s="71">
        <f t="shared" si="1220"/>
        <v>129365865.75000024</v>
      </c>
      <c r="EF51" s="71">
        <f t="shared" si="1220"/>
        <v>129805088.75000024</v>
      </c>
      <c r="EG51" s="71">
        <f t="shared" si="1220"/>
        <v>127776942.75000024</v>
      </c>
      <c r="EH51" s="71">
        <f t="shared" si="1220"/>
        <v>127913035.75000024</v>
      </c>
      <c r="EI51" s="71">
        <f t="shared" si="1220"/>
        <v>126819370.75000027</v>
      </c>
      <c r="EJ51" s="71">
        <f t="shared" si="1220"/>
        <v>126721817.75000027</v>
      </c>
      <c r="EK51" s="71">
        <f t="shared" si="1220"/>
        <v>127076590.75000024</v>
      </c>
      <c r="EL51" s="71">
        <f t="shared" si="1220"/>
        <v>126668799.75000027</v>
      </c>
      <c r="EM51" s="71">
        <f t="shared" si="1220"/>
        <v>126728496.75000024</v>
      </c>
      <c r="EN51" s="71">
        <f t="shared" si="1220"/>
        <v>127470821.75000024</v>
      </c>
      <c r="EO51" s="71">
        <f t="shared" si="1220"/>
        <v>127578778.75000024</v>
      </c>
      <c r="EP51" s="71">
        <f t="shared" si="1220"/>
        <v>125509414.75000027</v>
      </c>
      <c r="EQ51" s="71">
        <f t="shared" si="1220"/>
        <v>125748289.75000024</v>
      </c>
      <c r="ER51" s="71">
        <f t="shared" si="1220"/>
        <v>126658181.75000024</v>
      </c>
      <c r="ES51" s="71">
        <f t="shared" si="1220"/>
        <v>126838174.75000024</v>
      </c>
      <c r="ET51" s="71">
        <f t="shared" si="1220"/>
        <v>127485607.75000024</v>
      </c>
      <c r="EU51" s="71">
        <f t="shared" si="1220"/>
        <v>128140519.75000024</v>
      </c>
      <c r="EV51" s="71">
        <f t="shared" si="1220"/>
        <v>128469189.75000024</v>
      </c>
      <c r="EW51" s="71">
        <f t="shared" si="1220"/>
        <v>128794388.75000024</v>
      </c>
      <c r="EX51" s="71">
        <f t="shared" si="1220"/>
        <v>128962368.75000024</v>
      </c>
      <c r="EY51" s="71">
        <f t="shared" si="1220"/>
        <v>129403497.75000024</v>
      </c>
      <c r="EZ51" s="71">
        <f t="shared" si="1220"/>
        <v>129530025.75000024</v>
      </c>
      <c r="FA51" s="71">
        <f t="shared" si="1220"/>
        <v>129252211.75000024</v>
      </c>
      <c r="FB51" s="71">
        <f t="shared" si="1220"/>
        <v>129343092.75000024</v>
      </c>
      <c r="FC51" s="71">
        <f t="shared" si="1220"/>
        <v>128110538.75000024</v>
      </c>
      <c r="FD51" s="126"/>
      <c r="FE51" s="71">
        <f t="shared" ref="FE51:GI51" si="1221">FE13+FE37+FE49-FE44</f>
        <v>128565025.75000024</v>
      </c>
      <c r="FF51" s="71">
        <f t="shared" si="1221"/>
        <v>127819325.75000024</v>
      </c>
      <c r="FG51" s="71">
        <f t="shared" si="1221"/>
        <v>128101532.75000024</v>
      </c>
      <c r="FH51" s="71">
        <f t="shared" si="1221"/>
        <v>127750708.75000027</v>
      </c>
      <c r="FI51" s="71">
        <f t="shared" si="1221"/>
        <v>127830370.75000027</v>
      </c>
      <c r="FJ51" s="71">
        <f t="shared" si="1221"/>
        <v>128013912.75000024</v>
      </c>
      <c r="FK51" s="71">
        <f t="shared" si="1221"/>
        <v>128411372.75000024</v>
      </c>
      <c r="FL51" s="71">
        <f t="shared" si="1221"/>
        <v>128713540.75000027</v>
      </c>
      <c r="FM51" s="71">
        <f t="shared" si="1221"/>
        <v>129213312.75000027</v>
      </c>
      <c r="FN51" s="71">
        <f t="shared" si="1221"/>
        <v>127849981.75000027</v>
      </c>
      <c r="FO51" s="71">
        <f t="shared" si="1221"/>
        <v>127978775.75000024</v>
      </c>
      <c r="FP51" s="71">
        <f t="shared" si="1221"/>
        <v>128054445.75000024</v>
      </c>
      <c r="FQ51" s="71">
        <f t="shared" si="1221"/>
        <v>128466754.75000024</v>
      </c>
      <c r="FR51" s="71">
        <f t="shared" si="1221"/>
        <v>128946824.75000024</v>
      </c>
      <c r="FS51" s="71">
        <f t="shared" si="1221"/>
        <v>129209097.75000027</v>
      </c>
      <c r="FT51" s="71">
        <f t="shared" si="1221"/>
        <v>129385205.75000027</v>
      </c>
      <c r="FU51" s="71">
        <f t="shared" si="1221"/>
        <v>129204657.75000024</v>
      </c>
      <c r="FV51" s="71">
        <f t="shared" si="1221"/>
        <v>129142850.75000024</v>
      </c>
      <c r="FW51" s="71">
        <f t="shared" si="1221"/>
        <v>129365691.75000024</v>
      </c>
      <c r="FX51" s="71">
        <f t="shared" si="1221"/>
        <v>129856667.75000024</v>
      </c>
      <c r="FY51" s="71">
        <f t="shared" si="1221"/>
        <v>129983973.75000024</v>
      </c>
      <c r="FZ51" s="71">
        <f t="shared" si="1221"/>
        <v>130068270.75000024</v>
      </c>
      <c r="GA51" s="71">
        <f t="shared" si="1221"/>
        <v>130575944.75000024</v>
      </c>
      <c r="GB51" s="71">
        <f t="shared" si="1221"/>
        <v>130522130.75000024</v>
      </c>
      <c r="GC51" s="71">
        <f t="shared" si="1221"/>
        <v>130774726.75000024</v>
      </c>
      <c r="GD51" s="71">
        <f t="shared" si="1221"/>
        <v>131247479.75000024</v>
      </c>
      <c r="GE51" s="71">
        <f t="shared" si="1221"/>
        <v>131366327.75000024</v>
      </c>
      <c r="GF51" s="71">
        <f t="shared" si="1221"/>
        <v>132043145.75000024</v>
      </c>
      <c r="GG51" s="71">
        <f t="shared" si="1221"/>
        <v>132186980.75000024</v>
      </c>
      <c r="GH51" s="71">
        <f t="shared" si="1221"/>
        <v>132476860.75000024</v>
      </c>
      <c r="GI51" s="71">
        <f t="shared" si="1221"/>
        <v>132001291.75000024</v>
      </c>
      <c r="GJ51" s="130"/>
      <c r="GK51" s="71">
        <f t="shared" ref="GK51:HM51" si="1222">GK13+GK37+GK49-GK44</f>
        <v>129742801.75000024</v>
      </c>
      <c r="GL51" s="71">
        <f t="shared" si="1222"/>
        <v>130033477.75000024</v>
      </c>
      <c r="GM51" s="71">
        <f t="shared" si="1222"/>
        <v>130511224.75000024</v>
      </c>
      <c r="GN51" s="71">
        <f t="shared" si="1222"/>
        <v>130763530.75000024</v>
      </c>
      <c r="GO51" s="71">
        <f t="shared" si="1222"/>
        <v>128594278.75000024</v>
      </c>
      <c r="GP51" s="71">
        <f t="shared" si="1222"/>
        <v>127725055.75000024</v>
      </c>
      <c r="GQ51" s="71">
        <f t="shared" si="1222"/>
        <v>127736521.75000024</v>
      </c>
      <c r="GR51" s="71">
        <f t="shared" si="1222"/>
        <v>127600950.75000024</v>
      </c>
      <c r="GS51" s="71">
        <f t="shared" si="1222"/>
        <v>127802638.75000024</v>
      </c>
      <c r="GT51" s="71">
        <f t="shared" si="1222"/>
        <v>128157416.75000024</v>
      </c>
      <c r="GU51" s="71">
        <f t="shared" si="1222"/>
        <v>127259255.75000024</v>
      </c>
      <c r="GV51" s="71">
        <f t="shared" si="1222"/>
        <v>127683954.75000024</v>
      </c>
      <c r="GW51" s="71">
        <f t="shared" si="1222"/>
        <v>128003006.75000027</v>
      </c>
      <c r="GX51" s="71">
        <f t="shared" si="1222"/>
        <v>127530873.75000024</v>
      </c>
      <c r="GY51" s="71">
        <f t="shared" si="1222"/>
        <v>127843094.75000027</v>
      </c>
      <c r="GZ51" s="71">
        <f t="shared" si="1222"/>
        <v>127608718.75000024</v>
      </c>
      <c r="HA51" s="71">
        <f t="shared" si="1222"/>
        <v>128339166.75000024</v>
      </c>
      <c r="HB51" s="71">
        <f t="shared" si="1222"/>
        <v>128750407.75000024</v>
      </c>
      <c r="HC51" s="71">
        <f t="shared" si="1222"/>
        <v>128229492.75000024</v>
      </c>
      <c r="HD51" s="71">
        <f t="shared" si="1222"/>
        <v>128647118.75000024</v>
      </c>
      <c r="HE51" s="71">
        <f t="shared" si="1222"/>
        <v>128734590.75000024</v>
      </c>
      <c r="HF51" s="71">
        <f t="shared" si="1222"/>
        <v>128861860.75000024</v>
      </c>
      <c r="HG51" s="71">
        <f t="shared" si="1222"/>
        <v>129636343.75000024</v>
      </c>
      <c r="HH51" s="71">
        <f t="shared" si="1222"/>
        <v>129892092.75000024</v>
      </c>
      <c r="HI51" s="71">
        <f t="shared" si="1222"/>
        <v>130337374.75000024</v>
      </c>
      <c r="HJ51" s="71">
        <f t="shared" si="1222"/>
        <v>130375898.75000024</v>
      </c>
      <c r="HK51" s="71">
        <f t="shared" si="1222"/>
        <v>130475169.75000024</v>
      </c>
      <c r="HL51" s="71">
        <f t="shared" si="1222"/>
        <v>130598552.75000024</v>
      </c>
      <c r="HM51" s="71">
        <f t="shared" si="1222"/>
        <v>130588258.65000021</v>
      </c>
      <c r="HN51" s="130"/>
      <c r="HO51" s="71">
        <f t="shared" ref="HO51:IS51" si="1223">HO13+HO37+HO49-HO44</f>
        <v>129996303.75000024</v>
      </c>
      <c r="HP51" s="71">
        <f t="shared" si="1223"/>
        <v>130667494.75000024</v>
      </c>
      <c r="HQ51" s="71">
        <f t="shared" si="1223"/>
        <v>131408735.75000024</v>
      </c>
      <c r="HR51" s="71">
        <f t="shared" si="1223"/>
        <v>129110909.75000024</v>
      </c>
      <c r="HS51" s="71">
        <f t="shared" si="1223"/>
        <v>129775892.75000024</v>
      </c>
      <c r="HT51" s="71">
        <f t="shared" si="1223"/>
        <v>130038825.75000024</v>
      </c>
      <c r="HU51" s="71">
        <f t="shared" si="1223"/>
        <v>131681851.75000024</v>
      </c>
      <c r="HV51" s="71">
        <f t="shared" si="1223"/>
        <v>129534149.75000024</v>
      </c>
      <c r="HW51" s="71">
        <f t="shared" si="1223"/>
        <v>129746709.75000024</v>
      </c>
      <c r="HX51" s="71">
        <f t="shared" si="1223"/>
        <v>130131039.75000024</v>
      </c>
      <c r="HY51" s="71">
        <f t="shared" si="1223"/>
        <v>130528935.75000024</v>
      </c>
      <c r="HZ51" s="71">
        <f t="shared" si="1223"/>
        <v>130301273.75000024</v>
      </c>
      <c r="IA51" s="71">
        <f t="shared" si="1223"/>
        <v>130414251.75000024</v>
      </c>
      <c r="IB51" s="71">
        <f t="shared" si="1223"/>
        <v>130360532.75000024</v>
      </c>
      <c r="IC51" s="71">
        <f t="shared" si="1223"/>
        <v>130112456.75000024</v>
      </c>
      <c r="ID51" s="71">
        <f t="shared" si="1223"/>
        <v>130509988.75000024</v>
      </c>
      <c r="IE51" s="71">
        <f t="shared" si="1223"/>
        <v>130805606.75000024</v>
      </c>
      <c r="IF51" s="71">
        <f t="shared" si="1223"/>
        <v>131086710.75000024</v>
      </c>
      <c r="IG51" s="71">
        <f t="shared" si="1223"/>
        <v>131262020.75000024</v>
      </c>
      <c r="IH51" s="71">
        <f t="shared" si="1223"/>
        <v>131261562.75000024</v>
      </c>
      <c r="II51" s="71">
        <f t="shared" si="1223"/>
        <v>131665962.75000024</v>
      </c>
      <c r="IJ51" s="71">
        <f t="shared" si="1223"/>
        <v>131928072.75000024</v>
      </c>
      <c r="IK51" s="71">
        <f t="shared" si="1223"/>
        <v>132623021.75000024</v>
      </c>
      <c r="IL51" s="71">
        <f t="shared" si="1223"/>
        <v>132947437.75000024</v>
      </c>
      <c r="IM51" s="71">
        <f t="shared" si="1223"/>
        <v>132667725.75000024</v>
      </c>
      <c r="IN51" s="71">
        <f t="shared" si="1223"/>
        <v>133095461.75000024</v>
      </c>
      <c r="IO51" s="71">
        <f t="shared" si="1223"/>
        <v>133262096.75000024</v>
      </c>
      <c r="IP51" s="71">
        <f t="shared" si="1223"/>
        <v>133315280.75000024</v>
      </c>
      <c r="IQ51" s="71">
        <f t="shared" si="1223"/>
        <v>133017949.75000024</v>
      </c>
      <c r="IR51" s="71">
        <f t="shared" si="1223"/>
        <v>133469849.75000024</v>
      </c>
      <c r="IS51" s="71">
        <f t="shared" si="1223"/>
        <v>133522105.75000024</v>
      </c>
      <c r="IT51" s="130"/>
      <c r="IU51" s="71">
        <f t="shared" ref="IU51:JX51" si="1224">IU13+IU37+IU49-IU44</f>
        <v>130504581.75000024</v>
      </c>
      <c r="IV51" s="71">
        <f t="shared" si="1224"/>
        <v>130739451.75000024</v>
      </c>
      <c r="IW51" s="71">
        <f t="shared" si="1224"/>
        <v>129954001.75000024</v>
      </c>
      <c r="IX51" s="71">
        <f t="shared" si="1224"/>
        <v>129977514.75000024</v>
      </c>
      <c r="IY51" s="71">
        <f t="shared" si="1224"/>
        <v>129993626.75000024</v>
      </c>
      <c r="IZ51" s="71">
        <f t="shared" si="1224"/>
        <v>129218443.75000024</v>
      </c>
      <c r="JA51" s="71">
        <f t="shared" si="1224"/>
        <v>128954282.75000024</v>
      </c>
      <c r="JB51" s="71">
        <f t="shared" si="1224"/>
        <v>129199874.75000024</v>
      </c>
      <c r="JC51" s="71">
        <f t="shared" si="1224"/>
        <v>128168785.75000024</v>
      </c>
      <c r="JD51" s="71">
        <f t="shared" si="1224"/>
        <v>128988385.75000024</v>
      </c>
      <c r="JE51" s="71">
        <f t="shared" si="1224"/>
        <v>129170636.75000024</v>
      </c>
      <c r="JF51" s="71">
        <f t="shared" si="1224"/>
        <v>129612273.75000024</v>
      </c>
      <c r="JG51" s="71">
        <f t="shared" si="1224"/>
        <v>129989022.75000024</v>
      </c>
      <c r="JH51" s="71">
        <f t="shared" si="1224"/>
        <v>129434373.75000024</v>
      </c>
      <c r="JI51" s="71">
        <f t="shared" si="1224"/>
        <v>130209203.75000024</v>
      </c>
      <c r="JJ51" s="71">
        <f t="shared" si="1224"/>
        <v>130046982.75000024</v>
      </c>
      <c r="JK51" s="71">
        <f t="shared" si="1224"/>
        <v>130550651.75000024</v>
      </c>
      <c r="JL51" s="71">
        <f t="shared" si="1224"/>
        <v>130585341.75000024</v>
      </c>
      <c r="JM51" s="71">
        <f t="shared" si="1224"/>
        <v>130787277.75000024</v>
      </c>
      <c r="JN51" s="71">
        <f t="shared" si="1224"/>
        <v>130844085.75000024</v>
      </c>
      <c r="JO51" s="71">
        <f t="shared" si="1224"/>
        <v>131524523.75000024</v>
      </c>
      <c r="JP51" s="71">
        <f t="shared" si="1224"/>
        <v>131229553.75000024</v>
      </c>
      <c r="JQ51" s="71">
        <f t="shared" si="1224"/>
        <v>131501179.75000024</v>
      </c>
      <c r="JR51" s="71">
        <f t="shared" si="1224"/>
        <v>131924286.75000024</v>
      </c>
      <c r="JS51" s="71">
        <f t="shared" si="1224"/>
        <v>130749998.75000024</v>
      </c>
      <c r="JT51" s="71">
        <f t="shared" si="1224"/>
        <v>130645190.75000024</v>
      </c>
      <c r="JU51" s="71">
        <f t="shared" si="1224"/>
        <v>130795549.75000024</v>
      </c>
      <c r="JV51" s="71">
        <f t="shared" si="1224"/>
        <v>131320528.75000024</v>
      </c>
      <c r="JW51" s="71">
        <f t="shared" si="1224"/>
        <v>131388675.75000024</v>
      </c>
      <c r="JX51" s="71">
        <f t="shared" si="1224"/>
        <v>131649315.75000024</v>
      </c>
      <c r="JY51" s="128"/>
      <c r="JZ51" s="71">
        <f t="shared" ref="JZ51:LD51" si="1225">JZ13+JZ37+JZ49-JZ44</f>
        <v>130313191.75000024</v>
      </c>
      <c r="KA51" s="71">
        <f t="shared" si="1225"/>
        <v>130363061.75000024</v>
      </c>
      <c r="KB51" s="71">
        <f t="shared" si="1225"/>
        <v>128856939.75000024</v>
      </c>
      <c r="KC51" s="71">
        <f t="shared" si="1225"/>
        <v>128830206.75000024</v>
      </c>
      <c r="KD51" s="71">
        <f t="shared" si="1225"/>
        <v>129296706.75000024</v>
      </c>
      <c r="KE51" s="71">
        <f t="shared" si="1225"/>
        <v>129703055.75000024</v>
      </c>
      <c r="KF51" s="71">
        <f t="shared" si="1225"/>
        <v>128413418.75000024</v>
      </c>
      <c r="KG51" s="71">
        <f t="shared" si="1225"/>
        <v>131724741.75000024</v>
      </c>
      <c r="KH51" s="71">
        <f t="shared" si="1225"/>
        <v>132067569.75000024</v>
      </c>
      <c r="KI51" s="71">
        <f t="shared" si="1225"/>
        <v>132301112.75000024</v>
      </c>
      <c r="KJ51" s="71">
        <f t="shared" si="1225"/>
        <v>133290792.75000024</v>
      </c>
      <c r="KK51" s="71">
        <f t="shared" si="1225"/>
        <v>133346927.75000024</v>
      </c>
      <c r="KL51" s="71">
        <f t="shared" si="1225"/>
        <v>133986087.75000024</v>
      </c>
      <c r="KM51" s="71">
        <f t="shared" si="1225"/>
        <v>112498614.75000024</v>
      </c>
      <c r="KN51" s="71">
        <f t="shared" si="1225"/>
        <v>133825398.75000024</v>
      </c>
      <c r="KO51" s="71">
        <f t="shared" si="1225"/>
        <v>133733179.75000024</v>
      </c>
      <c r="KP51" s="71">
        <f t="shared" si="1225"/>
        <v>134582935.75000024</v>
      </c>
      <c r="KQ51" s="71">
        <f t="shared" si="1225"/>
        <v>135114749.75000024</v>
      </c>
      <c r="KR51" s="71">
        <f t="shared" si="1225"/>
        <v>134408347.75000024</v>
      </c>
      <c r="KS51" s="71">
        <f t="shared" si="1225"/>
        <v>134925584.75000024</v>
      </c>
      <c r="KT51" s="71">
        <f t="shared" si="1225"/>
        <v>135159994.75000024</v>
      </c>
      <c r="KU51" s="71">
        <f t="shared" si="1225"/>
        <v>134818438.75000024</v>
      </c>
      <c r="KV51" s="71">
        <f t="shared" si="1225"/>
        <v>135506042.75000024</v>
      </c>
      <c r="KW51" s="71">
        <f t="shared" si="1225"/>
        <v>135741794.75000024</v>
      </c>
      <c r="KX51" s="71">
        <f t="shared" si="1225"/>
        <v>137251940.75000024</v>
      </c>
      <c r="KY51" s="71">
        <f t="shared" si="1225"/>
        <v>137464958.75000024</v>
      </c>
      <c r="KZ51" s="71">
        <f t="shared" si="1225"/>
        <v>137679650.75000024</v>
      </c>
      <c r="LA51" s="71">
        <f t="shared" si="1225"/>
        <v>138538457.75000024</v>
      </c>
      <c r="LB51" s="71">
        <f t="shared" si="1225"/>
        <v>138680946.75000024</v>
      </c>
      <c r="LC51" s="71">
        <f t="shared" si="1225"/>
        <v>139389066.75000024</v>
      </c>
      <c r="LD51" s="71">
        <f t="shared" si="1225"/>
        <v>139034544.75000024</v>
      </c>
      <c r="LE51" s="130"/>
      <c r="LF51" s="71">
        <f t="shared" ref="LF51:MI51" si="1226">LF13+LF37+LF49-LF44</f>
        <v>130147288.75000024</v>
      </c>
      <c r="LG51" s="71">
        <f t="shared" si="1226"/>
        <v>130557028.75000024</v>
      </c>
      <c r="LH51" s="71">
        <f t="shared" si="1226"/>
        <v>128684113.75000024</v>
      </c>
      <c r="LI51" s="71">
        <f t="shared" si="1226"/>
        <v>127860195.75000024</v>
      </c>
      <c r="LJ51" s="71">
        <f t="shared" si="1226"/>
        <v>128505385.75000024</v>
      </c>
      <c r="LK51" s="71">
        <f t="shared" si="1226"/>
        <v>129098806.75000024</v>
      </c>
      <c r="LL51" s="71">
        <f t="shared" si="1226"/>
        <v>129310064.75000024</v>
      </c>
      <c r="LM51" s="71">
        <f t="shared" si="1226"/>
        <v>129314939.75000024</v>
      </c>
      <c r="LN51" s="71">
        <f t="shared" si="1226"/>
        <v>129779839.75000024</v>
      </c>
      <c r="LO51" s="71">
        <f t="shared" si="1226"/>
        <v>130333299.75000024</v>
      </c>
      <c r="LP51" s="71">
        <f t="shared" si="1226"/>
        <v>130600260.75000024</v>
      </c>
      <c r="LQ51" s="71">
        <f t="shared" si="1226"/>
        <v>131263785.75000024</v>
      </c>
      <c r="LR51" s="71">
        <f t="shared" si="1226"/>
        <v>127595046.75000024</v>
      </c>
      <c r="LS51" s="71">
        <f t="shared" si="1226"/>
        <v>127674416.75000024</v>
      </c>
      <c r="LT51" s="71">
        <f t="shared" si="1226"/>
        <v>128455708.75000024</v>
      </c>
      <c r="LU51" s="71">
        <f t="shared" si="1226"/>
        <v>128244297.75000024</v>
      </c>
      <c r="LV51" s="71">
        <f t="shared" si="1226"/>
        <v>128624990.75000024</v>
      </c>
      <c r="LW51" s="71">
        <f t="shared" si="1226"/>
        <v>127530450.75000024</v>
      </c>
      <c r="LX51" s="71">
        <f t="shared" si="1226"/>
        <v>128918224.75000024</v>
      </c>
      <c r="LY51" s="71">
        <f t="shared" si="1226"/>
        <v>128529250.75000024</v>
      </c>
      <c r="LZ51" s="71">
        <f t="shared" si="1226"/>
        <v>129026583.75000024</v>
      </c>
      <c r="MA51" s="71">
        <f t="shared" si="1226"/>
        <v>129525186.75000024</v>
      </c>
      <c r="MB51" s="71">
        <f t="shared" si="1226"/>
        <v>129735723.75000024</v>
      </c>
      <c r="MC51" s="71">
        <f t="shared" si="1226"/>
        <v>130047053.75000024</v>
      </c>
      <c r="MD51" s="71">
        <f t="shared" si="1226"/>
        <v>129934788.75000024</v>
      </c>
      <c r="ME51" s="71">
        <f t="shared" si="1226"/>
        <v>128587445.75000024</v>
      </c>
      <c r="MF51" s="71">
        <f t="shared" si="1226"/>
        <v>129307592.75000024</v>
      </c>
      <c r="MG51" s="71">
        <f t="shared" si="1226"/>
        <v>129876038.75000024</v>
      </c>
      <c r="MH51" s="71">
        <f t="shared" si="1226"/>
        <v>130121724.75000024</v>
      </c>
      <c r="MI51" s="71">
        <f t="shared" si="1226"/>
        <v>130596500.75000024</v>
      </c>
      <c r="MJ51" s="128"/>
      <c r="MK51" s="71">
        <f t="shared" ref="MK51:NO51" si="1227">MK13+MK37+MK49-MK44</f>
        <v>130554459.75000024</v>
      </c>
      <c r="ML51" s="71">
        <f t="shared" si="1227"/>
        <v>129929073.75000024</v>
      </c>
      <c r="MM51" s="71">
        <f t="shared" si="1227"/>
        <v>127476587.75000024</v>
      </c>
      <c r="MN51" s="71">
        <f t="shared" si="1227"/>
        <v>127835775.75000024</v>
      </c>
      <c r="MO51" s="71">
        <f t="shared" si="1227"/>
        <v>126829935.75000024</v>
      </c>
      <c r="MP51" s="71">
        <f t="shared" si="1227"/>
        <v>126932535.75000024</v>
      </c>
      <c r="MQ51" s="71">
        <f t="shared" si="1227"/>
        <v>128650826.75000024</v>
      </c>
      <c r="MR51" s="71">
        <f t="shared" si="1227"/>
        <v>130252521.75000024</v>
      </c>
      <c r="MS51" s="71">
        <f t="shared" si="1227"/>
        <v>130591671.75000024</v>
      </c>
      <c r="MT51" s="71">
        <f t="shared" si="1227"/>
        <v>130732636.75000024</v>
      </c>
      <c r="MU51" s="71">
        <f t="shared" si="1227"/>
        <v>131094102.75000024</v>
      </c>
      <c r="MV51" s="71">
        <f t="shared" si="1227"/>
        <v>130841441.75000024</v>
      </c>
      <c r="MW51" s="71">
        <f t="shared" si="1227"/>
        <v>130938562.75000024</v>
      </c>
      <c r="MX51" s="71">
        <f t="shared" si="1227"/>
        <v>131538135.75000024</v>
      </c>
      <c r="MY51" s="71">
        <f t="shared" si="1227"/>
        <v>131888180.75000024</v>
      </c>
      <c r="MZ51" s="71">
        <f t="shared" si="1227"/>
        <v>132079188.75000024</v>
      </c>
      <c r="NA51" s="71">
        <f t="shared" si="1227"/>
        <v>132859658.75000024</v>
      </c>
      <c r="NB51" s="71">
        <f t="shared" si="1227"/>
        <v>133176693.75000024</v>
      </c>
      <c r="NC51" s="71">
        <f t="shared" si="1227"/>
        <v>133180016.75000024</v>
      </c>
      <c r="ND51" s="71">
        <f t="shared" si="1227"/>
        <v>133588219.75000024</v>
      </c>
      <c r="NE51" s="71">
        <f t="shared" si="1227"/>
        <v>134249172.75000024</v>
      </c>
      <c r="NF51" s="71">
        <f t="shared" si="1227"/>
        <v>134224236.75000024</v>
      </c>
      <c r="NG51" s="71">
        <f t="shared" si="1227"/>
        <v>135280779.75000024</v>
      </c>
      <c r="NH51" s="71">
        <f t="shared" si="1227"/>
        <v>134760167.75000024</v>
      </c>
      <c r="NI51" s="71">
        <f t="shared" si="1227"/>
        <v>135902891.75000024</v>
      </c>
      <c r="NJ51" s="71">
        <f t="shared" si="1227"/>
        <v>133683006.75000024</v>
      </c>
      <c r="NK51" s="71">
        <f t="shared" si="1227"/>
        <v>133707778.75000024</v>
      </c>
      <c r="NL51" s="71">
        <f t="shared" si="1227"/>
        <v>134182009.75000024</v>
      </c>
      <c r="NM51" s="71">
        <f t="shared" si="1227"/>
        <v>134497831.75000024</v>
      </c>
      <c r="NN51" s="71">
        <f t="shared" si="1227"/>
        <v>134802180.75000024</v>
      </c>
      <c r="NO51" s="71">
        <f t="shared" si="1227"/>
        <v>135126361.75000024</v>
      </c>
      <c r="NP51" s="128"/>
      <c r="NQ51" s="71">
        <f t="shared" ref="NQ51:OU51" si="1228">NQ13+NQ37+NQ49-NQ44</f>
        <v>130580868.75000024</v>
      </c>
      <c r="NR51" s="71">
        <f t="shared" si="1228"/>
        <v>128421879.75000024</v>
      </c>
      <c r="NS51" s="71">
        <f t="shared" si="1228"/>
        <v>127510687.75000024</v>
      </c>
      <c r="NT51" s="71">
        <f t="shared" si="1228"/>
        <v>128077334.75000024</v>
      </c>
      <c r="NU51" s="71">
        <f t="shared" si="1228"/>
        <v>128080080.75000024</v>
      </c>
      <c r="NV51" s="71">
        <f t="shared" si="1228"/>
        <v>129248524.75000024</v>
      </c>
      <c r="NW51" s="71">
        <f t="shared" si="1228"/>
        <v>128849988.75000024</v>
      </c>
      <c r="NX51" s="71">
        <f t="shared" si="1228"/>
        <v>129216094.75000024</v>
      </c>
      <c r="NY51" s="71">
        <f t="shared" si="1228"/>
        <v>129542486.75000024</v>
      </c>
      <c r="NZ51" s="71">
        <f t="shared" si="1228"/>
        <v>129836344.75000024</v>
      </c>
      <c r="OA51" s="71">
        <f t="shared" si="1228"/>
        <v>130150933.75000024</v>
      </c>
      <c r="OB51" s="71">
        <f t="shared" si="1228"/>
        <v>130401946.75000024</v>
      </c>
      <c r="OC51" s="71">
        <f t="shared" si="1228"/>
        <v>130529237.75000024</v>
      </c>
      <c r="OD51" s="71">
        <f t="shared" si="1228"/>
        <v>130926828.75000024</v>
      </c>
      <c r="OE51" s="71">
        <f t="shared" si="1228"/>
        <v>130861383.75000024</v>
      </c>
      <c r="OF51" s="71">
        <f t="shared" si="1228"/>
        <v>131223711.75000024</v>
      </c>
      <c r="OG51" s="71">
        <f t="shared" si="1228"/>
        <v>131927101.75000024</v>
      </c>
      <c r="OH51" s="71">
        <f t="shared" si="1228"/>
        <v>132234721.75000024</v>
      </c>
      <c r="OI51" s="71">
        <f t="shared" si="1228"/>
        <v>132544049.75000024</v>
      </c>
      <c r="OJ51" s="71">
        <f t="shared" si="1228"/>
        <v>132911767.75000024</v>
      </c>
      <c r="OK51" s="71">
        <f t="shared" si="1228"/>
        <v>132831305.75000024</v>
      </c>
      <c r="OL51" s="71">
        <f t="shared" si="1228"/>
        <v>133057019.75000024</v>
      </c>
      <c r="OM51" s="71">
        <f t="shared" si="1228"/>
        <v>133737409.75000024</v>
      </c>
      <c r="ON51" s="71">
        <f t="shared" si="1228"/>
        <v>134117088.75000024</v>
      </c>
      <c r="OO51" s="71">
        <f t="shared" si="1228"/>
        <v>134413015.75000024</v>
      </c>
      <c r="OP51" s="71">
        <f t="shared" si="1228"/>
        <v>134381926.75000024</v>
      </c>
      <c r="OQ51" s="71">
        <f t="shared" si="1228"/>
        <v>134957225.75000024</v>
      </c>
      <c r="OR51" s="71">
        <f t="shared" si="1228"/>
        <v>135186444.75000024</v>
      </c>
      <c r="OS51" s="71">
        <f t="shared" si="1228"/>
        <v>135514850.75000024</v>
      </c>
      <c r="OT51" s="71">
        <f t="shared" si="1228"/>
        <v>135851597.75000024</v>
      </c>
      <c r="OU51" s="71">
        <f t="shared" si="1228"/>
        <v>136382877.75000024</v>
      </c>
      <c r="OV51" s="130"/>
      <c r="OW51" s="71">
        <f t="shared" ref="OW51:PZ51" si="1229">OW13+OW37+OW49-OW44</f>
        <v>130325154.75000024</v>
      </c>
      <c r="OX51" s="71">
        <f t="shared" si="1229"/>
        <v>128219527.75000024</v>
      </c>
      <c r="OY51" s="71">
        <f t="shared" si="1229"/>
        <v>128411834.75000024</v>
      </c>
      <c r="OZ51" s="71">
        <f t="shared" si="1229"/>
        <v>128782968.75000024</v>
      </c>
      <c r="PA51" s="71">
        <f t="shared" si="1229"/>
        <v>129260264.75000024</v>
      </c>
      <c r="PB51" s="71">
        <f t="shared" si="1229"/>
        <v>129431286.75000024</v>
      </c>
      <c r="PC51" s="71">
        <f t="shared" si="1229"/>
        <v>129548891.75000024</v>
      </c>
      <c r="PD51" s="71">
        <f t="shared" si="1229"/>
        <v>130003291.75000024</v>
      </c>
      <c r="PE51" s="71">
        <f t="shared" si="1229"/>
        <v>128998977.75000024</v>
      </c>
      <c r="PF51" s="71">
        <f t="shared" si="1229"/>
        <v>128753933.75000024</v>
      </c>
      <c r="PG51" s="71">
        <f t="shared" si="1229"/>
        <v>128531127.75000024</v>
      </c>
      <c r="PH51" s="71">
        <f t="shared" si="1229"/>
        <v>127423740.75000024</v>
      </c>
      <c r="PI51" s="71">
        <f t="shared" si="1229"/>
        <v>127777560.75000024</v>
      </c>
      <c r="PJ51" s="71">
        <f t="shared" si="1229"/>
        <v>128219351.75000024</v>
      </c>
      <c r="PK51" s="71">
        <f t="shared" si="1229"/>
        <v>127946628.75000024</v>
      </c>
      <c r="PL51" s="71">
        <f t="shared" si="1229"/>
        <v>128368069.75000024</v>
      </c>
      <c r="PM51" s="71">
        <f t="shared" si="1229"/>
        <v>129194031.75000024</v>
      </c>
      <c r="PN51" s="71">
        <f t="shared" si="1229"/>
        <v>128488544.75000024</v>
      </c>
      <c r="PO51" s="71">
        <f t="shared" si="1229"/>
        <v>128636700.75000024</v>
      </c>
      <c r="PP51" s="71">
        <f t="shared" si="1229"/>
        <v>129057116.75000024</v>
      </c>
      <c r="PQ51" s="71">
        <f t="shared" si="1229"/>
        <v>129307187.75000024</v>
      </c>
      <c r="PR51" s="71">
        <f t="shared" si="1229"/>
        <v>129496160.75000024</v>
      </c>
      <c r="PS51" s="71">
        <f t="shared" si="1229"/>
        <v>129690788.75000024</v>
      </c>
      <c r="PT51" s="71">
        <f t="shared" si="1229"/>
        <v>129827342.75000024</v>
      </c>
      <c r="PU51" s="71">
        <f t="shared" si="1229"/>
        <v>129904416.75000024</v>
      </c>
      <c r="PV51" s="71">
        <f t="shared" si="1229"/>
        <v>129901947.75000024</v>
      </c>
      <c r="PW51" s="71">
        <f t="shared" si="1229"/>
        <v>130630314.75000024</v>
      </c>
      <c r="PX51" s="71">
        <f t="shared" si="1229"/>
        <v>130861323.75000024</v>
      </c>
      <c r="PY51" s="71">
        <f t="shared" si="1229"/>
        <v>131021362.75000024</v>
      </c>
      <c r="PZ51" s="71">
        <f t="shared" si="1229"/>
        <v>131362158.75000024</v>
      </c>
      <c r="QA51" s="130"/>
      <c r="QB51" s="71">
        <f t="shared" ref="QB51:RF51" si="1230">QB13+QB37+QB49-QB44</f>
        <v>130180573.75000024</v>
      </c>
      <c r="QC51" s="71">
        <f t="shared" si="1230"/>
        <v>127736842.75000024</v>
      </c>
      <c r="QD51" s="71">
        <f t="shared" si="1230"/>
        <v>126754899.75000024</v>
      </c>
      <c r="QE51" s="71">
        <f t="shared" si="1230"/>
        <v>127111559.75000024</v>
      </c>
      <c r="QF51" s="71">
        <f t="shared" si="1230"/>
        <v>127317954.75000024</v>
      </c>
      <c r="QG51" s="71">
        <f t="shared" si="1230"/>
        <v>127456822.75000024</v>
      </c>
      <c r="QH51" s="71">
        <f t="shared" si="1230"/>
        <v>129539724.75000024</v>
      </c>
      <c r="QI51" s="71">
        <f t="shared" si="1230"/>
        <v>129765197.75000024</v>
      </c>
      <c r="QJ51" s="71">
        <f t="shared" si="1230"/>
        <v>130434006.75000024</v>
      </c>
      <c r="QK51" s="71">
        <f t="shared" si="1230"/>
        <v>130802320.75000024</v>
      </c>
      <c r="QL51" s="71">
        <f t="shared" si="1230"/>
        <v>131195942.75000024</v>
      </c>
      <c r="QM51" s="71">
        <f t="shared" si="1230"/>
        <v>131256558.75000024</v>
      </c>
      <c r="QN51" s="71">
        <f t="shared" si="1230"/>
        <v>131511591.75000024</v>
      </c>
      <c r="QO51" s="71">
        <f t="shared" si="1230"/>
        <v>132003954.75000024</v>
      </c>
      <c r="QP51" s="71">
        <f t="shared" si="1230"/>
        <v>132383724.75000024</v>
      </c>
      <c r="QQ51" s="71">
        <f t="shared" si="1230"/>
        <v>132590660.75000024</v>
      </c>
      <c r="QR51" s="71">
        <f t="shared" si="1230"/>
        <v>132872388.75000024</v>
      </c>
      <c r="QS51" s="71">
        <f t="shared" si="1230"/>
        <v>133451583.75000024</v>
      </c>
      <c r="QT51" s="71">
        <f t="shared" si="1230"/>
        <v>133572969.75000024</v>
      </c>
      <c r="QU51" s="71">
        <f t="shared" si="1230"/>
        <v>133961042.75000024</v>
      </c>
      <c r="QV51" s="71">
        <f t="shared" si="1230"/>
        <v>133820029.75000024</v>
      </c>
      <c r="QW51" s="71">
        <f t="shared" si="1230"/>
        <v>134000819.75000024</v>
      </c>
      <c r="QX51" s="71">
        <f t="shared" si="1230"/>
        <v>134528486.75000024</v>
      </c>
      <c r="QY51" s="71">
        <f t="shared" si="1230"/>
        <v>135041585.75000024</v>
      </c>
      <c r="QZ51" s="71">
        <f t="shared" si="1230"/>
        <v>133596979.75000024</v>
      </c>
      <c r="RA51" s="71">
        <f t="shared" si="1230"/>
        <v>134054586.75000024</v>
      </c>
      <c r="RB51" s="71">
        <f t="shared" si="1230"/>
        <v>134218962.75000024</v>
      </c>
      <c r="RC51" s="71">
        <f t="shared" si="1230"/>
        <v>134275544.75000024</v>
      </c>
      <c r="RD51" s="71">
        <f t="shared" si="1230"/>
        <v>134762368.75000024</v>
      </c>
      <c r="RE51" s="71">
        <f t="shared" si="1230"/>
        <v>134865331.75000024</v>
      </c>
      <c r="RF51" s="71">
        <f t="shared" si="1230"/>
        <v>135458829.75000024</v>
      </c>
      <c r="RG51" s="130"/>
      <c r="RH51" s="71">
        <f t="shared" ref="RH51:SK51" si="1231">RH13+RH37+RH49-RH44</f>
        <v>130119519.75000024</v>
      </c>
      <c r="RI51" s="71">
        <f t="shared" si="1231"/>
        <v>128168753.75000024</v>
      </c>
      <c r="RJ51" s="71">
        <f t="shared" si="1231"/>
        <v>128824120.75000024</v>
      </c>
      <c r="RK51" s="71">
        <f t="shared" si="1231"/>
        <v>128776500.75000024</v>
      </c>
      <c r="RL51" s="71">
        <f t="shared" si="1231"/>
        <v>129034973.75000024</v>
      </c>
      <c r="RM51" s="71">
        <f t="shared" si="1231"/>
        <v>130002879.75000024</v>
      </c>
      <c r="RN51" s="71">
        <f t="shared" si="1231"/>
        <v>130127037.75000024</v>
      </c>
      <c r="RO51" s="71">
        <f t="shared" si="1231"/>
        <v>130418679.75000024</v>
      </c>
      <c r="RP51" s="71">
        <f t="shared" si="1231"/>
        <v>129900617.75000024</v>
      </c>
      <c r="RQ51" s="71">
        <f t="shared" si="1231"/>
        <v>130761200.75000024</v>
      </c>
      <c r="RR51" s="71">
        <f t="shared" si="1231"/>
        <v>133280465.75000024</v>
      </c>
      <c r="RS51" s="71">
        <f t="shared" si="1231"/>
        <v>131832774.75000024</v>
      </c>
      <c r="RT51" s="71">
        <f t="shared" si="1231"/>
        <v>132276722.75000024</v>
      </c>
      <c r="RU51" s="71">
        <f t="shared" si="1231"/>
        <v>132129903.75000024</v>
      </c>
      <c r="RV51" s="71">
        <f t="shared" si="1231"/>
        <v>132036906.75000024</v>
      </c>
      <c r="RW51" s="71">
        <f t="shared" si="1231"/>
        <v>132124258.75000024</v>
      </c>
      <c r="RX51" s="71">
        <f t="shared" si="1231"/>
        <v>132763255.75000024</v>
      </c>
      <c r="RY51" s="71">
        <f t="shared" si="1231"/>
        <v>132120100.75000024</v>
      </c>
      <c r="RZ51" s="71">
        <f t="shared" si="1231"/>
        <v>132017182.75000024</v>
      </c>
      <c r="SA51" s="71">
        <f t="shared" si="1231"/>
        <v>130103476.75000024</v>
      </c>
      <c r="SB51" s="71">
        <f t="shared" si="1231"/>
        <v>130142088.75000024</v>
      </c>
      <c r="SC51" s="71">
        <f t="shared" si="1231"/>
        <v>130412718.75000024</v>
      </c>
      <c r="SD51" s="71">
        <f t="shared" si="1231"/>
        <v>130867874.75000024</v>
      </c>
      <c r="SE51" s="71">
        <f t="shared" si="1231"/>
        <v>130836570.75000024</v>
      </c>
      <c r="SF51" s="71">
        <f t="shared" si="1231"/>
        <v>131115868.75000024</v>
      </c>
      <c r="SG51" s="71">
        <f t="shared" si="1231"/>
        <v>131620448.75000024</v>
      </c>
      <c r="SH51" s="71">
        <f t="shared" si="1231"/>
        <v>131766824.75000024</v>
      </c>
      <c r="SI51" s="71">
        <f t="shared" si="1231"/>
        <v>132496056.75000024</v>
      </c>
      <c r="SJ51" s="71">
        <f t="shared" si="1231"/>
        <v>132614036.75000024</v>
      </c>
      <c r="SK51" s="71">
        <f t="shared" si="1231"/>
        <v>133340241.75000024</v>
      </c>
      <c r="SL51" s="130"/>
      <c r="SM51" s="71">
        <f t="shared" ref="SM51:TQ51" si="1232">SM13+SM37+SM49-SM44</f>
        <v>129756034.75000024</v>
      </c>
      <c r="SN51" s="71">
        <f t="shared" si="1232"/>
        <v>130283922.75000024</v>
      </c>
      <c r="SO51" s="71">
        <f t="shared" si="1232"/>
        <v>130680480.75000024</v>
      </c>
      <c r="SP51" s="71">
        <f t="shared" si="1232"/>
        <v>128567717.75000024</v>
      </c>
      <c r="SQ51" s="71">
        <f t="shared" si="1232"/>
        <v>128950475.75000024</v>
      </c>
      <c r="SR51" s="71">
        <f t="shared" si="1232"/>
        <v>127198812.75000024</v>
      </c>
      <c r="SS51" s="71">
        <f t="shared" si="1232"/>
        <v>127391805.75000024</v>
      </c>
      <c r="ST51" s="71">
        <f t="shared" si="1232"/>
        <v>127571867.75000024</v>
      </c>
      <c r="SU51" s="71">
        <f t="shared" si="1232"/>
        <v>128602430.75000024</v>
      </c>
      <c r="SV51" s="71">
        <f t="shared" si="1232"/>
        <v>128427950.75000024</v>
      </c>
      <c r="SW51" s="71">
        <f t="shared" si="1232"/>
        <v>128451836.75000024</v>
      </c>
      <c r="SX51" s="71">
        <f t="shared" si="1232"/>
        <v>128658067.75000024</v>
      </c>
      <c r="SY51" s="71">
        <f t="shared" si="1232"/>
        <v>129253275.75000024</v>
      </c>
      <c r="SZ51" s="71">
        <f t="shared" si="1232"/>
        <v>129659044.75000024</v>
      </c>
      <c r="TA51" s="71">
        <f t="shared" si="1232"/>
        <v>129819284.75000024</v>
      </c>
      <c r="TB51" s="71">
        <f t="shared" si="1232"/>
        <v>130443323.75000024</v>
      </c>
      <c r="TC51" s="71">
        <f t="shared" si="1232"/>
        <v>131351607.75000024</v>
      </c>
      <c r="TD51" s="71">
        <f t="shared" si="1232"/>
        <v>131362296.75000024</v>
      </c>
      <c r="TE51" s="71">
        <f t="shared" si="1232"/>
        <v>131610185.75000024</v>
      </c>
      <c r="TF51" s="71">
        <f t="shared" si="1232"/>
        <v>132077656.75000024</v>
      </c>
      <c r="TG51" s="71">
        <f t="shared" si="1232"/>
        <v>132527267.75000024</v>
      </c>
      <c r="TH51" s="71">
        <f t="shared" si="1232"/>
        <v>132963581.75000024</v>
      </c>
      <c r="TI51" s="71">
        <f t="shared" si="1232"/>
        <v>133754315.75000024</v>
      </c>
      <c r="TJ51" s="71">
        <f t="shared" si="1232"/>
        <v>130905933.75000024</v>
      </c>
      <c r="TK51" s="71">
        <f t="shared" si="1232"/>
        <v>130987970.75000024</v>
      </c>
      <c r="TL51" s="71">
        <f t="shared" si="1232"/>
        <v>131541061.75000024</v>
      </c>
      <c r="TM51" s="71">
        <f t="shared" si="1232"/>
        <v>131837795.75000024</v>
      </c>
      <c r="TN51" s="71">
        <f t="shared" si="1232"/>
        <v>132237684.75000024</v>
      </c>
      <c r="TO51" s="71">
        <f t="shared" si="1232"/>
        <v>132379746.75000024</v>
      </c>
      <c r="TP51" s="71">
        <f t="shared" si="1232"/>
        <v>132637162.75000024</v>
      </c>
      <c r="TQ51" s="71">
        <f t="shared" si="1232"/>
        <v>130044468.75000024</v>
      </c>
      <c r="TR51" s="130"/>
      <c r="TS51" s="71">
        <f t="shared" ref="TS51:UW51" si="1233">TS13+TS37+TS49-TS44</f>
        <v>130032448.75000024</v>
      </c>
      <c r="TT51" s="71">
        <f t="shared" si="1233"/>
        <v>130050586.75000024</v>
      </c>
      <c r="TU51" s="71">
        <f t="shared" si="1233"/>
        <v>128290954.75000024</v>
      </c>
      <c r="TV51" s="71">
        <f t="shared" si="1233"/>
        <v>128647958.75000024</v>
      </c>
      <c r="TW51" s="71">
        <f t="shared" si="1233"/>
        <v>127905553.75000024</v>
      </c>
      <c r="TX51" s="71">
        <f t="shared" si="1233"/>
        <v>128260326.75000024</v>
      </c>
      <c r="TY51" s="71">
        <f t="shared" si="1233"/>
        <v>128658886.75000024</v>
      </c>
      <c r="TZ51" s="71">
        <f t="shared" si="1233"/>
        <v>129072726.75000024</v>
      </c>
      <c r="UA51" s="71">
        <f t="shared" si="1233"/>
        <v>129440958.75000024</v>
      </c>
      <c r="UB51" s="71">
        <f t="shared" si="1233"/>
        <v>129929839.75000024</v>
      </c>
      <c r="UC51" s="71">
        <f t="shared" si="1233"/>
        <v>130330653.75000024</v>
      </c>
      <c r="UD51" s="71">
        <f t="shared" si="1233"/>
        <v>130770399.75000024</v>
      </c>
      <c r="UE51" s="71">
        <f t="shared" si="1233"/>
        <v>131030426.75000024</v>
      </c>
      <c r="UF51" s="71">
        <f t="shared" si="1233"/>
        <v>130034036.75000024</v>
      </c>
      <c r="UG51" s="71">
        <f t="shared" si="1233"/>
        <v>130404758.75000024</v>
      </c>
      <c r="UH51" s="71">
        <f t="shared" si="1233"/>
        <v>130659518.75000024</v>
      </c>
      <c r="UI51" s="71">
        <f t="shared" si="1233"/>
        <v>130868734.75000024</v>
      </c>
      <c r="UJ51" s="71">
        <f t="shared" si="1233"/>
        <v>131618328.75000024</v>
      </c>
      <c r="UK51" s="71">
        <f t="shared" si="1233"/>
        <v>131772257.75000024</v>
      </c>
      <c r="UL51" s="71">
        <f t="shared" si="1233"/>
        <v>131820820.75000024</v>
      </c>
      <c r="UM51" s="71">
        <f t="shared" si="1233"/>
        <v>131976056.75000024</v>
      </c>
      <c r="UN51" s="71">
        <f t="shared" si="1233"/>
        <v>132208507.75000024</v>
      </c>
      <c r="UO51" s="71">
        <f t="shared" si="1233"/>
        <v>132635777.75000024</v>
      </c>
      <c r="UP51" s="71">
        <f t="shared" si="1233"/>
        <v>132626639.75000024</v>
      </c>
      <c r="UQ51" s="71">
        <f t="shared" si="1233"/>
        <v>133096995.75000024</v>
      </c>
      <c r="UR51" s="71">
        <f t="shared" si="1233"/>
        <v>133340055.75000024</v>
      </c>
      <c r="US51" s="71">
        <f t="shared" si="1233"/>
        <v>133902530.75000024</v>
      </c>
      <c r="UT51" s="71">
        <f t="shared" si="1233"/>
        <v>133050462.75000024</v>
      </c>
      <c r="UU51" s="71">
        <f t="shared" si="1233"/>
        <v>132926706.75000024</v>
      </c>
      <c r="UV51" s="71">
        <f t="shared" si="1233"/>
        <v>133705534.75000024</v>
      </c>
      <c r="UW51" s="71">
        <f t="shared" si="1233"/>
        <v>134213170.75000024</v>
      </c>
      <c r="UX51" s="130"/>
      <c r="UY51" s="71">
        <f t="shared" ref="UY51:VZ51" si="1234">UY13+UY37+UY49-UY44</f>
        <v>130151467.75000024</v>
      </c>
      <c r="UZ51" s="71">
        <f t="shared" si="1234"/>
        <v>130995031.75000024</v>
      </c>
      <c r="VA51" s="71">
        <f t="shared" si="1234"/>
        <v>129343329.75000024</v>
      </c>
      <c r="VB51" s="71">
        <f t="shared" si="1234"/>
        <v>127909709.75000024</v>
      </c>
      <c r="VC51" s="71">
        <f t="shared" si="1234"/>
        <v>153072215.75000024</v>
      </c>
      <c r="VD51" s="71">
        <f t="shared" si="1234"/>
        <v>128554691.75000024</v>
      </c>
      <c r="VE51" s="71">
        <f t="shared" si="1234"/>
        <v>128285283.75000024</v>
      </c>
      <c r="VF51" s="71">
        <f t="shared" si="1234"/>
        <v>128660969.75000024</v>
      </c>
      <c r="VG51" s="71">
        <f t="shared" si="1234"/>
        <v>128858712.75000024</v>
      </c>
      <c r="VH51" s="71">
        <f t="shared" si="1234"/>
        <v>129430455.75000024</v>
      </c>
      <c r="VI51" s="71">
        <f t="shared" si="1234"/>
        <v>129756843.75000024</v>
      </c>
      <c r="VJ51" s="71">
        <f t="shared" si="1234"/>
        <v>130211376.75000024</v>
      </c>
      <c r="VK51" s="71">
        <f t="shared" si="1234"/>
        <v>130523093.75000024</v>
      </c>
      <c r="VL51" s="71">
        <f t="shared" si="1234"/>
        <v>130894473.75000024</v>
      </c>
      <c r="VM51" s="71">
        <f t="shared" si="1234"/>
        <v>130976380.75000024</v>
      </c>
      <c r="VN51" s="71">
        <f t="shared" si="1234"/>
        <v>131361425.75000024</v>
      </c>
      <c r="VO51" s="71">
        <f t="shared" si="1234"/>
        <v>131797184.75000024</v>
      </c>
      <c r="VP51" s="71">
        <f t="shared" si="1234"/>
        <v>132064310.75000024</v>
      </c>
      <c r="VQ51" s="71">
        <f t="shared" si="1234"/>
        <v>132049462.75000024</v>
      </c>
      <c r="VR51" s="71">
        <f t="shared" si="1234"/>
        <v>132628512.75000024</v>
      </c>
      <c r="VS51" s="71">
        <f t="shared" si="1234"/>
        <v>132867178.75000024</v>
      </c>
      <c r="VT51" s="71">
        <f t="shared" si="1234"/>
        <v>133271257.75000024</v>
      </c>
      <c r="VU51" s="71">
        <f t="shared" si="1234"/>
        <v>133659831.75000024</v>
      </c>
      <c r="VV51" s="71">
        <f t="shared" si="1234"/>
        <v>134115529.75000024</v>
      </c>
      <c r="VW51" s="71">
        <f t="shared" si="1234"/>
        <v>134112660.75000024</v>
      </c>
      <c r="VX51" s="71">
        <f t="shared" si="1234"/>
        <v>133984195.75000024</v>
      </c>
      <c r="VY51" s="71">
        <f t="shared" si="1234"/>
        <v>134476694.75000024</v>
      </c>
      <c r="VZ51" s="71">
        <f t="shared" si="1234"/>
        <v>135048597.75000024</v>
      </c>
      <c r="WA51" s="128"/>
      <c r="WB51" s="71">
        <f t="shared" ref="WB51:XF51" si="1235">WB13+WB37+WB49-WB44</f>
        <v>129950937.75000024</v>
      </c>
      <c r="WC51" s="71">
        <f t="shared" si="1235"/>
        <v>130174716.75000024</v>
      </c>
      <c r="WD51" s="71">
        <f t="shared" si="1235"/>
        <v>128320999.75000024</v>
      </c>
      <c r="WE51" s="71">
        <f t="shared" si="1235"/>
        <v>127067832.75000024</v>
      </c>
      <c r="WF51" s="71">
        <f t="shared" si="1235"/>
        <v>127071619.75000024</v>
      </c>
      <c r="WG51" s="71">
        <f t="shared" si="1235"/>
        <v>127286728.75000024</v>
      </c>
      <c r="WH51" s="71">
        <f t="shared" si="1235"/>
        <v>127372750.75000024</v>
      </c>
      <c r="WI51" s="71">
        <f t="shared" si="1235"/>
        <v>127436808.75000024</v>
      </c>
      <c r="WJ51" s="71">
        <f t="shared" si="1235"/>
        <v>127470669.75000024</v>
      </c>
      <c r="WK51" s="71">
        <f t="shared" si="1235"/>
        <v>127607937.75000024</v>
      </c>
      <c r="WL51" s="71">
        <f t="shared" si="1235"/>
        <v>126071235.75000024</v>
      </c>
      <c r="WM51" s="71">
        <f t="shared" si="1235"/>
        <v>126833889.75000024</v>
      </c>
      <c r="WN51" s="71">
        <f t="shared" si="1235"/>
        <v>127352898.75000024</v>
      </c>
      <c r="WO51" s="71">
        <f t="shared" si="1235"/>
        <v>127615437.75000024</v>
      </c>
      <c r="WP51" s="71">
        <f t="shared" si="1235"/>
        <v>128150053.75000024</v>
      </c>
      <c r="WQ51" s="71">
        <f t="shared" si="1235"/>
        <v>128010218.75000024</v>
      </c>
      <c r="WR51" s="71">
        <f t="shared" si="1235"/>
        <v>128574378.75000024</v>
      </c>
      <c r="WS51" s="71">
        <f t="shared" si="1235"/>
        <v>129104034.50000024</v>
      </c>
      <c r="WT51" s="71">
        <f t="shared" si="1235"/>
        <v>129109370.75000024</v>
      </c>
      <c r="WU51" s="71">
        <f t="shared" si="1235"/>
        <v>129418988.75000024</v>
      </c>
      <c r="WV51" s="71">
        <f t="shared" si="1235"/>
        <v>129556265.75000024</v>
      </c>
      <c r="WW51" s="71">
        <f t="shared" si="1235"/>
        <v>129462363.75000024</v>
      </c>
      <c r="WX51" s="71">
        <f t="shared" si="1235"/>
        <v>129757688.75000024</v>
      </c>
      <c r="WY51" s="71">
        <f t="shared" si="1235"/>
        <v>130215258.75000024</v>
      </c>
      <c r="WZ51" s="71">
        <f t="shared" si="1235"/>
        <v>129903745.75000024</v>
      </c>
      <c r="XA51" s="71">
        <f t="shared" si="1235"/>
        <v>129782603.75000024</v>
      </c>
      <c r="XB51" s="71">
        <f t="shared" si="1235"/>
        <v>130927725.75000024</v>
      </c>
      <c r="XC51" s="71">
        <f t="shared" si="1235"/>
        <v>131416409.75000024</v>
      </c>
      <c r="XD51" s="71">
        <f t="shared" si="1235"/>
        <v>132456497.75000024</v>
      </c>
      <c r="XE51" s="71">
        <f t="shared" si="1235"/>
        <v>131250214.75000024</v>
      </c>
      <c r="XF51" s="71">
        <f t="shared" si="1235"/>
        <v>131537033.75000024</v>
      </c>
      <c r="XG51" s="128"/>
      <c r="XH51" s="71">
        <f t="shared" ref="XH51:YK51" si="1236">XH13+XH37+XH49-XH44</f>
        <v>129481276.75000024</v>
      </c>
      <c r="XI51" s="71">
        <f t="shared" si="1236"/>
        <v>128597771.75000024</v>
      </c>
      <c r="XJ51" s="71">
        <f t="shared" si="1236"/>
        <v>128399447.75000024</v>
      </c>
      <c r="XK51" s="71">
        <f t="shared" si="1236"/>
        <v>126757568.75000024</v>
      </c>
      <c r="XL51" s="71">
        <f t="shared" si="1236"/>
        <v>126972212.75000024</v>
      </c>
      <c r="XM51" s="71">
        <f t="shared" si="1236"/>
        <v>127183863.75000024</v>
      </c>
      <c r="XN51" s="71">
        <f t="shared" si="1236"/>
        <v>127669294.75000024</v>
      </c>
      <c r="XO51" s="71">
        <f t="shared" si="1236"/>
        <v>128087624.75000024</v>
      </c>
      <c r="XP51" s="71">
        <f t="shared" si="1236"/>
        <v>127496620.75000024</v>
      </c>
      <c r="XQ51" s="71">
        <f t="shared" si="1236"/>
        <v>127894048.75000024</v>
      </c>
      <c r="XR51" s="71">
        <f t="shared" si="1236"/>
        <v>127706061.75000024</v>
      </c>
      <c r="XS51" s="71">
        <f t="shared" si="1236"/>
        <v>127794794.75000024</v>
      </c>
      <c r="XT51" s="71">
        <f t="shared" si="1236"/>
        <v>128071619.75000024</v>
      </c>
      <c r="XU51" s="71">
        <f t="shared" si="1236"/>
        <v>128620423.75000024</v>
      </c>
      <c r="XV51" s="71">
        <f t="shared" si="1236"/>
        <v>129088483.75000024</v>
      </c>
      <c r="XW51" s="71">
        <f t="shared" si="1236"/>
        <v>129584097.75000024</v>
      </c>
      <c r="XX51" s="71">
        <f t="shared" si="1236"/>
        <v>129465163.75000024</v>
      </c>
      <c r="XY51" s="71">
        <f t="shared" si="1236"/>
        <v>129615357.75000024</v>
      </c>
      <c r="XZ51" s="71">
        <f t="shared" si="1236"/>
        <v>129540157.75000024</v>
      </c>
      <c r="YA51" s="71">
        <f t="shared" si="1236"/>
        <v>129466757.75000024</v>
      </c>
      <c r="YB51" s="71">
        <f t="shared" si="1236"/>
        <v>130072413.75000024</v>
      </c>
      <c r="YC51" s="71">
        <f t="shared" si="1236"/>
        <v>130889038.75000024</v>
      </c>
      <c r="YD51" s="71">
        <f t="shared" si="1236"/>
        <v>130817586.75000024</v>
      </c>
      <c r="YE51" s="71">
        <f t="shared" si="1236"/>
        <v>131308495.75000024</v>
      </c>
      <c r="YF51" s="71">
        <f t="shared" si="1236"/>
        <v>131638802.75000024</v>
      </c>
      <c r="YG51" s="71">
        <f t="shared" si="1236"/>
        <v>132250530.75000024</v>
      </c>
      <c r="YH51" s="71">
        <f t="shared" si="1236"/>
        <v>132576022.75000024</v>
      </c>
      <c r="YI51" s="71">
        <f t="shared" si="1236"/>
        <v>132174878.75000024</v>
      </c>
      <c r="YJ51" s="71">
        <f t="shared" si="1236"/>
        <v>132669023.75000024</v>
      </c>
      <c r="YK51" s="71">
        <f t="shared" si="1236"/>
        <v>132788645.75000024</v>
      </c>
      <c r="YL51" s="130"/>
      <c r="YM51" s="71">
        <f t="shared" ref="YM51:ZQ51" si="1237">YM13+YM37+YM49-YM44</f>
        <v>130306259.75000024</v>
      </c>
      <c r="YN51" s="71">
        <f t="shared" si="1237"/>
        <v>128564537.75000024</v>
      </c>
      <c r="YO51" s="71">
        <f t="shared" si="1237"/>
        <v>128985970.75000024</v>
      </c>
      <c r="YP51" s="71">
        <f t="shared" si="1237"/>
        <v>129326226.75000024</v>
      </c>
      <c r="YQ51" s="71">
        <f t="shared" si="1237"/>
        <v>129548776.75000024</v>
      </c>
      <c r="YR51" s="71">
        <f t="shared" si="1237"/>
        <v>128430479.75000024</v>
      </c>
      <c r="YS51" s="71">
        <f t="shared" si="1237"/>
        <v>128674827.75000024</v>
      </c>
      <c r="YT51" s="71">
        <f t="shared" si="1237"/>
        <v>128729649.75000024</v>
      </c>
      <c r="YU51" s="71">
        <f t="shared" si="1237"/>
        <v>128409964.75000024</v>
      </c>
      <c r="YV51" s="71">
        <f t="shared" si="1237"/>
        <v>127743436.75000024</v>
      </c>
      <c r="YW51" s="71">
        <f t="shared" si="1237"/>
        <v>128545231.75000024</v>
      </c>
      <c r="YX51" s="71">
        <f t="shared" si="1237"/>
        <v>128624903.75000024</v>
      </c>
      <c r="YY51" s="71">
        <f t="shared" si="1237"/>
        <v>128496084.75000024</v>
      </c>
      <c r="YZ51" s="71">
        <f t="shared" si="1237"/>
        <v>128794274.75000024</v>
      </c>
      <c r="ZA51" s="71">
        <f t="shared" si="1237"/>
        <v>128911855.75000024</v>
      </c>
      <c r="ZB51" s="71">
        <f t="shared" si="1237"/>
        <v>129307479.75000024</v>
      </c>
      <c r="ZC51" s="71">
        <f t="shared" si="1237"/>
        <v>129599795.75000024</v>
      </c>
      <c r="ZD51" s="71">
        <f t="shared" si="1237"/>
        <v>130148091.75000024</v>
      </c>
      <c r="ZE51" s="71">
        <f t="shared" si="1237"/>
        <v>130448186.75000024</v>
      </c>
      <c r="ZF51" s="71">
        <f t="shared" si="1237"/>
        <v>130628946.75000024</v>
      </c>
      <c r="ZG51" s="71">
        <f t="shared" si="1237"/>
        <v>130753580.75000024</v>
      </c>
      <c r="ZH51" s="71">
        <f t="shared" si="1237"/>
        <v>131637631.75000024</v>
      </c>
      <c r="ZI51" s="71">
        <f t="shared" si="1237"/>
        <v>131128475.75000024</v>
      </c>
      <c r="ZJ51" s="71">
        <f t="shared" si="1237"/>
        <v>132749402.75000024</v>
      </c>
      <c r="ZK51" s="71">
        <f t="shared" si="1237"/>
        <v>131712596.75000024</v>
      </c>
      <c r="ZL51" s="71">
        <f t="shared" si="1237"/>
        <v>132466285.75000024</v>
      </c>
      <c r="ZM51" s="71">
        <f t="shared" si="1237"/>
        <v>133144272.75000024</v>
      </c>
      <c r="ZN51" s="71">
        <f t="shared" si="1237"/>
        <v>133387188.75000024</v>
      </c>
      <c r="ZO51" s="71">
        <f t="shared" si="1237"/>
        <v>132935391.75000024</v>
      </c>
      <c r="ZP51" s="71">
        <f t="shared" si="1237"/>
        <v>132772309.75000024</v>
      </c>
      <c r="ZQ51" s="71">
        <f t="shared" si="1237"/>
        <v>133599823.75000024</v>
      </c>
      <c r="ZR51" s="130"/>
      <c r="ZS51" s="71">
        <f t="shared" ref="ZS51:AAV51" si="1238">ZS13+ZS37+ZS49-ZS44</f>
        <v>130174506.75000024</v>
      </c>
      <c r="ZT51" s="71">
        <f t="shared" si="1238"/>
        <v>130622503.75000024</v>
      </c>
      <c r="ZU51" s="71">
        <f t="shared" si="1238"/>
        <v>132890509.75000024</v>
      </c>
      <c r="ZV51" s="71">
        <f t="shared" si="1238"/>
        <v>132163537.75000024</v>
      </c>
      <c r="ZW51" s="71">
        <f t="shared" si="1238"/>
        <v>132011902.75000024</v>
      </c>
      <c r="ZX51" s="71">
        <f t="shared" si="1238"/>
        <v>131914898.75000024</v>
      </c>
      <c r="ZY51" s="71">
        <f t="shared" si="1238"/>
        <v>132316665.75000024</v>
      </c>
      <c r="ZZ51" s="71">
        <f t="shared" si="1238"/>
        <v>132466581.75000024</v>
      </c>
      <c r="AAA51" s="71">
        <f t="shared" si="1238"/>
        <v>132971652.75000024</v>
      </c>
      <c r="AAB51" s="71">
        <f t="shared" si="1238"/>
        <v>132139602.75000024</v>
      </c>
      <c r="AAC51" s="71">
        <f t="shared" si="1238"/>
        <v>132324708.75000024</v>
      </c>
      <c r="AAD51" s="71">
        <f t="shared" si="1238"/>
        <v>132712960.75000024</v>
      </c>
      <c r="AAE51" s="71">
        <f t="shared" si="1238"/>
        <v>133196699.75000024</v>
      </c>
      <c r="AAF51" s="71">
        <f t="shared" si="1238"/>
        <v>133856030.75000024</v>
      </c>
      <c r="AAG51" s="71">
        <f t="shared" si="1238"/>
        <v>133943278.75000024</v>
      </c>
      <c r="AAH51" s="71">
        <f t="shared" si="1238"/>
        <v>134214468.75000024</v>
      </c>
      <c r="AAI51" s="71">
        <f t="shared" si="1238"/>
        <v>134513594.75000024</v>
      </c>
      <c r="AAJ51" s="71">
        <f t="shared" si="1238"/>
        <v>134963085.75000024</v>
      </c>
      <c r="AAK51" s="71">
        <f t="shared" si="1238"/>
        <v>134456498.75000024</v>
      </c>
      <c r="AAL51" s="71">
        <f t="shared" si="1238"/>
        <v>135296717.75000024</v>
      </c>
      <c r="AAM51" s="71">
        <f t="shared" si="1238"/>
        <v>135434482.75000024</v>
      </c>
      <c r="AAN51" s="71">
        <f t="shared" si="1238"/>
        <v>135888989.75000024</v>
      </c>
      <c r="AAO51" s="71">
        <f t="shared" si="1238"/>
        <v>136520540.75000024</v>
      </c>
      <c r="AAP51" s="71">
        <f t="shared" si="1238"/>
        <v>136434637.75000024</v>
      </c>
      <c r="AAQ51" s="71">
        <f t="shared" si="1238"/>
        <v>137063861.75000024</v>
      </c>
      <c r="AAR51" s="71">
        <f t="shared" si="1238"/>
        <v>136920906.75000024</v>
      </c>
      <c r="AAS51" s="71">
        <f t="shared" si="1238"/>
        <v>137365496.75000024</v>
      </c>
      <c r="AAT51" s="71">
        <f t="shared" si="1238"/>
        <v>136118360.75000024</v>
      </c>
      <c r="AAU51" s="71">
        <f t="shared" si="1238"/>
        <v>136239540.75000024</v>
      </c>
      <c r="AAV51" s="71">
        <f t="shared" si="1238"/>
        <v>136008664.75000024</v>
      </c>
      <c r="AAW51" s="130"/>
      <c r="AAX51" s="71">
        <f t="shared" ref="AAX51:ACB51" si="1239">AAX13+AAX37+AAX49-AAX44</f>
        <v>129023516.75000024</v>
      </c>
      <c r="AAY51" s="71">
        <f t="shared" si="1239"/>
        <v>127165847.75000024</v>
      </c>
      <c r="AAZ51" s="71">
        <f t="shared" si="1239"/>
        <v>127575674.75000024</v>
      </c>
      <c r="ABA51" s="71">
        <f t="shared" si="1239"/>
        <v>127816382.75000024</v>
      </c>
      <c r="ABB51" s="71">
        <f t="shared" si="1239"/>
        <v>128055118.75000024</v>
      </c>
      <c r="ABC51" s="71">
        <f t="shared" si="1239"/>
        <v>128481863.75000024</v>
      </c>
      <c r="ABD51" s="71">
        <f t="shared" si="1239"/>
        <v>128698323.75000024</v>
      </c>
      <c r="ABE51" s="71">
        <f t="shared" si="1239"/>
        <v>129135497.75000024</v>
      </c>
      <c r="ABF51" s="71">
        <f t="shared" si="1239"/>
        <v>129585849.75000024</v>
      </c>
      <c r="ABG51" s="71">
        <f t="shared" si="1239"/>
        <v>128907297.75000024</v>
      </c>
      <c r="ABH51" s="71">
        <f t="shared" si="1239"/>
        <v>130247702.75000024</v>
      </c>
      <c r="ABI51" s="71">
        <f t="shared" si="1239"/>
        <v>130390795.75000024</v>
      </c>
      <c r="ABJ51" s="71">
        <f t="shared" si="1239"/>
        <v>130267769.75000024</v>
      </c>
      <c r="ABK51" s="71">
        <f t="shared" si="1239"/>
        <v>130768949.75000024</v>
      </c>
      <c r="ABL51" s="71">
        <f t="shared" si="1239"/>
        <v>131042681.75000024</v>
      </c>
      <c r="ABM51" s="71">
        <f t="shared" si="1239"/>
        <v>130699868.75000024</v>
      </c>
      <c r="ABN51" s="71">
        <f t="shared" si="1239"/>
        <v>126008027.75000024</v>
      </c>
      <c r="ABO51" s="71">
        <f t="shared" si="1239"/>
        <v>126324780.75000024</v>
      </c>
      <c r="ABP51" s="71">
        <f t="shared" si="1239"/>
        <v>125703518.75000024</v>
      </c>
      <c r="ABQ51" s="71">
        <f t="shared" si="1239"/>
        <v>126026840.75000024</v>
      </c>
      <c r="ABR51" s="71">
        <f t="shared" si="1239"/>
        <v>126405806.75000024</v>
      </c>
      <c r="ABS51" s="71">
        <f t="shared" si="1239"/>
        <v>126187666.75000024</v>
      </c>
      <c r="ABT51" s="71">
        <f t="shared" si="1239"/>
        <v>126891405.75000024</v>
      </c>
      <c r="ABU51" s="71">
        <f t="shared" si="1239"/>
        <v>126957664.75000024</v>
      </c>
      <c r="ABV51" s="71">
        <f t="shared" si="1239"/>
        <v>127217160.75000024</v>
      </c>
      <c r="ABW51" s="71">
        <f t="shared" si="1239"/>
        <v>127738374.75000024</v>
      </c>
      <c r="ABX51" s="71">
        <f t="shared" si="1239"/>
        <v>128297670.75000024</v>
      </c>
      <c r="ABY51" s="71">
        <f t="shared" si="1239"/>
        <v>128564720.75000024</v>
      </c>
      <c r="ABZ51" s="71">
        <f t="shared" si="1239"/>
        <v>128975862.75000024</v>
      </c>
      <c r="ACA51" s="71">
        <f t="shared" si="1239"/>
        <v>128609469.75000024</v>
      </c>
      <c r="ACB51" s="71">
        <f t="shared" si="1239"/>
        <v>126512728.75000024</v>
      </c>
      <c r="ACC51" s="130"/>
      <c r="ACD51" s="71">
        <f t="shared" ref="ACD51:ADH51" si="1240">ACD13+ACD37+ACD49-ACD44</f>
        <v>130585315.75000024</v>
      </c>
      <c r="ACE51" s="71">
        <f t="shared" si="1240"/>
        <v>130980981.75000024</v>
      </c>
      <c r="ACF51" s="71">
        <f t="shared" si="1240"/>
        <v>131322225.75000024</v>
      </c>
      <c r="ACG51" s="71">
        <f t="shared" si="1240"/>
        <v>129320105.75000024</v>
      </c>
      <c r="ACH51" s="71">
        <f t="shared" si="1240"/>
        <v>129724769.75000024</v>
      </c>
      <c r="ACI51" s="71">
        <f t="shared" si="1240"/>
        <v>129606980.75000024</v>
      </c>
      <c r="ACJ51" s="71">
        <f t="shared" si="1240"/>
        <v>126985370.75000024</v>
      </c>
      <c r="ACK51" s="71">
        <f t="shared" si="1240"/>
        <v>126791952.75000024</v>
      </c>
      <c r="ACL51" s="71">
        <f t="shared" si="1240"/>
        <v>127001000.75000024</v>
      </c>
      <c r="ACM51" s="71">
        <f t="shared" si="1240"/>
        <v>127463853.75000024</v>
      </c>
      <c r="ACN51" s="71">
        <f t="shared" si="1240"/>
        <v>128661252.75000024</v>
      </c>
      <c r="ACO51" s="71">
        <f t="shared" si="1240"/>
        <v>128381859.75000024</v>
      </c>
      <c r="ACP51" s="71">
        <f t="shared" si="1240"/>
        <v>127151482.75000024</v>
      </c>
      <c r="ACQ51" s="71">
        <f t="shared" si="1240"/>
        <v>126541822.75000024</v>
      </c>
      <c r="ACR51" s="71">
        <f t="shared" si="1240"/>
        <v>126966431.75000024</v>
      </c>
      <c r="ACS51" s="71">
        <f t="shared" si="1240"/>
        <v>127359517.75000024</v>
      </c>
      <c r="ACT51" s="71">
        <f t="shared" si="1240"/>
        <v>128010679.75000024</v>
      </c>
      <c r="ACU51" s="71">
        <f t="shared" si="1240"/>
        <v>127969526.75000024</v>
      </c>
      <c r="ACV51" s="71">
        <f t="shared" si="1240"/>
        <v>127897392.75000024</v>
      </c>
      <c r="ACW51" s="71">
        <f t="shared" si="1240"/>
        <v>128993431.75000024</v>
      </c>
      <c r="ACX51" s="71">
        <f t="shared" si="1240"/>
        <v>131504961.75000024</v>
      </c>
      <c r="ACY51" s="71">
        <f t="shared" si="1240"/>
        <v>132120411.75000024</v>
      </c>
      <c r="ACZ51" s="71">
        <f t="shared" si="1240"/>
        <v>132455771.75000024</v>
      </c>
      <c r="ADA51" s="71">
        <f t="shared" si="1240"/>
        <v>132725598.75000024</v>
      </c>
      <c r="ADB51" s="71">
        <f t="shared" si="1240"/>
        <v>132477680.75000024</v>
      </c>
      <c r="ADC51" s="71">
        <f t="shared" si="1240"/>
        <v>132195524.75000024</v>
      </c>
      <c r="ADD51" s="71">
        <f t="shared" si="1240"/>
        <v>132763115.75000024</v>
      </c>
      <c r="ADE51" s="71">
        <f t="shared" si="1240"/>
        <v>132850972.75000024</v>
      </c>
      <c r="ADF51" s="71">
        <f t="shared" si="1240"/>
        <v>133523331.75000024</v>
      </c>
      <c r="ADG51" s="71">
        <f t="shared" si="1240"/>
        <v>134233853.75000024</v>
      </c>
      <c r="ADH51" s="71">
        <f t="shared" si="1240"/>
        <v>134050272.75000024</v>
      </c>
      <c r="ADI51" s="130"/>
      <c r="ADJ51" s="71">
        <f t="shared" ref="ADJ51:AEM51" si="1241">ADJ13+ADJ37+ADJ49-ADJ44</f>
        <v>130620688.75000024</v>
      </c>
      <c r="ADK51" s="71">
        <f t="shared" si="1241"/>
        <v>130765630.75000024</v>
      </c>
      <c r="ADL51" s="71">
        <f t="shared" si="1241"/>
        <v>128929841.75000024</v>
      </c>
      <c r="ADM51" s="71">
        <f t="shared" si="1241"/>
        <v>129140030.75000024</v>
      </c>
      <c r="ADN51" s="71">
        <f t="shared" si="1241"/>
        <v>129098245.75000024</v>
      </c>
      <c r="ADO51" s="71">
        <f t="shared" si="1241"/>
        <v>129277501.75000024</v>
      </c>
      <c r="ADP51" s="71">
        <f t="shared" si="1241"/>
        <v>130726914.75000024</v>
      </c>
      <c r="ADQ51" s="71">
        <f t="shared" si="1241"/>
        <v>130885061.75000024</v>
      </c>
      <c r="ADR51" s="71">
        <f t="shared" si="1241"/>
        <v>131314486.75000024</v>
      </c>
      <c r="ADS51" s="71">
        <f t="shared" si="1241"/>
        <v>131644686.75000024</v>
      </c>
      <c r="ADT51" s="71">
        <f t="shared" si="1241"/>
        <v>131925031.75000024</v>
      </c>
      <c r="ADU51" s="71">
        <f t="shared" si="1241"/>
        <v>132417246.75000024</v>
      </c>
      <c r="ADV51" s="71">
        <f t="shared" si="1241"/>
        <v>132740077.75000024</v>
      </c>
      <c r="ADW51" s="71">
        <f t="shared" si="1241"/>
        <v>130642947.75000024</v>
      </c>
      <c r="ADX51" s="71">
        <f t="shared" si="1241"/>
        <v>131013688.75000024</v>
      </c>
      <c r="ADY51" s="71">
        <f t="shared" si="1241"/>
        <v>131336078.75000024</v>
      </c>
      <c r="ADZ51" s="71">
        <f t="shared" si="1241"/>
        <v>131259383.75000024</v>
      </c>
      <c r="AEA51" s="71">
        <f t="shared" si="1241"/>
        <v>131426699.75000024</v>
      </c>
      <c r="AEB51" s="71">
        <f t="shared" si="1241"/>
        <v>133621165.75000024</v>
      </c>
      <c r="AEC51" s="71">
        <f t="shared" si="1241"/>
        <v>133690951.75000024</v>
      </c>
      <c r="AED51" s="71">
        <f t="shared" si="1241"/>
        <v>134170430.75000024</v>
      </c>
      <c r="AEE51" s="71">
        <f t="shared" si="1241"/>
        <v>133864986.75000024</v>
      </c>
      <c r="AEF51" s="71">
        <f t="shared" si="1241"/>
        <v>134649214.75000024</v>
      </c>
      <c r="AEG51" s="71">
        <f t="shared" si="1241"/>
        <v>134706449.75000024</v>
      </c>
      <c r="AEH51" s="71">
        <f t="shared" si="1241"/>
        <v>135095490.75000024</v>
      </c>
      <c r="AEI51" s="71">
        <f t="shared" si="1241"/>
        <v>134912947.75000024</v>
      </c>
      <c r="AEJ51" s="71">
        <f t="shared" si="1241"/>
        <v>135210024.75000024</v>
      </c>
      <c r="AEK51" s="71">
        <f t="shared" si="1241"/>
        <v>135662503.75000024</v>
      </c>
      <c r="AEL51" s="71">
        <f t="shared" si="1241"/>
        <v>135931615.75000024</v>
      </c>
      <c r="AEM51" s="71">
        <f t="shared" si="1241"/>
        <v>135865111.75000024</v>
      </c>
      <c r="AEN51" s="130"/>
      <c r="AEO51" s="71">
        <f t="shared" ref="AEO51:AFS51" si="1242">AEO13+AEO37+AEO49-AEO44</f>
        <v>130112426.75000024</v>
      </c>
      <c r="AEP51" s="71">
        <f t="shared" si="1242"/>
        <v>130390870.75000024</v>
      </c>
      <c r="AEQ51" s="71">
        <f t="shared" si="1242"/>
        <v>130815927.75000024</v>
      </c>
      <c r="AER51" s="71">
        <f t="shared" si="1242"/>
        <v>129695512.75000024</v>
      </c>
      <c r="AES51" s="71">
        <f t="shared" si="1242"/>
        <v>130215233.75000024</v>
      </c>
      <c r="AET51" s="71">
        <f t="shared" si="1242"/>
        <v>130951782.75000024</v>
      </c>
      <c r="AEU51" s="71">
        <f t="shared" si="1242"/>
        <v>129277991.75000024</v>
      </c>
      <c r="AEV51" s="71">
        <f t="shared" si="1242"/>
        <v>129406541.75000024</v>
      </c>
      <c r="AEW51" s="71">
        <f t="shared" si="1242"/>
        <v>129355405.75000024</v>
      </c>
      <c r="AEX51" s="71">
        <f t="shared" si="1242"/>
        <v>129573078.75000024</v>
      </c>
      <c r="AEY51" s="71">
        <f t="shared" si="1242"/>
        <v>129436712.75000024</v>
      </c>
      <c r="AEZ51" s="71">
        <f t="shared" si="1242"/>
        <v>129903577.75000024</v>
      </c>
      <c r="AFA51" s="71">
        <f t="shared" si="1242"/>
        <v>129689998.75000024</v>
      </c>
      <c r="AFB51" s="71">
        <f t="shared" si="1242"/>
        <v>128433927.75000024</v>
      </c>
      <c r="AFC51" s="71">
        <f t="shared" si="1242"/>
        <v>128642439.75000024</v>
      </c>
      <c r="AFD51" s="71">
        <f t="shared" si="1242"/>
        <v>129254852.75000024</v>
      </c>
      <c r="AFE51" s="71">
        <f t="shared" si="1242"/>
        <v>129746205.75000024</v>
      </c>
      <c r="AFF51" s="71">
        <f t="shared" si="1242"/>
        <v>129331114.75000024</v>
      </c>
      <c r="AFG51" s="71">
        <f t="shared" si="1242"/>
        <v>130496899.75000024</v>
      </c>
      <c r="AFH51" s="71">
        <f t="shared" si="1242"/>
        <v>130539101.75000024</v>
      </c>
      <c r="AFI51" s="71">
        <f t="shared" si="1242"/>
        <v>131026322.75000024</v>
      </c>
      <c r="AFJ51" s="71">
        <f t="shared" si="1242"/>
        <v>131154924.75000024</v>
      </c>
      <c r="AFK51" s="71">
        <f t="shared" si="1242"/>
        <v>131517398.75000024</v>
      </c>
      <c r="AFL51" s="71">
        <f t="shared" si="1242"/>
        <v>131352093.75000024</v>
      </c>
      <c r="AFM51" s="71">
        <f t="shared" si="1242"/>
        <v>131735511.75000024</v>
      </c>
      <c r="AFN51" s="71">
        <f t="shared" si="1242"/>
        <v>132178962.75000024</v>
      </c>
      <c r="AFO51" s="71">
        <f t="shared" si="1242"/>
        <v>131997897.75000024</v>
      </c>
      <c r="AFP51" s="71">
        <f t="shared" si="1242"/>
        <v>132037690.75000024</v>
      </c>
      <c r="AFQ51" s="71">
        <f t="shared" si="1242"/>
        <v>131208991.75000024</v>
      </c>
      <c r="AFR51" s="71">
        <f t="shared" si="1242"/>
        <v>132426584.75000024</v>
      </c>
      <c r="AFS51" s="71">
        <f t="shared" si="1242"/>
        <v>132811661.75000024</v>
      </c>
      <c r="AFT51" s="130"/>
      <c r="AFU51" s="71">
        <f t="shared" ref="AFU51:AGX51" si="1243">AFU13+AFU37+AFU49-AFU44</f>
        <v>130139542.75000024</v>
      </c>
      <c r="AFV51" s="71">
        <f t="shared" si="1243"/>
        <v>130530213.75000024</v>
      </c>
      <c r="AFW51" s="71">
        <f t="shared" si="1243"/>
        <v>131194362.75000024</v>
      </c>
      <c r="AFX51" s="71">
        <f t="shared" si="1243"/>
        <v>131498711.75000024</v>
      </c>
      <c r="AFY51" s="71">
        <f t="shared" si="1243"/>
        <v>129052493.75000024</v>
      </c>
      <c r="AFZ51" s="71">
        <f t="shared" si="1243"/>
        <v>129574093.75000024</v>
      </c>
      <c r="AGA51" s="71">
        <f t="shared" si="1243"/>
        <v>130064904.75000024</v>
      </c>
      <c r="AGB51" s="71">
        <f t="shared" si="1243"/>
        <v>130135219.75000024</v>
      </c>
      <c r="AGC51" s="71">
        <f t="shared" si="1243"/>
        <v>130455268.75000024</v>
      </c>
      <c r="AGD51" s="71">
        <f t="shared" si="1243"/>
        <v>129790619.75000024</v>
      </c>
      <c r="AGE51" s="71">
        <f t="shared" si="1243"/>
        <v>130321866.75000024</v>
      </c>
      <c r="AGF51" s="71">
        <f t="shared" si="1243"/>
        <v>129926439.75000024</v>
      </c>
      <c r="AGG51" s="71">
        <f t="shared" si="1243"/>
        <v>130301894.75000024</v>
      </c>
      <c r="AGH51" s="71">
        <f t="shared" si="1243"/>
        <v>131853440.75000024</v>
      </c>
      <c r="AGI51" s="71">
        <f t="shared" si="1243"/>
        <v>131433009.75000024</v>
      </c>
      <c r="AGJ51" s="71">
        <f t="shared" si="1243"/>
        <v>132590264.75000024</v>
      </c>
      <c r="AGK51" s="71">
        <f t="shared" si="1243"/>
        <v>132101550.75000024</v>
      </c>
      <c r="AGL51" s="71">
        <f t="shared" si="1243"/>
        <v>132647011.75000024</v>
      </c>
      <c r="AGM51" s="71">
        <f t="shared" si="1243"/>
        <v>132831151.75000024</v>
      </c>
      <c r="AGN51" s="71">
        <f t="shared" si="1243"/>
        <v>131849418.75000024</v>
      </c>
      <c r="AGO51" s="71">
        <f t="shared" si="1243"/>
        <v>132003552.75000024</v>
      </c>
      <c r="AGP51" s="71">
        <f t="shared" si="1243"/>
        <v>131849324.75000024</v>
      </c>
      <c r="AGQ51" s="71">
        <f t="shared" si="1243"/>
        <v>132336093.75000024</v>
      </c>
      <c r="AGR51" s="71">
        <f t="shared" si="1243"/>
        <v>132568118.75000024</v>
      </c>
      <c r="AGS51" s="71">
        <f t="shared" si="1243"/>
        <v>132747145.75000024</v>
      </c>
      <c r="AGT51" s="71">
        <f t="shared" si="1243"/>
        <v>133270464.75000024</v>
      </c>
      <c r="AGU51" s="71">
        <f t="shared" si="1243"/>
        <v>133336951.75000024</v>
      </c>
      <c r="AGV51" s="71">
        <f t="shared" si="1243"/>
        <v>134175322.75000024</v>
      </c>
      <c r="AGW51" s="71">
        <f t="shared" si="1243"/>
        <v>134595455.75000024</v>
      </c>
      <c r="AGX51" s="71">
        <f t="shared" si="1243"/>
        <v>135053364.75000024</v>
      </c>
      <c r="AGY51" s="128"/>
      <c r="AGZ51" s="71">
        <f t="shared" ref="AGZ51:AID51" si="1244">AGZ13+AGZ37+AGZ49-AGZ44</f>
        <v>130756873.75000024</v>
      </c>
      <c r="AHA51" s="71">
        <f t="shared" si="1244"/>
        <v>131175748.75000024</v>
      </c>
      <c r="AHB51" s="71">
        <f t="shared" si="1244"/>
        <v>129111128.75000024</v>
      </c>
      <c r="AHC51" s="71">
        <f t="shared" si="1244"/>
        <v>129842139.75000024</v>
      </c>
      <c r="AHD51" s="71">
        <f t="shared" si="1244"/>
        <v>130366552.75000024</v>
      </c>
      <c r="AHE51" s="71">
        <f t="shared" si="1244"/>
        <v>129692853.75000024</v>
      </c>
      <c r="AHF51" s="71">
        <f t="shared" si="1244"/>
        <v>130017010.75000024</v>
      </c>
      <c r="AHG51" s="71">
        <f t="shared" si="1244"/>
        <v>130519080.75000024</v>
      </c>
      <c r="AHH51" s="71">
        <f t="shared" si="1244"/>
        <v>130951928.75000024</v>
      </c>
      <c r="AHI51" s="71">
        <f t="shared" si="1244"/>
        <v>131314335.75000024</v>
      </c>
      <c r="AHJ51" s="71">
        <f t="shared" si="1244"/>
        <v>131378318.75000024</v>
      </c>
      <c r="AHK51" s="71">
        <f t="shared" si="1244"/>
        <v>132039640.75000024</v>
      </c>
      <c r="AHL51" s="71">
        <f t="shared" si="1244"/>
        <v>130171444.75000024</v>
      </c>
      <c r="AHM51" s="71">
        <f t="shared" si="1244"/>
        <v>130490642.75000024</v>
      </c>
      <c r="AHN51" s="71">
        <f t="shared" si="1244"/>
        <v>131068411.75000024</v>
      </c>
      <c r="AHO51" s="71">
        <f t="shared" si="1244"/>
        <v>131548271.75000024</v>
      </c>
      <c r="AHP51" s="71">
        <f t="shared" si="1244"/>
        <v>130968072.75000024</v>
      </c>
      <c r="AHQ51" s="71">
        <f t="shared" si="1244"/>
        <v>131620086.75000024</v>
      </c>
      <c r="AHR51" s="71">
        <f t="shared" si="1244"/>
        <v>132020068.75000024</v>
      </c>
      <c r="AHS51" s="71">
        <f t="shared" si="1244"/>
        <v>133270978.75000024</v>
      </c>
      <c r="AHT51" s="71">
        <f t="shared" si="1244"/>
        <v>133299798.75000024</v>
      </c>
      <c r="AHU51" s="71">
        <f t="shared" si="1244"/>
        <v>133740130.75000024</v>
      </c>
      <c r="AHV51" s="71">
        <f t="shared" si="1244"/>
        <v>134186493.75000024</v>
      </c>
      <c r="AHW51" s="71">
        <f t="shared" si="1244"/>
        <v>134995228.75000024</v>
      </c>
      <c r="AHX51" s="71">
        <f t="shared" si="1244"/>
        <v>135768312.75000024</v>
      </c>
      <c r="AHY51" s="71">
        <f t="shared" si="1244"/>
        <v>135949945.75000024</v>
      </c>
      <c r="AHZ51" s="71">
        <f t="shared" si="1244"/>
        <v>136290098.75000024</v>
      </c>
      <c r="AIA51" s="71">
        <f t="shared" si="1244"/>
        <v>136353000.75000024</v>
      </c>
      <c r="AIB51" s="71">
        <f t="shared" si="1244"/>
        <v>136890228.75000024</v>
      </c>
      <c r="AIC51" s="71">
        <f t="shared" si="1244"/>
        <v>136660190.75000024</v>
      </c>
      <c r="AID51" s="71">
        <f t="shared" si="1244"/>
        <v>136653547.75000024</v>
      </c>
      <c r="AIE51" s="130"/>
      <c r="AIF51" s="71">
        <f t="shared" ref="AIF51:AJJ51" si="1245">AIF13+AIF37+AIF49-AIF44</f>
        <v>130227963.75000024</v>
      </c>
      <c r="AIG51" s="71">
        <f t="shared" si="1245"/>
        <v>130813972.75000024</v>
      </c>
      <c r="AIH51" s="71">
        <f t="shared" si="1245"/>
        <v>131336882.75000024</v>
      </c>
      <c r="AII51" s="71">
        <f t="shared" si="1245"/>
        <v>130885702.75000024</v>
      </c>
      <c r="AIJ51" s="71">
        <f t="shared" si="1245"/>
        <v>130809660.75000024</v>
      </c>
      <c r="AIK51" s="71">
        <f t="shared" si="1245"/>
        <v>131582301.75000024</v>
      </c>
      <c r="AIL51" s="71">
        <f t="shared" si="1245"/>
        <v>129450095.75000024</v>
      </c>
      <c r="AIM51" s="71">
        <f t="shared" si="1245"/>
        <v>129875391.75000024</v>
      </c>
      <c r="AIN51" s="71">
        <f t="shared" si="1245"/>
        <v>129869756.75000024</v>
      </c>
      <c r="AIO51" s="71">
        <f t="shared" si="1245"/>
        <v>130513537.75000024</v>
      </c>
      <c r="AIP51" s="71">
        <f t="shared" si="1245"/>
        <v>130731497.75000024</v>
      </c>
      <c r="AIQ51" s="71">
        <f t="shared" si="1245"/>
        <v>131179618.75000024</v>
      </c>
      <c r="AIR51" s="71">
        <f t="shared" si="1245"/>
        <v>129457011.75000024</v>
      </c>
      <c r="AIS51" s="71">
        <f t="shared" si="1245"/>
        <v>130637097.75000024</v>
      </c>
      <c r="AIT51" s="71">
        <f t="shared" si="1245"/>
        <v>130683370.75000024</v>
      </c>
      <c r="AIU51" s="71">
        <f t="shared" si="1245"/>
        <v>130785208.75000024</v>
      </c>
      <c r="AIV51" s="71">
        <f t="shared" si="1245"/>
        <v>130697883.75000024</v>
      </c>
      <c r="AIW51" s="71">
        <f t="shared" si="1245"/>
        <v>130466924.75000024</v>
      </c>
      <c r="AIX51" s="71">
        <f t="shared" si="1245"/>
        <v>131252427.75000024</v>
      </c>
      <c r="AIY51" s="71">
        <f t="shared" si="1245"/>
        <v>131168007.75000024</v>
      </c>
      <c r="AIZ51" s="71">
        <f t="shared" si="1245"/>
        <v>131558481.75000024</v>
      </c>
      <c r="AJA51" s="71">
        <f t="shared" si="1245"/>
        <v>132539820.75000024</v>
      </c>
      <c r="AJB51" s="71">
        <f t="shared" si="1245"/>
        <v>132954604.75000024</v>
      </c>
      <c r="AJC51" s="71">
        <f t="shared" si="1245"/>
        <v>133429661.75000024</v>
      </c>
      <c r="AJD51" s="71">
        <f t="shared" si="1245"/>
        <v>133362634.75000024</v>
      </c>
      <c r="AJE51" s="71">
        <f t="shared" si="1245"/>
        <v>133448313.75000024</v>
      </c>
      <c r="AJF51" s="71">
        <f t="shared" si="1245"/>
        <v>133814962.75000024</v>
      </c>
      <c r="AJG51" s="71">
        <f t="shared" si="1245"/>
        <v>134014462.75000024</v>
      </c>
      <c r="AJH51" s="71">
        <f t="shared" si="1245"/>
        <v>134451594.75000024</v>
      </c>
      <c r="AJI51" s="71">
        <f t="shared" si="1245"/>
        <v>137171813.75000024</v>
      </c>
      <c r="AJJ51" s="71">
        <f t="shared" si="1245"/>
        <v>137441775.75000024</v>
      </c>
      <c r="AJK51" s="145"/>
      <c r="AJL51" s="71">
        <f t="shared" ref="AJL51:AKM51" si="1246">AJL13+AJL37+AJL49-AJL44</f>
        <v>130219228.75000024</v>
      </c>
      <c r="AJM51" s="71">
        <f t="shared" si="1246"/>
        <v>131542584.75000024</v>
      </c>
      <c r="AJN51" s="71">
        <f t="shared" si="1246"/>
        <v>131123903.75000024</v>
      </c>
      <c r="AJO51" s="71">
        <f t="shared" si="1246"/>
        <v>129528718.75000024</v>
      </c>
      <c r="AJP51" s="71">
        <f t="shared" si="1246"/>
        <v>130595087.75000024</v>
      </c>
      <c r="AJQ51" s="71">
        <f t="shared" si="1246"/>
        <v>130331331.75000024</v>
      </c>
      <c r="AJR51" s="71">
        <f t="shared" si="1246"/>
        <v>129777428.75000024</v>
      </c>
      <c r="AJS51" s="71">
        <f t="shared" si="1246"/>
        <v>130198055.75000024</v>
      </c>
      <c r="AJT51" s="71">
        <f t="shared" si="1246"/>
        <v>130555151.75000024</v>
      </c>
      <c r="AJU51" s="71">
        <f t="shared" si="1246"/>
        <v>138632420.75000024</v>
      </c>
      <c r="AJV51" s="71">
        <f t="shared" si="1246"/>
        <v>131402886.75000024</v>
      </c>
      <c r="AJW51" s="71">
        <f t="shared" si="1246"/>
        <v>131890243.75000024</v>
      </c>
      <c r="AJX51" s="71">
        <f t="shared" si="1246"/>
        <v>132685434.75000024</v>
      </c>
      <c r="AJY51" s="71">
        <f t="shared" si="1246"/>
        <v>132136395.75000024</v>
      </c>
      <c r="AJZ51" s="71">
        <f t="shared" si="1246"/>
        <v>132127792.75000024</v>
      </c>
      <c r="AKA51" s="71">
        <f t="shared" si="1246"/>
        <v>132889665.75000024</v>
      </c>
      <c r="AKB51" s="71">
        <f t="shared" si="1246"/>
        <v>133111939.75000024</v>
      </c>
      <c r="AKC51" s="71">
        <f t="shared" si="1246"/>
        <v>133429815.75000024</v>
      </c>
      <c r="AKD51" s="71">
        <f t="shared" si="1246"/>
        <v>133583662.75000024</v>
      </c>
      <c r="AKE51" s="71">
        <f t="shared" si="1246"/>
        <v>134011989.75000024</v>
      </c>
      <c r="AKF51" s="71">
        <f t="shared" si="1246"/>
        <v>134100300.75000024</v>
      </c>
      <c r="AKG51" s="71">
        <f t="shared" si="1246"/>
        <v>134168196.75000024</v>
      </c>
      <c r="AKH51" s="71">
        <f t="shared" si="1246"/>
        <v>131117502.75000024</v>
      </c>
      <c r="AKI51" s="71">
        <f t="shared" si="1246"/>
        <v>131668781.75000024</v>
      </c>
      <c r="AKJ51" s="71">
        <f t="shared" si="1246"/>
        <v>131921034.75000024</v>
      </c>
      <c r="AKK51" s="71">
        <f t="shared" si="1246"/>
        <v>132666065.75000024</v>
      </c>
      <c r="AKL51" s="71">
        <f t="shared" si="1246"/>
        <v>132194463.75000024</v>
      </c>
      <c r="AKM51" s="71">
        <f t="shared" si="1246"/>
        <v>132378451.75000024</v>
      </c>
      <c r="AKN51" s="154"/>
      <c r="AKO51" s="71">
        <f t="shared" ref="AKO51:ALS51" si="1247">AKO13+AKO37+AKO49-AKO44</f>
        <v>129671529.75000024</v>
      </c>
      <c r="AKP51" s="71">
        <f t="shared" si="1247"/>
        <v>130578986.75000024</v>
      </c>
      <c r="AKQ51" s="71">
        <f t="shared" si="1247"/>
        <v>130777348.75000024</v>
      </c>
      <c r="AKR51" s="71">
        <f t="shared" si="1247"/>
        <v>128597413.75000024</v>
      </c>
      <c r="AKS51" s="71">
        <f t="shared" si="1247"/>
        <v>128687335.75000024</v>
      </c>
      <c r="AKT51" s="71">
        <f t="shared" si="1247"/>
        <v>185223203.75000024</v>
      </c>
      <c r="AKU51" s="71">
        <f t="shared" si="1247"/>
        <v>128968167.75000024</v>
      </c>
      <c r="AKV51" s="71">
        <f t="shared" si="1247"/>
        <v>129260010.75000024</v>
      </c>
      <c r="AKW51" s="71">
        <f t="shared" si="1247"/>
        <v>128656156.75000024</v>
      </c>
      <c r="AKX51" s="71">
        <f t="shared" si="1247"/>
        <v>128158380.75000024</v>
      </c>
      <c r="AKY51" s="71">
        <f t="shared" si="1247"/>
        <v>128391288.75000024</v>
      </c>
      <c r="AKZ51" s="71">
        <f t="shared" si="1247"/>
        <v>128704015.75000024</v>
      </c>
      <c r="ALA51" s="71">
        <f t="shared" si="1247"/>
        <v>129772540.75000024</v>
      </c>
      <c r="ALB51" s="71">
        <f t="shared" si="1247"/>
        <v>129775138.75000024</v>
      </c>
      <c r="ALC51" s="71">
        <f t="shared" si="1247"/>
        <v>129821892.75000024</v>
      </c>
      <c r="ALD51" s="71">
        <f t="shared" si="1247"/>
        <v>129855866.75000024</v>
      </c>
      <c r="ALE51" s="71">
        <f t="shared" si="1247"/>
        <v>130414323.75000024</v>
      </c>
      <c r="ALF51" s="71">
        <f t="shared" si="1247"/>
        <v>130311218.75000024</v>
      </c>
      <c r="ALG51" s="71">
        <f t="shared" si="1247"/>
        <v>130244992.75000024</v>
      </c>
      <c r="ALH51" s="71">
        <f t="shared" si="1247"/>
        <v>130385044.75000024</v>
      </c>
      <c r="ALI51" s="71">
        <f t="shared" si="1247"/>
        <v>130629174.75000024</v>
      </c>
      <c r="ALJ51" s="71">
        <f t="shared" si="1247"/>
        <v>131024249.75000024</v>
      </c>
      <c r="ALK51" s="71">
        <f t="shared" si="1247"/>
        <v>132030479.75000024</v>
      </c>
      <c r="ALL51" s="71">
        <f t="shared" si="1247"/>
        <v>132904400.75000024</v>
      </c>
      <c r="ALM51" s="71">
        <f t="shared" si="1247"/>
        <v>132919498.75000024</v>
      </c>
      <c r="ALN51" s="71">
        <f t="shared" si="1247"/>
        <v>132952960.75000024</v>
      </c>
      <c r="ALO51" s="71">
        <f t="shared" si="1247"/>
        <v>132564594.75000024</v>
      </c>
      <c r="ALP51" s="71">
        <f t="shared" si="1247"/>
        <v>132538907.75000024</v>
      </c>
      <c r="ALQ51" s="71">
        <f t="shared" si="1247"/>
        <v>133098472.75000024</v>
      </c>
      <c r="ALR51" s="71">
        <f t="shared" si="1247"/>
        <v>132984118.75000024</v>
      </c>
      <c r="ALS51" s="71">
        <f t="shared" si="1247"/>
        <v>140011815.75000024</v>
      </c>
      <c r="ALT51" s="130"/>
      <c r="ALU51" s="71">
        <f t="shared" ref="ALU51:AMX51" si="1248">ALU13+ALU37+ALU49-ALU44</f>
        <v>136705298.75000024</v>
      </c>
      <c r="ALV51" s="71">
        <f t="shared" si="1248"/>
        <v>132659599.75000024</v>
      </c>
      <c r="ALW51" s="71">
        <f t="shared" si="1248"/>
        <v>130306952.75000024</v>
      </c>
      <c r="ALX51" s="71">
        <f t="shared" si="1248"/>
        <v>130870896.75000024</v>
      </c>
      <c r="ALY51" s="71">
        <f t="shared" si="1248"/>
        <v>131153723.75000024</v>
      </c>
      <c r="ALZ51" s="71">
        <f t="shared" si="1248"/>
        <v>131566472.75000024</v>
      </c>
      <c r="AMA51" s="71">
        <f t="shared" si="1248"/>
        <v>132026044.75000024</v>
      </c>
      <c r="AMB51" s="71">
        <f t="shared" si="1248"/>
        <v>132032405.75000024</v>
      </c>
      <c r="AMC51" s="71">
        <f t="shared" si="1248"/>
        <v>132384225.75000024</v>
      </c>
      <c r="AMD51" s="71">
        <f t="shared" si="1248"/>
        <v>132700794.75000024</v>
      </c>
      <c r="AME51" s="71">
        <f t="shared" si="1248"/>
        <v>133387031.75000024</v>
      </c>
      <c r="AMF51" s="71">
        <f t="shared" si="1248"/>
        <v>133172969.75000024</v>
      </c>
      <c r="AMG51" s="71">
        <f t="shared" si="1248"/>
        <v>132425650.75000024</v>
      </c>
      <c r="AMH51" s="71">
        <f t="shared" si="1248"/>
        <v>132842662.75000024</v>
      </c>
      <c r="AMI51" s="71">
        <f t="shared" si="1248"/>
        <v>133516088.75000024</v>
      </c>
      <c r="AMJ51" s="71">
        <f t="shared" si="1248"/>
        <v>134320311.75000024</v>
      </c>
      <c r="AMK51" s="71">
        <f t="shared" si="1248"/>
        <v>133836432.75000024</v>
      </c>
      <c r="AML51" s="71">
        <f t="shared" si="1248"/>
        <v>133821024.75000024</v>
      </c>
      <c r="AMM51" s="71">
        <f t="shared" si="1248"/>
        <v>133794341.75000024</v>
      </c>
      <c r="AMN51" s="71">
        <f t="shared" si="1248"/>
        <v>134022648.75000024</v>
      </c>
      <c r="AMO51" s="71">
        <f t="shared" si="1248"/>
        <v>134374736.75000024</v>
      </c>
      <c r="AMP51" s="71">
        <f t="shared" si="1248"/>
        <v>135174448.75000024</v>
      </c>
      <c r="AMQ51" s="71">
        <f t="shared" si="1248"/>
        <v>135838710.75000024</v>
      </c>
      <c r="AMR51" s="71">
        <f t="shared" si="1248"/>
        <v>136293269.75000024</v>
      </c>
      <c r="AMS51" s="71">
        <f t="shared" si="1248"/>
        <v>136443768.75000024</v>
      </c>
      <c r="AMT51" s="71">
        <f t="shared" si="1248"/>
        <v>136794594.75000024</v>
      </c>
      <c r="AMU51" s="71">
        <f t="shared" si="1248"/>
        <v>137089619.75000024</v>
      </c>
      <c r="AMV51" s="71">
        <f t="shared" si="1248"/>
        <v>137795055.75000024</v>
      </c>
      <c r="AMW51" s="71">
        <f t="shared" si="1248"/>
        <v>137797156.75000024</v>
      </c>
      <c r="AMX51" s="71">
        <f t="shared" si="1248"/>
        <v>131464863.75000024</v>
      </c>
      <c r="AMY51" s="130"/>
      <c r="AMZ51" s="71">
        <f t="shared" ref="AMZ51:AOC51" si="1249">AMZ13+AMZ37+AMZ49-AMZ44</f>
        <v>130373358.75000024</v>
      </c>
      <c r="ANA51" s="71">
        <f t="shared" si="1249"/>
        <v>130532218.75000024</v>
      </c>
      <c r="ANB51" s="71">
        <f t="shared" si="1249"/>
        <v>131087132.75000024</v>
      </c>
      <c r="ANC51" s="71">
        <f t="shared" si="1249"/>
        <v>128273583.75000024</v>
      </c>
      <c r="AND51" s="71">
        <f t="shared" si="1249"/>
        <v>128055117.75000024</v>
      </c>
      <c r="ANE51" s="71">
        <f t="shared" si="1249"/>
        <v>128408932.75000024</v>
      </c>
      <c r="ANF51" s="71">
        <f t="shared" si="1249"/>
        <v>128489076.75000024</v>
      </c>
      <c r="ANG51" s="71">
        <f t="shared" si="1249"/>
        <v>128517551.75000024</v>
      </c>
      <c r="ANH51" s="71">
        <f t="shared" si="1249"/>
        <v>129108190.75000024</v>
      </c>
      <c r="ANI51" s="71">
        <f t="shared" si="1249"/>
        <v>129008546.75000024</v>
      </c>
      <c r="ANJ51" s="71">
        <f t="shared" si="1249"/>
        <v>129471466.75000024</v>
      </c>
      <c r="ANK51" s="71">
        <f t="shared" si="1249"/>
        <v>129722539.75000024</v>
      </c>
      <c r="ANL51" s="71">
        <f t="shared" si="1249"/>
        <v>128678836.75000024</v>
      </c>
      <c r="ANM51" s="71">
        <f t="shared" si="1249"/>
        <v>128267716.75000024</v>
      </c>
      <c r="ANN51" s="71">
        <f t="shared" si="1249"/>
        <v>129435091.75000024</v>
      </c>
      <c r="ANO51" s="71">
        <f t="shared" si="1249"/>
        <v>123634622.75000024</v>
      </c>
      <c r="ANP51" s="71">
        <f t="shared" si="1249"/>
        <v>130629002.75000024</v>
      </c>
      <c r="ANQ51" s="71">
        <f t="shared" si="1249"/>
        <v>130976493.75000024</v>
      </c>
      <c r="ANR51" s="71">
        <f t="shared" si="1249"/>
        <v>130268662.75000024</v>
      </c>
      <c r="ANS51" s="71">
        <f t="shared" si="1249"/>
        <v>129713026.75000024</v>
      </c>
      <c r="ANT51" s="71">
        <f t="shared" si="1249"/>
        <v>130217746.75000024</v>
      </c>
      <c r="ANU51" s="71">
        <f t="shared" si="1249"/>
        <v>130464002.75000024</v>
      </c>
      <c r="ANV51" s="71">
        <f t="shared" si="1249"/>
        <v>131660283.75000024</v>
      </c>
      <c r="ANW51" s="71">
        <f t="shared" si="1249"/>
        <v>130559989.75000024</v>
      </c>
      <c r="ANX51" s="71">
        <f t="shared" si="1249"/>
        <v>131280381.75000024</v>
      </c>
      <c r="ANY51" s="71">
        <f t="shared" si="1249"/>
        <v>131245882.75000024</v>
      </c>
      <c r="ANZ51" s="71">
        <f t="shared" si="1249"/>
        <v>131734362.75000024</v>
      </c>
      <c r="AOA51" s="71">
        <f t="shared" si="1249"/>
        <v>131950499.75000024</v>
      </c>
      <c r="AOB51" s="71">
        <f t="shared" si="1249"/>
        <v>132899767.75000024</v>
      </c>
      <c r="AOC51" s="71">
        <f t="shared" si="1249"/>
        <v>133104002.75000024</v>
      </c>
    </row>
    <row r="52" spans="1:1069" x14ac:dyDescent="0.2">
      <c r="B52" s="72" t="s">
        <v>1683</v>
      </c>
      <c r="C52" s="73">
        <v>130000000</v>
      </c>
      <c r="D52" s="74">
        <f t="shared" ref="D52:AG52" si="1250">C52</f>
        <v>130000000</v>
      </c>
      <c r="E52" s="74">
        <f t="shared" si="1250"/>
        <v>130000000</v>
      </c>
      <c r="F52" s="74">
        <f t="shared" si="1250"/>
        <v>130000000</v>
      </c>
      <c r="G52" s="74">
        <f t="shared" si="1250"/>
        <v>130000000</v>
      </c>
      <c r="H52" s="74">
        <f t="shared" si="1250"/>
        <v>130000000</v>
      </c>
      <c r="I52" s="74">
        <f t="shared" si="1250"/>
        <v>130000000</v>
      </c>
      <c r="J52" s="74">
        <f t="shared" si="1250"/>
        <v>130000000</v>
      </c>
      <c r="K52" s="74">
        <f t="shared" si="1250"/>
        <v>130000000</v>
      </c>
      <c r="L52" s="74">
        <f t="shared" si="1250"/>
        <v>130000000</v>
      </c>
      <c r="M52" s="74">
        <f t="shared" si="1250"/>
        <v>130000000</v>
      </c>
      <c r="N52" s="74">
        <f t="shared" si="1250"/>
        <v>130000000</v>
      </c>
      <c r="O52" s="74">
        <f t="shared" si="1250"/>
        <v>130000000</v>
      </c>
      <c r="P52" s="74">
        <f t="shared" si="1250"/>
        <v>130000000</v>
      </c>
      <c r="Q52" s="74">
        <f t="shared" si="1250"/>
        <v>130000000</v>
      </c>
      <c r="R52" s="74">
        <f t="shared" si="1250"/>
        <v>130000000</v>
      </c>
      <c r="S52" s="74">
        <f t="shared" si="1250"/>
        <v>130000000</v>
      </c>
      <c r="T52" s="74">
        <f t="shared" si="1250"/>
        <v>130000000</v>
      </c>
      <c r="U52" s="74">
        <f t="shared" si="1250"/>
        <v>130000000</v>
      </c>
      <c r="V52" s="74">
        <f t="shared" si="1250"/>
        <v>130000000</v>
      </c>
      <c r="W52" s="74">
        <f t="shared" si="1250"/>
        <v>130000000</v>
      </c>
      <c r="X52" s="74">
        <f t="shared" si="1250"/>
        <v>130000000</v>
      </c>
      <c r="Y52" s="74">
        <f t="shared" si="1250"/>
        <v>130000000</v>
      </c>
      <c r="Z52" s="74">
        <f t="shared" si="1250"/>
        <v>130000000</v>
      </c>
      <c r="AA52" s="74">
        <f t="shared" si="1250"/>
        <v>130000000</v>
      </c>
      <c r="AB52" s="74">
        <f t="shared" si="1250"/>
        <v>130000000</v>
      </c>
      <c r="AC52" s="74">
        <f t="shared" si="1250"/>
        <v>130000000</v>
      </c>
      <c r="AD52" s="74">
        <f t="shared" si="1250"/>
        <v>130000000</v>
      </c>
      <c r="AE52" s="74">
        <f t="shared" si="1250"/>
        <v>130000000</v>
      </c>
      <c r="AF52" s="74">
        <f t="shared" si="1250"/>
        <v>130000000</v>
      </c>
      <c r="AG52" s="74">
        <f t="shared" si="1250"/>
        <v>130000000</v>
      </c>
      <c r="AH52" s="67">
        <f>AG52</f>
        <v>130000000</v>
      </c>
      <c r="AI52" s="74">
        <f t="shared" ref="AI52:BL52" si="1251">AH52</f>
        <v>130000000</v>
      </c>
      <c r="AJ52" s="74">
        <f t="shared" si="1251"/>
        <v>130000000</v>
      </c>
      <c r="AK52" s="74">
        <f t="shared" si="1251"/>
        <v>130000000</v>
      </c>
      <c r="AL52" s="74">
        <f t="shared" si="1251"/>
        <v>130000000</v>
      </c>
      <c r="AM52" s="74">
        <f t="shared" si="1251"/>
        <v>130000000</v>
      </c>
      <c r="AN52" s="74">
        <f t="shared" si="1251"/>
        <v>130000000</v>
      </c>
      <c r="AO52" s="74">
        <f t="shared" si="1251"/>
        <v>130000000</v>
      </c>
      <c r="AP52" s="74">
        <f t="shared" si="1251"/>
        <v>130000000</v>
      </c>
      <c r="AQ52" s="74">
        <f t="shared" si="1251"/>
        <v>130000000</v>
      </c>
      <c r="AR52" s="74">
        <f t="shared" si="1251"/>
        <v>130000000</v>
      </c>
      <c r="AS52" s="74">
        <f t="shared" si="1251"/>
        <v>130000000</v>
      </c>
      <c r="AT52" s="74">
        <f t="shared" si="1251"/>
        <v>130000000</v>
      </c>
      <c r="AU52" s="74">
        <f t="shared" si="1251"/>
        <v>130000000</v>
      </c>
      <c r="AV52" s="74">
        <f t="shared" si="1251"/>
        <v>130000000</v>
      </c>
      <c r="AW52" s="74">
        <f t="shared" si="1251"/>
        <v>130000000</v>
      </c>
      <c r="AX52" s="74">
        <f t="shared" si="1251"/>
        <v>130000000</v>
      </c>
      <c r="AY52" s="74">
        <f t="shared" si="1251"/>
        <v>130000000</v>
      </c>
      <c r="AZ52" s="74">
        <f t="shared" si="1251"/>
        <v>130000000</v>
      </c>
      <c r="BA52" s="74">
        <f t="shared" si="1251"/>
        <v>130000000</v>
      </c>
      <c r="BB52" s="74">
        <f t="shared" si="1251"/>
        <v>130000000</v>
      </c>
      <c r="BC52" s="74">
        <f t="shared" si="1251"/>
        <v>130000000</v>
      </c>
      <c r="BD52" s="74">
        <f t="shared" si="1251"/>
        <v>130000000</v>
      </c>
      <c r="BE52" s="74">
        <f t="shared" si="1251"/>
        <v>130000000</v>
      </c>
      <c r="BF52" s="74">
        <f t="shared" si="1251"/>
        <v>130000000</v>
      </c>
      <c r="BG52" s="74">
        <f t="shared" si="1251"/>
        <v>130000000</v>
      </c>
      <c r="BH52" s="74">
        <f t="shared" si="1251"/>
        <v>130000000</v>
      </c>
      <c r="BI52" s="74">
        <f t="shared" si="1251"/>
        <v>130000000</v>
      </c>
      <c r="BJ52" s="74">
        <f t="shared" si="1251"/>
        <v>130000000</v>
      </c>
      <c r="BK52" s="74">
        <f t="shared" si="1251"/>
        <v>130000000</v>
      </c>
      <c r="BL52" s="74">
        <f t="shared" si="1251"/>
        <v>130000000</v>
      </c>
      <c r="BM52" s="106">
        <f>BL52</f>
        <v>130000000</v>
      </c>
      <c r="BN52" s="74">
        <f t="shared" ref="BN52:CR52" si="1252">BM52</f>
        <v>130000000</v>
      </c>
      <c r="BO52" s="74">
        <f t="shared" si="1252"/>
        <v>130000000</v>
      </c>
      <c r="BP52" s="74">
        <f t="shared" si="1252"/>
        <v>130000000</v>
      </c>
      <c r="BQ52" s="74">
        <f t="shared" si="1252"/>
        <v>130000000</v>
      </c>
      <c r="BR52" s="74">
        <f t="shared" si="1252"/>
        <v>130000000</v>
      </c>
      <c r="BS52" s="74">
        <f t="shared" si="1252"/>
        <v>130000000</v>
      </c>
      <c r="BT52" s="74">
        <f t="shared" si="1252"/>
        <v>130000000</v>
      </c>
      <c r="BU52" s="74">
        <f t="shared" si="1252"/>
        <v>130000000</v>
      </c>
      <c r="BV52" s="74">
        <f t="shared" si="1252"/>
        <v>130000000</v>
      </c>
      <c r="BW52" s="74">
        <f t="shared" si="1252"/>
        <v>130000000</v>
      </c>
      <c r="BX52" s="74">
        <f t="shared" si="1252"/>
        <v>130000000</v>
      </c>
      <c r="BY52" s="74">
        <f t="shared" si="1252"/>
        <v>130000000</v>
      </c>
      <c r="BZ52" s="74">
        <f t="shared" si="1252"/>
        <v>130000000</v>
      </c>
      <c r="CA52" s="74">
        <f t="shared" si="1252"/>
        <v>130000000</v>
      </c>
      <c r="CB52" s="74">
        <f t="shared" si="1252"/>
        <v>130000000</v>
      </c>
      <c r="CC52" s="74">
        <f t="shared" si="1252"/>
        <v>130000000</v>
      </c>
      <c r="CD52" s="74">
        <f t="shared" si="1252"/>
        <v>130000000</v>
      </c>
      <c r="CE52" s="74">
        <f t="shared" si="1252"/>
        <v>130000000</v>
      </c>
      <c r="CF52" s="74">
        <f t="shared" si="1252"/>
        <v>130000000</v>
      </c>
      <c r="CG52" s="74">
        <f t="shared" si="1252"/>
        <v>130000000</v>
      </c>
      <c r="CH52" s="74">
        <f t="shared" si="1252"/>
        <v>130000000</v>
      </c>
      <c r="CI52" s="74">
        <f t="shared" si="1252"/>
        <v>130000000</v>
      </c>
      <c r="CJ52" s="74">
        <f t="shared" si="1252"/>
        <v>130000000</v>
      </c>
      <c r="CK52" s="74">
        <f t="shared" si="1252"/>
        <v>130000000</v>
      </c>
      <c r="CL52" s="74">
        <f t="shared" si="1252"/>
        <v>130000000</v>
      </c>
      <c r="CM52" s="74">
        <f t="shared" si="1252"/>
        <v>130000000</v>
      </c>
      <c r="CN52" s="74">
        <f t="shared" si="1252"/>
        <v>130000000</v>
      </c>
      <c r="CO52" s="74">
        <f t="shared" si="1252"/>
        <v>130000000</v>
      </c>
      <c r="CP52" s="74">
        <f t="shared" si="1252"/>
        <v>130000000</v>
      </c>
      <c r="CQ52" s="74">
        <f t="shared" si="1252"/>
        <v>130000000</v>
      </c>
      <c r="CR52" s="74">
        <f t="shared" si="1252"/>
        <v>130000000</v>
      </c>
      <c r="CT52" s="82">
        <f>CR52</f>
        <v>130000000</v>
      </c>
      <c r="CU52" s="82">
        <f>CT52</f>
        <v>130000000</v>
      </c>
      <c r="CV52" s="82">
        <f t="shared" ref="CV52:DW52" si="1253">CT52</f>
        <v>130000000</v>
      </c>
      <c r="CW52" s="82">
        <f t="shared" si="1253"/>
        <v>130000000</v>
      </c>
      <c r="CX52" s="82">
        <f t="shared" si="1253"/>
        <v>130000000</v>
      </c>
      <c r="CY52" s="82">
        <f t="shared" si="1253"/>
        <v>130000000</v>
      </c>
      <c r="CZ52" s="82">
        <f t="shared" si="1253"/>
        <v>130000000</v>
      </c>
      <c r="DA52" s="82">
        <f t="shared" si="1253"/>
        <v>130000000</v>
      </c>
      <c r="DB52" s="82">
        <f t="shared" si="1253"/>
        <v>130000000</v>
      </c>
      <c r="DC52" s="82">
        <f t="shared" si="1253"/>
        <v>130000000</v>
      </c>
      <c r="DD52" s="82">
        <f t="shared" si="1253"/>
        <v>130000000</v>
      </c>
      <c r="DE52" s="82">
        <f t="shared" si="1253"/>
        <v>130000000</v>
      </c>
      <c r="DF52" s="82">
        <f t="shared" si="1253"/>
        <v>130000000</v>
      </c>
      <c r="DG52" s="82">
        <f t="shared" si="1253"/>
        <v>130000000</v>
      </c>
      <c r="DH52" s="82">
        <f t="shared" si="1253"/>
        <v>130000000</v>
      </c>
      <c r="DI52" s="82">
        <f t="shared" si="1253"/>
        <v>130000000</v>
      </c>
      <c r="DJ52" s="82">
        <f t="shared" si="1253"/>
        <v>130000000</v>
      </c>
      <c r="DK52" s="82">
        <f t="shared" si="1253"/>
        <v>130000000</v>
      </c>
      <c r="DL52" s="82">
        <f t="shared" si="1253"/>
        <v>130000000</v>
      </c>
      <c r="DM52" s="82">
        <f t="shared" si="1253"/>
        <v>130000000</v>
      </c>
      <c r="DN52" s="82">
        <f t="shared" si="1253"/>
        <v>130000000</v>
      </c>
      <c r="DO52" s="82">
        <f t="shared" si="1253"/>
        <v>130000000</v>
      </c>
      <c r="DP52" s="82">
        <f t="shared" si="1253"/>
        <v>130000000</v>
      </c>
      <c r="DQ52" s="82">
        <f t="shared" si="1253"/>
        <v>130000000</v>
      </c>
      <c r="DR52" s="82">
        <f t="shared" si="1253"/>
        <v>130000000</v>
      </c>
      <c r="DS52" s="82">
        <f t="shared" si="1253"/>
        <v>130000000</v>
      </c>
      <c r="DT52" s="82">
        <f t="shared" si="1253"/>
        <v>130000000</v>
      </c>
      <c r="DU52" s="82">
        <f t="shared" si="1253"/>
        <v>130000000</v>
      </c>
      <c r="DV52" s="82">
        <f t="shared" si="1253"/>
        <v>130000000</v>
      </c>
      <c r="DW52" s="82">
        <f t="shared" si="1253"/>
        <v>130000000</v>
      </c>
      <c r="DX52" s="117"/>
      <c r="DY52" s="82">
        <f>DW52</f>
        <v>130000000</v>
      </c>
      <c r="DZ52" s="82">
        <f>DY52</f>
        <v>130000000</v>
      </c>
      <c r="EA52" s="82">
        <f t="shared" ref="EA52:FC52" si="1254">DY52</f>
        <v>130000000</v>
      </c>
      <c r="EB52" s="82">
        <f t="shared" si="1254"/>
        <v>130000000</v>
      </c>
      <c r="EC52" s="82">
        <f t="shared" si="1254"/>
        <v>130000000</v>
      </c>
      <c r="ED52" s="82">
        <f t="shared" si="1254"/>
        <v>130000000</v>
      </c>
      <c r="EE52" s="82">
        <f t="shared" si="1254"/>
        <v>130000000</v>
      </c>
      <c r="EF52" s="82">
        <f t="shared" si="1254"/>
        <v>130000000</v>
      </c>
      <c r="EG52" s="82">
        <f t="shared" si="1254"/>
        <v>130000000</v>
      </c>
      <c r="EH52" s="82">
        <f t="shared" si="1254"/>
        <v>130000000</v>
      </c>
      <c r="EI52" s="82">
        <f t="shared" si="1254"/>
        <v>130000000</v>
      </c>
      <c r="EJ52" s="82">
        <f t="shared" si="1254"/>
        <v>130000000</v>
      </c>
      <c r="EK52" s="82">
        <f t="shared" si="1254"/>
        <v>130000000</v>
      </c>
      <c r="EL52" s="82">
        <f t="shared" si="1254"/>
        <v>130000000</v>
      </c>
      <c r="EM52" s="82">
        <f t="shared" si="1254"/>
        <v>130000000</v>
      </c>
      <c r="EN52" s="82">
        <f t="shared" si="1254"/>
        <v>130000000</v>
      </c>
      <c r="EO52" s="82">
        <f t="shared" si="1254"/>
        <v>130000000</v>
      </c>
      <c r="EP52" s="82">
        <f t="shared" si="1254"/>
        <v>130000000</v>
      </c>
      <c r="EQ52" s="82">
        <f t="shared" si="1254"/>
        <v>130000000</v>
      </c>
      <c r="ER52" s="82">
        <f t="shared" si="1254"/>
        <v>130000000</v>
      </c>
      <c r="ES52" s="82">
        <f t="shared" si="1254"/>
        <v>130000000</v>
      </c>
      <c r="ET52" s="82">
        <f t="shared" si="1254"/>
        <v>130000000</v>
      </c>
      <c r="EU52" s="82">
        <f t="shared" si="1254"/>
        <v>130000000</v>
      </c>
      <c r="EV52" s="82">
        <f t="shared" si="1254"/>
        <v>130000000</v>
      </c>
      <c r="EW52" s="82">
        <f t="shared" si="1254"/>
        <v>130000000</v>
      </c>
      <c r="EX52" s="82">
        <f t="shared" si="1254"/>
        <v>130000000</v>
      </c>
      <c r="EY52" s="82">
        <f t="shared" si="1254"/>
        <v>130000000</v>
      </c>
      <c r="EZ52" s="82">
        <f t="shared" si="1254"/>
        <v>130000000</v>
      </c>
      <c r="FA52" s="82">
        <f t="shared" si="1254"/>
        <v>130000000</v>
      </c>
      <c r="FB52" s="82">
        <f t="shared" si="1254"/>
        <v>130000000</v>
      </c>
      <c r="FC52" s="82">
        <f t="shared" si="1254"/>
        <v>130000000</v>
      </c>
      <c r="FD52" s="126"/>
      <c r="FE52" s="82">
        <f>FC52</f>
        <v>130000000</v>
      </c>
      <c r="FF52" s="82">
        <f>FE52</f>
        <v>130000000</v>
      </c>
      <c r="FG52" s="82">
        <f t="shared" ref="FG52:GI52" si="1255">FE52</f>
        <v>130000000</v>
      </c>
      <c r="FH52" s="82">
        <f t="shared" si="1255"/>
        <v>130000000</v>
      </c>
      <c r="FI52" s="82">
        <f t="shared" si="1255"/>
        <v>130000000</v>
      </c>
      <c r="FJ52" s="82">
        <f t="shared" si="1255"/>
        <v>130000000</v>
      </c>
      <c r="FK52" s="82">
        <f t="shared" si="1255"/>
        <v>130000000</v>
      </c>
      <c r="FL52" s="82">
        <f t="shared" si="1255"/>
        <v>130000000</v>
      </c>
      <c r="FM52" s="82">
        <f t="shared" si="1255"/>
        <v>130000000</v>
      </c>
      <c r="FN52" s="82">
        <f t="shared" si="1255"/>
        <v>130000000</v>
      </c>
      <c r="FO52" s="82">
        <f t="shared" si="1255"/>
        <v>130000000</v>
      </c>
      <c r="FP52" s="82">
        <f t="shared" si="1255"/>
        <v>130000000</v>
      </c>
      <c r="FQ52" s="82">
        <f t="shared" si="1255"/>
        <v>130000000</v>
      </c>
      <c r="FR52" s="82">
        <f t="shared" si="1255"/>
        <v>130000000</v>
      </c>
      <c r="FS52" s="82">
        <f t="shared" si="1255"/>
        <v>130000000</v>
      </c>
      <c r="FT52" s="82">
        <f t="shared" si="1255"/>
        <v>130000000</v>
      </c>
      <c r="FU52" s="82">
        <f t="shared" si="1255"/>
        <v>130000000</v>
      </c>
      <c r="FV52" s="82">
        <f t="shared" si="1255"/>
        <v>130000000</v>
      </c>
      <c r="FW52" s="82">
        <f t="shared" si="1255"/>
        <v>130000000</v>
      </c>
      <c r="FX52" s="82">
        <f t="shared" si="1255"/>
        <v>130000000</v>
      </c>
      <c r="FY52" s="82">
        <f t="shared" si="1255"/>
        <v>130000000</v>
      </c>
      <c r="FZ52" s="82">
        <f t="shared" si="1255"/>
        <v>130000000</v>
      </c>
      <c r="GA52" s="82">
        <f t="shared" si="1255"/>
        <v>130000000</v>
      </c>
      <c r="GB52" s="82">
        <f t="shared" si="1255"/>
        <v>130000000</v>
      </c>
      <c r="GC52" s="82">
        <f t="shared" si="1255"/>
        <v>130000000</v>
      </c>
      <c r="GD52" s="82">
        <f t="shared" si="1255"/>
        <v>130000000</v>
      </c>
      <c r="GE52" s="82">
        <f t="shared" si="1255"/>
        <v>130000000</v>
      </c>
      <c r="GF52" s="82">
        <f t="shared" si="1255"/>
        <v>130000000</v>
      </c>
      <c r="GG52" s="82">
        <f t="shared" si="1255"/>
        <v>130000000</v>
      </c>
      <c r="GH52" s="82">
        <f t="shared" si="1255"/>
        <v>130000000</v>
      </c>
      <c r="GI52" s="82">
        <f t="shared" si="1255"/>
        <v>130000000</v>
      </c>
      <c r="GJ52" s="130"/>
      <c r="GK52" s="82">
        <f>GI52</f>
        <v>130000000</v>
      </c>
      <c r="GL52" s="82">
        <f>GK52</f>
        <v>130000000</v>
      </c>
      <c r="GM52" s="82">
        <f t="shared" ref="GM52:HM52" si="1256">GK52</f>
        <v>130000000</v>
      </c>
      <c r="GN52" s="82">
        <f t="shared" si="1256"/>
        <v>130000000</v>
      </c>
      <c r="GO52" s="82">
        <f t="shared" si="1256"/>
        <v>130000000</v>
      </c>
      <c r="GP52" s="82">
        <f t="shared" si="1256"/>
        <v>130000000</v>
      </c>
      <c r="GQ52" s="82">
        <f t="shared" si="1256"/>
        <v>130000000</v>
      </c>
      <c r="GR52" s="82">
        <f t="shared" si="1256"/>
        <v>130000000</v>
      </c>
      <c r="GS52" s="82">
        <f t="shared" si="1256"/>
        <v>130000000</v>
      </c>
      <c r="GT52" s="82">
        <f t="shared" si="1256"/>
        <v>130000000</v>
      </c>
      <c r="GU52" s="82">
        <f t="shared" si="1256"/>
        <v>130000000</v>
      </c>
      <c r="GV52" s="82">
        <f t="shared" si="1256"/>
        <v>130000000</v>
      </c>
      <c r="GW52" s="82">
        <f t="shared" si="1256"/>
        <v>130000000</v>
      </c>
      <c r="GX52" s="82">
        <f t="shared" si="1256"/>
        <v>130000000</v>
      </c>
      <c r="GY52" s="82">
        <f t="shared" si="1256"/>
        <v>130000000</v>
      </c>
      <c r="GZ52" s="82">
        <f t="shared" si="1256"/>
        <v>130000000</v>
      </c>
      <c r="HA52" s="82">
        <f t="shared" si="1256"/>
        <v>130000000</v>
      </c>
      <c r="HB52" s="82">
        <f t="shared" si="1256"/>
        <v>130000000</v>
      </c>
      <c r="HC52" s="82">
        <f t="shared" si="1256"/>
        <v>130000000</v>
      </c>
      <c r="HD52" s="82">
        <f t="shared" si="1256"/>
        <v>130000000</v>
      </c>
      <c r="HE52" s="82">
        <f t="shared" si="1256"/>
        <v>130000000</v>
      </c>
      <c r="HF52" s="82">
        <f t="shared" si="1256"/>
        <v>130000000</v>
      </c>
      <c r="HG52" s="82">
        <f t="shared" si="1256"/>
        <v>130000000</v>
      </c>
      <c r="HH52" s="82">
        <f t="shared" si="1256"/>
        <v>130000000</v>
      </c>
      <c r="HI52" s="82">
        <f t="shared" si="1256"/>
        <v>130000000</v>
      </c>
      <c r="HJ52" s="82">
        <f t="shared" si="1256"/>
        <v>130000000</v>
      </c>
      <c r="HK52" s="82">
        <f t="shared" si="1256"/>
        <v>130000000</v>
      </c>
      <c r="HL52" s="82">
        <f t="shared" si="1256"/>
        <v>130000000</v>
      </c>
      <c r="HM52" s="82">
        <f t="shared" si="1256"/>
        <v>130000000</v>
      </c>
      <c r="HN52" s="130"/>
      <c r="HO52" s="82">
        <f>HM52</f>
        <v>130000000</v>
      </c>
      <c r="HP52" s="82">
        <f t="shared" ref="HP52:IS52" si="1257">HO52</f>
        <v>130000000</v>
      </c>
      <c r="HQ52" s="82">
        <f t="shared" si="1257"/>
        <v>130000000</v>
      </c>
      <c r="HR52" s="82">
        <f t="shared" si="1257"/>
        <v>130000000</v>
      </c>
      <c r="HS52" s="82">
        <f t="shared" si="1257"/>
        <v>130000000</v>
      </c>
      <c r="HT52" s="82">
        <f t="shared" si="1257"/>
        <v>130000000</v>
      </c>
      <c r="HU52" s="82">
        <f t="shared" si="1257"/>
        <v>130000000</v>
      </c>
      <c r="HV52" s="82">
        <f t="shared" si="1257"/>
        <v>130000000</v>
      </c>
      <c r="HW52" s="82">
        <f t="shared" si="1257"/>
        <v>130000000</v>
      </c>
      <c r="HX52" s="82">
        <f t="shared" si="1257"/>
        <v>130000000</v>
      </c>
      <c r="HY52" s="82">
        <f t="shared" si="1257"/>
        <v>130000000</v>
      </c>
      <c r="HZ52" s="82">
        <f t="shared" si="1257"/>
        <v>130000000</v>
      </c>
      <c r="IA52" s="82">
        <f t="shared" si="1257"/>
        <v>130000000</v>
      </c>
      <c r="IB52" s="82">
        <f t="shared" si="1257"/>
        <v>130000000</v>
      </c>
      <c r="IC52" s="82">
        <f t="shared" si="1257"/>
        <v>130000000</v>
      </c>
      <c r="ID52" s="82">
        <f t="shared" si="1257"/>
        <v>130000000</v>
      </c>
      <c r="IE52" s="82">
        <f t="shared" si="1257"/>
        <v>130000000</v>
      </c>
      <c r="IF52" s="82">
        <f t="shared" si="1257"/>
        <v>130000000</v>
      </c>
      <c r="IG52" s="82">
        <f t="shared" si="1257"/>
        <v>130000000</v>
      </c>
      <c r="IH52" s="82">
        <f t="shared" si="1257"/>
        <v>130000000</v>
      </c>
      <c r="II52" s="82">
        <f t="shared" si="1257"/>
        <v>130000000</v>
      </c>
      <c r="IJ52" s="82">
        <f t="shared" si="1257"/>
        <v>130000000</v>
      </c>
      <c r="IK52" s="82">
        <f t="shared" si="1257"/>
        <v>130000000</v>
      </c>
      <c r="IL52" s="82">
        <f t="shared" si="1257"/>
        <v>130000000</v>
      </c>
      <c r="IM52" s="82">
        <f t="shared" si="1257"/>
        <v>130000000</v>
      </c>
      <c r="IN52" s="82">
        <f t="shared" si="1257"/>
        <v>130000000</v>
      </c>
      <c r="IO52" s="82">
        <f t="shared" si="1257"/>
        <v>130000000</v>
      </c>
      <c r="IP52" s="82">
        <f t="shared" si="1257"/>
        <v>130000000</v>
      </c>
      <c r="IQ52" s="82">
        <f t="shared" si="1257"/>
        <v>130000000</v>
      </c>
      <c r="IR52" s="82">
        <f t="shared" si="1257"/>
        <v>130000000</v>
      </c>
      <c r="IS52" s="82">
        <f t="shared" si="1257"/>
        <v>130000000</v>
      </c>
      <c r="IT52" s="130"/>
      <c r="IU52" s="82">
        <f>IS52</f>
        <v>130000000</v>
      </c>
      <c r="IV52" s="82">
        <f t="shared" ref="IV52:JX52" si="1258">IU52</f>
        <v>130000000</v>
      </c>
      <c r="IW52" s="82">
        <f t="shared" si="1258"/>
        <v>130000000</v>
      </c>
      <c r="IX52" s="82">
        <f t="shared" si="1258"/>
        <v>130000000</v>
      </c>
      <c r="IY52" s="82">
        <f t="shared" si="1258"/>
        <v>130000000</v>
      </c>
      <c r="IZ52" s="82">
        <f t="shared" si="1258"/>
        <v>130000000</v>
      </c>
      <c r="JA52" s="82">
        <f t="shared" si="1258"/>
        <v>130000000</v>
      </c>
      <c r="JB52" s="82">
        <f t="shared" si="1258"/>
        <v>130000000</v>
      </c>
      <c r="JC52" s="82">
        <f t="shared" si="1258"/>
        <v>130000000</v>
      </c>
      <c r="JD52" s="82">
        <f t="shared" si="1258"/>
        <v>130000000</v>
      </c>
      <c r="JE52" s="82">
        <f t="shared" si="1258"/>
        <v>130000000</v>
      </c>
      <c r="JF52" s="82">
        <f t="shared" si="1258"/>
        <v>130000000</v>
      </c>
      <c r="JG52" s="82">
        <f t="shared" si="1258"/>
        <v>130000000</v>
      </c>
      <c r="JH52" s="82">
        <f t="shared" si="1258"/>
        <v>130000000</v>
      </c>
      <c r="JI52" s="82">
        <f t="shared" si="1258"/>
        <v>130000000</v>
      </c>
      <c r="JJ52" s="82">
        <f t="shared" si="1258"/>
        <v>130000000</v>
      </c>
      <c r="JK52" s="82">
        <f t="shared" si="1258"/>
        <v>130000000</v>
      </c>
      <c r="JL52" s="82">
        <f t="shared" si="1258"/>
        <v>130000000</v>
      </c>
      <c r="JM52" s="82">
        <f t="shared" si="1258"/>
        <v>130000000</v>
      </c>
      <c r="JN52" s="82">
        <f t="shared" si="1258"/>
        <v>130000000</v>
      </c>
      <c r="JO52" s="82">
        <f t="shared" si="1258"/>
        <v>130000000</v>
      </c>
      <c r="JP52" s="82">
        <f t="shared" si="1258"/>
        <v>130000000</v>
      </c>
      <c r="JQ52" s="82">
        <f t="shared" si="1258"/>
        <v>130000000</v>
      </c>
      <c r="JR52" s="82">
        <f t="shared" si="1258"/>
        <v>130000000</v>
      </c>
      <c r="JS52" s="82">
        <f t="shared" si="1258"/>
        <v>130000000</v>
      </c>
      <c r="JT52" s="82">
        <f t="shared" si="1258"/>
        <v>130000000</v>
      </c>
      <c r="JU52" s="82">
        <f t="shared" si="1258"/>
        <v>130000000</v>
      </c>
      <c r="JV52" s="82">
        <f t="shared" si="1258"/>
        <v>130000000</v>
      </c>
      <c r="JW52" s="82">
        <f t="shared" si="1258"/>
        <v>130000000</v>
      </c>
      <c r="JX52" s="82">
        <f t="shared" si="1258"/>
        <v>130000000</v>
      </c>
      <c r="JY52" s="133"/>
      <c r="JZ52" s="82">
        <f>JX52</f>
        <v>130000000</v>
      </c>
      <c r="KA52" s="82">
        <f>JZ52</f>
        <v>130000000</v>
      </c>
      <c r="KB52" s="82">
        <f t="shared" ref="KB52:LD52" si="1259">JZ52</f>
        <v>130000000</v>
      </c>
      <c r="KC52" s="82">
        <f t="shared" si="1259"/>
        <v>130000000</v>
      </c>
      <c r="KD52" s="82">
        <f t="shared" si="1259"/>
        <v>130000000</v>
      </c>
      <c r="KE52" s="82">
        <f t="shared" si="1259"/>
        <v>130000000</v>
      </c>
      <c r="KF52" s="82">
        <f t="shared" si="1259"/>
        <v>130000000</v>
      </c>
      <c r="KG52" s="82">
        <f t="shared" si="1259"/>
        <v>130000000</v>
      </c>
      <c r="KH52" s="82">
        <f t="shared" si="1259"/>
        <v>130000000</v>
      </c>
      <c r="KI52" s="82">
        <f t="shared" si="1259"/>
        <v>130000000</v>
      </c>
      <c r="KJ52" s="82">
        <f t="shared" si="1259"/>
        <v>130000000</v>
      </c>
      <c r="KK52" s="82">
        <f t="shared" si="1259"/>
        <v>130000000</v>
      </c>
      <c r="KL52" s="82">
        <f t="shared" si="1259"/>
        <v>130000000</v>
      </c>
      <c r="KM52" s="82">
        <f t="shared" si="1259"/>
        <v>130000000</v>
      </c>
      <c r="KN52" s="82">
        <f t="shared" si="1259"/>
        <v>130000000</v>
      </c>
      <c r="KO52" s="82">
        <f t="shared" si="1259"/>
        <v>130000000</v>
      </c>
      <c r="KP52" s="82">
        <f t="shared" si="1259"/>
        <v>130000000</v>
      </c>
      <c r="KQ52" s="82">
        <f t="shared" si="1259"/>
        <v>130000000</v>
      </c>
      <c r="KR52" s="82">
        <f t="shared" si="1259"/>
        <v>130000000</v>
      </c>
      <c r="KS52" s="82">
        <f t="shared" si="1259"/>
        <v>130000000</v>
      </c>
      <c r="KT52" s="82">
        <f t="shared" si="1259"/>
        <v>130000000</v>
      </c>
      <c r="KU52" s="82">
        <f t="shared" si="1259"/>
        <v>130000000</v>
      </c>
      <c r="KV52" s="82">
        <f t="shared" si="1259"/>
        <v>130000000</v>
      </c>
      <c r="KW52" s="82">
        <f t="shared" si="1259"/>
        <v>130000000</v>
      </c>
      <c r="KX52" s="82">
        <f t="shared" si="1259"/>
        <v>130000000</v>
      </c>
      <c r="KY52" s="82">
        <f t="shared" si="1259"/>
        <v>130000000</v>
      </c>
      <c r="KZ52" s="82">
        <f t="shared" si="1259"/>
        <v>130000000</v>
      </c>
      <c r="LA52" s="82">
        <f t="shared" si="1259"/>
        <v>130000000</v>
      </c>
      <c r="LB52" s="82">
        <f t="shared" si="1259"/>
        <v>130000000</v>
      </c>
      <c r="LC52" s="82">
        <f t="shared" si="1259"/>
        <v>130000000</v>
      </c>
      <c r="LD52" s="82">
        <f t="shared" si="1259"/>
        <v>130000000</v>
      </c>
      <c r="LE52" s="130"/>
      <c r="LF52" s="82">
        <f>LD52</f>
        <v>130000000</v>
      </c>
      <c r="LG52" s="82">
        <f t="shared" ref="LG52:MI52" si="1260">LF52</f>
        <v>130000000</v>
      </c>
      <c r="LH52" s="82">
        <f t="shared" si="1260"/>
        <v>130000000</v>
      </c>
      <c r="LI52" s="82">
        <f t="shared" si="1260"/>
        <v>130000000</v>
      </c>
      <c r="LJ52" s="82">
        <f t="shared" si="1260"/>
        <v>130000000</v>
      </c>
      <c r="LK52" s="82">
        <f t="shared" si="1260"/>
        <v>130000000</v>
      </c>
      <c r="LL52" s="82">
        <f t="shared" si="1260"/>
        <v>130000000</v>
      </c>
      <c r="LM52" s="82">
        <f t="shared" si="1260"/>
        <v>130000000</v>
      </c>
      <c r="LN52" s="82">
        <f t="shared" si="1260"/>
        <v>130000000</v>
      </c>
      <c r="LO52" s="82">
        <f t="shared" si="1260"/>
        <v>130000000</v>
      </c>
      <c r="LP52" s="82">
        <f t="shared" si="1260"/>
        <v>130000000</v>
      </c>
      <c r="LQ52" s="82">
        <f t="shared" si="1260"/>
        <v>130000000</v>
      </c>
      <c r="LR52" s="82">
        <f t="shared" si="1260"/>
        <v>130000000</v>
      </c>
      <c r="LS52" s="82">
        <f t="shared" si="1260"/>
        <v>130000000</v>
      </c>
      <c r="LT52" s="82">
        <f t="shared" si="1260"/>
        <v>130000000</v>
      </c>
      <c r="LU52" s="82">
        <f t="shared" si="1260"/>
        <v>130000000</v>
      </c>
      <c r="LV52" s="82">
        <f t="shared" si="1260"/>
        <v>130000000</v>
      </c>
      <c r="LW52" s="82">
        <f t="shared" si="1260"/>
        <v>130000000</v>
      </c>
      <c r="LX52" s="82">
        <f t="shared" si="1260"/>
        <v>130000000</v>
      </c>
      <c r="LY52" s="82">
        <f t="shared" si="1260"/>
        <v>130000000</v>
      </c>
      <c r="LZ52" s="82">
        <f t="shared" si="1260"/>
        <v>130000000</v>
      </c>
      <c r="MA52" s="82">
        <f t="shared" si="1260"/>
        <v>130000000</v>
      </c>
      <c r="MB52" s="82">
        <f t="shared" si="1260"/>
        <v>130000000</v>
      </c>
      <c r="MC52" s="82">
        <f t="shared" si="1260"/>
        <v>130000000</v>
      </c>
      <c r="MD52" s="82">
        <f t="shared" si="1260"/>
        <v>130000000</v>
      </c>
      <c r="ME52" s="82">
        <f t="shared" si="1260"/>
        <v>130000000</v>
      </c>
      <c r="MF52" s="82">
        <f t="shared" si="1260"/>
        <v>130000000</v>
      </c>
      <c r="MG52" s="82">
        <f t="shared" si="1260"/>
        <v>130000000</v>
      </c>
      <c r="MH52" s="82">
        <f t="shared" si="1260"/>
        <v>130000000</v>
      </c>
      <c r="MI52" s="82">
        <f t="shared" si="1260"/>
        <v>130000000</v>
      </c>
      <c r="MJ52" s="133"/>
      <c r="MK52" s="82">
        <v>130000000</v>
      </c>
      <c r="ML52" s="82">
        <v>130000000</v>
      </c>
      <c r="MM52" s="82">
        <v>130000000</v>
      </c>
      <c r="MN52" s="82">
        <v>130000000</v>
      </c>
      <c r="MO52" s="82">
        <v>130000000</v>
      </c>
      <c r="MP52" s="82">
        <v>130000000</v>
      </c>
      <c r="MQ52" s="82">
        <v>130000000</v>
      </c>
      <c r="MR52" s="82">
        <v>130000000</v>
      </c>
      <c r="MS52" s="82">
        <v>130000000</v>
      </c>
      <c r="MT52" s="82">
        <v>130000000</v>
      </c>
      <c r="MU52" s="82">
        <v>130000000</v>
      </c>
      <c r="MV52" s="82">
        <v>130000000</v>
      </c>
      <c r="MW52" s="82">
        <v>130000000</v>
      </c>
      <c r="MX52" s="82">
        <v>130000000</v>
      </c>
      <c r="MY52" s="82">
        <v>130000000</v>
      </c>
      <c r="MZ52" s="82">
        <v>130000000</v>
      </c>
      <c r="NA52" s="82">
        <v>130000000</v>
      </c>
      <c r="NB52" s="82">
        <v>130000000</v>
      </c>
      <c r="NC52" s="82">
        <v>130000000</v>
      </c>
      <c r="ND52" s="82">
        <v>130000000</v>
      </c>
      <c r="NE52" s="82">
        <v>130000000</v>
      </c>
      <c r="NF52" s="82">
        <v>130000000</v>
      </c>
      <c r="NG52" s="82">
        <v>130000000</v>
      </c>
      <c r="NH52" s="82">
        <v>130000000</v>
      </c>
      <c r="NI52" s="82">
        <v>130000000</v>
      </c>
      <c r="NJ52" s="82">
        <v>130000000</v>
      </c>
      <c r="NK52" s="82">
        <v>130000000</v>
      </c>
      <c r="NL52" s="82">
        <v>130000000</v>
      </c>
      <c r="NM52" s="82">
        <v>130000000</v>
      </c>
      <c r="NN52" s="82">
        <v>130000000</v>
      </c>
      <c r="NO52" s="82">
        <v>130000000</v>
      </c>
      <c r="NP52" s="133"/>
      <c r="NQ52" s="82">
        <v>130000000</v>
      </c>
      <c r="NR52" s="82">
        <v>130000000</v>
      </c>
      <c r="NS52" s="82">
        <v>130000000</v>
      </c>
      <c r="NT52" s="82">
        <v>130000000</v>
      </c>
      <c r="NU52" s="82">
        <v>130000000</v>
      </c>
      <c r="NV52" s="82">
        <v>130000000</v>
      </c>
      <c r="NW52" s="82">
        <v>130000000</v>
      </c>
      <c r="NX52" s="82">
        <v>130000000</v>
      </c>
      <c r="NY52" s="82">
        <v>130000000</v>
      </c>
      <c r="NZ52" s="82">
        <v>130000000</v>
      </c>
      <c r="OA52" s="82">
        <v>130000000</v>
      </c>
      <c r="OB52" s="82">
        <v>130000000</v>
      </c>
      <c r="OC52" s="82">
        <v>130000000</v>
      </c>
      <c r="OD52" s="82">
        <v>130000000</v>
      </c>
      <c r="OE52" s="82">
        <v>130000000</v>
      </c>
      <c r="OF52" s="82">
        <v>130000000</v>
      </c>
      <c r="OG52" s="82">
        <v>130000000</v>
      </c>
      <c r="OH52" s="82">
        <v>130000000</v>
      </c>
      <c r="OI52" s="82">
        <v>130000000</v>
      </c>
      <c r="OJ52" s="82">
        <v>130000000</v>
      </c>
      <c r="OK52" s="82">
        <v>130000000</v>
      </c>
      <c r="OL52" s="82">
        <v>130000000</v>
      </c>
      <c r="OM52" s="82">
        <v>130000000</v>
      </c>
      <c r="ON52" s="82">
        <v>130000000</v>
      </c>
      <c r="OO52" s="82">
        <v>130000000</v>
      </c>
      <c r="OP52" s="82">
        <v>130000000</v>
      </c>
      <c r="OQ52" s="82">
        <v>130000000</v>
      </c>
      <c r="OR52" s="82">
        <v>130000000</v>
      </c>
      <c r="OS52" s="82">
        <v>130000000</v>
      </c>
      <c r="OT52" s="82">
        <v>130000000</v>
      </c>
      <c r="OU52" s="82">
        <v>130000000</v>
      </c>
      <c r="OV52" s="130"/>
      <c r="OW52" s="82">
        <v>130000000</v>
      </c>
      <c r="OX52" s="82">
        <v>130000000</v>
      </c>
      <c r="OY52" s="82">
        <v>130000000</v>
      </c>
      <c r="OZ52" s="82">
        <v>130000000</v>
      </c>
      <c r="PA52" s="82">
        <v>130000000</v>
      </c>
      <c r="PB52" s="82">
        <v>130000000</v>
      </c>
      <c r="PC52" s="82">
        <v>130000000</v>
      </c>
      <c r="PD52" s="82">
        <v>130000000</v>
      </c>
      <c r="PE52" s="82">
        <v>130000000</v>
      </c>
      <c r="PF52" s="82">
        <v>130000000</v>
      </c>
      <c r="PG52" s="82">
        <v>130000000</v>
      </c>
      <c r="PH52" s="82">
        <v>130000000</v>
      </c>
      <c r="PI52" s="82">
        <v>130000000</v>
      </c>
      <c r="PJ52" s="82">
        <v>130000000</v>
      </c>
      <c r="PK52" s="82">
        <v>130000000</v>
      </c>
      <c r="PL52" s="82">
        <v>130000000</v>
      </c>
      <c r="PM52" s="82">
        <v>130000000</v>
      </c>
      <c r="PN52" s="82">
        <v>130000000</v>
      </c>
      <c r="PO52" s="82">
        <v>130000000</v>
      </c>
      <c r="PP52" s="82">
        <v>130000000</v>
      </c>
      <c r="PQ52" s="82">
        <v>130000000</v>
      </c>
      <c r="PR52" s="82">
        <v>130000000</v>
      </c>
      <c r="PS52" s="82">
        <v>130000000</v>
      </c>
      <c r="PT52" s="82">
        <v>130000000</v>
      </c>
      <c r="PU52" s="82">
        <v>130000000</v>
      </c>
      <c r="PV52" s="82">
        <v>130000000</v>
      </c>
      <c r="PW52" s="82">
        <v>130000000</v>
      </c>
      <c r="PX52" s="82">
        <v>130000000</v>
      </c>
      <c r="PY52" s="82">
        <v>130000000</v>
      </c>
      <c r="PZ52" s="82">
        <v>130000000</v>
      </c>
      <c r="QA52" s="130"/>
      <c r="QB52" s="82">
        <v>130000000</v>
      </c>
      <c r="QC52" s="82">
        <v>130000000</v>
      </c>
      <c r="QD52" s="82">
        <v>130000000</v>
      </c>
      <c r="QE52" s="82">
        <v>130000000</v>
      </c>
      <c r="QF52" s="82">
        <v>130000000</v>
      </c>
      <c r="QG52" s="82">
        <v>130000000</v>
      </c>
      <c r="QH52" s="82">
        <v>130000000</v>
      </c>
      <c r="QI52" s="82">
        <v>130000000</v>
      </c>
      <c r="QJ52" s="82">
        <v>130000000</v>
      </c>
      <c r="QK52" s="82">
        <v>130000000</v>
      </c>
      <c r="QL52" s="82">
        <v>130000000</v>
      </c>
      <c r="QM52" s="82">
        <v>130000000</v>
      </c>
      <c r="QN52" s="82">
        <v>130000000</v>
      </c>
      <c r="QO52" s="82">
        <v>130000000</v>
      </c>
      <c r="QP52" s="82">
        <v>130000000</v>
      </c>
      <c r="QQ52" s="82">
        <v>130000000</v>
      </c>
      <c r="QR52" s="82">
        <v>130000000</v>
      </c>
      <c r="QS52" s="82">
        <v>130000000</v>
      </c>
      <c r="QT52" s="82">
        <v>130000000</v>
      </c>
      <c r="QU52" s="82">
        <v>130000000</v>
      </c>
      <c r="QV52" s="82">
        <v>130000000</v>
      </c>
      <c r="QW52" s="82">
        <v>130000000</v>
      </c>
      <c r="QX52" s="82">
        <v>130000000</v>
      </c>
      <c r="QY52" s="82">
        <v>130000000</v>
      </c>
      <c r="QZ52" s="82">
        <v>130000000</v>
      </c>
      <c r="RA52" s="82">
        <v>130000000</v>
      </c>
      <c r="RB52" s="82">
        <v>130000000</v>
      </c>
      <c r="RC52" s="82">
        <v>130000000</v>
      </c>
      <c r="RD52" s="82">
        <v>130000000</v>
      </c>
      <c r="RE52" s="82">
        <v>130000000</v>
      </c>
      <c r="RF52" s="82">
        <v>130000000</v>
      </c>
      <c r="RG52" s="130"/>
      <c r="RH52" s="82">
        <v>130000000</v>
      </c>
      <c r="RI52" s="82">
        <v>130000000</v>
      </c>
      <c r="RJ52" s="82">
        <v>130000000</v>
      </c>
      <c r="RK52" s="82">
        <v>130000000</v>
      </c>
      <c r="RL52" s="82">
        <v>130000000</v>
      </c>
      <c r="RM52" s="82">
        <v>130000000</v>
      </c>
      <c r="RN52" s="82">
        <v>130000000</v>
      </c>
      <c r="RO52" s="82">
        <v>130000000</v>
      </c>
      <c r="RP52" s="82">
        <v>130000000</v>
      </c>
      <c r="RQ52" s="82">
        <v>130000000</v>
      </c>
      <c r="RR52" s="82">
        <v>130000000</v>
      </c>
      <c r="RS52" s="82">
        <v>130000000</v>
      </c>
      <c r="RT52" s="82">
        <v>130000000</v>
      </c>
      <c r="RU52" s="82">
        <v>130000000</v>
      </c>
      <c r="RV52" s="82">
        <v>130000000</v>
      </c>
      <c r="RW52" s="82">
        <v>130000000</v>
      </c>
      <c r="RX52" s="82">
        <v>130000000</v>
      </c>
      <c r="RY52" s="82">
        <v>130000000</v>
      </c>
      <c r="RZ52" s="82">
        <v>130000000</v>
      </c>
      <c r="SA52" s="82">
        <v>130000000</v>
      </c>
      <c r="SB52" s="82">
        <v>130000000</v>
      </c>
      <c r="SC52" s="82">
        <v>130000000</v>
      </c>
      <c r="SD52" s="82">
        <v>130000000</v>
      </c>
      <c r="SE52" s="82">
        <v>130000000</v>
      </c>
      <c r="SF52" s="82">
        <v>130000000</v>
      </c>
      <c r="SG52" s="82">
        <v>130000000</v>
      </c>
      <c r="SH52" s="82">
        <v>130000000</v>
      </c>
      <c r="SI52" s="82">
        <v>130000000</v>
      </c>
      <c r="SJ52" s="82">
        <v>130000000</v>
      </c>
      <c r="SK52" s="82">
        <v>130000000</v>
      </c>
      <c r="SL52" s="130"/>
      <c r="SM52" s="82">
        <v>130000000</v>
      </c>
      <c r="SN52" s="82">
        <v>130000000</v>
      </c>
      <c r="SO52" s="82">
        <v>130000000</v>
      </c>
      <c r="SP52" s="82">
        <v>130000000</v>
      </c>
      <c r="SQ52" s="82">
        <v>130000000</v>
      </c>
      <c r="SR52" s="82">
        <v>130000000</v>
      </c>
      <c r="SS52" s="82">
        <v>130000000</v>
      </c>
      <c r="ST52" s="82">
        <v>130000000</v>
      </c>
      <c r="SU52" s="82">
        <v>130000000</v>
      </c>
      <c r="SV52" s="82">
        <v>130000000</v>
      </c>
      <c r="SW52" s="82">
        <v>130000000</v>
      </c>
      <c r="SX52" s="82">
        <v>130000000</v>
      </c>
      <c r="SY52" s="82">
        <v>130000000</v>
      </c>
      <c r="SZ52" s="82">
        <v>130000000</v>
      </c>
      <c r="TA52" s="82">
        <v>130000000</v>
      </c>
      <c r="TB52" s="82">
        <v>130000000</v>
      </c>
      <c r="TC52" s="82">
        <v>130000000</v>
      </c>
      <c r="TD52" s="82">
        <v>130000000</v>
      </c>
      <c r="TE52" s="82">
        <v>130000000</v>
      </c>
      <c r="TF52" s="82">
        <v>130000000</v>
      </c>
      <c r="TG52" s="82">
        <v>130000000</v>
      </c>
      <c r="TH52" s="82">
        <v>130000000</v>
      </c>
      <c r="TI52" s="82">
        <v>130000000</v>
      </c>
      <c r="TJ52" s="82">
        <v>130000000</v>
      </c>
      <c r="TK52" s="82">
        <v>130000000</v>
      </c>
      <c r="TL52" s="82">
        <v>130000000</v>
      </c>
      <c r="TM52" s="82">
        <v>130000000</v>
      </c>
      <c r="TN52" s="82">
        <v>130000000</v>
      </c>
      <c r="TO52" s="82">
        <v>130000000</v>
      </c>
      <c r="TP52" s="82">
        <v>130000000</v>
      </c>
      <c r="TQ52" s="82">
        <v>130000000</v>
      </c>
      <c r="TR52" s="130"/>
      <c r="TS52" s="82">
        <v>130000000</v>
      </c>
      <c r="TT52" s="82">
        <v>130000000</v>
      </c>
      <c r="TU52" s="82">
        <v>130000000</v>
      </c>
      <c r="TV52" s="82">
        <v>130000000</v>
      </c>
      <c r="TW52" s="82">
        <v>130000000</v>
      </c>
      <c r="TX52" s="82">
        <v>130000000</v>
      </c>
      <c r="TY52" s="82">
        <v>130000000</v>
      </c>
      <c r="TZ52" s="82">
        <v>130000000</v>
      </c>
      <c r="UA52" s="82">
        <v>130000000</v>
      </c>
      <c r="UB52" s="82">
        <v>130000000</v>
      </c>
      <c r="UC52" s="82">
        <v>130000000</v>
      </c>
      <c r="UD52" s="82">
        <v>130000000</v>
      </c>
      <c r="UE52" s="82">
        <v>130000000</v>
      </c>
      <c r="UF52" s="82">
        <v>130000000</v>
      </c>
      <c r="UG52" s="82">
        <v>130000000</v>
      </c>
      <c r="UH52" s="82">
        <v>130000000</v>
      </c>
      <c r="UI52" s="82">
        <v>130000000</v>
      </c>
      <c r="UJ52" s="82">
        <v>130000000</v>
      </c>
      <c r="UK52" s="82">
        <v>130000000</v>
      </c>
      <c r="UL52" s="82">
        <v>130000000</v>
      </c>
      <c r="UM52" s="82">
        <v>130000000</v>
      </c>
      <c r="UN52" s="82">
        <v>130000000</v>
      </c>
      <c r="UO52" s="82">
        <v>130000000</v>
      </c>
      <c r="UP52" s="82">
        <v>130000000</v>
      </c>
      <c r="UQ52" s="82">
        <v>130000000</v>
      </c>
      <c r="UR52" s="82">
        <v>130000000</v>
      </c>
      <c r="US52" s="82">
        <v>130000000</v>
      </c>
      <c r="UT52" s="82">
        <v>130000000</v>
      </c>
      <c r="UU52" s="82">
        <v>130000000</v>
      </c>
      <c r="UV52" s="82">
        <v>130000000</v>
      </c>
      <c r="UW52" s="82">
        <v>130000000</v>
      </c>
      <c r="UX52" s="130"/>
      <c r="UY52" s="82">
        <v>130000000</v>
      </c>
      <c r="UZ52" s="82">
        <v>130000000</v>
      </c>
      <c r="VA52" s="82">
        <v>130000000</v>
      </c>
      <c r="VB52" s="82">
        <v>130000000</v>
      </c>
      <c r="VC52" s="82">
        <v>130000000</v>
      </c>
      <c r="VD52" s="82">
        <v>130000000</v>
      </c>
      <c r="VE52" s="82">
        <v>130000000</v>
      </c>
      <c r="VF52" s="82">
        <v>130000000</v>
      </c>
      <c r="VG52" s="82">
        <v>130000000</v>
      </c>
      <c r="VH52" s="82">
        <v>130000000</v>
      </c>
      <c r="VI52" s="82">
        <v>130000000</v>
      </c>
      <c r="VJ52" s="82">
        <v>130000000</v>
      </c>
      <c r="VK52" s="82">
        <v>130000000</v>
      </c>
      <c r="VL52" s="82">
        <v>130000000</v>
      </c>
      <c r="VM52" s="82">
        <v>130000000</v>
      </c>
      <c r="VN52" s="82">
        <v>130000000</v>
      </c>
      <c r="VO52" s="82">
        <v>130000000</v>
      </c>
      <c r="VP52" s="82">
        <v>130000000</v>
      </c>
      <c r="VQ52" s="82">
        <v>130000000</v>
      </c>
      <c r="VR52" s="82">
        <v>130000000</v>
      </c>
      <c r="VS52" s="82">
        <v>130000000</v>
      </c>
      <c r="VT52" s="82">
        <v>130000000</v>
      </c>
      <c r="VU52" s="82">
        <v>130000000</v>
      </c>
      <c r="VV52" s="82">
        <v>130000000</v>
      </c>
      <c r="VW52" s="82">
        <v>130000000</v>
      </c>
      <c r="VX52" s="82">
        <v>130000000</v>
      </c>
      <c r="VY52" s="82">
        <v>130000000</v>
      </c>
      <c r="VZ52" s="82">
        <v>130000000</v>
      </c>
      <c r="WA52" s="133"/>
      <c r="WB52" s="82">
        <v>130000000</v>
      </c>
      <c r="WC52" s="82">
        <v>130000000</v>
      </c>
      <c r="WD52" s="82">
        <v>130000000</v>
      </c>
      <c r="WE52" s="82">
        <v>130000000</v>
      </c>
      <c r="WF52" s="82">
        <v>130000000</v>
      </c>
      <c r="WG52" s="82">
        <v>130000000</v>
      </c>
      <c r="WH52" s="82">
        <v>130000000</v>
      </c>
      <c r="WI52" s="82">
        <v>130000000</v>
      </c>
      <c r="WJ52" s="82">
        <v>130000000</v>
      </c>
      <c r="WK52" s="82">
        <v>130000000</v>
      </c>
      <c r="WL52" s="82">
        <v>130000000</v>
      </c>
      <c r="WM52" s="82">
        <v>130000000</v>
      </c>
      <c r="WN52" s="82">
        <v>130000000</v>
      </c>
      <c r="WO52" s="82">
        <v>130000000</v>
      </c>
      <c r="WP52" s="82">
        <v>130000000</v>
      </c>
      <c r="WQ52" s="82">
        <v>130000000</v>
      </c>
      <c r="WR52" s="82">
        <v>130000000</v>
      </c>
      <c r="WS52" s="82">
        <v>130000000</v>
      </c>
      <c r="WT52" s="82">
        <v>130000000</v>
      </c>
      <c r="WU52" s="82">
        <v>130000000</v>
      </c>
      <c r="WV52" s="82">
        <v>130000000</v>
      </c>
      <c r="WW52" s="82">
        <v>130000000</v>
      </c>
      <c r="WX52" s="82">
        <v>130000000</v>
      </c>
      <c r="WY52" s="82">
        <v>130000000</v>
      </c>
      <c r="WZ52" s="82">
        <v>130000000</v>
      </c>
      <c r="XA52" s="82">
        <v>130000000</v>
      </c>
      <c r="XB52" s="82">
        <v>130000000</v>
      </c>
      <c r="XC52" s="82">
        <v>130000000</v>
      </c>
      <c r="XD52" s="82">
        <v>130000000</v>
      </c>
      <c r="XE52" s="82">
        <v>130000000</v>
      </c>
      <c r="XF52" s="82">
        <v>130000000</v>
      </c>
      <c r="XG52" s="133"/>
      <c r="XH52" s="82">
        <v>130000000</v>
      </c>
      <c r="XI52" s="82">
        <v>130000000</v>
      </c>
      <c r="XJ52" s="82">
        <v>130000000</v>
      </c>
      <c r="XK52" s="82">
        <v>130000000</v>
      </c>
      <c r="XL52" s="82">
        <v>130000000</v>
      </c>
      <c r="XM52" s="82">
        <v>130000000</v>
      </c>
      <c r="XN52" s="82">
        <v>130000000</v>
      </c>
      <c r="XO52" s="82">
        <v>130000000</v>
      </c>
      <c r="XP52" s="82">
        <v>130000000</v>
      </c>
      <c r="XQ52" s="82">
        <v>130000000</v>
      </c>
      <c r="XR52" s="82">
        <v>130000000</v>
      </c>
      <c r="XS52" s="82">
        <v>130000000</v>
      </c>
      <c r="XT52" s="82">
        <v>130000000</v>
      </c>
      <c r="XU52" s="82">
        <v>130000000</v>
      </c>
      <c r="XV52" s="82">
        <v>130000000</v>
      </c>
      <c r="XW52" s="82">
        <v>130000000</v>
      </c>
      <c r="XX52" s="82">
        <v>130000000</v>
      </c>
      <c r="XY52" s="82">
        <v>130000000</v>
      </c>
      <c r="XZ52" s="82">
        <v>130000000</v>
      </c>
      <c r="YA52" s="82">
        <v>130000000</v>
      </c>
      <c r="YB52" s="82">
        <v>130000000</v>
      </c>
      <c r="YC52" s="82">
        <v>130000000</v>
      </c>
      <c r="YD52" s="82">
        <v>130000000</v>
      </c>
      <c r="YE52" s="82">
        <v>130000000</v>
      </c>
      <c r="YF52" s="82">
        <v>130000000</v>
      </c>
      <c r="YG52" s="82">
        <v>130000000</v>
      </c>
      <c r="YH52" s="82">
        <v>130000000</v>
      </c>
      <c r="YI52" s="82">
        <v>130000000</v>
      </c>
      <c r="YJ52" s="82">
        <v>130000000</v>
      </c>
      <c r="YK52" s="82">
        <v>130000000</v>
      </c>
      <c r="YL52" s="130"/>
      <c r="YM52" s="82">
        <v>130000000</v>
      </c>
      <c r="YN52" s="82">
        <v>130000000</v>
      </c>
      <c r="YO52" s="82">
        <v>130000000</v>
      </c>
      <c r="YP52" s="82">
        <v>130000000</v>
      </c>
      <c r="YQ52" s="82">
        <v>130000000</v>
      </c>
      <c r="YR52" s="82">
        <v>130000000</v>
      </c>
      <c r="YS52" s="82">
        <v>130000000</v>
      </c>
      <c r="YT52" s="82">
        <v>130000000</v>
      </c>
      <c r="YU52" s="82">
        <v>130000000</v>
      </c>
      <c r="YV52" s="82">
        <v>130000000</v>
      </c>
      <c r="YW52" s="82">
        <v>130000000</v>
      </c>
      <c r="YX52" s="82">
        <v>130000000</v>
      </c>
      <c r="YY52" s="82">
        <v>130000000</v>
      </c>
      <c r="YZ52" s="82">
        <v>130000000</v>
      </c>
      <c r="ZA52" s="82">
        <v>130000000</v>
      </c>
      <c r="ZB52" s="82">
        <v>130000000</v>
      </c>
      <c r="ZC52" s="82">
        <v>130000000</v>
      </c>
      <c r="ZD52" s="82">
        <v>130000000</v>
      </c>
      <c r="ZE52" s="82">
        <v>130000000</v>
      </c>
      <c r="ZF52" s="82">
        <v>130000000</v>
      </c>
      <c r="ZG52" s="82">
        <v>130000000</v>
      </c>
      <c r="ZH52" s="82">
        <v>130000000</v>
      </c>
      <c r="ZI52" s="82">
        <v>130000000</v>
      </c>
      <c r="ZJ52" s="82">
        <v>130000000</v>
      </c>
      <c r="ZK52" s="82">
        <v>130000000</v>
      </c>
      <c r="ZL52" s="82">
        <v>130000000</v>
      </c>
      <c r="ZM52" s="82">
        <v>130000000</v>
      </c>
      <c r="ZN52" s="82">
        <v>130000000</v>
      </c>
      <c r="ZO52" s="82">
        <v>130000000</v>
      </c>
      <c r="ZP52" s="82">
        <v>130000000</v>
      </c>
      <c r="ZQ52" s="82">
        <v>130000000</v>
      </c>
      <c r="ZR52" s="130"/>
      <c r="ZS52" s="82">
        <v>130000000</v>
      </c>
      <c r="ZT52" s="82">
        <v>130000000</v>
      </c>
      <c r="ZU52" s="82">
        <v>130000000</v>
      </c>
      <c r="ZV52" s="82">
        <v>130000000</v>
      </c>
      <c r="ZW52" s="82">
        <v>130000000</v>
      </c>
      <c r="ZX52" s="82">
        <v>130000000</v>
      </c>
      <c r="ZY52" s="82">
        <v>130000000</v>
      </c>
      <c r="ZZ52" s="82">
        <v>130000000</v>
      </c>
      <c r="AAA52" s="82">
        <v>130000000</v>
      </c>
      <c r="AAB52" s="82">
        <v>130000000</v>
      </c>
      <c r="AAC52" s="82">
        <v>130000000</v>
      </c>
      <c r="AAD52" s="82">
        <v>130000000</v>
      </c>
      <c r="AAE52" s="82">
        <v>130000000</v>
      </c>
      <c r="AAF52" s="82">
        <v>130000000</v>
      </c>
      <c r="AAG52" s="82">
        <v>130000000</v>
      </c>
      <c r="AAH52" s="82">
        <v>130000000</v>
      </c>
      <c r="AAI52" s="82">
        <v>130000000</v>
      </c>
      <c r="AAJ52" s="82">
        <v>130000000</v>
      </c>
      <c r="AAK52" s="82">
        <v>130000000</v>
      </c>
      <c r="AAL52" s="82">
        <v>130000000</v>
      </c>
      <c r="AAM52" s="82">
        <v>130000000</v>
      </c>
      <c r="AAN52" s="82">
        <v>130000000</v>
      </c>
      <c r="AAO52" s="82">
        <v>130000000</v>
      </c>
      <c r="AAP52" s="82">
        <v>130000000</v>
      </c>
      <c r="AAQ52" s="82">
        <v>130000000</v>
      </c>
      <c r="AAR52" s="82">
        <v>130000000</v>
      </c>
      <c r="AAS52" s="82">
        <v>130000000</v>
      </c>
      <c r="AAT52" s="82">
        <v>130000000</v>
      </c>
      <c r="AAU52" s="82">
        <v>130000000</v>
      </c>
      <c r="AAV52" s="82">
        <v>130000000</v>
      </c>
      <c r="AAW52" s="130"/>
      <c r="AAX52" s="82">
        <v>130000000</v>
      </c>
      <c r="AAY52" s="82">
        <v>130000000</v>
      </c>
      <c r="AAZ52" s="82">
        <v>130000000</v>
      </c>
      <c r="ABA52" s="82">
        <v>130000000</v>
      </c>
      <c r="ABB52" s="82">
        <v>130000000</v>
      </c>
      <c r="ABC52" s="82">
        <v>130000000</v>
      </c>
      <c r="ABD52" s="82">
        <v>130000000</v>
      </c>
      <c r="ABE52" s="82">
        <v>130000000</v>
      </c>
      <c r="ABF52" s="82">
        <v>130000000</v>
      </c>
      <c r="ABG52" s="82">
        <v>130000000</v>
      </c>
      <c r="ABH52" s="82">
        <v>130000000</v>
      </c>
      <c r="ABI52" s="82">
        <v>130000000</v>
      </c>
      <c r="ABJ52" s="82">
        <v>130000000</v>
      </c>
      <c r="ABK52" s="82">
        <v>130000000</v>
      </c>
      <c r="ABL52" s="82">
        <v>130000000</v>
      </c>
      <c r="ABM52" s="82">
        <v>130000000</v>
      </c>
      <c r="ABN52" s="82">
        <v>130000000</v>
      </c>
      <c r="ABO52" s="82">
        <v>130000000</v>
      </c>
      <c r="ABP52" s="82">
        <v>130000000</v>
      </c>
      <c r="ABQ52" s="82">
        <v>130000000</v>
      </c>
      <c r="ABR52" s="82">
        <v>130000000</v>
      </c>
      <c r="ABS52" s="82">
        <v>130000000</v>
      </c>
      <c r="ABT52" s="82">
        <v>130000000</v>
      </c>
      <c r="ABU52" s="82">
        <v>130000000</v>
      </c>
      <c r="ABV52" s="82">
        <v>130000000</v>
      </c>
      <c r="ABW52" s="82">
        <v>130000000</v>
      </c>
      <c r="ABX52" s="82">
        <v>130000000</v>
      </c>
      <c r="ABY52" s="82">
        <v>130000000</v>
      </c>
      <c r="ABZ52" s="82">
        <v>130000000</v>
      </c>
      <c r="ACA52" s="82">
        <v>130000000</v>
      </c>
      <c r="ACB52" s="82">
        <v>130000000</v>
      </c>
      <c r="ACC52" s="130"/>
      <c r="ACD52" s="82">
        <v>130000000</v>
      </c>
      <c r="ACE52" s="82">
        <v>130000000</v>
      </c>
      <c r="ACF52" s="82">
        <v>130000000</v>
      </c>
      <c r="ACG52" s="82">
        <v>130000000</v>
      </c>
      <c r="ACH52" s="82">
        <v>130000000</v>
      </c>
      <c r="ACI52" s="82">
        <v>130000000</v>
      </c>
      <c r="ACJ52" s="82">
        <v>130000000</v>
      </c>
      <c r="ACK52" s="82">
        <v>130000000</v>
      </c>
      <c r="ACL52" s="82">
        <v>130000000</v>
      </c>
      <c r="ACM52" s="82">
        <v>130000000</v>
      </c>
      <c r="ACN52" s="82">
        <v>130000000</v>
      </c>
      <c r="ACO52" s="82">
        <v>130000000</v>
      </c>
      <c r="ACP52" s="82">
        <v>130000000</v>
      </c>
      <c r="ACQ52" s="82">
        <v>130000000</v>
      </c>
      <c r="ACR52" s="82">
        <v>130000000</v>
      </c>
      <c r="ACS52" s="82">
        <v>130000000</v>
      </c>
      <c r="ACT52" s="82">
        <v>130000000</v>
      </c>
      <c r="ACU52" s="82">
        <v>130000000</v>
      </c>
      <c r="ACV52" s="82">
        <v>130000000</v>
      </c>
      <c r="ACW52" s="82">
        <v>130000000</v>
      </c>
      <c r="ACX52" s="82">
        <v>130000000</v>
      </c>
      <c r="ACY52" s="82">
        <v>130000000</v>
      </c>
      <c r="ACZ52" s="82">
        <v>130000000</v>
      </c>
      <c r="ADA52" s="82">
        <v>130000000</v>
      </c>
      <c r="ADB52" s="82">
        <v>130000000</v>
      </c>
      <c r="ADC52" s="82">
        <v>130000000</v>
      </c>
      <c r="ADD52" s="82">
        <v>130000000</v>
      </c>
      <c r="ADE52" s="82">
        <v>130000000</v>
      </c>
      <c r="ADF52" s="82">
        <v>130000000</v>
      </c>
      <c r="ADG52" s="82">
        <v>130000000</v>
      </c>
      <c r="ADH52" s="82">
        <v>130000000</v>
      </c>
      <c r="ADI52" s="130"/>
      <c r="ADJ52" s="82">
        <v>130000000</v>
      </c>
      <c r="ADK52" s="82">
        <v>130000000</v>
      </c>
      <c r="ADL52" s="82">
        <v>130000000</v>
      </c>
      <c r="ADM52" s="82">
        <v>130000000</v>
      </c>
      <c r="ADN52" s="82">
        <v>130000000</v>
      </c>
      <c r="ADO52" s="82">
        <v>130000000</v>
      </c>
      <c r="ADP52" s="82">
        <v>130000000</v>
      </c>
      <c r="ADQ52" s="82">
        <v>130000000</v>
      </c>
      <c r="ADR52" s="82">
        <v>130000000</v>
      </c>
      <c r="ADS52" s="82">
        <v>130000000</v>
      </c>
      <c r="ADT52" s="82">
        <v>130000000</v>
      </c>
      <c r="ADU52" s="82">
        <v>130000000</v>
      </c>
      <c r="ADV52" s="82">
        <v>130000000</v>
      </c>
      <c r="ADW52" s="82">
        <v>130000000</v>
      </c>
      <c r="ADX52" s="82">
        <v>130000000</v>
      </c>
      <c r="ADY52" s="82">
        <v>130000000</v>
      </c>
      <c r="ADZ52" s="82">
        <v>130000000</v>
      </c>
      <c r="AEA52" s="82">
        <v>130000000</v>
      </c>
      <c r="AEB52" s="82">
        <v>130000000</v>
      </c>
      <c r="AEC52" s="82">
        <v>130000000</v>
      </c>
      <c r="AED52" s="82">
        <v>130000000</v>
      </c>
      <c r="AEE52" s="82">
        <v>130000000</v>
      </c>
      <c r="AEF52" s="82">
        <v>130000000</v>
      </c>
      <c r="AEG52" s="82">
        <v>130000000</v>
      </c>
      <c r="AEH52" s="82">
        <v>130000000</v>
      </c>
      <c r="AEI52" s="82">
        <v>130000000</v>
      </c>
      <c r="AEJ52" s="82">
        <v>130000000</v>
      </c>
      <c r="AEK52" s="82">
        <v>130000000</v>
      </c>
      <c r="AEL52" s="82">
        <v>130000000</v>
      </c>
      <c r="AEM52" s="82">
        <v>130000000</v>
      </c>
      <c r="AEN52" s="130"/>
      <c r="AEO52" s="82">
        <v>130000000</v>
      </c>
      <c r="AEP52" s="82">
        <v>130000000</v>
      </c>
      <c r="AEQ52" s="82">
        <v>130000000</v>
      </c>
      <c r="AER52" s="82">
        <v>130000000</v>
      </c>
      <c r="AES52" s="82">
        <v>130000000</v>
      </c>
      <c r="AET52" s="82">
        <v>130000000</v>
      </c>
      <c r="AEU52" s="82">
        <v>130000000</v>
      </c>
      <c r="AEV52" s="82">
        <v>130000000</v>
      </c>
      <c r="AEW52" s="82">
        <v>130000000</v>
      </c>
      <c r="AEX52" s="82">
        <v>130000000</v>
      </c>
      <c r="AEY52" s="82">
        <v>130000000</v>
      </c>
      <c r="AEZ52" s="82">
        <v>130000000</v>
      </c>
      <c r="AFA52" s="82">
        <v>130000000</v>
      </c>
      <c r="AFB52" s="82">
        <v>130000000</v>
      </c>
      <c r="AFC52" s="82">
        <v>130000000</v>
      </c>
      <c r="AFD52" s="82">
        <v>130000000</v>
      </c>
      <c r="AFE52" s="82">
        <v>130000000</v>
      </c>
      <c r="AFF52" s="82">
        <v>130000000</v>
      </c>
      <c r="AFG52" s="82">
        <v>130000000</v>
      </c>
      <c r="AFH52" s="82">
        <v>130000000</v>
      </c>
      <c r="AFI52" s="82">
        <v>130000000</v>
      </c>
      <c r="AFJ52" s="82">
        <v>130000000</v>
      </c>
      <c r="AFK52" s="82">
        <v>130000000</v>
      </c>
      <c r="AFL52" s="82">
        <v>130000000</v>
      </c>
      <c r="AFM52" s="82">
        <v>130000000</v>
      </c>
      <c r="AFN52" s="82">
        <v>130000000</v>
      </c>
      <c r="AFO52" s="82">
        <v>130000000</v>
      </c>
      <c r="AFP52" s="82">
        <v>130000000</v>
      </c>
      <c r="AFQ52" s="82">
        <v>130000000</v>
      </c>
      <c r="AFR52" s="82">
        <v>130000000</v>
      </c>
      <c r="AFS52" s="82">
        <v>130000000</v>
      </c>
      <c r="AFT52" s="130"/>
      <c r="AFU52" s="82">
        <v>130000000</v>
      </c>
      <c r="AFV52" s="82">
        <v>130000000</v>
      </c>
      <c r="AFW52" s="82">
        <v>130000000</v>
      </c>
      <c r="AFX52" s="82">
        <v>130000000</v>
      </c>
      <c r="AFY52" s="82">
        <v>130000000</v>
      </c>
      <c r="AFZ52" s="82">
        <v>130000000</v>
      </c>
      <c r="AGA52" s="82">
        <v>130000000</v>
      </c>
      <c r="AGB52" s="82">
        <v>130000000</v>
      </c>
      <c r="AGC52" s="82">
        <v>130000000</v>
      </c>
      <c r="AGD52" s="82">
        <v>130000000</v>
      </c>
      <c r="AGE52" s="82">
        <v>130000000</v>
      </c>
      <c r="AGF52" s="82">
        <v>130000000</v>
      </c>
      <c r="AGG52" s="82">
        <v>130000000</v>
      </c>
      <c r="AGH52" s="82">
        <v>130000000</v>
      </c>
      <c r="AGI52" s="82">
        <v>130000000</v>
      </c>
      <c r="AGJ52" s="82">
        <v>130000000</v>
      </c>
      <c r="AGK52" s="82">
        <v>130000000</v>
      </c>
      <c r="AGL52" s="82">
        <v>130000000</v>
      </c>
      <c r="AGM52" s="82">
        <v>130000000</v>
      </c>
      <c r="AGN52" s="82">
        <v>130000000</v>
      </c>
      <c r="AGO52" s="82">
        <v>130000000</v>
      </c>
      <c r="AGP52" s="82">
        <v>130000000</v>
      </c>
      <c r="AGQ52" s="82">
        <v>130000000</v>
      </c>
      <c r="AGR52" s="82">
        <v>130000000</v>
      </c>
      <c r="AGS52" s="82">
        <v>130000000</v>
      </c>
      <c r="AGT52" s="82">
        <v>130000000</v>
      </c>
      <c r="AGU52" s="82">
        <v>130000000</v>
      </c>
      <c r="AGV52" s="82">
        <v>130000000</v>
      </c>
      <c r="AGW52" s="82">
        <v>130000000</v>
      </c>
      <c r="AGX52" s="82">
        <v>130000000</v>
      </c>
      <c r="AGY52" s="133"/>
      <c r="AGZ52" s="82">
        <v>130000000</v>
      </c>
      <c r="AHA52" s="82">
        <v>130000000</v>
      </c>
      <c r="AHB52" s="82">
        <v>130000000</v>
      </c>
      <c r="AHC52" s="82">
        <v>130000000</v>
      </c>
      <c r="AHD52" s="82">
        <v>130000000</v>
      </c>
      <c r="AHE52" s="82">
        <v>130000000</v>
      </c>
      <c r="AHF52" s="82">
        <v>130000000</v>
      </c>
      <c r="AHG52" s="82">
        <v>130000000</v>
      </c>
      <c r="AHH52" s="82">
        <v>130000000</v>
      </c>
      <c r="AHI52" s="82">
        <v>130000000</v>
      </c>
      <c r="AHJ52" s="82">
        <v>130000000</v>
      </c>
      <c r="AHK52" s="82">
        <v>130000000</v>
      </c>
      <c r="AHL52" s="82">
        <v>130000000</v>
      </c>
      <c r="AHM52" s="82">
        <v>130000000</v>
      </c>
      <c r="AHN52" s="82">
        <v>130000000</v>
      </c>
      <c r="AHO52" s="82">
        <v>130000000</v>
      </c>
      <c r="AHP52" s="82">
        <v>130000000</v>
      </c>
      <c r="AHQ52" s="82">
        <v>130000000</v>
      </c>
      <c r="AHR52" s="82">
        <v>130000000</v>
      </c>
      <c r="AHS52" s="82">
        <v>130000000</v>
      </c>
      <c r="AHT52" s="82">
        <v>130000000</v>
      </c>
      <c r="AHU52" s="82">
        <v>130000000</v>
      </c>
      <c r="AHV52" s="82">
        <v>130000000</v>
      </c>
      <c r="AHW52" s="82">
        <v>130000000</v>
      </c>
      <c r="AHX52" s="82">
        <v>130000000</v>
      </c>
      <c r="AHY52" s="82">
        <v>130000000</v>
      </c>
      <c r="AHZ52" s="82">
        <v>130000000</v>
      </c>
      <c r="AIA52" s="82">
        <v>130000000</v>
      </c>
      <c r="AIB52" s="82">
        <v>130000000</v>
      </c>
      <c r="AIC52" s="82">
        <v>130000000</v>
      </c>
      <c r="AID52" s="82">
        <v>130000000</v>
      </c>
      <c r="AIE52" s="130"/>
      <c r="AIF52" s="82">
        <v>130000000</v>
      </c>
      <c r="AIG52" s="82">
        <v>130000000</v>
      </c>
      <c r="AIH52" s="82">
        <v>130000000</v>
      </c>
      <c r="AII52" s="82">
        <v>130000000</v>
      </c>
      <c r="AIJ52" s="82">
        <v>130000000</v>
      </c>
      <c r="AIK52" s="82">
        <v>130000000</v>
      </c>
      <c r="AIL52" s="82">
        <v>130000000</v>
      </c>
      <c r="AIM52" s="82">
        <v>130000000</v>
      </c>
      <c r="AIN52" s="82">
        <v>130000000</v>
      </c>
      <c r="AIO52" s="82">
        <v>130000000</v>
      </c>
      <c r="AIP52" s="82">
        <v>130000000</v>
      </c>
      <c r="AIQ52" s="82">
        <v>130000000</v>
      </c>
      <c r="AIR52" s="82">
        <v>130000000</v>
      </c>
      <c r="AIS52" s="82">
        <v>130000000</v>
      </c>
      <c r="AIT52" s="82">
        <v>130000000</v>
      </c>
      <c r="AIU52" s="82">
        <v>130000000</v>
      </c>
      <c r="AIV52" s="82">
        <v>130000000</v>
      </c>
      <c r="AIW52" s="82">
        <v>130000000</v>
      </c>
      <c r="AIX52" s="82">
        <v>130000000</v>
      </c>
      <c r="AIY52" s="82">
        <v>130000000</v>
      </c>
      <c r="AIZ52" s="82">
        <v>130000000</v>
      </c>
      <c r="AJA52" s="82">
        <v>130000000</v>
      </c>
      <c r="AJB52" s="82">
        <v>130000000</v>
      </c>
      <c r="AJC52" s="82">
        <v>130000000</v>
      </c>
      <c r="AJD52" s="82">
        <v>130000000</v>
      </c>
      <c r="AJE52" s="82">
        <v>130000000</v>
      </c>
      <c r="AJF52" s="82">
        <v>130000000</v>
      </c>
      <c r="AJG52" s="82">
        <v>130000000</v>
      </c>
      <c r="AJH52" s="82">
        <v>130000000</v>
      </c>
      <c r="AJI52" s="82">
        <v>130000000</v>
      </c>
      <c r="AJJ52" s="82">
        <v>130000000</v>
      </c>
      <c r="AJK52" s="145"/>
      <c r="AJL52" s="82">
        <v>130000000</v>
      </c>
      <c r="AJM52" s="82">
        <v>130000000</v>
      </c>
      <c r="AJN52" s="82">
        <v>130000000</v>
      </c>
      <c r="AJO52" s="82">
        <v>130000000</v>
      </c>
      <c r="AJP52" s="82">
        <v>130000000</v>
      </c>
      <c r="AJQ52" s="82">
        <v>130000000</v>
      </c>
      <c r="AJR52" s="82">
        <v>130000000</v>
      </c>
      <c r="AJS52" s="82">
        <v>130000000</v>
      </c>
      <c r="AJT52" s="82">
        <v>130000000</v>
      </c>
      <c r="AJU52" s="82">
        <v>130000000</v>
      </c>
      <c r="AJV52" s="82">
        <v>130000000</v>
      </c>
      <c r="AJW52" s="82">
        <v>130000000</v>
      </c>
      <c r="AJX52" s="82">
        <v>130000000</v>
      </c>
      <c r="AJY52" s="82">
        <v>130000000</v>
      </c>
      <c r="AJZ52" s="82">
        <v>130000000</v>
      </c>
      <c r="AKA52" s="82">
        <v>130000000</v>
      </c>
      <c r="AKB52" s="82">
        <v>130000000</v>
      </c>
      <c r="AKC52" s="82">
        <v>130000000</v>
      </c>
      <c r="AKD52" s="82">
        <v>130000000</v>
      </c>
      <c r="AKE52" s="82">
        <v>130000000</v>
      </c>
      <c r="AKF52" s="82">
        <v>130000000</v>
      </c>
      <c r="AKG52" s="82">
        <v>130000000</v>
      </c>
      <c r="AKH52" s="82">
        <v>130000000</v>
      </c>
      <c r="AKI52" s="82">
        <v>130000000</v>
      </c>
      <c r="AKJ52" s="82">
        <v>130000000</v>
      </c>
      <c r="AKK52" s="82">
        <v>130000000</v>
      </c>
      <c r="AKL52" s="82">
        <v>130000000</v>
      </c>
      <c r="AKM52" s="82">
        <v>130000000</v>
      </c>
      <c r="AKN52" s="112"/>
      <c r="AKO52" s="82">
        <v>130000000</v>
      </c>
      <c r="AKP52" s="82">
        <v>130000000</v>
      </c>
      <c r="AKQ52" s="82">
        <v>130000000</v>
      </c>
      <c r="AKR52" s="82">
        <v>130000000</v>
      </c>
      <c r="AKS52" s="82">
        <v>130000000</v>
      </c>
      <c r="AKT52" s="82">
        <v>130000000</v>
      </c>
      <c r="AKU52" s="82">
        <v>130000000</v>
      </c>
      <c r="AKV52" s="82">
        <v>130000000</v>
      </c>
      <c r="AKW52" s="82">
        <v>130000000</v>
      </c>
      <c r="AKX52" s="82">
        <v>130000000</v>
      </c>
      <c r="AKY52" s="82">
        <v>130000000</v>
      </c>
      <c r="AKZ52" s="82">
        <v>130000000</v>
      </c>
      <c r="ALA52" s="82">
        <v>130000000</v>
      </c>
      <c r="ALB52" s="82">
        <v>130000000</v>
      </c>
      <c r="ALC52" s="82">
        <v>130000000</v>
      </c>
      <c r="ALD52" s="82">
        <v>130000000</v>
      </c>
      <c r="ALE52" s="82">
        <v>130000000</v>
      </c>
      <c r="ALF52" s="82">
        <v>130000000</v>
      </c>
      <c r="ALG52" s="82">
        <v>130000000</v>
      </c>
      <c r="ALH52" s="82">
        <v>130000000</v>
      </c>
      <c r="ALI52" s="82">
        <v>130000000</v>
      </c>
      <c r="ALJ52" s="82">
        <v>130000000</v>
      </c>
      <c r="ALK52" s="82">
        <v>130000000</v>
      </c>
      <c r="ALL52" s="82">
        <v>130000000</v>
      </c>
      <c r="ALM52" s="82">
        <v>130000000</v>
      </c>
      <c r="ALN52" s="82">
        <v>130000000</v>
      </c>
      <c r="ALO52" s="82">
        <v>130000000</v>
      </c>
      <c r="ALP52" s="82">
        <v>130000000</v>
      </c>
      <c r="ALQ52" s="82">
        <v>130000000</v>
      </c>
      <c r="ALR52" s="82">
        <v>130000000</v>
      </c>
      <c r="ALS52" s="82">
        <v>130000000</v>
      </c>
      <c r="ALT52" s="130"/>
      <c r="ALU52" s="82">
        <v>130000000</v>
      </c>
      <c r="ALV52" s="82">
        <v>130000000</v>
      </c>
      <c r="ALW52" s="82">
        <v>130000000</v>
      </c>
      <c r="ALX52" s="82">
        <v>130000000</v>
      </c>
      <c r="ALY52" s="82">
        <v>130000000</v>
      </c>
      <c r="ALZ52" s="82">
        <v>130000000</v>
      </c>
      <c r="AMA52" s="82">
        <v>130000000</v>
      </c>
      <c r="AMB52" s="82">
        <v>130000000</v>
      </c>
      <c r="AMC52" s="82">
        <v>130000000</v>
      </c>
      <c r="AMD52" s="82">
        <v>130000000</v>
      </c>
      <c r="AME52" s="82">
        <v>130000000</v>
      </c>
      <c r="AMF52" s="82">
        <v>130000000</v>
      </c>
      <c r="AMG52" s="82">
        <v>130000000</v>
      </c>
      <c r="AMH52" s="82">
        <v>130000000</v>
      </c>
      <c r="AMI52" s="82">
        <v>130000000</v>
      </c>
      <c r="AMJ52" s="82">
        <v>130000000</v>
      </c>
      <c r="AMK52" s="82">
        <v>130000000</v>
      </c>
      <c r="AML52" s="82">
        <v>130000000</v>
      </c>
      <c r="AMM52" s="82">
        <v>130000000</v>
      </c>
      <c r="AMN52" s="82">
        <v>130000000</v>
      </c>
      <c r="AMO52" s="82">
        <v>130000000</v>
      </c>
      <c r="AMP52" s="82">
        <v>130000000</v>
      </c>
      <c r="AMQ52" s="82">
        <v>130000000</v>
      </c>
      <c r="AMR52" s="82">
        <v>130000000</v>
      </c>
      <c r="AMS52" s="82">
        <v>130000000</v>
      </c>
      <c r="AMT52" s="82">
        <v>130000000</v>
      </c>
      <c r="AMU52" s="82">
        <v>130000000</v>
      </c>
      <c r="AMV52" s="82">
        <v>130000000</v>
      </c>
      <c r="AMW52" s="82">
        <v>130000000</v>
      </c>
      <c r="AMX52" s="82">
        <v>130000000</v>
      </c>
      <c r="AMY52" s="130"/>
      <c r="AMZ52" s="82">
        <v>130000000</v>
      </c>
      <c r="ANA52" s="82">
        <v>130000000</v>
      </c>
      <c r="ANB52" s="82">
        <v>130000000</v>
      </c>
      <c r="ANC52" s="82">
        <v>130000000</v>
      </c>
      <c r="AND52" s="82">
        <v>130000000</v>
      </c>
      <c r="ANE52" s="82">
        <v>130000000</v>
      </c>
      <c r="ANF52" s="82">
        <v>130000000</v>
      </c>
      <c r="ANG52" s="82">
        <v>130000000</v>
      </c>
      <c r="ANH52" s="82">
        <v>130000000</v>
      </c>
      <c r="ANI52" s="82">
        <v>130000000</v>
      </c>
      <c r="ANJ52" s="82">
        <v>130000000</v>
      </c>
      <c r="ANK52" s="82">
        <v>130000000</v>
      </c>
      <c r="ANL52" s="82">
        <v>130000000</v>
      </c>
      <c r="ANM52" s="82">
        <v>130000000</v>
      </c>
      <c r="ANN52" s="82">
        <v>130000000</v>
      </c>
      <c r="ANO52" s="82">
        <v>130000000</v>
      </c>
      <c r="ANP52" s="82">
        <v>130000000</v>
      </c>
      <c r="ANQ52" s="82">
        <v>130000000</v>
      </c>
      <c r="ANR52" s="82">
        <v>130000000</v>
      </c>
      <c r="ANS52" s="82">
        <v>130000000</v>
      </c>
      <c r="ANT52" s="82">
        <v>130000000</v>
      </c>
      <c r="ANU52" s="82">
        <v>130000000</v>
      </c>
      <c r="ANV52" s="82">
        <v>130000000</v>
      </c>
      <c r="ANW52" s="82">
        <v>130000000</v>
      </c>
      <c r="ANX52" s="82">
        <v>130000000</v>
      </c>
      <c r="ANY52" s="82">
        <v>130000000</v>
      </c>
      <c r="ANZ52" s="82">
        <v>130000000</v>
      </c>
      <c r="AOA52" s="82">
        <v>130000000</v>
      </c>
      <c r="AOB52" s="82">
        <v>130000000</v>
      </c>
      <c r="AOC52" s="82">
        <v>130000000</v>
      </c>
    </row>
    <row r="53" spans="1:1069" x14ac:dyDescent="0.2">
      <c r="B53" s="4" t="s">
        <v>1684</v>
      </c>
      <c r="C53" s="75">
        <f t="shared" ref="C53:AH53" si="1261">C51-C52</f>
        <v>696459.69999998808</v>
      </c>
      <c r="D53" s="75">
        <f t="shared" si="1261"/>
        <v>-1163985.999999702</v>
      </c>
      <c r="E53" s="75">
        <f t="shared" si="1261"/>
        <v>-1690596.1999999285</v>
      </c>
      <c r="F53" s="75">
        <f t="shared" si="1261"/>
        <v>-1407264.0199996233</v>
      </c>
      <c r="G53" s="75">
        <f t="shared" si="1261"/>
        <v>-2059107.8499997258</v>
      </c>
      <c r="H53" s="75">
        <f t="shared" si="1261"/>
        <v>-1751586.2499997616</v>
      </c>
      <c r="I53" s="75">
        <f t="shared" si="1261"/>
        <v>-1160431.2499997616</v>
      </c>
      <c r="J53" s="75">
        <f t="shared" si="1261"/>
        <v>-1212320.2499997616</v>
      </c>
      <c r="K53" s="75">
        <f t="shared" si="1261"/>
        <v>-1823059.2499997616</v>
      </c>
      <c r="L53" s="75">
        <f t="shared" si="1261"/>
        <v>-1412059.2499997616</v>
      </c>
      <c r="M53" s="75">
        <f t="shared" si="1261"/>
        <v>-1058249.2499997616</v>
      </c>
      <c r="N53" s="75">
        <f t="shared" si="1261"/>
        <v>-974478.24999976158</v>
      </c>
      <c r="O53" s="75">
        <f t="shared" si="1261"/>
        <v>-518169.24999976158</v>
      </c>
      <c r="P53" s="75">
        <f t="shared" si="1261"/>
        <v>-386335.24999973178</v>
      </c>
      <c r="Q53" s="75">
        <f t="shared" si="1261"/>
        <v>17173.750000238419</v>
      </c>
      <c r="R53" s="75">
        <f t="shared" si="1261"/>
        <v>835092.75000023842</v>
      </c>
      <c r="S53" s="75">
        <f t="shared" si="1261"/>
        <v>650055.75000023842</v>
      </c>
      <c r="T53" s="75">
        <f t="shared" si="1261"/>
        <v>896427.75000026822</v>
      </c>
      <c r="U53" s="75">
        <f t="shared" si="1261"/>
        <v>846439.75000026822</v>
      </c>
      <c r="V53" s="75">
        <f t="shared" si="1261"/>
        <v>1625516.7500002682</v>
      </c>
      <c r="W53" s="75">
        <f t="shared" si="1261"/>
        <v>2471289.7500002384</v>
      </c>
      <c r="X53" s="75">
        <f t="shared" si="1261"/>
        <v>1162874.7500002384</v>
      </c>
      <c r="Y53" s="75">
        <f t="shared" si="1261"/>
        <v>2153287.7500002384</v>
      </c>
      <c r="Z53" s="75">
        <f t="shared" si="1261"/>
        <v>2160389.7500002384</v>
      </c>
      <c r="AA53" s="75">
        <f t="shared" si="1261"/>
        <v>2534272.7500002384</v>
      </c>
      <c r="AB53" s="75">
        <f t="shared" si="1261"/>
        <v>2659791.7500002384</v>
      </c>
      <c r="AC53" s="75">
        <f t="shared" si="1261"/>
        <v>2861124.7500002384</v>
      </c>
      <c r="AD53" s="75">
        <f t="shared" si="1261"/>
        <v>3308843.7500002384</v>
      </c>
      <c r="AE53" s="75">
        <f t="shared" si="1261"/>
        <v>3780059.7500002384</v>
      </c>
      <c r="AF53" s="75">
        <f t="shared" si="1261"/>
        <v>4355218.7500002384</v>
      </c>
      <c r="AG53" s="75">
        <f t="shared" si="1261"/>
        <v>4776988.7500002682</v>
      </c>
      <c r="AH53" s="99">
        <f t="shared" si="1261"/>
        <v>4776988.7500002682</v>
      </c>
      <c r="AI53" s="75">
        <f t="shared" ref="AI53:BN53" si="1262">AI51-AI52</f>
        <v>-42554.249999761581</v>
      </c>
      <c r="AJ53" s="75">
        <f t="shared" si="1262"/>
        <v>673104.75000023842</v>
      </c>
      <c r="AK53" s="75">
        <f t="shared" si="1262"/>
        <v>1034071.7500002384</v>
      </c>
      <c r="AL53" s="75">
        <f t="shared" si="1262"/>
        <v>-666908.24999976158</v>
      </c>
      <c r="AM53" s="75">
        <f t="shared" si="1262"/>
        <v>-493542.24999976158</v>
      </c>
      <c r="AN53" s="75">
        <f t="shared" si="1262"/>
        <v>-1611761.2499997616</v>
      </c>
      <c r="AO53" s="75">
        <f t="shared" si="1262"/>
        <v>-820182.24999976158</v>
      </c>
      <c r="AP53" s="75">
        <f t="shared" si="1262"/>
        <v>-503807.24999976158</v>
      </c>
      <c r="AQ53" s="75">
        <f t="shared" si="1262"/>
        <v>-661999.24999976158</v>
      </c>
      <c r="AR53" s="75">
        <f t="shared" si="1262"/>
        <v>-373503.24999976158</v>
      </c>
      <c r="AS53" s="75">
        <f t="shared" si="1262"/>
        <v>-63153.249999761581</v>
      </c>
      <c r="AT53" s="75">
        <f t="shared" si="1262"/>
        <v>658302.75000023842</v>
      </c>
      <c r="AU53" s="75">
        <f t="shared" si="1262"/>
        <v>1509019.7500002384</v>
      </c>
      <c r="AV53" s="75">
        <f t="shared" si="1262"/>
        <v>510315.75000023842</v>
      </c>
      <c r="AW53" s="75">
        <f t="shared" si="1262"/>
        <v>959153.75000023842</v>
      </c>
      <c r="AX53" s="75">
        <f t="shared" si="1262"/>
        <v>1072318.7500002384</v>
      </c>
      <c r="AY53" s="75">
        <f t="shared" si="1262"/>
        <v>850827.75000023842</v>
      </c>
      <c r="AZ53" s="75">
        <f t="shared" si="1262"/>
        <v>1496464.7500002384</v>
      </c>
      <c r="BA53" s="75">
        <f t="shared" si="1262"/>
        <v>1559402.7500002384</v>
      </c>
      <c r="BB53" s="75">
        <f t="shared" si="1262"/>
        <v>1119415.7500002384</v>
      </c>
      <c r="BC53" s="75">
        <f t="shared" si="1262"/>
        <v>1621128.7500002384</v>
      </c>
      <c r="BD53" s="75">
        <f t="shared" si="1262"/>
        <v>2023568.7500002384</v>
      </c>
      <c r="BE53" s="75">
        <f t="shared" si="1262"/>
        <v>2114204.7500002384</v>
      </c>
      <c r="BF53" s="75">
        <f t="shared" si="1262"/>
        <v>2309096.7500002384</v>
      </c>
      <c r="BG53" s="75">
        <f t="shared" si="1262"/>
        <v>2676373.7500002384</v>
      </c>
      <c r="BH53" s="75">
        <f t="shared" si="1262"/>
        <v>3076854.7500002384</v>
      </c>
      <c r="BI53" s="75">
        <f t="shared" si="1262"/>
        <v>3481525.7500002384</v>
      </c>
      <c r="BJ53" s="75">
        <f t="shared" si="1262"/>
        <v>3812276.7500002384</v>
      </c>
      <c r="BK53" s="75">
        <f t="shared" si="1262"/>
        <v>6082976.7500002384</v>
      </c>
      <c r="BL53" s="75">
        <f t="shared" si="1262"/>
        <v>4372893.7500002384</v>
      </c>
      <c r="BM53" s="75">
        <f t="shared" si="1262"/>
        <v>4372893.7500002384</v>
      </c>
      <c r="BN53" s="75">
        <f t="shared" si="1262"/>
        <v>-434746.24999976158</v>
      </c>
      <c r="BO53" s="75">
        <f t="shared" ref="BO53:CT53" si="1263">BO51-BO52</f>
        <v>-42020.249999761581</v>
      </c>
      <c r="BP53" s="75">
        <f t="shared" si="1263"/>
        <v>-3642721.2499997616</v>
      </c>
      <c r="BQ53" s="75">
        <f t="shared" si="1263"/>
        <v>-3416052.2499997616</v>
      </c>
      <c r="BR53" s="75">
        <f t="shared" si="1263"/>
        <v>-2815824.2499997616</v>
      </c>
      <c r="BS53" s="75">
        <f t="shared" si="1263"/>
        <v>-2749235.2499997616</v>
      </c>
      <c r="BT53" s="75">
        <f t="shared" si="1263"/>
        <v>-2114124.2499997616</v>
      </c>
      <c r="BU53" s="75">
        <f t="shared" si="1263"/>
        <v>-1633517.2499997616</v>
      </c>
      <c r="BV53" s="75">
        <f t="shared" si="1263"/>
        <v>-1295194.2499997616</v>
      </c>
      <c r="BW53" s="75">
        <f t="shared" si="1263"/>
        <v>-1547739.2499997616</v>
      </c>
      <c r="BX53" s="75">
        <f t="shared" si="1263"/>
        <v>-1259372.2499997616</v>
      </c>
      <c r="BY53" s="75">
        <f t="shared" si="1263"/>
        <v>-71282304.249999762</v>
      </c>
      <c r="BZ53" s="75">
        <f t="shared" si="1263"/>
        <v>-369042.24999976158</v>
      </c>
      <c r="CA53" s="75">
        <f t="shared" si="1263"/>
        <v>-777414.24999976158</v>
      </c>
      <c r="CB53" s="75">
        <f t="shared" si="1263"/>
        <v>-542029.24999976158</v>
      </c>
      <c r="CC53" s="75">
        <f t="shared" si="1263"/>
        <v>-316553.24999976158</v>
      </c>
      <c r="CD53" s="75">
        <f t="shared" si="1263"/>
        <v>-183559.24999976158</v>
      </c>
      <c r="CE53" s="75">
        <f t="shared" si="1263"/>
        <v>-456386.24999976158</v>
      </c>
      <c r="CF53" s="75">
        <f t="shared" si="1263"/>
        <v>-50890.249999761581</v>
      </c>
      <c r="CG53" s="75">
        <f t="shared" si="1263"/>
        <v>261833.75000023842</v>
      </c>
      <c r="CH53" s="75">
        <f t="shared" si="1263"/>
        <v>360029.75000023842</v>
      </c>
      <c r="CI53" s="75">
        <f t="shared" si="1263"/>
        <v>701739.75000023842</v>
      </c>
      <c r="CJ53" s="75">
        <f t="shared" si="1263"/>
        <v>914909.75000023842</v>
      </c>
      <c r="CK53" s="75">
        <f t="shared" si="1263"/>
        <v>1356526.7500002384</v>
      </c>
      <c r="CL53" s="75">
        <f t="shared" si="1263"/>
        <v>1452943.7500002384</v>
      </c>
      <c r="CM53" s="75">
        <f t="shared" si="1263"/>
        <v>1920043.7500002384</v>
      </c>
      <c r="CN53" s="75">
        <f t="shared" si="1263"/>
        <v>2095912.7500002384</v>
      </c>
      <c r="CO53" s="75">
        <f t="shared" si="1263"/>
        <v>311224.75000023842</v>
      </c>
      <c r="CP53" s="75">
        <f t="shared" si="1263"/>
        <v>2077155.7500002384</v>
      </c>
      <c r="CQ53" s="75">
        <f t="shared" si="1263"/>
        <v>2292767.7500002384</v>
      </c>
      <c r="CR53" s="75">
        <f t="shared" si="1263"/>
        <v>2346668.7500002384</v>
      </c>
      <c r="CT53" s="75">
        <f t="shared" ref="CT53:DY53" si="1264">CT51-CT52</f>
        <v>240040.75000023842</v>
      </c>
      <c r="CU53" s="75">
        <f t="shared" si="1264"/>
        <v>66375.750000238419</v>
      </c>
      <c r="CV53" s="75">
        <f t="shared" si="1264"/>
        <v>-2359425.2499997616</v>
      </c>
      <c r="CW53" s="75">
        <f t="shared" si="1264"/>
        <v>-2107625.2499997616</v>
      </c>
      <c r="CX53" s="75">
        <f t="shared" si="1264"/>
        <v>-1687861.2499997318</v>
      </c>
      <c r="CY53" s="75">
        <f t="shared" si="1264"/>
        <v>-1127901.2499997318</v>
      </c>
      <c r="CZ53" s="75">
        <f t="shared" si="1264"/>
        <v>-2308197.2499997616</v>
      </c>
      <c r="DA53" s="75">
        <f t="shared" si="1264"/>
        <v>-2549332.2499997616</v>
      </c>
      <c r="DB53" s="75">
        <f t="shared" si="1264"/>
        <v>-3118728.2499997616</v>
      </c>
      <c r="DC53" s="75">
        <f t="shared" si="1264"/>
        <v>-2859724.2499997616</v>
      </c>
      <c r="DD53" s="75">
        <f t="shared" si="1264"/>
        <v>-2440930.2499997616</v>
      </c>
      <c r="DE53" s="75">
        <f t="shared" si="1264"/>
        <v>-2295029.2499997616</v>
      </c>
      <c r="DF53" s="75">
        <f t="shared" si="1264"/>
        <v>-1964048.2499997318</v>
      </c>
      <c r="DG53" s="75">
        <f t="shared" si="1264"/>
        <v>-1834774.2499997318</v>
      </c>
      <c r="DH53" s="75">
        <f t="shared" si="1264"/>
        <v>-1541824.2499997616</v>
      </c>
      <c r="DI53" s="75">
        <f t="shared" si="1264"/>
        <v>-1653188.2499997616</v>
      </c>
      <c r="DJ53" s="75">
        <f t="shared" si="1264"/>
        <v>-1593233.2499997616</v>
      </c>
      <c r="DK53" s="75">
        <f t="shared" si="1264"/>
        <v>-953069.24999976158</v>
      </c>
      <c r="DL53" s="75">
        <f t="shared" si="1264"/>
        <v>-994633.24999976158</v>
      </c>
      <c r="DM53" s="75">
        <f t="shared" si="1264"/>
        <v>-742319.24999976158</v>
      </c>
      <c r="DN53" s="75">
        <f t="shared" si="1264"/>
        <v>-543015.24999976158</v>
      </c>
      <c r="DO53" s="75">
        <f t="shared" si="1264"/>
        <v>-301050.24999976158</v>
      </c>
      <c r="DP53" s="75">
        <f t="shared" si="1264"/>
        <v>-217685.24999976158</v>
      </c>
      <c r="DQ53" s="75">
        <f t="shared" si="1264"/>
        <v>84820.750000238419</v>
      </c>
      <c r="DR53" s="75">
        <f t="shared" si="1264"/>
        <v>1113716.7500002384</v>
      </c>
      <c r="DS53" s="75">
        <f t="shared" si="1264"/>
        <v>794517.75000023842</v>
      </c>
      <c r="DT53" s="75">
        <f t="shared" si="1264"/>
        <v>784244.75000023842</v>
      </c>
      <c r="DU53" s="75">
        <f t="shared" si="1264"/>
        <v>514113.75000023842</v>
      </c>
      <c r="DV53" s="75">
        <f t="shared" si="1264"/>
        <v>449136.75000023842</v>
      </c>
      <c r="DW53" s="75">
        <f t="shared" si="1264"/>
        <v>1404134.7500002384</v>
      </c>
      <c r="DX53" s="75">
        <f t="shared" si="1264"/>
        <v>92621923.750000238</v>
      </c>
      <c r="DY53" s="75">
        <f t="shared" si="1264"/>
        <v>35425.750000238419</v>
      </c>
      <c r="DZ53" s="75">
        <f t="shared" ref="DZ53:FE53" si="1265">DZ51-DZ52</f>
        <v>436447.75000023842</v>
      </c>
      <c r="EA53" s="75">
        <f t="shared" si="1265"/>
        <v>837533.75000023842</v>
      </c>
      <c r="EB53" s="75">
        <f t="shared" si="1265"/>
        <v>-1026551.2499997616</v>
      </c>
      <c r="EC53" s="75">
        <f t="shared" si="1265"/>
        <v>-2193236.2499997616</v>
      </c>
      <c r="ED53" s="75">
        <f t="shared" si="1265"/>
        <v>-2121558.2499997616</v>
      </c>
      <c r="EE53" s="75">
        <f t="shared" si="1265"/>
        <v>-634134.24999976158</v>
      </c>
      <c r="EF53" s="75">
        <f t="shared" si="1265"/>
        <v>-194911.24999976158</v>
      </c>
      <c r="EG53" s="75">
        <f t="shared" si="1265"/>
        <v>-2223057.2499997616</v>
      </c>
      <c r="EH53" s="75">
        <f t="shared" si="1265"/>
        <v>-2086964.2499997616</v>
      </c>
      <c r="EI53" s="75">
        <f t="shared" si="1265"/>
        <v>-3180629.2499997318</v>
      </c>
      <c r="EJ53" s="75">
        <f t="shared" si="1265"/>
        <v>-3278182.2499997318</v>
      </c>
      <c r="EK53" s="75">
        <f t="shared" si="1265"/>
        <v>-2923409.2499997616</v>
      </c>
      <c r="EL53" s="75">
        <f t="shared" si="1265"/>
        <v>-3331200.2499997318</v>
      </c>
      <c r="EM53" s="75">
        <f t="shared" si="1265"/>
        <v>-3271503.2499997616</v>
      </c>
      <c r="EN53" s="75">
        <f t="shared" si="1265"/>
        <v>-2529178.2499997616</v>
      </c>
      <c r="EO53" s="75">
        <f t="shared" si="1265"/>
        <v>-2421221.2499997616</v>
      </c>
      <c r="EP53" s="75">
        <f t="shared" si="1265"/>
        <v>-4490585.2499997318</v>
      </c>
      <c r="EQ53" s="75">
        <f t="shared" si="1265"/>
        <v>-4251710.2499997616</v>
      </c>
      <c r="ER53" s="75">
        <f t="shared" si="1265"/>
        <v>-3341818.2499997616</v>
      </c>
      <c r="ES53" s="75">
        <f t="shared" si="1265"/>
        <v>-3161825.2499997616</v>
      </c>
      <c r="ET53" s="75">
        <f t="shared" si="1265"/>
        <v>-2514392.2499997616</v>
      </c>
      <c r="EU53" s="75">
        <f t="shared" si="1265"/>
        <v>-1859480.2499997616</v>
      </c>
      <c r="EV53" s="75">
        <f t="shared" si="1265"/>
        <v>-1530810.2499997616</v>
      </c>
      <c r="EW53" s="75">
        <f t="shared" si="1265"/>
        <v>-1205611.2499997616</v>
      </c>
      <c r="EX53" s="75">
        <f t="shared" si="1265"/>
        <v>-1037631.2499997616</v>
      </c>
      <c r="EY53" s="75">
        <f t="shared" si="1265"/>
        <v>-596502.24999976158</v>
      </c>
      <c r="EZ53" s="75">
        <f t="shared" si="1265"/>
        <v>-469974.24999976158</v>
      </c>
      <c r="FA53" s="75">
        <f t="shared" si="1265"/>
        <v>-747788.24999976158</v>
      </c>
      <c r="FB53" s="75">
        <f t="shared" si="1265"/>
        <v>-656907.24999976158</v>
      </c>
      <c r="FC53" s="75">
        <f t="shared" si="1265"/>
        <v>-1889461.2499997616</v>
      </c>
      <c r="FD53" s="126"/>
      <c r="FE53" s="75">
        <f t="shared" ref="FE53:GI53" si="1266">FE51-FE52</f>
        <v>-1434974.2499997616</v>
      </c>
      <c r="FF53" s="75">
        <f t="shared" si="1266"/>
        <v>-2180674.2499997616</v>
      </c>
      <c r="FG53" s="75">
        <f t="shared" si="1266"/>
        <v>-1898467.2499997616</v>
      </c>
      <c r="FH53" s="75">
        <f t="shared" si="1266"/>
        <v>-2249291.2499997318</v>
      </c>
      <c r="FI53" s="75">
        <f t="shared" si="1266"/>
        <v>-2169629.2499997318</v>
      </c>
      <c r="FJ53" s="75">
        <f t="shared" si="1266"/>
        <v>-1986087.2499997616</v>
      </c>
      <c r="FK53" s="75">
        <f t="shared" si="1266"/>
        <v>-1588627.2499997616</v>
      </c>
      <c r="FL53" s="75">
        <f t="shared" si="1266"/>
        <v>-1286459.2499997318</v>
      </c>
      <c r="FM53" s="75">
        <f t="shared" si="1266"/>
        <v>-786687.24999973178</v>
      </c>
      <c r="FN53" s="75">
        <f t="shared" si="1266"/>
        <v>-2150018.2499997318</v>
      </c>
      <c r="FO53" s="75">
        <f t="shared" si="1266"/>
        <v>-2021224.2499997616</v>
      </c>
      <c r="FP53" s="75">
        <f t="shared" si="1266"/>
        <v>-1945554.2499997616</v>
      </c>
      <c r="FQ53" s="75">
        <f t="shared" si="1266"/>
        <v>-1533245.2499997616</v>
      </c>
      <c r="FR53" s="75">
        <f t="shared" si="1266"/>
        <v>-1053175.2499997616</v>
      </c>
      <c r="FS53" s="75">
        <f t="shared" si="1266"/>
        <v>-790902.24999973178</v>
      </c>
      <c r="FT53" s="75">
        <f t="shared" si="1266"/>
        <v>-614794.24999973178</v>
      </c>
      <c r="FU53" s="75">
        <f t="shared" si="1266"/>
        <v>-795342.24999976158</v>
      </c>
      <c r="FV53" s="75">
        <f t="shared" si="1266"/>
        <v>-857149.24999976158</v>
      </c>
      <c r="FW53" s="75">
        <f t="shared" si="1266"/>
        <v>-634308.24999976158</v>
      </c>
      <c r="FX53" s="75">
        <f t="shared" si="1266"/>
        <v>-143332.24999976158</v>
      </c>
      <c r="FY53" s="75">
        <f t="shared" si="1266"/>
        <v>-16026.249999761581</v>
      </c>
      <c r="FZ53" s="75">
        <f t="shared" si="1266"/>
        <v>68270.750000238419</v>
      </c>
      <c r="GA53" s="75">
        <f t="shared" si="1266"/>
        <v>575944.75000023842</v>
      </c>
      <c r="GB53" s="75">
        <f t="shared" si="1266"/>
        <v>522130.75000023842</v>
      </c>
      <c r="GC53" s="75">
        <f t="shared" si="1266"/>
        <v>774726.75000023842</v>
      </c>
      <c r="GD53" s="75">
        <f t="shared" si="1266"/>
        <v>1247479.7500002384</v>
      </c>
      <c r="GE53" s="75">
        <f t="shared" si="1266"/>
        <v>1366327.7500002384</v>
      </c>
      <c r="GF53" s="75">
        <f t="shared" si="1266"/>
        <v>2043145.7500002384</v>
      </c>
      <c r="GG53" s="75">
        <f t="shared" si="1266"/>
        <v>2186980.7500002384</v>
      </c>
      <c r="GH53" s="75">
        <f t="shared" si="1266"/>
        <v>2476860.7500002384</v>
      </c>
      <c r="GI53" s="75">
        <f t="shared" si="1266"/>
        <v>2001291.7500002384</v>
      </c>
      <c r="GJ53" s="130"/>
      <c r="GK53" s="75">
        <f t="shared" ref="GK53:HM53" si="1267">GK51-GK52</f>
        <v>-257198.24999976158</v>
      </c>
      <c r="GL53" s="75">
        <f t="shared" si="1267"/>
        <v>33477.750000238419</v>
      </c>
      <c r="GM53" s="75">
        <f t="shared" si="1267"/>
        <v>511224.75000023842</v>
      </c>
      <c r="GN53" s="75">
        <f t="shared" si="1267"/>
        <v>763530.75000023842</v>
      </c>
      <c r="GO53" s="75">
        <f t="shared" si="1267"/>
        <v>-1405721.2499997616</v>
      </c>
      <c r="GP53" s="75">
        <f t="shared" si="1267"/>
        <v>-2274944.2499997616</v>
      </c>
      <c r="GQ53" s="75">
        <f t="shared" si="1267"/>
        <v>-2263478.2499997616</v>
      </c>
      <c r="GR53" s="75">
        <f t="shared" si="1267"/>
        <v>-2399049.2499997616</v>
      </c>
      <c r="GS53" s="75">
        <f t="shared" si="1267"/>
        <v>-2197361.2499997616</v>
      </c>
      <c r="GT53" s="75">
        <f t="shared" si="1267"/>
        <v>-1842583.2499997616</v>
      </c>
      <c r="GU53" s="75">
        <f t="shared" si="1267"/>
        <v>-2740744.2499997616</v>
      </c>
      <c r="GV53" s="75">
        <f t="shared" si="1267"/>
        <v>-2316045.2499997616</v>
      </c>
      <c r="GW53" s="75">
        <f t="shared" si="1267"/>
        <v>-1996993.2499997318</v>
      </c>
      <c r="GX53" s="75">
        <f t="shared" si="1267"/>
        <v>-2469126.2499997616</v>
      </c>
      <c r="GY53" s="75">
        <f t="shared" si="1267"/>
        <v>-2156905.2499997318</v>
      </c>
      <c r="GZ53" s="75">
        <f t="shared" si="1267"/>
        <v>-2391281.2499997616</v>
      </c>
      <c r="HA53" s="75">
        <f t="shared" si="1267"/>
        <v>-1660833.2499997616</v>
      </c>
      <c r="HB53" s="75">
        <f t="shared" si="1267"/>
        <v>-1249592.2499997616</v>
      </c>
      <c r="HC53" s="75">
        <f t="shared" si="1267"/>
        <v>-1770507.2499997616</v>
      </c>
      <c r="HD53" s="75">
        <f t="shared" si="1267"/>
        <v>-1352881.2499997616</v>
      </c>
      <c r="HE53" s="75">
        <f t="shared" si="1267"/>
        <v>-1265409.2499997616</v>
      </c>
      <c r="HF53" s="75">
        <f t="shared" si="1267"/>
        <v>-1138139.2499997616</v>
      </c>
      <c r="HG53" s="75">
        <f t="shared" si="1267"/>
        <v>-363656.24999976158</v>
      </c>
      <c r="HH53" s="75">
        <f t="shared" si="1267"/>
        <v>-107907.24999976158</v>
      </c>
      <c r="HI53" s="75">
        <f t="shared" si="1267"/>
        <v>337374.75000023842</v>
      </c>
      <c r="HJ53" s="75">
        <f t="shared" si="1267"/>
        <v>375898.75000023842</v>
      </c>
      <c r="HK53" s="75">
        <f t="shared" si="1267"/>
        <v>475169.75000023842</v>
      </c>
      <c r="HL53" s="75">
        <f t="shared" si="1267"/>
        <v>598552.75000023842</v>
      </c>
      <c r="HM53" s="75">
        <f t="shared" si="1267"/>
        <v>588258.65000021458</v>
      </c>
      <c r="HN53" s="130"/>
      <c r="HO53" s="75">
        <f t="shared" ref="HO53:IS53" si="1268">HO51-HO52</f>
        <v>-3696.2499997615814</v>
      </c>
      <c r="HP53" s="75">
        <f t="shared" si="1268"/>
        <v>667494.75000023842</v>
      </c>
      <c r="HQ53" s="75">
        <f t="shared" si="1268"/>
        <v>1408735.7500002384</v>
      </c>
      <c r="HR53" s="75">
        <f t="shared" si="1268"/>
        <v>-889090.24999976158</v>
      </c>
      <c r="HS53" s="75">
        <f t="shared" si="1268"/>
        <v>-224107.24999976158</v>
      </c>
      <c r="HT53" s="75">
        <f t="shared" si="1268"/>
        <v>38825.750000238419</v>
      </c>
      <c r="HU53" s="75">
        <f t="shared" si="1268"/>
        <v>1681851.7500002384</v>
      </c>
      <c r="HV53" s="75">
        <f t="shared" si="1268"/>
        <v>-465850.24999976158</v>
      </c>
      <c r="HW53" s="75">
        <f t="shared" si="1268"/>
        <v>-253290.24999976158</v>
      </c>
      <c r="HX53" s="75">
        <f t="shared" si="1268"/>
        <v>131039.75000023842</v>
      </c>
      <c r="HY53" s="75">
        <f t="shared" si="1268"/>
        <v>528935.75000023842</v>
      </c>
      <c r="HZ53" s="75">
        <f t="shared" si="1268"/>
        <v>301273.75000023842</v>
      </c>
      <c r="IA53" s="75">
        <f t="shared" si="1268"/>
        <v>414251.75000023842</v>
      </c>
      <c r="IB53" s="75">
        <f t="shared" si="1268"/>
        <v>360532.75000023842</v>
      </c>
      <c r="IC53" s="75">
        <f t="shared" si="1268"/>
        <v>112456.75000023842</v>
      </c>
      <c r="ID53" s="75">
        <f t="shared" si="1268"/>
        <v>509988.75000023842</v>
      </c>
      <c r="IE53" s="75">
        <f t="shared" si="1268"/>
        <v>805606.75000023842</v>
      </c>
      <c r="IF53" s="75">
        <f t="shared" si="1268"/>
        <v>1086710.7500002384</v>
      </c>
      <c r="IG53" s="75">
        <f t="shared" si="1268"/>
        <v>1262020.7500002384</v>
      </c>
      <c r="IH53" s="75">
        <f t="shared" si="1268"/>
        <v>1261562.7500002384</v>
      </c>
      <c r="II53" s="75">
        <f t="shared" si="1268"/>
        <v>1665962.7500002384</v>
      </c>
      <c r="IJ53" s="75">
        <f t="shared" si="1268"/>
        <v>1928072.7500002384</v>
      </c>
      <c r="IK53" s="75">
        <f t="shared" si="1268"/>
        <v>2623021.7500002384</v>
      </c>
      <c r="IL53" s="75">
        <f t="shared" si="1268"/>
        <v>2947437.7500002384</v>
      </c>
      <c r="IM53" s="75">
        <f t="shared" si="1268"/>
        <v>2667725.7500002384</v>
      </c>
      <c r="IN53" s="75">
        <f t="shared" si="1268"/>
        <v>3095461.7500002384</v>
      </c>
      <c r="IO53" s="75">
        <f t="shared" si="1268"/>
        <v>3262096.7500002384</v>
      </c>
      <c r="IP53" s="75">
        <f t="shared" si="1268"/>
        <v>3315280.7500002384</v>
      </c>
      <c r="IQ53" s="75">
        <f t="shared" si="1268"/>
        <v>3017949.7500002384</v>
      </c>
      <c r="IR53" s="75">
        <f t="shared" si="1268"/>
        <v>3469849.7500002384</v>
      </c>
      <c r="IS53" s="75">
        <f t="shared" si="1268"/>
        <v>3522105.7500002384</v>
      </c>
      <c r="IT53" s="130"/>
      <c r="IU53" s="75">
        <f t="shared" ref="IU53:JX53" si="1269">IU51-IU52</f>
        <v>504581.75000023842</v>
      </c>
      <c r="IV53" s="75">
        <f t="shared" si="1269"/>
        <v>739451.75000023842</v>
      </c>
      <c r="IW53" s="75">
        <f t="shared" si="1269"/>
        <v>-45998.249999761581</v>
      </c>
      <c r="IX53" s="75">
        <f t="shared" si="1269"/>
        <v>-22485.249999761581</v>
      </c>
      <c r="IY53" s="75">
        <f t="shared" si="1269"/>
        <v>-6373.2499997615814</v>
      </c>
      <c r="IZ53" s="75">
        <f t="shared" si="1269"/>
        <v>-781556.24999976158</v>
      </c>
      <c r="JA53" s="75">
        <f t="shared" si="1269"/>
        <v>-1045717.2499997616</v>
      </c>
      <c r="JB53" s="75">
        <f t="shared" si="1269"/>
        <v>-800125.24999976158</v>
      </c>
      <c r="JC53" s="75">
        <f t="shared" si="1269"/>
        <v>-1831214.2499997616</v>
      </c>
      <c r="JD53" s="75">
        <f t="shared" si="1269"/>
        <v>-1011614.2499997616</v>
      </c>
      <c r="JE53" s="75">
        <f t="shared" si="1269"/>
        <v>-829363.24999976158</v>
      </c>
      <c r="JF53" s="75">
        <f t="shared" si="1269"/>
        <v>-387726.24999976158</v>
      </c>
      <c r="JG53" s="75">
        <f t="shared" si="1269"/>
        <v>-10977.249999761581</v>
      </c>
      <c r="JH53" s="75">
        <f t="shared" si="1269"/>
        <v>-565626.24999976158</v>
      </c>
      <c r="JI53" s="75">
        <f t="shared" si="1269"/>
        <v>209203.75000023842</v>
      </c>
      <c r="JJ53" s="75">
        <f t="shared" si="1269"/>
        <v>46982.750000238419</v>
      </c>
      <c r="JK53" s="75">
        <f t="shared" si="1269"/>
        <v>550651.75000023842</v>
      </c>
      <c r="JL53" s="75">
        <f t="shared" si="1269"/>
        <v>585341.75000023842</v>
      </c>
      <c r="JM53" s="75">
        <f t="shared" si="1269"/>
        <v>787277.75000023842</v>
      </c>
      <c r="JN53" s="75">
        <f t="shared" si="1269"/>
        <v>844085.75000023842</v>
      </c>
      <c r="JO53" s="75">
        <f t="shared" si="1269"/>
        <v>1524523.7500002384</v>
      </c>
      <c r="JP53" s="75">
        <f t="shared" si="1269"/>
        <v>1229553.7500002384</v>
      </c>
      <c r="JQ53" s="75">
        <f t="shared" si="1269"/>
        <v>1501179.7500002384</v>
      </c>
      <c r="JR53" s="75">
        <f t="shared" si="1269"/>
        <v>1924286.7500002384</v>
      </c>
      <c r="JS53" s="75">
        <f t="shared" si="1269"/>
        <v>749998.75000023842</v>
      </c>
      <c r="JT53" s="75">
        <f t="shared" si="1269"/>
        <v>645190.75000023842</v>
      </c>
      <c r="JU53" s="75">
        <f t="shared" si="1269"/>
        <v>795549.75000023842</v>
      </c>
      <c r="JV53" s="75">
        <f t="shared" si="1269"/>
        <v>1320528.7500002384</v>
      </c>
      <c r="JW53" s="75">
        <f t="shared" si="1269"/>
        <v>1388675.7500002384</v>
      </c>
      <c r="JX53" s="75">
        <f t="shared" si="1269"/>
        <v>1649315.7500002384</v>
      </c>
      <c r="JY53" s="143"/>
      <c r="JZ53" s="75">
        <f t="shared" ref="JZ53:LD53" si="1270">JZ51-JZ52</f>
        <v>313191.75000023842</v>
      </c>
      <c r="KA53" s="75">
        <f t="shared" si="1270"/>
        <v>363061.75000023842</v>
      </c>
      <c r="KB53" s="75">
        <f t="shared" si="1270"/>
        <v>-1143060.2499997616</v>
      </c>
      <c r="KC53" s="75">
        <f t="shared" si="1270"/>
        <v>-1169793.2499997616</v>
      </c>
      <c r="KD53" s="75">
        <f t="shared" si="1270"/>
        <v>-703293.24999976158</v>
      </c>
      <c r="KE53" s="75">
        <f t="shared" si="1270"/>
        <v>-296944.24999976158</v>
      </c>
      <c r="KF53" s="75">
        <f t="shared" si="1270"/>
        <v>-1586581.2499997616</v>
      </c>
      <c r="KG53" s="75">
        <f t="shared" si="1270"/>
        <v>1724741.7500002384</v>
      </c>
      <c r="KH53" s="75">
        <f t="shared" si="1270"/>
        <v>2067569.7500002384</v>
      </c>
      <c r="KI53" s="75">
        <f t="shared" si="1270"/>
        <v>2301112.7500002384</v>
      </c>
      <c r="KJ53" s="75">
        <f t="shared" si="1270"/>
        <v>3290792.7500002384</v>
      </c>
      <c r="KK53" s="75">
        <f t="shared" si="1270"/>
        <v>3346927.7500002384</v>
      </c>
      <c r="KL53" s="75">
        <f t="shared" si="1270"/>
        <v>3986087.7500002384</v>
      </c>
      <c r="KM53" s="75">
        <f t="shared" si="1270"/>
        <v>-17501385.249999762</v>
      </c>
      <c r="KN53" s="75">
        <f t="shared" si="1270"/>
        <v>3825398.7500002384</v>
      </c>
      <c r="KO53" s="75">
        <f t="shared" si="1270"/>
        <v>3733179.7500002384</v>
      </c>
      <c r="KP53" s="75">
        <f t="shared" si="1270"/>
        <v>4582935.7500002384</v>
      </c>
      <c r="KQ53" s="75">
        <f t="shared" si="1270"/>
        <v>5114749.7500002384</v>
      </c>
      <c r="KR53" s="75">
        <f t="shared" si="1270"/>
        <v>4408347.7500002384</v>
      </c>
      <c r="KS53" s="75">
        <f t="shared" si="1270"/>
        <v>4925584.7500002384</v>
      </c>
      <c r="KT53" s="75">
        <f t="shared" si="1270"/>
        <v>5159994.7500002384</v>
      </c>
      <c r="KU53" s="75">
        <f t="shared" si="1270"/>
        <v>4818438.7500002384</v>
      </c>
      <c r="KV53" s="75">
        <f t="shared" si="1270"/>
        <v>5506042.7500002384</v>
      </c>
      <c r="KW53" s="75">
        <f t="shared" si="1270"/>
        <v>5741794.7500002384</v>
      </c>
      <c r="KX53" s="75">
        <f t="shared" si="1270"/>
        <v>7251940.7500002384</v>
      </c>
      <c r="KY53" s="75">
        <f t="shared" si="1270"/>
        <v>7464958.7500002384</v>
      </c>
      <c r="KZ53" s="75">
        <f t="shared" si="1270"/>
        <v>7679650.7500002384</v>
      </c>
      <c r="LA53" s="75">
        <f t="shared" si="1270"/>
        <v>8538457.7500002384</v>
      </c>
      <c r="LB53" s="75">
        <f t="shared" si="1270"/>
        <v>8680946.7500002384</v>
      </c>
      <c r="LC53" s="75">
        <f t="shared" si="1270"/>
        <v>9389066.7500002384</v>
      </c>
      <c r="LD53" s="75">
        <f t="shared" si="1270"/>
        <v>9034544.7500002384</v>
      </c>
      <c r="LE53" s="130"/>
      <c r="LF53" s="75">
        <f t="shared" ref="LF53:MI53" si="1271">LF51-LF52</f>
        <v>147288.75000023842</v>
      </c>
      <c r="LG53" s="75">
        <f t="shared" si="1271"/>
        <v>557028.75000023842</v>
      </c>
      <c r="LH53" s="75">
        <f t="shared" si="1271"/>
        <v>-1315886.2499997616</v>
      </c>
      <c r="LI53" s="75">
        <f t="shared" si="1271"/>
        <v>-2139804.2499997616</v>
      </c>
      <c r="LJ53" s="75">
        <f t="shared" si="1271"/>
        <v>-1494614.2499997616</v>
      </c>
      <c r="LK53" s="75">
        <f t="shared" si="1271"/>
        <v>-901193.24999976158</v>
      </c>
      <c r="LL53" s="75">
        <f t="shared" si="1271"/>
        <v>-689935.24999976158</v>
      </c>
      <c r="LM53" s="75">
        <f t="shared" si="1271"/>
        <v>-685060.24999976158</v>
      </c>
      <c r="LN53" s="75">
        <f t="shared" si="1271"/>
        <v>-220160.24999976158</v>
      </c>
      <c r="LO53" s="75">
        <f t="shared" si="1271"/>
        <v>333299.75000023842</v>
      </c>
      <c r="LP53" s="75">
        <f t="shared" si="1271"/>
        <v>600260.75000023842</v>
      </c>
      <c r="LQ53" s="75">
        <f t="shared" si="1271"/>
        <v>1263785.7500002384</v>
      </c>
      <c r="LR53" s="75">
        <f t="shared" si="1271"/>
        <v>-2404953.2499997616</v>
      </c>
      <c r="LS53" s="75">
        <f t="shared" si="1271"/>
        <v>-2325583.2499997616</v>
      </c>
      <c r="LT53" s="75">
        <f t="shared" si="1271"/>
        <v>-1544291.2499997616</v>
      </c>
      <c r="LU53" s="75">
        <f t="shared" si="1271"/>
        <v>-1755702.2499997616</v>
      </c>
      <c r="LV53" s="75">
        <f t="shared" si="1271"/>
        <v>-1375009.2499997616</v>
      </c>
      <c r="LW53" s="75">
        <f t="shared" si="1271"/>
        <v>-2469549.2499997616</v>
      </c>
      <c r="LX53" s="75">
        <f t="shared" si="1271"/>
        <v>-1081775.2499997616</v>
      </c>
      <c r="LY53" s="75">
        <f t="shared" si="1271"/>
        <v>-1470749.2499997616</v>
      </c>
      <c r="LZ53" s="75">
        <f t="shared" si="1271"/>
        <v>-973416.24999976158</v>
      </c>
      <c r="MA53" s="75">
        <f t="shared" si="1271"/>
        <v>-474813.24999976158</v>
      </c>
      <c r="MB53" s="75">
        <f t="shared" si="1271"/>
        <v>-264276.24999976158</v>
      </c>
      <c r="MC53" s="75">
        <f t="shared" si="1271"/>
        <v>47053.750000238419</v>
      </c>
      <c r="MD53" s="75">
        <f t="shared" si="1271"/>
        <v>-65211.249999761581</v>
      </c>
      <c r="ME53" s="75">
        <f t="shared" si="1271"/>
        <v>-1412554.2499997616</v>
      </c>
      <c r="MF53" s="75">
        <f t="shared" si="1271"/>
        <v>-692407.24999976158</v>
      </c>
      <c r="MG53" s="75">
        <f t="shared" si="1271"/>
        <v>-123961.24999976158</v>
      </c>
      <c r="MH53" s="75">
        <f t="shared" si="1271"/>
        <v>121724.75000023842</v>
      </c>
      <c r="MI53" s="75">
        <f t="shared" si="1271"/>
        <v>596500.75000023842</v>
      </c>
      <c r="MJ53" s="143"/>
      <c r="MK53" s="75">
        <f t="shared" ref="MK53:NO53" si="1272">MK51-MK52</f>
        <v>554459.75000023842</v>
      </c>
      <c r="ML53" s="75">
        <f t="shared" si="1272"/>
        <v>-70926.249999761581</v>
      </c>
      <c r="MM53" s="75">
        <f t="shared" si="1272"/>
        <v>-2523412.2499997616</v>
      </c>
      <c r="MN53" s="75">
        <f t="shared" si="1272"/>
        <v>-2164224.2499997616</v>
      </c>
      <c r="MO53" s="75">
        <f t="shared" si="1272"/>
        <v>-3170064.2499997616</v>
      </c>
      <c r="MP53" s="75">
        <f t="shared" si="1272"/>
        <v>-3067464.2499997616</v>
      </c>
      <c r="MQ53" s="75">
        <f t="shared" si="1272"/>
        <v>-1349173.2499997616</v>
      </c>
      <c r="MR53" s="75">
        <f t="shared" si="1272"/>
        <v>252521.75000023842</v>
      </c>
      <c r="MS53" s="75">
        <f t="shared" si="1272"/>
        <v>591671.75000023842</v>
      </c>
      <c r="MT53" s="75">
        <f t="shared" si="1272"/>
        <v>732636.75000023842</v>
      </c>
      <c r="MU53" s="75">
        <f t="shared" si="1272"/>
        <v>1094102.7500002384</v>
      </c>
      <c r="MV53" s="75">
        <f t="shared" si="1272"/>
        <v>841441.75000023842</v>
      </c>
      <c r="MW53" s="75">
        <f t="shared" si="1272"/>
        <v>938562.75000023842</v>
      </c>
      <c r="MX53" s="75">
        <f t="shared" si="1272"/>
        <v>1538135.7500002384</v>
      </c>
      <c r="MY53" s="75">
        <f t="shared" si="1272"/>
        <v>1888180.7500002384</v>
      </c>
      <c r="MZ53" s="75">
        <f t="shared" si="1272"/>
        <v>2079188.7500002384</v>
      </c>
      <c r="NA53" s="75">
        <f t="shared" si="1272"/>
        <v>2859658.7500002384</v>
      </c>
      <c r="NB53" s="75">
        <f t="shared" si="1272"/>
        <v>3176693.7500002384</v>
      </c>
      <c r="NC53" s="75">
        <f t="shared" si="1272"/>
        <v>3180016.7500002384</v>
      </c>
      <c r="ND53" s="75">
        <f t="shared" si="1272"/>
        <v>3588219.7500002384</v>
      </c>
      <c r="NE53" s="75">
        <f t="shared" si="1272"/>
        <v>4249172.7500002384</v>
      </c>
      <c r="NF53" s="75">
        <f t="shared" si="1272"/>
        <v>4224236.7500002384</v>
      </c>
      <c r="NG53" s="75">
        <f t="shared" si="1272"/>
        <v>5280779.7500002384</v>
      </c>
      <c r="NH53" s="75">
        <f t="shared" si="1272"/>
        <v>4760167.7500002384</v>
      </c>
      <c r="NI53" s="75">
        <f t="shared" si="1272"/>
        <v>5902891.7500002384</v>
      </c>
      <c r="NJ53" s="75">
        <f t="shared" si="1272"/>
        <v>3683006.7500002384</v>
      </c>
      <c r="NK53" s="75">
        <f t="shared" si="1272"/>
        <v>3707778.7500002384</v>
      </c>
      <c r="NL53" s="75">
        <f t="shared" si="1272"/>
        <v>4182009.7500002384</v>
      </c>
      <c r="NM53" s="75">
        <f t="shared" si="1272"/>
        <v>4497831.7500002384</v>
      </c>
      <c r="NN53" s="75">
        <f t="shared" si="1272"/>
        <v>4802180.7500002384</v>
      </c>
      <c r="NO53" s="75">
        <f t="shared" si="1272"/>
        <v>5126361.7500002384</v>
      </c>
      <c r="NP53" s="143"/>
      <c r="NQ53" s="75">
        <f t="shared" ref="NQ53:OU53" si="1273">NQ51-NQ52</f>
        <v>580868.75000023842</v>
      </c>
      <c r="NR53" s="75">
        <f t="shared" si="1273"/>
        <v>-1578120.2499997616</v>
      </c>
      <c r="NS53" s="75">
        <f t="shared" si="1273"/>
        <v>-2489312.2499997616</v>
      </c>
      <c r="NT53" s="75">
        <f t="shared" si="1273"/>
        <v>-1922665.2499997616</v>
      </c>
      <c r="NU53" s="75">
        <f t="shared" si="1273"/>
        <v>-1919919.2499997616</v>
      </c>
      <c r="NV53" s="75">
        <f t="shared" si="1273"/>
        <v>-751475.24999976158</v>
      </c>
      <c r="NW53" s="75">
        <f t="shared" si="1273"/>
        <v>-1150011.2499997616</v>
      </c>
      <c r="NX53" s="75">
        <f t="shared" si="1273"/>
        <v>-783905.24999976158</v>
      </c>
      <c r="NY53" s="75">
        <f t="shared" si="1273"/>
        <v>-457513.24999976158</v>
      </c>
      <c r="NZ53" s="75">
        <f t="shared" si="1273"/>
        <v>-163655.24999976158</v>
      </c>
      <c r="OA53" s="75">
        <f t="shared" si="1273"/>
        <v>150933.75000023842</v>
      </c>
      <c r="OB53" s="75">
        <f t="shared" si="1273"/>
        <v>401946.75000023842</v>
      </c>
      <c r="OC53" s="75">
        <f t="shared" si="1273"/>
        <v>529237.75000023842</v>
      </c>
      <c r="OD53" s="75">
        <f t="shared" si="1273"/>
        <v>926828.75000023842</v>
      </c>
      <c r="OE53" s="75">
        <f t="shared" si="1273"/>
        <v>861383.75000023842</v>
      </c>
      <c r="OF53" s="75">
        <f t="shared" si="1273"/>
        <v>1223711.7500002384</v>
      </c>
      <c r="OG53" s="75">
        <f t="shared" si="1273"/>
        <v>1927101.7500002384</v>
      </c>
      <c r="OH53" s="75">
        <f t="shared" si="1273"/>
        <v>2234721.7500002384</v>
      </c>
      <c r="OI53" s="75">
        <f t="shared" si="1273"/>
        <v>2544049.7500002384</v>
      </c>
      <c r="OJ53" s="75">
        <f t="shared" si="1273"/>
        <v>2911767.7500002384</v>
      </c>
      <c r="OK53" s="75">
        <f t="shared" si="1273"/>
        <v>2831305.7500002384</v>
      </c>
      <c r="OL53" s="75">
        <f t="shared" si="1273"/>
        <v>3057019.7500002384</v>
      </c>
      <c r="OM53" s="75">
        <f t="shared" si="1273"/>
        <v>3737409.7500002384</v>
      </c>
      <c r="ON53" s="75">
        <f t="shared" si="1273"/>
        <v>4117088.7500002384</v>
      </c>
      <c r="OO53" s="75">
        <f t="shared" si="1273"/>
        <v>4413015.7500002384</v>
      </c>
      <c r="OP53" s="75">
        <f t="shared" si="1273"/>
        <v>4381926.7500002384</v>
      </c>
      <c r="OQ53" s="75">
        <f t="shared" si="1273"/>
        <v>4957225.7500002384</v>
      </c>
      <c r="OR53" s="75">
        <f t="shared" si="1273"/>
        <v>5186444.7500002384</v>
      </c>
      <c r="OS53" s="75">
        <f t="shared" si="1273"/>
        <v>5514850.7500002384</v>
      </c>
      <c r="OT53" s="75">
        <f t="shared" si="1273"/>
        <v>5851597.7500002384</v>
      </c>
      <c r="OU53" s="75">
        <f t="shared" si="1273"/>
        <v>6382877.7500002384</v>
      </c>
      <c r="OV53" s="130"/>
      <c r="OW53" s="75">
        <f t="shared" ref="OW53:PZ53" si="1274">OW51-OW52</f>
        <v>325154.75000023842</v>
      </c>
      <c r="OX53" s="75">
        <f t="shared" si="1274"/>
        <v>-1780472.2499997616</v>
      </c>
      <c r="OY53" s="75">
        <f t="shared" si="1274"/>
        <v>-1588165.2499997616</v>
      </c>
      <c r="OZ53" s="75">
        <f t="shared" si="1274"/>
        <v>-1217031.2499997616</v>
      </c>
      <c r="PA53" s="75">
        <f t="shared" si="1274"/>
        <v>-739735.24999976158</v>
      </c>
      <c r="PB53" s="75">
        <f t="shared" si="1274"/>
        <v>-568713.24999976158</v>
      </c>
      <c r="PC53" s="75">
        <f t="shared" si="1274"/>
        <v>-451108.24999976158</v>
      </c>
      <c r="PD53" s="75">
        <f t="shared" si="1274"/>
        <v>3291.7500002384186</v>
      </c>
      <c r="PE53" s="75">
        <f t="shared" si="1274"/>
        <v>-1001022.2499997616</v>
      </c>
      <c r="PF53" s="75">
        <f t="shared" si="1274"/>
        <v>-1246066.2499997616</v>
      </c>
      <c r="PG53" s="75">
        <f t="shared" si="1274"/>
        <v>-1468872.2499997616</v>
      </c>
      <c r="PH53" s="75">
        <f t="shared" si="1274"/>
        <v>-2576259.2499997616</v>
      </c>
      <c r="PI53" s="75">
        <f t="shared" si="1274"/>
        <v>-2222439.2499997616</v>
      </c>
      <c r="PJ53" s="75">
        <f t="shared" si="1274"/>
        <v>-1780648.2499997616</v>
      </c>
      <c r="PK53" s="75">
        <f t="shared" si="1274"/>
        <v>-2053371.2499997616</v>
      </c>
      <c r="PL53" s="75">
        <f t="shared" si="1274"/>
        <v>-1631930.2499997616</v>
      </c>
      <c r="PM53" s="75">
        <f t="shared" si="1274"/>
        <v>-805968.24999976158</v>
      </c>
      <c r="PN53" s="75">
        <f t="shared" si="1274"/>
        <v>-1511455.2499997616</v>
      </c>
      <c r="PO53" s="75">
        <f t="shared" si="1274"/>
        <v>-1363299.2499997616</v>
      </c>
      <c r="PP53" s="75">
        <f t="shared" si="1274"/>
        <v>-942883.24999976158</v>
      </c>
      <c r="PQ53" s="75">
        <f t="shared" si="1274"/>
        <v>-692812.24999976158</v>
      </c>
      <c r="PR53" s="75">
        <f t="shared" si="1274"/>
        <v>-503839.24999976158</v>
      </c>
      <c r="PS53" s="75">
        <f t="shared" si="1274"/>
        <v>-309211.24999976158</v>
      </c>
      <c r="PT53" s="75">
        <f t="shared" si="1274"/>
        <v>-172657.24999976158</v>
      </c>
      <c r="PU53" s="75">
        <f t="shared" si="1274"/>
        <v>-95583.249999761581</v>
      </c>
      <c r="PV53" s="75">
        <f t="shared" si="1274"/>
        <v>-98052.249999761581</v>
      </c>
      <c r="PW53" s="75">
        <f t="shared" si="1274"/>
        <v>630314.75000023842</v>
      </c>
      <c r="PX53" s="75">
        <f t="shared" si="1274"/>
        <v>861323.75000023842</v>
      </c>
      <c r="PY53" s="75">
        <f t="shared" si="1274"/>
        <v>1021362.7500002384</v>
      </c>
      <c r="PZ53" s="75">
        <f t="shared" si="1274"/>
        <v>1362158.7500002384</v>
      </c>
      <c r="QA53" s="130"/>
      <c r="QB53" s="75">
        <f t="shared" ref="QB53:RF53" si="1275">QB51-QB52</f>
        <v>180573.75000023842</v>
      </c>
      <c r="QC53" s="75">
        <f t="shared" si="1275"/>
        <v>-2263157.2499997616</v>
      </c>
      <c r="QD53" s="75">
        <f t="shared" si="1275"/>
        <v>-3245100.2499997616</v>
      </c>
      <c r="QE53" s="75">
        <f t="shared" si="1275"/>
        <v>-2888440.2499997616</v>
      </c>
      <c r="QF53" s="75">
        <f t="shared" si="1275"/>
        <v>-2682045.2499997616</v>
      </c>
      <c r="QG53" s="75">
        <f t="shared" si="1275"/>
        <v>-2543177.2499997616</v>
      </c>
      <c r="QH53" s="75">
        <f t="shared" si="1275"/>
        <v>-460275.24999976158</v>
      </c>
      <c r="QI53" s="75">
        <f t="shared" si="1275"/>
        <v>-234802.24999976158</v>
      </c>
      <c r="QJ53" s="75">
        <f t="shared" si="1275"/>
        <v>434006.75000023842</v>
      </c>
      <c r="QK53" s="75">
        <f t="shared" si="1275"/>
        <v>802320.75000023842</v>
      </c>
      <c r="QL53" s="75">
        <f t="shared" si="1275"/>
        <v>1195942.7500002384</v>
      </c>
      <c r="QM53" s="75">
        <f t="shared" si="1275"/>
        <v>1256558.7500002384</v>
      </c>
      <c r="QN53" s="75">
        <f t="shared" si="1275"/>
        <v>1511591.7500002384</v>
      </c>
      <c r="QO53" s="75">
        <f t="shared" si="1275"/>
        <v>2003954.7500002384</v>
      </c>
      <c r="QP53" s="75">
        <f t="shared" si="1275"/>
        <v>2383724.7500002384</v>
      </c>
      <c r="QQ53" s="75">
        <f t="shared" si="1275"/>
        <v>2590660.7500002384</v>
      </c>
      <c r="QR53" s="75">
        <f t="shared" si="1275"/>
        <v>2872388.7500002384</v>
      </c>
      <c r="QS53" s="75">
        <f t="shared" si="1275"/>
        <v>3451583.7500002384</v>
      </c>
      <c r="QT53" s="75">
        <f t="shared" si="1275"/>
        <v>3572969.7500002384</v>
      </c>
      <c r="QU53" s="75">
        <f t="shared" si="1275"/>
        <v>3961042.7500002384</v>
      </c>
      <c r="QV53" s="75">
        <f t="shared" si="1275"/>
        <v>3820029.7500002384</v>
      </c>
      <c r="QW53" s="75">
        <f t="shared" si="1275"/>
        <v>4000819.7500002384</v>
      </c>
      <c r="QX53" s="75">
        <f t="shared" si="1275"/>
        <v>4528486.7500002384</v>
      </c>
      <c r="QY53" s="75">
        <f t="shared" si="1275"/>
        <v>5041585.7500002384</v>
      </c>
      <c r="QZ53" s="75">
        <f t="shared" si="1275"/>
        <v>3596979.7500002384</v>
      </c>
      <c r="RA53" s="75">
        <f t="shared" si="1275"/>
        <v>4054586.7500002384</v>
      </c>
      <c r="RB53" s="75">
        <f t="shared" si="1275"/>
        <v>4218962.7500002384</v>
      </c>
      <c r="RC53" s="75">
        <f t="shared" si="1275"/>
        <v>4275544.7500002384</v>
      </c>
      <c r="RD53" s="75">
        <f t="shared" si="1275"/>
        <v>4762368.7500002384</v>
      </c>
      <c r="RE53" s="75">
        <f t="shared" si="1275"/>
        <v>4865331.7500002384</v>
      </c>
      <c r="RF53" s="75">
        <f t="shared" si="1275"/>
        <v>5458829.7500002384</v>
      </c>
      <c r="RG53" s="130"/>
      <c r="RH53" s="75">
        <f t="shared" ref="RH53:SK53" si="1276">RH51-RH52</f>
        <v>119519.75000023842</v>
      </c>
      <c r="RI53" s="75">
        <f t="shared" si="1276"/>
        <v>-1831246.2499997616</v>
      </c>
      <c r="RJ53" s="75">
        <f t="shared" si="1276"/>
        <v>-1175879.2499997616</v>
      </c>
      <c r="RK53" s="75">
        <f t="shared" si="1276"/>
        <v>-1223499.2499997616</v>
      </c>
      <c r="RL53" s="75">
        <f t="shared" si="1276"/>
        <v>-965026.24999976158</v>
      </c>
      <c r="RM53" s="75">
        <f t="shared" si="1276"/>
        <v>2879.7500002384186</v>
      </c>
      <c r="RN53" s="75">
        <f t="shared" si="1276"/>
        <v>127037.75000023842</v>
      </c>
      <c r="RO53" s="75">
        <f t="shared" si="1276"/>
        <v>418679.75000023842</v>
      </c>
      <c r="RP53" s="75">
        <f t="shared" si="1276"/>
        <v>-99382.249999761581</v>
      </c>
      <c r="RQ53" s="75">
        <f t="shared" si="1276"/>
        <v>761200.75000023842</v>
      </c>
      <c r="RR53" s="75">
        <f t="shared" si="1276"/>
        <v>3280465.7500002384</v>
      </c>
      <c r="RS53" s="75">
        <f t="shared" si="1276"/>
        <v>1832774.7500002384</v>
      </c>
      <c r="RT53" s="75">
        <f t="shared" si="1276"/>
        <v>2276722.7500002384</v>
      </c>
      <c r="RU53" s="75">
        <f t="shared" si="1276"/>
        <v>2129903.7500002384</v>
      </c>
      <c r="RV53" s="75">
        <f t="shared" si="1276"/>
        <v>2036906.7500002384</v>
      </c>
      <c r="RW53" s="75">
        <f t="shared" si="1276"/>
        <v>2124258.7500002384</v>
      </c>
      <c r="RX53" s="75">
        <f t="shared" si="1276"/>
        <v>2763255.7500002384</v>
      </c>
      <c r="RY53" s="75">
        <f t="shared" si="1276"/>
        <v>2120100.7500002384</v>
      </c>
      <c r="RZ53" s="75">
        <f t="shared" si="1276"/>
        <v>2017182.7500002384</v>
      </c>
      <c r="SA53" s="75">
        <f t="shared" si="1276"/>
        <v>103476.75000023842</v>
      </c>
      <c r="SB53" s="75">
        <f t="shared" si="1276"/>
        <v>142088.75000023842</v>
      </c>
      <c r="SC53" s="75">
        <f t="shared" si="1276"/>
        <v>412718.75000023842</v>
      </c>
      <c r="SD53" s="75">
        <f t="shared" si="1276"/>
        <v>867874.75000023842</v>
      </c>
      <c r="SE53" s="75">
        <f t="shared" si="1276"/>
        <v>836570.75000023842</v>
      </c>
      <c r="SF53" s="75">
        <f t="shared" si="1276"/>
        <v>1115868.7500002384</v>
      </c>
      <c r="SG53" s="75">
        <f t="shared" si="1276"/>
        <v>1620448.7500002384</v>
      </c>
      <c r="SH53" s="75">
        <f t="shared" si="1276"/>
        <v>1766824.7500002384</v>
      </c>
      <c r="SI53" s="75">
        <f t="shared" si="1276"/>
        <v>2496056.7500002384</v>
      </c>
      <c r="SJ53" s="75">
        <f t="shared" si="1276"/>
        <v>2614036.7500002384</v>
      </c>
      <c r="SK53" s="75">
        <f t="shared" si="1276"/>
        <v>3340241.7500002384</v>
      </c>
      <c r="SL53" s="130"/>
      <c r="SM53" s="75">
        <f t="shared" ref="SM53:TQ53" si="1277">SM51-SM52</f>
        <v>-243965.24999976158</v>
      </c>
      <c r="SN53" s="75">
        <f t="shared" si="1277"/>
        <v>283922.75000023842</v>
      </c>
      <c r="SO53" s="75">
        <f t="shared" si="1277"/>
        <v>680480.75000023842</v>
      </c>
      <c r="SP53" s="75">
        <f t="shared" si="1277"/>
        <v>-1432282.2499997616</v>
      </c>
      <c r="SQ53" s="75">
        <f t="shared" si="1277"/>
        <v>-1049524.2499997616</v>
      </c>
      <c r="SR53" s="75">
        <f t="shared" si="1277"/>
        <v>-2801187.2499997616</v>
      </c>
      <c r="SS53" s="75">
        <f t="shared" si="1277"/>
        <v>-2608194.2499997616</v>
      </c>
      <c r="ST53" s="75">
        <f t="shared" si="1277"/>
        <v>-2428132.2499997616</v>
      </c>
      <c r="SU53" s="75">
        <f t="shared" si="1277"/>
        <v>-1397569.2499997616</v>
      </c>
      <c r="SV53" s="75">
        <f t="shared" si="1277"/>
        <v>-1572049.2499997616</v>
      </c>
      <c r="SW53" s="75">
        <f t="shared" si="1277"/>
        <v>-1548163.2499997616</v>
      </c>
      <c r="SX53" s="75">
        <f t="shared" si="1277"/>
        <v>-1341932.2499997616</v>
      </c>
      <c r="SY53" s="75">
        <f t="shared" si="1277"/>
        <v>-746724.24999976158</v>
      </c>
      <c r="SZ53" s="75">
        <f t="shared" si="1277"/>
        <v>-340955.24999976158</v>
      </c>
      <c r="TA53" s="75">
        <f t="shared" si="1277"/>
        <v>-180715.24999976158</v>
      </c>
      <c r="TB53" s="75">
        <f t="shared" si="1277"/>
        <v>443323.75000023842</v>
      </c>
      <c r="TC53" s="75">
        <f t="shared" si="1277"/>
        <v>1351607.7500002384</v>
      </c>
      <c r="TD53" s="75">
        <f t="shared" si="1277"/>
        <v>1362296.7500002384</v>
      </c>
      <c r="TE53" s="75">
        <f t="shared" si="1277"/>
        <v>1610185.7500002384</v>
      </c>
      <c r="TF53" s="75">
        <f t="shared" si="1277"/>
        <v>2077656.7500002384</v>
      </c>
      <c r="TG53" s="75">
        <f t="shared" si="1277"/>
        <v>2527267.7500002384</v>
      </c>
      <c r="TH53" s="75">
        <f t="shared" si="1277"/>
        <v>2963581.7500002384</v>
      </c>
      <c r="TI53" s="75">
        <f t="shared" si="1277"/>
        <v>3754315.7500002384</v>
      </c>
      <c r="TJ53" s="75">
        <f t="shared" si="1277"/>
        <v>905933.75000023842</v>
      </c>
      <c r="TK53" s="75">
        <f t="shared" si="1277"/>
        <v>987970.75000023842</v>
      </c>
      <c r="TL53" s="75">
        <f t="shared" si="1277"/>
        <v>1541061.7500002384</v>
      </c>
      <c r="TM53" s="75">
        <f t="shared" si="1277"/>
        <v>1837795.7500002384</v>
      </c>
      <c r="TN53" s="75">
        <f t="shared" si="1277"/>
        <v>2237684.7500002384</v>
      </c>
      <c r="TO53" s="75">
        <f t="shared" si="1277"/>
        <v>2379746.7500002384</v>
      </c>
      <c r="TP53" s="75">
        <f t="shared" si="1277"/>
        <v>2637162.7500002384</v>
      </c>
      <c r="TQ53" s="75">
        <f t="shared" si="1277"/>
        <v>44468.750000238419</v>
      </c>
      <c r="TR53" s="130"/>
      <c r="TS53" s="75">
        <f t="shared" ref="TS53:UW53" si="1278">TS51-TS52</f>
        <v>32448.750000238419</v>
      </c>
      <c r="TT53" s="75">
        <f t="shared" si="1278"/>
        <v>50586.750000238419</v>
      </c>
      <c r="TU53" s="75">
        <f t="shared" si="1278"/>
        <v>-1709045.2499997616</v>
      </c>
      <c r="TV53" s="75">
        <f t="shared" si="1278"/>
        <v>-1352041.2499997616</v>
      </c>
      <c r="TW53" s="75">
        <f t="shared" si="1278"/>
        <v>-2094446.2499997616</v>
      </c>
      <c r="TX53" s="75">
        <f t="shared" si="1278"/>
        <v>-1739673.2499997616</v>
      </c>
      <c r="TY53" s="75">
        <f t="shared" si="1278"/>
        <v>-1341113.2499997616</v>
      </c>
      <c r="TZ53" s="75">
        <f t="shared" si="1278"/>
        <v>-927273.24999976158</v>
      </c>
      <c r="UA53" s="75">
        <f t="shared" si="1278"/>
        <v>-559041.24999976158</v>
      </c>
      <c r="UB53" s="75">
        <f t="shared" si="1278"/>
        <v>-70160.249999761581</v>
      </c>
      <c r="UC53" s="75">
        <f t="shared" si="1278"/>
        <v>330653.75000023842</v>
      </c>
      <c r="UD53" s="75">
        <f t="shared" si="1278"/>
        <v>770399.75000023842</v>
      </c>
      <c r="UE53" s="75">
        <f t="shared" si="1278"/>
        <v>1030426.7500002384</v>
      </c>
      <c r="UF53" s="75">
        <f t="shared" si="1278"/>
        <v>34036.750000238419</v>
      </c>
      <c r="UG53" s="75">
        <f t="shared" si="1278"/>
        <v>404758.75000023842</v>
      </c>
      <c r="UH53" s="75">
        <f t="shared" si="1278"/>
        <v>659518.75000023842</v>
      </c>
      <c r="UI53" s="75">
        <f t="shared" si="1278"/>
        <v>868734.75000023842</v>
      </c>
      <c r="UJ53" s="75">
        <f t="shared" si="1278"/>
        <v>1618328.7500002384</v>
      </c>
      <c r="UK53" s="75">
        <f t="shared" si="1278"/>
        <v>1772257.7500002384</v>
      </c>
      <c r="UL53" s="75">
        <f t="shared" si="1278"/>
        <v>1820820.7500002384</v>
      </c>
      <c r="UM53" s="75">
        <f t="shared" si="1278"/>
        <v>1976056.7500002384</v>
      </c>
      <c r="UN53" s="75">
        <f t="shared" si="1278"/>
        <v>2208507.7500002384</v>
      </c>
      <c r="UO53" s="75">
        <f t="shared" si="1278"/>
        <v>2635777.7500002384</v>
      </c>
      <c r="UP53" s="75">
        <f t="shared" si="1278"/>
        <v>2626639.7500002384</v>
      </c>
      <c r="UQ53" s="75">
        <f t="shared" si="1278"/>
        <v>3096995.7500002384</v>
      </c>
      <c r="UR53" s="75">
        <f t="shared" si="1278"/>
        <v>3340055.7500002384</v>
      </c>
      <c r="US53" s="75">
        <f t="shared" si="1278"/>
        <v>3902530.7500002384</v>
      </c>
      <c r="UT53" s="75">
        <f t="shared" si="1278"/>
        <v>3050462.7500002384</v>
      </c>
      <c r="UU53" s="75">
        <f t="shared" si="1278"/>
        <v>2926706.7500002384</v>
      </c>
      <c r="UV53" s="75">
        <f t="shared" si="1278"/>
        <v>3705534.7500002384</v>
      </c>
      <c r="UW53" s="75">
        <f t="shared" si="1278"/>
        <v>4213170.7500002384</v>
      </c>
      <c r="UX53" s="130"/>
      <c r="UY53" s="75">
        <f t="shared" ref="UY53:VZ53" si="1279">UY51-UY52</f>
        <v>151467.75000023842</v>
      </c>
      <c r="UZ53" s="75">
        <f t="shared" si="1279"/>
        <v>995031.75000023842</v>
      </c>
      <c r="VA53" s="75">
        <f t="shared" si="1279"/>
        <v>-656670.24999976158</v>
      </c>
      <c r="VB53" s="75">
        <f t="shared" si="1279"/>
        <v>-2090290.2499997616</v>
      </c>
      <c r="VC53" s="75">
        <f t="shared" si="1279"/>
        <v>23072215.750000238</v>
      </c>
      <c r="VD53" s="75">
        <f t="shared" si="1279"/>
        <v>-1445308.2499997616</v>
      </c>
      <c r="VE53" s="75">
        <f t="shared" si="1279"/>
        <v>-1714716.2499997616</v>
      </c>
      <c r="VF53" s="75">
        <f t="shared" si="1279"/>
        <v>-1339030.2499997616</v>
      </c>
      <c r="VG53" s="75">
        <f t="shared" si="1279"/>
        <v>-1141287.2499997616</v>
      </c>
      <c r="VH53" s="75">
        <f t="shared" si="1279"/>
        <v>-569544.24999976158</v>
      </c>
      <c r="VI53" s="75">
        <f t="shared" si="1279"/>
        <v>-243156.24999976158</v>
      </c>
      <c r="VJ53" s="75">
        <f t="shared" si="1279"/>
        <v>211376.75000023842</v>
      </c>
      <c r="VK53" s="75">
        <f t="shared" si="1279"/>
        <v>523093.75000023842</v>
      </c>
      <c r="VL53" s="75">
        <f t="shared" si="1279"/>
        <v>894473.75000023842</v>
      </c>
      <c r="VM53" s="75">
        <f t="shared" si="1279"/>
        <v>976380.75000023842</v>
      </c>
      <c r="VN53" s="75">
        <f t="shared" si="1279"/>
        <v>1361425.7500002384</v>
      </c>
      <c r="VO53" s="75">
        <f t="shared" si="1279"/>
        <v>1797184.7500002384</v>
      </c>
      <c r="VP53" s="75">
        <f t="shared" si="1279"/>
        <v>2064310.7500002384</v>
      </c>
      <c r="VQ53" s="75">
        <f t="shared" si="1279"/>
        <v>2049462.7500002384</v>
      </c>
      <c r="VR53" s="75">
        <f t="shared" si="1279"/>
        <v>2628512.7500002384</v>
      </c>
      <c r="VS53" s="75">
        <f t="shared" si="1279"/>
        <v>2867178.7500002384</v>
      </c>
      <c r="VT53" s="75">
        <f t="shared" si="1279"/>
        <v>3271257.7500002384</v>
      </c>
      <c r="VU53" s="75">
        <f t="shared" si="1279"/>
        <v>3659831.7500002384</v>
      </c>
      <c r="VV53" s="75">
        <f t="shared" si="1279"/>
        <v>4115529.7500002384</v>
      </c>
      <c r="VW53" s="75">
        <f t="shared" si="1279"/>
        <v>4112660.7500002384</v>
      </c>
      <c r="VX53" s="75">
        <f t="shared" si="1279"/>
        <v>3984195.7500002384</v>
      </c>
      <c r="VY53" s="75">
        <f t="shared" si="1279"/>
        <v>4476694.7500002384</v>
      </c>
      <c r="VZ53" s="75">
        <f t="shared" si="1279"/>
        <v>5048597.7500002384</v>
      </c>
      <c r="WA53" s="143"/>
      <c r="WB53" s="75">
        <f t="shared" ref="WB53:XF53" si="1280">WB51-WB52</f>
        <v>-49062.249999761581</v>
      </c>
      <c r="WC53" s="75">
        <f t="shared" si="1280"/>
        <v>174716.75000023842</v>
      </c>
      <c r="WD53" s="75">
        <f t="shared" si="1280"/>
        <v>-1679000.2499997616</v>
      </c>
      <c r="WE53" s="75">
        <f t="shared" si="1280"/>
        <v>-2932167.2499997616</v>
      </c>
      <c r="WF53" s="75">
        <f t="shared" si="1280"/>
        <v>-2928380.2499997616</v>
      </c>
      <c r="WG53" s="75">
        <f t="shared" si="1280"/>
        <v>-2713271.2499997616</v>
      </c>
      <c r="WH53" s="75">
        <f t="shared" si="1280"/>
        <v>-2627249.2499997616</v>
      </c>
      <c r="WI53" s="75">
        <f t="shared" si="1280"/>
        <v>-2563191.2499997616</v>
      </c>
      <c r="WJ53" s="75">
        <f t="shared" si="1280"/>
        <v>-2529330.2499997616</v>
      </c>
      <c r="WK53" s="75">
        <f t="shared" si="1280"/>
        <v>-2392062.2499997616</v>
      </c>
      <c r="WL53" s="75">
        <f t="shared" si="1280"/>
        <v>-3928764.2499997616</v>
      </c>
      <c r="WM53" s="75">
        <f t="shared" si="1280"/>
        <v>-3166110.2499997616</v>
      </c>
      <c r="WN53" s="75">
        <f t="shared" si="1280"/>
        <v>-2647101.2499997616</v>
      </c>
      <c r="WO53" s="75">
        <f t="shared" si="1280"/>
        <v>-2384562.2499997616</v>
      </c>
      <c r="WP53" s="75">
        <f t="shared" si="1280"/>
        <v>-1849946.2499997616</v>
      </c>
      <c r="WQ53" s="75">
        <f t="shared" si="1280"/>
        <v>-1989781.2499997616</v>
      </c>
      <c r="WR53" s="75">
        <f t="shared" si="1280"/>
        <v>-1425621.2499997616</v>
      </c>
      <c r="WS53" s="75">
        <f t="shared" si="1280"/>
        <v>-895965.49999976158</v>
      </c>
      <c r="WT53" s="75">
        <f t="shared" si="1280"/>
        <v>-890629.24999976158</v>
      </c>
      <c r="WU53" s="75">
        <f t="shared" si="1280"/>
        <v>-581011.24999976158</v>
      </c>
      <c r="WV53" s="75">
        <f t="shared" si="1280"/>
        <v>-443734.24999976158</v>
      </c>
      <c r="WW53" s="75">
        <f t="shared" si="1280"/>
        <v>-537636.24999976158</v>
      </c>
      <c r="WX53" s="75">
        <f t="shared" si="1280"/>
        <v>-242311.24999976158</v>
      </c>
      <c r="WY53" s="75">
        <f t="shared" si="1280"/>
        <v>215258.75000023842</v>
      </c>
      <c r="WZ53" s="75">
        <f t="shared" si="1280"/>
        <v>-96254.249999761581</v>
      </c>
      <c r="XA53" s="75">
        <f t="shared" si="1280"/>
        <v>-217396.24999976158</v>
      </c>
      <c r="XB53" s="75">
        <f t="shared" si="1280"/>
        <v>927725.75000023842</v>
      </c>
      <c r="XC53" s="75">
        <f t="shared" si="1280"/>
        <v>1416409.7500002384</v>
      </c>
      <c r="XD53" s="75">
        <f t="shared" si="1280"/>
        <v>2456497.7500002384</v>
      </c>
      <c r="XE53" s="75">
        <f t="shared" si="1280"/>
        <v>1250214.7500002384</v>
      </c>
      <c r="XF53" s="75">
        <f t="shared" si="1280"/>
        <v>1537033.7500002384</v>
      </c>
      <c r="XG53" s="143"/>
      <c r="XH53" s="75">
        <f t="shared" ref="XH53:YK53" si="1281">XH51-XH52</f>
        <v>-518723.24999976158</v>
      </c>
      <c r="XI53" s="75">
        <f t="shared" si="1281"/>
        <v>-1402228.2499997616</v>
      </c>
      <c r="XJ53" s="75">
        <f t="shared" si="1281"/>
        <v>-1600552.2499997616</v>
      </c>
      <c r="XK53" s="75">
        <f t="shared" si="1281"/>
        <v>-3242431.2499997616</v>
      </c>
      <c r="XL53" s="75">
        <f t="shared" si="1281"/>
        <v>-3027787.2499997616</v>
      </c>
      <c r="XM53" s="75">
        <f t="shared" si="1281"/>
        <v>-2816136.2499997616</v>
      </c>
      <c r="XN53" s="75">
        <f t="shared" si="1281"/>
        <v>-2330705.2499997616</v>
      </c>
      <c r="XO53" s="75">
        <f t="shared" si="1281"/>
        <v>-1912375.2499997616</v>
      </c>
      <c r="XP53" s="75">
        <f t="shared" si="1281"/>
        <v>-2503379.2499997616</v>
      </c>
      <c r="XQ53" s="75">
        <f t="shared" si="1281"/>
        <v>-2105951.2499997616</v>
      </c>
      <c r="XR53" s="75">
        <f t="shared" si="1281"/>
        <v>-2293938.2499997616</v>
      </c>
      <c r="XS53" s="75">
        <f t="shared" si="1281"/>
        <v>-2205205.2499997616</v>
      </c>
      <c r="XT53" s="75">
        <f t="shared" si="1281"/>
        <v>-1928380.2499997616</v>
      </c>
      <c r="XU53" s="75">
        <f t="shared" si="1281"/>
        <v>-1379576.2499997616</v>
      </c>
      <c r="XV53" s="75">
        <f t="shared" si="1281"/>
        <v>-911516.24999976158</v>
      </c>
      <c r="XW53" s="75">
        <f t="shared" si="1281"/>
        <v>-415902.24999976158</v>
      </c>
      <c r="XX53" s="75">
        <f t="shared" si="1281"/>
        <v>-534836.24999976158</v>
      </c>
      <c r="XY53" s="75">
        <f t="shared" si="1281"/>
        <v>-384642.24999976158</v>
      </c>
      <c r="XZ53" s="75">
        <f t="shared" si="1281"/>
        <v>-459842.24999976158</v>
      </c>
      <c r="YA53" s="75">
        <f t="shared" si="1281"/>
        <v>-533242.24999976158</v>
      </c>
      <c r="YB53" s="75">
        <f t="shared" si="1281"/>
        <v>72413.750000238419</v>
      </c>
      <c r="YC53" s="75">
        <f t="shared" si="1281"/>
        <v>889038.75000023842</v>
      </c>
      <c r="YD53" s="75">
        <f t="shared" si="1281"/>
        <v>817586.75000023842</v>
      </c>
      <c r="YE53" s="75">
        <f t="shared" si="1281"/>
        <v>1308495.7500002384</v>
      </c>
      <c r="YF53" s="75">
        <f t="shared" si="1281"/>
        <v>1638802.7500002384</v>
      </c>
      <c r="YG53" s="75">
        <f t="shared" si="1281"/>
        <v>2250530.7500002384</v>
      </c>
      <c r="YH53" s="75">
        <f t="shared" si="1281"/>
        <v>2576022.7500002384</v>
      </c>
      <c r="YI53" s="75">
        <f t="shared" si="1281"/>
        <v>2174878.7500002384</v>
      </c>
      <c r="YJ53" s="75">
        <f t="shared" si="1281"/>
        <v>2669023.7500002384</v>
      </c>
      <c r="YK53" s="75">
        <f t="shared" si="1281"/>
        <v>2788645.7500002384</v>
      </c>
      <c r="YL53" s="130"/>
      <c r="YM53" s="75">
        <f t="shared" ref="YM53:ZQ53" si="1282">YM51-YM52</f>
        <v>306259.75000023842</v>
      </c>
      <c r="YN53" s="75">
        <f t="shared" si="1282"/>
        <v>-1435462.2499997616</v>
      </c>
      <c r="YO53" s="75">
        <f t="shared" si="1282"/>
        <v>-1014029.2499997616</v>
      </c>
      <c r="YP53" s="75">
        <f t="shared" si="1282"/>
        <v>-673773.24999976158</v>
      </c>
      <c r="YQ53" s="75">
        <f t="shared" si="1282"/>
        <v>-451223.24999976158</v>
      </c>
      <c r="YR53" s="75">
        <f t="shared" si="1282"/>
        <v>-1569520.2499997616</v>
      </c>
      <c r="YS53" s="75">
        <f t="shared" si="1282"/>
        <v>-1325172.2499997616</v>
      </c>
      <c r="YT53" s="75">
        <f t="shared" si="1282"/>
        <v>-1270350.2499997616</v>
      </c>
      <c r="YU53" s="75">
        <f t="shared" si="1282"/>
        <v>-1590035.2499997616</v>
      </c>
      <c r="YV53" s="75">
        <f t="shared" si="1282"/>
        <v>-2256563.2499997616</v>
      </c>
      <c r="YW53" s="75">
        <f t="shared" si="1282"/>
        <v>-1454768.2499997616</v>
      </c>
      <c r="YX53" s="75">
        <f t="shared" si="1282"/>
        <v>-1375096.2499997616</v>
      </c>
      <c r="YY53" s="75">
        <f t="shared" si="1282"/>
        <v>-1503915.2499997616</v>
      </c>
      <c r="YZ53" s="75">
        <f t="shared" si="1282"/>
        <v>-1205725.2499997616</v>
      </c>
      <c r="ZA53" s="75">
        <f t="shared" si="1282"/>
        <v>-1088144.2499997616</v>
      </c>
      <c r="ZB53" s="75">
        <f t="shared" si="1282"/>
        <v>-692520.24999976158</v>
      </c>
      <c r="ZC53" s="75">
        <f t="shared" si="1282"/>
        <v>-400204.24999976158</v>
      </c>
      <c r="ZD53" s="75">
        <f t="shared" si="1282"/>
        <v>148091.75000023842</v>
      </c>
      <c r="ZE53" s="75">
        <f t="shared" si="1282"/>
        <v>448186.75000023842</v>
      </c>
      <c r="ZF53" s="75">
        <f t="shared" si="1282"/>
        <v>628946.75000023842</v>
      </c>
      <c r="ZG53" s="75">
        <f t="shared" si="1282"/>
        <v>753580.75000023842</v>
      </c>
      <c r="ZH53" s="75">
        <f t="shared" si="1282"/>
        <v>1637631.7500002384</v>
      </c>
      <c r="ZI53" s="75">
        <f t="shared" si="1282"/>
        <v>1128475.7500002384</v>
      </c>
      <c r="ZJ53" s="75">
        <f t="shared" si="1282"/>
        <v>2749402.7500002384</v>
      </c>
      <c r="ZK53" s="75">
        <f t="shared" si="1282"/>
        <v>1712596.7500002384</v>
      </c>
      <c r="ZL53" s="75">
        <f t="shared" si="1282"/>
        <v>2466285.7500002384</v>
      </c>
      <c r="ZM53" s="75">
        <f t="shared" si="1282"/>
        <v>3144272.7500002384</v>
      </c>
      <c r="ZN53" s="75">
        <f t="shared" si="1282"/>
        <v>3387188.7500002384</v>
      </c>
      <c r="ZO53" s="75">
        <f t="shared" si="1282"/>
        <v>2935391.7500002384</v>
      </c>
      <c r="ZP53" s="75">
        <f t="shared" si="1282"/>
        <v>2772309.7500002384</v>
      </c>
      <c r="ZQ53" s="75">
        <f t="shared" si="1282"/>
        <v>3599823.7500002384</v>
      </c>
      <c r="ZR53" s="130"/>
      <c r="ZS53" s="75">
        <f t="shared" ref="ZS53:AAV53" si="1283">ZS51-ZS52</f>
        <v>174506.75000023842</v>
      </c>
      <c r="ZT53" s="75">
        <f t="shared" si="1283"/>
        <v>622503.75000023842</v>
      </c>
      <c r="ZU53" s="75">
        <f t="shared" si="1283"/>
        <v>2890509.7500002384</v>
      </c>
      <c r="ZV53" s="75">
        <f t="shared" si="1283"/>
        <v>2163537.7500002384</v>
      </c>
      <c r="ZW53" s="75">
        <f t="shared" si="1283"/>
        <v>2011902.7500002384</v>
      </c>
      <c r="ZX53" s="75">
        <f t="shared" si="1283"/>
        <v>1914898.7500002384</v>
      </c>
      <c r="ZY53" s="75">
        <f t="shared" si="1283"/>
        <v>2316665.7500002384</v>
      </c>
      <c r="ZZ53" s="75">
        <f t="shared" si="1283"/>
        <v>2466581.7500002384</v>
      </c>
      <c r="AAA53" s="75">
        <f t="shared" si="1283"/>
        <v>2971652.7500002384</v>
      </c>
      <c r="AAB53" s="75">
        <f t="shared" si="1283"/>
        <v>2139602.7500002384</v>
      </c>
      <c r="AAC53" s="75">
        <f t="shared" si="1283"/>
        <v>2324708.7500002384</v>
      </c>
      <c r="AAD53" s="75">
        <f t="shared" si="1283"/>
        <v>2712960.7500002384</v>
      </c>
      <c r="AAE53" s="75">
        <f t="shared" si="1283"/>
        <v>3196699.7500002384</v>
      </c>
      <c r="AAF53" s="75">
        <f t="shared" si="1283"/>
        <v>3856030.7500002384</v>
      </c>
      <c r="AAG53" s="75">
        <f t="shared" si="1283"/>
        <v>3943278.7500002384</v>
      </c>
      <c r="AAH53" s="75">
        <f t="shared" si="1283"/>
        <v>4214468.7500002384</v>
      </c>
      <c r="AAI53" s="75">
        <f t="shared" si="1283"/>
        <v>4513594.7500002384</v>
      </c>
      <c r="AAJ53" s="75">
        <f t="shared" si="1283"/>
        <v>4963085.7500002384</v>
      </c>
      <c r="AAK53" s="75">
        <f t="shared" si="1283"/>
        <v>4456498.7500002384</v>
      </c>
      <c r="AAL53" s="75">
        <f t="shared" si="1283"/>
        <v>5296717.7500002384</v>
      </c>
      <c r="AAM53" s="75">
        <f t="shared" si="1283"/>
        <v>5434482.7500002384</v>
      </c>
      <c r="AAN53" s="75">
        <f t="shared" si="1283"/>
        <v>5888989.7500002384</v>
      </c>
      <c r="AAO53" s="75">
        <f t="shared" si="1283"/>
        <v>6520540.7500002384</v>
      </c>
      <c r="AAP53" s="75">
        <f t="shared" si="1283"/>
        <v>6434637.7500002384</v>
      </c>
      <c r="AAQ53" s="75">
        <f t="shared" si="1283"/>
        <v>7063861.7500002384</v>
      </c>
      <c r="AAR53" s="75">
        <f t="shared" si="1283"/>
        <v>6920906.7500002384</v>
      </c>
      <c r="AAS53" s="75">
        <f t="shared" si="1283"/>
        <v>7365496.7500002384</v>
      </c>
      <c r="AAT53" s="75">
        <f t="shared" si="1283"/>
        <v>6118360.7500002384</v>
      </c>
      <c r="AAU53" s="75">
        <f t="shared" si="1283"/>
        <v>6239540.7500002384</v>
      </c>
      <c r="AAV53" s="75">
        <f t="shared" si="1283"/>
        <v>6008664.7500002384</v>
      </c>
      <c r="AAW53" s="130"/>
      <c r="AAX53" s="75">
        <f t="shared" ref="AAX53:ACB53" si="1284">AAX51-AAX52</f>
        <v>-976483.24999976158</v>
      </c>
      <c r="AAY53" s="75">
        <f t="shared" si="1284"/>
        <v>-2834152.2499997616</v>
      </c>
      <c r="AAZ53" s="75">
        <f t="shared" si="1284"/>
        <v>-2424325.2499997616</v>
      </c>
      <c r="ABA53" s="75">
        <f t="shared" si="1284"/>
        <v>-2183617.2499997616</v>
      </c>
      <c r="ABB53" s="75">
        <f t="shared" si="1284"/>
        <v>-1944881.2499997616</v>
      </c>
      <c r="ABC53" s="75">
        <f t="shared" si="1284"/>
        <v>-1518136.2499997616</v>
      </c>
      <c r="ABD53" s="75">
        <f t="shared" si="1284"/>
        <v>-1301676.2499997616</v>
      </c>
      <c r="ABE53" s="75">
        <f t="shared" si="1284"/>
        <v>-864502.24999976158</v>
      </c>
      <c r="ABF53" s="75">
        <f t="shared" si="1284"/>
        <v>-414150.24999976158</v>
      </c>
      <c r="ABG53" s="75">
        <f t="shared" si="1284"/>
        <v>-1092702.2499997616</v>
      </c>
      <c r="ABH53" s="75">
        <f t="shared" si="1284"/>
        <v>247702.75000023842</v>
      </c>
      <c r="ABI53" s="75">
        <f t="shared" si="1284"/>
        <v>390795.75000023842</v>
      </c>
      <c r="ABJ53" s="75">
        <f t="shared" si="1284"/>
        <v>267769.75000023842</v>
      </c>
      <c r="ABK53" s="75">
        <f t="shared" si="1284"/>
        <v>768949.75000023842</v>
      </c>
      <c r="ABL53" s="75">
        <f t="shared" si="1284"/>
        <v>1042681.7500002384</v>
      </c>
      <c r="ABM53" s="75">
        <f t="shared" si="1284"/>
        <v>699868.75000023842</v>
      </c>
      <c r="ABN53" s="75">
        <f t="shared" si="1284"/>
        <v>-3991972.2499997616</v>
      </c>
      <c r="ABO53" s="75">
        <f t="shared" si="1284"/>
        <v>-3675219.2499997616</v>
      </c>
      <c r="ABP53" s="75">
        <f t="shared" si="1284"/>
        <v>-4296481.2499997616</v>
      </c>
      <c r="ABQ53" s="75">
        <f t="shared" si="1284"/>
        <v>-3973159.2499997616</v>
      </c>
      <c r="ABR53" s="75">
        <f t="shared" si="1284"/>
        <v>-3594193.2499997616</v>
      </c>
      <c r="ABS53" s="75">
        <f t="shared" si="1284"/>
        <v>-3812333.2499997616</v>
      </c>
      <c r="ABT53" s="75">
        <f t="shared" si="1284"/>
        <v>-3108594.2499997616</v>
      </c>
      <c r="ABU53" s="75">
        <f t="shared" si="1284"/>
        <v>-3042335.2499997616</v>
      </c>
      <c r="ABV53" s="75">
        <f t="shared" si="1284"/>
        <v>-2782839.2499997616</v>
      </c>
      <c r="ABW53" s="75">
        <f t="shared" si="1284"/>
        <v>-2261625.2499997616</v>
      </c>
      <c r="ABX53" s="75">
        <f t="shared" si="1284"/>
        <v>-1702329.2499997616</v>
      </c>
      <c r="ABY53" s="75">
        <f t="shared" si="1284"/>
        <v>-1435279.2499997616</v>
      </c>
      <c r="ABZ53" s="75">
        <f t="shared" si="1284"/>
        <v>-1024137.2499997616</v>
      </c>
      <c r="ACA53" s="75">
        <f t="shared" si="1284"/>
        <v>-1390530.2499997616</v>
      </c>
      <c r="ACB53" s="75">
        <f t="shared" si="1284"/>
        <v>-3487271.2499997616</v>
      </c>
      <c r="ACC53" s="130"/>
      <c r="ACD53" s="75">
        <f t="shared" ref="ACD53:ADH53" si="1285">ACD51-ACD52</f>
        <v>585315.75000023842</v>
      </c>
      <c r="ACE53" s="75">
        <f t="shared" si="1285"/>
        <v>980981.75000023842</v>
      </c>
      <c r="ACF53" s="75">
        <f t="shared" si="1285"/>
        <v>1322225.7500002384</v>
      </c>
      <c r="ACG53" s="75">
        <f t="shared" si="1285"/>
        <v>-679894.24999976158</v>
      </c>
      <c r="ACH53" s="75">
        <f t="shared" si="1285"/>
        <v>-275230.24999976158</v>
      </c>
      <c r="ACI53" s="75">
        <f t="shared" si="1285"/>
        <v>-393019.24999976158</v>
      </c>
      <c r="ACJ53" s="75">
        <f t="shared" si="1285"/>
        <v>-3014629.2499997616</v>
      </c>
      <c r="ACK53" s="75">
        <f t="shared" si="1285"/>
        <v>-3208047.2499997616</v>
      </c>
      <c r="ACL53" s="75">
        <f t="shared" si="1285"/>
        <v>-2998999.2499997616</v>
      </c>
      <c r="ACM53" s="75">
        <f t="shared" si="1285"/>
        <v>-2536146.2499997616</v>
      </c>
      <c r="ACN53" s="75">
        <f t="shared" si="1285"/>
        <v>-1338747.2499997616</v>
      </c>
      <c r="ACO53" s="75">
        <f t="shared" si="1285"/>
        <v>-1618140.2499997616</v>
      </c>
      <c r="ACP53" s="75">
        <f t="shared" si="1285"/>
        <v>-2848517.2499997616</v>
      </c>
      <c r="ACQ53" s="75">
        <f t="shared" si="1285"/>
        <v>-3458177.2499997616</v>
      </c>
      <c r="ACR53" s="75">
        <f t="shared" si="1285"/>
        <v>-3033568.2499997616</v>
      </c>
      <c r="ACS53" s="75">
        <f t="shared" si="1285"/>
        <v>-2640482.2499997616</v>
      </c>
      <c r="ACT53" s="75">
        <f t="shared" si="1285"/>
        <v>-1989320.2499997616</v>
      </c>
      <c r="ACU53" s="75">
        <f t="shared" si="1285"/>
        <v>-2030473.2499997616</v>
      </c>
      <c r="ACV53" s="75">
        <f t="shared" si="1285"/>
        <v>-2102607.2499997616</v>
      </c>
      <c r="ACW53" s="75">
        <f t="shared" si="1285"/>
        <v>-1006568.2499997616</v>
      </c>
      <c r="ACX53" s="75">
        <f t="shared" si="1285"/>
        <v>1504961.7500002384</v>
      </c>
      <c r="ACY53" s="75">
        <f t="shared" si="1285"/>
        <v>2120411.7500002384</v>
      </c>
      <c r="ACZ53" s="75">
        <f t="shared" si="1285"/>
        <v>2455771.7500002384</v>
      </c>
      <c r="ADA53" s="75">
        <f t="shared" si="1285"/>
        <v>2725598.7500002384</v>
      </c>
      <c r="ADB53" s="75">
        <f t="shared" si="1285"/>
        <v>2477680.7500002384</v>
      </c>
      <c r="ADC53" s="75">
        <f t="shared" si="1285"/>
        <v>2195524.7500002384</v>
      </c>
      <c r="ADD53" s="75">
        <f t="shared" si="1285"/>
        <v>2763115.7500002384</v>
      </c>
      <c r="ADE53" s="75">
        <f t="shared" si="1285"/>
        <v>2850972.7500002384</v>
      </c>
      <c r="ADF53" s="75">
        <f t="shared" si="1285"/>
        <v>3523331.7500002384</v>
      </c>
      <c r="ADG53" s="75">
        <f t="shared" si="1285"/>
        <v>4233853.7500002384</v>
      </c>
      <c r="ADH53" s="75">
        <f t="shared" si="1285"/>
        <v>4050272.7500002384</v>
      </c>
      <c r="ADI53" s="130"/>
      <c r="ADJ53" s="75">
        <f t="shared" ref="ADJ53:AEM53" si="1286">ADJ51-ADJ52</f>
        <v>620688.75000023842</v>
      </c>
      <c r="ADK53" s="75">
        <f t="shared" si="1286"/>
        <v>765630.75000023842</v>
      </c>
      <c r="ADL53" s="75">
        <f t="shared" si="1286"/>
        <v>-1070158.2499997616</v>
      </c>
      <c r="ADM53" s="75">
        <f t="shared" si="1286"/>
        <v>-859969.24999976158</v>
      </c>
      <c r="ADN53" s="75">
        <f t="shared" si="1286"/>
        <v>-901754.24999976158</v>
      </c>
      <c r="ADO53" s="75">
        <f t="shared" si="1286"/>
        <v>-722498.24999976158</v>
      </c>
      <c r="ADP53" s="75">
        <f t="shared" si="1286"/>
        <v>726914.75000023842</v>
      </c>
      <c r="ADQ53" s="75">
        <f t="shared" si="1286"/>
        <v>885061.75000023842</v>
      </c>
      <c r="ADR53" s="75">
        <f t="shared" si="1286"/>
        <v>1314486.7500002384</v>
      </c>
      <c r="ADS53" s="75">
        <f t="shared" si="1286"/>
        <v>1644686.7500002384</v>
      </c>
      <c r="ADT53" s="75">
        <f t="shared" si="1286"/>
        <v>1925031.7500002384</v>
      </c>
      <c r="ADU53" s="75">
        <f t="shared" si="1286"/>
        <v>2417246.7500002384</v>
      </c>
      <c r="ADV53" s="75">
        <f t="shared" si="1286"/>
        <v>2740077.7500002384</v>
      </c>
      <c r="ADW53" s="75">
        <f t="shared" si="1286"/>
        <v>642947.75000023842</v>
      </c>
      <c r="ADX53" s="75">
        <f t="shared" si="1286"/>
        <v>1013688.7500002384</v>
      </c>
      <c r="ADY53" s="75">
        <f t="shared" si="1286"/>
        <v>1336078.7500002384</v>
      </c>
      <c r="ADZ53" s="75">
        <f t="shared" si="1286"/>
        <v>1259383.7500002384</v>
      </c>
      <c r="AEA53" s="75">
        <f t="shared" si="1286"/>
        <v>1426699.7500002384</v>
      </c>
      <c r="AEB53" s="75">
        <f t="shared" si="1286"/>
        <v>3621165.7500002384</v>
      </c>
      <c r="AEC53" s="75">
        <f t="shared" si="1286"/>
        <v>3690951.7500002384</v>
      </c>
      <c r="AED53" s="75">
        <f t="shared" si="1286"/>
        <v>4170430.7500002384</v>
      </c>
      <c r="AEE53" s="75">
        <f t="shared" si="1286"/>
        <v>3864986.7500002384</v>
      </c>
      <c r="AEF53" s="75">
        <f t="shared" si="1286"/>
        <v>4649214.7500002384</v>
      </c>
      <c r="AEG53" s="75">
        <f t="shared" si="1286"/>
        <v>4706449.7500002384</v>
      </c>
      <c r="AEH53" s="75">
        <f t="shared" si="1286"/>
        <v>5095490.7500002384</v>
      </c>
      <c r="AEI53" s="75">
        <f t="shared" si="1286"/>
        <v>4912947.7500002384</v>
      </c>
      <c r="AEJ53" s="75">
        <f t="shared" si="1286"/>
        <v>5210024.7500002384</v>
      </c>
      <c r="AEK53" s="75">
        <f t="shared" si="1286"/>
        <v>5662503.7500002384</v>
      </c>
      <c r="AEL53" s="75">
        <f t="shared" si="1286"/>
        <v>5931615.7500002384</v>
      </c>
      <c r="AEM53" s="75">
        <f t="shared" si="1286"/>
        <v>5865111.7500002384</v>
      </c>
      <c r="AEN53" s="130"/>
      <c r="AEO53" s="75">
        <f t="shared" ref="AEO53:AFS53" si="1287">AEO51-AEO52</f>
        <v>112426.75000023842</v>
      </c>
      <c r="AEP53" s="75">
        <f t="shared" si="1287"/>
        <v>390870.75000023842</v>
      </c>
      <c r="AEQ53" s="75">
        <f t="shared" si="1287"/>
        <v>815927.75000023842</v>
      </c>
      <c r="AER53" s="75">
        <f t="shared" si="1287"/>
        <v>-304487.24999976158</v>
      </c>
      <c r="AES53" s="75">
        <f t="shared" si="1287"/>
        <v>215233.75000023842</v>
      </c>
      <c r="AET53" s="75">
        <f t="shared" si="1287"/>
        <v>951782.75000023842</v>
      </c>
      <c r="AEU53" s="75">
        <f t="shared" si="1287"/>
        <v>-722008.24999976158</v>
      </c>
      <c r="AEV53" s="75">
        <f t="shared" si="1287"/>
        <v>-593458.24999976158</v>
      </c>
      <c r="AEW53" s="75">
        <f t="shared" si="1287"/>
        <v>-644594.24999976158</v>
      </c>
      <c r="AEX53" s="75">
        <f t="shared" si="1287"/>
        <v>-426921.24999976158</v>
      </c>
      <c r="AEY53" s="75">
        <f t="shared" si="1287"/>
        <v>-563287.24999976158</v>
      </c>
      <c r="AEZ53" s="75">
        <f t="shared" si="1287"/>
        <v>-96422.249999761581</v>
      </c>
      <c r="AFA53" s="75">
        <f t="shared" si="1287"/>
        <v>-310001.24999976158</v>
      </c>
      <c r="AFB53" s="75">
        <f t="shared" si="1287"/>
        <v>-1566072.2499997616</v>
      </c>
      <c r="AFC53" s="75">
        <f t="shared" si="1287"/>
        <v>-1357560.2499997616</v>
      </c>
      <c r="AFD53" s="75">
        <f t="shared" si="1287"/>
        <v>-745147.24999976158</v>
      </c>
      <c r="AFE53" s="75">
        <f t="shared" si="1287"/>
        <v>-253794.24999976158</v>
      </c>
      <c r="AFF53" s="75">
        <f t="shared" si="1287"/>
        <v>-668885.24999976158</v>
      </c>
      <c r="AFG53" s="75">
        <f t="shared" si="1287"/>
        <v>496899.75000023842</v>
      </c>
      <c r="AFH53" s="75">
        <f t="shared" si="1287"/>
        <v>539101.75000023842</v>
      </c>
      <c r="AFI53" s="75">
        <f t="shared" si="1287"/>
        <v>1026322.7500002384</v>
      </c>
      <c r="AFJ53" s="75">
        <f t="shared" si="1287"/>
        <v>1154924.7500002384</v>
      </c>
      <c r="AFK53" s="75">
        <f t="shared" si="1287"/>
        <v>1517398.7500002384</v>
      </c>
      <c r="AFL53" s="75">
        <f t="shared" si="1287"/>
        <v>1352093.7500002384</v>
      </c>
      <c r="AFM53" s="75">
        <f t="shared" si="1287"/>
        <v>1735511.7500002384</v>
      </c>
      <c r="AFN53" s="75">
        <f t="shared" si="1287"/>
        <v>2178962.7500002384</v>
      </c>
      <c r="AFO53" s="75">
        <f t="shared" si="1287"/>
        <v>1997897.7500002384</v>
      </c>
      <c r="AFP53" s="75">
        <f t="shared" si="1287"/>
        <v>2037690.7500002384</v>
      </c>
      <c r="AFQ53" s="75">
        <f t="shared" si="1287"/>
        <v>1208991.7500002384</v>
      </c>
      <c r="AFR53" s="75">
        <f t="shared" si="1287"/>
        <v>2426584.7500002384</v>
      </c>
      <c r="AFS53" s="75">
        <f t="shared" si="1287"/>
        <v>2811661.7500002384</v>
      </c>
      <c r="AFT53" s="130"/>
      <c r="AFU53" s="75">
        <f t="shared" ref="AFU53:AGX53" si="1288">AFU51-AFU52</f>
        <v>139542.75000023842</v>
      </c>
      <c r="AFV53" s="75">
        <f t="shared" si="1288"/>
        <v>530213.75000023842</v>
      </c>
      <c r="AFW53" s="75">
        <f t="shared" si="1288"/>
        <v>1194362.7500002384</v>
      </c>
      <c r="AFX53" s="75">
        <f t="shared" si="1288"/>
        <v>1498711.7500002384</v>
      </c>
      <c r="AFY53" s="75">
        <f t="shared" si="1288"/>
        <v>-947506.24999976158</v>
      </c>
      <c r="AFZ53" s="75">
        <f t="shared" si="1288"/>
        <v>-425906.24999976158</v>
      </c>
      <c r="AGA53" s="75">
        <f t="shared" si="1288"/>
        <v>64904.750000238419</v>
      </c>
      <c r="AGB53" s="75">
        <f t="shared" si="1288"/>
        <v>135219.75000023842</v>
      </c>
      <c r="AGC53" s="75">
        <f t="shared" si="1288"/>
        <v>455268.75000023842</v>
      </c>
      <c r="AGD53" s="75">
        <f t="shared" si="1288"/>
        <v>-209380.24999976158</v>
      </c>
      <c r="AGE53" s="75">
        <f t="shared" si="1288"/>
        <v>321866.75000023842</v>
      </c>
      <c r="AGF53" s="75">
        <f t="shared" si="1288"/>
        <v>-73560.249999761581</v>
      </c>
      <c r="AGG53" s="75">
        <f t="shared" si="1288"/>
        <v>301894.75000023842</v>
      </c>
      <c r="AGH53" s="75">
        <f t="shared" si="1288"/>
        <v>1853440.7500002384</v>
      </c>
      <c r="AGI53" s="75">
        <f t="shared" si="1288"/>
        <v>1433009.7500002384</v>
      </c>
      <c r="AGJ53" s="75">
        <f t="shared" si="1288"/>
        <v>2590264.7500002384</v>
      </c>
      <c r="AGK53" s="75">
        <f t="shared" si="1288"/>
        <v>2101550.7500002384</v>
      </c>
      <c r="AGL53" s="75">
        <f t="shared" si="1288"/>
        <v>2647011.7500002384</v>
      </c>
      <c r="AGM53" s="75">
        <f t="shared" si="1288"/>
        <v>2831151.7500002384</v>
      </c>
      <c r="AGN53" s="75">
        <f t="shared" si="1288"/>
        <v>1849418.7500002384</v>
      </c>
      <c r="AGO53" s="75">
        <f t="shared" si="1288"/>
        <v>2003552.7500002384</v>
      </c>
      <c r="AGP53" s="75">
        <f t="shared" si="1288"/>
        <v>1849324.7500002384</v>
      </c>
      <c r="AGQ53" s="75">
        <f t="shared" si="1288"/>
        <v>2336093.7500002384</v>
      </c>
      <c r="AGR53" s="75">
        <f t="shared" si="1288"/>
        <v>2568118.7500002384</v>
      </c>
      <c r="AGS53" s="75">
        <f t="shared" si="1288"/>
        <v>2747145.7500002384</v>
      </c>
      <c r="AGT53" s="75">
        <f t="shared" si="1288"/>
        <v>3270464.7500002384</v>
      </c>
      <c r="AGU53" s="75">
        <f t="shared" si="1288"/>
        <v>3336951.7500002384</v>
      </c>
      <c r="AGV53" s="75">
        <f t="shared" si="1288"/>
        <v>4175322.7500002384</v>
      </c>
      <c r="AGW53" s="75">
        <f t="shared" si="1288"/>
        <v>4595455.7500002384</v>
      </c>
      <c r="AGX53" s="75">
        <f t="shared" si="1288"/>
        <v>5053364.7500002384</v>
      </c>
      <c r="AGY53" s="143"/>
      <c r="AGZ53" s="75">
        <f t="shared" ref="AGZ53:AID53" si="1289">AGZ51-AGZ52</f>
        <v>756873.75000023842</v>
      </c>
      <c r="AHA53" s="75">
        <f t="shared" si="1289"/>
        <v>1175748.7500002384</v>
      </c>
      <c r="AHB53" s="75">
        <f t="shared" si="1289"/>
        <v>-888871.24999976158</v>
      </c>
      <c r="AHC53" s="75">
        <f t="shared" si="1289"/>
        <v>-157860.24999976158</v>
      </c>
      <c r="AHD53" s="75">
        <f t="shared" si="1289"/>
        <v>366552.75000023842</v>
      </c>
      <c r="AHE53" s="75">
        <f t="shared" si="1289"/>
        <v>-307146.24999976158</v>
      </c>
      <c r="AHF53" s="75">
        <f t="shared" si="1289"/>
        <v>17010.750000238419</v>
      </c>
      <c r="AHG53" s="75">
        <f t="shared" si="1289"/>
        <v>519080.75000023842</v>
      </c>
      <c r="AHH53" s="75">
        <f t="shared" si="1289"/>
        <v>951928.75000023842</v>
      </c>
      <c r="AHI53" s="75">
        <f t="shared" si="1289"/>
        <v>1314335.7500002384</v>
      </c>
      <c r="AHJ53" s="75">
        <f t="shared" si="1289"/>
        <v>1378318.7500002384</v>
      </c>
      <c r="AHK53" s="75">
        <f t="shared" si="1289"/>
        <v>2039640.7500002384</v>
      </c>
      <c r="AHL53" s="75">
        <f t="shared" si="1289"/>
        <v>171444.75000023842</v>
      </c>
      <c r="AHM53" s="75">
        <f t="shared" si="1289"/>
        <v>490642.75000023842</v>
      </c>
      <c r="AHN53" s="75">
        <f t="shared" si="1289"/>
        <v>1068411.7500002384</v>
      </c>
      <c r="AHO53" s="75">
        <f t="shared" si="1289"/>
        <v>1548271.7500002384</v>
      </c>
      <c r="AHP53" s="75">
        <f t="shared" si="1289"/>
        <v>968072.75000023842</v>
      </c>
      <c r="AHQ53" s="75">
        <f t="shared" si="1289"/>
        <v>1620086.7500002384</v>
      </c>
      <c r="AHR53" s="75">
        <f t="shared" si="1289"/>
        <v>2020068.7500002384</v>
      </c>
      <c r="AHS53" s="75">
        <f t="shared" si="1289"/>
        <v>3270978.7500002384</v>
      </c>
      <c r="AHT53" s="75">
        <f t="shared" si="1289"/>
        <v>3299798.7500002384</v>
      </c>
      <c r="AHU53" s="75">
        <f t="shared" si="1289"/>
        <v>3740130.7500002384</v>
      </c>
      <c r="AHV53" s="75">
        <f t="shared" si="1289"/>
        <v>4186493.7500002384</v>
      </c>
      <c r="AHW53" s="75">
        <f t="shared" si="1289"/>
        <v>4995228.7500002384</v>
      </c>
      <c r="AHX53" s="75">
        <f t="shared" si="1289"/>
        <v>5768312.7500002384</v>
      </c>
      <c r="AHY53" s="75">
        <f t="shared" si="1289"/>
        <v>5949945.7500002384</v>
      </c>
      <c r="AHZ53" s="75">
        <f t="shared" si="1289"/>
        <v>6290098.7500002384</v>
      </c>
      <c r="AIA53" s="75">
        <f t="shared" si="1289"/>
        <v>6353000.7500002384</v>
      </c>
      <c r="AIB53" s="75">
        <f t="shared" si="1289"/>
        <v>6890228.7500002384</v>
      </c>
      <c r="AIC53" s="75">
        <f t="shared" si="1289"/>
        <v>6660190.7500002384</v>
      </c>
      <c r="AID53" s="75">
        <f t="shared" si="1289"/>
        <v>6653547.7500002384</v>
      </c>
      <c r="AIE53" s="130"/>
      <c r="AIF53" s="75">
        <f t="shared" ref="AIF53:AJJ53" si="1290">AIF51-AIF52</f>
        <v>227963.75000023842</v>
      </c>
      <c r="AIG53" s="75">
        <f t="shared" si="1290"/>
        <v>813972.75000023842</v>
      </c>
      <c r="AIH53" s="75">
        <f t="shared" si="1290"/>
        <v>1336882.7500002384</v>
      </c>
      <c r="AII53" s="75">
        <f t="shared" si="1290"/>
        <v>885702.75000023842</v>
      </c>
      <c r="AIJ53" s="75">
        <f t="shared" si="1290"/>
        <v>809660.75000023842</v>
      </c>
      <c r="AIK53" s="75">
        <f t="shared" si="1290"/>
        <v>1582301.7500002384</v>
      </c>
      <c r="AIL53" s="75">
        <f t="shared" si="1290"/>
        <v>-549904.24999976158</v>
      </c>
      <c r="AIM53" s="75">
        <f t="shared" si="1290"/>
        <v>-124608.24999976158</v>
      </c>
      <c r="AIN53" s="75">
        <f t="shared" si="1290"/>
        <v>-130243.24999976158</v>
      </c>
      <c r="AIO53" s="75">
        <f t="shared" si="1290"/>
        <v>513537.75000023842</v>
      </c>
      <c r="AIP53" s="75">
        <f t="shared" si="1290"/>
        <v>731497.75000023842</v>
      </c>
      <c r="AIQ53" s="75">
        <f t="shared" si="1290"/>
        <v>1179618.7500002384</v>
      </c>
      <c r="AIR53" s="75">
        <f t="shared" si="1290"/>
        <v>-542988.24999976158</v>
      </c>
      <c r="AIS53" s="75">
        <f t="shared" si="1290"/>
        <v>637097.75000023842</v>
      </c>
      <c r="AIT53" s="75">
        <f t="shared" si="1290"/>
        <v>683370.75000023842</v>
      </c>
      <c r="AIU53" s="75">
        <f t="shared" si="1290"/>
        <v>785208.75000023842</v>
      </c>
      <c r="AIV53" s="75">
        <f t="shared" si="1290"/>
        <v>697883.75000023842</v>
      </c>
      <c r="AIW53" s="75">
        <f t="shared" si="1290"/>
        <v>466924.75000023842</v>
      </c>
      <c r="AIX53" s="75">
        <f t="shared" si="1290"/>
        <v>1252427.7500002384</v>
      </c>
      <c r="AIY53" s="75">
        <f t="shared" si="1290"/>
        <v>1168007.7500002384</v>
      </c>
      <c r="AIZ53" s="75">
        <f t="shared" si="1290"/>
        <v>1558481.7500002384</v>
      </c>
      <c r="AJA53" s="75">
        <f t="shared" si="1290"/>
        <v>2539820.7500002384</v>
      </c>
      <c r="AJB53" s="75">
        <f t="shared" si="1290"/>
        <v>2954604.7500002384</v>
      </c>
      <c r="AJC53" s="75">
        <f t="shared" si="1290"/>
        <v>3429661.7500002384</v>
      </c>
      <c r="AJD53" s="75">
        <f t="shared" si="1290"/>
        <v>3362634.7500002384</v>
      </c>
      <c r="AJE53" s="75">
        <f t="shared" si="1290"/>
        <v>3448313.7500002384</v>
      </c>
      <c r="AJF53" s="75">
        <f t="shared" si="1290"/>
        <v>3814962.7500002384</v>
      </c>
      <c r="AJG53" s="75">
        <f t="shared" si="1290"/>
        <v>4014462.7500002384</v>
      </c>
      <c r="AJH53" s="75">
        <f t="shared" si="1290"/>
        <v>4451594.7500002384</v>
      </c>
      <c r="AJI53" s="75">
        <f t="shared" si="1290"/>
        <v>7171813.7500002384</v>
      </c>
      <c r="AJJ53" s="75">
        <f t="shared" si="1290"/>
        <v>7441775.7500002384</v>
      </c>
      <c r="AJK53" s="145"/>
      <c r="AJL53" s="75">
        <f t="shared" ref="AJL53:AKM53" si="1291">AJL51-AJL52</f>
        <v>219228.75000023842</v>
      </c>
      <c r="AJM53" s="75">
        <f t="shared" si="1291"/>
        <v>1542584.7500002384</v>
      </c>
      <c r="AJN53" s="75">
        <f t="shared" si="1291"/>
        <v>1123903.7500002384</v>
      </c>
      <c r="AJO53" s="75">
        <f t="shared" si="1291"/>
        <v>-471281.24999976158</v>
      </c>
      <c r="AJP53" s="75">
        <f t="shared" si="1291"/>
        <v>595087.75000023842</v>
      </c>
      <c r="AJQ53" s="75">
        <f t="shared" si="1291"/>
        <v>331331.75000023842</v>
      </c>
      <c r="AJR53" s="75">
        <f t="shared" si="1291"/>
        <v>-222571.24999976158</v>
      </c>
      <c r="AJS53" s="75">
        <f t="shared" si="1291"/>
        <v>198055.75000023842</v>
      </c>
      <c r="AJT53" s="75">
        <f t="shared" si="1291"/>
        <v>555151.75000023842</v>
      </c>
      <c r="AJU53" s="75">
        <f t="shared" si="1291"/>
        <v>8632420.7500002384</v>
      </c>
      <c r="AJV53" s="75">
        <f t="shared" si="1291"/>
        <v>1402886.7500002384</v>
      </c>
      <c r="AJW53" s="75">
        <f t="shared" si="1291"/>
        <v>1890243.7500002384</v>
      </c>
      <c r="AJX53" s="75">
        <f t="shared" si="1291"/>
        <v>2685434.7500002384</v>
      </c>
      <c r="AJY53" s="75">
        <f t="shared" si="1291"/>
        <v>2136395.7500002384</v>
      </c>
      <c r="AJZ53" s="75">
        <f t="shared" si="1291"/>
        <v>2127792.7500002384</v>
      </c>
      <c r="AKA53" s="75">
        <f t="shared" si="1291"/>
        <v>2889665.7500002384</v>
      </c>
      <c r="AKB53" s="75">
        <f t="shared" si="1291"/>
        <v>3111939.7500002384</v>
      </c>
      <c r="AKC53" s="75">
        <f t="shared" si="1291"/>
        <v>3429815.7500002384</v>
      </c>
      <c r="AKD53" s="75">
        <f t="shared" si="1291"/>
        <v>3583662.7500002384</v>
      </c>
      <c r="AKE53" s="75">
        <f t="shared" si="1291"/>
        <v>4011989.7500002384</v>
      </c>
      <c r="AKF53" s="75">
        <f t="shared" si="1291"/>
        <v>4100300.7500002384</v>
      </c>
      <c r="AKG53" s="75">
        <f t="shared" si="1291"/>
        <v>4168196.7500002384</v>
      </c>
      <c r="AKH53" s="75">
        <f t="shared" si="1291"/>
        <v>1117502.7500002384</v>
      </c>
      <c r="AKI53" s="75">
        <f t="shared" si="1291"/>
        <v>1668781.7500002384</v>
      </c>
      <c r="AKJ53" s="75">
        <f t="shared" si="1291"/>
        <v>1921034.7500002384</v>
      </c>
      <c r="AKK53" s="75">
        <f t="shared" si="1291"/>
        <v>2666065.7500002384</v>
      </c>
      <c r="AKL53" s="75">
        <f t="shared" si="1291"/>
        <v>2194463.7500002384</v>
      </c>
      <c r="AKM53" s="75">
        <f t="shared" si="1291"/>
        <v>2378451.7500002384</v>
      </c>
      <c r="AKN53" s="155"/>
      <c r="AKO53" s="75">
        <f t="shared" ref="AKO53:ALS53" si="1292">AKO51-AKO52</f>
        <v>-328470.24999976158</v>
      </c>
      <c r="AKP53" s="75">
        <f t="shared" si="1292"/>
        <v>578986.75000023842</v>
      </c>
      <c r="AKQ53" s="75">
        <f t="shared" si="1292"/>
        <v>777348.75000023842</v>
      </c>
      <c r="AKR53" s="75">
        <f t="shared" si="1292"/>
        <v>-1402586.2499997616</v>
      </c>
      <c r="AKS53" s="75">
        <f t="shared" si="1292"/>
        <v>-1312664.2499997616</v>
      </c>
      <c r="AKT53" s="75">
        <f t="shared" si="1292"/>
        <v>55223203.750000238</v>
      </c>
      <c r="AKU53" s="75">
        <f t="shared" si="1292"/>
        <v>-1031832.2499997616</v>
      </c>
      <c r="AKV53" s="75">
        <f t="shared" si="1292"/>
        <v>-739989.24999976158</v>
      </c>
      <c r="AKW53" s="75">
        <f t="shared" si="1292"/>
        <v>-1343843.2499997616</v>
      </c>
      <c r="AKX53" s="75">
        <f t="shared" si="1292"/>
        <v>-1841619.2499997616</v>
      </c>
      <c r="AKY53" s="75">
        <f t="shared" si="1292"/>
        <v>-1608711.2499997616</v>
      </c>
      <c r="AKZ53" s="75">
        <f t="shared" si="1292"/>
        <v>-1295984.2499997616</v>
      </c>
      <c r="ALA53" s="75">
        <f t="shared" si="1292"/>
        <v>-227459.24999976158</v>
      </c>
      <c r="ALB53" s="75">
        <f t="shared" si="1292"/>
        <v>-224861.24999976158</v>
      </c>
      <c r="ALC53" s="75">
        <f t="shared" si="1292"/>
        <v>-178107.24999976158</v>
      </c>
      <c r="ALD53" s="75">
        <f t="shared" si="1292"/>
        <v>-144133.24999976158</v>
      </c>
      <c r="ALE53" s="75">
        <f t="shared" si="1292"/>
        <v>414323.75000023842</v>
      </c>
      <c r="ALF53" s="75">
        <f t="shared" si="1292"/>
        <v>311218.75000023842</v>
      </c>
      <c r="ALG53" s="75">
        <f t="shared" si="1292"/>
        <v>244992.75000023842</v>
      </c>
      <c r="ALH53" s="75">
        <f t="shared" si="1292"/>
        <v>385044.75000023842</v>
      </c>
      <c r="ALI53" s="75">
        <f t="shared" si="1292"/>
        <v>629174.75000023842</v>
      </c>
      <c r="ALJ53" s="75">
        <f t="shared" si="1292"/>
        <v>1024249.7500002384</v>
      </c>
      <c r="ALK53" s="75">
        <f t="shared" si="1292"/>
        <v>2030479.7500002384</v>
      </c>
      <c r="ALL53" s="75">
        <f t="shared" si="1292"/>
        <v>2904400.7500002384</v>
      </c>
      <c r="ALM53" s="75">
        <f t="shared" si="1292"/>
        <v>2919498.7500002384</v>
      </c>
      <c r="ALN53" s="75">
        <f t="shared" si="1292"/>
        <v>2952960.7500002384</v>
      </c>
      <c r="ALO53" s="75">
        <f t="shared" si="1292"/>
        <v>2564594.7500002384</v>
      </c>
      <c r="ALP53" s="75">
        <f t="shared" si="1292"/>
        <v>2538907.7500002384</v>
      </c>
      <c r="ALQ53" s="75">
        <f t="shared" si="1292"/>
        <v>3098472.7500002384</v>
      </c>
      <c r="ALR53" s="75">
        <f t="shared" si="1292"/>
        <v>2984118.7500002384</v>
      </c>
      <c r="ALS53" s="75">
        <f t="shared" si="1292"/>
        <v>10011815.750000238</v>
      </c>
      <c r="ALT53" s="130"/>
      <c r="ALU53" s="75">
        <f t="shared" ref="ALU53:AMX53" si="1293">ALU51-ALU52</f>
        <v>6705298.7500002384</v>
      </c>
      <c r="ALV53" s="75">
        <f t="shared" si="1293"/>
        <v>2659599.7500002384</v>
      </c>
      <c r="ALW53" s="75">
        <f t="shared" si="1293"/>
        <v>306952.75000023842</v>
      </c>
      <c r="ALX53" s="75">
        <f t="shared" si="1293"/>
        <v>870896.75000023842</v>
      </c>
      <c r="ALY53" s="75">
        <f t="shared" si="1293"/>
        <v>1153723.7500002384</v>
      </c>
      <c r="ALZ53" s="75">
        <f t="shared" si="1293"/>
        <v>1566472.7500002384</v>
      </c>
      <c r="AMA53" s="75">
        <f t="shared" si="1293"/>
        <v>2026044.7500002384</v>
      </c>
      <c r="AMB53" s="75">
        <f t="shared" si="1293"/>
        <v>2032405.7500002384</v>
      </c>
      <c r="AMC53" s="75">
        <f t="shared" si="1293"/>
        <v>2384225.7500002384</v>
      </c>
      <c r="AMD53" s="75">
        <f t="shared" si="1293"/>
        <v>2700794.7500002384</v>
      </c>
      <c r="AME53" s="75">
        <f t="shared" si="1293"/>
        <v>3387031.7500002384</v>
      </c>
      <c r="AMF53" s="75">
        <f t="shared" si="1293"/>
        <v>3172969.7500002384</v>
      </c>
      <c r="AMG53" s="75">
        <f t="shared" si="1293"/>
        <v>2425650.7500002384</v>
      </c>
      <c r="AMH53" s="75">
        <f t="shared" si="1293"/>
        <v>2842662.7500002384</v>
      </c>
      <c r="AMI53" s="75">
        <f t="shared" si="1293"/>
        <v>3516088.7500002384</v>
      </c>
      <c r="AMJ53" s="75">
        <f t="shared" si="1293"/>
        <v>4320311.7500002384</v>
      </c>
      <c r="AMK53" s="75">
        <f t="shared" si="1293"/>
        <v>3836432.7500002384</v>
      </c>
      <c r="AML53" s="75">
        <f t="shared" si="1293"/>
        <v>3821024.7500002384</v>
      </c>
      <c r="AMM53" s="75">
        <f t="shared" si="1293"/>
        <v>3794341.7500002384</v>
      </c>
      <c r="AMN53" s="75">
        <f t="shared" si="1293"/>
        <v>4022648.7500002384</v>
      </c>
      <c r="AMO53" s="75">
        <f t="shared" si="1293"/>
        <v>4374736.7500002384</v>
      </c>
      <c r="AMP53" s="75">
        <f t="shared" si="1293"/>
        <v>5174448.7500002384</v>
      </c>
      <c r="AMQ53" s="75">
        <f t="shared" si="1293"/>
        <v>5838710.7500002384</v>
      </c>
      <c r="AMR53" s="75">
        <f t="shared" si="1293"/>
        <v>6293269.7500002384</v>
      </c>
      <c r="AMS53" s="75">
        <f t="shared" si="1293"/>
        <v>6443768.7500002384</v>
      </c>
      <c r="AMT53" s="75">
        <f t="shared" si="1293"/>
        <v>6794594.7500002384</v>
      </c>
      <c r="AMU53" s="75">
        <f t="shared" si="1293"/>
        <v>7089619.7500002384</v>
      </c>
      <c r="AMV53" s="75">
        <f t="shared" si="1293"/>
        <v>7795055.7500002384</v>
      </c>
      <c r="AMW53" s="75">
        <f t="shared" si="1293"/>
        <v>7797156.7500002384</v>
      </c>
      <c r="AMX53" s="75">
        <f t="shared" si="1293"/>
        <v>1464863.7500002384</v>
      </c>
      <c r="AMY53" s="130"/>
      <c r="AMZ53" s="75">
        <f t="shared" ref="AMZ53:AOC53" si="1294">AMZ51-AMZ52</f>
        <v>373358.75000023842</v>
      </c>
      <c r="ANA53" s="75">
        <f t="shared" si="1294"/>
        <v>532218.75000023842</v>
      </c>
      <c r="ANB53" s="75">
        <f t="shared" si="1294"/>
        <v>1087132.7500002384</v>
      </c>
      <c r="ANC53" s="75">
        <f t="shared" si="1294"/>
        <v>-1726416.2499997616</v>
      </c>
      <c r="AND53" s="75">
        <f t="shared" si="1294"/>
        <v>-1944882.2499997616</v>
      </c>
      <c r="ANE53" s="75">
        <f t="shared" si="1294"/>
        <v>-1591067.2499997616</v>
      </c>
      <c r="ANF53" s="75">
        <f t="shared" si="1294"/>
        <v>-1510923.2499997616</v>
      </c>
      <c r="ANG53" s="75">
        <f t="shared" si="1294"/>
        <v>-1482448.2499997616</v>
      </c>
      <c r="ANH53" s="75">
        <f t="shared" si="1294"/>
        <v>-891809.24999976158</v>
      </c>
      <c r="ANI53" s="75">
        <f t="shared" si="1294"/>
        <v>-991453.24999976158</v>
      </c>
      <c r="ANJ53" s="75">
        <f t="shared" si="1294"/>
        <v>-528533.24999976158</v>
      </c>
      <c r="ANK53" s="75">
        <f t="shared" si="1294"/>
        <v>-277460.24999976158</v>
      </c>
      <c r="ANL53" s="75">
        <f t="shared" si="1294"/>
        <v>-1321163.2499997616</v>
      </c>
      <c r="ANM53" s="75">
        <f t="shared" si="1294"/>
        <v>-1732283.2499997616</v>
      </c>
      <c r="ANN53" s="75">
        <f t="shared" si="1294"/>
        <v>-564908.24999976158</v>
      </c>
      <c r="ANO53" s="75">
        <f t="shared" si="1294"/>
        <v>-6365377.2499997616</v>
      </c>
      <c r="ANP53" s="75">
        <f t="shared" si="1294"/>
        <v>629002.75000023842</v>
      </c>
      <c r="ANQ53" s="75">
        <f t="shared" si="1294"/>
        <v>976493.75000023842</v>
      </c>
      <c r="ANR53" s="75">
        <f t="shared" si="1294"/>
        <v>268662.75000023842</v>
      </c>
      <c r="ANS53" s="75">
        <f t="shared" si="1294"/>
        <v>-286973.24999976158</v>
      </c>
      <c r="ANT53" s="75">
        <f t="shared" si="1294"/>
        <v>217746.75000023842</v>
      </c>
      <c r="ANU53" s="75">
        <f t="shared" si="1294"/>
        <v>464002.75000023842</v>
      </c>
      <c r="ANV53" s="75">
        <f t="shared" si="1294"/>
        <v>1660283.7500002384</v>
      </c>
      <c r="ANW53" s="75">
        <f t="shared" si="1294"/>
        <v>559989.75000023842</v>
      </c>
      <c r="ANX53" s="75">
        <f t="shared" si="1294"/>
        <v>1280381.7500002384</v>
      </c>
      <c r="ANY53" s="75">
        <f t="shared" si="1294"/>
        <v>1245882.7500002384</v>
      </c>
      <c r="ANZ53" s="75">
        <f t="shared" si="1294"/>
        <v>1734362.7500002384</v>
      </c>
      <c r="AOA53" s="75">
        <f t="shared" si="1294"/>
        <v>1950499.7500002384</v>
      </c>
      <c r="AOB53" s="75">
        <f t="shared" si="1294"/>
        <v>2899767.7500002384</v>
      </c>
      <c r="AOC53" s="75">
        <f t="shared" si="1294"/>
        <v>3104002.7500002384</v>
      </c>
    </row>
    <row r="54" spans="1:1069" x14ac:dyDescent="0.2">
      <c r="FD54" s="126"/>
      <c r="IW54">
        <v>1182118</v>
      </c>
      <c r="PH54">
        <v>994928</v>
      </c>
      <c r="QZ54">
        <v>3604213</v>
      </c>
    </row>
    <row r="55" spans="1:1069" x14ac:dyDescent="0.2">
      <c r="AJ55">
        <v>675066</v>
      </c>
      <c r="BQ55">
        <v>3415821</v>
      </c>
      <c r="CW55">
        <v>-2365960</v>
      </c>
      <c r="FD55" s="126"/>
      <c r="KG55">
        <v>-1242501</v>
      </c>
      <c r="QZ55" s="82">
        <f>QZ54-QZ53</f>
        <v>7233.2499997615814</v>
      </c>
    </row>
    <row r="56" spans="1:1069" x14ac:dyDescent="0.2">
      <c r="BQ56">
        <v>3416052</v>
      </c>
      <c r="CA56">
        <v>-1546534</v>
      </c>
      <c r="FD56" s="126"/>
    </row>
    <row r="57" spans="1:1069" x14ac:dyDescent="0.2">
      <c r="BQ57">
        <f>BQ56-BQ55</f>
        <v>231</v>
      </c>
      <c r="FD57" s="126"/>
      <c r="KK57">
        <v>856000</v>
      </c>
    </row>
    <row r="58" spans="1:1069" x14ac:dyDescent="0.2">
      <c r="BO58">
        <v>41789</v>
      </c>
      <c r="KK58">
        <v>218000</v>
      </c>
      <c r="NO58">
        <v>5126362</v>
      </c>
    </row>
    <row r="59" spans="1:1069" x14ac:dyDescent="0.2">
      <c r="BO59">
        <v>42020</v>
      </c>
      <c r="LF59">
        <v>52200929</v>
      </c>
      <c r="NO59">
        <v>5148362</v>
      </c>
      <c r="NY59" t="s">
        <v>1685</v>
      </c>
    </row>
    <row r="60" spans="1:1069" x14ac:dyDescent="0.2">
      <c r="BO60">
        <f>BO59-BO58</f>
        <v>231</v>
      </c>
      <c r="LF60">
        <v>52244829</v>
      </c>
      <c r="NO60">
        <f>NO59-NO58</f>
        <v>22000</v>
      </c>
    </row>
    <row r="61" spans="1:1069" x14ac:dyDescent="0.2">
      <c r="EI61">
        <v>14971585</v>
      </c>
      <c r="LF61">
        <f>LF60-LF59</f>
        <v>43900</v>
      </c>
    </row>
    <row r="62" spans="1:1069" x14ac:dyDescent="0.2">
      <c r="EH62">
        <v>3456075</v>
      </c>
      <c r="EI62">
        <v>15247019</v>
      </c>
    </row>
    <row r="63" spans="1:1069" x14ac:dyDescent="0.2">
      <c r="EH63">
        <v>3179596</v>
      </c>
      <c r="EI63">
        <f>EI62-EI61</f>
        <v>275434</v>
      </c>
    </row>
    <row r="64" spans="1:1069" x14ac:dyDescent="0.2">
      <c r="EH64">
        <f>EH62-EH63</f>
        <v>276479</v>
      </c>
    </row>
  </sheetData>
  <mergeCells count="5">
    <mergeCell ref="A4:A10"/>
    <mergeCell ref="A46:A49"/>
    <mergeCell ref="A38:A44"/>
    <mergeCell ref="A14:A37"/>
    <mergeCell ref="A11:A1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MOMO,AIRTEL,CARDS</vt:lpstr>
      <vt:lpstr>EXPENSES</vt:lpstr>
      <vt:lpstr>METER</vt:lpstr>
      <vt:lpstr>BALANCING</vt:lpstr>
      <vt:lpstr>P and 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tsamin@student.ubc.ca</cp:lastModifiedBy>
  <cp:lastPrinted>2023-11-02T10:20:06Z</cp:lastPrinted>
  <dcterms:created xsi:type="dcterms:W3CDTF">2023-08-02T12:39:13Z</dcterms:created>
  <dcterms:modified xsi:type="dcterms:W3CDTF">2026-08-26T16:23:30Z</dcterms:modified>
</cp:coreProperties>
</file>